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T7_2TB_red/PXD006381_Khan-2018/combined/results_files/"/>
    </mc:Choice>
  </mc:AlternateContent>
  <xr:revisionPtr revIDLastSave="0" documentId="13_ncr:1_{C8D0C9CA-C33E-7641-8C22-65FA2F772C91}" xr6:coauthVersionLast="47" xr6:coauthVersionMax="47" xr10:uidLastSave="{00000000-0000-0000-0000-000000000000}"/>
  <bookViews>
    <workbookView xWindow="7200" yWindow="1360" windowWidth="39760" windowHeight="26940" xr2:uid="{FD457B1D-1D30-D742-BB23-32F293204554}"/>
  </bookViews>
  <sheets>
    <sheet name="ReadMe" sheetId="2" r:id="rId1"/>
    <sheet name="Annotations" sheetId="1" r:id="rId2"/>
  </sheets>
  <definedNames>
    <definedName name="_xlnm._FilterDatabase" localSheetId="1" hidden="1">Annotations!$A$5:$BA$4254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246" i="1" l="1"/>
  <c r="H1832" i="1"/>
  <c r="H3925" i="1"/>
  <c r="L239" i="1"/>
  <c r="L290" i="1"/>
  <c r="L312" i="1"/>
  <c r="L353" i="1"/>
  <c r="L356" i="1"/>
  <c r="L434" i="1"/>
  <c r="L446" i="1"/>
  <c r="L539" i="1"/>
  <c r="L559" i="1"/>
  <c r="L620" i="1"/>
  <c r="L644" i="1"/>
  <c r="L652" i="1"/>
  <c r="L679" i="1"/>
  <c r="L791" i="1"/>
  <c r="L823" i="1"/>
  <c r="L874" i="1"/>
  <c r="L915" i="1"/>
  <c r="L933" i="1"/>
  <c r="L958" i="1"/>
  <c r="L970" i="1"/>
  <c r="L1066" i="1"/>
  <c r="L1076" i="1"/>
  <c r="L1118" i="1"/>
  <c r="L1178" i="1"/>
  <c r="L1219" i="1"/>
  <c r="L1281" i="1"/>
  <c r="L1317" i="1"/>
  <c r="L1345" i="1"/>
  <c r="L1354" i="1"/>
  <c r="L1362" i="1"/>
  <c r="L1385" i="1"/>
  <c r="L1403" i="1"/>
  <c r="L1433" i="1"/>
  <c r="L1446" i="1"/>
  <c r="L1490" i="1"/>
  <c r="L1504" i="1"/>
  <c r="L1541" i="1"/>
  <c r="L1637" i="1"/>
  <c r="L1647" i="1"/>
  <c r="L1663" i="1"/>
  <c r="L1669" i="1"/>
  <c r="L1753" i="1"/>
  <c r="L1793" i="1"/>
  <c r="L1808" i="1"/>
  <c r="L1815" i="1"/>
  <c r="L1822" i="1"/>
  <c r="L1829" i="1"/>
  <c r="L1870" i="1"/>
  <c r="L1886" i="1"/>
  <c r="L1914" i="1"/>
  <c r="L1951" i="1"/>
  <c r="L1957" i="1"/>
  <c r="L2026" i="1"/>
  <c r="L2030" i="1"/>
  <c r="L2070" i="1"/>
  <c r="L2077" i="1"/>
  <c r="L2119" i="1"/>
  <c r="L2129" i="1"/>
  <c r="L2132" i="1"/>
  <c r="L2202" i="1"/>
  <c r="L2206" i="1"/>
  <c r="L2372" i="1"/>
  <c r="L2376" i="1"/>
  <c r="L2395" i="1"/>
  <c r="L2407" i="1"/>
  <c r="L2418" i="1"/>
  <c r="L2429" i="1"/>
  <c r="L2445" i="1"/>
  <c r="L2487" i="1"/>
  <c r="L2518" i="1"/>
  <c r="L2545" i="1"/>
  <c r="L2597" i="1"/>
  <c r="L2643" i="1"/>
  <c r="L2667" i="1"/>
  <c r="L2717" i="1"/>
  <c r="L2732" i="1"/>
  <c r="L2756" i="1"/>
  <c r="L2766" i="1"/>
  <c r="L2791" i="1"/>
  <c r="L2899" i="1"/>
  <c r="L2922" i="1"/>
  <c r="L2945" i="1"/>
  <c r="L2952" i="1"/>
  <c r="L3056" i="1"/>
  <c r="L3122" i="1"/>
  <c r="L3127" i="1"/>
  <c r="L3144" i="1"/>
  <c r="L3175" i="1"/>
  <c r="L3213" i="1"/>
  <c r="L3222" i="1"/>
  <c r="L3247" i="1"/>
  <c r="L3350" i="1"/>
  <c r="L3393" i="1"/>
  <c r="L3400" i="1"/>
  <c r="L3402" i="1"/>
  <c r="L3454" i="1"/>
  <c r="L3474" i="1"/>
  <c r="L3503" i="1"/>
  <c r="L3505" i="1"/>
  <c r="L3517" i="1"/>
  <c r="L3562" i="1"/>
  <c r="L3563" i="1"/>
  <c r="L3564" i="1"/>
  <c r="L3565" i="1"/>
  <c r="L3583" i="1"/>
  <c r="L3677" i="1"/>
  <c r="L3705" i="1"/>
  <c r="L3729" i="1"/>
  <c r="L3766" i="1"/>
  <c r="L3783" i="1"/>
  <c r="L3806" i="1"/>
  <c r="L3810" i="1"/>
  <c r="L3819" i="1"/>
  <c r="L3896" i="1"/>
  <c r="L3913" i="1"/>
  <c r="L3926" i="1"/>
  <c r="L3931" i="1"/>
  <c r="L3937" i="1"/>
  <c r="L3946" i="1"/>
  <c r="L3965" i="1"/>
  <c r="L4037" i="1"/>
  <c r="L4049" i="1"/>
  <c r="L4061" i="1"/>
  <c r="L4077" i="1"/>
  <c r="L4090" i="1"/>
  <c r="L4105" i="1"/>
  <c r="L4106" i="1"/>
  <c r="L4125" i="1"/>
  <c r="L4136" i="1"/>
  <c r="L4172" i="1"/>
  <c r="L4215" i="1"/>
  <c r="L4226" i="1"/>
  <c r="L168" i="1"/>
  <c r="H6" i="1"/>
  <c r="L6" i="1"/>
  <c r="N6" i="1"/>
  <c r="O6" i="1"/>
  <c r="H7" i="1"/>
  <c r="L7" i="1"/>
  <c r="N7" i="1"/>
  <c r="O7" i="1"/>
  <c r="H8" i="1"/>
  <c r="L8" i="1"/>
  <c r="N8" i="1"/>
  <c r="O8" i="1"/>
  <c r="H9" i="1"/>
  <c r="L9" i="1"/>
  <c r="N9" i="1"/>
  <c r="O9" i="1"/>
  <c r="H10" i="1"/>
  <c r="L10" i="1"/>
  <c r="N10" i="1"/>
  <c r="O10" i="1"/>
  <c r="H11" i="1"/>
  <c r="L11" i="1"/>
  <c r="N11" i="1"/>
  <c r="O11" i="1"/>
  <c r="H12" i="1"/>
  <c r="L12" i="1"/>
  <c r="N12" i="1"/>
  <c r="O12" i="1"/>
  <c r="H13" i="1"/>
  <c r="L13" i="1"/>
  <c r="N13" i="1"/>
  <c r="O13" i="1"/>
  <c r="H14" i="1"/>
  <c r="L14" i="1"/>
  <c r="N14" i="1"/>
  <c r="O14" i="1"/>
  <c r="H15" i="1"/>
  <c r="L15" i="1"/>
  <c r="N15" i="1"/>
  <c r="O15" i="1"/>
  <c r="H16" i="1"/>
  <c r="L16" i="1"/>
  <c r="N16" i="1"/>
  <c r="O16" i="1"/>
  <c r="H17" i="1"/>
  <c r="L17" i="1"/>
  <c r="N17" i="1"/>
  <c r="O17" i="1"/>
  <c r="H18" i="1"/>
  <c r="L18" i="1"/>
  <c r="N18" i="1"/>
  <c r="O18" i="1"/>
  <c r="H19" i="1"/>
  <c r="L19" i="1"/>
  <c r="N19" i="1"/>
  <c r="O19" i="1"/>
  <c r="H20" i="1"/>
  <c r="L20" i="1"/>
  <c r="N20" i="1"/>
  <c r="O20" i="1"/>
  <c r="H21" i="1"/>
  <c r="L21" i="1"/>
  <c r="N21" i="1"/>
  <c r="O21" i="1"/>
  <c r="H22" i="1"/>
  <c r="L22" i="1"/>
  <c r="N22" i="1"/>
  <c r="O22" i="1"/>
  <c r="H23" i="1"/>
  <c r="L23" i="1"/>
  <c r="N23" i="1"/>
  <c r="O23" i="1"/>
  <c r="H24" i="1"/>
  <c r="L24" i="1"/>
  <c r="N24" i="1"/>
  <c r="O24" i="1"/>
  <c r="H25" i="1"/>
  <c r="L25" i="1"/>
  <c r="N25" i="1"/>
  <c r="O25" i="1"/>
  <c r="H26" i="1"/>
  <c r="L26" i="1"/>
  <c r="N26" i="1"/>
  <c r="O26" i="1"/>
  <c r="H27" i="1"/>
  <c r="L27" i="1"/>
  <c r="N27" i="1"/>
  <c r="O27" i="1"/>
  <c r="H28" i="1"/>
  <c r="L28" i="1"/>
  <c r="N28" i="1"/>
  <c r="O28" i="1"/>
  <c r="H29" i="1"/>
  <c r="L29" i="1"/>
  <c r="N29" i="1"/>
  <c r="O29" i="1"/>
  <c r="H30" i="1"/>
  <c r="L30" i="1"/>
  <c r="N30" i="1"/>
  <c r="O30" i="1"/>
  <c r="H31" i="1"/>
  <c r="L31" i="1"/>
  <c r="N31" i="1"/>
  <c r="O31" i="1"/>
  <c r="H32" i="1"/>
  <c r="L32" i="1"/>
  <c r="N32" i="1"/>
  <c r="O32" i="1"/>
  <c r="H33" i="1"/>
  <c r="L33" i="1"/>
  <c r="N33" i="1"/>
  <c r="O33" i="1"/>
  <c r="H34" i="1"/>
  <c r="L34" i="1"/>
  <c r="N34" i="1"/>
  <c r="O34" i="1"/>
  <c r="H35" i="1"/>
  <c r="L35" i="1"/>
  <c r="N35" i="1"/>
  <c r="O35" i="1"/>
  <c r="H36" i="1"/>
  <c r="L36" i="1"/>
  <c r="N36" i="1"/>
  <c r="O36" i="1"/>
  <c r="H37" i="1"/>
  <c r="L37" i="1"/>
  <c r="N37" i="1"/>
  <c r="O37" i="1"/>
  <c r="H38" i="1"/>
  <c r="L38" i="1"/>
  <c r="N38" i="1"/>
  <c r="O38" i="1"/>
  <c r="H39" i="1"/>
  <c r="L39" i="1"/>
  <c r="N39" i="1"/>
  <c r="O39" i="1"/>
  <c r="H40" i="1"/>
  <c r="L40" i="1"/>
  <c r="N40" i="1"/>
  <c r="O40" i="1"/>
  <c r="H41" i="1"/>
  <c r="L41" i="1"/>
  <c r="N41" i="1"/>
  <c r="O41" i="1"/>
  <c r="H42" i="1"/>
  <c r="L42" i="1"/>
  <c r="N42" i="1"/>
  <c r="O42" i="1"/>
  <c r="H43" i="1"/>
  <c r="L43" i="1"/>
  <c r="N43" i="1"/>
  <c r="O43" i="1"/>
  <c r="H44" i="1"/>
  <c r="L44" i="1"/>
  <c r="N44" i="1"/>
  <c r="O44" i="1"/>
  <c r="H45" i="1"/>
  <c r="L45" i="1"/>
  <c r="N45" i="1"/>
  <c r="O45" i="1"/>
  <c r="H46" i="1"/>
  <c r="L46" i="1"/>
  <c r="N46" i="1"/>
  <c r="O46" i="1"/>
  <c r="H47" i="1"/>
  <c r="L47" i="1"/>
  <c r="N47" i="1"/>
  <c r="O47" i="1"/>
  <c r="H48" i="1"/>
  <c r="L48" i="1"/>
  <c r="N48" i="1"/>
  <c r="O48" i="1"/>
  <c r="H49" i="1"/>
  <c r="L49" i="1"/>
  <c r="N49" i="1"/>
  <c r="O49" i="1"/>
  <c r="H50" i="1"/>
  <c r="L50" i="1"/>
  <c r="N50" i="1"/>
  <c r="O50" i="1"/>
  <c r="H51" i="1"/>
  <c r="L51" i="1"/>
  <c r="N51" i="1"/>
  <c r="O51" i="1"/>
  <c r="H52" i="1"/>
  <c r="L52" i="1"/>
  <c r="N52" i="1"/>
  <c r="O52" i="1"/>
  <c r="H53" i="1"/>
  <c r="L53" i="1"/>
  <c r="N53" i="1"/>
  <c r="O53" i="1"/>
  <c r="H54" i="1"/>
  <c r="L54" i="1"/>
  <c r="N54" i="1"/>
  <c r="O54" i="1"/>
  <c r="H55" i="1"/>
  <c r="L55" i="1"/>
  <c r="N55" i="1"/>
  <c r="O55" i="1"/>
  <c r="H56" i="1"/>
  <c r="L56" i="1"/>
  <c r="N56" i="1"/>
  <c r="O56" i="1"/>
  <c r="H57" i="1"/>
  <c r="L57" i="1"/>
  <c r="N57" i="1"/>
  <c r="O57" i="1"/>
  <c r="H58" i="1"/>
  <c r="L58" i="1"/>
  <c r="N58" i="1"/>
  <c r="O58" i="1"/>
  <c r="H59" i="1"/>
  <c r="L59" i="1"/>
  <c r="N59" i="1"/>
  <c r="O59" i="1"/>
  <c r="H60" i="1"/>
  <c r="L60" i="1"/>
  <c r="N60" i="1"/>
  <c r="O60" i="1"/>
  <c r="H61" i="1"/>
  <c r="L61" i="1"/>
  <c r="N61" i="1"/>
  <c r="O61" i="1"/>
  <c r="H62" i="1"/>
  <c r="L62" i="1"/>
  <c r="N62" i="1"/>
  <c r="O62" i="1"/>
  <c r="H63" i="1"/>
  <c r="L63" i="1"/>
  <c r="N63" i="1"/>
  <c r="O63" i="1"/>
  <c r="H64" i="1"/>
  <c r="L64" i="1"/>
  <c r="N64" i="1"/>
  <c r="O64" i="1"/>
  <c r="H65" i="1"/>
  <c r="L65" i="1"/>
  <c r="N65" i="1"/>
  <c r="O65" i="1"/>
  <c r="H66" i="1"/>
  <c r="L66" i="1"/>
  <c r="N66" i="1"/>
  <c r="O66" i="1"/>
  <c r="H67" i="1"/>
  <c r="L67" i="1"/>
  <c r="N67" i="1"/>
  <c r="O67" i="1"/>
  <c r="H68" i="1"/>
  <c r="L68" i="1"/>
  <c r="N68" i="1"/>
  <c r="O68" i="1"/>
  <c r="H69" i="1"/>
  <c r="L69" i="1"/>
  <c r="N69" i="1"/>
  <c r="O69" i="1"/>
  <c r="H70" i="1"/>
  <c r="L70" i="1"/>
  <c r="N70" i="1"/>
  <c r="O70" i="1"/>
  <c r="H71" i="1"/>
  <c r="L71" i="1"/>
  <c r="N71" i="1"/>
  <c r="O71" i="1"/>
  <c r="H72" i="1"/>
  <c r="L72" i="1"/>
  <c r="N72" i="1"/>
  <c r="O72" i="1"/>
  <c r="H73" i="1"/>
  <c r="L73" i="1"/>
  <c r="N73" i="1"/>
  <c r="O73" i="1"/>
  <c r="H74" i="1"/>
  <c r="L74" i="1"/>
  <c r="N74" i="1"/>
  <c r="O74" i="1"/>
  <c r="H75" i="1"/>
  <c r="L75" i="1"/>
  <c r="N75" i="1"/>
  <c r="O75" i="1"/>
  <c r="H76" i="1"/>
  <c r="L76" i="1"/>
  <c r="N76" i="1"/>
  <c r="O76" i="1"/>
  <c r="H77" i="1"/>
  <c r="L77" i="1"/>
  <c r="N77" i="1"/>
  <c r="O77" i="1"/>
  <c r="H78" i="1"/>
  <c r="L78" i="1"/>
  <c r="N78" i="1"/>
  <c r="O78" i="1"/>
  <c r="H79" i="1"/>
  <c r="L79" i="1"/>
  <c r="N79" i="1"/>
  <c r="O79" i="1"/>
  <c r="H80" i="1"/>
  <c r="L80" i="1"/>
  <c r="N80" i="1"/>
  <c r="O80" i="1"/>
  <c r="H81" i="1"/>
  <c r="L81" i="1"/>
  <c r="N81" i="1"/>
  <c r="O81" i="1"/>
  <c r="H82" i="1"/>
  <c r="L82" i="1"/>
  <c r="N82" i="1"/>
  <c r="O82" i="1"/>
  <c r="H83" i="1"/>
  <c r="L83" i="1"/>
  <c r="N83" i="1"/>
  <c r="O83" i="1"/>
  <c r="H84" i="1"/>
  <c r="L84" i="1"/>
  <c r="N84" i="1"/>
  <c r="O84" i="1"/>
  <c r="H85" i="1"/>
  <c r="L85" i="1"/>
  <c r="N85" i="1"/>
  <c r="O85" i="1"/>
  <c r="H86" i="1"/>
  <c r="L86" i="1"/>
  <c r="N86" i="1"/>
  <c r="O86" i="1"/>
  <c r="H87" i="1"/>
  <c r="L87" i="1"/>
  <c r="N87" i="1"/>
  <c r="O87" i="1"/>
  <c r="H88" i="1"/>
  <c r="L88" i="1"/>
  <c r="N88" i="1"/>
  <c r="O88" i="1"/>
  <c r="H89" i="1"/>
  <c r="L89" i="1"/>
  <c r="N89" i="1"/>
  <c r="O89" i="1"/>
  <c r="H90" i="1"/>
  <c r="L90" i="1"/>
  <c r="N90" i="1"/>
  <c r="O90" i="1"/>
  <c r="H91" i="1"/>
  <c r="L91" i="1"/>
  <c r="N91" i="1"/>
  <c r="O91" i="1"/>
  <c r="H92" i="1"/>
  <c r="L92" i="1"/>
  <c r="N92" i="1"/>
  <c r="O92" i="1"/>
  <c r="H93" i="1"/>
  <c r="L93" i="1"/>
  <c r="N93" i="1"/>
  <c r="O93" i="1"/>
  <c r="H94" i="1"/>
  <c r="L94" i="1"/>
  <c r="N94" i="1"/>
  <c r="O94" i="1"/>
  <c r="H95" i="1"/>
  <c r="L95" i="1"/>
  <c r="N95" i="1"/>
  <c r="O95" i="1"/>
  <c r="H96" i="1"/>
  <c r="L96" i="1"/>
  <c r="N96" i="1"/>
  <c r="O96" i="1"/>
  <c r="H97" i="1"/>
  <c r="L97" i="1"/>
  <c r="N97" i="1"/>
  <c r="O97" i="1"/>
  <c r="H98" i="1"/>
  <c r="L98" i="1"/>
  <c r="N98" i="1"/>
  <c r="O98" i="1"/>
  <c r="H99" i="1"/>
  <c r="L99" i="1"/>
  <c r="N99" i="1"/>
  <c r="O99" i="1"/>
  <c r="H100" i="1"/>
  <c r="L100" i="1"/>
  <c r="N100" i="1"/>
  <c r="O100" i="1"/>
  <c r="H101" i="1"/>
  <c r="L101" i="1"/>
  <c r="N101" i="1"/>
  <c r="O101" i="1"/>
  <c r="H102" i="1"/>
  <c r="L102" i="1"/>
  <c r="N102" i="1"/>
  <c r="O102" i="1"/>
  <c r="H103" i="1"/>
  <c r="L103" i="1"/>
  <c r="N103" i="1"/>
  <c r="O103" i="1"/>
  <c r="H104" i="1"/>
  <c r="L104" i="1"/>
  <c r="N104" i="1"/>
  <c r="O104" i="1"/>
  <c r="H105" i="1"/>
  <c r="L105" i="1"/>
  <c r="N105" i="1"/>
  <c r="O105" i="1"/>
  <c r="H106" i="1"/>
  <c r="L106" i="1"/>
  <c r="N106" i="1"/>
  <c r="O106" i="1"/>
  <c r="H107" i="1"/>
  <c r="L107" i="1"/>
  <c r="N107" i="1"/>
  <c r="O107" i="1"/>
  <c r="H108" i="1"/>
  <c r="L108" i="1"/>
  <c r="N108" i="1"/>
  <c r="O108" i="1"/>
  <c r="H109" i="1"/>
  <c r="L109" i="1"/>
  <c r="N109" i="1"/>
  <c r="O109" i="1"/>
  <c r="H110" i="1"/>
  <c r="L110" i="1"/>
  <c r="N110" i="1"/>
  <c r="O110" i="1"/>
  <c r="H111" i="1"/>
  <c r="L111" i="1"/>
  <c r="N111" i="1"/>
  <c r="O111" i="1"/>
  <c r="H112" i="1"/>
  <c r="L112" i="1"/>
  <c r="N112" i="1"/>
  <c r="O112" i="1"/>
  <c r="H113" i="1"/>
  <c r="L113" i="1"/>
  <c r="N113" i="1"/>
  <c r="O113" i="1"/>
  <c r="H114" i="1"/>
  <c r="L114" i="1"/>
  <c r="N114" i="1"/>
  <c r="O114" i="1"/>
  <c r="H115" i="1"/>
  <c r="L115" i="1"/>
  <c r="N115" i="1"/>
  <c r="O115" i="1"/>
  <c r="H116" i="1"/>
  <c r="L116" i="1"/>
  <c r="N116" i="1"/>
  <c r="O116" i="1"/>
  <c r="H117" i="1"/>
  <c r="L117" i="1"/>
  <c r="N117" i="1"/>
  <c r="O117" i="1"/>
  <c r="H118" i="1"/>
  <c r="L118" i="1"/>
  <c r="N118" i="1"/>
  <c r="O118" i="1"/>
  <c r="H119" i="1"/>
  <c r="L119" i="1"/>
  <c r="N119" i="1"/>
  <c r="O119" i="1"/>
  <c r="H120" i="1"/>
  <c r="L120" i="1"/>
  <c r="N120" i="1"/>
  <c r="O120" i="1"/>
  <c r="H121" i="1"/>
  <c r="L121" i="1"/>
  <c r="N121" i="1"/>
  <c r="O121" i="1"/>
  <c r="H122" i="1"/>
  <c r="L122" i="1"/>
  <c r="N122" i="1"/>
  <c r="O122" i="1"/>
  <c r="H123" i="1"/>
  <c r="L123" i="1"/>
  <c r="N123" i="1"/>
  <c r="O123" i="1"/>
  <c r="H124" i="1"/>
  <c r="L124" i="1"/>
  <c r="N124" i="1"/>
  <c r="O124" i="1"/>
  <c r="H125" i="1"/>
  <c r="L125" i="1"/>
  <c r="N125" i="1"/>
  <c r="O125" i="1"/>
  <c r="H126" i="1"/>
  <c r="L126" i="1"/>
  <c r="N126" i="1"/>
  <c r="O126" i="1"/>
  <c r="H127" i="1"/>
  <c r="L127" i="1"/>
  <c r="N127" i="1"/>
  <c r="O127" i="1"/>
  <c r="H128" i="1"/>
  <c r="L128" i="1"/>
  <c r="N128" i="1"/>
  <c r="O128" i="1"/>
  <c r="H129" i="1"/>
  <c r="L129" i="1"/>
  <c r="N129" i="1"/>
  <c r="O129" i="1"/>
  <c r="H130" i="1"/>
  <c r="L130" i="1"/>
  <c r="N130" i="1"/>
  <c r="O130" i="1"/>
  <c r="H131" i="1"/>
  <c r="L131" i="1"/>
  <c r="N131" i="1"/>
  <c r="O131" i="1"/>
  <c r="H132" i="1"/>
  <c r="L132" i="1"/>
  <c r="N132" i="1"/>
  <c r="O132" i="1"/>
  <c r="H133" i="1"/>
  <c r="L133" i="1"/>
  <c r="N133" i="1"/>
  <c r="O133" i="1"/>
  <c r="H134" i="1"/>
  <c r="L134" i="1"/>
  <c r="N134" i="1"/>
  <c r="O134" i="1"/>
  <c r="H135" i="1"/>
  <c r="L135" i="1"/>
  <c r="N135" i="1"/>
  <c r="O135" i="1"/>
  <c r="H136" i="1"/>
  <c r="L136" i="1"/>
  <c r="N136" i="1"/>
  <c r="O136" i="1"/>
  <c r="H137" i="1"/>
  <c r="L137" i="1"/>
  <c r="N137" i="1"/>
  <c r="O137" i="1"/>
  <c r="H138" i="1"/>
  <c r="L138" i="1"/>
  <c r="N138" i="1"/>
  <c r="O138" i="1"/>
  <c r="H139" i="1"/>
  <c r="L139" i="1"/>
  <c r="N139" i="1"/>
  <c r="O139" i="1"/>
  <c r="H140" i="1"/>
  <c r="L140" i="1"/>
  <c r="N140" i="1"/>
  <c r="O140" i="1"/>
  <c r="H141" i="1"/>
  <c r="L141" i="1"/>
  <c r="N141" i="1"/>
  <c r="O141" i="1"/>
  <c r="H142" i="1"/>
  <c r="L142" i="1"/>
  <c r="N142" i="1"/>
  <c r="O142" i="1"/>
  <c r="H143" i="1"/>
  <c r="L143" i="1"/>
  <c r="N143" i="1"/>
  <c r="O143" i="1"/>
  <c r="H144" i="1"/>
  <c r="L144" i="1"/>
  <c r="N144" i="1"/>
  <c r="O144" i="1"/>
  <c r="H145" i="1"/>
  <c r="L145" i="1"/>
  <c r="N145" i="1"/>
  <c r="O145" i="1"/>
  <c r="H146" i="1"/>
  <c r="L146" i="1"/>
  <c r="N146" i="1"/>
  <c r="O146" i="1"/>
  <c r="H147" i="1"/>
  <c r="L147" i="1"/>
  <c r="N147" i="1"/>
  <c r="O147" i="1"/>
  <c r="H148" i="1"/>
  <c r="L148" i="1"/>
  <c r="N148" i="1"/>
  <c r="O148" i="1"/>
  <c r="H149" i="1"/>
  <c r="L149" i="1"/>
  <c r="N149" i="1"/>
  <c r="O149" i="1"/>
  <c r="H150" i="1"/>
  <c r="L150" i="1"/>
  <c r="N150" i="1"/>
  <c r="O150" i="1"/>
  <c r="H151" i="1"/>
  <c r="L151" i="1"/>
  <c r="N151" i="1"/>
  <c r="O151" i="1"/>
  <c r="H152" i="1"/>
  <c r="L152" i="1"/>
  <c r="N152" i="1"/>
  <c r="O152" i="1"/>
  <c r="H153" i="1"/>
  <c r="L153" i="1"/>
  <c r="N153" i="1"/>
  <c r="O153" i="1"/>
  <c r="H154" i="1"/>
  <c r="L154" i="1"/>
  <c r="N154" i="1"/>
  <c r="O154" i="1"/>
  <c r="H155" i="1"/>
  <c r="L155" i="1"/>
  <c r="N155" i="1"/>
  <c r="O155" i="1"/>
  <c r="H156" i="1"/>
  <c r="L156" i="1"/>
  <c r="N156" i="1"/>
  <c r="O156" i="1"/>
  <c r="H157" i="1"/>
  <c r="L157" i="1"/>
  <c r="N157" i="1"/>
  <c r="O157" i="1"/>
  <c r="H158" i="1"/>
  <c r="L158" i="1"/>
  <c r="N158" i="1"/>
  <c r="O158" i="1"/>
  <c r="H159" i="1"/>
  <c r="L159" i="1"/>
  <c r="N159" i="1"/>
  <c r="O159" i="1"/>
  <c r="H160" i="1"/>
  <c r="L160" i="1"/>
  <c r="N160" i="1"/>
  <c r="O160" i="1"/>
  <c r="H161" i="1"/>
  <c r="L161" i="1"/>
  <c r="N161" i="1"/>
  <c r="O161" i="1"/>
  <c r="H162" i="1"/>
  <c r="L162" i="1"/>
  <c r="N162" i="1"/>
  <c r="O162" i="1"/>
  <c r="H163" i="1"/>
  <c r="L163" i="1"/>
  <c r="N163" i="1"/>
  <c r="O163" i="1"/>
  <c r="H164" i="1"/>
  <c r="L164" i="1"/>
  <c r="N164" i="1"/>
  <c r="O164" i="1"/>
  <c r="H165" i="1"/>
  <c r="L165" i="1"/>
  <c r="N165" i="1"/>
  <c r="O165" i="1"/>
  <c r="H166" i="1"/>
  <c r="L166" i="1"/>
  <c r="N166" i="1"/>
  <c r="O166" i="1"/>
  <c r="H167" i="1"/>
  <c r="L167" i="1"/>
  <c r="N167" i="1"/>
  <c r="O167" i="1"/>
  <c r="H169" i="1"/>
  <c r="L169" i="1"/>
  <c r="N169" i="1"/>
  <c r="O169" i="1"/>
  <c r="H170" i="1"/>
  <c r="L170" i="1"/>
  <c r="N170" i="1"/>
  <c r="O170" i="1"/>
  <c r="H171" i="1"/>
  <c r="L171" i="1"/>
  <c r="N171" i="1"/>
  <c r="O171" i="1"/>
  <c r="H172" i="1"/>
  <c r="L172" i="1"/>
  <c r="N172" i="1"/>
  <c r="O172" i="1"/>
  <c r="H173" i="1"/>
  <c r="L173" i="1"/>
  <c r="N173" i="1"/>
  <c r="O173" i="1"/>
  <c r="H174" i="1"/>
  <c r="L174" i="1"/>
  <c r="N174" i="1"/>
  <c r="O174" i="1"/>
  <c r="H175" i="1"/>
  <c r="L175" i="1"/>
  <c r="N175" i="1"/>
  <c r="O175" i="1"/>
  <c r="H176" i="1"/>
  <c r="L176" i="1"/>
  <c r="N176" i="1"/>
  <c r="O176" i="1"/>
  <c r="H177" i="1"/>
  <c r="L177" i="1"/>
  <c r="N177" i="1"/>
  <c r="O177" i="1"/>
  <c r="H178" i="1"/>
  <c r="L178" i="1"/>
  <c r="N178" i="1"/>
  <c r="O178" i="1"/>
  <c r="H179" i="1"/>
  <c r="L179" i="1"/>
  <c r="N179" i="1"/>
  <c r="O179" i="1"/>
  <c r="H180" i="1"/>
  <c r="L180" i="1"/>
  <c r="N180" i="1"/>
  <c r="O180" i="1"/>
  <c r="H181" i="1"/>
  <c r="L181" i="1"/>
  <c r="N181" i="1"/>
  <c r="O181" i="1"/>
  <c r="H182" i="1"/>
  <c r="L182" i="1"/>
  <c r="N182" i="1"/>
  <c r="O182" i="1"/>
  <c r="H183" i="1"/>
  <c r="L183" i="1"/>
  <c r="N183" i="1"/>
  <c r="O183" i="1"/>
  <c r="H184" i="1"/>
  <c r="L184" i="1"/>
  <c r="N184" i="1"/>
  <c r="O184" i="1"/>
  <c r="H185" i="1"/>
  <c r="L185" i="1"/>
  <c r="N185" i="1"/>
  <c r="O185" i="1"/>
  <c r="H186" i="1"/>
  <c r="L186" i="1"/>
  <c r="N186" i="1"/>
  <c r="O186" i="1"/>
  <c r="H187" i="1"/>
  <c r="L187" i="1"/>
  <c r="N187" i="1"/>
  <c r="O187" i="1"/>
  <c r="H188" i="1"/>
  <c r="L188" i="1"/>
  <c r="N188" i="1"/>
  <c r="O188" i="1"/>
  <c r="H189" i="1"/>
  <c r="L189" i="1"/>
  <c r="N189" i="1"/>
  <c r="O189" i="1"/>
  <c r="H190" i="1"/>
  <c r="L190" i="1"/>
  <c r="N190" i="1"/>
  <c r="O190" i="1"/>
  <c r="H191" i="1"/>
  <c r="L191" i="1"/>
  <c r="N191" i="1"/>
  <c r="O191" i="1"/>
  <c r="H192" i="1"/>
  <c r="L192" i="1"/>
  <c r="N192" i="1"/>
  <c r="O192" i="1"/>
  <c r="H193" i="1"/>
  <c r="L193" i="1"/>
  <c r="N193" i="1"/>
  <c r="O193" i="1"/>
  <c r="H194" i="1"/>
  <c r="L194" i="1"/>
  <c r="N194" i="1"/>
  <c r="O194" i="1"/>
  <c r="H195" i="1"/>
  <c r="L195" i="1"/>
  <c r="N195" i="1"/>
  <c r="O195" i="1"/>
  <c r="H196" i="1"/>
  <c r="L196" i="1"/>
  <c r="N196" i="1"/>
  <c r="O196" i="1"/>
  <c r="H197" i="1"/>
  <c r="L197" i="1"/>
  <c r="N197" i="1"/>
  <c r="O197" i="1"/>
  <c r="H198" i="1"/>
  <c r="L198" i="1"/>
  <c r="N198" i="1"/>
  <c r="O198" i="1"/>
  <c r="H199" i="1"/>
  <c r="L199" i="1"/>
  <c r="N199" i="1"/>
  <c r="O199" i="1"/>
  <c r="H200" i="1"/>
  <c r="L200" i="1"/>
  <c r="N200" i="1"/>
  <c r="O200" i="1"/>
  <c r="H201" i="1"/>
  <c r="L201" i="1"/>
  <c r="N201" i="1"/>
  <c r="O201" i="1"/>
  <c r="H202" i="1"/>
  <c r="L202" i="1"/>
  <c r="N202" i="1"/>
  <c r="O202" i="1"/>
  <c r="H203" i="1"/>
  <c r="L203" i="1"/>
  <c r="N203" i="1"/>
  <c r="O203" i="1"/>
  <c r="H204" i="1"/>
  <c r="L204" i="1"/>
  <c r="N204" i="1"/>
  <c r="O204" i="1"/>
  <c r="H205" i="1"/>
  <c r="L205" i="1"/>
  <c r="N205" i="1"/>
  <c r="O205" i="1"/>
  <c r="H206" i="1"/>
  <c r="L206" i="1"/>
  <c r="N206" i="1"/>
  <c r="O206" i="1"/>
  <c r="H207" i="1"/>
  <c r="L207" i="1"/>
  <c r="N207" i="1"/>
  <c r="O207" i="1"/>
  <c r="H208" i="1"/>
  <c r="L208" i="1"/>
  <c r="N208" i="1"/>
  <c r="O208" i="1"/>
  <c r="H209" i="1"/>
  <c r="L209" i="1"/>
  <c r="N209" i="1"/>
  <c r="O209" i="1"/>
  <c r="H210" i="1"/>
  <c r="L210" i="1"/>
  <c r="N210" i="1"/>
  <c r="O210" i="1"/>
  <c r="H211" i="1"/>
  <c r="L211" i="1"/>
  <c r="N211" i="1"/>
  <c r="O211" i="1"/>
  <c r="H212" i="1"/>
  <c r="L212" i="1"/>
  <c r="N212" i="1"/>
  <c r="O212" i="1"/>
  <c r="H213" i="1"/>
  <c r="L213" i="1"/>
  <c r="N213" i="1"/>
  <c r="O213" i="1"/>
  <c r="H214" i="1"/>
  <c r="L214" i="1"/>
  <c r="N214" i="1"/>
  <c r="O214" i="1"/>
  <c r="H215" i="1"/>
  <c r="L215" i="1"/>
  <c r="N215" i="1"/>
  <c r="O215" i="1"/>
  <c r="H216" i="1"/>
  <c r="L216" i="1"/>
  <c r="N216" i="1"/>
  <c r="O216" i="1"/>
  <c r="H217" i="1"/>
  <c r="L217" i="1"/>
  <c r="N217" i="1"/>
  <c r="O217" i="1"/>
  <c r="H218" i="1"/>
  <c r="L218" i="1"/>
  <c r="N218" i="1"/>
  <c r="O218" i="1"/>
  <c r="H219" i="1"/>
  <c r="L219" i="1"/>
  <c r="N219" i="1"/>
  <c r="O219" i="1"/>
  <c r="H220" i="1"/>
  <c r="L220" i="1"/>
  <c r="N220" i="1"/>
  <c r="O220" i="1"/>
  <c r="H221" i="1"/>
  <c r="L221" i="1"/>
  <c r="N221" i="1"/>
  <c r="O221" i="1"/>
  <c r="H222" i="1"/>
  <c r="L222" i="1"/>
  <c r="N222" i="1"/>
  <c r="O222" i="1"/>
  <c r="H223" i="1"/>
  <c r="L223" i="1"/>
  <c r="N223" i="1"/>
  <c r="O223" i="1"/>
  <c r="H224" i="1"/>
  <c r="L224" i="1"/>
  <c r="N224" i="1"/>
  <c r="O224" i="1"/>
  <c r="H225" i="1"/>
  <c r="L225" i="1"/>
  <c r="N225" i="1"/>
  <c r="O225" i="1"/>
  <c r="H226" i="1"/>
  <c r="L226" i="1"/>
  <c r="N226" i="1"/>
  <c r="O226" i="1"/>
  <c r="H227" i="1"/>
  <c r="L227" i="1"/>
  <c r="N227" i="1"/>
  <c r="O227" i="1"/>
  <c r="H228" i="1"/>
  <c r="L228" i="1"/>
  <c r="N228" i="1"/>
  <c r="O228" i="1"/>
  <c r="H229" i="1"/>
  <c r="L229" i="1"/>
  <c r="N229" i="1"/>
  <c r="O229" i="1"/>
  <c r="H230" i="1"/>
  <c r="L230" i="1"/>
  <c r="N230" i="1"/>
  <c r="O230" i="1"/>
  <c r="H231" i="1"/>
  <c r="L231" i="1"/>
  <c r="N231" i="1"/>
  <c r="O231" i="1"/>
  <c r="H232" i="1"/>
  <c r="L232" i="1"/>
  <c r="N232" i="1"/>
  <c r="O232" i="1"/>
  <c r="H233" i="1"/>
  <c r="L233" i="1"/>
  <c r="N233" i="1"/>
  <c r="O233" i="1"/>
  <c r="H234" i="1"/>
  <c r="L234" i="1"/>
  <c r="N234" i="1"/>
  <c r="O234" i="1"/>
  <c r="H235" i="1"/>
  <c r="L235" i="1"/>
  <c r="N235" i="1"/>
  <c r="O235" i="1"/>
  <c r="H236" i="1"/>
  <c r="L236" i="1"/>
  <c r="N236" i="1"/>
  <c r="O236" i="1"/>
  <c r="H237" i="1"/>
  <c r="L237" i="1"/>
  <c r="N237" i="1"/>
  <c r="O237" i="1"/>
  <c r="H238" i="1"/>
  <c r="L238" i="1"/>
  <c r="N238" i="1"/>
  <c r="O238" i="1"/>
  <c r="H240" i="1"/>
  <c r="L240" i="1"/>
  <c r="N240" i="1"/>
  <c r="O240" i="1"/>
  <c r="H241" i="1"/>
  <c r="L241" i="1"/>
  <c r="N241" i="1"/>
  <c r="O241" i="1"/>
  <c r="H242" i="1"/>
  <c r="L242" i="1"/>
  <c r="N242" i="1"/>
  <c r="O242" i="1"/>
  <c r="H243" i="1"/>
  <c r="L243" i="1"/>
  <c r="N243" i="1"/>
  <c r="O243" i="1"/>
  <c r="H244" i="1"/>
  <c r="L244" i="1"/>
  <c r="N244" i="1"/>
  <c r="O244" i="1"/>
  <c r="H245" i="1"/>
  <c r="L245" i="1"/>
  <c r="N245" i="1"/>
  <c r="O245" i="1"/>
  <c r="H246" i="1"/>
  <c r="L246" i="1"/>
  <c r="N246" i="1"/>
  <c r="O246" i="1"/>
  <c r="H247" i="1"/>
  <c r="L247" i="1"/>
  <c r="N247" i="1"/>
  <c r="O247" i="1"/>
  <c r="H248" i="1"/>
  <c r="L248" i="1"/>
  <c r="N248" i="1"/>
  <c r="O248" i="1"/>
  <c r="H249" i="1"/>
  <c r="L249" i="1"/>
  <c r="N249" i="1"/>
  <c r="O249" i="1"/>
  <c r="H250" i="1"/>
  <c r="L250" i="1"/>
  <c r="N250" i="1"/>
  <c r="O250" i="1"/>
  <c r="H251" i="1"/>
  <c r="L251" i="1"/>
  <c r="N251" i="1"/>
  <c r="O251" i="1"/>
  <c r="H252" i="1"/>
  <c r="L252" i="1"/>
  <c r="N252" i="1"/>
  <c r="O252" i="1"/>
  <c r="H253" i="1"/>
  <c r="L253" i="1"/>
  <c r="N253" i="1"/>
  <c r="O253" i="1"/>
  <c r="H254" i="1"/>
  <c r="L254" i="1"/>
  <c r="N254" i="1"/>
  <c r="O254" i="1"/>
  <c r="H255" i="1"/>
  <c r="L255" i="1"/>
  <c r="N255" i="1"/>
  <c r="O255" i="1"/>
  <c r="H256" i="1"/>
  <c r="L256" i="1"/>
  <c r="N256" i="1"/>
  <c r="O256" i="1"/>
  <c r="H257" i="1"/>
  <c r="L257" i="1"/>
  <c r="N257" i="1"/>
  <c r="O257" i="1"/>
  <c r="H258" i="1"/>
  <c r="L258" i="1"/>
  <c r="N258" i="1"/>
  <c r="O258" i="1"/>
  <c r="H259" i="1"/>
  <c r="L259" i="1"/>
  <c r="N259" i="1"/>
  <c r="O259" i="1"/>
  <c r="H260" i="1"/>
  <c r="L260" i="1"/>
  <c r="N260" i="1"/>
  <c r="O260" i="1"/>
  <c r="H261" i="1"/>
  <c r="L261" i="1"/>
  <c r="N261" i="1"/>
  <c r="O261" i="1"/>
  <c r="H262" i="1"/>
  <c r="L262" i="1"/>
  <c r="N262" i="1"/>
  <c r="O262" i="1"/>
  <c r="H263" i="1"/>
  <c r="L263" i="1"/>
  <c r="N263" i="1"/>
  <c r="O263" i="1"/>
  <c r="H264" i="1"/>
  <c r="L264" i="1"/>
  <c r="N264" i="1"/>
  <c r="O264" i="1"/>
  <c r="H265" i="1"/>
  <c r="L265" i="1"/>
  <c r="N265" i="1"/>
  <c r="O265" i="1"/>
  <c r="H266" i="1"/>
  <c r="L266" i="1"/>
  <c r="N266" i="1"/>
  <c r="O266" i="1"/>
  <c r="H267" i="1"/>
  <c r="L267" i="1"/>
  <c r="N267" i="1"/>
  <c r="O267" i="1"/>
  <c r="H268" i="1"/>
  <c r="L268" i="1"/>
  <c r="N268" i="1"/>
  <c r="O268" i="1"/>
  <c r="H269" i="1"/>
  <c r="L269" i="1"/>
  <c r="N269" i="1"/>
  <c r="O269" i="1"/>
  <c r="H270" i="1"/>
  <c r="L270" i="1"/>
  <c r="N270" i="1"/>
  <c r="O270" i="1"/>
  <c r="H271" i="1"/>
  <c r="L271" i="1"/>
  <c r="N271" i="1"/>
  <c r="O271" i="1"/>
  <c r="H272" i="1"/>
  <c r="L272" i="1"/>
  <c r="N272" i="1"/>
  <c r="O272" i="1"/>
  <c r="H273" i="1"/>
  <c r="L273" i="1"/>
  <c r="N273" i="1"/>
  <c r="O273" i="1"/>
  <c r="H274" i="1"/>
  <c r="L274" i="1"/>
  <c r="N274" i="1"/>
  <c r="O274" i="1"/>
  <c r="H275" i="1"/>
  <c r="L275" i="1"/>
  <c r="N275" i="1"/>
  <c r="O275" i="1"/>
  <c r="H276" i="1"/>
  <c r="L276" i="1"/>
  <c r="N276" i="1"/>
  <c r="O276" i="1"/>
  <c r="H277" i="1"/>
  <c r="L277" i="1"/>
  <c r="N277" i="1"/>
  <c r="O277" i="1"/>
  <c r="H278" i="1"/>
  <c r="L278" i="1"/>
  <c r="N278" i="1"/>
  <c r="O278" i="1"/>
  <c r="H279" i="1"/>
  <c r="L279" i="1"/>
  <c r="N279" i="1"/>
  <c r="O279" i="1"/>
  <c r="H280" i="1"/>
  <c r="L280" i="1"/>
  <c r="N280" i="1"/>
  <c r="O280" i="1"/>
  <c r="H281" i="1"/>
  <c r="L281" i="1"/>
  <c r="N281" i="1"/>
  <c r="O281" i="1"/>
  <c r="H282" i="1"/>
  <c r="L282" i="1"/>
  <c r="N282" i="1"/>
  <c r="O282" i="1"/>
  <c r="H283" i="1"/>
  <c r="L283" i="1"/>
  <c r="N283" i="1"/>
  <c r="O283" i="1"/>
  <c r="H284" i="1"/>
  <c r="L284" i="1"/>
  <c r="N284" i="1"/>
  <c r="O284" i="1"/>
  <c r="H285" i="1"/>
  <c r="L285" i="1"/>
  <c r="N285" i="1"/>
  <c r="O285" i="1"/>
  <c r="H286" i="1"/>
  <c r="L286" i="1"/>
  <c r="N286" i="1"/>
  <c r="O286" i="1"/>
  <c r="H287" i="1"/>
  <c r="L287" i="1"/>
  <c r="N287" i="1"/>
  <c r="O287" i="1"/>
  <c r="H288" i="1"/>
  <c r="L288" i="1"/>
  <c r="N288" i="1"/>
  <c r="O288" i="1"/>
  <c r="H289" i="1"/>
  <c r="L289" i="1"/>
  <c r="N289" i="1"/>
  <c r="O289" i="1"/>
  <c r="H291" i="1"/>
  <c r="L291" i="1"/>
  <c r="N291" i="1"/>
  <c r="O291" i="1"/>
  <c r="H292" i="1"/>
  <c r="L292" i="1"/>
  <c r="N292" i="1"/>
  <c r="O292" i="1"/>
  <c r="H293" i="1"/>
  <c r="L293" i="1"/>
  <c r="N293" i="1"/>
  <c r="O293" i="1"/>
  <c r="H294" i="1"/>
  <c r="L294" i="1"/>
  <c r="N294" i="1"/>
  <c r="O294" i="1"/>
  <c r="H295" i="1"/>
  <c r="L295" i="1"/>
  <c r="N295" i="1"/>
  <c r="O295" i="1"/>
  <c r="H296" i="1"/>
  <c r="L296" i="1"/>
  <c r="N296" i="1"/>
  <c r="O296" i="1"/>
  <c r="H297" i="1"/>
  <c r="L297" i="1"/>
  <c r="N297" i="1"/>
  <c r="O297" i="1"/>
  <c r="H298" i="1"/>
  <c r="L298" i="1"/>
  <c r="N298" i="1"/>
  <c r="O298" i="1"/>
  <c r="H299" i="1"/>
  <c r="L299" i="1"/>
  <c r="N299" i="1"/>
  <c r="O299" i="1"/>
  <c r="H300" i="1"/>
  <c r="L300" i="1"/>
  <c r="N300" i="1"/>
  <c r="O300" i="1"/>
  <c r="H301" i="1"/>
  <c r="L301" i="1"/>
  <c r="N301" i="1"/>
  <c r="O301" i="1"/>
  <c r="H302" i="1"/>
  <c r="L302" i="1"/>
  <c r="N302" i="1"/>
  <c r="O302" i="1"/>
  <c r="H303" i="1"/>
  <c r="L303" i="1"/>
  <c r="N303" i="1"/>
  <c r="O303" i="1"/>
  <c r="H304" i="1"/>
  <c r="L304" i="1"/>
  <c r="N304" i="1"/>
  <c r="O304" i="1"/>
  <c r="H305" i="1"/>
  <c r="L305" i="1"/>
  <c r="N305" i="1"/>
  <c r="O305" i="1"/>
  <c r="H306" i="1"/>
  <c r="L306" i="1"/>
  <c r="N306" i="1"/>
  <c r="O306" i="1"/>
  <c r="H307" i="1"/>
  <c r="L307" i="1"/>
  <c r="N307" i="1"/>
  <c r="O307" i="1"/>
  <c r="H308" i="1"/>
  <c r="L308" i="1"/>
  <c r="N308" i="1"/>
  <c r="O308" i="1"/>
  <c r="H309" i="1"/>
  <c r="L309" i="1"/>
  <c r="N309" i="1"/>
  <c r="O309" i="1"/>
  <c r="H310" i="1"/>
  <c r="L310" i="1"/>
  <c r="N310" i="1"/>
  <c r="O310" i="1"/>
  <c r="H311" i="1"/>
  <c r="L311" i="1"/>
  <c r="N311" i="1"/>
  <c r="O311" i="1"/>
  <c r="H313" i="1"/>
  <c r="L313" i="1"/>
  <c r="N313" i="1"/>
  <c r="O313" i="1"/>
  <c r="H314" i="1"/>
  <c r="L314" i="1"/>
  <c r="N314" i="1"/>
  <c r="O314" i="1"/>
  <c r="H315" i="1"/>
  <c r="L315" i="1"/>
  <c r="N315" i="1"/>
  <c r="O315" i="1"/>
  <c r="H316" i="1"/>
  <c r="L316" i="1"/>
  <c r="N316" i="1"/>
  <c r="O316" i="1"/>
  <c r="H317" i="1"/>
  <c r="L317" i="1"/>
  <c r="N317" i="1"/>
  <c r="O317" i="1"/>
  <c r="H318" i="1"/>
  <c r="L318" i="1"/>
  <c r="N318" i="1"/>
  <c r="O318" i="1"/>
  <c r="H319" i="1"/>
  <c r="L319" i="1"/>
  <c r="N319" i="1"/>
  <c r="O319" i="1"/>
  <c r="H320" i="1"/>
  <c r="L320" i="1"/>
  <c r="N320" i="1"/>
  <c r="O320" i="1"/>
  <c r="H321" i="1"/>
  <c r="L321" i="1"/>
  <c r="N321" i="1"/>
  <c r="O321" i="1"/>
  <c r="H322" i="1"/>
  <c r="L322" i="1"/>
  <c r="N322" i="1"/>
  <c r="O322" i="1"/>
  <c r="H323" i="1"/>
  <c r="L323" i="1"/>
  <c r="N323" i="1"/>
  <c r="O323" i="1"/>
  <c r="H324" i="1"/>
  <c r="L324" i="1"/>
  <c r="N324" i="1"/>
  <c r="O324" i="1"/>
  <c r="H325" i="1"/>
  <c r="L325" i="1"/>
  <c r="N325" i="1"/>
  <c r="O325" i="1"/>
  <c r="H326" i="1"/>
  <c r="L326" i="1"/>
  <c r="N326" i="1"/>
  <c r="O326" i="1"/>
  <c r="H327" i="1"/>
  <c r="L327" i="1"/>
  <c r="N327" i="1"/>
  <c r="O327" i="1"/>
  <c r="H328" i="1"/>
  <c r="L328" i="1"/>
  <c r="N328" i="1"/>
  <c r="O328" i="1"/>
  <c r="H329" i="1"/>
  <c r="L329" i="1"/>
  <c r="N329" i="1"/>
  <c r="O329" i="1"/>
  <c r="H330" i="1"/>
  <c r="L330" i="1"/>
  <c r="N330" i="1"/>
  <c r="O330" i="1"/>
  <c r="H331" i="1"/>
  <c r="L331" i="1"/>
  <c r="N331" i="1"/>
  <c r="O331" i="1"/>
  <c r="H332" i="1"/>
  <c r="L332" i="1"/>
  <c r="N332" i="1"/>
  <c r="O332" i="1"/>
  <c r="H333" i="1"/>
  <c r="L333" i="1"/>
  <c r="N333" i="1"/>
  <c r="O333" i="1"/>
  <c r="H334" i="1"/>
  <c r="L334" i="1"/>
  <c r="N334" i="1"/>
  <c r="O334" i="1"/>
  <c r="H335" i="1"/>
  <c r="L335" i="1"/>
  <c r="N335" i="1"/>
  <c r="O335" i="1"/>
  <c r="H336" i="1"/>
  <c r="L336" i="1"/>
  <c r="N336" i="1"/>
  <c r="O336" i="1"/>
  <c r="H337" i="1"/>
  <c r="L337" i="1"/>
  <c r="N337" i="1"/>
  <c r="O337" i="1"/>
  <c r="H338" i="1"/>
  <c r="L338" i="1"/>
  <c r="N338" i="1"/>
  <c r="O338" i="1"/>
  <c r="H339" i="1"/>
  <c r="L339" i="1"/>
  <c r="N339" i="1"/>
  <c r="O339" i="1"/>
  <c r="H340" i="1"/>
  <c r="L340" i="1"/>
  <c r="N340" i="1"/>
  <c r="O340" i="1"/>
  <c r="H341" i="1"/>
  <c r="L341" i="1"/>
  <c r="N341" i="1"/>
  <c r="O341" i="1"/>
  <c r="H342" i="1"/>
  <c r="L342" i="1"/>
  <c r="N342" i="1"/>
  <c r="O342" i="1"/>
  <c r="H343" i="1"/>
  <c r="L343" i="1"/>
  <c r="N343" i="1"/>
  <c r="O343" i="1"/>
  <c r="H344" i="1"/>
  <c r="L344" i="1"/>
  <c r="N344" i="1"/>
  <c r="O344" i="1"/>
  <c r="H345" i="1"/>
  <c r="L345" i="1"/>
  <c r="N345" i="1"/>
  <c r="O345" i="1"/>
  <c r="H346" i="1"/>
  <c r="L346" i="1"/>
  <c r="N346" i="1"/>
  <c r="O346" i="1"/>
  <c r="H347" i="1"/>
  <c r="L347" i="1"/>
  <c r="N347" i="1"/>
  <c r="O347" i="1"/>
  <c r="H348" i="1"/>
  <c r="L348" i="1"/>
  <c r="N348" i="1"/>
  <c r="O348" i="1"/>
  <c r="H349" i="1"/>
  <c r="L349" i="1"/>
  <c r="N349" i="1"/>
  <c r="O349" i="1"/>
  <c r="H350" i="1"/>
  <c r="L350" i="1"/>
  <c r="N350" i="1"/>
  <c r="O350" i="1"/>
  <c r="H351" i="1"/>
  <c r="L351" i="1"/>
  <c r="N351" i="1"/>
  <c r="O351" i="1"/>
  <c r="H352" i="1"/>
  <c r="L352" i="1"/>
  <c r="N352" i="1"/>
  <c r="O352" i="1"/>
  <c r="H354" i="1"/>
  <c r="L354" i="1"/>
  <c r="N354" i="1"/>
  <c r="O354" i="1"/>
  <c r="H355" i="1"/>
  <c r="L355" i="1"/>
  <c r="N355" i="1"/>
  <c r="O355" i="1"/>
  <c r="H357" i="1"/>
  <c r="L357" i="1"/>
  <c r="N357" i="1"/>
  <c r="O357" i="1"/>
  <c r="H358" i="1"/>
  <c r="L358" i="1"/>
  <c r="N358" i="1"/>
  <c r="O358" i="1"/>
  <c r="H359" i="1"/>
  <c r="L359" i="1"/>
  <c r="N359" i="1"/>
  <c r="O359" i="1"/>
  <c r="H360" i="1"/>
  <c r="L360" i="1"/>
  <c r="N360" i="1"/>
  <c r="O360" i="1"/>
  <c r="H361" i="1"/>
  <c r="L361" i="1"/>
  <c r="N361" i="1"/>
  <c r="O361" i="1"/>
  <c r="H362" i="1"/>
  <c r="L362" i="1"/>
  <c r="N362" i="1"/>
  <c r="O362" i="1"/>
  <c r="H363" i="1"/>
  <c r="L363" i="1"/>
  <c r="N363" i="1"/>
  <c r="O363" i="1"/>
  <c r="H364" i="1"/>
  <c r="L364" i="1"/>
  <c r="N364" i="1"/>
  <c r="O364" i="1"/>
  <c r="H365" i="1"/>
  <c r="L365" i="1"/>
  <c r="N365" i="1"/>
  <c r="O365" i="1"/>
  <c r="H366" i="1"/>
  <c r="L366" i="1"/>
  <c r="N366" i="1"/>
  <c r="O366" i="1"/>
  <c r="H367" i="1"/>
  <c r="L367" i="1"/>
  <c r="N367" i="1"/>
  <c r="O367" i="1"/>
  <c r="H368" i="1"/>
  <c r="L368" i="1"/>
  <c r="N368" i="1"/>
  <c r="O368" i="1"/>
  <c r="H369" i="1"/>
  <c r="L369" i="1"/>
  <c r="N369" i="1"/>
  <c r="O369" i="1"/>
  <c r="H370" i="1"/>
  <c r="L370" i="1"/>
  <c r="N370" i="1"/>
  <c r="O370" i="1"/>
  <c r="H371" i="1"/>
  <c r="L371" i="1"/>
  <c r="N371" i="1"/>
  <c r="O371" i="1"/>
  <c r="H372" i="1"/>
  <c r="L372" i="1"/>
  <c r="N372" i="1"/>
  <c r="O372" i="1"/>
  <c r="H373" i="1"/>
  <c r="L373" i="1"/>
  <c r="N373" i="1"/>
  <c r="O373" i="1"/>
  <c r="H374" i="1"/>
  <c r="L374" i="1"/>
  <c r="N374" i="1"/>
  <c r="O374" i="1"/>
  <c r="H375" i="1"/>
  <c r="L375" i="1"/>
  <c r="N375" i="1"/>
  <c r="O375" i="1"/>
  <c r="H376" i="1"/>
  <c r="L376" i="1"/>
  <c r="N376" i="1"/>
  <c r="O376" i="1"/>
  <c r="H377" i="1"/>
  <c r="L377" i="1"/>
  <c r="N377" i="1"/>
  <c r="O377" i="1"/>
  <c r="H378" i="1"/>
  <c r="L378" i="1"/>
  <c r="N378" i="1"/>
  <c r="O378" i="1"/>
  <c r="H379" i="1"/>
  <c r="L379" i="1"/>
  <c r="N379" i="1"/>
  <c r="O379" i="1"/>
  <c r="H380" i="1"/>
  <c r="L380" i="1"/>
  <c r="N380" i="1"/>
  <c r="O380" i="1"/>
  <c r="H381" i="1"/>
  <c r="L381" i="1"/>
  <c r="N381" i="1"/>
  <c r="O381" i="1"/>
  <c r="H382" i="1"/>
  <c r="L382" i="1"/>
  <c r="N382" i="1"/>
  <c r="O382" i="1"/>
  <c r="H383" i="1"/>
  <c r="L383" i="1"/>
  <c r="N383" i="1"/>
  <c r="O383" i="1"/>
  <c r="H384" i="1"/>
  <c r="L384" i="1"/>
  <c r="N384" i="1"/>
  <c r="O384" i="1"/>
  <c r="H385" i="1"/>
  <c r="L385" i="1"/>
  <c r="N385" i="1"/>
  <c r="O385" i="1"/>
  <c r="H386" i="1"/>
  <c r="L386" i="1"/>
  <c r="N386" i="1"/>
  <c r="O386" i="1"/>
  <c r="H387" i="1"/>
  <c r="L387" i="1"/>
  <c r="N387" i="1"/>
  <c r="O387" i="1"/>
  <c r="H388" i="1"/>
  <c r="L388" i="1"/>
  <c r="N388" i="1"/>
  <c r="O388" i="1"/>
  <c r="H389" i="1"/>
  <c r="L389" i="1"/>
  <c r="N389" i="1"/>
  <c r="O389" i="1"/>
  <c r="H390" i="1"/>
  <c r="L390" i="1"/>
  <c r="N390" i="1"/>
  <c r="O390" i="1"/>
  <c r="H391" i="1"/>
  <c r="L391" i="1"/>
  <c r="N391" i="1"/>
  <c r="O391" i="1"/>
  <c r="H392" i="1"/>
  <c r="L392" i="1"/>
  <c r="N392" i="1"/>
  <c r="O392" i="1"/>
  <c r="H393" i="1"/>
  <c r="L393" i="1"/>
  <c r="N393" i="1"/>
  <c r="O393" i="1"/>
  <c r="H394" i="1"/>
  <c r="L394" i="1"/>
  <c r="N394" i="1"/>
  <c r="O394" i="1"/>
  <c r="H395" i="1"/>
  <c r="L395" i="1"/>
  <c r="N395" i="1"/>
  <c r="O395" i="1"/>
  <c r="H396" i="1"/>
  <c r="L396" i="1"/>
  <c r="N396" i="1"/>
  <c r="O396" i="1"/>
  <c r="H397" i="1"/>
  <c r="L397" i="1"/>
  <c r="N397" i="1"/>
  <c r="O397" i="1"/>
  <c r="H398" i="1"/>
  <c r="L398" i="1"/>
  <c r="N398" i="1"/>
  <c r="O398" i="1"/>
  <c r="H399" i="1"/>
  <c r="L399" i="1"/>
  <c r="N399" i="1"/>
  <c r="O399" i="1"/>
  <c r="H400" i="1"/>
  <c r="L400" i="1"/>
  <c r="N400" i="1"/>
  <c r="O400" i="1"/>
  <c r="H401" i="1"/>
  <c r="L401" i="1"/>
  <c r="N401" i="1"/>
  <c r="O401" i="1"/>
  <c r="H402" i="1"/>
  <c r="L402" i="1"/>
  <c r="N402" i="1"/>
  <c r="O402" i="1"/>
  <c r="H403" i="1"/>
  <c r="L403" i="1"/>
  <c r="N403" i="1"/>
  <c r="O403" i="1"/>
  <c r="H404" i="1"/>
  <c r="L404" i="1"/>
  <c r="N404" i="1"/>
  <c r="O404" i="1"/>
  <c r="H405" i="1"/>
  <c r="L405" i="1"/>
  <c r="N405" i="1"/>
  <c r="O405" i="1"/>
  <c r="H406" i="1"/>
  <c r="L406" i="1"/>
  <c r="N406" i="1"/>
  <c r="O406" i="1"/>
  <c r="H407" i="1"/>
  <c r="L407" i="1"/>
  <c r="N407" i="1"/>
  <c r="O407" i="1"/>
  <c r="H408" i="1"/>
  <c r="L408" i="1"/>
  <c r="N408" i="1"/>
  <c r="O408" i="1"/>
  <c r="H409" i="1"/>
  <c r="L409" i="1"/>
  <c r="N409" i="1"/>
  <c r="O409" i="1"/>
  <c r="H410" i="1"/>
  <c r="L410" i="1"/>
  <c r="N410" i="1"/>
  <c r="O410" i="1"/>
  <c r="H411" i="1"/>
  <c r="L411" i="1"/>
  <c r="N411" i="1"/>
  <c r="O411" i="1"/>
  <c r="H412" i="1"/>
  <c r="L412" i="1"/>
  <c r="N412" i="1"/>
  <c r="O412" i="1"/>
  <c r="H413" i="1"/>
  <c r="L413" i="1"/>
  <c r="N413" i="1"/>
  <c r="O413" i="1"/>
  <c r="H414" i="1"/>
  <c r="L414" i="1"/>
  <c r="N414" i="1"/>
  <c r="O414" i="1"/>
  <c r="H415" i="1"/>
  <c r="L415" i="1"/>
  <c r="N415" i="1"/>
  <c r="O415" i="1"/>
  <c r="H416" i="1"/>
  <c r="L416" i="1"/>
  <c r="N416" i="1"/>
  <c r="O416" i="1"/>
  <c r="H417" i="1"/>
  <c r="L417" i="1"/>
  <c r="N417" i="1"/>
  <c r="O417" i="1"/>
  <c r="H418" i="1"/>
  <c r="L418" i="1"/>
  <c r="N418" i="1"/>
  <c r="O418" i="1"/>
  <c r="H419" i="1"/>
  <c r="L419" i="1"/>
  <c r="N419" i="1"/>
  <c r="O419" i="1"/>
  <c r="H420" i="1"/>
  <c r="L420" i="1"/>
  <c r="N420" i="1"/>
  <c r="O420" i="1"/>
  <c r="H421" i="1"/>
  <c r="L421" i="1"/>
  <c r="N421" i="1"/>
  <c r="O421" i="1"/>
  <c r="H422" i="1"/>
  <c r="L422" i="1"/>
  <c r="N422" i="1"/>
  <c r="O422" i="1"/>
  <c r="H423" i="1"/>
  <c r="L423" i="1"/>
  <c r="N423" i="1"/>
  <c r="O423" i="1"/>
  <c r="H424" i="1"/>
  <c r="L424" i="1"/>
  <c r="N424" i="1"/>
  <c r="O424" i="1"/>
  <c r="H425" i="1"/>
  <c r="L425" i="1"/>
  <c r="N425" i="1"/>
  <c r="O425" i="1"/>
  <c r="H426" i="1"/>
  <c r="L426" i="1"/>
  <c r="N426" i="1"/>
  <c r="O426" i="1"/>
  <c r="H427" i="1"/>
  <c r="L427" i="1"/>
  <c r="N427" i="1"/>
  <c r="O427" i="1"/>
  <c r="H428" i="1"/>
  <c r="L428" i="1"/>
  <c r="N428" i="1"/>
  <c r="O428" i="1"/>
  <c r="H429" i="1"/>
  <c r="L429" i="1"/>
  <c r="N429" i="1"/>
  <c r="O429" i="1"/>
  <c r="H430" i="1"/>
  <c r="L430" i="1"/>
  <c r="N430" i="1"/>
  <c r="O430" i="1"/>
  <c r="H431" i="1"/>
  <c r="L431" i="1"/>
  <c r="N431" i="1"/>
  <c r="O431" i="1"/>
  <c r="H432" i="1"/>
  <c r="L432" i="1"/>
  <c r="N432" i="1"/>
  <c r="O432" i="1"/>
  <c r="H433" i="1"/>
  <c r="L433" i="1"/>
  <c r="N433" i="1"/>
  <c r="O433" i="1"/>
  <c r="H435" i="1"/>
  <c r="L435" i="1"/>
  <c r="N435" i="1"/>
  <c r="O435" i="1"/>
  <c r="H436" i="1"/>
  <c r="L436" i="1"/>
  <c r="N436" i="1"/>
  <c r="O436" i="1"/>
  <c r="H437" i="1"/>
  <c r="L437" i="1"/>
  <c r="N437" i="1"/>
  <c r="O437" i="1"/>
  <c r="H438" i="1"/>
  <c r="L438" i="1"/>
  <c r="N438" i="1"/>
  <c r="O438" i="1"/>
  <c r="H439" i="1"/>
  <c r="L439" i="1"/>
  <c r="N439" i="1"/>
  <c r="O439" i="1"/>
  <c r="H440" i="1"/>
  <c r="L440" i="1"/>
  <c r="N440" i="1"/>
  <c r="O440" i="1"/>
  <c r="H441" i="1"/>
  <c r="L441" i="1"/>
  <c r="N441" i="1"/>
  <c r="O441" i="1"/>
  <c r="H442" i="1"/>
  <c r="L442" i="1"/>
  <c r="N442" i="1"/>
  <c r="O442" i="1"/>
  <c r="H443" i="1"/>
  <c r="L443" i="1"/>
  <c r="N443" i="1"/>
  <c r="O443" i="1"/>
  <c r="H444" i="1"/>
  <c r="L444" i="1"/>
  <c r="N444" i="1"/>
  <c r="O444" i="1"/>
  <c r="H445" i="1"/>
  <c r="L445" i="1"/>
  <c r="N445" i="1"/>
  <c r="O445" i="1"/>
  <c r="H447" i="1"/>
  <c r="L447" i="1"/>
  <c r="N447" i="1"/>
  <c r="O447" i="1"/>
  <c r="H448" i="1"/>
  <c r="L448" i="1"/>
  <c r="N448" i="1"/>
  <c r="O448" i="1"/>
  <c r="H449" i="1"/>
  <c r="L449" i="1"/>
  <c r="N449" i="1"/>
  <c r="O449" i="1"/>
  <c r="H450" i="1"/>
  <c r="L450" i="1"/>
  <c r="N450" i="1"/>
  <c r="O450" i="1"/>
  <c r="H451" i="1"/>
  <c r="L451" i="1"/>
  <c r="N451" i="1"/>
  <c r="O451" i="1"/>
  <c r="H452" i="1"/>
  <c r="L452" i="1"/>
  <c r="N452" i="1"/>
  <c r="O452" i="1"/>
  <c r="H453" i="1"/>
  <c r="L453" i="1"/>
  <c r="N453" i="1"/>
  <c r="O453" i="1"/>
  <c r="H454" i="1"/>
  <c r="L454" i="1"/>
  <c r="N454" i="1"/>
  <c r="O454" i="1"/>
  <c r="H455" i="1"/>
  <c r="L455" i="1"/>
  <c r="N455" i="1"/>
  <c r="O455" i="1"/>
  <c r="H456" i="1"/>
  <c r="L456" i="1"/>
  <c r="N456" i="1"/>
  <c r="O456" i="1"/>
  <c r="H457" i="1"/>
  <c r="L457" i="1"/>
  <c r="N457" i="1"/>
  <c r="O457" i="1"/>
  <c r="H458" i="1"/>
  <c r="L458" i="1"/>
  <c r="N458" i="1"/>
  <c r="O458" i="1"/>
  <c r="H459" i="1"/>
  <c r="L459" i="1"/>
  <c r="N459" i="1"/>
  <c r="O459" i="1"/>
  <c r="H460" i="1"/>
  <c r="L460" i="1"/>
  <c r="N460" i="1"/>
  <c r="O460" i="1"/>
  <c r="H461" i="1"/>
  <c r="L461" i="1"/>
  <c r="N461" i="1"/>
  <c r="O461" i="1"/>
  <c r="H462" i="1"/>
  <c r="L462" i="1"/>
  <c r="N462" i="1"/>
  <c r="O462" i="1"/>
  <c r="H463" i="1"/>
  <c r="L463" i="1"/>
  <c r="N463" i="1"/>
  <c r="O463" i="1"/>
  <c r="H464" i="1"/>
  <c r="L464" i="1"/>
  <c r="N464" i="1"/>
  <c r="O464" i="1"/>
  <c r="H465" i="1"/>
  <c r="L465" i="1"/>
  <c r="N465" i="1"/>
  <c r="O465" i="1"/>
  <c r="H466" i="1"/>
  <c r="L466" i="1"/>
  <c r="N466" i="1"/>
  <c r="O466" i="1"/>
  <c r="H467" i="1"/>
  <c r="L467" i="1"/>
  <c r="N467" i="1"/>
  <c r="O467" i="1"/>
  <c r="H468" i="1"/>
  <c r="L468" i="1"/>
  <c r="N468" i="1"/>
  <c r="O468" i="1"/>
  <c r="H469" i="1"/>
  <c r="L469" i="1"/>
  <c r="N469" i="1"/>
  <c r="O469" i="1"/>
  <c r="H470" i="1"/>
  <c r="L470" i="1"/>
  <c r="N470" i="1"/>
  <c r="O470" i="1"/>
  <c r="H471" i="1"/>
  <c r="L471" i="1"/>
  <c r="N471" i="1"/>
  <c r="O471" i="1"/>
  <c r="H472" i="1"/>
  <c r="L472" i="1"/>
  <c r="N472" i="1"/>
  <c r="O472" i="1"/>
  <c r="H473" i="1"/>
  <c r="L473" i="1"/>
  <c r="N473" i="1"/>
  <c r="O473" i="1"/>
  <c r="H474" i="1"/>
  <c r="L474" i="1"/>
  <c r="N474" i="1"/>
  <c r="O474" i="1"/>
  <c r="H475" i="1"/>
  <c r="L475" i="1"/>
  <c r="N475" i="1"/>
  <c r="O475" i="1"/>
  <c r="H476" i="1"/>
  <c r="L476" i="1"/>
  <c r="N476" i="1"/>
  <c r="O476" i="1"/>
  <c r="H477" i="1"/>
  <c r="L477" i="1"/>
  <c r="N477" i="1"/>
  <c r="O477" i="1"/>
  <c r="H478" i="1"/>
  <c r="L478" i="1"/>
  <c r="N478" i="1"/>
  <c r="O478" i="1"/>
  <c r="H479" i="1"/>
  <c r="L479" i="1"/>
  <c r="N479" i="1"/>
  <c r="O479" i="1"/>
  <c r="H480" i="1"/>
  <c r="L480" i="1"/>
  <c r="N480" i="1"/>
  <c r="O480" i="1"/>
  <c r="H481" i="1"/>
  <c r="L481" i="1"/>
  <c r="N481" i="1"/>
  <c r="O481" i="1"/>
  <c r="H482" i="1"/>
  <c r="L482" i="1"/>
  <c r="N482" i="1"/>
  <c r="O482" i="1"/>
  <c r="H483" i="1"/>
  <c r="L483" i="1"/>
  <c r="N483" i="1"/>
  <c r="O483" i="1"/>
  <c r="H484" i="1"/>
  <c r="L484" i="1"/>
  <c r="N484" i="1"/>
  <c r="O484" i="1"/>
  <c r="H485" i="1"/>
  <c r="L485" i="1"/>
  <c r="N485" i="1"/>
  <c r="O485" i="1"/>
  <c r="H486" i="1"/>
  <c r="L486" i="1"/>
  <c r="N486" i="1"/>
  <c r="O486" i="1"/>
  <c r="H487" i="1"/>
  <c r="L487" i="1"/>
  <c r="N487" i="1"/>
  <c r="O487" i="1"/>
  <c r="H488" i="1"/>
  <c r="L488" i="1"/>
  <c r="N488" i="1"/>
  <c r="O488" i="1"/>
  <c r="H489" i="1"/>
  <c r="L489" i="1"/>
  <c r="N489" i="1"/>
  <c r="O489" i="1"/>
  <c r="H490" i="1"/>
  <c r="L490" i="1"/>
  <c r="N490" i="1"/>
  <c r="O490" i="1"/>
  <c r="H491" i="1"/>
  <c r="L491" i="1"/>
  <c r="N491" i="1"/>
  <c r="O491" i="1"/>
  <c r="H492" i="1"/>
  <c r="L492" i="1"/>
  <c r="N492" i="1"/>
  <c r="O492" i="1"/>
  <c r="H493" i="1"/>
  <c r="L493" i="1"/>
  <c r="N493" i="1"/>
  <c r="O493" i="1"/>
  <c r="H494" i="1"/>
  <c r="L494" i="1"/>
  <c r="N494" i="1"/>
  <c r="O494" i="1"/>
  <c r="H495" i="1"/>
  <c r="L495" i="1"/>
  <c r="N495" i="1"/>
  <c r="O495" i="1"/>
  <c r="H496" i="1"/>
  <c r="L496" i="1"/>
  <c r="N496" i="1"/>
  <c r="O496" i="1"/>
  <c r="H497" i="1"/>
  <c r="L497" i="1"/>
  <c r="N497" i="1"/>
  <c r="O497" i="1"/>
  <c r="H498" i="1"/>
  <c r="L498" i="1"/>
  <c r="N498" i="1"/>
  <c r="O498" i="1"/>
  <c r="H499" i="1"/>
  <c r="L499" i="1"/>
  <c r="N499" i="1"/>
  <c r="O499" i="1"/>
  <c r="H500" i="1"/>
  <c r="L500" i="1"/>
  <c r="N500" i="1"/>
  <c r="O500" i="1"/>
  <c r="H501" i="1"/>
  <c r="L501" i="1"/>
  <c r="N501" i="1"/>
  <c r="O501" i="1"/>
  <c r="H502" i="1"/>
  <c r="L502" i="1"/>
  <c r="N502" i="1"/>
  <c r="O502" i="1"/>
  <c r="H503" i="1"/>
  <c r="L503" i="1"/>
  <c r="N503" i="1"/>
  <c r="O503" i="1"/>
  <c r="H504" i="1"/>
  <c r="L504" i="1"/>
  <c r="N504" i="1"/>
  <c r="O504" i="1"/>
  <c r="H505" i="1"/>
  <c r="L505" i="1"/>
  <c r="N505" i="1"/>
  <c r="O505" i="1"/>
  <c r="H506" i="1"/>
  <c r="L506" i="1"/>
  <c r="N506" i="1"/>
  <c r="O506" i="1"/>
  <c r="H507" i="1"/>
  <c r="L507" i="1"/>
  <c r="N507" i="1"/>
  <c r="O507" i="1"/>
  <c r="H508" i="1"/>
  <c r="L508" i="1"/>
  <c r="N508" i="1"/>
  <c r="O508" i="1"/>
  <c r="H509" i="1"/>
  <c r="L509" i="1"/>
  <c r="N509" i="1"/>
  <c r="O509" i="1"/>
  <c r="H510" i="1"/>
  <c r="L510" i="1"/>
  <c r="N510" i="1"/>
  <c r="O510" i="1"/>
  <c r="H511" i="1"/>
  <c r="L511" i="1"/>
  <c r="N511" i="1"/>
  <c r="O511" i="1"/>
  <c r="H512" i="1"/>
  <c r="L512" i="1"/>
  <c r="N512" i="1"/>
  <c r="O512" i="1"/>
  <c r="H513" i="1"/>
  <c r="L513" i="1"/>
  <c r="N513" i="1"/>
  <c r="O513" i="1"/>
  <c r="H514" i="1"/>
  <c r="L514" i="1"/>
  <c r="N514" i="1"/>
  <c r="O514" i="1"/>
  <c r="H515" i="1"/>
  <c r="L515" i="1"/>
  <c r="N515" i="1"/>
  <c r="O515" i="1"/>
  <c r="H516" i="1"/>
  <c r="L516" i="1"/>
  <c r="N516" i="1"/>
  <c r="O516" i="1"/>
  <c r="H517" i="1"/>
  <c r="L517" i="1"/>
  <c r="N517" i="1"/>
  <c r="O517" i="1"/>
  <c r="H518" i="1"/>
  <c r="L518" i="1"/>
  <c r="N518" i="1"/>
  <c r="O518" i="1"/>
  <c r="H519" i="1"/>
  <c r="L519" i="1"/>
  <c r="N519" i="1"/>
  <c r="O519" i="1"/>
  <c r="H520" i="1"/>
  <c r="L520" i="1"/>
  <c r="N520" i="1"/>
  <c r="O520" i="1"/>
  <c r="H521" i="1"/>
  <c r="L521" i="1"/>
  <c r="N521" i="1"/>
  <c r="O521" i="1"/>
  <c r="H522" i="1"/>
  <c r="L522" i="1"/>
  <c r="N522" i="1"/>
  <c r="O522" i="1"/>
  <c r="H523" i="1"/>
  <c r="L523" i="1"/>
  <c r="N523" i="1"/>
  <c r="O523" i="1"/>
  <c r="H524" i="1"/>
  <c r="L524" i="1"/>
  <c r="N524" i="1"/>
  <c r="O524" i="1"/>
  <c r="H525" i="1"/>
  <c r="L525" i="1"/>
  <c r="N525" i="1"/>
  <c r="O525" i="1"/>
  <c r="H526" i="1"/>
  <c r="L526" i="1"/>
  <c r="N526" i="1"/>
  <c r="O526" i="1"/>
  <c r="H527" i="1"/>
  <c r="L527" i="1"/>
  <c r="N527" i="1"/>
  <c r="O527" i="1"/>
  <c r="H528" i="1"/>
  <c r="L528" i="1"/>
  <c r="N528" i="1"/>
  <c r="O528" i="1"/>
  <c r="H529" i="1"/>
  <c r="L529" i="1"/>
  <c r="N529" i="1"/>
  <c r="O529" i="1"/>
  <c r="H530" i="1"/>
  <c r="L530" i="1"/>
  <c r="N530" i="1"/>
  <c r="O530" i="1"/>
  <c r="H531" i="1"/>
  <c r="L531" i="1"/>
  <c r="N531" i="1"/>
  <c r="O531" i="1"/>
  <c r="H532" i="1"/>
  <c r="L532" i="1"/>
  <c r="N532" i="1"/>
  <c r="O532" i="1"/>
  <c r="H533" i="1"/>
  <c r="L533" i="1"/>
  <c r="N533" i="1"/>
  <c r="O533" i="1"/>
  <c r="H534" i="1"/>
  <c r="L534" i="1"/>
  <c r="N534" i="1"/>
  <c r="O534" i="1"/>
  <c r="H535" i="1"/>
  <c r="L535" i="1"/>
  <c r="N535" i="1"/>
  <c r="O535" i="1"/>
  <c r="H536" i="1"/>
  <c r="L536" i="1"/>
  <c r="N536" i="1"/>
  <c r="O536" i="1"/>
  <c r="H537" i="1"/>
  <c r="L537" i="1"/>
  <c r="N537" i="1"/>
  <c r="O537" i="1"/>
  <c r="H538" i="1"/>
  <c r="L538" i="1"/>
  <c r="N538" i="1"/>
  <c r="O538" i="1"/>
  <c r="H540" i="1"/>
  <c r="L540" i="1"/>
  <c r="N540" i="1"/>
  <c r="O540" i="1"/>
  <c r="H541" i="1"/>
  <c r="L541" i="1"/>
  <c r="N541" i="1"/>
  <c r="O541" i="1"/>
  <c r="H542" i="1"/>
  <c r="L542" i="1"/>
  <c r="N542" i="1"/>
  <c r="O542" i="1"/>
  <c r="H543" i="1"/>
  <c r="L543" i="1"/>
  <c r="N543" i="1"/>
  <c r="O543" i="1"/>
  <c r="H544" i="1"/>
  <c r="L544" i="1"/>
  <c r="N544" i="1"/>
  <c r="O544" i="1"/>
  <c r="H545" i="1"/>
  <c r="L545" i="1"/>
  <c r="N545" i="1"/>
  <c r="O545" i="1"/>
  <c r="H546" i="1"/>
  <c r="L546" i="1"/>
  <c r="N546" i="1"/>
  <c r="O546" i="1"/>
  <c r="H547" i="1"/>
  <c r="L547" i="1"/>
  <c r="N547" i="1"/>
  <c r="O547" i="1"/>
  <c r="H548" i="1"/>
  <c r="L548" i="1"/>
  <c r="N548" i="1"/>
  <c r="O548" i="1"/>
  <c r="H549" i="1"/>
  <c r="L549" i="1"/>
  <c r="N549" i="1"/>
  <c r="O549" i="1"/>
  <c r="H550" i="1"/>
  <c r="L550" i="1"/>
  <c r="N550" i="1"/>
  <c r="O550" i="1"/>
  <c r="H551" i="1"/>
  <c r="L551" i="1"/>
  <c r="N551" i="1"/>
  <c r="O551" i="1"/>
  <c r="H552" i="1"/>
  <c r="L552" i="1"/>
  <c r="N552" i="1"/>
  <c r="O552" i="1"/>
  <c r="H553" i="1"/>
  <c r="L553" i="1"/>
  <c r="N553" i="1"/>
  <c r="O553" i="1"/>
  <c r="H554" i="1"/>
  <c r="L554" i="1"/>
  <c r="N554" i="1"/>
  <c r="O554" i="1"/>
  <c r="H555" i="1"/>
  <c r="L555" i="1"/>
  <c r="N555" i="1"/>
  <c r="O555" i="1"/>
  <c r="H556" i="1"/>
  <c r="L556" i="1"/>
  <c r="N556" i="1"/>
  <c r="O556" i="1"/>
  <c r="H557" i="1"/>
  <c r="L557" i="1"/>
  <c r="N557" i="1"/>
  <c r="O557" i="1"/>
  <c r="H558" i="1"/>
  <c r="L558" i="1"/>
  <c r="N558" i="1"/>
  <c r="O558" i="1"/>
  <c r="H560" i="1"/>
  <c r="L560" i="1"/>
  <c r="N560" i="1"/>
  <c r="O560" i="1"/>
  <c r="H561" i="1"/>
  <c r="L561" i="1"/>
  <c r="N561" i="1"/>
  <c r="O561" i="1"/>
  <c r="H562" i="1"/>
  <c r="L562" i="1"/>
  <c r="N562" i="1"/>
  <c r="O562" i="1"/>
  <c r="H563" i="1"/>
  <c r="L563" i="1"/>
  <c r="N563" i="1"/>
  <c r="O563" i="1"/>
  <c r="H564" i="1"/>
  <c r="L564" i="1"/>
  <c r="N564" i="1"/>
  <c r="O564" i="1"/>
  <c r="H565" i="1"/>
  <c r="L565" i="1"/>
  <c r="N565" i="1"/>
  <c r="O565" i="1"/>
  <c r="H566" i="1"/>
  <c r="L566" i="1"/>
  <c r="N566" i="1"/>
  <c r="O566" i="1"/>
  <c r="H567" i="1"/>
  <c r="L567" i="1"/>
  <c r="N567" i="1"/>
  <c r="O567" i="1"/>
  <c r="H568" i="1"/>
  <c r="L568" i="1"/>
  <c r="N568" i="1"/>
  <c r="O568" i="1"/>
  <c r="H569" i="1"/>
  <c r="L569" i="1"/>
  <c r="N569" i="1"/>
  <c r="O569" i="1"/>
  <c r="H570" i="1"/>
  <c r="L570" i="1"/>
  <c r="N570" i="1"/>
  <c r="O570" i="1"/>
  <c r="H571" i="1"/>
  <c r="L571" i="1"/>
  <c r="N571" i="1"/>
  <c r="O571" i="1"/>
  <c r="H572" i="1"/>
  <c r="L572" i="1"/>
  <c r="N572" i="1"/>
  <c r="O572" i="1"/>
  <c r="H573" i="1"/>
  <c r="L573" i="1"/>
  <c r="N573" i="1"/>
  <c r="O573" i="1"/>
  <c r="H574" i="1"/>
  <c r="L574" i="1"/>
  <c r="N574" i="1"/>
  <c r="O574" i="1"/>
  <c r="H575" i="1"/>
  <c r="L575" i="1"/>
  <c r="N575" i="1"/>
  <c r="O575" i="1"/>
  <c r="H576" i="1"/>
  <c r="L576" i="1"/>
  <c r="N576" i="1"/>
  <c r="O576" i="1"/>
  <c r="H577" i="1"/>
  <c r="L577" i="1"/>
  <c r="N577" i="1"/>
  <c r="O577" i="1"/>
  <c r="H578" i="1"/>
  <c r="L578" i="1"/>
  <c r="N578" i="1"/>
  <c r="O578" i="1"/>
  <c r="H579" i="1"/>
  <c r="L579" i="1"/>
  <c r="N579" i="1"/>
  <c r="O579" i="1"/>
  <c r="H580" i="1"/>
  <c r="L580" i="1"/>
  <c r="N580" i="1"/>
  <c r="O580" i="1"/>
  <c r="H581" i="1"/>
  <c r="L581" i="1"/>
  <c r="N581" i="1"/>
  <c r="O581" i="1"/>
  <c r="H582" i="1"/>
  <c r="L582" i="1"/>
  <c r="N582" i="1"/>
  <c r="O582" i="1"/>
  <c r="H583" i="1"/>
  <c r="L583" i="1"/>
  <c r="N583" i="1"/>
  <c r="O583" i="1"/>
  <c r="H584" i="1"/>
  <c r="L584" i="1"/>
  <c r="N584" i="1"/>
  <c r="O584" i="1"/>
  <c r="H585" i="1"/>
  <c r="L585" i="1"/>
  <c r="N585" i="1"/>
  <c r="O585" i="1"/>
  <c r="H586" i="1"/>
  <c r="L586" i="1"/>
  <c r="N586" i="1"/>
  <c r="O586" i="1"/>
  <c r="H587" i="1"/>
  <c r="L587" i="1"/>
  <c r="N587" i="1"/>
  <c r="O587" i="1"/>
  <c r="H588" i="1"/>
  <c r="L588" i="1"/>
  <c r="N588" i="1"/>
  <c r="O588" i="1"/>
  <c r="H589" i="1"/>
  <c r="L589" i="1"/>
  <c r="N589" i="1"/>
  <c r="O589" i="1"/>
  <c r="H590" i="1"/>
  <c r="L590" i="1"/>
  <c r="N590" i="1"/>
  <c r="O590" i="1"/>
  <c r="H591" i="1"/>
  <c r="L591" i="1"/>
  <c r="N591" i="1"/>
  <c r="O591" i="1"/>
  <c r="H592" i="1"/>
  <c r="L592" i="1"/>
  <c r="N592" i="1"/>
  <c r="O592" i="1"/>
  <c r="H593" i="1"/>
  <c r="L593" i="1"/>
  <c r="N593" i="1"/>
  <c r="O593" i="1"/>
  <c r="H594" i="1"/>
  <c r="L594" i="1"/>
  <c r="N594" i="1"/>
  <c r="O594" i="1"/>
  <c r="H595" i="1"/>
  <c r="L595" i="1"/>
  <c r="N595" i="1"/>
  <c r="O595" i="1"/>
  <c r="H596" i="1"/>
  <c r="L596" i="1"/>
  <c r="N596" i="1"/>
  <c r="O596" i="1"/>
  <c r="H597" i="1"/>
  <c r="L597" i="1"/>
  <c r="N597" i="1"/>
  <c r="O597" i="1"/>
  <c r="H598" i="1"/>
  <c r="L598" i="1"/>
  <c r="N598" i="1"/>
  <c r="O598" i="1"/>
  <c r="H599" i="1"/>
  <c r="L599" i="1"/>
  <c r="N599" i="1"/>
  <c r="O599" i="1"/>
  <c r="H600" i="1"/>
  <c r="L600" i="1"/>
  <c r="N600" i="1"/>
  <c r="O600" i="1"/>
  <c r="H601" i="1"/>
  <c r="L601" i="1"/>
  <c r="N601" i="1"/>
  <c r="O601" i="1"/>
  <c r="H602" i="1"/>
  <c r="L602" i="1"/>
  <c r="N602" i="1"/>
  <c r="O602" i="1"/>
  <c r="H603" i="1"/>
  <c r="L603" i="1"/>
  <c r="N603" i="1"/>
  <c r="O603" i="1"/>
  <c r="H604" i="1"/>
  <c r="L604" i="1"/>
  <c r="N604" i="1"/>
  <c r="O604" i="1"/>
  <c r="H605" i="1"/>
  <c r="L605" i="1"/>
  <c r="N605" i="1"/>
  <c r="O605" i="1"/>
  <c r="H606" i="1"/>
  <c r="L606" i="1"/>
  <c r="N606" i="1"/>
  <c r="O606" i="1"/>
  <c r="H607" i="1"/>
  <c r="L607" i="1"/>
  <c r="N607" i="1"/>
  <c r="O607" i="1"/>
  <c r="H608" i="1"/>
  <c r="L608" i="1"/>
  <c r="N608" i="1"/>
  <c r="O608" i="1"/>
  <c r="H609" i="1"/>
  <c r="L609" i="1"/>
  <c r="N609" i="1"/>
  <c r="O609" i="1"/>
  <c r="H610" i="1"/>
  <c r="L610" i="1"/>
  <c r="N610" i="1"/>
  <c r="O610" i="1"/>
  <c r="H611" i="1"/>
  <c r="L611" i="1"/>
  <c r="N611" i="1"/>
  <c r="O611" i="1"/>
  <c r="H612" i="1"/>
  <c r="L612" i="1"/>
  <c r="N612" i="1"/>
  <c r="O612" i="1"/>
  <c r="H613" i="1"/>
  <c r="L613" i="1"/>
  <c r="N613" i="1"/>
  <c r="O613" i="1"/>
  <c r="H614" i="1"/>
  <c r="L614" i="1"/>
  <c r="N614" i="1"/>
  <c r="O614" i="1"/>
  <c r="H615" i="1"/>
  <c r="L615" i="1"/>
  <c r="N615" i="1"/>
  <c r="O615" i="1"/>
  <c r="H616" i="1"/>
  <c r="L616" i="1"/>
  <c r="N616" i="1"/>
  <c r="O616" i="1"/>
  <c r="H617" i="1"/>
  <c r="L617" i="1"/>
  <c r="N617" i="1"/>
  <c r="O617" i="1"/>
  <c r="H618" i="1"/>
  <c r="L618" i="1"/>
  <c r="N618" i="1"/>
  <c r="O618" i="1"/>
  <c r="H619" i="1"/>
  <c r="L619" i="1"/>
  <c r="N619" i="1"/>
  <c r="O619" i="1"/>
  <c r="H621" i="1"/>
  <c r="L621" i="1"/>
  <c r="N621" i="1"/>
  <c r="O621" i="1"/>
  <c r="H622" i="1"/>
  <c r="L622" i="1"/>
  <c r="N622" i="1"/>
  <c r="O622" i="1"/>
  <c r="H623" i="1"/>
  <c r="L623" i="1"/>
  <c r="N623" i="1"/>
  <c r="O623" i="1"/>
  <c r="H624" i="1"/>
  <c r="L624" i="1"/>
  <c r="N624" i="1"/>
  <c r="O624" i="1"/>
  <c r="H625" i="1"/>
  <c r="L625" i="1"/>
  <c r="N625" i="1"/>
  <c r="O625" i="1"/>
  <c r="H626" i="1"/>
  <c r="L626" i="1"/>
  <c r="N626" i="1"/>
  <c r="O626" i="1"/>
  <c r="H627" i="1"/>
  <c r="L627" i="1"/>
  <c r="N627" i="1"/>
  <c r="O627" i="1"/>
  <c r="H628" i="1"/>
  <c r="L628" i="1"/>
  <c r="N628" i="1"/>
  <c r="O628" i="1"/>
  <c r="H629" i="1"/>
  <c r="L629" i="1"/>
  <c r="N629" i="1"/>
  <c r="O629" i="1"/>
  <c r="H630" i="1"/>
  <c r="L630" i="1"/>
  <c r="N630" i="1"/>
  <c r="O630" i="1"/>
  <c r="H631" i="1"/>
  <c r="L631" i="1"/>
  <c r="N631" i="1"/>
  <c r="O631" i="1"/>
  <c r="H632" i="1"/>
  <c r="L632" i="1"/>
  <c r="N632" i="1"/>
  <c r="O632" i="1"/>
  <c r="H633" i="1"/>
  <c r="L633" i="1"/>
  <c r="N633" i="1"/>
  <c r="O633" i="1"/>
  <c r="H634" i="1"/>
  <c r="L634" i="1"/>
  <c r="N634" i="1"/>
  <c r="O634" i="1"/>
  <c r="H635" i="1"/>
  <c r="L635" i="1"/>
  <c r="N635" i="1"/>
  <c r="O635" i="1"/>
  <c r="H636" i="1"/>
  <c r="L636" i="1"/>
  <c r="N636" i="1"/>
  <c r="O636" i="1"/>
  <c r="H637" i="1"/>
  <c r="L637" i="1"/>
  <c r="N637" i="1"/>
  <c r="O637" i="1"/>
  <c r="H638" i="1"/>
  <c r="L638" i="1"/>
  <c r="N638" i="1"/>
  <c r="O638" i="1"/>
  <c r="H639" i="1"/>
  <c r="L639" i="1"/>
  <c r="N639" i="1"/>
  <c r="O639" i="1"/>
  <c r="H640" i="1"/>
  <c r="L640" i="1"/>
  <c r="N640" i="1"/>
  <c r="O640" i="1"/>
  <c r="H641" i="1"/>
  <c r="L641" i="1"/>
  <c r="N641" i="1"/>
  <c r="O641" i="1"/>
  <c r="H642" i="1"/>
  <c r="L642" i="1"/>
  <c r="N642" i="1"/>
  <c r="O642" i="1"/>
  <c r="H643" i="1"/>
  <c r="L643" i="1"/>
  <c r="N643" i="1"/>
  <c r="O643" i="1"/>
  <c r="H645" i="1"/>
  <c r="L645" i="1"/>
  <c r="N645" i="1"/>
  <c r="O645" i="1"/>
  <c r="H646" i="1"/>
  <c r="L646" i="1"/>
  <c r="N646" i="1"/>
  <c r="O646" i="1"/>
  <c r="H647" i="1"/>
  <c r="L647" i="1"/>
  <c r="N647" i="1"/>
  <c r="O647" i="1"/>
  <c r="H648" i="1"/>
  <c r="L648" i="1"/>
  <c r="N648" i="1"/>
  <c r="O648" i="1"/>
  <c r="H649" i="1"/>
  <c r="L649" i="1"/>
  <c r="N649" i="1"/>
  <c r="O649" i="1"/>
  <c r="H650" i="1"/>
  <c r="L650" i="1"/>
  <c r="N650" i="1"/>
  <c r="O650" i="1"/>
  <c r="H651" i="1"/>
  <c r="L651" i="1"/>
  <c r="N651" i="1"/>
  <c r="O651" i="1"/>
  <c r="H653" i="1"/>
  <c r="L653" i="1"/>
  <c r="N653" i="1"/>
  <c r="O653" i="1"/>
  <c r="H654" i="1"/>
  <c r="L654" i="1"/>
  <c r="N654" i="1"/>
  <c r="O654" i="1"/>
  <c r="H655" i="1"/>
  <c r="L655" i="1"/>
  <c r="N655" i="1"/>
  <c r="O655" i="1"/>
  <c r="H656" i="1"/>
  <c r="L656" i="1"/>
  <c r="N656" i="1"/>
  <c r="O656" i="1"/>
  <c r="H657" i="1"/>
  <c r="L657" i="1"/>
  <c r="N657" i="1"/>
  <c r="O657" i="1"/>
  <c r="H658" i="1"/>
  <c r="L658" i="1"/>
  <c r="N658" i="1"/>
  <c r="O658" i="1"/>
  <c r="H659" i="1"/>
  <c r="L659" i="1"/>
  <c r="N659" i="1"/>
  <c r="O659" i="1"/>
  <c r="H660" i="1"/>
  <c r="L660" i="1"/>
  <c r="N660" i="1"/>
  <c r="O660" i="1"/>
  <c r="H661" i="1"/>
  <c r="L661" i="1"/>
  <c r="N661" i="1"/>
  <c r="O661" i="1"/>
  <c r="H662" i="1"/>
  <c r="L662" i="1"/>
  <c r="N662" i="1"/>
  <c r="O662" i="1"/>
  <c r="H663" i="1"/>
  <c r="L663" i="1"/>
  <c r="N663" i="1"/>
  <c r="O663" i="1"/>
  <c r="H664" i="1"/>
  <c r="L664" i="1"/>
  <c r="N664" i="1"/>
  <c r="O664" i="1"/>
  <c r="H665" i="1"/>
  <c r="L665" i="1"/>
  <c r="N665" i="1"/>
  <c r="O665" i="1"/>
  <c r="H666" i="1"/>
  <c r="L666" i="1"/>
  <c r="N666" i="1"/>
  <c r="O666" i="1"/>
  <c r="H667" i="1"/>
  <c r="L667" i="1"/>
  <c r="N667" i="1"/>
  <c r="O667" i="1"/>
  <c r="H668" i="1"/>
  <c r="L668" i="1"/>
  <c r="N668" i="1"/>
  <c r="O668" i="1"/>
  <c r="H669" i="1"/>
  <c r="L669" i="1"/>
  <c r="N669" i="1"/>
  <c r="O669" i="1"/>
  <c r="H670" i="1"/>
  <c r="L670" i="1"/>
  <c r="N670" i="1"/>
  <c r="O670" i="1"/>
  <c r="H671" i="1"/>
  <c r="L671" i="1"/>
  <c r="N671" i="1"/>
  <c r="O671" i="1"/>
  <c r="H672" i="1"/>
  <c r="L672" i="1"/>
  <c r="N672" i="1"/>
  <c r="O672" i="1"/>
  <c r="H673" i="1"/>
  <c r="L673" i="1"/>
  <c r="N673" i="1"/>
  <c r="O673" i="1"/>
  <c r="H674" i="1"/>
  <c r="L674" i="1"/>
  <c r="N674" i="1"/>
  <c r="O674" i="1"/>
  <c r="H675" i="1"/>
  <c r="L675" i="1"/>
  <c r="N675" i="1"/>
  <c r="O675" i="1"/>
  <c r="H676" i="1"/>
  <c r="L676" i="1"/>
  <c r="N676" i="1"/>
  <c r="O676" i="1"/>
  <c r="H677" i="1"/>
  <c r="L677" i="1"/>
  <c r="N677" i="1"/>
  <c r="O677" i="1"/>
  <c r="H678" i="1"/>
  <c r="L678" i="1"/>
  <c r="N678" i="1"/>
  <c r="O678" i="1"/>
  <c r="H680" i="1"/>
  <c r="L680" i="1"/>
  <c r="N680" i="1"/>
  <c r="O680" i="1"/>
  <c r="H681" i="1"/>
  <c r="L681" i="1"/>
  <c r="N681" i="1"/>
  <c r="O681" i="1"/>
  <c r="H682" i="1"/>
  <c r="L682" i="1"/>
  <c r="N682" i="1"/>
  <c r="O682" i="1"/>
  <c r="H683" i="1"/>
  <c r="L683" i="1"/>
  <c r="N683" i="1"/>
  <c r="O683" i="1"/>
  <c r="H684" i="1"/>
  <c r="L684" i="1"/>
  <c r="N684" i="1"/>
  <c r="O684" i="1"/>
  <c r="H685" i="1"/>
  <c r="L685" i="1"/>
  <c r="N685" i="1"/>
  <c r="O685" i="1"/>
  <c r="H686" i="1"/>
  <c r="L686" i="1"/>
  <c r="N686" i="1"/>
  <c r="O686" i="1"/>
  <c r="H687" i="1"/>
  <c r="L687" i="1"/>
  <c r="N687" i="1"/>
  <c r="O687" i="1"/>
  <c r="H688" i="1"/>
  <c r="L688" i="1"/>
  <c r="N688" i="1"/>
  <c r="O688" i="1"/>
  <c r="H689" i="1"/>
  <c r="L689" i="1"/>
  <c r="N689" i="1"/>
  <c r="O689" i="1"/>
  <c r="H690" i="1"/>
  <c r="L690" i="1"/>
  <c r="N690" i="1"/>
  <c r="O690" i="1"/>
  <c r="H691" i="1"/>
  <c r="L691" i="1"/>
  <c r="N691" i="1"/>
  <c r="O691" i="1"/>
  <c r="H692" i="1"/>
  <c r="L692" i="1"/>
  <c r="N692" i="1"/>
  <c r="O692" i="1"/>
  <c r="H693" i="1"/>
  <c r="L693" i="1"/>
  <c r="N693" i="1"/>
  <c r="O693" i="1"/>
  <c r="H694" i="1"/>
  <c r="L694" i="1"/>
  <c r="N694" i="1"/>
  <c r="O694" i="1"/>
  <c r="H695" i="1"/>
  <c r="L695" i="1"/>
  <c r="N695" i="1"/>
  <c r="O695" i="1"/>
  <c r="H696" i="1"/>
  <c r="L696" i="1"/>
  <c r="N696" i="1"/>
  <c r="O696" i="1"/>
  <c r="H697" i="1"/>
  <c r="L697" i="1"/>
  <c r="N697" i="1"/>
  <c r="O697" i="1"/>
  <c r="H698" i="1"/>
  <c r="L698" i="1"/>
  <c r="N698" i="1"/>
  <c r="O698" i="1"/>
  <c r="H699" i="1"/>
  <c r="L699" i="1"/>
  <c r="N699" i="1"/>
  <c r="O699" i="1"/>
  <c r="H700" i="1"/>
  <c r="L700" i="1"/>
  <c r="N700" i="1"/>
  <c r="O700" i="1"/>
  <c r="H701" i="1"/>
  <c r="L701" i="1"/>
  <c r="N701" i="1"/>
  <c r="O701" i="1"/>
  <c r="H702" i="1"/>
  <c r="L702" i="1"/>
  <c r="N702" i="1"/>
  <c r="O702" i="1"/>
  <c r="H703" i="1"/>
  <c r="L703" i="1"/>
  <c r="N703" i="1"/>
  <c r="O703" i="1"/>
  <c r="H704" i="1"/>
  <c r="L704" i="1"/>
  <c r="N704" i="1"/>
  <c r="O704" i="1"/>
  <c r="H705" i="1"/>
  <c r="L705" i="1"/>
  <c r="N705" i="1"/>
  <c r="O705" i="1"/>
  <c r="H706" i="1"/>
  <c r="L706" i="1"/>
  <c r="N706" i="1"/>
  <c r="O706" i="1"/>
  <c r="H707" i="1"/>
  <c r="L707" i="1"/>
  <c r="N707" i="1"/>
  <c r="O707" i="1"/>
  <c r="H708" i="1"/>
  <c r="L708" i="1"/>
  <c r="N708" i="1"/>
  <c r="O708" i="1"/>
  <c r="H709" i="1"/>
  <c r="L709" i="1"/>
  <c r="N709" i="1"/>
  <c r="O709" i="1"/>
  <c r="H710" i="1"/>
  <c r="L710" i="1"/>
  <c r="N710" i="1"/>
  <c r="O710" i="1"/>
  <c r="H711" i="1"/>
  <c r="L711" i="1"/>
  <c r="N711" i="1"/>
  <c r="O711" i="1"/>
  <c r="H712" i="1"/>
  <c r="L712" i="1"/>
  <c r="N712" i="1"/>
  <c r="O712" i="1"/>
  <c r="H713" i="1"/>
  <c r="L713" i="1"/>
  <c r="N713" i="1"/>
  <c r="O713" i="1"/>
  <c r="H714" i="1"/>
  <c r="L714" i="1"/>
  <c r="N714" i="1"/>
  <c r="O714" i="1"/>
  <c r="H715" i="1"/>
  <c r="L715" i="1"/>
  <c r="N715" i="1"/>
  <c r="O715" i="1"/>
  <c r="H716" i="1"/>
  <c r="L716" i="1"/>
  <c r="N716" i="1"/>
  <c r="O716" i="1"/>
  <c r="H717" i="1"/>
  <c r="L717" i="1"/>
  <c r="N717" i="1"/>
  <c r="O717" i="1"/>
  <c r="H718" i="1"/>
  <c r="L718" i="1"/>
  <c r="N718" i="1"/>
  <c r="O718" i="1"/>
  <c r="H719" i="1"/>
  <c r="L719" i="1"/>
  <c r="N719" i="1"/>
  <c r="O719" i="1"/>
  <c r="H720" i="1"/>
  <c r="L720" i="1"/>
  <c r="N720" i="1"/>
  <c r="O720" i="1"/>
  <c r="H721" i="1"/>
  <c r="L721" i="1"/>
  <c r="N721" i="1"/>
  <c r="O721" i="1"/>
  <c r="H722" i="1"/>
  <c r="L722" i="1"/>
  <c r="N722" i="1"/>
  <c r="O722" i="1"/>
  <c r="H723" i="1"/>
  <c r="L723" i="1"/>
  <c r="N723" i="1"/>
  <c r="O723" i="1"/>
  <c r="H724" i="1"/>
  <c r="L724" i="1"/>
  <c r="N724" i="1"/>
  <c r="O724" i="1"/>
  <c r="H725" i="1"/>
  <c r="L725" i="1"/>
  <c r="N725" i="1"/>
  <c r="O725" i="1"/>
  <c r="H726" i="1"/>
  <c r="L726" i="1"/>
  <c r="N726" i="1"/>
  <c r="O726" i="1"/>
  <c r="H727" i="1"/>
  <c r="L727" i="1"/>
  <c r="N727" i="1"/>
  <c r="O727" i="1"/>
  <c r="H728" i="1"/>
  <c r="L728" i="1"/>
  <c r="N728" i="1"/>
  <c r="O728" i="1"/>
  <c r="H729" i="1"/>
  <c r="L729" i="1"/>
  <c r="N729" i="1"/>
  <c r="O729" i="1"/>
  <c r="H730" i="1"/>
  <c r="L730" i="1"/>
  <c r="N730" i="1"/>
  <c r="O730" i="1"/>
  <c r="H731" i="1"/>
  <c r="L731" i="1"/>
  <c r="N731" i="1"/>
  <c r="O731" i="1"/>
  <c r="H732" i="1"/>
  <c r="L732" i="1"/>
  <c r="N732" i="1"/>
  <c r="O732" i="1"/>
  <c r="H733" i="1"/>
  <c r="L733" i="1"/>
  <c r="N733" i="1"/>
  <c r="O733" i="1"/>
  <c r="H734" i="1"/>
  <c r="L734" i="1"/>
  <c r="N734" i="1"/>
  <c r="O734" i="1"/>
  <c r="H735" i="1"/>
  <c r="L735" i="1"/>
  <c r="N735" i="1"/>
  <c r="O735" i="1"/>
  <c r="H736" i="1"/>
  <c r="L736" i="1"/>
  <c r="N736" i="1"/>
  <c r="O736" i="1"/>
  <c r="H737" i="1"/>
  <c r="L737" i="1"/>
  <c r="N737" i="1"/>
  <c r="O737" i="1"/>
  <c r="H738" i="1"/>
  <c r="L738" i="1"/>
  <c r="N738" i="1"/>
  <c r="O738" i="1"/>
  <c r="H739" i="1"/>
  <c r="L739" i="1"/>
  <c r="N739" i="1"/>
  <c r="O739" i="1"/>
  <c r="H740" i="1"/>
  <c r="L740" i="1"/>
  <c r="N740" i="1"/>
  <c r="O740" i="1"/>
  <c r="H741" i="1"/>
  <c r="L741" i="1"/>
  <c r="N741" i="1"/>
  <c r="O741" i="1"/>
  <c r="H742" i="1"/>
  <c r="L742" i="1"/>
  <c r="N742" i="1"/>
  <c r="O742" i="1"/>
  <c r="H743" i="1"/>
  <c r="L743" i="1"/>
  <c r="N743" i="1"/>
  <c r="O743" i="1"/>
  <c r="H744" i="1"/>
  <c r="L744" i="1"/>
  <c r="N744" i="1"/>
  <c r="O744" i="1"/>
  <c r="H745" i="1"/>
  <c r="L745" i="1"/>
  <c r="N745" i="1"/>
  <c r="O745" i="1"/>
  <c r="H746" i="1"/>
  <c r="L746" i="1"/>
  <c r="N746" i="1"/>
  <c r="O746" i="1"/>
  <c r="H747" i="1"/>
  <c r="L747" i="1"/>
  <c r="N747" i="1"/>
  <c r="O747" i="1"/>
  <c r="H748" i="1"/>
  <c r="L748" i="1"/>
  <c r="N748" i="1"/>
  <c r="O748" i="1"/>
  <c r="H749" i="1"/>
  <c r="L749" i="1"/>
  <c r="N749" i="1"/>
  <c r="O749" i="1"/>
  <c r="H750" i="1"/>
  <c r="L750" i="1"/>
  <c r="N750" i="1"/>
  <c r="O750" i="1"/>
  <c r="H751" i="1"/>
  <c r="L751" i="1"/>
  <c r="N751" i="1"/>
  <c r="O751" i="1"/>
  <c r="H752" i="1"/>
  <c r="L752" i="1"/>
  <c r="N752" i="1"/>
  <c r="O752" i="1"/>
  <c r="H753" i="1"/>
  <c r="L753" i="1"/>
  <c r="N753" i="1"/>
  <c r="O753" i="1"/>
  <c r="H754" i="1"/>
  <c r="L754" i="1"/>
  <c r="N754" i="1"/>
  <c r="O754" i="1"/>
  <c r="H755" i="1"/>
  <c r="L755" i="1"/>
  <c r="N755" i="1"/>
  <c r="O755" i="1"/>
  <c r="H756" i="1"/>
  <c r="L756" i="1"/>
  <c r="N756" i="1"/>
  <c r="O756" i="1"/>
  <c r="H757" i="1"/>
  <c r="L757" i="1"/>
  <c r="N757" i="1"/>
  <c r="O757" i="1"/>
  <c r="H758" i="1"/>
  <c r="L758" i="1"/>
  <c r="N758" i="1"/>
  <c r="O758" i="1"/>
  <c r="H759" i="1"/>
  <c r="L759" i="1"/>
  <c r="N759" i="1"/>
  <c r="O759" i="1"/>
  <c r="H760" i="1"/>
  <c r="L760" i="1"/>
  <c r="N760" i="1"/>
  <c r="O760" i="1"/>
  <c r="H761" i="1"/>
  <c r="L761" i="1"/>
  <c r="N761" i="1"/>
  <c r="O761" i="1"/>
  <c r="H762" i="1"/>
  <c r="L762" i="1"/>
  <c r="N762" i="1"/>
  <c r="O762" i="1"/>
  <c r="H763" i="1"/>
  <c r="L763" i="1"/>
  <c r="N763" i="1"/>
  <c r="O763" i="1"/>
  <c r="H764" i="1"/>
  <c r="L764" i="1"/>
  <c r="N764" i="1"/>
  <c r="O764" i="1"/>
  <c r="H765" i="1"/>
  <c r="L765" i="1"/>
  <c r="N765" i="1"/>
  <c r="O765" i="1"/>
  <c r="H766" i="1"/>
  <c r="L766" i="1"/>
  <c r="N766" i="1"/>
  <c r="O766" i="1"/>
  <c r="H767" i="1"/>
  <c r="L767" i="1"/>
  <c r="N767" i="1"/>
  <c r="O767" i="1"/>
  <c r="H768" i="1"/>
  <c r="L768" i="1"/>
  <c r="N768" i="1"/>
  <c r="O768" i="1"/>
  <c r="H769" i="1"/>
  <c r="L769" i="1"/>
  <c r="N769" i="1"/>
  <c r="O769" i="1"/>
  <c r="H770" i="1"/>
  <c r="L770" i="1"/>
  <c r="N770" i="1"/>
  <c r="O770" i="1"/>
  <c r="H771" i="1"/>
  <c r="L771" i="1"/>
  <c r="N771" i="1"/>
  <c r="O771" i="1"/>
  <c r="H772" i="1"/>
  <c r="L772" i="1"/>
  <c r="N772" i="1"/>
  <c r="O772" i="1"/>
  <c r="H773" i="1"/>
  <c r="L773" i="1"/>
  <c r="N773" i="1"/>
  <c r="O773" i="1"/>
  <c r="H774" i="1"/>
  <c r="L774" i="1"/>
  <c r="N774" i="1"/>
  <c r="O774" i="1"/>
  <c r="H775" i="1"/>
  <c r="L775" i="1"/>
  <c r="N775" i="1"/>
  <c r="O775" i="1"/>
  <c r="H776" i="1"/>
  <c r="L776" i="1"/>
  <c r="N776" i="1"/>
  <c r="O776" i="1"/>
  <c r="H777" i="1"/>
  <c r="L777" i="1"/>
  <c r="N777" i="1"/>
  <c r="O777" i="1"/>
  <c r="H778" i="1"/>
  <c r="L778" i="1"/>
  <c r="N778" i="1"/>
  <c r="O778" i="1"/>
  <c r="H779" i="1"/>
  <c r="L779" i="1"/>
  <c r="N779" i="1"/>
  <c r="O779" i="1"/>
  <c r="H780" i="1"/>
  <c r="L780" i="1"/>
  <c r="N780" i="1"/>
  <c r="O780" i="1"/>
  <c r="H781" i="1"/>
  <c r="L781" i="1"/>
  <c r="N781" i="1"/>
  <c r="O781" i="1"/>
  <c r="H782" i="1"/>
  <c r="L782" i="1"/>
  <c r="N782" i="1"/>
  <c r="O782" i="1"/>
  <c r="H783" i="1"/>
  <c r="L783" i="1"/>
  <c r="N783" i="1"/>
  <c r="O783" i="1"/>
  <c r="H784" i="1"/>
  <c r="L784" i="1"/>
  <c r="N784" i="1"/>
  <c r="O784" i="1"/>
  <c r="H785" i="1"/>
  <c r="L785" i="1"/>
  <c r="N785" i="1"/>
  <c r="O785" i="1"/>
  <c r="H786" i="1"/>
  <c r="L786" i="1"/>
  <c r="N786" i="1"/>
  <c r="O786" i="1"/>
  <c r="H787" i="1"/>
  <c r="L787" i="1"/>
  <c r="N787" i="1"/>
  <c r="O787" i="1"/>
  <c r="H788" i="1"/>
  <c r="L788" i="1"/>
  <c r="N788" i="1"/>
  <c r="O788" i="1"/>
  <c r="H789" i="1"/>
  <c r="L789" i="1"/>
  <c r="N789" i="1"/>
  <c r="O789" i="1"/>
  <c r="H790" i="1"/>
  <c r="L790" i="1"/>
  <c r="N790" i="1"/>
  <c r="O790" i="1"/>
  <c r="H792" i="1"/>
  <c r="L792" i="1"/>
  <c r="N792" i="1"/>
  <c r="O792" i="1"/>
  <c r="H793" i="1"/>
  <c r="L793" i="1"/>
  <c r="N793" i="1"/>
  <c r="O793" i="1"/>
  <c r="H794" i="1"/>
  <c r="L794" i="1"/>
  <c r="N794" i="1"/>
  <c r="O794" i="1"/>
  <c r="H795" i="1"/>
  <c r="L795" i="1"/>
  <c r="N795" i="1"/>
  <c r="O795" i="1"/>
  <c r="H796" i="1"/>
  <c r="L796" i="1"/>
  <c r="N796" i="1"/>
  <c r="O796" i="1"/>
  <c r="H797" i="1"/>
  <c r="L797" i="1"/>
  <c r="N797" i="1"/>
  <c r="O797" i="1"/>
  <c r="H798" i="1"/>
  <c r="L798" i="1"/>
  <c r="N798" i="1"/>
  <c r="O798" i="1"/>
  <c r="H799" i="1"/>
  <c r="L799" i="1"/>
  <c r="N799" i="1"/>
  <c r="O799" i="1"/>
  <c r="H800" i="1"/>
  <c r="L800" i="1"/>
  <c r="N800" i="1"/>
  <c r="O800" i="1"/>
  <c r="H801" i="1"/>
  <c r="L801" i="1"/>
  <c r="N801" i="1"/>
  <c r="O801" i="1"/>
  <c r="H802" i="1"/>
  <c r="L802" i="1"/>
  <c r="N802" i="1"/>
  <c r="O802" i="1"/>
  <c r="H803" i="1"/>
  <c r="L803" i="1"/>
  <c r="N803" i="1"/>
  <c r="O803" i="1"/>
  <c r="H804" i="1"/>
  <c r="L804" i="1"/>
  <c r="N804" i="1"/>
  <c r="O804" i="1"/>
  <c r="H805" i="1"/>
  <c r="L805" i="1"/>
  <c r="N805" i="1"/>
  <c r="O805" i="1"/>
  <c r="H806" i="1"/>
  <c r="L806" i="1"/>
  <c r="N806" i="1"/>
  <c r="O806" i="1"/>
  <c r="H807" i="1"/>
  <c r="L807" i="1"/>
  <c r="N807" i="1"/>
  <c r="O807" i="1"/>
  <c r="H808" i="1"/>
  <c r="L808" i="1"/>
  <c r="N808" i="1"/>
  <c r="O808" i="1"/>
  <c r="H809" i="1"/>
  <c r="L809" i="1"/>
  <c r="N809" i="1"/>
  <c r="O809" i="1"/>
  <c r="H810" i="1"/>
  <c r="L810" i="1"/>
  <c r="N810" i="1"/>
  <c r="O810" i="1"/>
  <c r="H811" i="1"/>
  <c r="L811" i="1"/>
  <c r="N811" i="1"/>
  <c r="O811" i="1"/>
  <c r="H812" i="1"/>
  <c r="L812" i="1"/>
  <c r="N812" i="1"/>
  <c r="O812" i="1"/>
  <c r="H813" i="1"/>
  <c r="L813" i="1"/>
  <c r="N813" i="1"/>
  <c r="O813" i="1"/>
  <c r="H814" i="1"/>
  <c r="L814" i="1"/>
  <c r="N814" i="1"/>
  <c r="O814" i="1"/>
  <c r="H815" i="1"/>
  <c r="L815" i="1"/>
  <c r="N815" i="1"/>
  <c r="O815" i="1"/>
  <c r="H816" i="1"/>
  <c r="L816" i="1"/>
  <c r="N816" i="1"/>
  <c r="O816" i="1"/>
  <c r="H817" i="1"/>
  <c r="L817" i="1"/>
  <c r="N817" i="1"/>
  <c r="O817" i="1"/>
  <c r="H818" i="1"/>
  <c r="L818" i="1"/>
  <c r="N818" i="1"/>
  <c r="O818" i="1"/>
  <c r="H819" i="1"/>
  <c r="L819" i="1"/>
  <c r="N819" i="1"/>
  <c r="O819" i="1"/>
  <c r="H820" i="1"/>
  <c r="L820" i="1"/>
  <c r="N820" i="1"/>
  <c r="O820" i="1"/>
  <c r="H821" i="1"/>
  <c r="L821" i="1"/>
  <c r="N821" i="1"/>
  <c r="O821" i="1"/>
  <c r="H822" i="1"/>
  <c r="L822" i="1"/>
  <c r="N822" i="1"/>
  <c r="O822" i="1"/>
  <c r="H824" i="1"/>
  <c r="L824" i="1"/>
  <c r="N824" i="1"/>
  <c r="O824" i="1"/>
  <c r="H825" i="1"/>
  <c r="L825" i="1"/>
  <c r="N825" i="1"/>
  <c r="O825" i="1"/>
  <c r="H826" i="1"/>
  <c r="L826" i="1"/>
  <c r="N826" i="1"/>
  <c r="O826" i="1"/>
  <c r="H827" i="1"/>
  <c r="L827" i="1"/>
  <c r="N827" i="1"/>
  <c r="O827" i="1"/>
  <c r="H828" i="1"/>
  <c r="L828" i="1"/>
  <c r="N828" i="1"/>
  <c r="O828" i="1"/>
  <c r="H829" i="1"/>
  <c r="L829" i="1"/>
  <c r="N829" i="1"/>
  <c r="O829" i="1"/>
  <c r="H830" i="1"/>
  <c r="L830" i="1"/>
  <c r="N830" i="1"/>
  <c r="O830" i="1"/>
  <c r="H831" i="1"/>
  <c r="L831" i="1"/>
  <c r="N831" i="1"/>
  <c r="O831" i="1"/>
  <c r="H832" i="1"/>
  <c r="L832" i="1"/>
  <c r="N832" i="1"/>
  <c r="O832" i="1"/>
  <c r="H833" i="1"/>
  <c r="L833" i="1"/>
  <c r="N833" i="1"/>
  <c r="O833" i="1"/>
  <c r="H834" i="1"/>
  <c r="L834" i="1"/>
  <c r="N834" i="1"/>
  <c r="O834" i="1"/>
  <c r="H835" i="1"/>
  <c r="L835" i="1"/>
  <c r="N835" i="1"/>
  <c r="O835" i="1"/>
  <c r="H836" i="1"/>
  <c r="L836" i="1"/>
  <c r="N836" i="1"/>
  <c r="O836" i="1"/>
  <c r="H837" i="1"/>
  <c r="L837" i="1"/>
  <c r="N837" i="1"/>
  <c r="O837" i="1"/>
  <c r="H838" i="1"/>
  <c r="L838" i="1"/>
  <c r="N838" i="1"/>
  <c r="O838" i="1"/>
  <c r="H839" i="1"/>
  <c r="L839" i="1"/>
  <c r="N839" i="1"/>
  <c r="O839" i="1"/>
  <c r="H840" i="1"/>
  <c r="L840" i="1"/>
  <c r="N840" i="1"/>
  <c r="O840" i="1"/>
  <c r="H841" i="1"/>
  <c r="L841" i="1"/>
  <c r="N841" i="1"/>
  <c r="O841" i="1"/>
  <c r="H842" i="1"/>
  <c r="L842" i="1"/>
  <c r="N842" i="1"/>
  <c r="O842" i="1"/>
  <c r="H843" i="1"/>
  <c r="L843" i="1"/>
  <c r="N843" i="1"/>
  <c r="O843" i="1"/>
  <c r="H844" i="1"/>
  <c r="L844" i="1"/>
  <c r="N844" i="1"/>
  <c r="O844" i="1"/>
  <c r="H845" i="1"/>
  <c r="L845" i="1"/>
  <c r="N845" i="1"/>
  <c r="O845" i="1"/>
  <c r="H846" i="1"/>
  <c r="L846" i="1"/>
  <c r="N846" i="1"/>
  <c r="O846" i="1"/>
  <c r="H847" i="1"/>
  <c r="L847" i="1"/>
  <c r="N847" i="1"/>
  <c r="O847" i="1"/>
  <c r="H848" i="1"/>
  <c r="L848" i="1"/>
  <c r="N848" i="1"/>
  <c r="O848" i="1"/>
  <c r="H849" i="1"/>
  <c r="L849" i="1"/>
  <c r="N849" i="1"/>
  <c r="O849" i="1"/>
  <c r="H850" i="1"/>
  <c r="L850" i="1"/>
  <c r="N850" i="1"/>
  <c r="O850" i="1"/>
  <c r="H851" i="1"/>
  <c r="L851" i="1"/>
  <c r="N851" i="1"/>
  <c r="O851" i="1"/>
  <c r="H852" i="1"/>
  <c r="L852" i="1"/>
  <c r="N852" i="1"/>
  <c r="O852" i="1"/>
  <c r="H853" i="1"/>
  <c r="L853" i="1"/>
  <c r="N853" i="1"/>
  <c r="O853" i="1"/>
  <c r="H854" i="1"/>
  <c r="L854" i="1"/>
  <c r="N854" i="1"/>
  <c r="O854" i="1"/>
  <c r="H855" i="1"/>
  <c r="L855" i="1"/>
  <c r="N855" i="1"/>
  <c r="O855" i="1"/>
  <c r="H856" i="1"/>
  <c r="L856" i="1"/>
  <c r="N856" i="1"/>
  <c r="O856" i="1"/>
  <c r="H857" i="1"/>
  <c r="L857" i="1"/>
  <c r="N857" i="1"/>
  <c r="O857" i="1"/>
  <c r="H858" i="1"/>
  <c r="L858" i="1"/>
  <c r="N858" i="1"/>
  <c r="O858" i="1"/>
  <c r="H859" i="1"/>
  <c r="L859" i="1"/>
  <c r="N859" i="1"/>
  <c r="O859" i="1"/>
  <c r="H860" i="1"/>
  <c r="L860" i="1"/>
  <c r="N860" i="1"/>
  <c r="O860" i="1"/>
  <c r="H861" i="1"/>
  <c r="L861" i="1"/>
  <c r="N861" i="1"/>
  <c r="O861" i="1"/>
  <c r="H862" i="1"/>
  <c r="L862" i="1"/>
  <c r="N862" i="1"/>
  <c r="O862" i="1"/>
  <c r="H863" i="1"/>
  <c r="L863" i="1"/>
  <c r="N863" i="1"/>
  <c r="O863" i="1"/>
  <c r="H864" i="1"/>
  <c r="L864" i="1"/>
  <c r="N864" i="1"/>
  <c r="O864" i="1"/>
  <c r="H865" i="1"/>
  <c r="L865" i="1"/>
  <c r="N865" i="1"/>
  <c r="O865" i="1"/>
  <c r="H866" i="1"/>
  <c r="L866" i="1"/>
  <c r="N866" i="1"/>
  <c r="O866" i="1"/>
  <c r="H867" i="1"/>
  <c r="L867" i="1"/>
  <c r="N867" i="1"/>
  <c r="O867" i="1"/>
  <c r="H868" i="1"/>
  <c r="L868" i="1"/>
  <c r="N868" i="1"/>
  <c r="O868" i="1"/>
  <c r="H869" i="1"/>
  <c r="L869" i="1"/>
  <c r="N869" i="1"/>
  <c r="O869" i="1"/>
  <c r="H870" i="1"/>
  <c r="L870" i="1"/>
  <c r="N870" i="1"/>
  <c r="O870" i="1"/>
  <c r="H871" i="1"/>
  <c r="L871" i="1"/>
  <c r="N871" i="1"/>
  <c r="O871" i="1"/>
  <c r="H872" i="1"/>
  <c r="L872" i="1"/>
  <c r="N872" i="1"/>
  <c r="O872" i="1"/>
  <c r="H873" i="1"/>
  <c r="L873" i="1"/>
  <c r="N873" i="1"/>
  <c r="O873" i="1"/>
  <c r="H875" i="1"/>
  <c r="L875" i="1"/>
  <c r="N875" i="1"/>
  <c r="O875" i="1"/>
  <c r="H876" i="1"/>
  <c r="L876" i="1"/>
  <c r="N876" i="1"/>
  <c r="O876" i="1"/>
  <c r="H877" i="1"/>
  <c r="L877" i="1"/>
  <c r="N877" i="1"/>
  <c r="O877" i="1"/>
  <c r="H878" i="1"/>
  <c r="L878" i="1"/>
  <c r="N878" i="1"/>
  <c r="O878" i="1"/>
  <c r="H879" i="1"/>
  <c r="L879" i="1"/>
  <c r="N879" i="1"/>
  <c r="O879" i="1"/>
  <c r="H880" i="1"/>
  <c r="L880" i="1"/>
  <c r="N880" i="1"/>
  <c r="O880" i="1"/>
  <c r="H881" i="1"/>
  <c r="L881" i="1"/>
  <c r="N881" i="1"/>
  <c r="O881" i="1"/>
  <c r="H882" i="1"/>
  <c r="L882" i="1"/>
  <c r="N882" i="1"/>
  <c r="O882" i="1"/>
  <c r="H883" i="1"/>
  <c r="L883" i="1"/>
  <c r="N883" i="1"/>
  <c r="O883" i="1"/>
  <c r="H884" i="1"/>
  <c r="L884" i="1"/>
  <c r="N884" i="1"/>
  <c r="O884" i="1"/>
  <c r="H885" i="1"/>
  <c r="L885" i="1"/>
  <c r="N885" i="1"/>
  <c r="O885" i="1"/>
  <c r="H886" i="1"/>
  <c r="L886" i="1"/>
  <c r="N886" i="1"/>
  <c r="O886" i="1"/>
  <c r="H887" i="1"/>
  <c r="L887" i="1"/>
  <c r="N887" i="1"/>
  <c r="O887" i="1"/>
  <c r="H888" i="1"/>
  <c r="L888" i="1"/>
  <c r="N888" i="1"/>
  <c r="O888" i="1"/>
  <c r="H889" i="1"/>
  <c r="L889" i="1"/>
  <c r="N889" i="1"/>
  <c r="O889" i="1"/>
  <c r="H890" i="1"/>
  <c r="L890" i="1"/>
  <c r="N890" i="1"/>
  <c r="O890" i="1"/>
  <c r="H891" i="1"/>
  <c r="L891" i="1"/>
  <c r="N891" i="1"/>
  <c r="O891" i="1"/>
  <c r="H892" i="1"/>
  <c r="L892" i="1"/>
  <c r="N892" i="1"/>
  <c r="O892" i="1"/>
  <c r="H893" i="1"/>
  <c r="L893" i="1"/>
  <c r="N893" i="1"/>
  <c r="O893" i="1"/>
  <c r="H894" i="1"/>
  <c r="L894" i="1"/>
  <c r="N894" i="1"/>
  <c r="O894" i="1"/>
  <c r="H895" i="1"/>
  <c r="L895" i="1"/>
  <c r="N895" i="1"/>
  <c r="O895" i="1"/>
  <c r="H896" i="1"/>
  <c r="L896" i="1"/>
  <c r="N896" i="1"/>
  <c r="O896" i="1"/>
  <c r="H897" i="1"/>
  <c r="L897" i="1"/>
  <c r="N897" i="1"/>
  <c r="O897" i="1"/>
  <c r="H898" i="1"/>
  <c r="L898" i="1"/>
  <c r="N898" i="1"/>
  <c r="O898" i="1"/>
  <c r="H899" i="1"/>
  <c r="L899" i="1"/>
  <c r="N899" i="1"/>
  <c r="O899" i="1"/>
  <c r="H900" i="1"/>
  <c r="L900" i="1"/>
  <c r="N900" i="1"/>
  <c r="O900" i="1"/>
  <c r="H901" i="1"/>
  <c r="L901" i="1"/>
  <c r="N901" i="1"/>
  <c r="O901" i="1"/>
  <c r="H902" i="1"/>
  <c r="L902" i="1"/>
  <c r="N902" i="1"/>
  <c r="O902" i="1"/>
  <c r="H903" i="1"/>
  <c r="L903" i="1"/>
  <c r="N903" i="1"/>
  <c r="O903" i="1"/>
  <c r="H904" i="1"/>
  <c r="L904" i="1"/>
  <c r="N904" i="1"/>
  <c r="O904" i="1"/>
  <c r="H905" i="1"/>
  <c r="L905" i="1"/>
  <c r="N905" i="1"/>
  <c r="O905" i="1"/>
  <c r="H906" i="1"/>
  <c r="L906" i="1"/>
  <c r="N906" i="1"/>
  <c r="O906" i="1"/>
  <c r="H907" i="1"/>
  <c r="L907" i="1"/>
  <c r="N907" i="1"/>
  <c r="O907" i="1"/>
  <c r="H908" i="1"/>
  <c r="L908" i="1"/>
  <c r="N908" i="1"/>
  <c r="O908" i="1"/>
  <c r="H909" i="1"/>
  <c r="L909" i="1"/>
  <c r="N909" i="1"/>
  <c r="O909" i="1"/>
  <c r="H910" i="1"/>
  <c r="L910" i="1"/>
  <c r="N910" i="1"/>
  <c r="O910" i="1"/>
  <c r="H911" i="1"/>
  <c r="L911" i="1"/>
  <c r="N911" i="1"/>
  <c r="O911" i="1"/>
  <c r="H912" i="1"/>
  <c r="L912" i="1"/>
  <c r="N912" i="1"/>
  <c r="O912" i="1"/>
  <c r="H913" i="1"/>
  <c r="L913" i="1"/>
  <c r="N913" i="1"/>
  <c r="O913" i="1"/>
  <c r="H914" i="1"/>
  <c r="L914" i="1"/>
  <c r="N914" i="1"/>
  <c r="O914" i="1"/>
  <c r="H916" i="1"/>
  <c r="L916" i="1"/>
  <c r="N916" i="1"/>
  <c r="O916" i="1"/>
  <c r="H917" i="1"/>
  <c r="L917" i="1"/>
  <c r="N917" i="1"/>
  <c r="O917" i="1"/>
  <c r="H918" i="1"/>
  <c r="L918" i="1"/>
  <c r="N918" i="1"/>
  <c r="O918" i="1"/>
  <c r="H919" i="1"/>
  <c r="L919" i="1"/>
  <c r="N919" i="1"/>
  <c r="O919" i="1"/>
  <c r="H920" i="1"/>
  <c r="L920" i="1"/>
  <c r="N920" i="1"/>
  <c r="O920" i="1"/>
  <c r="H921" i="1"/>
  <c r="L921" i="1"/>
  <c r="N921" i="1"/>
  <c r="O921" i="1"/>
  <c r="H922" i="1"/>
  <c r="L922" i="1"/>
  <c r="N922" i="1"/>
  <c r="O922" i="1"/>
  <c r="H923" i="1"/>
  <c r="L923" i="1"/>
  <c r="N923" i="1"/>
  <c r="O923" i="1"/>
  <c r="H924" i="1"/>
  <c r="L924" i="1"/>
  <c r="N924" i="1"/>
  <c r="O924" i="1"/>
  <c r="H925" i="1"/>
  <c r="L925" i="1"/>
  <c r="N925" i="1"/>
  <c r="O925" i="1"/>
  <c r="H926" i="1"/>
  <c r="L926" i="1"/>
  <c r="N926" i="1"/>
  <c r="O926" i="1"/>
  <c r="H927" i="1"/>
  <c r="L927" i="1"/>
  <c r="N927" i="1"/>
  <c r="O927" i="1"/>
  <c r="H928" i="1"/>
  <c r="L928" i="1"/>
  <c r="N928" i="1"/>
  <c r="O928" i="1"/>
  <c r="H929" i="1"/>
  <c r="L929" i="1"/>
  <c r="N929" i="1"/>
  <c r="O929" i="1"/>
  <c r="H930" i="1"/>
  <c r="L930" i="1"/>
  <c r="N930" i="1"/>
  <c r="O930" i="1"/>
  <c r="H931" i="1"/>
  <c r="L931" i="1"/>
  <c r="N931" i="1"/>
  <c r="O931" i="1"/>
  <c r="H932" i="1"/>
  <c r="L932" i="1"/>
  <c r="N932" i="1"/>
  <c r="O932" i="1"/>
  <c r="H934" i="1"/>
  <c r="L934" i="1"/>
  <c r="N934" i="1"/>
  <c r="O934" i="1"/>
  <c r="H935" i="1"/>
  <c r="L935" i="1"/>
  <c r="N935" i="1"/>
  <c r="O935" i="1"/>
  <c r="H936" i="1"/>
  <c r="L936" i="1"/>
  <c r="N936" i="1"/>
  <c r="O936" i="1"/>
  <c r="H937" i="1"/>
  <c r="L937" i="1"/>
  <c r="N937" i="1"/>
  <c r="O937" i="1"/>
  <c r="H938" i="1"/>
  <c r="L938" i="1"/>
  <c r="N938" i="1"/>
  <c r="O938" i="1"/>
  <c r="H939" i="1"/>
  <c r="L939" i="1"/>
  <c r="N939" i="1"/>
  <c r="O939" i="1"/>
  <c r="H940" i="1"/>
  <c r="L940" i="1"/>
  <c r="N940" i="1"/>
  <c r="O940" i="1"/>
  <c r="H941" i="1"/>
  <c r="L941" i="1"/>
  <c r="N941" i="1"/>
  <c r="O941" i="1"/>
  <c r="H942" i="1"/>
  <c r="L942" i="1"/>
  <c r="N942" i="1"/>
  <c r="O942" i="1"/>
  <c r="H943" i="1"/>
  <c r="L943" i="1"/>
  <c r="N943" i="1"/>
  <c r="O943" i="1"/>
  <c r="H944" i="1"/>
  <c r="L944" i="1"/>
  <c r="N944" i="1"/>
  <c r="O944" i="1"/>
  <c r="H945" i="1"/>
  <c r="L945" i="1"/>
  <c r="N945" i="1"/>
  <c r="O945" i="1"/>
  <c r="H946" i="1"/>
  <c r="L946" i="1"/>
  <c r="N946" i="1"/>
  <c r="O946" i="1"/>
  <c r="H947" i="1"/>
  <c r="L947" i="1"/>
  <c r="N947" i="1"/>
  <c r="O947" i="1"/>
  <c r="H948" i="1"/>
  <c r="L948" i="1"/>
  <c r="N948" i="1"/>
  <c r="O948" i="1"/>
  <c r="H949" i="1"/>
  <c r="L949" i="1"/>
  <c r="N949" i="1"/>
  <c r="O949" i="1"/>
  <c r="H950" i="1"/>
  <c r="L950" i="1"/>
  <c r="N950" i="1"/>
  <c r="O950" i="1"/>
  <c r="H951" i="1"/>
  <c r="L951" i="1"/>
  <c r="N951" i="1"/>
  <c r="O951" i="1"/>
  <c r="H952" i="1"/>
  <c r="L952" i="1"/>
  <c r="N952" i="1"/>
  <c r="O952" i="1"/>
  <c r="H953" i="1"/>
  <c r="L953" i="1"/>
  <c r="N953" i="1"/>
  <c r="O953" i="1"/>
  <c r="H954" i="1"/>
  <c r="L954" i="1"/>
  <c r="N954" i="1"/>
  <c r="O954" i="1"/>
  <c r="H955" i="1"/>
  <c r="L955" i="1"/>
  <c r="N955" i="1"/>
  <c r="O955" i="1"/>
  <c r="H956" i="1"/>
  <c r="L956" i="1"/>
  <c r="N956" i="1"/>
  <c r="O956" i="1"/>
  <c r="H957" i="1"/>
  <c r="L957" i="1"/>
  <c r="N957" i="1"/>
  <c r="O957" i="1"/>
  <c r="H959" i="1"/>
  <c r="L959" i="1"/>
  <c r="N959" i="1"/>
  <c r="O959" i="1"/>
  <c r="H960" i="1"/>
  <c r="L960" i="1"/>
  <c r="N960" i="1"/>
  <c r="O960" i="1"/>
  <c r="H961" i="1"/>
  <c r="L961" i="1"/>
  <c r="N961" i="1"/>
  <c r="O961" i="1"/>
  <c r="H962" i="1"/>
  <c r="L962" i="1"/>
  <c r="N962" i="1"/>
  <c r="O962" i="1"/>
  <c r="H963" i="1"/>
  <c r="L963" i="1"/>
  <c r="N963" i="1"/>
  <c r="O963" i="1"/>
  <c r="H964" i="1"/>
  <c r="L964" i="1"/>
  <c r="N964" i="1"/>
  <c r="O964" i="1"/>
  <c r="H965" i="1"/>
  <c r="L965" i="1"/>
  <c r="N965" i="1"/>
  <c r="O965" i="1"/>
  <c r="H966" i="1"/>
  <c r="L966" i="1"/>
  <c r="N966" i="1"/>
  <c r="O966" i="1"/>
  <c r="H967" i="1"/>
  <c r="L967" i="1"/>
  <c r="N967" i="1"/>
  <c r="O967" i="1"/>
  <c r="H968" i="1"/>
  <c r="L968" i="1"/>
  <c r="N968" i="1"/>
  <c r="O968" i="1"/>
  <c r="H969" i="1"/>
  <c r="L969" i="1"/>
  <c r="N969" i="1"/>
  <c r="O969" i="1"/>
  <c r="H971" i="1"/>
  <c r="L971" i="1"/>
  <c r="N971" i="1"/>
  <c r="O971" i="1"/>
  <c r="H972" i="1"/>
  <c r="L972" i="1"/>
  <c r="N972" i="1"/>
  <c r="O972" i="1"/>
  <c r="H973" i="1"/>
  <c r="L973" i="1"/>
  <c r="N973" i="1"/>
  <c r="O973" i="1"/>
  <c r="H974" i="1"/>
  <c r="L974" i="1"/>
  <c r="N974" i="1"/>
  <c r="O974" i="1"/>
  <c r="H975" i="1"/>
  <c r="L975" i="1"/>
  <c r="N975" i="1"/>
  <c r="O975" i="1"/>
  <c r="H976" i="1"/>
  <c r="L976" i="1"/>
  <c r="N976" i="1"/>
  <c r="O976" i="1"/>
  <c r="H977" i="1"/>
  <c r="L977" i="1"/>
  <c r="N977" i="1"/>
  <c r="O977" i="1"/>
  <c r="H978" i="1"/>
  <c r="L978" i="1"/>
  <c r="N978" i="1"/>
  <c r="O978" i="1"/>
  <c r="H979" i="1"/>
  <c r="L979" i="1"/>
  <c r="N979" i="1"/>
  <c r="O979" i="1"/>
  <c r="H980" i="1"/>
  <c r="L980" i="1"/>
  <c r="N980" i="1"/>
  <c r="O980" i="1"/>
  <c r="H981" i="1"/>
  <c r="L981" i="1"/>
  <c r="N981" i="1"/>
  <c r="O981" i="1"/>
  <c r="H982" i="1"/>
  <c r="L982" i="1"/>
  <c r="N982" i="1"/>
  <c r="O982" i="1"/>
  <c r="H983" i="1"/>
  <c r="L983" i="1"/>
  <c r="N983" i="1"/>
  <c r="O983" i="1"/>
  <c r="H984" i="1"/>
  <c r="L984" i="1"/>
  <c r="N984" i="1"/>
  <c r="O984" i="1"/>
  <c r="H985" i="1"/>
  <c r="L985" i="1"/>
  <c r="N985" i="1"/>
  <c r="O985" i="1"/>
  <c r="H986" i="1"/>
  <c r="L986" i="1"/>
  <c r="N986" i="1"/>
  <c r="O986" i="1"/>
  <c r="H987" i="1"/>
  <c r="L987" i="1"/>
  <c r="N987" i="1"/>
  <c r="O987" i="1"/>
  <c r="H988" i="1"/>
  <c r="L988" i="1"/>
  <c r="N988" i="1"/>
  <c r="O988" i="1"/>
  <c r="H989" i="1"/>
  <c r="L989" i="1"/>
  <c r="N989" i="1"/>
  <c r="O989" i="1"/>
  <c r="H990" i="1"/>
  <c r="L990" i="1"/>
  <c r="N990" i="1"/>
  <c r="O990" i="1"/>
  <c r="H991" i="1"/>
  <c r="L991" i="1"/>
  <c r="N991" i="1"/>
  <c r="O991" i="1"/>
  <c r="H992" i="1"/>
  <c r="L992" i="1"/>
  <c r="N992" i="1"/>
  <c r="O992" i="1"/>
  <c r="H993" i="1"/>
  <c r="L993" i="1"/>
  <c r="N993" i="1"/>
  <c r="O993" i="1"/>
  <c r="H994" i="1"/>
  <c r="L994" i="1"/>
  <c r="N994" i="1"/>
  <c r="O994" i="1"/>
  <c r="H995" i="1"/>
  <c r="L995" i="1"/>
  <c r="N995" i="1"/>
  <c r="O995" i="1"/>
  <c r="H996" i="1"/>
  <c r="L996" i="1"/>
  <c r="N996" i="1"/>
  <c r="O996" i="1"/>
  <c r="H997" i="1"/>
  <c r="L997" i="1"/>
  <c r="N997" i="1"/>
  <c r="O997" i="1"/>
  <c r="H998" i="1"/>
  <c r="L998" i="1"/>
  <c r="N998" i="1"/>
  <c r="O998" i="1"/>
  <c r="H999" i="1"/>
  <c r="L999" i="1"/>
  <c r="N999" i="1"/>
  <c r="O999" i="1"/>
  <c r="H1000" i="1"/>
  <c r="L1000" i="1"/>
  <c r="N1000" i="1"/>
  <c r="O1000" i="1"/>
  <c r="H1001" i="1"/>
  <c r="L1001" i="1"/>
  <c r="N1001" i="1"/>
  <c r="O1001" i="1"/>
  <c r="H1002" i="1"/>
  <c r="L1002" i="1"/>
  <c r="N1002" i="1"/>
  <c r="O1002" i="1"/>
  <c r="H1003" i="1"/>
  <c r="L1003" i="1"/>
  <c r="N1003" i="1"/>
  <c r="O1003" i="1"/>
  <c r="H1004" i="1"/>
  <c r="L1004" i="1"/>
  <c r="N1004" i="1"/>
  <c r="O1004" i="1"/>
  <c r="H1005" i="1"/>
  <c r="L1005" i="1"/>
  <c r="N1005" i="1"/>
  <c r="O1005" i="1"/>
  <c r="H1006" i="1"/>
  <c r="L1006" i="1"/>
  <c r="N1006" i="1"/>
  <c r="O1006" i="1"/>
  <c r="H1007" i="1"/>
  <c r="L1007" i="1"/>
  <c r="N1007" i="1"/>
  <c r="O1007" i="1"/>
  <c r="H1008" i="1"/>
  <c r="L1008" i="1"/>
  <c r="N1008" i="1"/>
  <c r="O1008" i="1"/>
  <c r="H1009" i="1"/>
  <c r="L1009" i="1"/>
  <c r="N1009" i="1"/>
  <c r="O1009" i="1"/>
  <c r="H1010" i="1"/>
  <c r="L1010" i="1"/>
  <c r="N1010" i="1"/>
  <c r="O1010" i="1"/>
  <c r="H1011" i="1"/>
  <c r="L1011" i="1"/>
  <c r="N1011" i="1"/>
  <c r="O1011" i="1"/>
  <c r="H1012" i="1"/>
  <c r="L1012" i="1"/>
  <c r="N1012" i="1"/>
  <c r="O1012" i="1"/>
  <c r="H1013" i="1"/>
  <c r="L1013" i="1"/>
  <c r="N1013" i="1"/>
  <c r="O1013" i="1"/>
  <c r="H1014" i="1"/>
  <c r="L1014" i="1"/>
  <c r="N1014" i="1"/>
  <c r="O1014" i="1"/>
  <c r="H1015" i="1"/>
  <c r="L1015" i="1"/>
  <c r="N1015" i="1"/>
  <c r="O1015" i="1"/>
  <c r="H1016" i="1"/>
  <c r="L1016" i="1"/>
  <c r="N1016" i="1"/>
  <c r="O1016" i="1"/>
  <c r="H1017" i="1"/>
  <c r="L1017" i="1"/>
  <c r="N1017" i="1"/>
  <c r="O1017" i="1"/>
  <c r="H1018" i="1"/>
  <c r="L1018" i="1"/>
  <c r="N1018" i="1"/>
  <c r="O1018" i="1"/>
  <c r="H1019" i="1"/>
  <c r="L1019" i="1"/>
  <c r="N1019" i="1"/>
  <c r="O1019" i="1"/>
  <c r="H1020" i="1"/>
  <c r="L1020" i="1"/>
  <c r="N1020" i="1"/>
  <c r="O1020" i="1"/>
  <c r="H1021" i="1"/>
  <c r="L1021" i="1"/>
  <c r="N1021" i="1"/>
  <c r="O1021" i="1"/>
  <c r="H1022" i="1"/>
  <c r="L1022" i="1"/>
  <c r="N1022" i="1"/>
  <c r="O1022" i="1"/>
  <c r="H1023" i="1"/>
  <c r="L1023" i="1"/>
  <c r="N1023" i="1"/>
  <c r="O1023" i="1"/>
  <c r="H1024" i="1"/>
  <c r="L1024" i="1"/>
  <c r="N1024" i="1"/>
  <c r="O1024" i="1"/>
  <c r="H1025" i="1"/>
  <c r="L1025" i="1"/>
  <c r="N1025" i="1"/>
  <c r="O1025" i="1"/>
  <c r="H1026" i="1"/>
  <c r="L1026" i="1"/>
  <c r="N1026" i="1"/>
  <c r="O1026" i="1"/>
  <c r="H1027" i="1"/>
  <c r="L1027" i="1"/>
  <c r="N1027" i="1"/>
  <c r="O1027" i="1"/>
  <c r="H1028" i="1"/>
  <c r="L1028" i="1"/>
  <c r="N1028" i="1"/>
  <c r="O1028" i="1"/>
  <c r="H1029" i="1"/>
  <c r="L1029" i="1"/>
  <c r="N1029" i="1"/>
  <c r="O1029" i="1"/>
  <c r="H1030" i="1"/>
  <c r="L1030" i="1"/>
  <c r="N1030" i="1"/>
  <c r="O1030" i="1"/>
  <c r="H1031" i="1"/>
  <c r="L1031" i="1"/>
  <c r="N1031" i="1"/>
  <c r="O1031" i="1"/>
  <c r="H1032" i="1"/>
  <c r="L1032" i="1"/>
  <c r="N1032" i="1"/>
  <c r="O1032" i="1"/>
  <c r="H1033" i="1"/>
  <c r="L1033" i="1"/>
  <c r="N1033" i="1"/>
  <c r="O1033" i="1"/>
  <c r="H1034" i="1"/>
  <c r="L1034" i="1"/>
  <c r="N1034" i="1"/>
  <c r="O1034" i="1"/>
  <c r="H1035" i="1"/>
  <c r="L1035" i="1"/>
  <c r="N1035" i="1"/>
  <c r="O1035" i="1"/>
  <c r="H1036" i="1"/>
  <c r="L1036" i="1"/>
  <c r="N1036" i="1"/>
  <c r="O1036" i="1"/>
  <c r="H1037" i="1"/>
  <c r="L1037" i="1"/>
  <c r="N1037" i="1"/>
  <c r="O1037" i="1"/>
  <c r="H1038" i="1"/>
  <c r="L1038" i="1"/>
  <c r="N1038" i="1"/>
  <c r="O1038" i="1"/>
  <c r="H1039" i="1"/>
  <c r="L1039" i="1"/>
  <c r="N1039" i="1"/>
  <c r="O1039" i="1"/>
  <c r="H1040" i="1"/>
  <c r="L1040" i="1"/>
  <c r="N1040" i="1"/>
  <c r="O1040" i="1"/>
  <c r="H1041" i="1"/>
  <c r="L1041" i="1"/>
  <c r="N1041" i="1"/>
  <c r="O1041" i="1"/>
  <c r="H1042" i="1"/>
  <c r="L1042" i="1"/>
  <c r="N1042" i="1"/>
  <c r="O1042" i="1"/>
  <c r="H1043" i="1"/>
  <c r="L1043" i="1"/>
  <c r="N1043" i="1"/>
  <c r="O1043" i="1"/>
  <c r="H1044" i="1"/>
  <c r="L1044" i="1"/>
  <c r="N1044" i="1"/>
  <c r="O1044" i="1"/>
  <c r="H1045" i="1"/>
  <c r="L1045" i="1"/>
  <c r="N1045" i="1"/>
  <c r="O1045" i="1"/>
  <c r="H1046" i="1"/>
  <c r="L1046" i="1"/>
  <c r="N1046" i="1"/>
  <c r="O1046" i="1"/>
  <c r="H1047" i="1"/>
  <c r="L1047" i="1"/>
  <c r="N1047" i="1"/>
  <c r="O1047" i="1"/>
  <c r="H1048" i="1"/>
  <c r="L1048" i="1"/>
  <c r="N1048" i="1"/>
  <c r="O1048" i="1"/>
  <c r="H1049" i="1"/>
  <c r="L1049" i="1"/>
  <c r="N1049" i="1"/>
  <c r="O1049" i="1"/>
  <c r="H1050" i="1"/>
  <c r="L1050" i="1"/>
  <c r="N1050" i="1"/>
  <c r="O1050" i="1"/>
  <c r="H1051" i="1"/>
  <c r="L1051" i="1"/>
  <c r="N1051" i="1"/>
  <c r="O1051" i="1"/>
  <c r="H1052" i="1"/>
  <c r="L1052" i="1"/>
  <c r="N1052" i="1"/>
  <c r="O1052" i="1"/>
  <c r="H1053" i="1"/>
  <c r="L1053" i="1"/>
  <c r="N1053" i="1"/>
  <c r="O1053" i="1"/>
  <c r="H1054" i="1"/>
  <c r="L1054" i="1"/>
  <c r="N1054" i="1"/>
  <c r="O1054" i="1"/>
  <c r="H1055" i="1"/>
  <c r="L1055" i="1"/>
  <c r="N1055" i="1"/>
  <c r="O1055" i="1"/>
  <c r="H1056" i="1"/>
  <c r="L1056" i="1"/>
  <c r="N1056" i="1"/>
  <c r="O1056" i="1"/>
  <c r="H1057" i="1"/>
  <c r="L1057" i="1"/>
  <c r="N1057" i="1"/>
  <c r="O1057" i="1"/>
  <c r="H1058" i="1"/>
  <c r="L1058" i="1"/>
  <c r="N1058" i="1"/>
  <c r="O1058" i="1"/>
  <c r="H1059" i="1"/>
  <c r="L1059" i="1"/>
  <c r="N1059" i="1"/>
  <c r="O1059" i="1"/>
  <c r="H1060" i="1"/>
  <c r="L1060" i="1"/>
  <c r="N1060" i="1"/>
  <c r="O1060" i="1"/>
  <c r="H1061" i="1"/>
  <c r="L1061" i="1"/>
  <c r="N1061" i="1"/>
  <c r="O1061" i="1"/>
  <c r="H1062" i="1"/>
  <c r="L1062" i="1"/>
  <c r="N1062" i="1"/>
  <c r="O1062" i="1"/>
  <c r="H1063" i="1"/>
  <c r="L1063" i="1"/>
  <c r="N1063" i="1"/>
  <c r="O1063" i="1"/>
  <c r="H1064" i="1"/>
  <c r="L1064" i="1"/>
  <c r="N1064" i="1"/>
  <c r="O1064" i="1"/>
  <c r="H1065" i="1"/>
  <c r="L1065" i="1"/>
  <c r="N1065" i="1"/>
  <c r="O1065" i="1"/>
  <c r="H1067" i="1"/>
  <c r="L1067" i="1"/>
  <c r="N1067" i="1"/>
  <c r="O1067" i="1"/>
  <c r="H1068" i="1"/>
  <c r="L1068" i="1"/>
  <c r="N1068" i="1"/>
  <c r="O1068" i="1"/>
  <c r="H1069" i="1"/>
  <c r="L1069" i="1"/>
  <c r="N1069" i="1"/>
  <c r="O1069" i="1"/>
  <c r="H1070" i="1"/>
  <c r="L1070" i="1"/>
  <c r="N1070" i="1"/>
  <c r="O1070" i="1"/>
  <c r="H1071" i="1"/>
  <c r="L1071" i="1"/>
  <c r="N1071" i="1"/>
  <c r="O1071" i="1"/>
  <c r="H1072" i="1"/>
  <c r="L1072" i="1"/>
  <c r="N1072" i="1"/>
  <c r="O1072" i="1"/>
  <c r="H1073" i="1"/>
  <c r="L1073" i="1"/>
  <c r="N1073" i="1"/>
  <c r="O1073" i="1"/>
  <c r="H1074" i="1"/>
  <c r="L1074" i="1"/>
  <c r="N1074" i="1"/>
  <c r="O1074" i="1"/>
  <c r="H1075" i="1"/>
  <c r="L1075" i="1"/>
  <c r="N1075" i="1"/>
  <c r="O1075" i="1"/>
  <c r="H1077" i="1"/>
  <c r="L1077" i="1"/>
  <c r="N1077" i="1"/>
  <c r="O1077" i="1"/>
  <c r="H1078" i="1"/>
  <c r="L1078" i="1"/>
  <c r="N1078" i="1"/>
  <c r="O1078" i="1"/>
  <c r="H1079" i="1"/>
  <c r="L1079" i="1"/>
  <c r="N1079" i="1"/>
  <c r="O1079" i="1"/>
  <c r="H1080" i="1"/>
  <c r="L1080" i="1"/>
  <c r="N1080" i="1"/>
  <c r="O1080" i="1"/>
  <c r="H1081" i="1"/>
  <c r="L1081" i="1"/>
  <c r="N1081" i="1"/>
  <c r="O1081" i="1"/>
  <c r="H1082" i="1"/>
  <c r="L1082" i="1"/>
  <c r="N1082" i="1"/>
  <c r="O1082" i="1"/>
  <c r="H1083" i="1"/>
  <c r="L1083" i="1"/>
  <c r="N1083" i="1"/>
  <c r="O1083" i="1"/>
  <c r="H1084" i="1"/>
  <c r="L1084" i="1"/>
  <c r="N1084" i="1"/>
  <c r="O1084" i="1"/>
  <c r="H1085" i="1"/>
  <c r="L1085" i="1"/>
  <c r="N1085" i="1"/>
  <c r="O1085" i="1"/>
  <c r="H1086" i="1"/>
  <c r="L1086" i="1"/>
  <c r="N1086" i="1"/>
  <c r="O1086" i="1"/>
  <c r="H1087" i="1"/>
  <c r="L1087" i="1"/>
  <c r="N1087" i="1"/>
  <c r="O1087" i="1"/>
  <c r="H1088" i="1"/>
  <c r="L1088" i="1"/>
  <c r="N1088" i="1"/>
  <c r="O1088" i="1"/>
  <c r="H1089" i="1"/>
  <c r="L1089" i="1"/>
  <c r="N1089" i="1"/>
  <c r="O1089" i="1"/>
  <c r="H1090" i="1"/>
  <c r="L1090" i="1"/>
  <c r="N1090" i="1"/>
  <c r="O1090" i="1"/>
  <c r="H1091" i="1"/>
  <c r="L1091" i="1"/>
  <c r="N1091" i="1"/>
  <c r="O1091" i="1"/>
  <c r="H1092" i="1"/>
  <c r="L1092" i="1"/>
  <c r="N1092" i="1"/>
  <c r="O1092" i="1"/>
  <c r="H1093" i="1"/>
  <c r="L1093" i="1"/>
  <c r="N1093" i="1"/>
  <c r="O1093" i="1"/>
  <c r="H1094" i="1"/>
  <c r="L1094" i="1"/>
  <c r="N1094" i="1"/>
  <c r="O1094" i="1"/>
  <c r="H1095" i="1"/>
  <c r="L1095" i="1"/>
  <c r="N1095" i="1"/>
  <c r="O1095" i="1"/>
  <c r="H1096" i="1"/>
  <c r="L1096" i="1"/>
  <c r="N1096" i="1"/>
  <c r="O1096" i="1"/>
  <c r="H1097" i="1"/>
  <c r="L1097" i="1"/>
  <c r="N1097" i="1"/>
  <c r="O1097" i="1"/>
  <c r="H1098" i="1"/>
  <c r="L1098" i="1"/>
  <c r="N1098" i="1"/>
  <c r="O1098" i="1"/>
  <c r="H1099" i="1"/>
  <c r="L1099" i="1"/>
  <c r="N1099" i="1"/>
  <c r="O1099" i="1"/>
  <c r="H1100" i="1"/>
  <c r="L1100" i="1"/>
  <c r="N1100" i="1"/>
  <c r="O1100" i="1"/>
  <c r="H1101" i="1"/>
  <c r="L1101" i="1"/>
  <c r="N1101" i="1"/>
  <c r="O1101" i="1"/>
  <c r="H1102" i="1"/>
  <c r="L1102" i="1"/>
  <c r="N1102" i="1"/>
  <c r="O1102" i="1"/>
  <c r="H1103" i="1"/>
  <c r="L1103" i="1"/>
  <c r="N1103" i="1"/>
  <c r="O1103" i="1"/>
  <c r="H1104" i="1"/>
  <c r="L1104" i="1"/>
  <c r="N1104" i="1"/>
  <c r="O1104" i="1"/>
  <c r="H1105" i="1"/>
  <c r="L1105" i="1"/>
  <c r="N1105" i="1"/>
  <c r="O1105" i="1"/>
  <c r="H1106" i="1"/>
  <c r="L1106" i="1"/>
  <c r="N1106" i="1"/>
  <c r="O1106" i="1"/>
  <c r="H1107" i="1"/>
  <c r="L1107" i="1"/>
  <c r="N1107" i="1"/>
  <c r="O1107" i="1"/>
  <c r="H1108" i="1"/>
  <c r="L1108" i="1"/>
  <c r="N1108" i="1"/>
  <c r="O1108" i="1"/>
  <c r="H1109" i="1"/>
  <c r="L1109" i="1"/>
  <c r="N1109" i="1"/>
  <c r="O1109" i="1"/>
  <c r="H1110" i="1"/>
  <c r="L1110" i="1"/>
  <c r="N1110" i="1"/>
  <c r="O1110" i="1"/>
  <c r="H1111" i="1"/>
  <c r="L1111" i="1"/>
  <c r="N1111" i="1"/>
  <c r="O1111" i="1"/>
  <c r="H1112" i="1"/>
  <c r="L1112" i="1"/>
  <c r="N1112" i="1"/>
  <c r="O1112" i="1"/>
  <c r="H1113" i="1"/>
  <c r="L1113" i="1"/>
  <c r="N1113" i="1"/>
  <c r="O1113" i="1"/>
  <c r="H1114" i="1"/>
  <c r="L1114" i="1"/>
  <c r="N1114" i="1"/>
  <c r="O1114" i="1"/>
  <c r="H1115" i="1"/>
  <c r="L1115" i="1"/>
  <c r="N1115" i="1"/>
  <c r="O1115" i="1"/>
  <c r="H1116" i="1"/>
  <c r="L1116" i="1"/>
  <c r="N1116" i="1"/>
  <c r="O1116" i="1"/>
  <c r="H1117" i="1"/>
  <c r="L1117" i="1"/>
  <c r="N1117" i="1"/>
  <c r="O1117" i="1"/>
  <c r="H1119" i="1"/>
  <c r="L1119" i="1"/>
  <c r="N1119" i="1"/>
  <c r="O1119" i="1"/>
  <c r="H1120" i="1"/>
  <c r="L1120" i="1"/>
  <c r="N1120" i="1"/>
  <c r="O1120" i="1"/>
  <c r="H1121" i="1"/>
  <c r="L1121" i="1"/>
  <c r="N1121" i="1"/>
  <c r="O1121" i="1"/>
  <c r="H1122" i="1"/>
  <c r="L1122" i="1"/>
  <c r="N1122" i="1"/>
  <c r="O1122" i="1"/>
  <c r="H1123" i="1"/>
  <c r="L1123" i="1"/>
  <c r="N1123" i="1"/>
  <c r="O1123" i="1"/>
  <c r="H1124" i="1"/>
  <c r="L1124" i="1"/>
  <c r="N1124" i="1"/>
  <c r="O1124" i="1"/>
  <c r="H1125" i="1"/>
  <c r="L1125" i="1"/>
  <c r="N1125" i="1"/>
  <c r="O1125" i="1"/>
  <c r="H1126" i="1"/>
  <c r="L1126" i="1"/>
  <c r="N1126" i="1"/>
  <c r="O1126" i="1"/>
  <c r="H1127" i="1"/>
  <c r="L1127" i="1"/>
  <c r="N1127" i="1"/>
  <c r="O1127" i="1"/>
  <c r="H1128" i="1"/>
  <c r="L1128" i="1"/>
  <c r="N1128" i="1"/>
  <c r="O1128" i="1"/>
  <c r="H1129" i="1"/>
  <c r="L1129" i="1"/>
  <c r="N1129" i="1"/>
  <c r="O1129" i="1"/>
  <c r="H1130" i="1"/>
  <c r="L1130" i="1"/>
  <c r="N1130" i="1"/>
  <c r="O1130" i="1"/>
  <c r="H1131" i="1"/>
  <c r="L1131" i="1"/>
  <c r="N1131" i="1"/>
  <c r="O1131" i="1"/>
  <c r="H1132" i="1"/>
  <c r="L1132" i="1"/>
  <c r="N1132" i="1"/>
  <c r="O1132" i="1"/>
  <c r="H1133" i="1"/>
  <c r="L1133" i="1"/>
  <c r="N1133" i="1"/>
  <c r="O1133" i="1"/>
  <c r="H1134" i="1"/>
  <c r="L1134" i="1"/>
  <c r="N1134" i="1"/>
  <c r="O1134" i="1"/>
  <c r="H1135" i="1"/>
  <c r="L1135" i="1"/>
  <c r="N1135" i="1"/>
  <c r="O1135" i="1"/>
  <c r="H1136" i="1"/>
  <c r="L1136" i="1"/>
  <c r="N1136" i="1"/>
  <c r="O1136" i="1"/>
  <c r="H1137" i="1"/>
  <c r="L1137" i="1"/>
  <c r="N1137" i="1"/>
  <c r="O1137" i="1"/>
  <c r="H1138" i="1"/>
  <c r="L1138" i="1"/>
  <c r="N1138" i="1"/>
  <c r="O1138" i="1"/>
  <c r="H1139" i="1"/>
  <c r="L1139" i="1"/>
  <c r="N1139" i="1"/>
  <c r="O1139" i="1"/>
  <c r="H1140" i="1"/>
  <c r="L1140" i="1"/>
  <c r="N1140" i="1"/>
  <c r="O1140" i="1"/>
  <c r="H1141" i="1"/>
  <c r="L1141" i="1"/>
  <c r="N1141" i="1"/>
  <c r="O1141" i="1"/>
  <c r="H1142" i="1"/>
  <c r="L1142" i="1"/>
  <c r="N1142" i="1"/>
  <c r="O1142" i="1"/>
  <c r="H1143" i="1"/>
  <c r="L1143" i="1"/>
  <c r="N1143" i="1"/>
  <c r="O1143" i="1"/>
  <c r="H1144" i="1"/>
  <c r="L1144" i="1"/>
  <c r="N1144" i="1"/>
  <c r="O1144" i="1"/>
  <c r="H1145" i="1"/>
  <c r="L1145" i="1"/>
  <c r="N1145" i="1"/>
  <c r="O1145" i="1"/>
  <c r="H1146" i="1"/>
  <c r="L1146" i="1"/>
  <c r="N1146" i="1"/>
  <c r="O1146" i="1"/>
  <c r="H1147" i="1"/>
  <c r="L1147" i="1"/>
  <c r="N1147" i="1"/>
  <c r="O1147" i="1"/>
  <c r="H1148" i="1"/>
  <c r="L1148" i="1"/>
  <c r="N1148" i="1"/>
  <c r="O1148" i="1"/>
  <c r="H1149" i="1"/>
  <c r="L1149" i="1"/>
  <c r="N1149" i="1"/>
  <c r="O1149" i="1"/>
  <c r="H1150" i="1"/>
  <c r="L1150" i="1"/>
  <c r="N1150" i="1"/>
  <c r="O1150" i="1"/>
  <c r="H1151" i="1"/>
  <c r="L1151" i="1"/>
  <c r="N1151" i="1"/>
  <c r="O1151" i="1"/>
  <c r="H1152" i="1"/>
  <c r="L1152" i="1"/>
  <c r="N1152" i="1"/>
  <c r="O1152" i="1"/>
  <c r="H1153" i="1"/>
  <c r="L1153" i="1"/>
  <c r="N1153" i="1"/>
  <c r="O1153" i="1"/>
  <c r="H1154" i="1"/>
  <c r="L1154" i="1"/>
  <c r="N1154" i="1"/>
  <c r="O1154" i="1"/>
  <c r="H1155" i="1"/>
  <c r="L1155" i="1"/>
  <c r="N1155" i="1"/>
  <c r="O1155" i="1"/>
  <c r="H1156" i="1"/>
  <c r="L1156" i="1"/>
  <c r="N1156" i="1"/>
  <c r="O1156" i="1"/>
  <c r="H1157" i="1"/>
  <c r="L1157" i="1"/>
  <c r="N1157" i="1"/>
  <c r="O1157" i="1"/>
  <c r="H1158" i="1"/>
  <c r="L1158" i="1"/>
  <c r="N1158" i="1"/>
  <c r="O1158" i="1"/>
  <c r="H1159" i="1"/>
  <c r="L1159" i="1"/>
  <c r="N1159" i="1"/>
  <c r="O1159" i="1"/>
  <c r="H1160" i="1"/>
  <c r="L1160" i="1"/>
  <c r="N1160" i="1"/>
  <c r="O1160" i="1"/>
  <c r="H1161" i="1"/>
  <c r="L1161" i="1"/>
  <c r="N1161" i="1"/>
  <c r="O1161" i="1"/>
  <c r="H1162" i="1"/>
  <c r="L1162" i="1"/>
  <c r="N1162" i="1"/>
  <c r="O1162" i="1"/>
  <c r="H1163" i="1"/>
  <c r="L1163" i="1"/>
  <c r="N1163" i="1"/>
  <c r="O1163" i="1"/>
  <c r="H1164" i="1"/>
  <c r="L1164" i="1"/>
  <c r="N1164" i="1"/>
  <c r="O1164" i="1"/>
  <c r="H1165" i="1"/>
  <c r="L1165" i="1"/>
  <c r="N1165" i="1"/>
  <c r="O1165" i="1"/>
  <c r="H1166" i="1"/>
  <c r="L1166" i="1"/>
  <c r="N1166" i="1"/>
  <c r="O1166" i="1"/>
  <c r="H1167" i="1"/>
  <c r="L1167" i="1"/>
  <c r="N1167" i="1"/>
  <c r="O1167" i="1"/>
  <c r="H1168" i="1"/>
  <c r="L1168" i="1"/>
  <c r="N1168" i="1"/>
  <c r="O1168" i="1"/>
  <c r="H1169" i="1"/>
  <c r="L1169" i="1"/>
  <c r="N1169" i="1"/>
  <c r="O1169" i="1"/>
  <c r="H1170" i="1"/>
  <c r="L1170" i="1"/>
  <c r="N1170" i="1"/>
  <c r="O1170" i="1"/>
  <c r="H1171" i="1"/>
  <c r="L1171" i="1"/>
  <c r="N1171" i="1"/>
  <c r="O1171" i="1"/>
  <c r="H1172" i="1"/>
  <c r="L1172" i="1"/>
  <c r="N1172" i="1"/>
  <c r="O1172" i="1"/>
  <c r="H1173" i="1"/>
  <c r="L1173" i="1"/>
  <c r="N1173" i="1"/>
  <c r="O1173" i="1"/>
  <c r="H1174" i="1"/>
  <c r="L1174" i="1"/>
  <c r="N1174" i="1"/>
  <c r="O1174" i="1"/>
  <c r="H1175" i="1"/>
  <c r="L1175" i="1"/>
  <c r="N1175" i="1"/>
  <c r="O1175" i="1"/>
  <c r="H1176" i="1"/>
  <c r="L1176" i="1"/>
  <c r="N1176" i="1"/>
  <c r="O1176" i="1"/>
  <c r="H1177" i="1"/>
  <c r="L1177" i="1"/>
  <c r="N1177" i="1"/>
  <c r="O1177" i="1"/>
  <c r="H1179" i="1"/>
  <c r="L1179" i="1"/>
  <c r="N1179" i="1"/>
  <c r="O1179" i="1"/>
  <c r="H1180" i="1"/>
  <c r="L1180" i="1"/>
  <c r="N1180" i="1"/>
  <c r="O1180" i="1"/>
  <c r="H1181" i="1"/>
  <c r="L1181" i="1"/>
  <c r="N1181" i="1"/>
  <c r="O1181" i="1"/>
  <c r="H1182" i="1"/>
  <c r="L1182" i="1"/>
  <c r="N1182" i="1"/>
  <c r="O1182" i="1"/>
  <c r="H1183" i="1"/>
  <c r="L1183" i="1"/>
  <c r="N1183" i="1"/>
  <c r="O1183" i="1"/>
  <c r="H1184" i="1"/>
  <c r="L1184" i="1"/>
  <c r="N1184" i="1"/>
  <c r="O1184" i="1"/>
  <c r="H1185" i="1"/>
  <c r="L1185" i="1"/>
  <c r="N1185" i="1"/>
  <c r="O1185" i="1"/>
  <c r="H1186" i="1"/>
  <c r="L1186" i="1"/>
  <c r="N1186" i="1"/>
  <c r="O1186" i="1"/>
  <c r="H1187" i="1"/>
  <c r="L1187" i="1"/>
  <c r="N1187" i="1"/>
  <c r="O1187" i="1"/>
  <c r="H1188" i="1"/>
  <c r="L1188" i="1"/>
  <c r="N1188" i="1"/>
  <c r="O1188" i="1"/>
  <c r="H1189" i="1"/>
  <c r="L1189" i="1"/>
  <c r="N1189" i="1"/>
  <c r="O1189" i="1"/>
  <c r="H1190" i="1"/>
  <c r="L1190" i="1"/>
  <c r="N1190" i="1"/>
  <c r="O1190" i="1"/>
  <c r="H1191" i="1"/>
  <c r="L1191" i="1"/>
  <c r="N1191" i="1"/>
  <c r="O1191" i="1"/>
  <c r="H1192" i="1"/>
  <c r="L1192" i="1"/>
  <c r="N1192" i="1"/>
  <c r="O1192" i="1"/>
  <c r="H1193" i="1"/>
  <c r="L1193" i="1"/>
  <c r="N1193" i="1"/>
  <c r="O1193" i="1"/>
  <c r="H1194" i="1"/>
  <c r="L1194" i="1"/>
  <c r="N1194" i="1"/>
  <c r="O1194" i="1"/>
  <c r="H1195" i="1"/>
  <c r="L1195" i="1"/>
  <c r="N1195" i="1"/>
  <c r="O1195" i="1"/>
  <c r="H1196" i="1"/>
  <c r="L1196" i="1"/>
  <c r="N1196" i="1"/>
  <c r="O1196" i="1"/>
  <c r="H1197" i="1"/>
  <c r="L1197" i="1"/>
  <c r="N1197" i="1"/>
  <c r="O1197" i="1"/>
  <c r="H1198" i="1"/>
  <c r="L1198" i="1"/>
  <c r="N1198" i="1"/>
  <c r="O1198" i="1"/>
  <c r="H1199" i="1"/>
  <c r="L1199" i="1"/>
  <c r="N1199" i="1"/>
  <c r="O1199" i="1"/>
  <c r="H1200" i="1"/>
  <c r="L1200" i="1"/>
  <c r="N1200" i="1"/>
  <c r="O1200" i="1"/>
  <c r="H1201" i="1"/>
  <c r="L1201" i="1"/>
  <c r="N1201" i="1"/>
  <c r="O1201" i="1"/>
  <c r="H1202" i="1"/>
  <c r="L1202" i="1"/>
  <c r="N1202" i="1"/>
  <c r="O1202" i="1"/>
  <c r="H1203" i="1"/>
  <c r="L1203" i="1"/>
  <c r="N1203" i="1"/>
  <c r="O1203" i="1"/>
  <c r="H1204" i="1"/>
  <c r="L1204" i="1"/>
  <c r="N1204" i="1"/>
  <c r="O1204" i="1"/>
  <c r="H1205" i="1"/>
  <c r="L1205" i="1"/>
  <c r="N1205" i="1"/>
  <c r="O1205" i="1"/>
  <c r="H1206" i="1"/>
  <c r="L1206" i="1"/>
  <c r="N1206" i="1"/>
  <c r="O1206" i="1"/>
  <c r="H1207" i="1"/>
  <c r="L1207" i="1"/>
  <c r="N1207" i="1"/>
  <c r="O1207" i="1"/>
  <c r="H1208" i="1"/>
  <c r="L1208" i="1"/>
  <c r="N1208" i="1"/>
  <c r="O1208" i="1"/>
  <c r="H1209" i="1"/>
  <c r="L1209" i="1"/>
  <c r="N1209" i="1"/>
  <c r="O1209" i="1"/>
  <c r="H1210" i="1"/>
  <c r="L1210" i="1"/>
  <c r="N1210" i="1"/>
  <c r="O1210" i="1"/>
  <c r="H1211" i="1"/>
  <c r="L1211" i="1"/>
  <c r="N1211" i="1"/>
  <c r="O1211" i="1"/>
  <c r="H1212" i="1"/>
  <c r="L1212" i="1"/>
  <c r="N1212" i="1"/>
  <c r="O1212" i="1"/>
  <c r="H1213" i="1"/>
  <c r="L1213" i="1"/>
  <c r="N1213" i="1"/>
  <c r="O1213" i="1"/>
  <c r="H1214" i="1"/>
  <c r="L1214" i="1"/>
  <c r="N1214" i="1"/>
  <c r="O1214" i="1"/>
  <c r="H1215" i="1"/>
  <c r="L1215" i="1"/>
  <c r="N1215" i="1"/>
  <c r="O1215" i="1"/>
  <c r="H1216" i="1"/>
  <c r="L1216" i="1"/>
  <c r="N1216" i="1"/>
  <c r="O1216" i="1"/>
  <c r="H1217" i="1"/>
  <c r="L1217" i="1"/>
  <c r="N1217" i="1"/>
  <c r="O1217" i="1"/>
  <c r="H1218" i="1"/>
  <c r="L1218" i="1"/>
  <c r="N1218" i="1"/>
  <c r="O1218" i="1"/>
  <c r="H1220" i="1"/>
  <c r="L1220" i="1"/>
  <c r="N1220" i="1"/>
  <c r="O1220" i="1"/>
  <c r="H1221" i="1"/>
  <c r="L1221" i="1"/>
  <c r="N1221" i="1"/>
  <c r="O1221" i="1"/>
  <c r="H1222" i="1"/>
  <c r="L1222" i="1"/>
  <c r="N1222" i="1"/>
  <c r="O1222" i="1"/>
  <c r="H1223" i="1"/>
  <c r="L1223" i="1"/>
  <c r="N1223" i="1"/>
  <c r="O1223" i="1"/>
  <c r="H1224" i="1"/>
  <c r="L1224" i="1"/>
  <c r="N1224" i="1"/>
  <c r="O1224" i="1"/>
  <c r="H1225" i="1"/>
  <c r="L1225" i="1"/>
  <c r="N1225" i="1"/>
  <c r="O1225" i="1"/>
  <c r="H1226" i="1"/>
  <c r="L1226" i="1"/>
  <c r="N1226" i="1"/>
  <c r="O1226" i="1"/>
  <c r="H1227" i="1"/>
  <c r="L1227" i="1"/>
  <c r="N1227" i="1"/>
  <c r="O1227" i="1"/>
  <c r="H1228" i="1"/>
  <c r="L1228" i="1"/>
  <c r="N1228" i="1"/>
  <c r="O1228" i="1"/>
  <c r="H1229" i="1"/>
  <c r="L1229" i="1"/>
  <c r="N1229" i="1"/>
  <c r="O1229" i="1"/>
  <c r="H1230" i="1"/>
  <c r="L1230" i="1"/>
  <c r="N1230" i="1"/>
  <c r="O1230" i="1"/>
  <c r="H1231" i="1"/>
  <c r="L1231" i="1"/>
  <c r="N1231" i="1"/>
  <c r="O1231" i="1"/>
  <c r="H1232" i="1"/>
  <c r="L1232" i="1"/>
  <c r="N1232" i="1"/>
  <c r="O1232" i="1"/>
  <c r="H1233" i="1"/>
  <c r="L1233" i="1"/>
  <c r="N1233" i="1"/>
  <c r="O1233" i="1"/>
  <c r="H1234" i="1"/>
  <c r="L1234" i="1"/>
  <c r="N1234" i="1"/>
  <c r="O1234" i="1"/>
  <c r="H1235" i="1"/>
  <c r="L1235" i="1"/>
  <c r="N1235" i="1"/>
  <c r="O1235" i="1"/>
  <c r="H1236" i="1"/>
  <c r="L1236" i="1"/>
  <c r="N1236" i="1"/>
  <c r="O1236" i="1"/>
  <c r="H1237" i="1"/>
  <c r="L1237" i="1"/>
  <c r="N1237" i="1"/>
  <c r="O1237" i="1"/>
  <c r="H1238" i="1"/>
  <c r="L1238" i="1"/>
  <c r="N1238" i="1"/>
  <c r="O1238" i="1"/>
  <c r="H1239" i="1"/>
  <c r="L1239" i="1"/>
  <c r="N1239" i="1"/>
  <c r="O1239" i="1"/>
  <c r="H1240" i="1"/>
  <c r="L1240" i="1"/>
  <c r="N1240" i="1"/>
  <c r="O1240" i="1"/>
  <c r="H1241" i="1"/>
  <c r="L1241" i="1"/>
  <c r="N1241" i="1"/>
  <c r="O1241" i="1"/>
  <c r="H1242" i="1"/>
  <c r="L1242" i="1"/>
  <c r="N1242" i="1"/>
  <c r="O1242" i="1"/>
  <c r="H1243" i="1"/>
  <c r="L1243" i="1"/>
  <c r="N1243" i="1"/>
  <c r="O1243" i="1"/>
  <c r="H1244" i="1"/>
  <c r="L1244" i="1"/>
  <c r="N1244" i="1"/>
  <c r="O1244" i="1"/>
  <c r="H1245" i="1"/>
  <c r="L1245" i="1"/>
  <c r="N1245" i="1"/>
  <c r="O1245" i="1"/>
  <c r="H1246" i="1"/>
  <c r="L1246" i="1"/>
  <c r="N1246" i="1"/>
  <c r="O1246" i="1"/>
  <c r="H1247" i="1"/>
  <c r="L1247" i="1"/>
  <c r="N1247" i="1"/>
  <c r="O1247" i="1"/>
  <c r="H1248" i="1"/>
  <c r="L1248" i="1"/>
  <c r="N1248" i="1"/>
  <c r="O1248" i="1"/>
  <c r="H1249" i="1"/>
  <c r="L1249" i="1"/>
  <c r="N1249" i="1"/>
  <c r="O1249" i="1"/>
  <c r="H1250" i="1"/>
  <c r="L1250" i="1"/>
  <c r="N1250" i="1"/>
  <c r="O1250" i="1"/>
  <c r="H1251" i="1"/>
  <c r="L1251" i="1"/>
  <c r="N1251" i="1"/>
  <c r="O1251" i="1"/>
  <c r="H1252" i="1"/>
  <c r="L1252" i="1"/>
  <c r="N1252" i="1"/>
  <c r="O1252" i="1"/>
  <c r="H1253" i="1"/>
  <c r="L1253" i="1"/>
  <c r="N1253" i="1"/>
  <c r="O1253" i="1"/>
  <c r="H1254" i="1"/>
  <c r="L1254" i="1"/>
  <c r="N1254" i="1"/>
  <c r="O1254" i="1"/>
  <c r="H1255" i="1"/>
  <c r="L1255" i="1"/>
  <c r="N1255" i="1"/>
  <c r="O1255" i="1"/>
  <c r="H1256" i="1"/>
  <c r="L1256" i="1"/>
  <c r="N1256" i="1"/>
  <c r="O1256" i="1"/>
  <c r="H1257" i="1"/>
  <c r="L1257" i="1"/>
  <c r="N1257" i="1"/>
  <c r="O1257" i="1"/>
  <c r="H1258" i="1"/>
  <c r="L1258" i="1"/>
  <c r="N1258" i="1"/>
  <c r="O1258" i="1"/>
  <c r="H1259" i="1"/>
  <c r="L1259" i="1"/>
  <c r="N1259" i="1"/>
  <c r="O1259" i="1"/>
  <c r="H1260" i="1"/>
  <c r="L1260" i="1"/>
  <c r="N1260" i="1"/>
  <c r="O1260" i="1"/>
  <c r="H1261" i="1"/>
  <c r="L1261" i="1"/>
  <c r="N1261" i="1"/>
  <c r="O1261" i="1"/>
  <c r="H1262" i="1"/>
  <c r="L1262" i="1"/>
  <c r="N1262" i="1"/>
  <c r="O1262" i="1"/>
  <c r="H1263" i="1"/>
  <c r="L1263" i="1"/>
  <c r="N1263" i="1"/>
  <c r="O1263" i="1"/>
  <c r="H1264" i="1"/>
  <c r="L1264" i="1"/>
  <c r="N1264" i="1"/>
  <c r="O1264" i="1"/>
  <c r="H1265" i="1"/>
  <c r="L1265" i="1"/>
  <c r="N1265" i="1"/>
  <c r="O1265" i="1"/>
  <c r="H1266" i="1"/>
  <c r="L1266" i="1"/>
  <c r="N1266" i="1"/>
  <c r="O1266" i="1"/>
  <c r="H1267" i="1"/>
  <c r="L1267" i="1"/>
  <c r="N1267" i="1"/>
  <c r="O1267" i="1"/>
  <c r="H1268" i="1"/>
  <c r="L1268" i="1"/>
  <c r="N1268" i="1"/>
  <c r="O1268" i="1"/>
  <c r="H1269" i="1"/>
  <c r="L1269" i="1"/>
  <c r="N1269" i="1"/>
  <c r="O1269" i="1"/>
  <c r="H1270" i="1"/>
  <c r="L1270" i="1"/>
  <c r="N1270" i="1"/>
  <c r="O1270" i="1"/>
  <c r="H1271" i="1"/>
  <c r="L1271" i="1"/>
  <c r="N1271" i="1"/>
  <c r="O1271" i="1"/>
  <c r="H1272" i="1"/>
  <c r="L1272" i="1"/>
  <c r="N1272" i="1"/>
  <c r="O1272" i="1"/>
  <c r="H1273" i="1"/>
  <c r="L1273" i="1"/>
  <c r="N1273" i="1"/>
  <c r="O1273" i="1"/>
  <c r="H1274" i="1"/>
  <c r="L1274" i="1"/>
  <c r="N1274" i="1"/>
  <c r="O1274" i="1"/>
  <c r="H1275" i="1"/>
  <c r="L1275" i="1"/>
  <c r="N1275" i="1"/>
  <c r="O1275" i="1"/>
  <c r="H1276" i="1"/>
  <c r="L1276" i="1"/>
  <c r="N1276" i="1"/>
  <c r="O1276" i="1"/>
  <c r="H1277" i="1"/>
  <c r="L1277" i="1"/>
  <c r="N1277" i="1"/>
  <c r="O1277" i="1"/>
  <c r="H1278" i="1"/>
  <c r="L1278" i="1"/>
  <c r="N1278" i="1"/>
  <c r="O1278" i="1"/>
  <c r="H1279" i="1"/>
  <c r="L1279" i="1"/>
  <c r="N1279" i="1"/>
  <c r="O1279" i="1"/>
  <c r="H1280" i="1"/>
  <c r="L1280" i="1"/>
  <c r="N1280" i="1"/>
  <c r="O1280" i="1"/>
  <c r="H1282" i="1"/>
  <c r="L1282" i="1"/>
  <c r="N1282" i="1"/>
  <c r="O1282" i="1"/>
  <c r="H1283" i="1"/>
  <c r="L1283" i="1"/>
  <c r="N1283" i="1"/>
  <c r="O1283" i="1"/>
  <c r="H1284" i="1"/>
  <c r="L1284" i="1"/>
  <c r="N1284" i="1"/>
  <c r="O1284" i="1"/>
  <c r="H1285" i="1"/>
  <c r="L1285" i="1"/>
  <c r="N1285" i="1"/>
  <c r="O1285" i="1"/>
  <c r="H1286" i="1"/>
  <c r="L1286" i="1"/>
  <c r="N1286" i="1"/>
  <c r="O1286" i="1"/>
  <c r="H1287" i="1"/>
  <c r="L1287" i="1"/>
  <c r="N1287" i="1"/>
  <c r="O1287" i="1"/>
  <c r="H1288" i="1"/>
  <c r="L1288" i="1"/>
  <c r="N1288" i="1"/>
  <c r="O1288" i="1"/>
  <c r="H1289" i="1"/>
  <c r="L1289" i="1"/>
  <c r="N1289" i="1"/>
  <c r="O1289" i="1"/>
  <c r="H1290" i="1"/>
  <c r="L1290" i="1"/>
  <c r="N1290" i="1"/>
  <c r="O1290" i="1"/>
  <c r="H1291" i="1"/>
  <c r="L1291" i="1"/>
  <c r="N1291" i="1"/>
  <c r="O1291" i="1"/>
  <c r="H1292" i="1"/>
  <c r="L1292" i="1"/>
  <c r="N1292" i="1"/>
  <c r="O1292" i="1"/>
  <c r="H1293" i="1"/>
  <c r="L1293" i="1"/>
  <c r="N1293" i="1"/>
  <c r="O1293" i="1"/>
  <c r="H1294" i="1"/>
  <c r="L1294" i="1"/>
  <c r="N1294" i="1"/>
  <c r="O1294" i="1"/>
  <c r="H1295" i="1"/>
  <c r="L1295" i="1"/>
  <c r="N1295" i="1"/>
  <c r="O1295" i="1"/>
  <c r="H1296" i="1"/>
  <c r="L1296" i="1"/>
  <c r="N1296" i="1"/>
  <c r="O1296" i="1"/>
  <c r="H1297" i="1"/>
  <c r="L1297" i="1"/>
  <c r="N1297" i="1"/>
  <c r="O1297" i="1"/>
  <c r="H1298" i="1"/>
  <c r="L1298" i="1"/>
  <c r="N1298" i="1"/>
  <c r="O1298" i="1"/>
  <c r="H1299" i="1"/>
  <c r="L1299" i="1"/>
  <c r="N1299" i="1"/>
  <c r="O1299" i="1"/>
  <c r="H1300" i="1"/>
  <c r="L1300" i="1"/>
  <c r="N1300" i="1"/>
  <c r="O1300" i="1"/>
  <c r="H1301" i="1"/>
  <c r="L1301" i="1"/>
  <c r="N1301" i="1"/>
  <c r="O1301" i="1"/>
  <c r="H1302" i="1"/>
  <c r="L1302" i="1"/>
  <c r="N1302" i="1"/>
  <c r="O1302" i="1"/>
  <c r="H1303" i="1"/>
  <c r="L1303" i="1"/>
  <c r="N1303" i="1"/>
  <c r="O1303" i="1"/>
  <c r="H1304" i="1"/>
  <c r="L1304" i="1"/>
  <c r="N1304" i="1"/>
  <c r="O1304" i="1"/>
  <c r="H1305" i="1"/>
  <c r="L1305" i="1"/>
  <c r="N1305" i="1"/>
  <c r="O1305" i="1"/>
  <c r="H1306" i="1"/>
  <c r="L1306" i="1"/>
  <c r="N1306" i="1"/>
  <c r="O1306" i="1"/>
  <c r="H1307" i="1"/>
  <c r="L1307" i="1"/>
  <c r="N1307" i="1"/>
  <c r="O1307" i="1"/>
  <c r="H1308" i="1"/>
  <c r="L1308" i="1"/>
  <c r="N1308" i="1"/>
  <c r="O1308" i="1"/>
  <c r="H1309" i="1"/>
  <c r="L1309" i="1"/>
  <c r="N1309" i="1"/>
  <c r="O1309" i="1"/>
  <c r="H1310" i="1"/>
  <c r="L1310" i="1"/>
  <c r="N1310" i="1"/>
  <c r="O1310" i="1"/>
  <c r="H1311" i="1"/>
  <c r="L1311" i="1"/>
  <c r="N1311" i="1"/>
  <c r="O1311" i="1"/>
  <c r="H1312" i="1"/>
  <c r="L1312" i="1"/>
  <c r="N1312" i="1"/>
  <c r="O1312" i="1"/>
  <c r="H1313" i="1"/>
  <c r="L1313" i="1"/>
  <c r="N1313" i="1"/>
  <c r="O1313" i="1"/>
  <c r="H1314" i="1"/>
  <c r="L1314" i="1"/>
  <c r="N1314" i="1"/>
  <c r="O1314" i="1"/>
  <c r="H1315" i="1"/>
  <c r="L1315" i="1"/>
  <c r="N1315" i="1"/>
  <c r="O1315" i="1"/>
  <c r="H1316" i="1"/>
  <c r="L1316" i="1"/>
  <c r="N1316" i="1"/>
  <c r="O1316" i="1"/>
  <c r="H1318" i="1"/>
  <c r="L1318" i="1"/>
  <c r="N1318" i="1"/>
  <c r="O1318" i="1"/>
  <c r="H1319" i="1"/>
  <c r="L1319" i="1"/>
  <c r="N1319" i="1"/>
  <c r="O1319" i="1"/>
  <c r="H1320" i="1"/>
  <c r="L1320" i="1"/>
  <c r="N1320" i="1"/>
  <c r="O1320" i="1"/>
  <c r="H1321" i="1"/>
  <c r="L1321" i="1"/>
  <c r="N1321" i="1"/>
  <c r="O1321" i="1"/>
  <c r="H1322" i="1"/>
  <c r="L1322" i="1"/>
  <c r="N1322" i="1"/>
  <c r="O1322" i="1"/>
  <c r="H1323" i="1"/>
  <c r="L1323" i="1"/>
  <c r="N1323" i="1"/>
  <c r="O1323" i="1"/>
  <c r="H1324" i="1"/>
  <c r="L1324" i="1"/>
  <c r="N1324" i="1"/>
  <c r="O1324" i="1"/>
  <c r="H1325" i="1"/>
  <c r="L1325" i="1"/>
  <c r="N1325" i="1"/>
  <c r="O1325" i="1"/>
  <c r="H1326" i="1"/>
  <c r="L1326" i="1"/>
  <c r="N1326" i="1"/>
  <c r="O1326" i="1"/>
  <c r="H1327" i="1"/>
  <c r="L1327" i="1"/>
  <c r="N1327" i="1"/>
  <c r="O1327" i="1"/>
  <c r="H1328" i="1"/>
  <c r="L1328" i="1"/>
  <c r="N1328" i="1"/>
  <c r="O1328" i="1"/>
  <c r="H1329" i="1"/>
  <c r="L1329" i="1"/>
  <c r="N1329" i="1"/>
  <c r="O1329" i="1"/>
  <c r="H1330" i="1"/>
  <c r="L1330" i="1"/>
  <c r="N1330" i="1"/>
  <c r="O1330" i="1"/>
  <c r="H1331" i="1"/>
  <c r="L1331" i="1"/>
  <c r="N1331" i="1"/>
  <c r="O1331" i="1"/>
  <c r="H1332" i="1"/>
  <c r="L1332" i="1"/>
  <c r="N1332" i="1"/>
  <c r="O1332" i="1"/>
  <c r="H1333" i="1"/>
  <c r="L1333" i="1"/>
  <c r="N1333" i="1"/>
  <c r="O1333" i="1"/>
  <c r="H1334" i="1"/>
  <c r="L1334" i="1"/>
  <c r="N1334" i="1"/>
  <c r="O1334" i="1"/>
  <c r="H1335" i="1"/>
  <c r="L1335" i="1"/>
  <c r="N1335" i="1"/>
  <c r="O1335" i="1"/>
  <c r="H1336" i="1"/>
  <c r="L1336" i="1"/>
  <c r="N1336" i="1"/>
  <c r="O1336" i="1"/>
  <c r="H1337" i="1"/>
  <c r="L1337" i="1"/>
  <c r="N1337" i="1"/>
  <c r="O1337" i="1"/>
  <c r="H1338" i="1"/>
  <c r="L1338" i="1"/>
  <c r="N1338" i="1"/>
  <c r="O1338" i="1"/>
  <c r="H1339" i="1"/>
  <c r="L1339" i="1"/>
  <c r="N1339" i="1"/>
  <c r="O1339" i="1"/>
  <c r="H1340" i="1"/>
  <c r="L1340" i="1"/>
  <c r="N1340" i="1"/>
  <c r="O1340" i="1"/>
  <c r="H1341" i="1"/>
  <c r="L1341" i="1"/>
  <c r="N1341" i="1"/>
  <c r="O1341" i="1"/>
  <c r="H1342" i="1"/>
  <c r="L1342" i="1"/>
  <c r="N1342" i="1"/>
  <c r="O1342" i="1"/>
  <c r="H1343" i="1"/>
  <c r="L1343" i="1"/>
  <c r="N1343" i="1"/>
  <c r="O1343" i="1"/>
  <c r="H1344" i="1"/>
  <c r="L1344" i="1"/>
  <c r="N1344" i="1"/>
  <c r="O1344" i="1"/>
  <c r="H1346" i="1"/>
  <c r="L1346" i="1"/>
  <c r="N1346" i="1"/>
  <c r="O1346" i="1"/>
  <c r="H1347" i="1"/>
  <c r="L1347" i="1"/>
  <c r="N1347" i="1"/>
  <c r="O1347" i="1"/>
  <c r="H1348" i="1"/>
  <c r="L1348" i="1"/>
  <c r="N1348" i="1"/>
  <c r="O1348" i="1"/>
  <c r="H1349" i="1"/>
  <c r="L1349" i="1"/>
  <c r="N1349" i="1"/>
  <c r="O1349" i="1"/>
  <c r="H1350" i="1"/>
  <c r="L1350" i="1"/>
  <c r="N1350" i="1"/>
  <c r="O1350" i="1"/>
  <c r="H1351" i="1"/>
  <c r="L1351" i="1"/>
  <c r="N1351" i="1"/>
  <c r="O1351" i="1"/>
  <c r="H1352" i="1"/>
  <c r="L1352" i="1"/>
  <c r="N1352" i="1"/>
  <c r="O1352" i="1"/>
  <c r="H1353" i="1"/>
  <c r="L1353" i="1"/>
  <c r="N1353" i="1"/>
  <c r="O1353" i="1"/>
  <c r="H1355" i="1"/>
  <c r="L1355" i="1"/>
  <c r="N1355" i="1"/>
  <c r="O1355" i="1"/>
  <c r="H1356" i="1"/>
  <c r="L1356" i="1"/>
  <c r="N1356" i="1"/>
  <c r="O1356" i="1"/>
  <c r="H1357" i="1"/>
  <c r="L1357" i="1"/>
  <c r="N1357" i="1"/>
  <c r="O1357" i="1"/>
  <c r="H1358" i="1"/>
  <c r="L1358" i="1"/>
  <c r="N1358" i="1"/>
  <c r="O1358" i="1"/>
  <c r="H1359" i="1"/>
  <c r="L1359" i="1"/>
  <c r="N1359" i="1"/>
  <c r="O1359" i="1"/>
  <c r="H1360" i="1"/>
  <c r="L1360" i="1"/>
  <c r="N1360" i="1"/>
  <c r="O1360" i="1"/>
  <c r="H1361" i="1"/>
  <c r="L1361" i="1"/>
  <c r="N1361" i="1"/>
  <c r="O1361" i="1"/>
  <c r="H1363" i="1"/>
  <c r="L1363" i="1"/>
  <c r="N1363" i="1"/>
  <c r="O1363" i="1"/>
  <c r="H1364" i="1"/>
  <c r="L1364" i="1"/>
  <c r="N1364" i="1"/>
  <c r="O1364" i="1"/>
  <c r="H1365" i="1"/>
  <c r="L1365" i="1"/>
  <c r="N1365" i="1"/>
  <c r="O1365" i="1"/>
  <c r="H1366" i="1"/>
  <c r="L1366" i="1"/>
  <c r="N1366" i="1"/>
  <c r="O1366" i="1"/>
  <c r="H1367" i="1"/>
  <c r="L1367" i="1"/>
  <c r="N1367" i="1"/>
  <c r="O1367" i="1"/>
  <c r="H1368" i="1"/>
  <c r="L1368" i="1"/>
  <c r="N1368" i="1"/>
  <c r="O1368" i="1"/>
  <c r="H1369" i="1"/>
  <c r="L1369" i="1"/>
  <c r="N1369" i="1"/>
  <c r="O1369" i="1"/>
  <c r="H1370" i="1"/>
  <c r="L1370" i="1"/>
  <c r="N1370" i="1"/>
  <c r="O1370" i="1"/>
  <c r="H1371" i="1"/>
  <c r="L1371" i="1"/>
  <c r="N1371" i="1"/>
  <c r="O1371" i="1"/>
  <c r="H1372" i="1"/>
  <c r="L1372" i="1"/>
  <c r="N1372" i="1"/>
  <c r="O1372" i="1"/>
  <c r="H1373" i="1"/>
  <c r="L1373" i="1"/>
  <c r="N1373" i="1"/>
  <c r="O1373" i="1"/>
  <c r="H1374" i="1"/>
  <c r="L1374" i="1"/>
  <c r="N1374" i="1"/>
  <c r="O1374" i="1"/>
  <c r="H1375" i="1"/>
  <c r="L1375" i="1"/>
  <c r="N1375" i="1"/>
  <c r="O1375" i="1"/>
  <c r="H1376" i="1"/>
  <c r="L1376" i="1"/>
  <c r="N1376" i="1"/>
  <c r="O1376" i="1"/>
  <c r="H1377" i="1"/>
  <c r="L1377" i="1"/>
  <c r="N1377" i="1"/>
  <c r="O1377" i="1"/>
  <c r="H1378" i="1"/>
  <c r="L1378" i="1"/>
  <c r="N1378" i="1"/>
  <c r="O1378" i="1"/>
  <c r="H1379" i="1"/>
  <c r="L1379" i="1"/>
  <c r="N1379" i="1"/>
  <c r="O1379" i="1"/>
  <c r="H1380" i="1"/>
  <c r="L1380" i="1"/>
  <c r="N1380" i="1"/>
  <c r="O1380" i="1"/>
  <c r="H1381" i="1"/>
  <c r="L1381" i="1"/>
  <c r="N1381" i="1"/>
  <c r="O1381" i="1"/>
  <c r="H1382" i="1"/>
  <c r="L1382" i="1"/>
  <c r="N1382" i="1"/>
  <c r="O1382" i="1"/>
  <c r="H1383" i="1"/>
  <c r="L1383" i="1"/>
  <c r="N1383" i="1"/>
  <c r="O1383" i="1"/>
  <c r="H1384" i="1"/>
  <c r="L1384" i="1"/>
  <c r="N1384" i="1"/>
  <c r="O1384" i="1"/>
  <c r="H1386" i="1"/>
  <c r="L1386" i="1"/>
  <c r="N1386" i="1"/>
  <c r="O1386" i="1"/>
  <c r="H1387" i="1"/>
  <c r="L1387" i="1"/>
  <c r="N1387" i="1"/>
  <c r="O1387" i="1"/>
  <c r="H1388" i="1"/>
  <c r="L1388" i="1"/>
  <c r="N1388" i="1"/>
  <c r="O1388" i="1"/>
  <c r="H1389" i="1"/>
  <c r="L1389" i="1"/>
  <c r="N1389" i="1"/>
  <c r="O1389" i="1"/>
  <c r="H1390" i="1"/>
  <c r="L1390" i="1"/>
  <c r="N1390" i="1"/>
  <c r="O1390" i="1"/>
  <c r="H1391" i="1"/>
  <c r="L1391" i="1"/>
  <c r="N1391" i="1"/>
  <c r="O1391" i="1"/>
  <c r="H1392" i="1"/>
  <c r="L1392" i="1"/>
  <c r="N1392" i="1"/>
  <c r="O1392" i="1"/>
  <c r="H1393" i="1"/>
  <c r="L1393" i="1"/>
  <c r="N1393" i="1"/>
  <c r="O1393" i="1"/>
  <c r="H1394" i="1"/>
  <c r="L1394" i="1"/>
  <c r="N1394" i="1"/>
  <c r="O1394" i="1"/>
  <c r="H1395" i="1"/>
  <c r="L1395" i="1"/>
  <c r="N1395" i="1"/>
  <c r="O1395" i="1"/>
  <c r="H1396" i="1"/>
  <c r="L1396" i="1"/>
  <c r="N1396" i="1"/>
  <c r="O1396" i="1"/>
  <c r="H1397" i="1"/>
  <c r="L1397" i="1"/>
  <c r="N1397" i="1"/>
  <c r="O1397" i="1"/>
  <c r="H1398" i="1"/>
  <c r="L1398" i="1"/>
  <c r="N1398" i="1"/>
  <c r="O1398" i="1"/>
  <c r="H1399" i="1"/>
  <c r="L1399" i="1"/>
  <c r="N1399" i="1"/>
  <c r="O1399" i="1"/>
  <c r="H1400" i="1"/>
  <c r="L1400" i="1"/>
  <c r="N1400" i="1"/>
  <c r="O1400" i="1"/>
  <c r="H1401" i="1"/>
  <c r="L1401" i="1"/>
  <c r="N1401" i="1"/>
  <c r="O1401" i="1"/>
  <c r="H1402" i="1"/>
  <c r="L1402" i="1"/>
  <c r="N1402" i="1"/>
  <c r="O1402" i="1"/>
  <c r="H1404" i="1"/>
  <c r="L1404" i="1"/>
  <c r="N1404" i="1"/>
  <c r="O1404" i="1"/>
  <c r="H1405" i="1"/>
  <c r="L1405" i="1"/>
  <c r="N1405" i="1"/>
  <c r="O1405" i="1"/>
  <c r="H1406" i="1"/>
  <c r="L1406" i="1"/>
  <c r="N1406" i="1"/>
  <c r="O1406" i="1"/>
  <c r="H1407" i="1"/>
  <c r="L1407" i="1"/>
  <c r="N1407" i="1"/>
  <c r="O1407" i="1"/>
  <c r="H1408" i="1"/>
  <c r="L1408" i="1"/>
  <c r="N1408" i="1"/>
  <c r="O1408" i="1"/>
  <c r="H1409" i="1"/>
  <c r="L1409" i="1"/>
  <c r="N1409" i="1"/>
  <c r="O1409" i="1"/>
  <c r="H1410" i="1"/>
  <c r="L1410" i="1"/>
  <c r="N1410" i="1"/>
  <c r="O1410" i="1"/>
  <c r="H1411" i="1"/>
  <c r="L1411" i="1"/>
  <c r="N1411" i="1"/>
  <c r="O1411" i="1"/>
  <c r="H1412" i="1"/>
  <c r="L1412" i="1"/>
  <c r="N1412" i="1"/>
  <c r="O1412" i="1"/>
  <c r="H1413" i="1"/>
  <c r="L1413" i="1"/>
  <c r="N1413" i="1"/>
  <c r="O1413" i="1"/>
  <c r="H1414" i="1"/>
  <c r="L1414" i="1"/>
  <c r="N1414" i="1"/>
  <c r="O1414" i="1"/>
  <c r="H1415" i="1"/>
  <c r="L1415" i="1"/>
  <c r="N1415" i="1"/>
  <c r="O1415" i="1"/>
  <c r="H1416" i="1"/>
  <c r="L1416" i="1"/>
  <c r="N1416" i="1"/>
  <c r="O1416" i="1"/>
  <c r="H1417" i="1"/>
  <c r="L1417" i="1"/>
  <c r="N1417" i="1"/>
  <c r="O1417" i="1"/>
  <c r="H1418" i="1"/>
  <c r="L1418" i="1"/>
  <c r="N1418" i="1"/>
  <c r="O1418" i="1"/>
  <c r="H1419" i="1"/>
  <c r="L1419" i="1"/>
  <c r="N1419" i="1"/>
  <c r="O1419" i="1"/>
  <c r="H1420" i="1"/>
  <c r="L1420" i="1"/>
  <c r="N1420" i="1"/>
  <c r="O1420" i="1"/>
  <c r="H1421" i="1"/>
  <c r="L1421" i="1"/>
  <c r="N1421" i="1"/>
  <c r="O1421" i="1"/>
  <c r="H1422" i="1"/>
  <c r="L1422" i="1"/>
  <c r="N1422" i="1"/>
  <c r="O1422" i="1"/>
  <c r="H1423" i="1"/>
  <c r="L1423" i="1"/>
  <c r="N1423" i="1"/>
  <c r="O1423" i="1"/>
  <c r="H1424" i="1"/>
  <c r="L1424" i="1"/>
  <c r="N1424" i="1"/>
  <c r="O1424" i="1"/>
  <c r="H1425" i="1"/>
  <c r="L1425" i="1"/>
  <c r="N1425" i="1"/>
  <c r="O1425" i="1"/>
  <c r="H1426" i="1"/>
  <c r="L1426" i="1"/>
  <c r="N1426" i="1"/>
  <c r="O1426" i="1"/>
  <c r="H1427" i="1"/>
  <c r="L1427" i="1"/>
  <c r="N1427" i="1"/>
  <c r="O1427" i="1"/>
  <c r="H1428" i="1"/>
  <c r="L1428" i="1"/>
  <c r="N1428" i="1"/>
  <c r="O1428" i="1"/>
  <c r="H1429" i="1"/>
  <c r="L1429" i="1"/>
  <c r="N1429" i="1"/>
  <c r="O1429" i="1"/>
  <c r="H1430" i="1"/>
  <c r="L1430" i="1"/>
  <c r="N1430" i="1"/>
  <c r="O1430" i="1"/>
  <c r="H1431" i="1"/>
  <c r="L1431" i="1"/>
  <c r="N1431" i="1"/>
  <c r="O1431" i="1"/>
  <c r="H1432" i="1"/>
  <c r="L1432" i="1"/>
  <c r="N1432" i="1"/>
  <c r="O1432" i="1"/>
  <c r="H1434" i="1"/>
  <c r="L1434" i="1"/>
  <c r="N1434" i="1"/>
  <c r="O1434" i="1"/>
  <c r="H1435" i="1"/>
  <c r="L1435" i="1"/>
  <c r="N1435" i="1"/>
  <c r="O1435" i="1"/>
  <c r="H1436" i="1"/>
  <c r="L1436" i="1"/>
  <c r="N1436" i="1"/>
  <c r="O1436" i="1"/>
  <c r="H1437" i="1"/>
  <c r="L1437" i="1"/>
  <c r="N1437" i="1"/>
  <c r="O1437" i="1"/>
  <c r="H1438" i="1"/>
  <c r="L1438" i="1"/>
  <c r="N1438" i="1"/>
  <c r="O1438" i="1"/>
  <c r="H1439" i="1"/>
  <c r="L1439" i="1"/>
  <c r="N1439" i="1"/>
  <c r="O1439" i="1"/>
  <c r="H1440" i="1"/>
  <c r="L1440" i="1"/>
  <c r="N1440" i="1"/>
  <c r="O1440" i="1"/>
  <c r="H1441" i="1"/>
  <c r="L1441" i="1"/>
  <c r="N1441" i="1"/>
  <c r="O1441" i="1"/>
  <c r="H1442" i="1"/>
  <c r="L1442" i="1"/>
  <c r="N1442" i="1"/>
  <c r="O1442" i="1"/>
  <c r="H1443" i="1"/>
  <c r="L1443" i="1"/>
  <c r="N1443" i="1"/>
  <c r="O1443" i="1"/>
  <c r="H1444" i="1"/>
  <c r="L1444" i="1"/>
  <c r="N1444" i="1"/>
  <c r="O1444" i="1"/>
  <c r="H1445" i="1"/>
  <c r="L1445" i="1"/>
  <c r="N1445" i="1"/>
  <c r="O1445" i="1"/>
  <c r="H1447" i="1"/>
  <c r="L1447" i="1"/>
  <c r="N1447" i="1"/>
  <c r="O1447" i="1"/>
  <c r="H1448" i="1"/>
  <c r="L1448" i="1"/>
  <c r="N1448" i="1"/>
  <c r="O1448" i="1"/>
  <c r="H1449" i="1"/>
  <c r="L1449" i="1"/>
  <c r="N1449" i="1"/>
  <c r="O1449" i="1"/>
  <c r="H1450" i="1"/>
  <c r="L1450" i="1"/>
  <c r="N1450" i="1"/>
  <c r="O1450" i="1"/>
  <c r="H1451" i="1"/>
  <c r="L1451" i="1"/>
  <c r="N1451" i="1"/>
  <c r="O1451" i="1"/>
  <c r="H1452" i="1"/>
  <c r="L1452" i="1"/>
  <c r="N1452" i="1"/>
  <c r="O1452" i="1"/>
  <c r="H1453" i="1"/>
  <c r="L1453" i="1"/>
  <c r="N1453" i="1"/>
  <c r="O1453" i="1"/>
  <c r="H1454" i="1"/>
  <c r="L1454" i="1"/>
  <c r="N1454" i="1"/>
  <c r="O1454" i="1"/>
  <c r="H1455" i="1"/>
  <c r="L1455" i="1"/>
  <c r="N1455" i="1"/>
  <c r="O1455" i="1"/>
  <c r="H1456" i="1"/>
  <c r="L1456" i="1"/>
  <c r="N1456" i="1"/>
  <c r="O1456" i="1"/>
  <c r="H1457" i="1"/>
  <c r="L1457" i="1"/>
  <c r="N1457" i="1"/>
  <c r="O1457" i="1"/>
  <c r="H1458" i="1"/>
  <c r="L1458" i="1"/>
  <c r="N1458" i="1"/>
  <c r="O1458" i="1"/>
  <c r="H1459" i="1"/>
  <c r="L1459" i="1"/>
  <c r="N1459" i="1"/>
  <c r="O1459" i="1"/>
  <c r="H1460" i="1"/>
  <c r="L1460" i="1"/>
  <c r="N1460" i="1"/>
  <c r="O1460" i="1"/>
  <c r="H1461" i="1"/>
  <c r="L1461" i="1"/>
  <c r="N1461" i="1"/>
  <c r="O1461" i="1"/>
  <c r="H1462" i="1"/>
  <c r="L1462" i="1"/>
  <c r="N1462" i="1"/>
  <c r="O1462" i="1"/>
  <c r="H1463" i="1"/>
  <c r="L1463" i="1"/>
  <c r="N1463" i="1"/>
  <c r="O1463" i="1"/>
  <c r="H1464" i="1"/>
  <c r="L1464" i="1"/>
  <c r="N1464" i="1"/>
  <c r="O1464" i="1"/>
  <c r="H1465" i="1"/>
  <c r="L1465" i="1"/>
  <c r="N1465" i="1"/>
  <c r="O1465" i="1"/>
  <c r="H1466" i="1"/>
  <c r="L1466" i="1"/>
  <c r="N1466" i="1"/>
  <c r="O1466" i="1"/>
  <c r="H1467" i="1"/>
  <c r="L1467" i="1"/>
  <c r="N1467" i="1"/>
  <c r="O1467" i="1"/>
  <c r="H1468" i="1"/>
  <c r="L1468" i="1"/>
  <c r="N1468" i="1"/>
  <c r="O1468" i="1"/>
  <c r="H1469" i="1"/>
  <c r="L1469" i="1"/>
  <c r="N1469" i="1"/>
  <c r="O1469" i="1"/>
  <c r="H1470" i="1"/>
  <c r="L1470" i="1"/>
  <c r="N1470" i="1"/>
  <c r="O1470" i="1"/>
  <c r="H1471" i="1"/>
  <c r="L1471" i="1"/>
  <c r="N1471" i="1"/>
  <c r="O1471" i="1"/>
  <c r="H1472" i="1"/>
  <c r="L1472" i="1"/>
  <c r="N1472" i="1"/>
  <c r="O1472" i="1"/>
  <c r="H1473" i="1"/>
  <c r="L1473" i="1"/>
  <c r="N1473" i="1"/>
  <c r="O1473" i="1"/>
  <c r="H1474" i="1"/>
  <c r="L1474" i="1"/>
  <c r="N1474" i="1"/>
  <c r="O1474" i="1"/>
  <c r="H1475" i="1"/>
  <c r="L1475" i="1"/>
  <c r="N1475" i="1"/>
  <c r="O1475" i="1"/>
  <c r="H1476" i="1"/>
  <c r="L1476" i="1"/>
  <c r="N1476" i="1"/>
  <c r="O1476" i="1"/>
  <c r="H1477" i="1"/>
  <c r="L1477" i="1"/>
  <c r="N1477" i="1"/>
  <c r="O1477" i="1"/>
  <c r="H1478" i="1"/>
  <c r="L1478" i="1"/>
  <c r="N1478" i="1"/>
  <c r="O1478" i="1"/>
  <c r="H1479" i="1"/>
  <c r="L1479" i="1"/>
  <c r="N1479" i="1"/>
  <c r="O1479" i="1"/>
  <c r="H1480" i="1"/>
  <c r="L1480" i="1"/>
  <c r="N1480" i="1"/>
  <c r="O1480" i="1"/>
  <c r="H1481" i="1"/>
  <c r="L1481" i="1"/>
  <c r="N1481" i="1"/>
  <c r="O1481" i="1"/>
  <c r="H1482" i="1"/>
  <c r="L1482" i="1"/>
  <c r="N1482" i="1"/>
  <c r="O1482" i="1"/>
  <c r="H1483" i="1"/>
  <c r="L1483" i="1"/>
  <c r="N1483" i="1"/>
  <c r="O1483" i="1"/>
  <c r="H1484" i="1"/>
  <c r="L1484" i="1"/>
  <c r="N1484" i="1"/>
  <c r="O1484" i="1"/>
  <c r="H1485" i="1"/>
  <c r="L1485" i="1"/>
  <c r="N1485" i="1"/>
  <c r="O1485" i="1"/>
  <c r="H1486" i="1"/>
  <c r="L1486" i="1"/>
  <c r="N1486" i="1"/>
  <c r="O1486" i="1"/>
  <c r="H1487" i="1"/>
  <c r="L1487" i="1"/>
  <c r="N1487" i="1"/>
  <c r="O1487" i="1"/>
  <c r="H1488" i="1"/>
  <c r="L1488" i="1"/>
  <c r="N1488" i="1"/>
  <c r="O1488" i="1"/>
  <c r="H1489" i="1"/>
  <c r="L1489" i="1"/>
  <c r="N1489" i="1"/>
  <c r="O1489" i="1"/>
  <c r="H1491" i="1"/>
  <c r="L1491" i="1"/>
  <c r="N1491" i="1"/>
  <c r="O1491" i="1"/>
  <c r="H1492" i="1"/>
  <c r="L1492" i="1"/>
  <c r="N1492" i="1"/>
  <c r="O1492" i="1"/>
  <c r="H1493" i="1"/>
  <c r="L1493" i="1"/>
  <c r="N1493" i="1"/>
  <c r="O1493" i="1"/>
  <c r="H1494" i="1"/>
  <c r="L1494" i="1"/>
  <c r="N1494" i="1"/>
  <c r="O1494" i="1"/>
  <c r="H1495" i="1"/>
  <c r="L1495" i="1"/>
  <c r="N1495" i="1"/>
  <c r="O1495" i="1"/>
  <c r="H1496" i="1"/>
  <c r="L1496" i="1"/>
  <c r="N1496" i="1"/>
  <c r="O1496" i="1"/>
  <c r="H1497" i="1"/>
  <c r="L1497" i="1"/>
  <c r="N1497" i="1"/>
  <c r="O1497" i="1"/>
  <c r="H1498" i="1"/>
  <c r="L1498" i="1"/>
  <c r="N1498" i="1"/>
  <c r="O1498" i="1"/>
  <c r="H1499" i="1"/>
  <c r="L1499" i="1"/>
  <c r="N1499" i="1"/>
  <c r="O1499" i="1"/>
  <c r="H1500" i="1"/>
  <c r="L1500" i="1"/>
  <c r="N1500" i="1"/>
  <c r="O1500" i="1"/>
  <c r="H1501" i="1"/>
  <c r="L1501" i="1"/>
  <c r="N1501" i="1"/>
  <c r="O1501" i="1"/>
  <c r="H1502" i="1"/>
  <c r="L1502" i="1"/>
  <c r="N1502" i="1"/>
  <c r="O1502" i="1"/>
  <c r="H1503" i="1"/>
  <c r="L1503" i="1"/>
  <c r="N1503" i="1"/>
  <c r="O1503" i="1"/>
  <c r="H1505" i="1"/>
  <c r="L1505" i="1"/>
  <c r="N1505" i="1"/>
  <c r="O1505" i="1"/>
  <c r="H1506" i="1"/>
  <c r="L1506" i="1"/>
  <c r="N1506" i="1"/>
  <c r="O1506" i="1"/>
  <c r="H1507" i="1"/>
  <c r="L1507" i="1"/>
  <c r="N1507" i="1"/>
  <c r="O1507" i="1"/>
  <c r="H1508" i="1"/>
  <c r="L1508" i="1"/>
  <c r="N1508" i="1"/>
  <c r="O1508" i="1"/>
  <c r="H1509" i="1"/>
  <c r="L1509" i="1"/>
  <c r="N1509" i="1"/>
  <c r="O1509" i="1"/>
  <c r="H1510" i="1"/>
  <c r="L1510" i="1"/>
  <c r="N1510" i="1"/>
  <c r="O1510" i="1"/>
  <c r="H1511" i="1"/>
  <c r="L1511" i="1"/>
  <c r="N1511" i="1"/>
  <c r="O1511" i="1"/>
  <c r="H1512" i="1"/>
  <c r="L1512" i="1"/>
  <c r="N1512" i="1"/>
  <c r="O1512" i="1"/>
  <c r="H1513" i="1"/>
  <c r="L1513" i="1"/>
  <c r="N1513" i="1"/>
  <c r="O1513" i="1"/>
  <c r="H1514" i="1"/>
  <c r="L1514" i="1"/>
  <c r="N1514" i="1"/>
  <c r="O1514" i="1"/>
  <c r="H1515" i="1"/>
  <c r="L1515" i="1"/>
  <c r="N1515" i="1"/>
  <c r="O1515" i="1"/>
  <c r="H1516" i="1"/>
  <c r="L1516" i="1"/>
  <c r="N1516" i="1"/>
  <c r="O1516" i="1"/>
  <c r="H1517" i="1"/>
  <c r="L1517" i="1"/>
  <c r="N1517" i="1"/>
  <c r="O1517" i="1"/>
  <c r="H1518" i="1"/>
  <c r="L1518" i="1"/>
  <c r="N1518" i="1"/>
  <c r="O1518" i="1"/>
  <c r="H1519" i="1"/>
  <c r="L1519" i="1"/>
  <c r="N1519" i="1"/>
  <c r="O1519" i="1"/>
  <c r="H1520" i="1"/>
  <c r="L1520" i="1"/>
  <c r="N1520" i="1"/>
  <c r="O1520" i="1"/>
  <c r="H1521" i="1"/>
  <c r="L1521" i="1"/>
  <c r="N1521" i="1"/>
  <c r="O1521" i="1"/>
  <c r="H1522" i="1"/>
  <c r="L1522" i="1"/>
  <c r="N1522" i="1"/>
  <c r="O1522" i="1"/>
  <c r="H1523" i="1"/>
  <c r="L1523" i="1"/>
  <c r="N1523" i="1"/>
  <c r="O1523" i="1"/>
  <c r="H1524" i="1"/>
  <c r="L1524" i="1"/>
  <c r="N1524" i="1"/>
  <c r="O1524" i="1"/>
  <c r="H1525" i="1"/>
  <c r="L1525" i="1"/>
  <c r="N1525" i="1"/>
  <c r="O1525" i="1"/>
  <c r="H1526" i="1"/>
  <c r="L1526" i="1"/>
  <c r="N1526" i="1"/>
  <c r="O1526" i="1"/>
  <c r="H1527" i="1"/>
  <c r="L1527" i="1"/>
  <c r="N1527" i="1"/>
  <c r="O1527" i="1"/>
  <c r="H1528" i="1"/>
  <c r="L1528" i="1"/>
  <c r="N1528" i="1"/>
  <c r="O1528" i="1"/>
  <c r="H1529" i="1"/>
  <c r="L1529" i="1"/>
  <c r="N1529" i="1"/>
  <c r="O1529" i="1"/>
  <c r="H1530" i="1"/>
  <c r="L1530" i="1"/>
  <c r="N1530" i="1"/>
  <c r="O1530" i="1"/>
  <c r="H1531" i="1"/>
  <c r="L1531" i="1"/>
  <c r="N1531" i="1"/>
  <c r="O1531" i="1"/>
  <c r="H1532" i="1"/>
  <c r="L1532" i="1"/>
  <c r="N1532" i="1"/>
  <c r="O1532" i="1"/>
  <c r="H1533" i="1"/>
  <c r="L1533" i="1"/>
  <c r="N1533" i="1"/>
  <c r="O1533" i="1"/>
  <c r="H1534" i="1"/>
  <c r="L1534" i="1"/>
  <c r="N1534" i="1"/>
  <c r="O1534" i="1"/>
  <c r="H1535" i="1"/>
  <c r="L1535" i="1"/>
  <c r="N1535" i="1"/>
  <c r="O1535" i="1"/>
  <c r="H1536" i="1"/>
  <c r="L1536" i="1"/>
  <c r="N1536" i="1"/>
  <c r="O1536" i="1"/>
  <c r="H1537" i="1"/>
  <c r="L1537" i="1"/>
  <c r="N1537" i="1"/>
  <c r="O1537" i="1"/>
  <c r="H1538" i="1"/>
  <c r="L1538" i="1"/>
  <c r="N1538" i="1"/>
  <c r="O1538" i="1"/>
  <c r="H1539" i="1"/>
  <c r="L1539" i="1"/>
  <c r="N1539" i="1"/>
  <c r="O1539" i="1"/>
  <c r="H1540" i="1"/>
  <c r="L1540" i="1"/>
  <c r="N1540" i="1"/>
  <c r="O1540" i="1"/>
  <c r="H1542" i="1"/>
  <c r="L1542" i="1"/>
  <c r="N1542" i="1"/>
  <c r="O1542" i="1"/>
  <c r="H1543" i="1"/>
  <c r="L1543" i="1"/>
  <c r="N1543" i="1"/>
  <c r="O1543" i="1"/>
  <c r="H1544" i="1"/>
  <c r="L1544" i="1"/>
  <c r="N1544" i="1"/>
  <c r="O1544" i="1"/>
  <c r="H1545" i="1"/>
  <c r="L1545" i="1"/>
  <c r="N1545" i="1"/>
  <c r="O1545" i="1"/>
  <c r="H1546" i="1"/>
  <c r="L1546" i="1"/>
  <c r="N1546" i="1"/>
  <c r="O1546" i="1"/>
  <c r="H1547" i="1"/>
  <c r="L1547" i="1"/>
  <c r="N1547" i="1"/>
  <c r="O1547" i="1"/>
  <c r="H1548" i="1"/>
  <c r="L1548" i="1"/>
  <c r="N1548" i="1"/>
  <c r="O1548" i="1"/>
  <c r="H1549" i="1"/>
  <c r="L1549" i="1"/>
  <c r="N1549" i="1"/>
  <c r="O1549" i="1"/>
  <c r="H1550" i="1"/>
  <c r="L1550" i="1"/>
  <c r="N1550" i="1"/>
  <c r="O1550" i="1"/>
  <c r="H1551" i="1"/>
  <c r="L1551" i="1"/>
  <c r="N1551" i="1"/>
  <c r="O1551" i="1"/>
  <c r="H1552" i="1"/>
  <c r="L1552" i="1"/>
  <c r="N1552" i="1"/>
  <c r="O1552" i="1"/>
  <c r="H1553" i="1"/>
  <c r="L1553" i="1"/>
  <c r="N1553" i="1"/>
  <c r="O1553" i="1"/>
  <c r="H1554" i="1"/>
  <c r="L1554" i="1"/>
  <c r="N1554" i="1"/>
  <c r="O1554" i="1"/>
  <c r="H1555" i="1"/>
  <c r="L1555" i="1"/>
  <c r="N1555" i="1"/>
  <c r="O1555" i="1"/>
  <c r="H1556" i="1"/>
  <c r="L1556" i="1"/>
  <c r="N1556" i="1"/>
  <c r="O1556" i="1"/>
  <c r="H1557" i="1"/>
  <c r="L1557" i="1"/>
  <c r="N1557" i="1"/>
  <c r="O1557" i="1"/>
  <c r="H1558" i="1"/>
  <c r="L1558" i="1"/>
  <c r="N1558" i="1"/>
  <c r="O1558" i="1"/>
  <c r="H1559" i="1"/>
  <c r="L1559" i="1"/>
  <c r="N1559" i="1"/>
  <c r="O1559" i="1"/>
  <c r="H1560" i="1"/>
  <c r="L1560" i="1"/>
  <c r="N1560" i="1"/>
  <c r="O1560" i="1"/>
  <c r="H1561" i="1"/>
  <c r="L1561" i="1"/>
  <c r="N1561" i="1"/>
  <c r="O1561" i="1"/>
  <c r="H1562" i="1"/>
  <c r="L1562" i="1"/>
  <c r="N1562" i="1"/>
  <c r="O1562" i="1"/>
  <c r="H1563" i="1"/>
  <c r="L1563" i="1"/>
  <c r="N1563" i="1"/>
  <c r="O1563" i="1"/>
  <c r="H1564" i="1"/>
  <c r="L1564" i="1"/>
  <c r="N1564" i="1"/>
  <c r="O1564" i="1"/>
  <c r="H1565" i="1"/>
  <c r="L1565" i="1"/>
  <c r="N1565" i="1"/>
  <c r="O1565" i="1"/>
  <c r="H1566" i="1"/>
  <c r="L1566" i="1"/>
  <c r="N1566" i="1"/>
  <c r="O1566" i="1"/>
  <c r="H1567" i="1"/>
  <c r="L1567" i="1"/>
  <c r="N1567" i="1"/>
  <c r="O1567" i="1"/>
  <c r="H1568" i="1"/>
  <c r="L1568" i="1"/>
  <c r="N1568" i="1"/>
  <c r="O1568" i="1"/>
  <c r="H1569" i="1"/>
  <c r="L1569" i="1"/>
  <c r="N1569" i="1"/>
  <c r="O1569" i="1"/>
  <c r="H1570" i="1"/>
  <c r="L1570" i="1"/>
  <c r="N1570" i="1"/>
  <c r="O1570" i="1"/>
  <c r="H1571" i="1"/>
  <c r="L1571" i="1"/>
  <c r="N1571" i="1"/>
  <c r="O1571" i="1"/>
  <c r="H1572" i="1"/>
  <c r="L1572" i="1"/>
  <c r="N1572" i="1"/>
  <c r="O1572" i="1"/>
  <c r="H1573" i="1"/>
  <c r="L1573" i="1"/>
  <c r="N1573" i="1"/>
  <c r="O1573" i="1"/>
  <c r="H1574" i="1"/>
  <c r="L1574" i="1"/>
  <c r="N1574" i="1"/>
  <c r="O1574" i="1"/>
  <c r="H1575" i="1"/>
  <c r="L1575" i="1"/>
  <c r="N1575" i="1"/>
  <c r="O1575" i="1"/>
  <c r="H1576" i="1"/>
  <c r="L1576" i="1"/>
  <c r="N1576" i="1"/>
  <c r="O1576" i="1"/>
  <c r="H1577" i="1"/>
  <c r="L1577" i="1"/>
  <c r="N1577" i="1"/>
  <c r="O1577" i="1"/>
  <c r="H1578" i="1"/>
  <c r="L1578" i="1"/>
  <c r="N1578" i="1"/>
  <c r="O1578" i="1"/>
  <c r="H1579" i="1"/>
  <c r="L1579" i="1"/>
  <c r="N1579" i="1"/>
  <c r="O1579" i="1"/>
  <c r="H1580" i="1"/>
  <c r="L1580" i="1"/>
  <c r="N1580" i="1"/>
  <c r="O1580" i="1"/>
  <c r="H1581" i="1"/>
  <c r="L1581" i="1"/>
  <c r="N1581" i="1"/>
  <c r="O1581" i="1"/>
  <c r="H1582" i="1"/>
  <c r="L1582" i="1"/>
  <c r="N1582" i="1"/>
  <c r="O1582" i="1"/>
  <c r="H1583" i="1"/>
  <c r="L1583" i="1"/>
  <c r="N1583" i="1"/>
  <c r="O1583" i="1"/>
  <c r="H1584" i="1"/>
  <c r="L1584" i="1"/>
  <c r="N1584" i="1"/>
  <c r="O1584" i="1"/>
  <c r="H1585" i="1"/>
  <c r="L1585" i="1"/>
  <c r="N1585" i="1"/>
  <c r="O1585" i="1"/>
  <c r="H1586" i="1"/>
  <c r="L1586" i="1"/>
  <c r="N1586" i="1"/>
  <c r="O1586" i="1"/>
  <c r="H1587" i="1"/>
  <c r="L1587" i="1"/>
  <c r="N1587" i="1"/>
  <c r="O1587" i="1"/>
  <c r="H1588" i="1"/>
  <c r="L1588" i="1"/>
  <c r="N1588" i="1"/>
  <c r="O1588" i="1"/>
  <c r="H1589" i="1"/>
  <c r="L1589" i="1"/>
  <c r="N1589" i="1"/>
  <c r="O1589" i="1"/>
  <c r="H1590" i="1"/>
  <c r="L1590" i="1"/>
  <c r="N1590" i="1"/>
  <c r="O1590" i="1"/>
  <c r="H1591" i="1"/>
  <c r="L1591" i="1"/>
  <c r="N1591" i="1"/>
  <c r="O1591" i="1"/>
  <c r="H1592" i="1"/>
  <c r="L1592" i="1"/>
  <c r="N1592" i="1"/>
  <c r="O1592" i="1"/>
  <c r="H1593" i="1"/>
  <c r="L1593" i="1"/>
  <c r="N1593" i="1"/>
  <c r="O1593" i="1"/>
  <c r="H1594" i="1"/>
  <c r="L1594" i="1"/>
  <c r="N1594" i="1"/>
  <c r="O1594" i="1"/>
  <c r="H1595" i="1"/>
  <c r="L1595" i="1"/>
  <c r="N1595" i="1"/>
  <c r="O1595" i="1"/>
  <c r="H1596" i="1"/>
  <c r="L1596" i="1"/>
  <c r="N1596" i="1"/>
  <c r="O1596" i="1"/>
  <c r="H1597" i="1"/>
  <c r="L1597" i="1"/>
  <c r="N1597" i="1"/>
  <c r="O1597" i="1"/>
  <c r="H1598" i="1"/>
  <c r="L1598" i="1"/>
  <c r="N1598" i="1"/>
  <c r="O1598" i="1"/>
  <c r="H1599" i="1"/>
  <c r="L1599" i="1"/>
  <c r="N1599" i="1"/>
  <c r="O1599" i="1"/>
  <c r="H1600" i="1"/>
  <c r="L1600" i="1"/>
  <c r="N1600" i="1"/>
  <c r="O1600" i="1"/>
  <c r="H1601" i="1"/>
  <c r="L1601" i="1"/>
  <c r="N1601" i="1"/>
  <c r="O1601" i="1"/>
  <c r="H1602" i="1"/>
  <c r="L1602" i="1"/>
  <c r="N1602" i="1"/>
  <c r="O1602" i="1"/>
  <c r="H1603" i="1"/>
  <c r="L1603" i="1"/>
  <c r="N1603" i="1"/>
  <c r="O1603" i="1"/>
  <c r="H1604" i="1"/>
  <c r="L1604" i="1"/>
  <c r="N1604" i="1"/>
  <c r="O1604" i="1"/>
  <c r="H1605" i="1"/>
  <c r="L1605" i="1"/>
  <c r="N1605" i="1"/>
  <c r="O1605" i="1"/>
  <c r="H1606" i="1"/>
  <c r="L1606" i="1"/>
  <c r="N1606" i="1"/>
  <c r="O1606" i="1"/>
  <c r="H1607" i="1"/>
  <c r="L1607" i="1"/>
  <c r="N1607" i="1"/>
  <c r="O1607" i="1"/>
  <c r="H1608" i="1"/>
  <c r="L1608" i="1"/>
  <c r="N1608" i="1"/>
  <c r="O1608" i="1"/>
  <c r="H1609" i="1"/>
  <c r="L1609" i="1"/>
  <c r="N1609" i="1"/>
  <c r="O1609" i="1"/>
  <c r="H1610" i="1"/>
  <c r="L1610" i="1"/>
  <c r="N1610" i="1"/>
  <c r="O1610" i="1"/>
  <c r="H1611" i="1"/>
  <c r="L1611" i="1"/>
  <c r="N1611" i="1"/>
  <c r="O1611" i="1"/>
  <c r="H1612" i="1"/>
  <c r="L1612" i="1"/>
  <c r="N1612" i="1"/>
  <c r="O1612" i="1"/>
  <c r="H1613" i="1"/>
  <c r="L1613" i="1"/>
  <c r="N1613" i="1"/>
  <c r="O1613" i="1"/>
  <c r="H1614" i="1"/>
  <c r="L1614" i="1"/>
  <c r="N1614" i="1"/>
  <c r="O1614" i="1"/>
  <c r="H1615" i="1"/>
  <c r="L1615" i="1"/>
  <c r="N1615" i="1"/>
  <c r="O1615" i="1"/>
  <c r="H1616" i="1"/>
  <c r="L1616" i="1"/>
  <c r="N1616" i="1"/>
  <c r="O1616" i="1"/>
  <c r="H1617" i="1"/>
  <c r="L1617" i="1"/>
  <c r="N1617" i="1"/>
  <c r="O1617" i="1"/>
  <c r="H1618" i="1"/>
  <c r="L1618" i="1"/>
  <c r="N1618" i="1"/>
  <c r="O1618" i="1"/>
  <c r="H1619" i="1"/>
  <c r="L1619" i="1"/>
  <c r="N1619" i="1"/>
  <c r="O1619" i="1"/>
  <c r="H1620" i="1"/>
  <c r="L1620" i="1"/>
  <c r="N1620" i="1"/>
  <c r="O1620" i="1"/>
  <c r="H1621" i="1"/>
  <c r="L1621" i="1"/>
  <c r="N1621" i="1"/>
  <c r="O1621" i="1"/>
  <c r="H1622" i="1"/>
  <c r="L1622" i="1"/>
  <c r="N1622" i="1"/>
  <c r="O1622" i="1"/>
  <c r="H1623" i="1"/>
  <c r="L1623" i="1"/>
  <c r="N1623" i="1"/>
  <c r="O1623" i="1"/>
  <c r="H1624" i="1"/>
  <c r="L1624" i="1"/>
  <c r="N1624" i="1"/>
  <c r="O1624" i="1"/>
  <c r="H1625" i="1"/>
  <c r="L1625" i="1"/>
  <c r="N1625" i="1"/>
  <c r="O1625" i="1"/>
  <c r="H1626" i="1"/>
  <c r="L1626" i="1"/>
  <c r="N1626" i="1"/>
  <c r="O1626" i="1"/>
  <c r="H1627" i="1"/>
  <c r="L1627" i="1"/>
  <c r="N1627" i="1"/>
  <c r="O1627" i="1"/>
  <c r="H1628" i="1"/>
  <c r="L1628" i="1"/>
  <c r="N1628" i="1"/>
  <c r="O1628" i="1"/>
  <c r="H1629" i="1"/>
  <c r="L1629" i="1"/>
  <c r="N1629" i="1"/>
  <c r="O1629" i="1"/>
  <c r="H1630" i="1"/>
  <c r="L1630" i="1"/>
  <c r="N1630" i="1"/>
  <c r="O1630" i="1"/>
  <c r="H1631" i="1"/>
  <c r="L1631" i="1"/>
  <c r="N1631" i="1"/>
  <c r="O1631" i="1"/>
  <c r="H1632" i="1"/>
  <c r="L1632" i="1"/>
  <c r="N1632" i="1"/>
  <c r="O1632" i="1"/>
  <c r="H1633" i="1"/>
  <c r="L1633" i="1"/>
  <c r="N1633" i="1"/>
  <c r="O1633" i="1"/>
  <c r="H1634" i="1"/>
  <c r="L1634" i="1"/>
  <c r="N1634" i="1"/>
  <c r="O1634" i="1"/>
  <c r="H1635" i="1"/>
  <c r="L1635" i="1"/>
  <c r="N1635" i="1"/>
  <c r="O1635" i="1"/>
  <c r="H1636" i="1"/>
  <c r="L1636" i="1"/>
  <c r="N1636" i="1"/>
  <c r="O1636" i="1"/>
  <c r="H1638" i="1"/>
  <c r="L1638" i="1"/>
  <c r="N1638" i="1"/>
  <c r="O1638" i="1"/>
  <c r="H1639" i="1"/>
  <c r="L1639" i="1"/>
  <c r="N1639" i="1"/>
  <c r="O1639" i="1"/>
  <c r="H1640" i="1"/>
  <c r="L1640" i="1"/>
  <c r="N1640" i="1"/>
  <c r="O1640" i="1"/>
  <c r="H1641" i="1"/>
  <c r="L1641" i="1"/>
  <c r="N1641" i="1"/>
  <c r="O1641" i="1"/>
  <c r="H1642" i="1"/>
  <c r="L1642" i="1"/>
  <c r="N1642" i="1"/>
  <c r="O1642" i="1"/>
  <c r="H1643" i="1"/>
  <c r="L1643" i="1"/>
  <c r="N1643" i="1"/>
  <c r="O1643" i="1"/>
  <c r="H1644" i="1"/>
  <c r="L1644" i="1"/>
  <c r="N1644" i="1"/>
  <c r="O1644" i="1"/>
  <c r="H1645" i="1"/>
  <c r="L1645" i="1"/>
  <c r="N1645" i="1"/>
  <c r="O1645" i="1"/>
  <c r="H1646" i="1"/>
  <c r="L1646" i="1"/>
  <c r="N1646" i="1"/>
  <c r="O1646" i="1"/>
  <c r="H1648" i="1"/>
  <c r="L1648" i="1"/>
  <c r="N1648" i="1"/>
  <c r="O1648" i="1"/>
  <c r="H1649" i="1"/>
  <c r="L1649" i="1"/>
  <c r="N1649" i="1"/>
  <c r="O1649" i="1"/>
  <c r="H1650" i="1"/>
  <c r="L1650" i="1"/>
  <c r="N1650" i="1"/>
  <c r="O1650" i="1"/>
  <c r="H1651" i="1"/>
  <c r="L1651" i="1"/>
  <c r="N1651" i="1"/>
  <c r="O1651" i="1"/>
  <c r="H1652" i="1"/>
  <c r="L1652" i="1"/>
  <c r="N1652" i="1"/>
  <c r="O1652" i="1"/>
  <c r="H1653" i="1"/>
  <c r="L1653" i="1"/>
  <c r="N1653" i="1"/>
  <c r="O1653" i="1"/>
  <c r="H1654" i="1"/>
  <c r="L1654" i="1"/>
  <c r="N1654" i="1"/>
  <c r="O1654" i="1"/>
  <c r="H1655" i="1"/>
  <c r="L1655" i="1"/>
  <c r="N1655" i="1"/>
  <c r="O1655" i="1"/>
  <c r="H1656" i="1"/>
  <c r="L1656" i="1"/>
  <c r="N1656" i="1"/>
  <c r="O1656" i="1"/>
  <c r="H1657" i="1"/>
  <c r="L1657" i="1"/>
  <c r="N1657" i="1"/>
  <c r="O1657" i="1"/>
  <c r="H1658" i="1"/>
  <c r="L1658" i="1"/>
  <c r="N1658" i="1"/>
  <c r="O1658" i="1"/>
  <c r="H1659" i="1"/>
  <c r="L1659" i="1"/>
  <c r="N1659" i="1"/>
  <c r="O1659" i="1"/>
  <c r="H1660" i="1"/>
  <c r="L1660" i="1"/>
  <c r="N1660" i="1"/>
  <c r="O1660" i="1"/>
  <c r="H1661" i="1"/>
  <c r="L1661" i="1"/>
  <c r="N1661" i="1"/>
  <c r="O1661" i="1"/>
  <c r="H1662" i="1"/>
  <c r="L1662" i="1"/>
  <c r="N1662" i="1"/>
  <c r="O1662" i="1"/>
  <c r="H1664" i="1"/>
  <c r="L1664" i="1"/>
  <c r="N1664" i="1"/>
  <c r="O1664" i="1"/>
  <c r="H1665" i="1"/>
  <c r="L1665" i="1"/>
  <c r="N1665" i="1"/>
  <c r="O1665" i="1"/>
  <c r="H1666" i="1"/>
  <c r="L1666" i="1"/>
  <c r="N1666" i="1"/>
  <c r="O1666" i="1"/>
  <c r="H1667" i="1"/>
  <c r="L1667" i="1"/>
  <c r="N1667" i="1"/>
  <c r="O1667" i="1"/>
  <c r="H1668" i="1"/>
  <c r="L1668" i="1"/>
  <c r="N1668" i="1"/>
  <c r="O1668" i="1"/>
  <c r="H1670" i="1"/>
  <c r="L1670" i="1"/>
  <c r="N1670" i="1"/>
  <c r="O1670" i="1"/>
  <c r="H1671" i="1"/>
  <c r="L1671" i="1"/>
  <c r="N1671" i="1"/>
  <c r="O1671" i="1"/>
  <c r="H1672" i="1"/>
  <c r="L1672" i="1"/>
  <c r="N1672" i="1"/>
  <c r="O1672" i="1"/>
  <c r="H1673" i="1"/>
  <c r="L1673" i="1"/>
  <c r="N1673" i="1"/>
  <c r="O1673" i="1"/>
  <c r="H1674" i="1"/>
  <c r="L1674" i="1"/>
  <c r="N1674" i="1"/>
  <c r="O1674" i="1"/>
  <c r="H1675" i="1"/>
  <c r="L1675" i="1"/>
  <c r="N1675" i="1"/>
  <c r="O1675" i="1"/>
  <c r="H1676" i="1"/>
  <c r="L1676" i="1"/>
  <c r="N1676" i="1"/>
  <c r="O1676" i="1"/>
  <c r="H1677" i="1"/>
  <c r="L1677" i="1"/>
  <c r="N1677" i="1"/>
  <c r="O1677" i="1"/>
  <c r="H1678" i="1"/>
  <c r="L1678" i="1"/>
  <c r="N1678" i="1"/>
  <c r="O1678" i="1"/>
  <c r="H1679" i="1"/>
  <c r="L1679" i="1"/>
  <c r="N1679" i="1"/>
  <c r="O1679" i="1"/>
  <c r="H1680" i="1"/>
  <c r="L1680" i="1"/>
  <c r="N1680" i="1"/>
  <c r="O1680" i="1"/>
  <c r="H1681" i="1"/>
  <c r="L1681" i="1"/>
  <c r="N1681" i="1"/>
  <c r="O1681" i="1"/>
  <c r="H1682" i="1"/>
  <c r="L1682" i="1"/>
  <c r="N1682" i="1"/>
  <c r="O1682" i="1"/>
  <c r="H1683" i="1"/>
  <c r="L1683" i="1"/>
  <c r="N1683" i="1"/>
  <c r="O1683" i="1"/>
  <c r="H1684" i="1"/>
  <c r="L1684" i="1"/>
  <c r="N1684" i="1"/>
  <c r="O1684" i="1"/>
  <c r="H1685" i="1"/>
  <c r="L1685" i="1"/>
  <c r="N1685" i="1"/>
  <c r="O1685" i="1"/>
  <c r="H1686" i="1"/>
  <c r="L1686" i="1"/>
  <c r="N1686" i="1"/>
  <c r="O1686" i="1"/>
  <c r="H1687" i="1"/>
  <c r="L1687" i="1"/>
  <c r="N1687" i="1"/>
  <c r="O1687" i="1"/>
  <c r="H1688" i="1"/>
  <c r="L1688" i="1"/>
  <c r="N1688" i="1"/>
  <c r="O1688" i="1"/>
  <c r="H1689" i="1"/>
  <c r="L1689" i="1"/>
  <c r="N1689" i="1"/>
  <c r="O1689" i="1"/>
  <c r="H1690" i="1"/>
  <c r="L1690" i="1"/>
  <c r="N1690" i="1"/>
  <c r="O1690" i="1"/>
  <c r="H1691" i="1"/>
  <c r="L1691" i="1"/>
  <c r="N1691" i="1"/>
  <c r="O1691" i="1"/>
  <c r="H1692" i="1"/>
  <c r="L1692" i="1"/>
  <c r="N1692" i="1"/>
  <c r="O1692" i="1"/>
  <c r="H1693" i="1"/>
  <c r="L1693" i="1"/>
  <c r="N1693" i="1"/>
  <c r="O1693" i="1"/>
  <c r="H1694" i="1"/>
  <c r="L1694" i="1"/>
  <c r="N1694" i="1"/>
  <c r="O1694" i="1"/>
  <c r="H1695" i="1"/>
  <c r="L1695" i="1"/>
  <c r="N1695" i="1"/>
  <c r="O1695" i="1"/>
  <c r="H1696" i="1"/>
  <c r="L1696" i="1"/>
  <c r="N1696" i="1"/>
  <c r="O1696" i="1"/>
  <c r="H1697" i="1"/>
  <c r="L1697" i="1"/>
  <c r="N1697" i="1"/>
  <c r="O1697" i="1"/>
  <c r="H1698" i="1"/>
  <c r="L1698" i="1"/>
  <c r="N1698" i="1"/>
  <c r="O1698" i="1"/>
  <c r="H1699" i="1"/>
  <c r="L1699" i="1"/>
  <c r="N1699" i="1"/>
  <c r="O1699" i="1"/>
  <c r="H1700" i="1"/>
  <c r="L1700" i="1"/>
  <c r="N1700" i="1"/>
  <c r="O1700" i="1"/>
  <c r="H1701" i="1"/>
  <c r="L1701" i="1"/>
  <c r="N1701" i="1"/>
  <c r="O1701" i="1"/>
  <c r="H1702" i="1"/>
  <c r="L1702" i="1"/>
  <c r="N1702" i="1"/>
  <c r="O1702" i="1"/>
  <c r="H1703" i="1"/>
  <c r="L1703" i="1"/>
  <c r="N1703" i="1"/>
  <c r="O1703" i="1"/>
  <c r="H1704" i="1"/>
  <c r="L1704" i="1"/>
  <c r="N1704" i="1"/>
  <c r="O1704" i="1"/>
  <c r="H1705" i="1"/>
  <c r="L1705" i="1"/>
  <c r="N1705" i="1"/>
  <c r="O1705" i="1"/>
  <c r="H1706" i="1"/>
  <c r="L1706" i="1"/>
  <c r="N1706" i="1"/>
  <c r="O1706" i="1"/>
  <c r="H1707" i="1"/>
  <c r="L1707" i="1"/>
  <c r="N1707" i="1"/>
  <c r="O1707" i="1"/>
  <c r="H1708" i="1"/>
  <c r="L1708" i="1"/>
  <c r="N1708" i="1"/>
  <c r="O1708" i="1"/>
  <c r="H1709" i="1"/>
  <c r="L1709" i="1"/>
  <c r="N1709" i="1"/>
  <c r="O1709" i="1"/>
  <c r="L1710" i="1"/>
  <c r="N1710" i="1"/>
  <c r="O1710" i="1"/>
  <c r="H1711" i="1"/>
  <c r="L1711" i="1"/>
  <c r="N1711" i="1"/>
  <c r="O1711" i="1"/>
  <c r="H1712" i="1"/>
  <c r="L1712" i="1"/>
  <c r="N1712" i="1"/>
  <c r="O1712" i="1"/>
  <c r="H1713" i="1"/>
  <c r="L1713" i="1"/>
  <c r="N1713" i="1"/>
  <c r="O1713" i="1"/>
  <c r="H1714" i="1"/>
  <c r="L1714" i="1"/>
  <c r="N1714" i="1"/>
  <c r="O1714" i="1"/>
  <c r="H1715" i="1"/>
  <c r="L1715" i="1"/>
  <c r="N1715" i="1"/>
  <c r="O1715" i="1"/>
  <c r="H1716" i="1"/>
  <c r="L1716" i="1"/>
  <c r="N1716" i="1"/>
  <c r="O1716" i="1"/>
  <c r="H1717" i="1"/>
  <c r="L1717" i="1"/>
  <c r="N1717" i="1"/>
  <c r="O1717" i="1"/>
  <c r="H1718" i="1"/>
  <c r="L1718" i="1"/>
  <c r="N1718" i="1"/>
  <c r="O1718" i="1"/>
  <c r="H1719" i="1"/>
  <c r="L1719" i="1"/>
  <c r="N1719" i="1"/>
  <c r="O1719" i="1"/>
  <c r="H1720" i="1"/>
  <c r="L1720" i="1"/>
  <c r="N1720" i="1"/>
  <c r="O1720" i="1"/>
  <c r="H1721" i="1"/>
  <c r="L1721" i="1"/>
  <c r="N1721" i="1"/>
  <c r="O1721" i="1"/>
  <c r="H1722" i="1"/>
  <c r="L1722" i="1"/>
  <c r="N1722" i="1"/>
  <c r="O1722" i="1"/>
  <c r="H1723" i="1"/>
  <c r="L1723" i="1"/>
  <c r="N1723" i="1"/>
  <c r="O1723" i="1"/>
  <c r="H1724" i="1"/>
  <c r="L1724" i="1"/>
  <c r="N1724" i="1"/>
  <c r="O1724" i="1"/>
  <c r="H1725" i="1"/>
  <c r="L1725" i="1"/>
  <c r="N1725" i="1"/>
  <c r="O1725" i="1"/>
  <c r="H1726" i="1"/>
  <c r="L1726" i="1"/>
  <c r="N1726" i="1"/>
  <c r="O1726" i="1"/>
  <c r="H1727" i="1"/>
  <c r="L1727" i="1"/>
  <c r="N1727" i="1"/>
  <c r="O1727" i="1"/>
  <c r="H1728" i="1"/>
  <c r="L1728" i="1"/>
  <c r="N1728" i="1"/>
  <c r="O1728" i="1"/>
  <c r="H1729" i="1"/>
  <c r="L1729" i="1"/>
  <c r="N1729" i="1"/>
  <c r="O1729" i="1"/>
  <c r="H1730" i="1"/>
  <c r="L1730" i="1"/>
  <c r="N1730" i="1"/>
  <c r="O1730" i="1"/>
  <c r="H1731" i="1"/>
  <c r="L1731" i="1"/>
  <c r="N1731" i="1"/>
  <c r="O1731" i="1"/>
  <c r="H1732" i="1"/>
  <c r="L1732" i="1"/>
  <c r="N1732" i="1"/>
  <c r="O1732" i="1"/>
  <c r="H1733" i="1"/>
  <c r="L1733" i="1"/>
  <c r="N1733" i="1"/>
  <c r="O1733" i="1"/>
  <c r="H1734" i="1"/>
  <c r="L1734" i="1"/>
  <c r="N1734" i="1"/>
  <c r="O1734" i="1"/>
  <c r="L1735" i="1"/>
  <c r="H1736" i="1"/>
  <c r="L1736" i="1"/>
  <c r="N1736" i="1"/>
  <c r="O1736" i="1"/>
  <c r="H1737" i="1"/>
  <c r="L1737" i="1"/>
  <c r="N1737" i="1"/>
  <c r="O1737" i="1"/>
  <c r="H1738" i="1"/>
  <c r="L1738" i="1"/>
  <c r="N1738" i="1"/>
  <c r="O1738" i="1"/>
  <c r="H1739" i="1"/>
  <c r="L1739" i="1"/>
  <c r="N1739" i="1"/>
  <c r="O1739" i="1"/>
  <c r="H1740" i="1"/>
  <c r="L1740" i="1"/>
  <c r="N1740" i="1"/>
  <c r="O1740" i="1"/>
  <c r="H1741" i="1"/>
  <c r="L1741" i="1"/>
  <c r="N1741" i="1"/>
  <c r="O1741" i="1"/>
  <c r="H1742" i="1"/>
  <c r="L1742" i="1"/>
  <c r="N1742" i="1"/>
  <c r="O1742" i="1"/>
  <c r="H1743" i="1"/>
  <c r="L1743" i="1"/>
  <c r="N1743" i="1"/>
  <c r="O1743" i="1"/>
  <c r="H1744" i="1"/>
  <c r="L1744" i="1"/>
  <c r="N1744" i="1"/>
  <c r="O1744" i="1"/>
  <c r="H1745" i="1"/>
  <c r="L1745" i="1"/>
  <c r="N1745" i="1"/>
  <c r="O1745" i="1"/>
  <c r="H1746" i="1"/>
  <c r="L1746" i="1"/>
  <c r="N1746" i="1"/>
  <c r="O1746" i="1"/>
  <c r="H1747" i="1"/>
  <c r="L1747" i="1"/>
  <c r="N1747" i="1"/>
  <c r="O1747" i="1"/>
  <c r="H1748" i="1"/>
  <c r="L1748" i="1"/>
  <c r="N1748" i="1"/>
  <c r="O1748" i="1"/>
  <c r="H1749" i="1"/>
  <c r="L1749" i="1"/>
  <c r="N1749" i="1"/>
  <c r="O1749" i="1"/>
  <c r="H1750" i="1"/>
  <c r="L1750" i="1"/>
  <c r="N1750" i="1"/>
  <c r="O1750" i="1"/>
  <c r="H1751" i="1"/>
  <c r="L1751" i="1"/>
  <c r="N1751" i="1"/>
  <c r="O1751" i="1"/>
  <c r="H1752" i="1"/>
  <c r="L1752" i="1"/>
  <c r="N1752" i="1"/>
  <c r="O1752" i="1"/>
  <c r="H1754" i="1"/>
  <c r="L1754" i="1"/>
  <c r="N1754" i="1"/>
  <c r="O1754" i="1"/>
  <c r="H1755" i="1"/>
  <c r="L1755" i="1"/>
  <c r="N1755" i="1"/>
  <c r="O1755" i="1"/>
  <c r="H1756" i="1"/>
  <c r="L1756" i="1"/>
  <c r="N1756" i="1"/>
  <c r="O1756" i="1"/>
  <c r="H1757" i="1"/>
  <c r="L1757" i="1"/>
  <c r="N1757" i="1"/>
  <c r="O1757" i="1"/>
  <c r="H1758" i="1"/>
  <c r="L1758" i="1"/>
  <c r="N1758" i="1"/>
  <c r="O1758" i="1"/>
  <c r="H1759" i="1"/>
  <c r="L1759" i="1"/>
  <c r="N1759" i="1"/>
  <c r="O1759" i="1"/>
  <c r="H1760" i="1"/>
  <c r="L1760" i="1"/>
  <c r="N1760" i="1"/>
  <c r="O1760" i="1"/>
  <c r="H1761" i="1"/>
  <c r="L1761" i="1"/>
  <c r="N1761" i="1"/>
  <c r="O1761" i="1"/>
  <c r="H1762" i="1"/>
  <c r="L1762" i="1"/>
  <c r="N1762" i="1"/>
  <c r="O1762" i="1"/>
  <c r="H1763" i="1"/>
  <c r="L1763" i="1"/>
  <c r="N1763" i="1"/>
  <c r="O1763" i="1"/>
  <c r="H1764" i="1"/>
  <c r="L1764" i="1"/>
  <c r="N1764" i="1"/>
  <c r="O1764" i="1"/>
  <c r="H1765" i="1"/>
  <c r="L1765" i="1"/>
  <c r="N1765" i="1"/>
  <c r="O1765" i="1"/>
  <c r="H1766" i="1"/>
  <c r="L1766" i="1"/>
  <c r="N1766" i="1"/>
  <c r="O1766" i="1"/>
  <c r="H1767" i="1"/>
  <c r="L1767" i="1"/>
  <c r="N1767" i="1"/>
  <c r="O1767" i="1"/>
  <c r="H1768" i="1"/>
  <c r="L1768" i="1"/>
  <c r="N1768" i="1"/>
  <c r="O1768" i="1"/>
  <c r="H1769" i="1"/>
  <c r="L1769" i="1"/>
  <c r="N1769" i="1"/>
  <c r="O1769" i="1"/>
  <c r="H1770" i="1"/>
  <c r="L1770" i="1"/>
  <c r="N1770" i="1"/>
  <c r="O1770" i="1"/>
  <c r="H1771" i="1"/>
  <c r="L1771" i="1"/>
  <c r="N1771" i="1"/>
  <c r="O1771" i="1"/>
  <c r="H1772" i="1"/>
  <c r="L1772" i="1"/>
  <c r="N1772" i="1"/>
  <c r="O1772" i="1"/>
  <c r="H1773" i="1"/>
  <c r="L1773" i="1"/>
  <c r="N1773" i="1"/>
  <c r="O1773" i="1"/>
  <c r="H1774" i="1"/>
  <c r="L1774" i="1"/>
  <c r="N1774" i="1"/>
  <c r="O1774" i="1"/>
  <c r="H1775" i="1"/>
  <c r="L1775" i="1"/>
  <c r="N1775" i="1"/>
  <c r="O1775" i="1"/>
  <c r="H1776" i="1"/>
  <c r="L1776" i="1"/>
  <c r="N1776" i="1"/>
  <c r="O1776" i="1"/>
  <c r="H1777" i="1"/>
  <c r="L1777" i="1"/>
  <c r="N1777" i="1"/>
  <c r="O1777" i="1"/>
  <c r="H1778" i="1"/>
  <c r="L1778" i="1"/>
  <c r="N1778" i="1"/>
  <c r="O1778" i="1"/>
  <c r="H1779" i="1"/>
  <c r="L1779" i="1"/>
  <c r="N1779" i="1"/>
  <c r="O1779" i="1"/>
  <c r="H1780" i="1"/>
  <c r="L1780" i="1"/>
  <c r="N1780" i="1"/>
  <c r="O1780" i="1"/>
  <c r="H1781" i="1"/>
  <c r="L1781" i="1"/>
  <c r="N1781" i="1"/>
  <c r="O1781" i="1"/>
  <c r="H1782" i="1"/>
  <c r="L1782" i="1"/>
  <c r="N1782" i="1"/>
  <c r="O1782" i="1"/>
  <c r="H1783" i="1"/>
  <c r="L1783" i="1"/>
  <c r="N1783" i="1"/>
  <c r="O1783" i="1"/>
  <c r="H1784" i="1"/>
  <c r="L1784" i="1"/>
  <c r="N1784" i="1"/>
  <c r="O1784" i="1"/>
  <c r="H1785" i="1"/>
  <c r="L1785" i="1"/>
  <c r="N1785" i="1"/>
  <c r="O1785" i="1"/>
  <c r="H1786" i="1"/>
  <c r="L1786" i="1"/>
  <c r="N1786" i="1"/>
  <c r="O1786" i="1"/>
  <c r="H1787" i="1"/>
  <c r="L1787" i="1"/>
  <c r="N1787" i="1"/>
  <c r="O1787" i="1"/>
  <c r="H1788" i="1"/>
  <c r="L1788" i="1"/>
  <c r="N1788" i="1"/>
  <c r="O1788" i="1"/>
  <c r="H1789" i="1"/>
  <c r="L1789" i="1"/>
  <c r="N1789" i="1"/>
  <c r="O1789" i="1"/>
  <c r="H1790" i="1"/>
  <c r="L1790" i="1"/>
  <c r="N1790" i="1"/>
  <c r="O1790" i="1"/>
  <c r="H1791" i="1"/>
  <c r="L1791" i="1"/>
  <c r="N1791" i="1"/>
  <c r="O1791" i="1"/>
  <c r="H1792" i="1"/>
  <c r="L1792" i="1"/>
  <c r="N1792" i="1"/>
  <c r="O1792" i="1"/>
  <c r="H1794" i="1"/>
  <c r="L1794" i="1"/>
  <c r="N1794" i="1"/>
  <c r="O1794" i="1"/>
  <c r="H1795" i="1"/>
  <c r="L1795" i="1"/>
  <c r="N1795" i="1"/>
  <c r="O1795" i="1"/>
  <c r="H1796" i="1"/>
  <c r="L1796" i="1"/>
  <c r="N1796" i="1"/>
  <c r="O1796" i="1"/>
  <c r="H1797" i="1"/>
  <c r="L1797" i="1"/>
  <c r="N1797" i="1"/>
  <c r="O1797" i="1"/>
  <c r="H1798" i="1"/>
  <c r="L1798" i="1"/>
  <c r="N1798" i="1"/>
  <c r="O1798" i="1"/>
  <c r="H1799" i="1"/>
  <c r="L1799" i="1"/>
  <c r="N1799" i="1"/>
  <c r="O1799" i="1"/>
  <c r="H1800" i="1"/>
  <c r="L1800" i="1"/>
  <c r="N1800" i="1"/>
  <c r="O1800" i="1"/>
  <c r="H1801" i="1"/>
  <c r="L1801" i="1"/>
  <c r="N1801" i="1"/>
  <c r="O1801" i="1"/>
  <c r="H1802" i="1"/>
  <c r="L1802" i="1"/>
  <c r="N1802" i="1"/>
  <c r="O1802" i="1"/>
  <c r="H1803" i="1"/>
  <c r="L1803" i="1"/>
  <c r="N1803" i="1"/>
  <c r="O1803" i="1"/>
  <c r="H1804" i="1"/>
  <c r="L1804" i="1"/>
  <c r="N1804" i="1"/>
  <c r="O1804" i="1"/>
  <c r="H1805" i="1"/>
  <c r="L1805" i="1"/>
  <c r="N1805" i="1"/>
  <c r="O1805" i="1"/>
  <c r="H1806" i="1"/>
  <c r="L1806" i="1"/>
  <c r="N1806" i="1"/>
  <c r="O1806" i="1"/>
  <c r="H1807" i="1"/>
  <c r="L1807" i="1"/>
  <c r="N1807" i="1"/>
  <c r="O1807" i="1"/>
  <c r="H1809" i="1"/>
  <c r="L1809" i="1"/>
  <c r="N1809" i="1"/>
  <c r="O1809" i="1"/>
  <c r="H1810" i="1"/>
  <c r="L1810" i="1"/>
  <c r="N1810" i="1"/>
  <c r="O1810" i="1"/>
  <c r="H1811" i="1"/>
  <c r="L1811" i="1"/>
  <c r="N1811" i="1"/>
  <c r="O1811" i="1"/>
  <c r="H1812" i="1"/>
  <c r="L1812" i="1"/>
  <c r="N1812" i="1"/>
  <c r="O1812" i="1"/>
  <c r="H1813" i="1"/>
  <c r="L1813" i="1"/>
  <c r="N1813" i="1"/>
  <c r="O1813" i="1"/>
  <c r="H1814" i="1"/>
  <c r="L1814" i="1"/>
  <c r="N1814" i="1"/>
  <c r="O1814" i="1"/>
  <c r="H1816" i="1"/>
  <c r="L1816" i="1"/>
  <c r="N1816" i="1"/>
  <c r="O1816" i="1"/>
  <c r="H1817" i="1"/>
  <c r="L1817" i="1"/>
  <c r="N1817" i="1"/>
  <c r="O1817" i="1"/>
  <c r="H1818" i="1"/>
  <c r="L1818" i="1"/>
  <c r="N1818" i="1"/>
  <c r="O1818" i="1"/>
  <c r="H1819" i="1"/>
  <c r="L1819" i="1"/>
  <c r="N1819" i="1"/>
  <c r="O1819" i="1"/>
  <c r="H1820" i="1"/>
  <c r="L1820" i="1"/>
  <c r="N1820" i="1"/>
  <c r="O1820" i="1"/>
  <c r="H1821" i="1"/>
  <c r="L1821" i="1"/>
  <c r="N1821" i="1"/>
  <c r="O1821" i="1"/>
  <c r="H1823" i="1"/>
  <c r="L1823" i="1"/>
  <c r="N1823" i="1"/>
  <c r="O1823" i="1"/>
  <c r="H1824" i="1"/>
  <c r="L1824" i="1"/>
  <c r="N1824" i="1"/>
  <c r="O1824" i="1"/>
  <c r="H1825" i="1"/>
  <c r="L1825" i="1"/>
  <c r="N1825" i="1"/>
  <c r="O1825" i="1"/>
  <c r="H1826" i="1"/>
  <c r="L1826" i="1"/>
  <c r="N1826" i="1"/>
  <c r="O1826" i="1"/>
  <c r="H1827" i="1"/>
  <c r="L1827" i="1"/>
  <c r="N1827" i="1"/>
  <c r="O1827" i="1"/>
  <c r="H1828" i="1"/>
  <c r="L1828" i="1"/>
  <c r="N1828" i="1"/>
  <c r="O1828" i="1"/>
  <c r="H1830" i="1"/>
  <c r="L1830" i="1"/>
  <c r="N1830" i="1"/>
  <c r="O1830" i="1"/>
  <c r="H1831" i="1"/>
  <c r="L1831" i="1"/>
  <c r="N1831" i="1"/>
  <c r="O1831" i="1"/>
  <c r="L1832" i="1"/>
  <c r="N1832" i="1"/>
  <c r="O1832" i="1"/>
  <c r="H1833" i="1"/>
  <c r="L1833" i="1"/>
  <c r="N1833" i="1"/>
  <c r="O1833" i="1"/>
  <c r="H1834" i="1"/>
  <c r="L1834" i="1"/>
  <c r="N1834" i="1"/>
  <c r="O1834" i="1"/>
  <c r="H1835" i="1"/>
  <c r="L1835" i="1"/>
  <c r="N1835" i="1"/>
  <c r="O1835" i="1"/>
  <c r="H1836" i="1"/>
  <c r="L1836" i="1"/>
  <c r="N1836" i="1"/>
  <c r="O1836" i="1"/>
  <c r="H1837" i="1"/>
  <c r="L1837" i="1"/>
  <c r="N1837" i="1"/>
  <c r="O1837" i="1"/>
  <c r="H1838" i="1"/>
  <c r="L1838" i="1"/>
  <c r="N1838" i="1"/>
  <c r="O1838" i="1"/>
  <c r="H1839" i="1"/>
  <c r="L1839" i="1"/>
  <c r="N1839" i="1"/>
  <c r="O1839" i="1"/>
  <c r="H1840" i="1"/>
  <c r="L1840" i="1"/>
  <c r="N1840" i="1"/>
  <c r="O1840" i="1"/>
  <c r="H1841" i="1"/>
  <c r="L1841" i="1"/>
  <c r="N1841" i="1"/>
  <c r="O1841" i="1"/>
  <c r="H1842" i="1"/>
  <c r="L1842" i="1"/>
  <c r="N1842" i="1"/>
  <c r="O1842" i="1"/>
  <c r="H1843" i="1"/>
  <c r="L1843" i="1"/>
  <c r="N1843" i="1"/>
  <c r="O1843" i="1"/>
  <c r="H1844" i="1"/>
  <c r="L1844" i="1"/>
  <c r="N1844" i="1"/>
  <c r="O1844" i="1"/>
  <c r="H1845" i="1"/>
  <c r="L1845" i="1"/>
  <c r="N1845" i="1"/>
  <c r="O1845" i="1"/>
  <c r="H1846" i="1"/>
  <c r="L1846" i="1"/>
  <c r="N1846" i="1"/>
  <c r="O1846" i="1"/>
  <c r="H1847" i="1"/>
  <c r="L1847" i="1"/>
  <c r="N1847" i="1"/>
  <c r="O1847" i="1"/>
  <c r="H1848" i="1"/>
  <c r="L1848" i="1"/>
  <c r="N1848" i="1"/>
  <c r="O1848" i="1"/>
  <c r="H1849" i="1"/>
  <c r="L1849" i="1"/>
  <c r="N1849" i="1"/>
  <c r="O1849" i="1"/>
  <c r="H1850" i="1"/>
  <c r="L1850" i="1"/>
  <c r="N1850" i="1"/>
  <c r="O1850" i="1"/>
  <c r="H1851" i="1"/>
  <c r="L1851" i="1"/>
  <c r="N1851" i="1"/>
  <c r="O1851" i="1"/>
  <c r="H1852" i="1"/>
  <c r="L1852" i="1"/>
  <c r="N1852" i="1"/>
  <c r="O1852" i="1"/>
  <c r="H1853" i="1"/>
  <c r="L1853" i="1"/>
  <c r="N1853" i="1"/>
  <c r="O1853" i="1"/>
  <c r="H1854" i="1"/>
  <c r="L1854" i="1"/>
  <c r="N1854" i="1"/>
  <c r="O1854" i="1"/>
  <c r="H1855" i="1"/>
  <c r="L1855" i="1"/>
  <c r="N1855" i="1"/>
  <c r="O1855" i="1"/>
  <c r="H1856" i="1"/>
  <c r="L1856" i="1"/>
  <c r="N1856" i="1"/>
  <c r="O1856" i="1"/>
  <c r="H1857" i="1"/>
  <c r="L1857" i="1"/>
  <c r="N1857" i="1"/>
  <c r="O1857" i="1"/>
  <c r="H1858" i="1"/>
  <c r="L1858" i="1"/>
  <c r="N1858" i="1"/>
  <c r="O1858" i="1"/>
  <c r="H1859" i="1"/>
  <c r="L1859" i="1"/>
  <c r="N1859" i="1"/>
  <c r="O1859" i="1"/>
  <c r="H1860" i="1"/>
  <c r="L1860" i="1"/>
  <c r="N1860" i="1"/>
  <c r="O1860" i="1"/>
  <c r="H1861" i="1"/>
  <c r="L1861" i="1"/>
  <c r="N1861" i="1"/>
  <c r="O1861" i="1"/>
  <c r="H1862" i="1"/>
  <c r="L1862" i="1"/>
  <c r="N1862" i="1"/>
  <c r="O1862" i="1"/>
  <c r="H1863" i="1"/>
  <c r="L1863" i="1"/>
  <c r="N1863" i="1"/>
  <c r="O1863" i="1"/>
  <c r="H1864" i="1"/>
  <c r="L1864" i="1"/>
  <c r="N1864" i="1"/>
  <c r="O1864" i="1"/>
  <c r="H1865" i="1"/>
  <c r="L1865" i="1"/>
  <c r="N1865" i="1"/>
  <c r="O1865" i="1"/>
  <c r="H1866" i="1"/>
  <c r="L1866" i="1"/>
  <c r="N1866" i="1"/>
  <c r="O1866" i="1"/>
  <c r="H1867" i="1"/>
  <c r="L1867" i="1"/>
  <c r="N1867" i="1"/>
  <c r="O1867" i="1"/>
  <c r="H1868" i="1"/>
  <c r="L1868" i="1"/>
  <c r="N1868" i="1"/>
  <c r="O1868" i="1"/>
  <c r="H1869" i="1"/>
  <c r="L1869" i="1"/>
  <c r="N1869" i="1"/>
  <c r="O1869" i="1"/>
  <c r="H1871" i="1"/>
  <c r="L1871" i="1"/>
  <c r="N1871" i="1"/>
  <c r="O1871" i="1"/>
  <c r="H1872" i="1"/>
  <c r="L1872" i="1"/>
  <c r="N1872" i="1"/>
  <c r="O1872" i="1"/>
  <c r="H1873" i="1"/>
  <c r="L1873" i="1"/>
  <c r="N1873" i="1"/>
  <c r="O1873" i="1"/>
  <c r="H1874" i="1"/>
  <c r="L1874" i="1"/>
  <c r="N1874" i="1"/>
  <c r="O1874" i="1"/>
  <c r="H1875" i="1"/>
  <c r="L1875" i="1"/>
  <c r="N1875" i="1"/>
  <c r="O1875" i="1"/>
  <c r="H1876" i="1"/>
  <c r="L1876" i="1"/>
  <c r="N1876" i="1"/>
  <c r="O1876" i="1"/>
  <c r="H1877" i="1"/>
  <c r="L1877" i="1"/>
  <c r="N1877" i="1"/>
  <c r="O1877" i="1"/>
  <c r="H1878" i="1"/>
  <c r="L1878" i="1"/>
  <c r="N1878" i="1"/>
  <c r="O1878" i="1"/>
  <c r="H1879" i="1"/>
  <c r="L1879" i="1"/>
  <c r="N1879" i="1"/>
  <c r="O1879" i="1"/>
  <c r="L1880" i="1"/>
  <c r="N1880" i="1"/>
  <c r="O1880" i="1"/>
  <c r="H1881" i="1"/>
  <c r="L1881" i="1"/>
  <c r="N1881" i="1"/>
  <c r="O1881" i="1"/>
  <c r="H1882" i="1"/>
  <c r="L1882" i="1"/>
  <c r="N1882" i="1"/>
  <c r="O1882" i="1"/>
  <c r="H1883" i="1"/>
  <c r="L1883" i="1"/>
  <c r="N1883" i="1"/>
  <c r="O1883" i="1"/>
  <c r="H1884" i="1"/>
  <c r="L1884" i="1"/>
  <c r="N1884" i="1"/>
  <c r="O1884" i="1"/>
  <c r="H1885" i="1"/>
  <c r="L1885" i="1"/>
  <c r="N1885" i="1"/>
  <c r="O1885" i="1"/>
  <c r="H1887" i="1"/>
  <c r="L1887" i="1"/>
  <c r="N1887" i="1"/>
  <c r="O1887" i="1"/>
  <c r="H1888" i="1"/>
  <c r="L1888" i="1"/>
  <c r="N1888" i="1"/>
  <c r="O1888" i="1"/>
  <c r="H1889" i="1"/>
  <c r="L1889" i="1"/>
  <c r="N1889" i="1"/>
  <c r="O1889" i="1"/>
  <c r="H1890" i="1"/>
  <c r="L1890" i="1"/>
  <c r="N1890" i="1"/>
  <c r="O1890" i="1"/>
  <c r="H1891" i="1"/>
  <c r="L1891" i="1"/>
  <c r="N1891" i="1"/>
  <c r="O1891" i="1"/>
  <c r="H1892" i="1"/>
  <c r="L1892" i="1"/>
  <c r="N1892" i="1"/>
  <c r="O1892" i="1"/>
  <c r="H1893" i="1"/>
  <c r="L1893" i="1"/>
  <c r="N1893" i="1"/>
  <c r="O1893" i="1"/>
  <c r="H1894" i="1"/>
  <c r="L1894" i="1"/>
  <c r="N1894" i="1"/>
  <c r="O1894" i="1"/>
  <c r="H1895" i="1"/>
  <c r="L1895" i="1"/>
  <c r="N1895" i="1"/>
  <c r="O1895" i="1"/>
  <c r="H1896" i="1"/>
  <c r="L1896" i="1"/>
  <c r="N1896" i="1"/>
  <c r="O1896" i="1"/>
  <c r="H1897" i="1"/>
  <c r="L1897" i="1"/>
  <c r="N1897" i="1"/>
  <c r="O1897" i="1"/>
  <c r="H1898" i="1"/>
  <c r="L1898" i="1"/>
  <c r="N1898" i="1"/>
  <c r="O1898" i="1"/>
  <c r="H1899" i="1"/>
  <c r="L1899" i="1"/>
  <c r="N1899" i="1"/>
  <c r="O1899" i="1"/>
  <c r="H1900" i="1"/>
  <c r="L1900" i="1"/>
  <c r="N1900" i="1"/>
  <c r="O1900" i="1"/>
  <c r="H1901" i="1"/>
  <c r="L1901" i="1"/>
  <c r="N1901" i="1"/>
  <c r="O1901" i="1"/>
  <c r="H1902" i="1"/>
  <c r="L1902" i="1"/>
  <c r="N1902" i="1"/>
  <c r="O1902" i="1"/>
  <c r="H1903" i="1"/>
  <c r="L1903" i="1"/>
  <c r="N1903" i="1"/>
  <c r="O1903" i="1"/>
  <c r="H1904" i="1"/>
  <c r="L1904" i="1"/>
  <c r="N1904" i="1"/>
  <c r="O1904" i="1"/>
  <c r="H1905" i="1"/>
  <c r="L1905" i="1"/>
  <c r="N1905" i="1"/>
  <c r="O1905" i="1"/>
  <c r="H1906" i="1"/>
  <c r="L1906" i="1"/>
  <c r="N1906" i="1"/>
  <c r="O1906" i="1"/>
  <c r="H1907" i="1"/>
  <c r="L1907" i="1"/>
  <c r="N1907" i="1"/>
  <c r="O1907" i="1"/>
  <c r="H1908" i="1"/>
  <c r="L1908" i="1"/>
  <c r="N1908" i="1"/>
  <c r="O1908" i="1"/>
  <c r="H1909" i="1"/>
  <c r="L1909" i="1"/>
  <c r="N1909" i="1"/>
  <c r="O1909" i="1"/>
  <c r="H1910" i="1"/>
  <c r="L1910" i="1"/>
  <c r="N1910" i="1"/>
  <c r="O1910" i="1"/>
  <c r="H1911" i="1"/>
  <c r="L1911" i="1"/>
  <c r="N1911" i="1"/>
  <c r="O1911" i="1"/>
  <c r="H1912" i="1"/>
  <c r="L1912" i="1"/>
  <c r="N1912" i="1"/>
  <c r="O1912" i="1"/>
  <c r="H1913" i="1"/>
  <c r="L1913" i="1"/>
  <c r="N1913" i="1"/>
  <c r="O1913" i="1"/>
  <c r="H1915" i="1"/>
  <c r="L1915" i="1"/>
  <c r="N1915" i="1"/>
  <c r="O1915" i="1"/>
  <c r="H1916" i="1"/>
  <c r="L1916" i="1"/>
  <c r="N1916" i="1"/>
  <c r="O1916" i="1"/>
  <c r="H1917" i="1"/>
  <c r="L1917" i="1"/>
  <c r="N1917" i="1"/>
  <c r="O1917" i="1"/>
  <c r="H1918" i="1"/>
  <c r="L1918" i="1"/>
  <c r="N1918" i="1"/>
  <c r="O1918" i="1"/>
  <c r="H1919" i="1"/>
  <c r="L1919" i="1"/>
  <c r="N1919" i="1"/>
  <c r="O1919" i="1"/>
  <c r="H1920" i="1"/>
  <c r="L1920" i="1"/>
  <c r="N1920" i="1"/>
  <c r="O1920" i="1"/>
  <c r="H1921" i="1"/>
  <c r="L1921" i="1"/>
  <c r="N1921" i="1"/>
  <c r="O1921" i="1"/>
  <c r="H1922" i="1"/>
  <c r="L1922" i="1"/>
  <c r="N1922" i="1"/>
  <c r="O1922" i="1"/>
  <c r="H1923" i="1"/>
  <c r="L1923" i="1"/>
  <c r="N1923" i="1"/>
  <c r="O1923" i="1"/>
  <c r="H1924" i="1"/>
  <c r="L1924" i="1"/>
  <c r="N1924" i="1"/>
  <c r="O1924" i="1"/>
  <c r="H1925" i="1"/>
  <c r="L1925" i="1"/>
  <c r="N1925" i="1"/>
  <c r="O1925" i="1"/>
  <c r="H1926" i="1"/>
  <c r="L1926" i="1"/>
  <c r="N1926" i="1"/>
  <c r="O1926" i="1"/>
  <c r="H1927" i="1"/>
  <c r="L1927" i="1"/>
  <c r="N1927" i="1"/>
  <c r="O1927" i="1"/>
  <c r="H1928" i="1"/>
  <c r="L1928" i="1"/>
  <c r="N1928" i="1"/>
  <c r="O1928" i="1"/>
  <c r="H1929" i="1"/>
  <c r="L1929" i="1"/>
  <c r="N1929" i="1"/>
  <c r="O1929" i="1"/>
  <c r="H1930" i="1"/>
  <c r="L1930" i="1"/>
  <c r="N1930" i="1"/>
  <c r="O1930" i="1"/>
  <c r="H1931" i="1"/>
  <c r="L1931" i="1"/>
  <c r="N1931" i="1"/>
  <c r="O1931" i="1"/>
  <c r="H1932" i="1"/>
  <c r="L1932" i="1"/>
  <c r="N1932" i="1"/>
  <c r="O1932" i="1"/>
  <c r="H1933" i="1"/>
  <c r="L1933" i="1"/>
  <c r="N1933" i="1"/>
  <c r="O1933" i="1"/>
  <c r="H1934" i="1"/>
  <c r="L1934" i="1"/>
  <c r="N1934" i="1"/>
  <c r="O1934" i="1"/>
  <c r="H1935" i="1"/>
  <c r="L1935" i="1"/>
  <c r="N1935" i="1"/>
  <c r="O1935" i="1"/>
  <c r="H1936" i="1"/>
  <c r="L1936" i="1"/>
  <c r="N1936" i="1"/>
  <c r="O1936" i="1"/>
  <c r="H1937" i="1"/>
  <c r="L1937" i="1"/>
  <c r="N1937" i="1"/>
  <c r="O1937" i="1"/>
  <c r="H1938" i="1"/>
  <c r="L1938" i="1"/>
  <c r="N1938" i="1"/>
  <c r="O1938" i="1"/>
  <c r="H1939" i="1"/>
  <c r="L1939" i="1"/>
  <c r="N1939" i="1"/>
  <c r="O1939" i="1"/>
  <c r="H1940" i="1"/>
  <c r="L1940" i="1"/>
  <c r="N1940" i="1"/>
  <c r="O1940" i="1"/>
  <c r="H1941" i="1"/>
  <c r="L1941" i="1"/>
  <c r="N1941" i="1"/>
  <c r="O1941" i="1"/>
  <c r="H1942" i="1"/>
  <c r="L1942" i="1"/>
  <c r="N1942" i="1"/>
  <c r="O1942" i="1"/>
  <c r="H1943" i="1"/>
  <c r="L1943" i="1"/>
  <c r="N1943" i="1"/>
  <c r="O1943" i="1"/>
  <c r="H1944" i="1"/>
  <c r="L1944" i="1"/>
  <c r="N1944" i="1"/>
  <c r="O1944" i="1"/>
  <c r="H1945" i="1"/>
  <c r="L1945" i="1"/>
  <c r="N1945" i="1"/>
  <c r="O1945" i="1"/>
  <c r="H1946" i="1"/>
  <c r="L1946" i="1"/>
  <c r="N1946" i="1"/>
  <c r="O1946" i="1"/>
  <c r="H1947" i="1"/>
  <c r="L1947" i="1"/>
  <c r="N1947" i="1"/>
  <c r="O1947" i="1"/>
  <c r="H1948" i="1"/>
  <c r="L1948" i="1"/>
  <c r="N1948" i="1"/>
  <c r="O1948" i="1"/>
  <c r="H1949" i="1"/>
  <c r="L1949" i="1"/>
  <c r="N1949" i="1"/>
  <c r="O1949" i="1"/>
  <c r="H1950" i="1"/>
  <c r="L1950" i="1"/>
  <c r="N1950" i="1"/>
  <c r="O1950" i="1"/>
  <c r="H1952" i="1"/>
  <c r="L1952" i="1"/>
  <c r="N1952" i="1"/>
  <c r="O1952" i="1"/>
  <c r="H1953" i="1"/>
  <c r="L1953" i="1"/>
  <c r="N1953" i="1"/>
  <c r="O1953" i="1"/>
  <c r="H1954" i="1"/>
  <c r="L1954" i="1"/>
  <c r="N1954" i="1"/>
  <c r="O1954" i="1"/>
  <c r="H1955" i="1"/>
  <c r="L1955" i="1"/>
  <c r="N1955" i="1"/>
  <c r="O1955" i="1"/>
  <c r="H1956" i="1"/>
  <c r="L1956" i="1"/>
  <c r="N1956" i="1"/>
  <c r="O1956" i="1"/>
  <c r="H1958" i="1"/>
  <c r="L1958" i="1"/>
  <c r="N1958" i="1"/>
  <c r="O1958" i="1"/>
  <c r="H1959" i="1"/>
  <c r="L1959" i="1"/>
  <c r="N1959" i="1"/>
  <c r="O1959" i="1"/>
  <c r="H1960" i="1"/>
  <c r="L1960" i="1"/>
  <c r="N1960" i="1"/>
  <c r="O1960" i="1"/>
  <c r="H1961" i="1"/>
  <c r="L1961" i="1"/>
  <c r="N1961" i="1"/>
  <c r="O1961" i="1"/>
  <c r="H1962" i="1"/>
  <c r="L1962" i="1"/>
  <c r="N1962" i="1"/>
  <c r="O1962" i="1"/>
  <c r="H1963" i="1"/>
  <c r="L1963" i="1"/>
  <c r="N1963" i="1"/>
  <c r="O1963" i="1"/>
  <c r="H1964" i="1"/>
  <c r="L1964" i="1"/>
  <c r="N1964" i="1"/>
  <c r="O1964" i="1"/>
  <c r="H1965" i="1"/>
  <c r="L1965" i="1"/>
  <c r="N1965" i="1"/>
  <c r="O1965" i="1"/>
  <c r="H1966" i="1"/>
  <c r="L1966" i="1"/>
  <c r="N1966" i="1"/>
  <c r="O1966" i="1"/>
  <c r="H1967" i="1"/>
  <c r="L1967" i="1"/>
  <c r="N1967" i="1"/>
  <c r="O1967" i="1"/>
  <c r="H1968" i="1"/>
  <c r="L1968" i="1"/>
  <c r="N1968" i="1"/>
  <c r="O1968" i="1"/>
  <c r="H1969" i="1"/>
  <c r="L1969" i="1"/>
  <c r="N1969" i="1"/>
  <c r="O1969" i="1"/>
  <c r="H1970" i="1"/>
  <c r="L1970" i="1"/>
  <c r="N1970" i="1"/>
  <c r="O1970" i="1"/>
  <c r="H1971" i="1"/>
  <c r="L1971" i="1"/>
  <c r="N1971" i="1"/>
  <c r="O1971" i="1"/>
  <c r="H1972" i="1"/>
  <c r="L1972" i="1"/>
  <c r="N1972" i="1"/>
  <c r="O1972" i="1"/>
  <c r="H1973" i="1"/>
  <c r="L1973" i="1"/>
  <c r="N1973" i="1"/>
  <c r="O1973" i="1"/>
  <c r="H1974" i="1"/>
  <c r="L1974" i="1"/>
  <c r="N1974" i="1"/>
  <c r="O1974" i="1"/>
  <c r="H1975" i="1"/>
  <c r="L1975" i="1"/>
  <c r="N1975" i="1"/>
  <c r="O1975" i="1"/>
  <c r="H1976" i="1"/>
  <c r="L1976" i="1"/>
  <c r="N1976" i="1"/>
  <c r="O1976" i="1"/>
  <c r="H1977" i="1"/>
  <c r="L1977" i="1"/>
  <c r="N1977" i="1"/>
  <c r="O1977" i="1"/>
  <c r="H1978" i="1"/>
  <c r="L1978" i="1"/>
  <c r="N1978" i="1"/>
  <c r="O1978" i="1"/>
  <c r="H1979" i="1"/>
  <c r="L1979" i="1"/>
  <c r="N1979" i="1"/>
  <c r="O1979" i="1"/>
  <c r="H1980" i="1"/>
  <c r="L1980" i="1"/>
  <c r="N1980" i="1"/>
  <c r="O1980" i="1"/>
  <c r="H1981" i="1"/>
  <c r="L1981" i="1"/>
  <c r="N1981" i="1"/>
  <c r="O1981" i="1"/>
  <c r="H1982" i="1"/>
  <c r="L1982" i="1"/>
  <c r="N1982" i="1"/>
  <c r="O1982" i="1"/>
  <c r="H1983" i="1"/>
  <c r="L1983" i="1"/>
  <c r="N1983" i="1"/>
  <c r="O1983" i="1"/>
  <c r="H1984" i="1"/>
  <c r="L1984" i="1"/>
  <c r="N1984" i="1"/>
  <c r="O1984" i="1"/>
  <c r="H1985" i="1"/>
  <c r="L1985" i="1"/>
  <c r="N1985" i="1"/>
  <c r="O1985" i="1"/>
  <c r="H1986" i="1"/>
  <c r="L1986" i="1"/>
  <c r="N1986" i="1"/>
  <c r="O1986" i="1"/>
  <c r="H1987" i="1"/>
  <c r="L1987" i="1"/>
  <c r="N1987" i="1"/>
  <c r="O1987" i="1"/>
  <c r="H1988" i="1"/>
  <c r="L1988" i="1"/>
  <c r="N1988" i="1"/>
  <c r="O1988" i="1"/>
  <c r="H1989" i="1"/>
  <c r="L1989" i="1"/>
  <c r="N1989" i="1"/>
  <c r="O1989" i="1"/>
  <c r="H1990" i="1"/>
  <c r="L1990" i="1"/>
  <c r="N1990" i="1"/>
  <c r="O1990" i="1"/>
  <c r="H1991" i="1"/>
  <c r="L1991" i="1"/>
  <c r="N1991" i="1"/>
  <c r="O1991" i="1"/>
  <c r="H1992" i="1"/>
  <c r="L1992" i="1"/>
  <c r="N1992" i="1"/>
  <c r="O1992" i="1"/>
  <c r="H1993" i="1"/>
  <c r="L1993" i="1"/>
  <c r="N1993" i="1"/>
  <c r="O1993" i="1"/>
  <c r="H1994" i="1"/>
  <c r="L1994" i="1"/>
  <c r="N1994" i="1"/>
  <c r="O1994" i="1"/>
  <c r="H1995" i="1"/>
  <c r="L1995" i="1"/>
  <c r="N1995" i="1"/>
  <c r="O1995" i="1"/>
  <c r="H1996" i="1"/>
  <c r="L1996" i="1"/>
  <c r="N1996" i="1"/>
  <c r="O1996" i="1"/>
  <c r="H1997" i="1"/>
  <c r="L1997" i="1"/>
  <c r="N1997" i="1"/>
  <c r="O1997" i="1"/>
  <c r="H1998" i="1"/>
  <c r="L1998" i="1"/>
  <c r="N1998" i="1"/>
  <c r="O1998" i="1"/>
  <c r="H1999" i="1"/>
  <c r="L1999" i="1"/>
  <c r="N1999" i="1"/>
  <c r="O1999" i="1"/>
  <c r="H2000" i="1"/>
  <c r="L2000" i="1"/>
  <c r="N2000" i="1"/>
  <c r="O2000" i="1"/>
  <c r="H2001" i="1"/>
  <c r="L2001" i="1"/>
  <c r="N2001" i="1"/>
  <c r="O2001" i="1"/>
  <c r="H2002" i="1"/>
  <c r="L2002" i="1"/>
  <c r="N2002" i="1"/>
  <c r="O2002" i="1"/>
  <c r="H2003" i="1"/>
  <c r="L2003" i="1"/>
  <c r="N2003" i="1"/>
  <c r="O2003" i="1"/>
  <c r="H2004" i="1"/>
  <c r="L2004" i="1"/>
  <c r="N2004" i="1"/>
  <c r="O2004" i="1"/>
  <c r="H2005" i="1"/>
  <c r="L2005" i="1"/>
  <c r="N2005" i="1"/>
  <c r="O2005" i="1"/>
  <c r="H2006" i="1"/>
  <c r="L2006" i="1"/>
  <c r="N2006" i="1"/>
  <c r="O2006" i="1"/>
  <c r="H2007" i="1"/>
  <c r="L2007" i="1"/>
  <c r="N2007" i="1"/>
  <c r="O2007" i="1"/>
  <c r="H2008" i="1"/>
  <c r="L2008" i="1"/>
  <c r="N2008" i="1"/>
  <c r="O2008" i="1"/>
  <c r="H2009" i="1"/>
  <c r="L2009" i="1"/>
  <c r="N2009" i="1"/>
  <c r="O2009" i="1"/>
  <c r="H2010" i="1"/>
  <c r="L2010" i="1"/>
  <c r="N2010" i="1"/>
  <c r="O2010" i="1"/>
  <c r="H2011" i="1"/>
  <c r="L2011" i="1"/>
  <c r="N2011" i="1"/>
  <c r="O2011" i="1"/>
  <c r="H2012" i="1"/>
  <c r="L2012" i="1"/>
  <c r="N2012" i="1"/>
  <c r="O2012" i="1"/>
  <c r="H2013" i="1"/>
  <c r="L2013" i="1"/>
  <c r="N2013" i="1"/>
  <c r="O2013" i="1"/>
  <c r="H2014" i="1"/>
  <c r="L2014" i="1"/>
  <c r="N2014" i="1"/>
  <c r="O2014" i="1"/>
  <c r="H2015" i="1"/>
  <c r="L2015" i="1"/>
  <c r="N2015" i="1"/>
  <c r="O2015" i="1"/>
  <c r="H2016" i="1"/>
  <c r="L2016" i="1"/>
  <c r="N2016" i="1"/>
  <c r="O2016" i="1"/>
  <c r="H2017" i="1"/>
  <c r="L2017" i="1"/>
  <c r="N2017" i="1"/>
  <c r="O2017" i="1"/>
  <c r="H2018" i="1"/>
  <c r="L2018" i="1"/>
  <c r="N2018" i="1"/>
  <c r="O2018" i="1"/>
  <c r="H2019" i="1"/>
  <c r="L2019" i="1"/>
  <c r="N2019" i="1"/>
  <c r="O2019" i="1"/>
  <c r="H2020" i="1"/>
  <c r="L2020" i="1"/>
  <c r="N2020" i="1"/>
  <c r="O2020" i="1"/>
  <c r="H2021" i="1"/>
  <c r="L2021" i="1"/>
  <c r="N2021" i="1"/>
  <c r="O2021" i="1"/>
  <c r="H2022" i="1"/>
  <c r="L2022" i="1"/>
  <c r="N2022" i="1"/>
  <c r="O2022" i="1"/>
  <c r="H2023" i="1"/>
  <c r="L2023" i="1"/>
  <c r="N2023" i="1"/>
  <c r="O2023" i="1"/>
  <c r="H2024" i="1"/>
  <c r="L2024" i="1"/>
  <c r="N2024" i="1"/>
  <c r="O2024" i="1"/>
  <c r="H2025" i="1"/>
  <c r="L2025" i="1"/>
  <c r="N2025" i="1"/>
  <c r="O2025" i="1"/>
  <c r="H2027" i="1"/>
  <c r="L2027" i="1"/>
  <c r="N2027" i="1"/>
  <c r="O2027" i="1"/>
  <c r="H2028" i="1"/>
  <c r="L2028" i="1"/>
  <c r="N2028" i="1"/>
  <c r="O2028" i="1"/>
  <c r="H2029" i="1"/>
  <c r="L2029" i="1"/>
  <c r="N2029" i="1"/>
  <c r="O2029" i="1"/>
  <c r="H2031" i="1"/>
  <c r="L2031" i="1"/>
  <c r="N2031" i="1"/>
  <c r="O2031" i="1"/>
  <c r="H2032" i="1"/>
  <c r="L2032" i="1"/>
  <c r="N2032" i="1"/>
  <c r="O2032" i="1"/>
  <c r="H2033" i="1"/>
  <c r="L2033" i="1"/>
  <c r="N2033" i="1"/>
  <c r="O2033" i="1"/>
  <c r="H2034" i="1"/>
  <c r="L2034" i="1"/>
  <c r="N2034" i="1"/>
  <c r="O2034" i="1"/>
  <c r="H2035" i="1"/>
  <c r="L2035" i="1"/>
  <c r="N2035" i="1"/>
  <c r="O2035" i="1"/>
  <c r="H2036" i="1"/>
  <c r="L2036" i="1"/>
  <c r="N2036" i="1"/>
  <c r="O2036" i="1"/>
  <c r="H2037" i="1"/>
  <c r="L2037" i="1"/>
  <c r="N2037" i="1"/>
  <c r="O2037" i="1"/>
  <c r="H2038" i="1"/>
  <c r="L2038" i="1"/>
  <c r="N2038" i="1"/>
  <c r="O2038" i="1"/>
  <c r="H2039" i="1"/>
  <c r="L2039" i="1"/>
  <c r="N2039" i="1"/>
  <c r="O2039" i="1"/>
  <c r="H2040" i="1"/>
  <c r="L2040" i="1"/>
  <c r="N2040" i="1"/>
  <c r="O2040" i="1"/>
  <c r="H2041" i="1"/>
  <c r="L2041" i="1"/>
  <c r="N2041" i="1"/>
  <c r="O2041" i="1"/>
  <c r="H2042" i="1"/>
  <c r="L2042" i="1"/>
  <c r="N2042" i="1"/>
  <c r="O2042" i="1"/>
  <c r="H2043" i="1"/>
  <c r="L2043" i="1"/>
  <c r="N2043" i="1"/>
  <c r="O2043" i="1"/>
  <c r="H2044" i="1"/>
  <c r="L2044" i="1"/>
  <c r="N2044" i="1"/>
  <c r="O2044" i="1"/>
  <c r="H2045" i="1"/>
  <c r="L2045" i="1"/>
  <c r="N2045" i="1"/>
  <c r="O2045" i="1"/>
  <c r="H2046" i="1"/>
  <c r="L2046" i="1"/>
  <c r="N2046" i="1"/>
  <c r="O2046" i="1"/>
  <c r="H2047" i="1"/>
  <c r="L2047" i="1"/>
  <c r="N2047" i="1"/>
  <c r="O2047" i="1"/>
  <c r="H2048" i="1"/>
  <c r="L2048" i="1"/>
  <c r="N2048" i="1"/>
  <c r="O2048" i="1"/>
  <c r="H2049" i="1"/>
  <c r="L2049" i="1"/>
  <c r="N2049" i="1"/>
  <c r="O2049" i="1"/>
  <c r="H2050" i="1"/>
  <c r="L2050" i="1"/>
  <c r="N2050" i="1"/>
  <c r="O2050" i="1"/>
  <c r="H2051" i="1"/>
  <c r="L2051" i="1"/>
  <c r="N2051" i="1"/>
  <c r="O2051" i="1"/>
  <c r="H2052" i="1"/>
  <c r="L2052" i="1"/>
  <c r="N2052" i="1"/>
  <c r="O2052" i="1"/>
  <c r="H2053" i="1"/>
  <c r="L2053" i="1"/>
  <c r="N2053" i="1"/>
  <c r="O2053" i="1"/>
  <c r="H2054" i="1"/>
  <c r="L2054" i="1"/>
  <c r="N2054" i="1"/>
  <c r="O2054" i="1"/>
  <c r="H2055" i="1"/>
  <c r="L2055" i="1"/>
  <c r="N2055" i="1"/>
  <c r="O2055" i="1"/>
  <c r="H2056" i="1"/>
  <c r="L2056" i="1"/>
  <c r="N2056" i="1"/>
  <c r="O2056" i="1"/>
  <c r="H2057" i="1"/>
  <c r="L2057" i="1"/>
  <c r="N2057" i="1"/>
  <c r="O2057" i="1"/>
  <c r="H2058" i="1"/>
  <c r="L2058" i="1"/>
  <c r="N2058" i="1"/>
  <c r="O2058" i="1"/>
  <c r="H2059" i="1"/>
  <c r="L2059" i="1"/>
  <c r="N2059" i="1"/>
  <c r="O2059" i="1"/>
  <c r="H2060" i="1"/>
  <c r="L2060" i="1"/>
  <c r="N2060" i="1"/>
  <c r="O2060" i="1"/>
  <c r="H2061" i="1"/>
  <c r="L2061" i="1"/>
  <c r="N2061" i="1"/>
  <c r="O2061" i="1"/>
  <c r="H2062" i="1"/>
  <c r="L2062" i="1"/>
  <c r="N2062" i="1"/>
  <c r="O2062" i="1"/>
  <c r="H2063" i="1"/>
  <c r="L2063" i="1"/>
  <c r="N2063" i="1"/>
  <c r="O2063" i="1"/>
  <c r="H2064" i="1"/>
  <c r="L2064" i="1"/>
  <c r="N2064" i="1"/>
  <c r="O2064" i="1"/>
  <c r="H2065" i="1"/>
  <c r="L2065" i="1"/>
  <c r="N2065" i="1"/>
  <c r="O2065" i="1"/>
  <c r="H2066" i="1"/>
  <c r="L2066" i="1"/>
  <c r="N2066" i="1"/>
  <c r="O2066" i="1"/>
  <c r="H2067" i="1"/>
  <c r="L2067" i="1"/>
  <c r="N2067" i="1"/>
  <c r="O2067" i="1"/>
  <c r="H2068" i="1"/>
  <c r="L2068" i="1"/>
  <c r="N2068" i="1"/>
  <c r="O2068" i="1"/>
  <c r="H2069" i="1"/>
  <c r="L2069" i="1"/>
  <c r="N2069" i="1"/>
  <c r="O2069" i="1"/>
  <c r="H2071" i="1"/>
  <c r="L2071" i="1"/>
  <c r="N2071" i="1"/>
  <c r="O2071" i="1"/>
  <c r="H2072" i="1"/>
  <c r="L2072" i="1"/>
  <c r="N2072" i="1"/>
  <c r="O2072" i="1"/>
  <c r="H2073" i="1"/>
  <c r="L2073" i="1"/>
  <c r="N2073" i="1"/>
  <c r="O2073" i="1"/>
  <c r="H2074" i="1"/>
  <c r="L2074" i="1"/>
  <c r="N2074" i="1"/>
  <c r="O2074" i="1"/>
  <c r="H2075" i="1"/>
  <c r="L2075" i="1"/>
  <c r="N2075" i="1"/>
  <c r="O2075" i="1"/>
  <c r="H2076" i="1"/>
  <c r="L2076" i="1"/>
  <c r="N2076" i="1"/>
  <c r="O2076" i="1"/>
  <c r="H2078" i="1"/>
  <c r="L2078" i="1"/>
  <c r="N2078" i="1"/>
  <c r="O2078" i="1"/>
  <c r="H2079" i="1"/>
  <c r="L2079" i="1"/>
  <c r="N2079" i="1"/>
  <c r="O2079" i="1"/>
  <c r="H2080" i="1"/>
  <c r="L2080" i="1"/>
  <c r="N2080" i="1"/>
  <c r="O2080" i="1"/>
  <c r="H2081" i="1"/>
  <c r="L2081" i="1"/>
  <c r="N2081" i="1"/>
  <c r="O2081" i="1"/>
  <c r="H2082" i="1"/>
  <c r="L2082" i="1"/>
  <c r="N2082" i="1"/>
  <c r="O2082" i="1"/>
  <c r="H2083" i="1"/>
  <c r="L2083" i="1"/>
  <c r="N2083" i="1"/>
  <c r="O2083" i="1"/>
  <c r="H2084" i="1"/>
  <c r="L2084" i="1"/>
  <c r="N2084" i="1"/>
  <c r="O2084" i="1"/>
  <c r="H2085" i="1"/>
  <c r="L2085" i="1"/>
  <c r="N2085" i="1"/>
  <c r="O2085" i="1"/>
  <c r="H2086" i="1"/>
  <c r="L2086" i="1"/>
  <c r="N2086" i="1"/>
  <c r="O2086" i="1"/>
  <c r="H2087" i="1"/>
  <c r="L2087" i="1"/>
  <c r="N2087" i="1"/>
  <c r="O2087" i="1"/>
  <c r="H2088" i="1"/>
  <c r="L2088" i="1"/>
  <c r="N2088" i="1"/>
  <c r="O2088" i="1"/>
  <c r="H2089" i="1"/>
  <c r="L2089" i="1"/>
  <c r="N2089" i="1"/>
  <c r="O2089" i="1"/>
  <c r="H2090" i="1"/>
  <c r="L2090" i="1"/>
  <c r="N2090" i="1"/>
  <c r="O2090" i="1"/>
  <c r="H2091" i="1"/>
  <c r="L2091" i="1"/>
  <c r="N2091" i="1"/>
  <c r="O2091" i="1"/>
  <c r="H2092" i="1"/>
  <c r="L2092" i="1"/>
  <c r="N2092" i="1"/>
  <c r="O2092" i="1"/>
  <c r="H2093" i="1"/>
  <c r="L2093" i="1"/>
  <c r="N2093" i="1"/>
  <c r="O2093" i="1"/>
  <c r="H2094" i="1"/>
  <c r="L2094" i="1"/>
  <c r="N2094" i="1"/>
  <c r="O2094" i="1"/>
  <c r="H2095" i="1"/>
  <c r="L2095" i="1"/>
  <c r="N2095" i="1"/>
  <c r="O2095" i="1"/>
  <c r="H2096" i="1"/>
  <c r="L2096" i="1"/>
  <c r="N2096" i="1"/>
  <c r="O2096" i="1"/>
  <c r="H2097" i="1"/>
  <c r="L2097" i="1"/>
  <c r="N2097" i="1"/>
  <c r="O2097" i="1"/>
  <c r="H2098" i="1"/>
  <c r="L2098" i="1"/>
  <c r="N2098" i="1"/>
  <c r="O2098" i="1"/>
  <c r="H2099" i="1"/>
  <c r="L2099" i="1"/>
  <c r="N2099" i="1"/>
  <c r="O2099" i="1"/>
  <c r="H2100" i="1"/>
  <c r="L2100" i="1"/>
  <c r="N2100" i="1"/>
  <c r="O2100" i="1"/>
  <c r="H2101" i="1"/>
  <c r="L2101" i="1"/>
  <c r="N2101" i="1"/>
  <c r="O2101" i="1"/>
  <c r="H2102" i="1"/>
  <c r="L2102" i="1"/>
  <c r="N2102" i="1"/>
  <c r="O2102" i="1"/>
  <c r="H2103" i="1"/>
  <c r="L2103" i="1"/>
  <c r="N2103" i="1"/>
  <c r="O2103" i="1"/>
  <c r="H2104" i="1"/>
  <c r="L2104" i="1"/>
  <c r="N2104" i="1"/>
  <c r="O2104" i="1"/>
  <c r="H2105" i="1"/>
  <c r="L2105" i="1"/>
  <c r="N2105" i="1"/>
  <c r="O2105" i="1"/>
  <c r="H2106" i="1"/>
  <c r="L2106" i="1"/>
  <c r="N2106" i="1"/>
  <c r="O2106" i="1"/>
  <c r="H2107" i="1"/>
  <c r="L2107" i="1"/>
  <c r="N2107" i="1"/>
  <c r="O2107" i="1"/>
  <c r="H2108" i="1"/>
  <c r="L2108" i="1"/>
  <c r="N2108" i="1"/>
  <c r="O2108" i="1"/>
  <c r="H2109" i="1"/>
  <c r="L2109" i="1"/>
  <c r="N2109" i="1"/>
  <c r="O2109" i="1"/>
  <c r="H2110" i="1"/>
  <c r="L2110" i="1"/>
  <c r="N2110" i="1"/>
  <c r="O2110" i="1"/>
  <c r="H2111" i="1"/>
  <c r="L2111" i="1"/>
  <c r="N2111" i="1"/>
  <c r="O2111" i="1"/>
  <c r="H2112" i="1"/>
  <c r="L2112" i="1"/>
  <c r="N2112" i="1"/>
  <c r="O2112" i="1"/>
  <c r="H2113" i="1"/>
  <c r="L2113" i="1"/>
  <c r="N2113" i="1"/>
  <c r="O2113" i="1"/>
  <c r="H2114" i="1"/>
  <c r="L2114" i="1"/>
  <c r="N2114" i="1"/>
  <c r="O2114" i="1"/>
  <c r="H2115" i="1"/>
  <c r="L2115" i="1"/>
  <c r="N2115" i="1"/>
  <c r="O2115" i="1"/>
  <c r="H2116" i="1"/>
  <c r="L2116" i="1"/>
  <c r="N2116" i="1"/>
  <c r="O2116" i="1"/>
  <c r="H2117" i="1"/>
  <c r="L2117" i="1"/>
  <c r="N2117" i="1"/>
  <c r="O2117" i="1"/>
  <c r="H2118" i="1"/>
  <c r="L2118" i="1"/>
  <c r="N2118" i="1"/>
  <c r="O2118" i="1"/>
  <c r="H2120" i="1"/>
  <c r="L2120" i="1"/>
  <c r="N2120" i="1"/>
  <c r="O2120" i="1"/>
  <c r="H2121" i="1"/>
  <c r="L2121" i="1"/>
  <c r="N2121" i="1"/>
  <c r="O2121" i="1"/>
  <c r="H2122" i="1"/>
  <c r="L2122" i="1"/>
  <c r="N2122" i="1"/>
  <c r="O2122" i="1"/>
  <c r="H2123" i="1"/>
  <c r="L2123" i="1"/>
  <c r="N2123" i="1"/>
  <c r="O2123" i="1"/>
  <c r="H2124" i="1"/>
  <c r="L2124" i="1"/>
  <c r="N2124" i="1"/>
  <c r="O2124" i="1"/>
  <c r="H2125" i="1"/>
  <c r="L2125" i="1"/>
  <c r="N2125" i="1"/>
  <c r="O2125" i="1"/>
  <c r="H2126" i="1"/>
  <c r="L2126" i="1"/>
  <c r="N2126" i="1"/>
  <c r="O2126" i="1"/>
  <c r="H2127" i="1"/>
  <c r="L2127" i="1"/>
  <c r="N2127" i="1"/>
  <c r="O2127" i="1"/>
  <c r="H2128" i="1"/>
  <c r="L2128" i="1"/>
  <c r="N2128" i="1"/>
  <c r="O2128" i="1"/>
  <c r="H2130" i="1"/>
  <c r="L2130" i="1"/>
  <c r="N2130" i="1"/>
  <c r="O2130" i="1"/>
  <c r="H2131" i="1"/>
  <c r="L2131" i="1"/>
  <c r="N2131" i="1"/>
  <c r="O2131" i="1"/>
  <c r="H2133" i="1"/>
  <c r="L2133" i="1"/>
  <c r="N2133" i="1"/>
  <c r="O2133" i="1"/>
  <c r="H2134" i="1"/>
  <c r="L2134" i="1"/>
  <c r="N2134" i="1"/>
  <c r="O2134" i="1"/>
  <c r="H2135" i="1"/>
  <c r="L2135" i="1"/>
  <c r="N2135" i="1"/>
  <c r="O2135" i="1"/>
  <c r="H2136" i="1"/>
  <c r="L2136" i="1"/>
  <c r="N2136" i="1"/>
  <c r="O2136" i="1"/>
  <c r="H2137" i="1"/>
  <c r="L2137" i="1"/>
  <c r="N2137" i="1"/>
  <c r="O2137" i="1"/>
  <c r="H2138" i="1"/>
  <c r="L2138" i="1"/>
  <c r="N2138" i="1"/>
  <c r="O2138" i="1"/>
  <c r="H2139" i="1"/>
  <c r="L2139" i="1"/>
  <c r="N2139" i="1"/>
  <c r="O2139" i="1"/>
  <c r="H2140" i="1"/>
  <c r="L2140" i="1"/>
  <c r="N2140" i="1"/>
  <c r="O2140" i="1"/>
  <c r="H2141" i="1"/>
  <c r="L2141" i="1"/>
  <c r="N2141" i="1"/>
  <c r="O2141" i="1"/>
  <c r="H2142" i="1"/>
  <c r="L2142" i="1"/>
  <c r="N2142" i="1"/>
  <c r="O2142" i="1"/>
  <c r="H2143" i="1"/>
  <c r="L2143" i="1"/>
  <c r="N2143" i="1"/>
  <c r="O2143" i="1"/>
  <c r="H2144" i="1"/>
  <c r="L2144" i="1"/>
  <c r="N2144" i="1"/>
  <c r="O2144" i="1"/>
  <c r="H2145" i="1"/>
  <c r="L2145" i="1"/>
  <c r="N2145" i="1"/>
  <c r="O2145" i="1"/>
  <c r="H2146" i="1"/>
  <c r="L2146" i="1"/>
  <c r="N2146" i="1"/>
  <c r="O2146" i="1"/>
  <c r="L2147" i="1"/>
  <c r="N2147" i="1"/>
  <c r="O2147" i="1"/>
  <c r="H2148" i="1"/>
  <c r="L2148" i="1"/>
  <c r="N2148" i="1"/>
  <c r="O2148" i="1"/>
  <c r="H2149" i="1"/>
  <c r="L2149" i="1"/>
  <c r="N2149" i="1"/>
  <c r="O2149" i="1"/>
  <c r="H2150" i="1"/>
  <c r="L2150" i="1"/>
  <c r="N2150" i="1"/>
  <c r="O2150" i="1"/>
  <c r="H2151" i="1"/>
  <c r="L2151" i="1"/>
  <c r="N2151" i="1"/>
  <c r="O2151" i="1"/>
  <c r="H2152" i="1"/>
  <c r="L2152" i="1"/>
  <c r="N2152" i="1"/>
  <c r="O2152" i="1"/>
  <c r="H2153" i="1"/>
  <c r="L2153" i="1"/>
  <c r="N2153" i="1"/>
  <c r="O2153" i="1"/>
  <c r="H2154" i="1"/>
  <c r="L2154" i="1"/>
  <c r="N2154" i="1"/>
  <c r="O2154" i="1"/>
  <c r="H2155" i="1"/>
  <c r="L2155" i="1"/>
  <c r="N2155" i="1"/>
  <c r="O2155" i="1"/>
  <c r="H2156" i="1"/>
  <c r="L2156" i="1"/>
  <c r="N2156" i="1"/>
  <c r="O2156" i="1"/>
  <c r="H2157" i="1"/>
  <c r="L2157" i="1"/>
  <c r="N2157" i="1"/>
  <c r="O2157" i="1"/>
  <c r="H2158" i="1"/>
  <c r="L2158" i="1"/>
  <c r="N2158" i="1"/>
  <c r="O2158" i="1"/>
  <c r="H2159" i="1"/>
  <c r="L2159" i="1"/>
  <c r="N2159" i="1"/>
  <c r="O2159" i="1"/>
  <c r="H2160" i="1"/>
  <c r="L2160" i="1"/>
  <c r="N2160" i="1"/>
  <c r="O2160" i="1"/>
  <c r="H2161" i="1"/>
  <c r="L2161" i="1"/>
  <c r="N2161" i="1"/>
  <c r="O2161" i="1"/>
  <c r="H2162" i="1"/>
  <c r="L2162" i="1"/>
  <c r="N2162" i="1"/>
  <c r="O2162" i="1"/>
  <c r="H2163" i="1"/>
  <c r="L2163" i="1"/>
  <c r="N2163" i="1"/>
  <c r="O2163" i="1"/>
  <c r="H2164" i="1"/>
  <c r="L2164" i="1"/>
  <c r="N2164" i="1"/>
  <c r="O2164" i="1"/>
  <c r="H2165" i="1"/>
  <c r="L2165" i="1"/>
  <c r="N2165" i="1"/>
  <c r="O2165" i="1"/>
  <c r="H2166" i="1"/>
  <c r="L2166" i="1"/>
  <c r="N2166" i="1"/>
  <c r="O2166" i="1"/>
  <c r="H2167" i="1"/>
  <c r="L2167" i="1"/>
  <c r="N2167" i="1"/>
  <c r="O2167" i="1"/>
  <c r="H2168" i="1"/>
  <c r="L2168" i="1"/>
  <c r="N2168" i="1"/>
  <c r="O2168" i="1"/>
  <c r="H2169" i="1"/>
  <c r="L2169" i="1"/>
  <c r="N2169" i="1"/>
  <c r="O2169" i="1"/>
  <c r="H2170" i="1"/>
  <c r="L2170" i="1"/>
  <c r="N2170" i="1"/>
  <c r="O2170" i="1"/>
  <c r="H2171" i="1"/>
  <c r="L2171" i="1"/>
  <c r="N2171" i="1"/>
  <c r="O2171" i="1"/>
  <c r="H2172" i="1"/>
  <c r="L2172" i="1"/>
  <c r="N2172" i="1"/>
  <c r="O2172" i="1"/>
  <c r="H2173" i="1"/>
  <c r="L2173" i="1"/>
  <c r="N2173" i="1"/>
  <c r="O2173" i="1"/>
  <c r="H2174" i="1"/>
  <c r="L2174" i="1"/>
  <c r="N2174" i="1"/>
  <c r="O2174" i="1"/>
  <c r="H2175" i="1"/>
  <c r="L2175" i="1"/>
  <c r="N2175" i="1"/>
  <c r="O2175" i="1"/>
  <c r="H2176" i="1"/>
  <c r="L2176" i="1"/>
  <c r="N2176" i="1"/>
  <c r="O2176" i="1"/>
  <c r="H2177" i="1"/>
  <c r="L2177" i="1"/>
  <c r="N2177" i="1"/>
  <c r="O2177" i="1"/>
  <c r="H2178" i="1"/>
  <c r="L2178" i="1"/>
  <c r="N2178" i="1"/>
  <c r="O2178" i="1"/>
  <c r="H2179" i="1"/>
  <c r="L2179" i="1"/>
  <c r="N2179" i="1"/>
  <c r="O2179" i="1"/>
  <c r="H2180" i="1"/>
  <c r="L2180" i="1"/>
  <c r="N2180" i="1"/>
  <c r="O2180" i="1"/>
  <c r="H2181" i="1"/>
  <c r="L2181" i="1"/>
  <c r="N2181" i="1"/>
  <c r="O2181" i="1"/>
  <c r="H2182" i="1"/>
  <c r="L2182" i="1"/>
  <c r="N2182" i="1"/>
  <c r="O2182" i="1"/>
  <c r="H2183" i="1"/>
  <c r="L2183" i="1"/>
  <c r="N2183" i="1"/>
  <c r="O2183" i="1"/>
  <c r="H2184" i="1"/>
  <c r="L2184" i="1"/>
  <c r="N2184" i="1"/>
  <c r="O2184" i="1"/>
  <c r="H2185" i="1"/>
  <c r="L2185" i="1"/>
  <c r="N2185" i="1"/>
  <c r="O2185" i="1"/>
  <c r="H2186" i="1"/>
  <c r="L2186" i="1"/>
  <c r="N2186" i="1"/>
  <c r="O2186" i="1"/>
  <c r="H2187" i="1"/>
  <c r="L2187" i="1"/>
  <c r="N2187" i="1"/>
  <c r="O2187" i="1"/>
  <c r="H2188" i="1"/>
  <c r="L2188" i="1"/>
  <c r="N2188" i="1"/>
  <c r="O2188" i="1"/>
  <c r="H2189" i="1"/>
  <c r="L2189" i="1"/>
  <c r="N2189" i="1"/>
  <c r="O2189" i="1"/>
  <c r="H2190" i="1"/>
  <c r="L2190" i="1"/>
  <c r="N2190" i="1"/>
  <c r="O2190" i="1"/>
  <c r="H2191" i="1"/>
  <c r="L2191" i="1"/>
  <c r="N2191" i="1"/>
  <c r="O2191" i="1"/>
  <c r="H2192" i="1"/>
  <c r="L2192" i="1"/>
  <c r="N2192" i="1"/>
  <c r="O2192" i="1"/>
  <c r="H2193" i="1"/>
  <c r="L2193" i="1"/>
  <c r="N2193" i="1"/>
  <c r="O2193" i="1"/>
  <c r="H2194" i="1"/>
  <c r="L2194" i="1"/>
  <c r="N2194" i="1"/>
  <c r="O2194" i="1"/>
  <c r="H2195" i="1"/>
  <c r="L2195" i="1"/>
  <c r="N2195" i="1"/>
  <c r="O2195" i="1"/>
  <c r="H2196" i="1"/>
  <c r="L2196" i="1"/>
  <c r="N2196" i="1"/>
  <c r="O2196" i="1"/>
  <c r="H2197" i="1"/>
  <c r="L2197" i="1"/>
  <c r="N2197" i="1"/>
  <c r="O2197" i="1"/>
  <c r="H2198" i="1"/>
  <c r="L2198" i="1"/>
  <c r="N2198" i="1"/>
  <c r="O2198" i="1"/>
  <c r="H2199" i="1"/>
  <c r="L2199" i="1"/>
  <c r="N2199" i="1"/>
  <c r="O2199" i="1"/>
  <c r="H2200" i="1"/>
  <c r="L2200" i="1"/>
  <c r="N2200" i="1"/>
  <c r="O2200" i="1"/>
  <c r="H2201" i="1"/>
  <c r="L2201" i="1"/>
  <c r="N2201" i="1"/>
  <c r="O2201" i="1"/>
  <c r="H2203" i="1"/>
  <c r="L2203" i="1"/>
  <c r="N2203" i="1"/>
  <c r="O2203" i="1"/>
  <c r="H2204" i="1"/>
  <c r="L2204" i="1"/>
  <c r="N2204" i="1"/>
  <c r="O2204" i="1"/>
  <c r="H2205" i="1"/>
  <c r="L2205" i="1"/>
  <c r="N2205" i="1"/>
  <c r="O2205" i="1"/>
  <c r="H2207" i="1"/>
  <c r="L2207" i="1"/>
  <c r="N2207" i="1"/>
  <c r="O2207" i="1"/>
  <c r="H2208" i="1"/>
  <c r="L2208" i="1"/>
  <c r="N2208" i="1"/>
  <c r="O2208" i="1"/>
  <c r="H2209" i="1"/>
  <c r="L2209" i="1"/>
  <c r="N2209" i="1"/>
  <c r="O2209" i="1"/>
  <c r="H2210" i="1"/>
  <c r="L2210" i="1"/>
  <c r="N2210" i="1"/>
  <c r="O2210" i="1"/>
  <c r="H2211" i="1"/>
  <c r="L2211" i="1"/>
  <c r="N2211" i="1"/>
  <c r="O2211" i="1"/>
  <c r="H2212" i="1"/>
  <c r="L2212" i="1"/>
  <c r="N2212" i="1"/>
  <c r="O2212" i="1"/>
  <c r="H2213" i="1"/>
  <c r="L2213" i="1"/>
  <c r="N2213" i="1"/>
  <c r="O2213" i="1"/>
  <c r="H2214" i="1"/>
  <c r="L2214" i="1"/>
  <c r="N2214" i="1"/>
  <c r="O2214" i="1"/>
  <c r="H2215" i="1"/>
  <c r="L2215" i="1"/>
  <c r="N2215" i="1"/>
  <c r="O2215" i="1"/>
  <c r="H2216" i="1"/>
  <c r="L2216" i="1"/>
  <c r="N2216" i="1"/>
  <c r="O2216" i="1"/>
  <c r="H2217" i="1"/>
  <c r="L2217" i="1"/>
  <c r="N2217" i="1"/>
  <c r="O2217" i="1"/>
  <c r="H2218" i="1"/>
  <c r="L2218" i="1"/>
  <c r="N2218" i="1"/>
  <c r="O2218" i="1"/>
  <c r="H2219" i="1"/>
  <c r="L2219" i="1"/>
  <c r="N2219" i="1"/>
  <c r="O2219" i="1"/>
  <c r="H2220" i="1"/>
  <c r="L2220" i="1"/>
  <c r="N2220" i="1"/>
  <c r="O2220" i="1"/>
  <c r="H2221" i="1"/>
  <c r="L2221" i="1"/>
  <c r="N2221" i="1"/>
  <c r="O2221" i="1"/>
  <c r="H2222" i="1"/>
  <c r="L2222" i="1"/>
  <c r="N2222" i="1"/>
  <c r="O2222" i="1"/>
  <c r="H2223" i="1"/>
  <c r="L2223" i="1"/>
  <c r="N2223" i="1"/>
  <c r="O2223" i="1"/>
  <c r="H2224" i="1"/>
  <c r="L2224" i="1"/>
  <c r="N2224" i="1"/>
  <c r="O2224" i="1"/>
  <c r="H2225" i="1"/>
  <c r="L2225" i="1"/>
  <c r="N2225" i="1"/>
  <c r="O2225" i="1"/>
  <c r="H2226" i="1"/>
  <c r="L2226" i="1"/>
  <c r="N2226" i="1"/>
  <c r="O2226" i="1"/>
  <c r="H2227" i="1"/>
  <c r="L2227" i="1"/>
  <c r="N2227" i="1"/>
  <c r="O2227" i="1"/>
  <c r="H2228" i="1"/>
  <c r="L2228" i="1"/>
  <c r="N2228" i="1"/>
  <c r="O2228" i="1"/>
  <c r="H2229" i="1"/>
  <c r="L2229" i="1"/>
  <c r="N2229" i="1"/>
  <c r="O2229" i="1"/>
  <c r="H2230" i="1"/>
  <c r="L2230" i="1"/>
  <c r="N2230" i="1"/>
  <c r="O2230" i="1"/>
  <c r="H2231" i="1"/>
  <c r="L2231" i="1"/>
  <c r="N2231" i="1"/>
  <c r="O2231" i="1"/>
  <c r="H2232" i="1"/>
  <c r="L2232" i="1"/>
  <c r="N2232" i="1"/>
  <c r="O2232" i="1"/>
  <c r="H2233" i="1"/>
  <c r="L2233" i="1"/>
  <c r="N2233" i="1"/>
  <c r="O2233" i="1"/>
  <c r="H2234" i="1"/>
  <c r="L2234" i="1"/>
  <c r="N2234" i="1"/>
  <c r="O2234" i="1"/>
  <c r="H2235" i="1"/>
  <c r="L2235" i="1"/>
  <c r="N2235" i="1"/>
  <c r="O2235" i="1"/>
  <c r="H2236" i="1"/>
  <c r="L2236" i="1"/>
  <c r="N2236" i="1"/>
  <c r="O2236" i="1"/>
  <c r="H2237" i="1"/>
  <c r="L2237" i="1"/>
  <c r="N2237" i="1"/>
  <c r="O2237" i="1"/>
  <c r="H2238" i="1"/>
  <c r="L2238" i="1"/>
  <c r="N2238" i="1"/>
  <c r="O2238" i="1"/>
  <c r="H2239" i="1"/>
  <c r="L2239" i="1"/>
  <c r="N2239" i="1"/>
  <c r="O2239" i="1"/>
  <c r="H2240" i="1"/>
  <c r="L2240" i="1"/>
  <c r="N2240" i="1"/>
  <c r="O2240" i="1"/>
  <c r="H2241" i="1"/>
  <c r="L2241" i="1"/>
  <c r="N2241" i="1"/>
  <c r="O2241" i="1"/>
  <c r="H2242" i="1"/>
  <c r="L2242" i="1"/>
  <c r="N2242" i="1"/>
  <c r="O2242" i="1"/>
  <c r="H2243" i="1"/>
  <c r="L2243" i="1"/>
  <c r="N2243" i="1"/>
  <c r="O2243" i="1"/>
  <c r="H2244" i="1"/>
  <c r="L2244" i="1"/>
  <c r="N2244" i="1"/>
  <c r="O2244" i="1"/>
  <c r="H2245" i="1"/>
  <c r="L2245" i="1"/>
  <c r="N2245" i="1"/>
  <c r="O2245" i="1"/>
  <c r="H2246" i="1"/>
  <c r="L2246" i="1"/>
  <c r="N2246" i="1"/>
  <c r="O2246" i="1"/>
  <c r="H2247" i="1"/>
  <c r="L2247" i="1"/>
  <c r="N2247" i="1"/>
  <c r="O2247" i="1"/>
  <c r="H2248" i="1"/>
  <c r="L2248" i="1"/>
  <c r="N2248" i="1"/>
  <c r="O2248" i="1"/>
  <c r="H2249" i="1"/>
  <c r="L2249" i="1"/>
  <c r="N2249" i="1"/>
  <c r="O2249" i="1"/>
  <c r="H2250" i="1"/>
  <c r="L2250" i="1"/>
  <c r="N2250" i="1"/>
  <c r="O2250" i="1"/>
  <c r="H2251" i="1"/>
  <c r="L2251" i="1"/>
  <c r="N2251" i="1"/>
  <c r="O2251" i="1"/>
  <c r="H2252" i="1"/>
  <c r="L2252" i="1"/>
  <c r="N2252" i="1"/>
  <c r="O2252" i="1"/>
  <c r="H2253" i="1"/>
  <c r="L2253" i="1"/>
  <c r="N2253" i="1"/>
  <c r="O2253" i="1"/>
  <c r="H2254" i="1"/>
  <c r="L2254" i="1"/>
  <c r="N2254" i="1"/>
  <c r="O2254" i="1"/>
  <c r="H2255" i="1"/>
  <c r="L2255" i="1"/>
  <c r="N2255" i="1"/>
  <c r="O2255" i="1"/>
  <c r="H2256" i="1"/>
  <c r="L2256" i="1"/>
  <c r="N2256" i="1"/>
  <c r="O2256" i="1"/>
  <c r="H2257" i="1"/>
  <c r="L2257" i="1"/>
  <c r="N2257" i="1"/>
  <c r="O2257" i="1"/>
  <c r="H2258" i="1"/>
  <c r="L2258" i="1"/>
  <c r="N2258" i="1"/>
  <c r="O2258" i="1"/>
  <c r="H2259" i="1"/>
  <c r="L2259" i="1"/>
  <c r="N2259" i="1"/>
  <c r="O2259" i="1"/>
  <c r="H2260" i="1"/>
  <c r="L2260" i="1"/>
  <c r="N2260" i="1"/>
  <c r="O2260" i="1"/>
  <c r="H2261" i="1"/>
  <c r="L2261" i="1"/>
  <c r="N2261" i="1"/>
  <c r="O2261" i="1"/>
  <c r="H2262" i="1"/>
  <c r="L2262" i="1"/>
  <c r="N2262" i="1"/>
  <c r="O2262" i="1"/>
  <c r="H2263" i="1"/>
  <c r="L2263" i="1"/>
  <c r="N2263" i="1"/>
  <c r="O2263" i="1"/>
  <c r="H2264" i="1"/>
  <c r="L2264" i="1"/>
  <c r="N2264" i="1"/>
  <c r="O2264" i="1"/>
  <c r="H2265" i="1"/>
  <c r="L2265" i="1"/>
  <c r="N2265" i="1"/>
  <c r="O2265" i="1"/>
  <c r="H2266" i="1"/>
  <c r="L2266" i="1"/>
  <c r="N2266" i="1"/>
  <c r="O2266" i="1"/>
  <c r="H2267" i="1"/>
  <c r="L2267" i="1"/>
  <c r="N2267" i="1"/>
  <c r="O2267" i="1"/>
  <c r="H2268" i="1"/>
  <c r="L2268" i="1"/>
  <c r="N2268" i="1"/>
  <c r="O2268" i="1"/>
  <c r="H2269" i="1"/>
  <c r="L2269" i="1"/>
  <c r="N2269" i="1"/>
  <c r="O2269" i="1"/>
  <c r="H2270" i="1"/>
  <c r="L2270" i="1"/>
  <c r="N2270" i="1"/>
  <c r="O2270" i="1"/>
  <c r="H2271" i="1"/>
  <c r="L2271" i="1"/>
  <c r="N2271" i="1"/>
  <c r="O2271" i="1"/>
  <c r="H2272" i="1"/>
  <c r="L2272" i="1"/>
  <c r="N2272" i="1"/>
  <c r="O2272" i="1"/>
  <c r="H2273" i="1"/>
  <c r="L2273" i="1"/>
  <c r="N2273" i="1"/>
  <c r="O2273" i="1"/>
  <c r="H2274" i="1"/>
  <c r="L2274" i="1"/>
  <c r="N2274" i="1"/>
  <c r="O2274" i="1"/>
  <c r="H2275" i="1"/>
  <c r="L2275" i="1"/>
  <c r="N2275" i="1"/>
  <c r="O2275" i="1"/>
  <c r="H2276" i="1"/>
  <c r="L2276" i="1"/>
  <c r="N2276" i="1"/>
  <c r="O2276" i="1"/>
  <c r="H2277" i="1"/>
  <c r="L2277" i="1"/>
  <c r="N2277" i="1"/>
  <c r="O2277" i="1"/>
  <c r="H2278" i="1"/>
  <c r="L2278" i="1"/>
  <c r="N2278" i="1"/>
  <c r="O2278" i="1"/>
  <c r="H2279" i="1"/>
  <c r="L2279" i="1"/>
  <c r="N2279" i="1"/>
  <c r="O2279" i="1"/>
  <c r="H2280" i="1"/>
  <c r="L2280" i="1"/>
  <c r="N2280" i="1"/>
  <c r="O2280" i="1"/>
  <c r="H2281" i="1"/>
  <c r="L2281" i="1"/>
  <c r="N2281" i="1"/>
  <c r="O2281" i="1"/>
  <c r="H2282" i="1"/>
  <c r="L2282" i="1"/>
  <c r="N2282" i="1"/>
  <c r="O2282" i="1"/>
  <c r="H2283" i="1"/>
  <c r="L2283" i="1"/>
  <c r="N2283" i="1"/>
  <c r="O2283" i="1"/>
  <c r="H2284" i="1"/>
  <c r="L2284" i="1"/>
  <c r="N2284" i="1"/>
  <c r="O2284" i="1"/>
  <c r="H2285" i="1"/>
  <c r="L2285" i="1"/>
  <c r="N2285" i="1"/>
  <c r="O2285" i="1"/>
  <c r="H2286" i="1"/>
  <c r="L2286" i="1"/>
  <c r="N2286" i="1"/>
  <c r="O2286" i="1"/>
  <c r="H2287" i="1"/>
  <c r="L2287" i="1"/>
  <c r="N2287" i="1"/>
  <c r="O2287" i="1"/>
  <c r="H2288" i="1"/>
  <c r="L2288" i="1"/>
  <c r="N2288" i="1"/>
  <c r="O2288" i="1"/>
  <c r="H2289" i="1"/>
  <c r="L2289" i="1"/>
  <c r="N2289" i="1"/>
  <c r="O2289" i="1"/>
  <c r="H2290" i="1"/>
  <c r="L2290" i="1"/>
  <c r="N2290" i="1"/>
  <c r="O2290" i="1"/>
  <c r="H2291" i="1"/>
  <c r="L2291" i="1"/>
  <c r="N2291" i="1"/>
  <c r="O2291" i="1"/>
  <c r="H2292" i="1"/>
  <c r="L2292" i="1"/>
  <c r="N2292" i="1"/>
  <c r="O2292" i="1"/>
  <c r="H2293" i="1"/>
  <c r="L2293" i="1"/>
  <c r="N2293" i="1"/>
  <c r="O2293" i="1"/>
  <c r="H2294" i="1"/>
  <c r="L2294" i="1"/>
  <c r="N2294" i="1"/>
  <c r="O2294" i="1"/>
  <c r="H2295" i="1"/>
  <c r="L2295" i="1"/>
  <c r="N2295" i="1"/>
  <c r="O2295" i="1"/>
  <c r="H2296" i="1"/>
  <c r="L2296" i="1"/>
  <c r="N2296" i="1"/>
  <c r="O2296" i="1"/>
  <c r="H2297" i="1"/>
  <c r="L2297" i="1"/>
  <c r="N2297" i="1"/>
  <c r="O2297" i="1"/>
  <c r="H2298" i="1"/>
  <c r="L2298" i="1"/>
  <c r="N2298" i="1"/>
  <c r="O2298" i="1"/>
  <c r="H2299" i="1"/>
  <c r="L2299" i="1"/>
  <c r="N2299" i="1"/>
  <c r="O2299" i="1"/>
  <c r="H2300" i="1"/>
  <c r="L2300" i="1"/>
  <c r="N2300" i="1"/>
  <c r="O2300" i="1"/>
  <c r="H2301" i="1"/>
  <c r="L2301" i="1"/>
  <c r="N2301" i="1"/>
  <c r="O2301" i="1"/>
  <c r="H2302" i="1"/>
  <c r="L2302" i="1"/>
  <c r="N2302" i="1"/>
  <c r="O2302" i="1"/>
  <c r="H2303" i="1"/>
  <c r="L2303" i="1"/>
  <c r="N2303" i="1"/>
  <c r="O2303" i="1"/>
  <c r="H2304" i="1"/>
  <c r="L2304" i="1"/>
  <c r="N2304" i="1"/>
  <c r="O2304" i="1"/>
  <c r="H2305" i="1"/>
  <c r="L2305" i="1"/>
  <c r="N2305" i="1"/>
  <c r="O2305" i="1"/>
  <c r="H2306" i="1"/>
  <c r="L2306" i="1"/>
  <c r="N2306" i="1"/>
  <c r="O2306" i="1"/>
  <c r="H2307" i="1"/>
  <c r="L2307" i="1"/>
  <c r="N2307" i="1"/>
  <c r="O2307" i="1"/>
  <c r="H2308" i="1"/>
  <c r="L2308" i="1"/>
  <c r="N2308" i="1"/>
  <c r="O2308" i="1"/>
  <c r="H2309" i="1"/>
  <c r="L2309" i="1"/>
  <c r="N2309" i="1"/>
  <c r="O2309" i="1"/>
  <c r="H2310" i="1"/>
  <c r="L2310" i="1"/>
  <c r="N2310" i="1"/>
  <c r="O2310" i="1"/>
  <c r="H2311" i="1"/>
  <c r="L2311" i="1"/>
  <c r="N2311" i="1"/>
  <c r="O2311" i="1"/>
  <c r="H2312" i="1"/>
  <c r="L2312" i="1"/>
  <c r="N2312" i="1"/>
  <c r="O2312" i="1"/>
  <c r="H2313" i="1"/>
  <c r="L2313" i="1"/>
  <c r="N2313" i="1"/>
  <c r="O2313" i="1"/>
  <c r="H2314" i="1"/>
  <c r="L2314" i="1"/>
  <c r="N2314" i="1"/>
  <c r="O2314" i="1"/>
  <c r="H2315" i="1"/>
  <c r="L2315" i="1"/>
  <c r="N2315" i="1"/>
  <c r="O2315" i="1"/>
  <c r="H2316" i="1"/>
  <c r="L2316" i="1"/>
  <c r="N2316" i="1"/>
  <c r="O2316" i="1"/>
  <c r="H2317" i="1"/>
  <c r="L2317" i="1"/>
  <c r="N2317" i="1"/>
  <c r="O2317" i="1"/>
  <c r="H2318" i="1"/>
  <c r="L2318" i="1"/>
  <c r="N2318" i="1"/>
  <c r="O2318" i="1"/>
  <c r="H2319" i="1"/>
  <c r="L2319" i="1"/>
  <c r="N2319" i="1"/>
  <c r="O2319" i="1"/>
  <c r="H2320" i="1"/>
  <c r="L2320" i="1"/>
  <c r="N2320" i="1"/>
  <c r="O2320" i="1"/>
  <c r="H2321" i="1"/>
  <c r="L2321" i="1"/>
  <c r="N2321" i="1"/>
  <c r="O2321" i="1"/>
  <c r="H2322" i="1"/>
  <c r="L2322" i="1"/>
  <c r="N2322" i="1"/>
  <c r="O2322" i="1"/>
  <c r="H2323" i="1"/>
  <c r="L2323" i="1"/>
  <c r="N2323" i="1"/>
  <c r="O2323" i="1"/>
  <c r="H2324" i="1"/>
  <c r="L2324" i="1"/>
  <c r="N2324" i="1"/>
  <c r="O2324" i="1"/>
  <c r="H2325" i="1"/>
  <c r="L2325" i="1"/>
  <c r="N2325" i="1"/>
  <c r="O2325" i="1"/>
  <c r="H2326" i="1"/>
  <c r="L2326" i="1"/>
  <c r="N2326" i="1"/>
  <c r="O2326" i="1"/>
  <c r="H2327" i="1"/>
  <c r="L2327" i="1"/>
  <c r="N2327" i="1"/>
  <c r="O2327" i="1"/>
  <c r="H2328" i="1"/>
  <c r="L2328" i="1"/>
  <c r="N2328" i="1"/>
  <c r="O2328" i="1"/>
  <c r="H2329" i="1"/>
  <c r="L2329" i="1"/>
  <c r="N2329" i="1"/>
  <c r="O2329" i="1"/>
  <c r="H2330" i="1"/>
  <c r="L2330" i="1"/>
  <c r="N2330" i="1"/>
  <c r="O2330" i="1"/>
  <c r="H2331" i="1"/>
  <c r="L2331" i="1"/>
  <c r="N2331" i="1"/>
  <c r="O2331" i="1"/>
  <c r="H2332" i="1"/>
  <c r="L2332" i="1"/>
  <c r="N2332" i="1"/>
  <c r="O2332" i="1"/>
  <c r="H2333" i="1"/>
  <c r="L2333" i="1"/>
  <c r="N2333" i="1"/>
  <c r="O2333" i="1"/>
  <c r="H2334" i="1"/>
  <c r="L2334" i="1"/>
  <c r="N2334" i="1"/>
  <c r="O2334" i="1"/>
  <c r="H2335" i="1"/>
  <c r="L2335" i="1"/>
  <c r="N2335" i="1"/>
  <c r="O2335" i="1"/>
  <c r="H2336" i="1"/>
  <c r="L2336" i="1"/>
  <c r="N2336" i="1"/>
  <c r="O2336" i="1"/>
  <c r="H2337" i="1"/>
  <c r="L2337" i="1"/>
  <c r="N2337" i="1"/>
  <c r="O2337" i="1"/>
  <c r="H2338" i="1"/>
  <c r="L2338" i="1"/>
  <c r="N2338" i="1"/>
  <c r="O2338" i="1"/>
  <c r="H2339" i="1"/>
  <c r="L2339" i="1"/>
  <c r="N2339" i="1"/>
  <c r="O2339" i="1"/>
  <c r="H2340" i="1"/>
  <c r="L2340" i="1"/>
  <c r="N2340" i="1"/>
  <c r="O2340" i="1"/>
  <c r="H2341" i="1"/>
  <c r="L2341" i="1"/>
  <c r="N2341" i="1"/>
  <c r="O2341" i="1"/>
  <c r="H2342" i="1"/>
  <c r="L2342" i="1"/>
  <c r="N2342" i="1"/>
  <c r="O2342" i="1"/>
  <c r="H2343" i="1"/>
  <c r="L2343" i="1"/>
  <c r="N2343" i="1"/>
  <c r="O2343" i="1"/>
  <c r="H2344" i="1"/>
  <c r="L2344" i="1"/>
  <c r="N2344" i="1"/>
  <c r="O2344" i="1"/>
  <c r="H2345" i="1"/>
  <c r="L2345" i="1"/>
  <c r="N2345" i="1"/>
  <c r="O2345" i="1"/>
  <c r="H2346" i="1"/>
  <c r="L2346" i="1"/>
  <c r="N2346" i="1"/>
  <c r="O2346" i="1"/>
  <c r="H2347" i="1"/>
  <c r="L2347" i="1"/>
  <c r="N2347" i="1"/>
  <c r="O2347" i="1"/>
  <c r="H2348" i="1"/>
  <c r="L2348" i="1"/>
  <c r="N2348" i="1"/>
  <c r="O2348" i="1"/>
  <c r="H2349" i="1"/>
  <c r="L2349" i="1"/>
  <c r="N2349" i="1"/>
  <c r="O2349" i="1"/>
  <c r="H2350" i="1"/>
  <c r="L2350" i="1"/>
  <c r="N2350" i="1"/>
  <c r="O2350" i="1"/>
  <c r="L2351" i="1"/>
  <c r="N2351" i="1"/>
  <c r="O2351" i="1"/>
  <c r="H2352" i="1"/>
  <c r="L2352" i="1"/>
  <c r="N2352" i="1"/>
  <c r="O2352" i="1"/>
  <c r="H2353" i="1"/>
  <c r="L2353" i="1"/>
  <c r="N2353" i="1"/>
  <c r="O2353" i="1"/>
  <c r="H2354" i="1"/>
  <c r="L2354" i="1"/>
  <c r="N2354" i="1"/>
  <c r="O2354" i="1"/>
  <c r="H2355" i="1"/>
  <c r="L2355" i="1"/>
  <c r="N2355" i="1"/>
  <c r="O2355" i="1"/>
  <c r="H2356" i="1"/>
  <c r="L2356" i="1"/>
  <c r="N2356" i="1"/>
  <c r="O2356" i="1"/>
  <c r="H2357" i="1"/>
  <c r="L2357" i="1"/>
  <c r="N2357" i="1"/>
  <c r="O2357" i="1"/>
  <c r="H2358" i="1"/>
  <c r="L2358" i="1"/>
  <c r="N2358" i="1"/>
  <c r="O2358" i="1"/>
  <c r="H2359" i="1"/>
  <c r="L2359" i="1"/>
  <c r="N2359" i="1"/>
  <c r="O2359" i="1"/>
  <c r="H2360" i="1"/>
  <c r="L2360" i="1"/>
  <c r="N2360" i="1"/>
  <c r="O2360" i="1"/>
  <c r="H2361" i="1"/>
  <c r="L2361" i="1"/>
  <c r="N2361" i="1"/>
  <c r="O2361" i="1"/>
  <c r="H2362" i="1"/>
  <c r="L2362" i="1"/>
  <c r="N2362" i="1"/>
  <c r="O2362" i="1"/>
  <c r="H2363" i="1"/>
  <c r="L2363" i="1"/>
  <c r="N2363" i="1"/>
  <c r="O2363" i="1"/>
  <c r="H2364" i="1"/>
  <c r="L2364" i="1"/>
  <c r="N2364" i="1"/>
  <c r="O2364" i="1"/>
  <c r="H2365" i="1"/>
  <c r="L2365" i="1"/>
  <c r="N2365" i="1"/>
  <c r="O2365" i="1"/>
  <c r="H2366" i="1"/>
  <c r="L2366" i="1"/>
  <c r="N2366" i="1"/>
  <c r="O2366" i="1"/>
  <c r="H2367" i="1"/>
  <c r="L2367" i="1"/>
  <c r="N2367" i="1"/>
  <c r="O2367" i="1"/>
  <c r="H2368" i="1"/>
  <c r="L2368" i="1"/>
  <c r="N2368" i="1"/>
  <c r="O2368" i="1"/>
  <c r="H2369" i="1"/>
  <c r="L2369" i="1"/>
  <c r="N2369" i="1"/>
  <c r="O2369" i="1"/>
  <c r="H2370" i="1"/>
  <c r="L2370" i="1"/>
  <c r="N2370" i="1"/>
  <c r="O2370" i="1"/>
  <c r="H2371" i="1"/>
  <c r="L2371" i="1"/>
  <c r="N2371" i="1"/>
  <c r="O2371" i="1"/>
  <c r="H2373" i="1"/>
  <c r="L2373" i="1"/>
  <c r="N2373" i="1"/>
  <c r="O2373" i="1"/>
  <c r="H2374" i="1"/>
  <c r="L2374" i="1"/>
  <c r="N2374" i="1"/>
  <c r="O2374" i="1"/>
  <c r="H2375" i="1"/>
  <c r="L2375" i="1"/>
  <c r="N2375" i="1"/>
  <c r="O2375" i="1"/>
  <c r="H2377" i="1"/>
  <c r="L2377" i="1"/>
  <c r="N2377" i="1"/>
  <c r="O2377" i="1"/>
  <c r="H2378" i="1"/>
  <c r="L2378" i="1"/>
  <c r="N2378" i="1"/>
  <c r="O2378" i="1"/>
  <c r="H2379" i="1"/>
  <c r="L2379" i="1"/>
  <c r="N2379" i="1"/>
  <c r="O2379" i="1"/>
  <c r="H2380" i="1"/>
  <c r="L2380" i="1"/>
  <c r="N2380" i="1"/>
  <c r="O2380" i="1"/>
  <c r="H2381" i="1"/>
  <c r="L2381" i="1"/>
  <c r="N2381" i="1"/>
  <c r="O2381" i="1"/>
  <c r="H2382" i="1"/>
  <c r="L2382" i="1"/>
  <c r="N2382" i="1"/>
  <c r="O2382" i="1"/>
  <c r="H2383" i="1"/>
  <c r="L2383" i="1"/>
  <c r="N2383" i="1"/>
  <c r="O2383" i="1"/>
  <c r="H2384" i="1"/>
  <c r="L2384" i="1"/>
  <c r="N2384" i="1"/>
  <c r="O2384" i="1"/>
  <c r="H2385" i="1"/>
  <c r="L2385" i="1"/>
  <c r="N2385" i="1"/>
  <c r="O2385" i="1"/>
  <c r="H2386" i="1"/>
  <c r="L2386" i="1"/>
  <c r="N2386" i="1"/>
  <c r="O2386" i="1"/>
  <c r="H2387" i="1"/>
  <c r="L2387" i="1"/>
  <c r="N2387" i="1"/>
  <c r="O2387" i="1"/>
  <c r="H2388" i="1"/>
  <c r="L2388" i="1"/>
  <c r="N2388" i="1"/>
  <c r="O2388" i="1"/>
  <c r="H2389" i="1"/>
  <c r="L2389" i="1"/>
  <c r="N2389" i="1"/>
  <c r="O2389" i="1"/>
  <c r="H2390" i="1"/>
  <c r="L2390" i="1"/>
  <c r="N2390" i="1"/>
  <c r="O2390" i="1"/>
  <c r="H2391" i="1"/>
  <c r="L2391" i="1"/>
  <c r="N2391" i="1"/>
  <c r="O2391" i="1"/>
  <c r="H2392" i="1"/>
  <c r="L2392" i="1"/>
  <c r="N2392" i="1"/>
  <c r="O2392" i="1"/>
  <c r="H2393" i="1"/>
  <c r="L2393" i="1"/>
  <c r="N2393" i="1"/>
  <c r="O2393" i="1"/>
  <c r="H2394" i="1"/>
  <c r="L2394" i="1"/>
  <c r="N2394" i="1"/>
  <c r="O2394" i="1"/>
  <c r="H2396" i="1"/>
  <c r="L2396" i="1"/>
  <c r="N2396" i="1"/>
  <c r="O2396" i="1"/>
  <c r="H2397" i="1"/>
  <c r="L2397" i="1"/>
  <c r="N2397" i="1"/>
  <c r="O2397" i="1"/>
  <c r="H2398" i="1"/>
  <c r="L2398" i="1"/>
  <c r="N2398" i="1"/>
  <c r="O2398" i="1"/>
  <c r="H2399" i="1"/>
  <c r="L2399" i="1"/>
  <c r="N2399" i="1"/>
  <c r="O2399" i="1"/>
  <c r="H2400" i="1"/>
  <c r="L2400" i="1"/>
  <c r="N2400" i="1"/>
  <c r="O2400" i="1"/>
  <c r="H2401" i="1"/>
  <c r="L2401" i="1"/>
  <c r="N2401" i="1"/>
  <c r="O2401" i="1"/>
  <c r="H2402" i="1"/>
  <c r="L2402" i="1"/>
  <c r="N2402" i="1"/>
  <c r="O2402" i="1"/>
  <c r="H2403" i="1"/>
  <c r="L2403" i="1"/>
  <c r="N2403" i="1"/>
  <c r="O2403" i="1"/>
  <c r="H2404" i="1"/>
  <c r="L2404" i="1"/>
  <c r="N2404" i="1"/>
  <c r="O2404" i="1"/>
  <c r="H2405" i="1"/>
  <c r="L2405" i="1"/>
  <c r="N2405" i="1"/>
  <c r="O2405" i="1"/>
  <c r="H2406" i="1"/>
  <c r="L2406" i="1"/>
  <c r="N2406" i="1"/>
  <c r="O2406" i="1"/>
  <c r="H2408" i="1"/>
  <c r="L2408" i="1"/>
  <c r="N2408" i="1"/>
  <c r="O2408" i="1"/>
  <c r="H2409" i="1"/>
  <c r="L2409" i="1"/>
  <c r="N2409" i="1"/>
  <c r="O2409" i="1"/>
  <c r="H2410" i="1"/>
  <c r="L2410" i="1"/>
  <c r="N2410" i="1"/>
  <c r="O2410" i="1"/>
  <c r="H2411" i="1"/>
  <c r="L2411" i="1"/>
  <c r="N2411" i="1"/>
  <c r="O2411" i="1"/>
  <c r="H2412" i="1"/>
  <c r="L2412" i="1"/>
  <c r="N2412" i="1"/>
  <c r="O2412" i="1"/>
  <c r="H2413" i="1"/>
  <c r="L2413" i="1"/>
  <c r="N2413" i="1"/>
  <c r="O2413" i="1"/>
  <c r="H2414" i="1"/>
  <c r="L2414" i="1"/>
  <c r="N2414" i="1"/>
  <c r="O2414" i="1"/>
  <c r="H2415" i="1"/>
  <c r="L2415" i="1"/>
  <c r="N2415" i="1"/>
  <c r="O2415" i="1"/>
  <c r="H2416" i="1"/>
  <c r="L2416" i="1"/>
  <c r="N2416" i="1"/>
  <c r="O2416" i="1"/>
  <c r="H2417" i="1"/>
  <c r="L2417" i="1"/>
  <c r="N2417" i="1"/>
  <c r="O2417" i="1"/>
  <c r="H2419" i="1"/>
  <c r="L2419" i="1"/>
  <c r="N2419" i="1"/>
  <c r="O2419" i="1"/>
  <c r="H2420" i="1"/>
  <c r="L2420" i="1"/>
  <c r="N2420" i="1"/>
  <c r="O2420" i="1"/>
  <c r="H2421" i="1"/>
  <c r="L2421" i="1"/>
  <c r="N2421" i="1"/>
  <c r="O2421" i="1"/>
  <c r="H2422" i="1"/>
  <c r="L2422" i="1"/>
  <c r="N2422" i="1"/>
  <c r="O2422" i="1"/>
  <c r="H2423" i="1"/>
  <c r="L2423" i="1"/>
  <c r="N2423" i="1"/>
  <c r="O2423" i="1"/>
  <c r="H2424" i="1"/>
  <c r="L2424" i="1"/>
  <c r="N2424" i="1"/>
  <c r="O2424" i="1"/>
  <c r="H2425" i="1"/>
  <c r="L2425" i="1"/>
  <c r="N2425" i="1"/>
  <c r="O2425" i="1"/>
  <c r="H2426" i="1"/>
  <c r="L2426" i="1"/>
  <c r="N2426" i="1"/>
  <c r="O2426" i="1"/>
  <c r="H2427" i="1"/>
  <c r="L2427" i="1"/>
  <c r="N2427" i="1"/>
  <c r="O2427" i="1"/>
  <c r="H2428" i="1"/>
  <c r="L2428" i="1"/>
  <c r="N2428" i="1"/>
  <c r="O2428" i="1"/>
  <c r="H2430" i="1"/>
  <c r="L2430" i="1"/>
  <c r="N2430" i="1"/>
  <c r="O2430" i="1"/>
  <c r="H2431" i="1"/>
  <c r="L2431" i="1"/>
  <c r="N2431" i="1"/>
  <c r="O2431" i="1"/>
  <c r="H2432" i="1"/>
  <c r="L2432" i="1"/>
  <c r="N2432" i="1"/>
  <c r="O2432" i="1"/>
  <c r="H2433" i="1"/>
  <c r="L2433" i="1"/>
  <c r="N2433" i="1"/>
  <c r="O2433" i="1"/>
  <c r="H2434" i="1"/>
  <c r="L2434" i="1"/>
  <c r="N2434" i="1"/>
  <c r="O2434" i="1"/>
  <c r="H2435" i="1"/>
  <c r="L2435" i="1"/>
  <c r="N2435" i="1"/>
  <c r="O2435" i="1"/>
  <c r="H2436" i="1"/>
  <c r="L2436" i="1"/>
  <c r="N2436" i="1"/>
  <c r="O2436" i="1"/>
  <c r="H2437" i="1"/>
  <c r="L2437" i="1"/>
  <c r="N2437" i="1"/>
  <c r="O2437" i="1"/>
  <c r="H2438" i="1"/>
  <c r="L2438" i="1"/>
  <c r="N2438" i="1"/>
  <c r="O2438" i="1"/>
  <c r="H2439" i="1"/>
  <c r="L2439" i="1"/>
  <c r="N2439" i="1"/>
  <c r="O2439" i="1"/>
  <c r="H2440" i="1"/>
  <c r="L2440" i="1"/>
  <c r="N2440" i="1"/>
  <c r="O2440" i="1"/>
  <c r="H2441" i="1"/>
  <c r="L2441" i="1"/>
  <c r="N2441" i="1"/>
  <c r="O2441" i="1"/>
  <c r="H2442" i="1"/>
  <c r="L2442" i="1"/>
  <c r="N2442" i="1"/>
  <c r="O2442" i="1"/>
  <c r="H2443" i="1"/>
  <c r="L2443" i="1"/>
  <c r="N2443" i="1"/>
  <c r="O2443" i="1"/>
  <c r="H2444" i="1"/>
  <c r="L2444" i="1"/>
  <c r="N2444" i="1"/>
  <c r="O2444" i="1"/>
  <c r="H2446" i="1"/>
  <c r="L2446" i="1"/>
  <c r="N2446" i="1"/>
  <c r="O2446" i="1"/>
  <c r="H2447" i="1"/>
  <c r="L2447" i="1"/>
  <c r="N2447" i="1"/>
  <c r="O2447" i="1"/>
  <c r="L2448" i="1"/>
  <c r="N2448" i="1"/>
  <c r="O2448" i="1"/>
  <c r="H2449" i="1"/>
  <c r="L2449" i="1"/>
  <c r="N2449" i="1"/>
  <c r="O2449" i="1"/>
  <c r="H2450" i="1"/>
  <c r="L2450" i="1"/>
  <c r="N2450" i="1"/>
  <c r="O2450" i="1"/>
  <c r="H2451" i="1"/>
  <c r="L2451" i="1"/>
  <c r="N2451" i="1"/>
  <c r="O2451" i="1"/>
  <c r="H2452" i="1"/>
  <c r="L2452" i="1"/>
  <c r="N2452" i="1"/>
  <c r="O2452" i="1"/>
  <c r="H2453" i="1"/>
  <c r="L2453" i="1"/>
  <c r="N2453" i="1"/>
  <c r="O2453" i="1"/>
  <c r="H2454" i="1"/>
  <c r="L2454" i="1"/>
  <c r="N2454" i="1"/>
  <c r="O2454" i="1"/>
  <c r="H2455" i="1"/>
  <c r="L2455" i="1"/>
  <c r="N2455" i="1"/>
  <c r="O2455" i="1"/>
  <c r="H2456" i="1"/>
  <c r="L2456" i="1"/>
  <c r="N2456" i="1"/>
  <c r="O2456" i="1"/>
  <c r="H2457" i="1"/>
  <c r="L2457" i="1"/>
  <c r="N2457" i="1"/>
  <c r="O2457" i="1"/>
  <c r="H2458" i="1"/>
  <c r="L2458" i="1"/>
  <c r="N2458" i="1"/>
  <c r="O2458" i="1"/>
  <c r="H2459" i="1"/>
  <c r="L2459" i="1"/>
  <c r="N2459" i="1"/>
  <c r="O2459" i="1"/>
  <c r="H2460" i="1"/>
  <c r="L2460" i="1"/>
  <c r="N2460" i="1"/>
  <c r="O2460" i="1"/>
  <c r="H2461" i="1"/>
  <c r="L2461" i="1"/>
  <c r="N2461" i="1"/>
  <c r="O2461" i="1"/>
  <c r="H2462" i="1"/>
  <c r="L2462" i="1"/>
  <c r="N2462" i="1"/>
  <c r="O2462" i="1"/>
  <c r="H2463" i="1"/>
  <c r="L2463" i="1"/>
  <c r="N2463" i="1"/>
  <c r="O2463" i="1"/>
  <c r="H2464" i="1"/>
  <c r="L2464" i="1"/>
  <c r="N2464" i="1"/>
  <c r="O2464" i="1"/>
  <c r="H2465" i="1"/>
  <c r="L2465" i="1"/>
  <c r="N2465" i="1"/>
  <c r="O2465" i="1"/>
  <c r="H2466" i="1"/>
  <c r="L2466" i="1"/>
  <c r="N2466" i="1"/>
  <c r="O2466" i="1"/>
  <c r="H2467" i="1"/>
  <c r="L2467" i="1"/>
  <c r="N2467" i="1"/>
  <c r="O2467" i="1"/>
  <c r="H2468" i="1"/>
  <c r="L2468" i="1"/>
  <c r="N2468" i="1"/>
  <c r="O2468" i="1"/>
  <c r="H2469" i="1"/>
  <c r="L2469" i="1"/>
  <c r="N2469" i="1"/>
  <c r="O2469" i="1"/>
  <c r="H2470" i="1"/>
  <c r="L2470" i="1"/>
  <c r="N2470" i="1"/>
  <c r="O2470" i="1"/>
  <c r="H2471" i="1"/>
  <c r="L2471" i="1"/>
  <c r="N2471" i="1"/>
  <c r="O2471" i="1"/>
  <c r="H2472" i="1"/>
  <c r="L2472" i="1"/>
  <c r="N2472" i="1"/>
  <c r="O2472" i="1"/>
  <c r="H2473" i="1"/>
  <c r="L2473" i="1"/>
  <c r="N2473" i="1"/>
  <c r="O2473" i="1"/>
  <c r="H2474" i="1"/>
  <c r="L2474" i="1"/>
  <c r="N2474" i="1"/>
  <c r="O2474" i="1"/>
  <c r="H2475" i="1"/>
  <c r="L2475" i="1"/>
  <c r="N2475" i="1"/>
  <c r="O2475" i="1"/>
  <c r="H2476" i="1"/>
  <c r="L2476" i="1"/>
  <c r="N2476" i="1"/>
  <c r="O2476" i="1"/>
  <c r="H2477" i="1"/>
  <c r="L2477" i="1"/>
  <c r="N2477" i="1"/>
  <c r="O2477" i="1"/>
  <c r="H2478" i="1"/>
  <c r="L2478" i="1"/>
  <c r="N2478" i="1"/>
  <c r="O2478" i="1"/>
  <c r="H2479" i="1"/>
  <c r="L2479" i="1"/>
  <c r="N2479" i="1"/>
  <c r="O2479" i="1"/>
  <c r="H2480" i="1"/>
  <c r="L2480" i="1"/>
  <c r="N2480" i="1"/>
  <c r="O2480" i="1"/>
  <c r="H2481" i="1"/>
  <c r="L2481" i="1"/>
  <c r="N2481" i="1"/>
  <c r="O2481" i="1"/>
  <c r="H2482" i="1"/>
  <c r="L2482" i="1"/>
  <c r="N2482" i="1"/>
  <c r="O2482" i="1"/>
  <c r="H2483" i="1"/>
  <c r="L2483" i="1"/>
  <c r="N2483" i="1"/>
  <c r="O2483" i="1"/>
  <c r="H2484" i="1"/>
  <c r="L2484" i="1"/>
  <c r="N2484" i="1"/>
  <c r="O2484" i="1"/>
  <c r="H2485" i="1"/>
  <c r="L2485" i="1"/>
  <c r="N2485" i="1"/>
  <c r="O2485" i="1"/>
  <c r="H2486" i="1"/>
  <c r="L2486" i="1"/>
  <c r="N2486" i="1"/>
  <c r="O2486" i="1"/>
  <c r="H2488" i="1"/>
  <c r="L2488" i="1"/>
  <c r="N2488" i="1"/>
  <c r="O2488" i="1"/>
  <c r="H2489" i="1"/>
  <c r="L2489" i="1"/>
  <c r="N2489" i="1"/>
  <c r="O2489" i="1"/>
  <c r="H2490" i="1"/>
  <c r="L2490" i="1"/>
  <c r="N2490" i="1"/>
  <c r="O2490" i="1"/>
  <c r="H2491" i="1"/>
  <c r="L2491" i="1"/>
  <c r="N2491" i="1"/>
  <c r="O2491" i="1"/>
  <c r="H2492" i="1"/>
  <c r="L2492" i="1"/>
  <c r="N2492" i="1"/>
  <c r="O2492" i="1"/>
  <c r="H2493" i="1"/>
  <c r="L2493" i="1"/>
  <c r="N2493" i="1"/>
  <c r="O2493" i="1"/>
  <c r="H2494" i="1"/>
  <c r="L2494" i="1"/>
  <c r="N2494" i="1"/>
  <c r="O2494" i="1"/>
  <c r="H2495" i="1"/>
  <c r="L2495" i="1"/>
  <c r="N2495" i="1"/>
  <c r="O2495" i="1"/>
  <c r="H2496" i="1"/>
  <c r="L2496" i="1"/>
  <c r="N2496" i="1"/>
  <c r="O2496" i="1"/>
  <c r="H2497" i="1"/>
  <c r="L2497" i="1"/>
  <c r="N2497" i="1"/>
  <c r="O2497" i="1"/>
  <c r="H2498" i="1"/>
  <c r="L2498" i="1"/>
  <c r="N2498" i="1"/>
  <c r="O2498" i="1"/>
  <c r="H2499" i="1"/>
  <c r="L2499" i="1"/>
  <c r="N2499" i="1"/>
  <c r="O2499" i="1"/>
  <c r="H2500" i="1"/>
  <c r="L2500" i="1"/>
  <c r="N2500" i="1"/>
  <c r="O2500" i="1"/>
  <c r="H2501" i="1"/>
  <c r="L2501" i="1"/>
  <c r="N2501" i="1"/>
  <c r="O2501" i="1"/>
  <c r="H2502" i="1"/>
  <c r="L2502" i="1"/>
  <c r="N2502" i="1"/>
  <c r="O2502" i="1"/>
  <c r="H2503" i="1"/>
  <c r="L2503" i="1"/>
  <c r="N2503" i="1"/>
  <c r="O2503" i="1"/>
  <c r="H2504" i="1"/>
  <c r="L2504" i="1"/>
  <c r="N2504" i="1"/>
  <c r="O2504" i="1"/>
  <c r="H2505" i="1"/>
  <c r="L2505" i="1"/>
  <c r="N2505" i="1"/>
  <c r="O2505" i="1"/>
  <c r="H2506" i="1"/>
  <c r="L2506" i="1"/>
  <c r="N2506" i="1"/>
  <c r="O2506" i="1"/>
  <c r="H2507" i="1"/>
  <c r="L2507" i="1"/>
  <c r="N2507" i="1"/>
  <c r="O2507" i="1"/>
  <c r="H2508" i="1"/>
  <c r="L2508" i="1"/>
  <c r="N2508" i="1"/>
  <c r="O2508" i="1"/>
  <c r="H2509" i="1"/>
  <c r="L2509" i="1"/>
  <c r="N2509" i="1"/>
  <c r="O2509" i="1"/>
  <c r="H2510" i="1"/>
  <c r="L2510" i="1"/>
  <c r="N2510" i="1"/>
  <c r="O2510" i="1"/>
  <c r="H2511" i="1"/>
  <c r="L2511" i="1"/>
  <c r="N2511" i="1"/>
  <c r="O2511" i="1"/>
  <c r="H2512" i="1"/>
  <c r="L2512" i="1"/>
  <c r="N2512" i="1"/>
  <c r="O2512" i="1"/>
  <c r="H2513" i="1"/>
  <c r="L2513" i="1"/>
  <c r="N2513" i="1"/>
  <c r="O2513" i="1"/>
  <c r="H2514" i="1"/>
  <c r="L2514" i="1"/>
  <c r="N2514" i="1"/>
  <c r="O2514" i="1"/>
  <c r="H2515" i="1"/>
  <c r="L2515" i="1"/>
  <c r="N2515" i="1"/>
  <c r="O2515" i="1"/>
  <c r="H2516" i="1"/>
  <c r="L2516" i="1"/>
  <c r="N2516" i="1"/>
  <c r="O2516" i="1"/>
  <c r="H2517" i="1"/>
  <c r="L2517" i="1"/>
  <c r="N2517" i="1"/>
  <c r="O2517" i="1"/>
  <c r="H2519" i="1"/>
  <c r="L2519" i="1"/>
  <c r="N2519" i="1"/>
  <c r="O2519" i="1"/>
  <c r="H2520" i="1"/>
  <c r="L2520" i="1"/>
  <c r="N2520" i="1"/>
  <c r="O2520" i="1"/>
  <c r="H2521" i="1"/>
  <c r="L2521" i="1"/>
  <c r="N2521" i="1"/>
  <c r="O2521" i="1"/>
  <c r="H2522" i="1"/>
  <c r="L2522" i="1"/>
  <c r="N2522" i="1"/>
  <c r="O2522" i="1"/>
  <c r="H2523" i="1"/>
  <c r="L2523" i="1"/>
  <c r="N2523" i="1"/>
  <c r="O2523" i="1"/>
  <c r="H2524" i="1"/>
  <c r="L2524" i="1"/>
  <c r="N2524" i="1"/>
  <c r="O2524" i="1"/>
  <c r="H2525" i="1"/>
  <c r="L2525" i="1"/>
  <c r="N2525" i="1"/>
  <c r="O2525" i="1"/>
  <c r="H2526" i="1"/>
  <c r="L2526" i="1"/>
  <c r="N2526" i="1"/>
  <c r="O2526" i="1"/>
  <c r="H2527" i="1"/>
  <c r="L2527" i="1"/>
  <c r="N2527" i="1"/>
  <c r="O2527" i="1"/>
  <c r="H2528" i="1"/>
  <c r="L2528" i="1"/>
  <c r="N2528" i="1"/>
  <c r="O2528" i="1"/>
  <c r="H2529" i="1"/>
  <c r="L2529" i="1"/>
  <c r="N2529" i="1"/>
  <c r="O2529" i="1"/>
  <c r="H2530" i="1"/>
  <c r="L2530" i="1"/>
  <c r="N2530" i="1"/>
  <c r="O2530" i="1"/>
  <c r="H2531" i="1"/>
  <c r="L2531" i="1"/>
  <c r="N2531" i="1"/>
  <c r="O2531" i="1"/>
  <c r="H2532" i="1"/>
  <c r="L2532" i="1"/>
  <c r="N2532" i="1"/>
  <c r="O2532" i="1"/>
  <c r="H2533" i="1"/>
  <c r="L2533" i="1"/>
  <c r="N2533" i="1"/>
  <c r="O2533" i="1"/>
  <c r="H2534" i="1"/>
  <c r="L2534" i="1"/>
  <c r="N2534" i="1"/>
  <c r="O2534" i="1"/>
  <c r="H2535" i="1"/>
  <c r="L2535" i="1"/>
  <c r="N2535" i="1"/>
  <c r="O2535" i="1"/>
  <c r="H2536" i="1"/>
  <c r="L2536" i="1"/>
  <c r="N2536" i="1"/>
  <c r="O2536" i="1"/>
  <c r="H2537" i="1"/>
  <c r="L2537" i="1"/>
  <c r="N2537" i="1"/>
  <c r="O2537" i="1"/>
  <c r="H2538" i="1"/>
  <c r="L2538" i="1"/>
  <c r="N2538" i="1"/>
  <c r="O2538" i="1"/>
  <c r="H2539" i="1"/>
  <c r="L2539" i="1"/>
  <c r="N2539" i="1"/>
  <c r="O2539" i="1"/>
  <c r="H2540" i="1"/>
  <c r="L2540" i="1"/>
  <c r="N2540" i="1"/>
  <c r="O2540" i="1"/>
  <c r="H2541" i="1"/>
  <c r="L2541" i="1"/>
  <c r="N2541" i="1"/>
  <c r="O2541" i="1"/>
  <c r="H2542" i="1"/>
  <c r="L2542" i="1"/>
  <c r="N2542" i="1"/>
  <c r="O2542" i="1"/>
  <c r="H2543" i="1"/>
  <c r="L2543" i="1"/>
  <c r="N2543" i="1"/>
  <c r="O2543" i="1"/>
  <c r="H2544" i="1"/>
  <c r="L2544" i="1"/>
  <c r="N2544" i="1"/>
  <c r="O2544" i="1"/>
  <c r="H2546" i="1"/>
  <c r="L2546" i="1"/>
  <c r="N2546" i="1"/>
  <c r="O2546" i="1"/>
  <c r="H2547" i="1"/>
  <c r="L2547" i="1"/>
  <c r="N2547" i="1"/>
  <c r="O2547" i="1"/>
  <c r="H2548" i="1"/>
  <c r="L2548" i="1"/>
  <c r="N2548" i="1"/>
  <c r="O2548" i="1"/>
  <c r="H2549" i="1"/>
  <c r="L2549" i="1"/>
  <c r="N2549" i="1"/>
  <c r="O2549" i="1"/>
  <c r="H2550" i="1"/>
  <c r="L2550" i="1"/>
  <c r="N2550" i="1"/>
  <c r="O2550" i="1"/>
  <c r="H2551" i="1"/>
  <c r="L2551" i="1"/>
  <c r="N2551" i="1"/>
  <c r="O2551" i="1"/>
  <c r="H2552" i="1"/>
  <c r="L2552" i="1"/>
  <c r="N2552" i="1"/>
  <c r="O2552" i="1"/>
  <c r="H2553" i="1"/>
  <c r="L2553" i="1"/>
  <c r="N2553" i="1"/>
  <c r="O2553" i="1"/>
  <c r="H2554" i="1"/>
  <c r="L2554" i="1"/>
  <c r="N2554" i="1"/>
  <c r="O2554" i="1"/>
  <c r="H2555" i="1"/>
  <c r="L2555" i="1"/>
  <c r="N2555" i="1"/>
  <c r="O2555" i="1"/>
  <c r="H2556" i="1"/>
  <c r="L2556" i="1"/>
  <c r="N2556" i="1"/>
  <c r="O2556" i="1"/>
  <c r="H2557" i="1"/>
  <c r="L2557" i="1"/>
  <c r="N2557" i="1"/>
  <c r="O2557" i="1"/>
  <c r="H2558" i="1"/>
  <c r="L2558" i="1"/>
  <c r="N2558" i="1"/>
  <c r="O2558" i="1"/>
  <c r="H2559" i="1"/>
  <c r="L2559" i="1"/>
  <c r="N2559" i="1"/>
  <c r="O2559" i="1"/>
  <c r="H2560" i="1"/>
  <c r="L2560" i="1"/>
  <c r="N2560" i="1"/>
  <c r="O2560" i="1"/>
  <c r="H2561" i="1"/>
  <c r="L2561" i="1"/>
  <c r="N2561" i="1"/>
  <c r="O2561" i="1"/>
  <c r="H2562" i="1"/>
  <c r="L2562" i="1"/>
  <c r="N2562" i="1"/>
  <c r="O2562" i="1"/>
  <c r="H2563" i="1"/>
  <c r="L2563" i="1"/>
  <c r="N2563" i="1"/>
  <c r="O2563" i="1"/>
  <c r="H2564" i="1"/>
  <c r="L2564" i="1"/>
  <c r="N2564" i="1"/>
  <c r="O2564" i="1"/>
  <c r="H2565" i="1"/>
  <c r="L2565" i="1"/>
  <c r="N2565" i="1"/>
  <c r="O2565" i="1"/>
  <c r="H2566" i="1"/>
  <c r="L2566" i="1"/>
  <c r="N2566" i="1"/>
  <c r="O2566" i="1"/>
  <c r="H2567" i="1"/>
  <c r="L2567" i="1"/>
  <c r="N2567" i="1"/>
  <c r="O2567" i="1"/>
  <c r="H2568" i="1"/>
  <c r="L2568" i="1"/>
  <c r="N2568" i="1"/>
  <c r="O2568" i="1"/>
  <c r="H2569" i="1"/>
  <c r="L2569" i="1"/>
  <c r="N2569" i="1"/>
  <c r="O2569" i="1"/>
  <c r="H2570" i="1"/>
  <c r="L2570" i="1"/>
  <c r="N2570" i="1"/>
  <c r="O2570" i="1"/>
  <c r="H2571" i="1"/>
  <c r="L2571" i="1"/>
  <c r="N2571" i="1"/>
  <c r="O2571" i="1"/>
  <c r="H2572" i="1"/>
  <c r="L2572" i="1"/>
  <c r="N2572" i="1"/>
  <c r="O2572" i="1"/>
  <c r="H2573" i="1"/>
  <c r="L2573" i="1"/>
  <c r="N2573" i="1"/>
  <c r="O2573" i="1"/>
  <c r="H2574" i="1"/>
  <c r="L2574" i="1"/>
  <c r="N2574" i="1"/>
  <c r="O2574" i="1"/>
  <c r="H2575" i="1"/>
  <c r="L2575" i="1"/>
  <c r="N2575" i="1"/>
  <c r="O2575" i="1"/>
  <c r="H2576" i="1"/>
  <c r="L2576" i="1"/>
  <c r="N2576" i="1"/>
  <c r="O2576" i="1"/>
  <c r="H2577" i="1"/>
  <c r="L2577" i="1"/>
  <c r="N2577" i="1"/>
  <c r="O2577" i="1"/>
  <c r="H2578" i="1"/>
  <c r="L2578" i="1"/>
  <c r="N2578" i="1"/>
  <c r="O2578" i="1"/>
  <c r="H2579" i="1"/>
  <c r="L2579" i="1"/>
  <c r="N2579" i="1"/>
  <c r="O2579" i="1"/>
  <c r="H2580" i="1"/>
  <c r="L2580" i="1"/>
  <c r="N2580" i="1"/>
  <c r="O2580" i="1"/>
  <c r="H2581" i="1"/>
  <c r="L2581" i="1"/>
  <c r="N2581" i="1"/>
  <c r="O2581" i="1"/>
  <c r="H2582" i="1"/>
  <c r="L2582" i="1"/>
  <c r="N2582" i="1"/>
  <c r="O2582" i="1"/>
  <c r="H2583" i="1"/>
  <c r="L2583" i="1"/>
  <c r="N2583" i="1"/>
  <c r="O2583" i="1"/>
  <c r="H2584" i="1"/>
  <c r="L2584" i="1"/>
  <c r="N2584" i="1"/>
  <c r="O2584" i="1"/>
  <c r="H2585" i="1"/>
  <c r="L2585" i="1"/>
  <c r="N2585" i="1"/>
  <c r="O2585" i="1"/>
  <c r="H2586" i="1"/>
  <c r="L2586" i="1"/>
  <c r="N2586" i="1"/>
  <c r="O2586" i="1"/>
  <c r="H2587" i="1"/>
  <c r="L2587" i="1"/>
  <c r="N2587" i="1"/>
  <c r="O2587" i="1"/>
  <c r="H2588" i="1"/>
  <c r="L2588" i="1"/>
  <c r="N2588" i="1"/>
  <c r="O2588" i="1"/>
  <c r="H2589" i="1"/>
  <c r="L2589" i="1"/>
  <c r="N2589" i="1"/>
  <c r="O2589" i="1"/>
  <c r="H2590" i="1"/>
  <c r="L2590" i="1"/>
  <c r="N2590" i="1"/>
  <c r="O2590" i="1"/>
  <c r="H2591" i="1"/>
  <c r="L2591" i="1"/>
  <c r="N2591" i="1"/>
  <c r="O2591" i="1"/>
  <c r="H2592" i="1"/>
  <c r="L2592" i="1"/>
  <c r="N2592" i="1"/>
  <c r="O2592" i="1"/>
  <c r="H2593" i="1"/>
  <c r="L2593" i="1"/>
  <c r="N2593" i="1"/>
  <c r="O2593" i="1"/>
  <c r="H2594" i="1"/>
  <c r="L2594" i="1"/>
  <c r="N2594" i="1"/>
  <c r="O2594" i="1"/>
  <c r="H2595" i="1"/>
  <c r="L2595" i="1"/>
  <c r="N2595" i="1"/>
  <c r="O2595" i="1"/>
  <c r="H2596" i="1"/>
  <c r="L2596" i="1"/>
  <c r="N2596" i="1"/>
  <c r="O2596" i="1"/>
  <c r="H2598" i="1"/>
  <c r="L2598" i="1"/>
  <c r="N2598" i="1"/>
  <c r="O2598" i="1"/>
  <c r="H2599" i="1"/>
  <c r="L2599" i="1"/>
  <c r="N2599" i="1"/>
  <c r="O2599" i="1"/>
  <c r="H2600" i="1"/>
  <c r="L2600" i="1"/>
  <c r="N2600" i="1"/>
  <c r="O2600" i="1"/>
  <c r="H2601" i="1"/>
  <c r="L2601" i="1"/>
  <c r="N2601" i="1"/>
  <c r="O2601" i="1"/>
  <c r="H2602" i="1"/>
  <c r="L2602" i="1"/>
  <c r="N2602" i="1"/>
  <c r="O2602" i="1"/>
  <c r="H2603" i="1"/>
  <c r="L2603" i="1"/>
  <c r="N2603" i="1"/>
  <c r="O2603" i="1"/>
  <c r="H2604" i="1"/>
  <c r="L2604" i="1"/>
  <c r="N2604" i="1"/>
  <c r="O2604" i="1"/>
  <c r="H2605" i="1"/>
  <c r="L2605" i="1"/>
  <c r="N2605" i="1"/>
  <c r="O2605" i="1"/>
  <c r="H2606" i="1"/>
  <c r="L2606" i="1"/>
  <c r="N2606" i="1"/>
  <c r="O2606" i="1"/>
  <c r="H2607" i="1"/>
  <c r="L2607" i="1"/>
  <c r="N2607" i="1"/>
  <c r="O2607" i="1"/>
  <c r="H2608" i="1"/>
  <c r="L2608" i="1"/>
  <c r="N2608" i="1"/>
  <c r="O2608" i="1"/>
  <c r="H2609" i="1"/>
  <c r="L2609" i="1"/>
  <c r="N2609" i="1"/>
  <c r="O2609" i="1"/>
  <c r="H2610" i="1"/>
  <c r="L2610" i="1"/>
  <c r="N2610" i="1"/>
  <c r="O2610" i="1"/>
  <c r="H2611" i="1"/>
  <c r="L2611" i="1"/>
  <c r="N2611" i="1"/>
  <c r="O2611" i="1"/>
  <c r="H2612" i="1"/>
  <c r="L2612" i="1"/>
  <c r="N2612" i="1"/>
  <c r="O2612" i="1"/>
  <c r="H2613" i="1"/>
  <c r="L2613" i="1"/>
  <c r="N2613" i="1"/>
  <c r="O2613" i="1"/>
  <c r="H2614" i="1"/>
  <c r="L2614" i="1"/>
  <c r="N2614" i="1"/>
  <c r="O2614" i="1"/>
  <c r="H2615" i="1"/>
  <c r="L2615" i="1"/>
  <c r="N2615" i="1"/>
  <c r="O2615" i="1"/>
  <c r="H2616" i="1"/>
  <c r="L2616" i="1"/>
  <c r="N2616" i="1"/>
  <c r="O2616" i="1"/>
  <c r="H2617" i="1"/>
  <c r="L2617" i="1"/>
  <c r="N2617" i="1"/>
  <c r="O2617" i="1"/>
  <c r="H2618" i="1"/>
  <c r="L2618" i="1"/>
  <c r="N2618" i="1"/>
  <c r="O2618" i="1"/>
  <c r="H2619" i="1"/>
  <c r="L2619" i="1"/>
  <c r="N2619" i="1"/>
  <c r="O2619" i="1"/>
  <c r="H2620" i="1"/>
  <c r="L2620" i="1"/>
  <c r="N2620" i="1"/>
  <c r="O2620" i="1"/>
  <c r="H2621" i="1"/>
  <c r="L2621" i="1"/>
  <c r="N2621" i="1"/>
  <c r="O2621" i="1"/>
  <c r="H2622" i="1"/>
  <c r="L2622" i="1"/>
  <c r="N2622" i="1"/>
  <c r="O2622" i="1"/>
  <c r="H2623" i="1"/>
  <c r="L2623" i="1"/>
  <c r="N2623" i="1"/>
  <c r="O2623" i="1"/>
  <c r="H2624" i="1"/>
  <c r="L2624" i="1"/>
  <c r="N2624" i="1"/>
  <c r="O2624" i="1"/>
  <c r="H2625" i="1"/>
  <c r="L2625" i="1"/>
  <c r="N2625" i="1"/>
  <c r="O2625" i="1"/>
  <c r="H2626" i="1"/>
  <c r="L2626" i="1"/>
  <c r="N2626" i="1"/>
  <c r="O2626" i="1"/>
  <c r="H2627" i="1"/>
  <c r="L2627" i="1"/>
  <c r="N2627" i="1"/>
  <c r="O2627" i="1"/>
  <c r="H2628" i="1"/>
  <c r="L2628" i="1"/>
  <c r="N2628" i="1"/>
  <c r="O2628" i="1"/>
  <c r="H2629" i="1"/>
  <c r="L2629" i="1"/>
  <c r="N2629" i="1"/>
  <c r="O2629" i="1"/>
  <c r="H2630" i="1"/>
  <c r="L2630" i="1"/>
  <c r="N2630" i="1"/>
  <c r="O2630" i="1"/>
  <c r="H2631" i="1"/>
  <c r="L2631" i="1"/>
  <c r="N2631" i="1"/>
  <c r="O2631" i="1"/>
  <c r="H2632" i="1"/>
  <c r="L2632" i="1"/>
  <c r="N2632" i="1"/>
  <c r="O2632" i="1"/>
  <c r="H2633" i="1"/>
  <c r="L2633" i="1"/>
  <c r="N2633" i="1"/>
  <c r="O2633" i="1"/>
  <c r="H2634" i="1"/>
  <c r="L2634" i="1"/>
  <c r="N2634" i="1"/>
  <c r="O2634" i="1"/>
  <c r="H2635" i="1"/>
  <c r="L2635" i="1"/>
  <c r="N2635" i="1"/>
  <c r="O2635" i="1"/>
  <c r="H2636" i="1"/>
  <c r="L2636" i="1"/>
  <c r="N2636" i="1"/>
  <c r="O2636" i="1"/>
  <c r="H2637" i="1"/>
  <c r="L2637" i="1"/>
  <c r="N2637" i="1"/>
  <c r="O2637" i="1"/>
  <c r="H2638" i="1"/>
  <c r="L2638" i="1"/>
  <c r="N2638" i="1"/>
  <c r="O2638" i="1"/>
  <c r="H2639" i="1"/>
  <c r="L2639" i="1"/>
  <c r="N2639" i="1"/>
  <c r="O2639" i="1"/>
  <c r="H2640" i="1"/>
  <c r="L2640" i="1"/>
  <c r="N2640" i="1"/>
  <c r="O2640" i="1"/>
  <c r="H2641" i="1"/>
  <c r="L2641" i="1"/>
  <c r="N2641" i="1"/>
  <c r="O2641" i="1"/>
  <c r="H2642" i="1"/>
  <c r="L2642" i="1"/>
  <c r="N2642" i="1"/>
  <c r="O2642" i="1"/>
  <c r="H2644" i="1"/>
  <c r="L2644" i="1"/>
  <c r="N2644" i="1"/>
  <c r="O2644" i="1"/>
  <c r="H2645" i="1"/>
  <c r="L2645" i="1"/>
  <c r="N2645" i="1"/>
  <c r="O2645" i="1"/>
  <c r="H2646" i="1"/>
  <c r="L2646" i="1"/>
  <c r="N2646" i="1"/>
  <c r="O2646" i="1"/>
  <c r="H2647" i="1"/>
  <c r="L2647" i="1"/>
  <c r="N2647" i="1"/>
  <c r="O2647" i="1"/>
  <c r="H2648" i="1"/>
  <c r="L2648" i="1"/>
  <c r="N2648" i="1"/>
  <c r="O2648" i="1"/>
  <c r="H2649" i="1"/>
  <c r="L2649" i="1"/>
  <c r="N2649" i="1"/>
  <c r="O2649" i="1"/>
  <c r="H2650" i="1"/>
  <c r="L2650" i="1"/>
  <c r="N2650" i="1"/>
  <c r="O2650" i="1"/>
  <c r="H2651" i="1"/>
  <c r="L2651" i="1"/>
  <c r="N2651" i="1"/>
  <c r="O2651" i="1"/>
  <c r="H2652" i="1"/>
  <c r="L2652" i="1"/>
  <c r="N2652" i="1"/>
  <c r="O2652" i="1"/>
  <c r="H2653" i="1"/>
  <c r="L2653" i="1"/>
  <c r="N2653" i="1"/>
  <c r="O2653" i="1"/>
  <c r="H2654" i="1"/>
  <c r="L2654" i="1"/>
  <c r="N2654" i="1"/>
  <c r="O2654" i="1"/>
  <c r="H2655" i="1"/>
  <c r="L2655" i="1"/>
  <c r="N2655" i="1"/>
  <c r="O2655" i="1"/>
  <c r="H2656" i="1"/>
  <c r="L2656" i="1"/>
  <c r="N2656" i="1"/>
  <c r="O2656" i="1"/>
  <c r="H2657" i="1"/>
  <c r="L2657" i="1"/>
  <c r="N2657" i="1"/>
  <c r="O2657" i="1"/>
  <c r="H2658" i="1"/>
  <c r="L2658" i="1"/>
  <c r="N2658" i="1"/>
  <c r="O2658" i="1"/>
  <c r="H2659" i="1"/>
  <c r="L2659" i="1"/>
  <c r="N2659" i="1"/>
  <c r="O2659" i="1"/>
  <c r="H2660" i="1"/>
  <c r="L2660" i="1"/>
  <c r="N2660" i="1"/>
  <c r="O2660" i="1"/>
  <c r="H2661" i="1"/>
  <c r="L2661" i="1"/>
  <c r="N2661" i="1"/>
  <c r="O2661" i="1"/>
  <c r="H2662" i="1"/>
  <c r="L2662" i="1"/>
  <c r="N2662" i="1"/>
  <c r="O2662" i="1"/>
  <c r="H2663" i="1"/>
  <c r="L2663" i="1"/>
  <c r="N2663" i="1"/>
  <c r="O2663" i="1"/>
  <c r="H2664" i="1"/>
  <c r="L2664" i="1"/>
  <c r="N2664" i="1"/>
  <c r="O2664" i="1"/>
  <c r="H2665" i="1"/>
  <c r="L2665" i="1"/>
  <c r="N2665" i="1"/>
  <c r="O2665" i="1"/>
  <c r="H2666" i="1"/>
  <c r="L2666" i="1"/>
  <c r="N2666" i="1"/>
  <c r="O2666" i="1"/>
  <c r="H2668" i="1"/>
  <c r="L2668" i="1"/>
  <c r="N2668" i="1"/>
  <c r="O2668" i="1"/>
  <c r="H2669" i="1"/>
  <c r="L2669" i="1"/>
  <c r="N2669" i="1"/>
  <c r="O2669" i="1"/>
  <c r="H2670" i="1"/>
  <c r="L2670" i="1"/>
  <c r="N2670" i="1"/>
  <c r="O2670" i="1"/>
  <c r="H2671" i="1"/>
  <c r="L2671" i="1"/>
  <c r="N2671" i="1"/>
  <c r="O2671" i="1"/>
  <c r="H2672" i="1"/>
  <c r="L2672" i="1"/>
  <c r="N2672" i="1"/>
  <c r="O2672" i="1"/>
  <c r="H2673" i="1"/>
  <c r="L2673" i="1"/>
  <c r="N2673" i="1"/>
  <c r="O2673" i="1"/>
  <c r="H2674" i="1"/>
  <c r="L2674" i="1"/>
  <c r="N2674" i="1"/>
  <c r="O2674" i="1"/>
  <c r="H2675" i="1"/>
  <c r="L2675" i="1"/>
  <c r="N2675" i="1"/>
  <c r="O2675" i="1"/>
  <c r="H2676" i="1"/>
  <c r="L2676" i="1"/>
  <c r="N2676" i="1"/>
  <c r="O2676" i="1"/>
  <c r="H2677" i="1"/>
  <c r="L2677" i="1"/>
  <c r="N2677" i="1"/>
  <c r="O2677" i="1"/>
  <c r="H2678" i="1"/>
  <c r="L2678" i="1"/>
  <c r="N2678" i="1"/>
  <c r="O2678" i="1"/>
  <c r="H2679" i="1"/>
  <c r="L2679" i="1"/>
  <c r="N2679" i="1"/>
  <c r="O2679" i="1"/>
  <c r="H2680" i="1"/>
  <c r="L2680" i="1"/>
  <c r="N2680" i="1"/>
  <c r="O2680" i="1"/>
  <c r="H2681" i="1"/>
  <c r="L2681" i="1"/>
  <c r="N2681" i="1"/>
  <c r="O2681" i="1"/>
  <c r="H2682" i="1"/>
  <c r="L2682" i="1"/>
  <c r="N2682" i="1"/>
  <c r="O2682" i="1"/>
  <c r="H2683" i="1"/>
  <c r="L2683" i="1"/>
  <c r="N2683" i="1"/>
  <c r="O2683" i="1"/>
  <c r="H2684" i="1"/>
  <c r="L2684" i="1"/>
  <c r="N2684" i="1"/>
  <c r="O2684" i="1"/>
  <c r="H2685" i="1"/>
  <c r="L2685" i="1"/>
  <c r="N2685" i="1"/>
  <c r="O2685" i="1"/>
  <c r="H2686" i="1"/>
  <c r="L2686" i="1"/>
  <c r="N2686" i="1"/>
  <c r="O2686" i="1"/>
  <c r="H2687" i="1"/>
  <c r="L2687" i="1"/>
  <c r="N2687" i="1"/>
  <c r="O2687" i="1"/>
  <c r="L2688" i="1"/>
  <c r="H2689" i="1"/>
  <c r="L2689" i="1"/>
  <c r="N2689" i="1"/>
  <c r="O2689" i="1"/>
  <c r="H2690" i="1"/>
  <c r="L2690" i="1"/>
  <c r="N2690" i="1"/>
  <c r="O2690" i="1"/>
  <c r="H2691" i="1"/>
  <c r="L2691" i="1"/>
  <c r="N2691" i="1"/>
  <c r="O2691" i="1"/>
  <c r="H2692" i="1"/>
  <c r="L2692" i="1"/>
  <c r="N2692" i="1"/>
  <c r="O2692" i="1"/>
  <c r="H2693" i="1"/>
  <c r="L2693" i="1"/>
  <c r="N2693" i="1"/>
  <c r="O2693" i="1"/>
  <c r="H2694" i="1"/>
  <c r="L2694" i="1"/>
  <c r="N2694" i="1"/>
  <c r="O2694" i="1"/>
  <c r="H2695" i="1"/>
  <c r="L2695" i="1"/>
  <c r="N2695" i="1"/>
  <c r="O2695" i="1"/>
  <c r="H2696" i="1"/>
  <c r="L2696" i="1"/>
  <c r="N2696" i="1"/>
  <c r="O2696" i="1"/>
  <c r="H2697" i="1"/>
  <c r="L2697" i="1"/>
  <c r="N2697" i="1"/>
  <c r="O2697" i="1"/>
  <c r="H2698" i="1"/>
  <c r="L2698" i="1"/>
  <c r="N2698" i="1"/>
  <c r="O2698" i="1"/>
  <c r="H2699" i="1"/>
  <c r="L2699" i="1"/>
  <c r="N2699" i="1"/>
  <c r="O2699" i="1"/>
  <c r="H2700" i="1"/>
  <c r="L2700" i="1"/>
  <c r="N2700" i="1"/>
  <c r="O2700" i="1"/>
  <c r="H2701" i="1"/>
  <c r="L2701" i="1"/>
  <c r="N2701" i="1"/>
  <c r="O2701" i="1"/>
  <c r="H2702" i="1"/>
  <c r="L2702" i="1"/>
  <c r="N2702" i="1"/>
  <c r="O2702" i="1"/>
  <c r="H2703" i="1"/>
  <c r="L2703" i="1"/>
  <c r="N2703" i="1"/>
  <c r="O2703" i="1"/>
  <c r="H2704" i="1"/>
  <c r="L2704" i="1"/>
  <c r="N2704" i="1"/>
  <c r="O2704" i="1"/>
  <c r="H2705" i="1"/>
  <c r="L2705" i="1"/>
  <c r="N2705" i="1"/>
  <c r="O2705" i="1"/>
  <c r="H2706" i="1"/>
  <c r="L2706" i="1"/>
  <c r="N2706" i="1"/>
  <c r="O2706" i="1"/>
  <c r="H2707" i="1"/>
  <c r="L2707" i="1"/>
  <c r="N2707" i="1"/>
  <c r="O2707" i="1"/>
  <c r="H2708" i="1"/>
  <c r="L2708" i="1"/>
  <c r="N2708" i="1"/>
  <c r="O2708" i="1"/>
  <c r="H2709" i="1"/>
  <c r="L2709" i="1"/>
  <c r="N2709" i="1"/>
  <c r="O2709" i="1"/>
  <c r="H2710" i="1"/>
  <c r="L2710" i="1"/>
  <c r="N2710" i="1"/>
  <c r="O2710" i="1"/>
  <c r="H2711" i="1"/>
  <c r="L2711" i="1"/>
  <c r="N2711" i="1"/>
  <c r="O2711" i="1"/>
  <c r="H2712" i="1"/>
  <c r="L2712" i="1"/>
  <c r="N2712" i="1"/>
  <c r="O2712" i="1"/>
  <c r="H2713" i="1"/>
  <c r="L2713" i="1"/>
  <c r="N2713" i="1"/>
  <c r="O2713" i="1"/>
  <c r="H2714" i="1"/>
  <c r="L2714" i="1"/>
  <c r="N2714" i="1"/>
  <c r="O2714" i="1"/>
  <c r="H2715" i="1"/>
  <c r="L2715" i="1"/>
  <c r="N2715" i="1"/>
  <c r="O2715" i="1"/>
  <c r="H2716" i="1"/>
  <c r="L2716" i="1"/>
  <c r="N2716" i="1"/>
  <c r="O2716" i="1"/>
  <c r="H2718" i="1"/>
  <c r="L2718" i="1"/>
  <c r="N2718" i="1"/>
  <c r="O2718" i="1"/>
  <c r="H2719" i="1"/>
  <c r="L2719" i="1"/>
  <c r="N2719" i="1"/>
  <c r="O2719" i="1"/>
  <c r="L2720" i="1"/>
  <c r="N2720" i="1"/>
  <c r="O2720" i="1"/>
  <c r="H2721" i="1"/>
  <c r="L2721" i="1"/>
  <c r="N2721" i="1"/>
  <c r="O2721" i="1"/>
  <c r="H2722" i="1"/>
  <c r="L2722" i="1"/>
  <c r="N2722" i="1"/>
  <c r="O2722" i="1"/>
  <c r="H2723" i="1"/>
  <c r="L2723" i="1"/>
  <c r="N2723" i="1"/>
  <c r="O2723" i="1"/>
  <c r="H2724" i="1"/>
  <c r="L2724" i="1"/>
  <c r="N2724" i="1"/>
  <c r="O2724" i="1"/>
  <c r="H2725" i="1"/>
  <c r="L2725" i="1"/>
  <c r="N2725" i="1"/>
  <c r="O2725" i="1"/>
  <c r="H2726" i="1"/>
  <c r="L2726" i="1"/>
  <c r="N2726" i="1"/>
  <c r="O2726" i="1"/>
  <c r="H2727" i="1"/>
  <c r="L2727" i="1"/>
  <c r="N2727" i="1"/>
  <c r="O2727" i="1"/>
  <c r="H2728" i="1"/>
  <c r="L2728" i="1"/>
  <c r="N2728" i="1"/>
  <c r="O2728" i="1"/>
  <c r="H2729" i="1"/>
  <c r="L2729" i="1"/>
  <c r="N2729" i="1"/>
  <c r="O2729" i="1"/>
  <c r="H2730" i="1"/>
  <c r="L2730" i="1"/>
  <c r="N2730" i="1"/>
  <c r="O2730" i="1"/>
  <c r="H2731" i="1"/>
  <c r="L2731" i="1"/>
  <c r="N2731" i="1"/>
  <c r="O2731" i="1"/>
  <c r="H2733" i="1"/>
  <c r="L2733" i="1"/>
  <c r="N2733" i="1"/>
  <c r="O2733" i="1"/>
  <c r="H2734" i="1"/>
  <c r="L2734" i="1"/>
  <c r="N2734" i="1"/>
  <c r="O2734" i="1"/>
  <c r="H2735" i="1"/>
  <c r="L2735" i="1"/>
  <c r="N2735" i="1"/>
  <c r="O2735" i="1"/>
  <c r="H2736" i="1"/>
  <c r="L2736" i="1"/>
  <c r="N2736" i="1"/>
  <c r="O2736" i="1"/>
  <c r="H2737" i="1"/>
  <c r="L2737" i="1"/>
  <c r="N2737" i="1"/>
  <c r="O2737" i="1"/>
  <c r="H2738" i="1"/>
  <c r="L2738" i="1"/>
  <c r="N2738" i="1"/>
  <c r="O2738" i="1"/>
  <c r="H2739" i="1"/>
  <c r="L2739" i="1"/>
  <c r="N2739" i="1"/>
  <c r="O2739" i="1"/>
  <c r="H2740" i="1"/>
  <c r="L2740" i="1"/>
  <c r="N2740" i="1"/>
  <c r="O2740" i="1"/>
  <c r="H2741" i="1"/>
  <c r="L2741" i="1"/>
  <c r="N2741" i="1"/>
  <c r="O2741" i="1"/>
  <c r="H2742" i="1"/>
  <c r="L2742" i="1"/>
  <c r="N2742" i="1"/>
  <c r="O2742" i="1"/>
  <c r="H2743" i="1"/>
  <c r="L2743" i="1"/>
  <c r="N2743" i="1"/>
  <c r="O2743" i="1"/>
  <c r="H2744" i="1"/>
  <c r="L2744" i="1"/>
  <c r="N2744" i="1"/>
  <c r="O2744" i="1"/>
  <c r="H2745" i="1"/>
  <c r="L2745" i="1"/>
  <c r="N2745" i="1"/>
  <c r="O2745" i="1"/>
  <c r="H2746" i="1"/>
  <c r="L2746" i="1"/>
  <c r="N2746" i="1"/>
  <c r="O2746" i="1"/>
  <c r="H2747" i="1"/>
  <c r="L2747" i="1"/>
  <c r="N2747" i="1"/>
  <c r="O2747" i="1"/>
  <c r="H2748" i="1"/>
  <c r="L2748" i="1"/>
  <c r="N2748" i="1"/>
  <c r="O2748" i="1"/>
  <c r="H2749" i="1"/>
  <c r="L2749" i="1"/>
  <c r="N2749" i="1"/>
  <c r="O2749" i="1"/>
  <c r="H2750" i="1"/>
  <c r="L2750" i="1"/>
  <c r="N2750" i="1"/>
  <c r="O2750" i="1"/>
  <c r="H2751" i="1"/>
  <c r="L2751" i="1"/>
  <c r="N2751" i="1"/>
  <c r="O2751" i="1"/>
  <c r="H2752" i="1"/>
  <c r="L2752" i="1"/>
  <c r="N2752" i="1"/>
  <c r="O2752" i="1"/>
  <c r="H2753" i="1"/>
  <c r="L2753" i="1"/>
  <c r="N2753" i="1"/>
  <c r="O2753" i="1"/>
  <c r="H2754" i="1"/>
  <c r="L2754" i="1"/>
  <c r="N2754" i="1"/>
  <c r="O2754" i="1"/>
  <c r="H2755" i="1"/>
  <c r="L2755" i="1"/>
  <c r="N2755" i="1"/>
  <c r="O2755" i="1"/>
  <c r="H2757" i="1"/>
  <c r="L2757" i="1"/>
  <c r="N2757" i="1"/>
  <c r="O2757" i="1"/>
  <c r="H2758" i="1"/>
  <c r="L2758" i="1"/>
  <c r="N2758" i="1"/>
  <c r="O2758" i="1"/>
  <c r="H2759" i="1"/>
  <c r="L2759" i="1"/>
  <c r="N2759" i="1"/>
  <c r="O2759" i="1"/>
  <c r="H2760" i="1"/>
  <c r="L2760" i="1"/>
  <c r="N2760" i="1"/>
  <c r="O2760" i="1"/>
  <c r="H2761" i="1"/>
  <c r="L2761" i="1"/>
  <c r="N2761" i="1"/>
  <c r="O2761" i="1"/>
  <c r="H2762" i="1"/>
  <c r="L2762" i="1"/>
  <c r="N2762" i="1"/>
  <c r="O2762" i="1"/>
  <c r="H2763" i="1"/>
  <c r="L2763" i="1"/>
  <c r="N2763" i="1"/>
  <c r="O2763" i="1"/>
  <c r="H2764" i="1"/>
  <c r="L2764" i="1"/>
  <c r="N2764" i="1"/>
  <c r="O2764" i="1"/>
  <c r="H2765" i="1"/>
  <c r="L2765" i="1"/>
  <c r="N2765" i="1"/>
  <c r="O2765" i="1"/>
  <c r="H2767" i="1"/>
  <c r="L2767" i="1"/>
  <c r="N2767" i="1"/>
  <c r="O2767" i="1"/>
  <c r="H2768" i="1"/>
  <c r="L2768" i="1"/>
  <c r="N2768" i="1"/>
  <c r="O2768" i="1"/>
  <c r="H2769" i="1"/>
  <c r="L2769" i="1"/>
  <c r="N2769" i="1"/>
  <c r="O2769" i="1"/>
  <c r="H2770" i="1"/>
  <c r="L2770" i="1"/>
  <c r="N2770" i="1"/>
  <c r="O2770" i="1"/>
  <c r="H2771" i="1"/>
  <c r="L2771" i="1"/>
  <c r="N2771" i="1"/>
  <c r="O2771" i="1"/>
  <c r="H2772" i="1"/>
  <c r="L2772" i="1"/>
  <c r="N2772" i="1"/>
  <c r="O2772" i="1"/>
  <c r="H2773" i="1"/>
  <c r="L2773" i="1"/>
  <c r="N2773" i="1"/>
  <c r="O2773" i="1"/>
  <c r="H2774" i="1"/>
  <c r="L2774" i="1"/>
  <c r="N2774" i="1"/>
  <c r="O2774" i="1"/>
  <c r="H2775" i="1"/>
  <c r="L2775" i="1"/>
  <c r="N2775" i="1"/>
  <c r="O2775" i="1"/>
  <c r="H2776" i="1"/>
  <c r="L2776" i="1"/>
  <c r="N2776" i="1"/>
  <c r="O2776" i="1"/>
  <c r="H2777" i="1"/>
  <c r="L2777" i="1"/>
  <c r="N2777" i="1"/>
  <c r="O2777" i="1"/>
  <c r="H2778" i="1"/>
  <c r="L2778" i="1"/>
  <c r="N2778" i="1"/>
  <c r="O2778" i="1"/>
  <c r="H2779" i="1"/>
  <c r="L2779" i="1"/>
  <c r="N2779" i="1"/>
  <c r="O2779" i="1"/>
  <c r="H2780" i="1"/>
  <c r="L2780" i="1"/>
  <c r="N2780" i="1"/>
  <c r="O2780" i="1"/>
  <c r="H2781" i="1"/>
  <c r="L2781" i="1"/>
  <c r="N2781" i="1"/>
  <c r="O2781" i="1"/>
  <c r="H2782" i="1"/>
  <c r="L2782" i="1"/>
  <c r="N2782" i="1"/>
  <c r="O2782" i="1"/>
  <c r="H2783" i="1"/>
  <c r="L2783" i="1"/>
  <c r="N2783" i="1"/>
  <c r="O2783" i="1"/>
  <c r="H2784" i="1"/>
  <c r="L2784" i="1"/>
  <c r="N2784" i="1"/>
  <c r="O2784" i="1"/>
  <c r="H2785" i="1"/>
  <c r="L2785" i="1"/>
  <c r="N2785" i="1"/>
  <c r="O2785" i="1"/>
  <c r="H2786" i="1"/>
  <c r="L2786" i="1"/>
  <c r="N2786" i="1"/>
  <c r="O2786" i="1"/>
  <c r="H2787" i="1"/>
  <c r="L2787" i="1"/>
  <c r="N2787" i="1"/>
  <c r="O2787" i="1"/>
  <c r="H2788" i="1"/>
  <c r="L2788" i="1"/>
  <c r="N2788" i="1"/>
  <c r="O2788" i="1"/>
  <c r="H2789" i="1"/>
  <c r="L2789" i="1"/>
  <c r="N2789" i="1"/>
  <c r="O2789" i="1"/>
  <c r="H2790" i="1"/>
  <c r="L2790" i="1"/>
  <c r="N2790" i="1"/>
  <c r="O2790" i="1"/>
  <c r="H2792" i="1"/>
  <c r="L2792" i="1"/>
  <c r="N2792" i="1"/>
  <c r="O2792" i="1"/>
  <c r="H2793" i="1"/>
  <c r="L2793" i="1"/>
  <c r="N2793" i="1"/>
  <c r="O2793" i="1"/>
  <c r="H2794" i="1"/>
  <c r="L2794" i="1"/>
  <c r="N2794" i="1"/>
  <c r="O2794" i="1"/>
  <c r="H2795" i="1"/>
  <c r="L2795" i="1"/>
  <c r="N2795" i="1"/>
  <c r="O2795" i="1"/>
  <c r="H2796" i="1"/>
  <c r="L2796" i="1"/>
  <c r="N2796" i="1"/>
  <c r="O2796" i="1"/>
  <c r="H2797" i="1"/>
  <c r="L2797" i="1"/>
  <c r="N2797" i="1"/>
  <c r="O2797" i="1"/>
  <c r="H2798" i="1"/>
  <c r="L2798" i="1"/>
  <c r="N2798" i="1"/>
  <c r="O2798" i="1"/>
  <c r="H2799" i="1"/>
  <c r="L2799" i="1"/>
  <c r="N2799" i="1"/>
  <c r="O2799" i="1"/>
  <c r="H2800" i="1"/>
  <c r="L2800" i="1"/>
  <c r="N2800" i="1"/>
  <c r="O2800" i="1"/>
  <c r="H2801" i="1"/>
  <c r="L2801" i="1"/>
  <c r="N2801" i="1"/>
  <c r="O2801" i="1"/>
  <c r="H2802" i="1"/>
  <c r="L2802" i="1"/>
  <c r="N2802" i="1"/>
  <c r="O2802" i="1"/>
  <c r="H2803" i="1"/>
  <c r="L2803" i="1"/>
  <c r="N2803" i="1"/>
  <c r="O2803" i="1"/>
  <c r="H2804" i="1"/>
  <c r="L2804" i="1"/>
  <c r="N2804" i="1"/>
  <c r="O2804" i="1"/>
  <c r="H2805" i="1"/>
  <c r="L2805" i="1"/>
  <c r="N2805" i="1"/>
  <c r="O2805" i="1"/>
  <c r="H2806" i="1"/>
  <c r="L2806" i="1"/>
  <c r="N2806" i="1"/>
  <c r="O2806" i="1"/>
  <c r="H2807" i="1"/>
  <c r="L2807" i="1"/>
  <c r="N2807" i="1"/>
  <c r="O2807" i="1"/>
  <c r="H2808" i="1"/>
  <c r="L2808" i="1"/>
  <c r="N2808" i="1"/>
  <c r="O2808" i="1"/>
  <c r="H2809" i="1"/>
  <c r="L2809" i="1"/>
  <c r="N2809" i="1"/>
  <c r="O2809" i="1"/>
  <c r="H2810" i="1"/>
  <c r="L2810" i="1"/>
  <c r="N2810" i="1"/>
  <c r="O2810" i="1"/>
  <c r="H2811" i="1"/>
  <c r="L2811" i="1"/>
  <c r="N2811" i="1"/>
  <c r="O2811" i="1"/>
  <c r="H2812" i="1"/>
  <c r="L2812" i="1"/>
  <c r="N2812" i="1"/>
  <c r="O2812" i="1"/>
  <c r="H2813" i="1"/>
  <c r="L2813" i="1"/>
  <c r="N2813" i="1"/>
  <c r="O2813" i="1"/>
  <c r="H2814" i="1"/>
  <c r="L2814" i="1"/>
  <c r="N2814" i="1"/>
  <c r="O2814" i="1"/>
  <c r="H2815" i="1"/>
  <c r="L2815" i="1"/>
  <c r="N2815" i="1"/>
  <c r="O2815" i="1"/>
  <c r="H2816" i="1"/>
  <c r="L2816" i="1"/>
  <c r="N2816" i="1"/>
  <c r="O2816" i="1"/>
  <c r="H2817" i="1"/>
  <c r="L2817" i="1"/>
  <c r="N2817" i="1"/>
  <c r="O2817" i="1"/>
  <c r="H2818" i="1"/>
  <c r="L2818" i="1"/>
  <c r="N2818" i="1"/>
  <c r="O2818" i="1"/>
  <c r="H2819" i="1"/>
  <c r="L2819" i="1"/>
  <c r="N2819" i="1"/>
  <c r="O2819" i="1"/>
  <c r="H2820" i="1"/>
  <c r="L2820" i="1"/>
  <c r="N2820" i="1"/>
  <c r="O2820" i="1"/>
  <c r="H2821" i="1"/>
  <c r="L2821" i="1"/>
  <c r="N2821" i="1"/>
  <c r="O2821" i="1"/>
  <c r="H2822" i="1"/>
  <c r="L2822" i="1"/>
  <c r="N2822" i="1"/>
  <c r="O2822" i="1"/>
  <c r="H2823" i="1"/>
  <c r="L2823" i="1"/>
  <c r="N2823" i="1"/>
  <c r="O2823" i="1"/>
  <c r="H2824" i="1"/>
  <c r="L2824" i="1"/>
  <c r="N2824" i="1"/>
  <c r="O2824" i="1"/>
  <c r="H2825" i="1"/>
  <c r="L2825" i="1"/>
  <c r="N2825" i="1"/>
  <c r="O2825" i="1"/>
  <c r="H2826" i="1"/>
  <c r="L2826" i="1"/>
  <c r="N2826" i="1"/>
  <c r="O2826" i="1"/>
  <c r="H2827" i="1"/>
  <c r="L2827" i="1"/>
  <c r="N2827" i="1"/>
  <c r="O2827" i="1"/>
  <c r="H2828" i="1"/>
  <c r="L2828" i="1"/>
  <c r="N2828" i="1"/>
  <c r="O2828" i="1"/>
  <c r="H2829" i="1"/>
  <c r="L2829" i="1"/>
  <c r="N2829" i="1"/>
  <c r="O2829" i="1"/>
  <c r="H2830" i="1"/>
  <c r="L2830" i="1"/>
  <c r="N2830" i="1"/>
  <c r="O2830" i="1"/>
  <c r="H2831" i="1"/>
  <c r="L2831" i="1"/>
  <c r="N2831" i="1"/>
  <c r="O2831" i="1"/>
  <c r="H2832" i="1"/>
  <c r="L2832" i="1"/>
  <c r="N2832" i="1"/>
  <c r="O2832" i="1"/>
  <c r="H2833" i="1"/>
  <c r="L2833" i="1"/>
  <c r="N2833" i="1"/>
  <c r="O2833" i="1"/>
  <c r="H2834" i="1"/>
  <c r="L2834" i="1"/>
  <c r="N2834" i="1"/>
  <c r="O2834" i="1"/>
  <c r="H2835" i="1"/>
  <c r="L2835" i="1"/>
  <c r="N2835" i="1"/>
  <c r="O2835" i="1"/>
  <c r="H2836" i="1"/>
  <c r="L2836" i="1"/>
  <c r="N2836" i="1"/>
  <c r="O2836" i="1"/>
  <c r="H2837" i="1"/>
  <c r="L2837" i="1"/>
  <c r="N2837" i="1"/>
  <c r="O2837" i="1"/>
  <c r="H2838" i="1"/>
  <c r="L2838" i="1"/>
  <c r="N2838" i="1"/>
  <c r="O2838" i="1"/>
  <c r="H2839" i="1"/>
  <c r="L2839" i="1"/>
  <c r="N2839" i="1"/>
  <c r="O2839" i="1"/>
  <c r="H2840" i="1"/>
  <c r="L2840" i="1"/>
  <c r="N2840" i="1"/>
  <c r="O2840" i="1"/>
  <c r="H2841" i="1"/>
  <c r="L2841" i="1"/>
  <c r="N2841" i="1"/>
  <c r="O2841" i="1"/>
  <c r="H2842" i="1"/>
  <c r="L2842" i="1"/>
  <c r="N2842" i="1"/>
  <c r="O2842" i="1"/>
  <c r="H2843" i="1"/>
  <c r="L2843" i="1"/>
  <c r="N2843" i="1"/>
  <c r="O2843" i="1"/>
  <c r="H2844" i="1"/>
  <c r="L2844" i="1"/>
  <c r="N2844" i="1"/>
  <c r="O2844" i="1"/>
  <c r="H2845" i="1"/>
  <c r="L2845" i="1"/>
  <c r="N2845" i="1"/>
  <c r="O2845" i="1"/>
  <c r="H2846" i="1"/>
  <c r="L2846" i="1"/>
  <c r="N2846" i="1"/>
  <c r="O2846" i="1"/>
  <c r="H2847" i="1"/>
  <c r="L2847" i="1"/>
  <c r="N2847" i="1"/>
  <c r="O2847" i="1"/>
  <c r="H2848" i="1"/>
  <c r="L2848" i="1"/>
  <c r="N2848" i="1"/>
  <c r="O2848" i="1"/>
  <c r="H2849" i="1"/>
  <c r="L2849" i="1"/>
  <c r="N2849" i="1"/>
  <c r="O2849" i="1"/>
  <c r="H2850" i="1"/>
  <c r="L2850" i="1"/>
  <c r="N2850" i="1"/>
  <c r="O2850" i="1"/>
  <c r="H2851" i="1"/>
  <c r="L2851" i="1"/>
  <c r="N2851" i="1"/>
  <c r="O2851" i="1"/>
  <c r="H2852" i="1"/>
  <c r="L2852" i="1"/>
  <c r="N2852" i="1"/>
  <c r="O2852" i="1"/>
  <c r="H2853" i="1"/>
  <c r="L2853" i="1"/>
  <c r="N2853" i="1"/>
  <c r="O2853" i="1"/>
  <c r="H2854" i="1"/>
  <c r="L2854" i="1"/>
  <c r="N2854" i="1"/>
  <c r="O2854" i="1"/>
  <c r="H2855" i="1"/>
  <c r="L2855" i="1"/>
  <c r="N2855" i="1"/>
  <c r="O2855" i="1"/>
  <c r="H2856" i="1"/>
  <c r="L2856" i="1"/>
  <c r="N2856" i="1"/>
  <c r="O2856" i="1"/>
  <c r="H2857" i="1"/>
  <c r="L2857" i="1"/>
  <c r="N2857" i="1"/>
  <c r="O2857" i="1"/>
  <c r="H2858" i="1"/>
  <c r="L2858" i="1"/>
  <c r="N2858" i="1"/>
  <c r="O2858" i="1"/>
  <c r="H2859" i="1"/>
  <c r="L2859" i="1"/>
  <c r="N2859" i="1"/>
  <c r="O2859" i="1"/>
  <c r="H2860" i="1"/>
  <c r="L2860" i="1"/>
  <c r="N2860" i="1"/>
  <c r="O2860" i="1"/>
  <c r="H2861" i="1"/>
  <c r="L2861" i="1"/>
  <c r="N2861" i="1"/>
  <c r="O2861" i="1"/>
  <c r="H2862" i="1"/>
  <c r="L2862" i="1"/>
  <c r="N2862" i="1"/>
  <c r="O2862" i="1"/>
  <c r="H2863" i="1"/>
  <c r="L2863" i="1"/>
  <c r="N2863" i="1"/>
  <c r="O2863" i="1"/>
  <c r="H2864" i="1"/>
  <c r="L2864" i="1"/>
  <c r="N2864" i="1"/>
  <c r="O2864" i="1"/>
  <c r="H2865" i="1"/>
  <c r="L2865" i="1"/>
  <c r="N2865" i="1"/>
  <c r="O2865" i="1"/>
  <c r="H2866" i="1"/>
  <c r="L2866" i="1"/>
  <c r="N2866" i="1"/>
  <c r="O2866" i="1"/>
  <c r="H2867" i="1"/>
  <c r="L2867" i="1"/>
  <c r="N2867" i="1"/>
  <c r="O2867" i="1"/>
  <c r="H2868" i="1"/>
  <c r="L2868" i="1"/>
  <c r="N2868" i="1"/>
  <c r="O2868" i="1"/>
  <c r="H2869" i="1"/>
  <c r="L2869" i="1"/>
  <c r="N2869" i="1"/>
  <c r="O2869" i="1"/>
  <c r="H2870" i="1"/>
  <c r="L2870" i="1"/>
  <c r="N2870" i="1"/>
  <c r="O2870" i="1"/>
  <c r="H2871" i="1"/>
  <c r="L2871" i="1"/>
  <c r="N2871" i="1"/>
  <c r="O2871" i="1"/>
  <c r="H2872" i="1"/>
  <c r="L2872" i="1"/>
  <c r="N2872" i="1"/>
  <c r="O2872" i="1"/>
  <c r="H2873" i="1"/>
  <c r="L2873" i="1"/>
  <c r="N2873" i="1"/>
  <c r="O2873" i="1"/>
  <c r="H2874" i="1"/>
  <c r="L2874" i="1"/>
  <c r="N2874" i="1"/>
  <c r="O2874" i="1"/>
  <c r="H2875" i="1"/>
  <c r="L2875" i="1"/>
  <c r="N2875" i="1"/>
  <c r="O2875" i="1"/>
  <c r="H2876" i="1"/>
  <c r="L2876" i="1"/>
  <c r="N2876" i="1"/>
  <c r="O2876" i="1"/>
  <c r="H2877" i="1"/>
  <c r="L2877" i="1"/>
  <c r="N2877" i="1"/>
  <c r="O2877" i="1"/>
  <c r="H2878" i="1"/>
  <c r="L2878" i="1"/>
  <c r="N2878" i="1"/>
  <c r="O2878" i="1"/>
  <c r="H2879" i="1"/>
  <c r="L2879" i="1"/>
  <c r="N2879" i="1"/>
  <c r="O2879" i="1"/>
  <c r="H2880" i="1"/>
  <c r="L2880" i="1"/>
  <c r="N2880" i="1"/>
  <c r="O2880" i="1"/>
  <c r="H2881" i="1"/>
  <c r="L2881" i="1"/>
  <c r="N2881" i="1"/>
  <c r="O2881" i="1"/>
  <c r="H2882" i="1"/>
  <c r="L2882" i="1"/>
  <c r="N2882" i="1"/>
  <c r="O2882" i="1"/>
  <c r="H2883" i="1"/>
  <c r="L2883" i="1"/>
  <c r="N2883" i="1"/>
  <c r="O2883" i="1"/>
  <c r="H2884" i="1"/>
  <c r="L2884" i="1"/>
  <c r="N2884" i="1"/>
  <c r="O2884" i="1"/>
  <c r="H2885" i="1"/>
  <c r="L2885" i="1"/>
  <c r="N2885" i="1"/>
  <c r="O2885" i="1"/>
  <c r="H2886" i="1"/>
  <c r="L2886" i="1"/>
  <c r="N2886" i="1"/>
  <c r="O2886" i="1"/>
  <c r="H2887" i="1"/>
  <c r="L2887" i="1"/>
  <c r="N2887" i="1"/>
  <c r="O2887" i="1"/>
  <c r="H2888" i="1"/>
  <c r="L2888" i="1"/>
  <c r="N2888" i="1"/>
  <c r="O2888" i="1"/>
  <c r="H2889" i="1"/>
  <c r="L2889" i="1"/>
  <c r="N2889" i="1"/>
  <c r="O2889" i="1"/>
  <c r="H2890" i="1"/>
  <c r="L2890" i="1"/>
  <c r="N2890" i="1"/>
  <c r="O2890" i="1"/>
  <c r="H2891" i="1"/>
  <c r="L2891" i="1"/>
  <c r="N2891" i="1"/>
  <c r="O2891" i="1"/>
  <c r="H2892" i="1"/>
  <c r="L2892" i="1"/>
  <c r="N2892" i="1"/>
  <c r="O2892" i="1"/>
  <c r="H2893" i="1"/>
  <c r="L2893" i="1"/>
  <c r="N2893" i="1"/>
  <c r="O2893" i="1"/>
  <c r="H2894" i="1"/>
  <c r="L2894" i="1"/>
  <c r="N2894" i="1"/>
  <c r="O2894" i="1"/>
  <c r="H2895" i="1"/>
  <c r="L2895" i="1"/>
  <c r="N2895" i="1"/>
  <c r="O2895" i="1"/>
  <c r="H2896" i="1"/>
  <c r="L2896" i="1"/>
  <c r="N2896" i="1"/>
  <c r="O2896" i="1"/>
  <c r="H2897" i="1"/>
  <c r="L2897" i="1"/>
  <c r="N2897" i="1"/>
  <c r="O2897" i="1"/>
  <c r="H2898" i="1"/>
  <c r="L2898" i="1"/>
  <c r="N2898" i="1"/>
  <c r="O2898" i="1"/>
  <c r="H2900" i="1"/>
  <c r="L2900" i="1"/>
  <c r="N2900" i="1"/>
  <c r="O2900" i="1"/>
  <c r="H2901" i="1"/>
  <c r="L2901" i="1"/>
  <c r="N2901" i="1"/>
  <c r="O2901" i="1"/>
  <c r="H2902" i="1"/>
  <c r="L2902" i="1"/>
  <c r="N2902" i="1"/>
  <c r="O2902" i="1"/>
  <c r="H2903" i="1"/>
  <c r="L2903" i="1"/>
  <c r="N2903" i="1"/>
  <c r="O2903" i="1"/>
  <c r="H2904" i="1"/>
  <c r="L2904" i="1"/>
  <c r="N2904" i="1"/>
  <c r="O2904" i="1"/>
  <c r="H2905" i="1"/>
  <c r="L2905" i="1"/>
  <c r="N2905" i="1"/>
  <c r="O2905" i="1"/>
  <c r="H2906" i="1"/>
  <c r="L2906" i="1"/>
  <c r="N2906" i="1"/>
  <c r="O2906" i="1"/>
  <c r="H2907" i="1"/>
  <c r="L2907" i="1"/>
  <c r="N2907" i="1"/>
  <c r="O2907" i="1"/>
  <c r="H2908" i="1"/>
  <c r="L2908" i="1"/>
  <c r="N2908" i="1"/>
  <c r="O2908" i="1"/>
  <c r="H2909" i="1"/>
  <c r="L2909" i="1"/>
  <c r="N2909" i="1"/>
  <c r="O2909" i="1"/>
  <c r="H2910" i="1"/>
  <c r="L2910" i="1"/>
  <c r="N2910" i="1"/>
  <c r="O2910" i="1"/>
  <c r="H2911" i="1"/>
  <c r="L2911" i="1"/>
  <c r="N2911" i="1"/>
  <c r="O2911" i="1"/>
  <c r="H2912" i="1"/>
  <c r="L2912" i="1"/>
  <c r="N2912" i="1"/>
  <c r="O2912" i="1"/>
  <c r="H2913" i="1"/>
  <c r="L2913" i="1"/>
  <c r="N2913" i="1"/>
  <c r="O2913" i="1"/>
  <c r="H2914" i="1"/>
  <c r="L2914" i="1"/>
  <c r="N2914" i="1"/>
  <c r="O2914" i="1"/>
  <c r="H2915" i="1"/>
  <c r="L2915" i="1"/>
  <c r="N2915" i="1"/>
  <c r="O2915" i="1"/>
  <c r="H2916" i="1"/>
  <c r="L2916" i="1"/>
  <c r="N2916" i="1"/>
  <c r="O2916" i="1"/>
  <c r="H2917" i="1"/>
  <c r="L2917" i="1"/>
  <c r="N2917" i="1"/>
  <c r="O2917" i="1"/>
  <c r="H2918" i="1"/>
  <c r="L2918" i="1"/>
  <c r="N2918" i="1"/>
  <c r="O2918" i="1"/>
  <c r="H2919" i="1"/>
  <c r="L2919" i="1"/>
  <c r="N2919" i="1"/>
  <c r="O2919" i="1"/>
  <c r="H2920" i="1"/>
  <c r="L2920" i="1"/>
  <c r="N2920" i="1"/>
  <c r="O2920" i="1"/>
  <c r="H2921" i="1"/>
  <c r="L2921" i="1"/>
  <c r="N2921" i="1"/>
  <c r="O2921" i="1"/>
  <c r="H2923" i="1"/>
  <c r="L2923" i="1"/>
  <c r="N2923" i="1"/>
  <c r="O2923" i="1"/>
  <c r="H2924" i="1"/>
  <c r="L2924" i="1"/>
  <c r="N2924" i="1"/>
  <c r="O2924" i="1"/>
  <c r="H2925" i="1"/>
  <c r="L2925" i="1"/>
  <c r="N2925" i="1"/>
  <c r="O2925" i="1"/>
  <c r="H2926" i="1"/>
  <c r="L2926" i="1"/>
  <c r="N2926" i="1"/>
  <c r="O2926" i="1"/>
  <c r="H2927" i="1"/>
  <c r="L2927" i="1"/>
  <c r="N2927" i="1"/>
  <c r="O2927" i="1"/>
  <c r="H2928" i="1"/>
  <c r="L2928" i="1"/>
  <c r="N2928" i="1"/>
  <c r="O2928" i="1"/>
  <c r="H2929" i="1"/>
  <c r="L2929" i="1"/>
  <c r="N2929" i="1"/>
  <c r="O2929" i="1"/>
  <c r="L2930" i="1"/>
  <c r="N2930" i="1"/>
  <c r="O2930" i="1"/>
  <c r="H2931" i="1"/>
  <c r="L2931" i="1"/>
  <c r="N2931" i="1"/>
  <c r="O2931" i="1"/>
  <c r="H2932" i="1"/>
  <c r="L2932" i="1"/>
  <c r="N2932" i="1"/>
  <c r="O2932" i="1"/>
  <c r="H2933" i="1"/>
  <c r="L2933" i="1"/>
  <c r="N2933" i="1"/>
  <c r="O2933" i="1"/>
  <c r="H2934" i="1"/>
  <c r="L2934" i="1"/>
  <c r="N2934" i="1"/>
  <c r="O2934" i="1"/>
  <c r="H2935" i="1"/>
  <c r="L2935" i="1"/>
  <c r="N2935" i="1"/>
  <c r="O2935" i="1"/>
  <c r="H2936" i="1"/>
  <c r="L2936" i="1"/>
  <c r="N2936" i="1"/>
  <c r="O2936" i="1"/>
  <c r="H2937" i="1"/>
  <c r="L2937" i="1"/>
  <c r="N2937" i="1"/>
  <c r="O2937" i="1"/>
  <c r="H2938" i="1"/>
  <c r="L2938" i="1"/>
  <c r="N2938" i="1"/>
  <c r="O2938" i="1"/>
  <c r="H2939" i="1"/>
  <c r="L2939" i="1"/>
  <c r="N2939" i="1"/>
  <c r="O2939" i="1"/>
  <c r="H2940" i="1"/>
  <c r="L2940" i="1"/>
  <c r="N2940" i="1"/>
  <c r="O2940" i="1"/>
  <c r="H2941" i="1"/>
  <c r="L2941" i="1"/>
  <c r="N2941" i="1"/>
  <c r="O2941" i="1"/>
  <c r="H2942" i="1"/>
  <c r="L2942" i="1"/>
  <c r="N2942" i="1"/>
  <c r="O2942" i="1"/>
  <c r="H2943" i="1"/>
  <c r="L2943" i="1"/>
  <c r="N2943" i="1"/>
  <c r="O2943" i="1"/>
  <c r="H2944" i="1"/>
  <c r="L2944" i="1"/>
  <c r="N2944" i="1"/>
  <c r="O2944" i="1"/>
  <c r="H2946" i="1"/>
  <c r="L2946" i="1"/>
  <c r="N2946" i="1"/>
  <c r="O2946" i="1"/>
  <c r="H2947" i="1"/>
  <c r="L2947" i="1"/>
  <c r="N2947" i="1"/>
  <c r="O2947" i="1"/>
  <c r="H2948" i="1"/>
  <c r="L2948" i="1"/>
  <c r="N2948" i="1"/>
  <c r="O2948" i="1"/>
  <c r="H2949" i="1"/>
  <c r="L2949" i="1"/>
  <c r="N2949" i="1"/>
  <c r="O2949" i="1"/>
  <c r="H2950" i="1"/>
  <c r="L2950" i="1"/>
  <c r="N2950" i="1"/>
  <c r="O2950" i="1"/>
  <c r="H2951" i="1"/>
  <c r="L2951" i="1"/>
  <c r="N2951" i="1"/>
  <c r="O2951" i="1"/>
  <c r="H2953" i="1"/>
  <c r="L2953" i="1"/>
  <c r="N2953" i="1"/>
  <c r="O2953" i="1"/>
  <c r="H2954" i="1"/>
  <c r="L2954" i="1"/>
  <c r="N2954" i="1"/>
  <c r="O2954" i="1"/>
  <c r="H2955" i="1"/>
  <c r="L2955" i="1"/>
  <c r="N2955" i="1"/>
  <c r="O2955" i="1"/>
  <c r="H2956" i="1"/>
  <c r="L2956" i="1"/>
  <c r="N2956" i="1"/>
  <c r="O2956" i="1"/>
  <c r="H2957" i="1"/>
  <c r="L2957" i="1"/>
  <c r="N2957" i="1"/>
  <c r="O2957" i="1"/>
  <c r="H2958" i="1"/>
  <c r="L2958" i="1"/>
  <c r="N2958" i="1"/>
  <c r="O2958" i="1"/>
  <c r="H2959" i="1"/>
  <c r="L2959" i="1"/>
  <c r="N2959" i="1"/>
  <c r="O2959" i="1"/>
  <c r="H2960" i="1"/>
  <c r="L2960" i="1"/>
  <c r="N2960" i="1"/>
  <c r="O2960" i="1"/>
  <c r="H2961" i="1"/>
  <c r="L2961" i="1"/>
  <c r="N2961" i="1"/>
  <c r="O2961" i="1"/>
  <c r="H2962" i="1"/>
  <c r="L2962" i="1"/>
  <c r="N2962" i="1"/>
  <c r="O2962" i="1"/>
  <c r="H2963" i="1"/>
  <c r="L2963" i="1"/>
  <c r="N2963" i="1"/>
  <c r="O2963" i="1"/>
  <c r="H2964" i="1"/>
  <c r="L2964" i="1"/>
  <c r="N2964" i="1"/>
  <c r="O2964" i="1"/>
  <c r="H2965" i="1"/>
  <c r="L2965" i="1"/>
  <c r="N2965" i="1"/>
  <c r="O2965" i="1"/>
  <c r="H2966" i="1"/>
  <c r="L2966" i="1"/>
  <c r="N2966" i="1"/>
  <c r="O2966" i="1"/>
  <c r="H2967" i="1"/>
  <c r="L2967" i="1"/>
  <c r="N2967" i="1"/>
  <c r="O2967" i="1"/>
  <c r="H2968" i="1"/>
  <c r="L2968" i="1"/>
  <c r="N2968" i="1"/>
  <c r="O2968" i="1"/>
  <c r="H2969" i="1"/>
  <c r="L2969" i="1"/>
  <c r="N2969" i="1"/>
  <c r="O2969" i="1"/>
  <c r="H2970" i="1"/>
  <c r="L2970" i="1"/>
  <c r="N2970" i="1"/>
  <c r="O2970" i="1"/>
  <c r="H2971" i="1"/>
  <c r="L2971" i="1"/>
  <c r="N2971" i="1"/>
  <c r="O2971" i="1"/>
  <c r="H2972" i="1"/>
  <c r="L2972" i="1"/>
  <c r="N2972" i="1"/>
  <c r="O2972" i="1"/>
  <c r="H2973" i="1"/>
  <c r="L2973" i="1"/>
  <c r="N2973" i="1"/>
  <c r="O2973" i="1"/>
  <c r="H2974" i="1"/>
  <c r="L2974" i="1"/>
  <c r="N2974" i="1"/>
  <c r="O2974" i="1"/>
  <c r="H2975" i="1"/>
  <c r="L2975" i="1"/>
  <c r="N2975" i="1"/>
  <c r="O2975" i="1"/>
  <c r="H2976" i="1"/>
  <c r="L2976" i="1"/>
  <c r="N2976" i="1"/>
  <c r="O2976" i="1"/>
  <c r="H2977" i="1"/>
  <c r="L2977" i="1"/>
  <c r="N2977" i="1"/>
  <c r="O2977" i="1"/>
  <c r="H2978" i="1"/>
  <c r="L2978" i="1"/>
  <c r="N2978" i="1"/>
  <c r="O2978" i="1"/>
  <c r="H2979" i="1"/>
  <c r="L2979" i="1"/>
  <c r="N2979" i="1"/>
  <c r="O2979" i="1"/>
  <c r="H2980" i="1"/>
  <c r="L2980" i="1"/>
  <c r="N2980" i="1"/>
  <c r="O2980" i="1"/>
  <c r="H2981" i="1"/>
  <c r="L2981" i="1"/>
  <c r="N2981" i="1"/>
  <c r="O2981" i="1"/>
  <c r="H2982" i="1"/>
  <c r="L2982" i="1"/>
  <c r="N2982" i="1"/>
  <c r="O2982" i="1"/>
  <c r="H2983" i="1"/>
  <c r="L2983" i="1"/>
  <c r="N2983" i="1"/>
  <c r="O2983" i="1"/>
  <c r="H2984" i="1"/>
  <c r="L2984" i="1"/>
  <c r="N2984" i="1"/>
  <c r="O2984" i="1"/>
  <c r="H2985" i="1"/>
  <c r="L2985" i="1"/>
  <c r="N2985" i="1"/>
  <c r="O2985" i="1"/>
  <c r="H2986" i="1"/>
  <c r="L2986" i="1"/>
  <c r="N2986" i="1"/>
  <c r="O2986" i="1"/>
  <c r="H2987" i="1"/>
  <c r="L2987" i="1"/>
  <c r="N2987" i="1"/>
  <c r="O2987" i="1"/>
  <c r="H2988" i="1"/>
  <c r="L2988" i="1"/>
  <c r="N2988" i="1"/>
  <c r="O2988" i="1"/>
  <c r="H2989" i="1"/>
  <c r="L2989" i="1"/>
  <c r="N2989" i="1"/>
  <c r="O2989" i="1"/>
  <c r="H2990" i="1"/>
  <c r="L2990" i="1"/>
  <c r="N2990" i="1"/>
  <c r="O2990" i="1"/>
  <c r="H2991" i="1"/>
  <c r="L2991" i="1"/>
  <c r="N2991" i="1"/>
  <c r="O2991" i="1"/>
  <c r="H2992" i="1"/>
  <c r="L2992" i="1"/>
  <c r="N2992" i="1"/>
  <c r="O2992" i="1"/>
  <c r="H2993" i="1"/>
  <c r="L2993" i="1"/>
  <c r="N2993" i="1"/>
  <c r="O2993" i="1"/>
  <c r="H2994" i="1"/>
  <c r="L2994" i="1"/>
  <c r="N2994" i="1"/>
  <c r="O2994" i="1"/>
  <c r="H2995" i="1"/>
  <c r="L2995" i="1"/>
  <c r="N2995" i="1"/>
  <c r="O2995" i="1"/>
  <c r="H2996" i="1"/>
  <c r="L2996" i="1"/>
  <c r="N2996" i="1"/>
  <c r="O2996" i="1"/>
  <c r="H2997" i="1"/>
  <c r="L2997" i="1"/>
  <c r="N2997" i="1"/>
  <c r="O2997" i="1"/>
  <c r="H2998" i="1"/>
  <c r="L2998" i="1"/>
  <c r="N2998" i="1"/>
  <c r="O2998" i="1"/>
  <c r="H2999" i="1"/>
  <c r="L2999" i="1"/>
  <c r="N2999" i="1"/>
  <c r="O2999" i="1"/>
  <c r="H3000" i="1"/>
  <c r="L3000" i="1"/>
  <c r="N3000" i="1"/>
  <c r="O3000" i="1"/>
  <c r="H3001" i="1"/>
  <c r="L3001" i="1"/>
  <c r="N3001" i="1"/>
  <c r="O3001" i="1"/>
  <c r="H3002" i="1"/>
  <c r="L3002" i="1"/>
  <c r="N3002" i="1"/>
  <c r="O3002" i="1"/>
  <c r="H3003" i="1"/>
  <c r="L3003" i="1"/>
  <c r="N3003" i="1"/>
  <c r="O3003" i="1"/>
  <c r="H3004" i="1"/>
  <c r="L3004" i="1"/>
  <c r="N3004" i="1"/>
  <c r="O3004" i="1"/>
  <c r="H3005" i="1"/>
  <c r="L3005" i="1"/>
  <c r="N3005" i="1"/>
  <c r="O3005" i="1"/>
  <c r="H3006" i="1"/>
  <c r="L3006" i="1"/>
  <c r="N3006" i="1"/>
  <c r="O3006" i="1"/>
  <c r="H3007" i="1"/>
  <c r="L3007" i="1"/>
  <c r="N3007" i="1"/>
  <c r="O3007" i="1"/>
  <c r="H3008" i="1"/>
  <c r="L3008" i="1"/>
  <c r="N3008" i="1"/>
  <c r="O3008" i="1"/>
  <c r="H3009" i="1"/>
  <c r="L3009" i="1"/>
  <c r="N3009" i="1"/>
  <c r="O3009" i="1"/>
  <c r="H3010" i="1"/>
  <c r="L3010" i="1"/>
  <c r="N3010" i="1"/>
  <c r="O3010" i="1"/>
  <c r="H3011" i="1"/>
  <c r="L3011" i="1"/>
  <c r="N3011" i="1"/>
  <c r="O3011" i="1"/>
  <c r="H3012" i="1"/>
  <c r="L3012" i="1"/>
  <c r="N3012" i="1"/>
  <c r="O3012" i="1"/>
  <c r="H3013" i="1"/>
  <c r="L3013" i="1"/>
  <c r="N3013" i="1"/>
  <c r="O3013" i="1"/>
  <c r="H3014" i="1"/>
  <c r="L3014" i="1"/>
  <c r="N3014" i="1"/>
  <c r="O3014" i="1"/>
  <c r="H3015" i="1"/>
  <c r="L3015" i="1"/>
  <c r="N3015" i="1"/>
  <c r="O3015" i="1"/>
  <c r="H3016" i="1"/>
  <c r="L3016" i="1"/>
  <c r="N3016" i="1"/>
  <c r="O3016" i="1"/>
  <c r="H3017" i="1"/>
  <c r="L3017" i="1"/>
  <c r="N3017" i="1"/>
  <c r="O3017" i="1"/>
  <c r="H3018" i="1"/>
  <c r="L3018" i="1"/>
  <c r="N3018" i="1"/>
  <c r="O3018" i="1"/>
  <c r="H3019" i="1"/>
  <c r="L3019" i="1"/>
  <c r="N3019" i="1"/>
  <c r="O3019" i="1"/>
  <c r="H3020" i="1"/>
  <c r="L3020" i="1"/>
  <c r="N3020" i="1"/>
  <c r="O3020" i="1"/>
  <c r="H3021" i="1"/>
  <c r="L3021" i="1"/>
  <c r="N3021" i="1"/>
  <c r="O3021" i="1"/>
  <c r="H3022" i="1"/>
  <c r="L3022" i="1"/>
  <c r="N3022" i="1"/>
  <c r="O3022" i="1"/>
  <c r="H3023" i="1"/>
  <c r="L3023" i="1"/>
  <c r="N3023" i="1"/>
  <c r="O3023" i="1"/>
  <c r="H3024" i="1"/>
  <c r="L3024" i="1"/>
  <c r="N3024" i="1"/>
  <c r="O3024" i="1"/>
  <c r="H3025" i="1"/>
  <c r="L3025" i="1"/>
  <c r="N3025" i="1"/>
  <c r="O3025" i="1"/>
  <c r="H3026" i="1"/>
  <c r="L3026" i="1"/>
  <c r="N3026" i="1"/>
  <c r="O3026" i="1"/>
  <c r="H3027" i="1"/>
  <c r="L3027" i="1"/>
  <c r="N3027" i="1"/>
  <c r="O3027" i="1"/>
  <c r="H3028" i="1"/>
  <c r="L3028" i="1"/>
  <c r="N3028" i="1"/>
  <c r="O3028" i="1"/>
  <c r="H3029" i="1"/>
  <c r="L3029" i="1"/>
  <c r="N3029" i="1"/>
  <c r="O3029" i="1"/>
  <c r="H3030" i="1"/>
  <c r="L3030" i="1"/>
  <c r="N3030" i="1"/>
  <c r="O3030" i="1"/>
  <c r="H3031" i="1"/>
  <c r="L3031" i="1"/>
  <c r="N3031" i="1"/>
  <c r="O3031" i="1"/>
  <c r="H3032" i="1"/>
  <c r="L3032" i="1"/>
  <c r="N3032" i="1"/>
  <c r="O3032" i="1"/>
  <c r="H3033" i="1"/>
  <c r="L3033" i="1"/>
  <c r="N3033" i="1"/>
  <c r="O3033" i="1"/>
  <c r="H3034" i="1"/>
  <c r="L3034" i="1"/>
  <c r="N3034" i="1"/>
  <c r="O3034" i="1"/>
  <c r="H3035" i="1"/>
  <c r="L3035" i="1"/>
  <c r="N3035" i="1"/>
  <c r="O3035" i="1"/>
  <c r="H3036" i="1"/>
  <c r="L3036" i="1"/>
  <c r="N3036" i="1"/>
  <c r="O3036" i="1"/>
  <c r="H3037" i="1"/>
  <c r="L3037" i="1"/>
  <c r="N3037" i="1"/>
  <c r="O3037" i="1"/>
  <c r="H3038" i="1"/>
  <c r="L3038" i="1"/>
  <c r="N3038" i="1"/>
  <c r="O3038" i="1"/>
  <c r="H3039" i="1"/>
  <c r="L3039" i="1"/>
  <c r="N3039" i="1"/>
  <c r="O3039" i="1"/>
  <c r="H3040" i="1"/>
  <c r="L3040" i="1"/>
  <c r="N3040" i="1"/>
  <c r="O3040" i="1"/>
  <c r="H3041" i="1"/>
  <c r="L3041" i="1"/>
  <c r="N3041" i="1"/>
  <c r="O3041" i="1"/>
  <c r="H3042" i="1"/>
  <c r="L3042" i="1"/>
  <c r="N3042" i="1"/>
  <c r="O3042" i="1"/>
  <c r="H3043" i="1"/>
  <c r="L3043" i="1"/>
  <c r="N3043" i="1"/>
  <c r="O3043" i="1"/>
  <c r="H3044" i="1"/>
  <c r="L3044" i="1"/>
  <c r="N3044" i="1"/>
  <c r="O3044" i="1"/>
  <c r="H3045" i="1"/>
  <c r="L3045" i="1"/>
  <c r="N3045" i="1"/>
  <c r="O3045" i="1"/>
  <c r="H3046" i="1"/>
  <c r="L3046" i="1"/>
  <c r="N3046" i="1"/>
  <c r="O3046" i="1"/>
  <c r="H3047" i="1"/>
  <c r="L3047" i="1"/>
  <c r="N3047" i="1"/>
  <c r="O3047" i="1"/>
  <c r="H3048" i="1"/>
  <c r="L3048" i="1"/>
  <c r="N3048" i="1"/>
  <c r="O3048" i="1"/>
  <c r="H3049" i="1"/>
  <c r="L3049" i="1"/>
  <c r="N3049" i="1"/>
  <c r="O3049" i="1"/>
  <c r="H3050" i="1"/>
  <c r="L3050" i="1"/>
  <c r="N3050" i="1"/>
  <c r="O3050" i="1"/>
  <c r="H3051" i="1"/>
  <c r="L3051" i="1"/>
  <c r="N3051" i="1"/>
  <c r="O3051" i="1"/>
  <c r="H3052" i="1"/>
  <c r="L3052" i="1"/>
  <c r="N3052" i="1"/>
  <c r="O3052" i="1"/>
  <c r="H3053" i="1"/>
  <c r="L3053" i="1"/>
  <c r="N3053" i="1"/>
  <c r="O3053" i="1"/>
  <c r="H3054" i="1"/>
  <c r="L3054" i="1"/>
  <c r="N3054" i="1"/>
  <c r="O3054" i="1"/>
  <c r="H3055" i="1"/>
  <c r="L3055" i="1"/>
  <c r="N3055" i="1"/>
  <c r="O3055" i="1"/>
  <c r="H3057" i="1"/>
  <c r="L3057" i="1"/>
  <c r="N3057" i="1"/>
  <c r="O3057" i="1"/>
  <c r="H3058" i="1"/>
  <c r="L3058" i="1"/>
  <c r="N3058" i="1"/>
  <c r="O3058" i="1"/>
  <c r="H3059" i="1"/>
  <c r="L3059" i="1"/>
  <c r="N3059" i="1"/>
  <c r="O3059" i="1"/>
  <c r="H3060" i="1"/>
  <c r="L3060" i="1"/>
  <c r="N3060" i="1"/>
  <c r="O3060" i="1"/>
  <c r="H3061" i="1"/>
  <c r="L3061" i="1"/>
  <c r="N3061" i="1"/>
  <c r="O3061" i="1"/>
  <c r="H3062" i="1"/>
  <c r="L3062" i="1"/>
  <c r="N3062" i="1"/>
  <c r="O3062" i="1"/>
  <c r="H3063" i="1"/>
  <c r="L3063" i="1"/>
  <c r="N3063" i="1"/>
  <c r="O3063" i="1"/>
  <c r="H3064" i="1"/>
  <c r="L3064" i="1"/>
  <c r="N3064" i="1"/>
  <c r="O3064" i="1"/>
  <c r="H3065" i="1"/>
  <c r="L3065" i="1"/>
  <c r="N3065" i="1"/>
  <c r="O3065" i="1"/>
  <c r="H3066" i="1"/>
  <c r="L3066" i="1"/>
  <c r="N3066" i="1"/>
  <c r="O3066" i="1"/>
  <c r="H3067" i="1"/>
  <c r="L3067" i="1"/>
  <c r="N3067" i="1"/>
  <c r="O3067" i="1"/>
  <c r="H3068" i="1"/>
  <c r="L3068" i="1"/>
  <c r="N3068" i="1"/>
  <c r="O3068" i="1"/>
  <c r="H3069" i="1"/>
  <c r="L3069" i="1"/>
  <c r="N3069" i="1"/>
  <c r="O3069" i="1"/>
  <c r="H3070" i="1"/>
  <c r="L3070" i="1"/>
  <c r="N3070" i="1"/>
  <c r="O3070" i="1"/>
  <c r="H3071" i="1"/>
  <c r="L3071" i="1"/>
  <c r="N3071" i="1"/>
  <c r="O3071" i="1"/>
  <c r="H3072" i="1"/>
  <c r="L3072" i="1"/>
  <c r="N3072" i="1"/>
  <c r="O3072" i="1"/>
  <c r="H3073" i="1"/>
  <c r="L3073" i="1"/>
  <c r="N3073" i="1"/>
  <c r="O3073" i="1"/>
  <c r="H3074" i="1"/>
  <c r="L3074" i="1"/>
  <c r="N3074" i="1"/>
  <c r="O3074" i="1"/>
  <c r="H3075" i="1"/>
  <c r="L3075" i="1"/>
  <c r="N3075" i="1"/>
  <c r="O3075" i="1"/>
  <c r="H3076" i="1"/>
  <c r="L3076" i="1"/>
  <c r="N3076" i="1"/>
  <c r="O3076" i="1"/>
  <c r="H3077" i="1"/>
  <c r="L3077" i="1"/>
  <c r="N3077" i="1"/>
  <c r="O3077" i="1"/>
  <c r="H3078" i="1"/>
  <c r="L3078" i="1"/>
  <c r="N3078" i="1"/>
  <c r="O3078" i="1"/>
  <c r="H3079" i="1"/>
  <c r="L3079" i="1"/>
  <c r="N3079" i="1"/>
  <c r="O3079" i="1"/>
  <c r="H3080" i="1"/>
  <c r="L3080" i="1"/>
  <c r="N3080" i="1"/>
  <c r="O3080" i="1"/>
  <c r="H3081" i="1"/>
  <c r="L3081" i="1"/>
  <c r="N3081" i="1"/>
  <c r="O3081" i="1"/>
  <c r="H3082" i="1"/>
  <c r="L3082" i="1"/>
  <c r="N3082" i="1"/>
  <c r="O3082" i="1"/>
  <c r="H3083" i="1"/>
  <c r="L3083" i="1"/>
  <c r="N3083" i="1"/>
  <c r="O3083" i="1"/>
  <c r="H3084" i="1"/>
  <c r="L3084" i="1"/>
  <c r="N3084" i="1"/>
  <c r="O3084" i="1"/>
  <c r="H3085" i="1"/>
  <c r="L3085" i="1"/>
  <c r="N3085" i="1"/>
  <c r="O3085" i="1"/>
  <c r="H3086" i="1"/>
  <c r="L3086" i="1"/>
  <c r="N3086" i="1"/>
  <c r="O3086" i="1"/>
  <c r="H3087" i="1"/>
  <c r="L3087" i="1"/>
  <c r="N3087" i="1"/>
  <c r="O3087" i="1"/>
  <c r="H3088" i="1"/>
  <c r="L3088" i="1"/>
  <c r="N3088" i="1"/>
  <c r="O3088" i="1"/>
  <c r="H3089" i="1"/>
  <c r="L3089" i="1"/>
  <c r="N3089" i="1"/>
  <c r="O3089" i="1"/>
  <c r="H3090" i="1"/>
  <c r="L3090" i="1"/>
  <c r="N3090" i="1"/>
  <c r="O3090" i="1"/>
  <c r="H3091" i="1"/>
  <c r="L3091" i="1"/>
  <c r="N3091" i="1"/>
  <c r="O3091" i="1"/>
  <c r="H3092" i="1"/>
  <c r="L3092" i="1"/>
  <c r="N3092" i="1"/>
  <c r="O3092" i="1"/>
  <c r="H3093" i="1"/>
  <c r="L3093" i="1"/>
  <c r="N3093" i="1"/>
  <c r="O3093" i="1"/>
  <c r="H3094" i="1"/>
  <c r="L3094" i="1"/>
  <c r="N3094" i="1"/>
  <c r="O3094" i="1"/>
  <c r="H3095" i="1"/>
  <c r="L3095" i="1"/>
  <c r="N3095" i="1"/>
  <c r="O3095" i="1"/>
  <c r="H3096" i="1"/>
  <c r="L3096" i="1"/>
  <c r="N3096" i="1"/>
  <c r="O3096" i="1"/>
  <c r="H3097" i="1"/>
  <c r="L3097" i="1"/>
  <c r="N3097" i="1"/>
  <c r="O3097" i="1"/>
  <c r="H3098" i="1"/>
  <c r="L3098" i="1"/>
  <c r="N3098" i="1"/>
  <c r="O3098" i="1"/>
  <c r="H3099" i="1"/>
  <c r="L3099" i="1"/>
  <c r="N3099" i="1"/>
  <c r="O3099" i="1"/>
  <c r="H3100" i="1"/>
  <c r="L3100" i="1"/>
  <c r="N3100" i="1"/>
  <c r="O3100" i="1"/>
  <c r="H3101" i="1"/>
  <c r="L3101" i="1"/>
  <c r="N3101" i="1"/>
  <c r="O3101" i="1"/>
  <c r="H3102" i="1"/>
  <c r="L3102" i="1"/>
  <c r="N3102" i="1"/>
  <c r="O3102" i="1"/>
  <c r="H3103" i="1"/>
  <c r="L3103" i="1"/>
  <c r="N3103" i="1"/>
  <c r="O3103" i="1"/>
  <c r="H3104" i="1"/>
  <c r="L3104" i="1"/>
  <c r="N3104" i="1"/>
  <c r="O3104" i="1"/>
  <c r="H3105" i="1"/>
  <c r="L3105" i="1"/>
  <c r="N3105" i="1"/>
  <c r="O3105" i="1"/>
  <c r="H3106" i="1"/>
  <c r="L3106" i="1"/>
  <c r="N3106" i="1"/>
  <c r="O3106" i="1"/>
  <c r="H3107" i="1"/>
  <c r="L3107" i="1"/>
  <c r="N3107" i="1"/>
  <c r="O3107" i="1"/>
  <c r="H3108" i="1"/>
  <c r="L3108" i="1"/>
  <c r="N3108" i="1"/>
  <c r="O3108" i="1"/>
  <c r="H3109" i="1"/>
  <c r="L3109" i="1"/>
  <c r="N3109" i="1"/>
  <c r="O3109" i="1"/>
  <c r="H3110" i="1"/>
  <c r="L3110" i="1"/>
  <c r="N3110" i="1"/>
  <c r="O3110" i="1"/>
  <c r="H3111" i="1"/>
  <c r="L3111" i="1"/>
  <c r="N3111" i="1"/>
  <c r="O3111" i="1"/>
  <c r="H3112" i="1"/>
  <c r="L3112" i="1"/>
  <c r="N3112" i="1"/>
  <c r="O3112" i="1"/>
  <c r="H3113" i="1"/>
  <c r="L3113" i="1"/>
  <c r="N3113" i="1"/>
  <c r="O3113" i="1"/>
  <c r="H3114" i="1"/>
  <c r="L3114" i="1"/>
  <c r="N3114" i="1"/>
  <c r="O3114" i="1"/>
  <c r="H3115" i="1"/>
  <c r="L3115" i="1"/>
  <c r="N3115" i="1"/>
  <c r="O3115" i="1"/>
  <c r="H3116" i="1"/>
  <c r="L3116" i="1"/>
  <c r="N3116" i="1"/>
  <c r="O3116" i="1"/>
  <c r="H3117" i="1"/>
  <c r="L3117" i="1"/>
  <c r="N3117" i="1"/>
  <c r="O3117" i="1"/>
  <c r="H3118" i="1"/>
  <c r="L3118" i="1"/>
  <c r="N3118" i="1"/>
  <c r="O3118" i="1"/>
  <c r="H3119" i="1"/>
  <c r="L3119" i="1"/>
  <c r="N3119" i="1"/>
  <c r="O3119" i="1"/>
  <c r="H3120" i="1"/>
  <c r="L3120" i="1"/>
  <c r="N3120" i="1"/>
  <c r="O3120" i="1"/>
  <c r="H3121" i="1"/>
  <c r="L3121" i="1"/>
  <c r="N3121" i="1"/>
  <c r="O3121" i="1"/>
  <c r="H3123" i="1"/>
  <c r="L3123" i="1"/>
  <c r="N3123" i="1"/>
  <c r="O3123" i="1"/>
  <c r="H3124" i="1"/>
  <c r="L3124" i="1"/>
  <c r="N3124" i="1"/>
  <c r="O3124" i="1"/>
  <c r="H3125" i="1"/>
  <c r="L3125" i="1"/>
  <c r="N3125" i="1"/>
  <c r="O3125" i="1"/>
  <c r="H3126" i="1"/>
  <c r="L3126" i="1"/>
  <c r="N3126" i="1"/>
  <c r="O3126" i="1"/>
  <c r="H3128" i="1"/>
  <c r="L3128" i="1"/>
  <c r="N3128" i="1"/>
  <c r="O3128" i="1"/>
  <c r="H3129" i="1"/>
  <c r="L3129" i="1"/>
  <c r="N3129" i="1"/>
  <c r="O3129" i="1"/>
  <c r="H3130" i="1"/>
  <c r="L3130" i="1"/>
  <c r="N3130" i="1"/>
  <c r="O3130" i="1"/>
  <c r="H3131" i="1"/>
  <c r="L3131" i="1"/>
  <c r="N3131" i="1"/>
  <c r="O3131" i="1"/>
  <c r="H3132" i="1"/>
  <c r="L3132" i="1"/>
  <c r="N3132" i="1"/>
  <c r="O3132" i="1"/>
  <c r="H3133" i="1"/>
  <c r="L3133" i="1"/>
  <c r="N3133" i="1"/>
  <c r="O3133" i="1"/>
  <c r="H3134" i="1"/>
  <c r="L3134" i="1"/>
  <c r="N3134" i="1"/>
  <c r="O3134" i="1"/>
  <c r="H3135" i="1"/>
  <c r="L3135" i="1"/>
  <c r="N3135" i="1"/>
  <c r="O3135" i="1"/>
  <c r="H3136" i="1"/>
  <c r="L3136" i="1"/>
  <c r="N3136" i="1"/>
  <c r="O3136" i="1"/>
  <c r="H3137" i="1"/>
  <c r="L3137" i="1"/>
  <c r="N3137" i="1"/>
  <c r="O3137" i="1"/>
  <c r="H3138" i="1"/>
  <c r="L3138" i="1"/>
  <c r="N3138" i="1"/>
  <c r="O3138" i="1"/>
  <c r="H3139" i="1"/>
  <c r="L3139" i="1"/>
  <c r="N3139" i="1"/>
  <c r="O3139" i="1"/>
  <c r="H3140" i="1"/>
  <c r="L3140" i="1"/>
  <c r="N3140" i="1"/>
  <c r="O3140" i="1"/>
  <c r="H3141" i="1"/>
  <c r="L3141" i="1"/>
  <c r="N3141" i="1"/>
  <c r="O3141" i="1"/>
  <c r="H3142" i="1"/>
  <c r="L3142" i="1"/>
  <c r="N3142" i="1"/>
  <c r="O3142" i="1"/>
  <c r="H3143" i="1"/>
  <c r="L3143" i="1"/>
  <c r="N3143" i="1"/>
  <c r="O3143" i="1"/>
  <c r="H3145" i="1"/>
  <c r="L3145" i="1"/>
  <c r="N3145" i="1"/>
  <c r="O3145" i="1"/>
  <c r="H3146" i="1"/>
  <c r="L3146" i="1"/>
  <c r="N3146" i="1"/>
  <c r="O3146" i="1"/>
  <c r="H3147" i="1"/>
  <c r="L3147" i="1"/>
  <c r="N3147" i="1"/>
  <c r="O3147" i="1"/>
  <c r="H3148" i="1"/>
  <c r="L3148" i="1"/>
  <c r="N3148" i="1"/>
  <c r="O3148" i="1"/>
  <c r="H3149" i="1"/>
  <c r="L3149" i="1"/>
  <c r="N3149" i="1"/>
  <c r="O3149" i="1"/>
  <c r="H3150" i="1"/>
  <c r="L3150" i="1"/>
  <c r="N3150" i="1"/>
  <c r="O3150" i="1"/>
  <c r="H3151" i="1"/>
  <c r="L3151" i="1"/>
  <c r="N3151" i="1"/>
  <c r="O3151" i="1"/>
  <c r="H3152" i="1"/>
  <c r="L3152" i="1"/>
  <c r="N3152" i="1"/>
  <c r="O3152" i="1"/>
  <c r="H3153" i="1"/>
  <c r="L3153" i="1"/>
  <c r="N3153" i="1"/>
  <c r="O3153" i="1"/>
  <c r="H3154" i="1"/>
  <c r="L3154" i="1"/>
  <c r="N3154" i="1"/>
  <c r="O3154" i="1"/>
  <c r="H3155" i="1"/>
  <c r="L3155" i="1"/>
  <c r="N3155" i="1"/>
  <c r="O3155" i="1"/>
  <c r="H3156" i="1"/>
  <c r="L3156" i="1"/>
  <c r="N3156" i="1"/>
  <c r="O3156" i="1"/>
  <c r="H3157" i="1"/>
  <c r="L3157" i="1"/>
  <c r="N3157" i="1"/>
  <c r="O3157" i="1"/>
  <c r="H3158" i="1"/>
  <c r="L3158" i="1"/>
  <c r="N3158" i="1"/>
  <c r="O3158" i="1"/>
  <c r="H3159" i="1"/>
  <c r="L3159" i="1"/>
  <c r="N3159" i="1"/>
  <c r="O3159" i="1"/>
  <c r="H3160" i="1"/>
  <c r="L3160" i="1"/>
  <c r="N3160" i="1"/>
  <c r="O3160" i="1"/>
  <c r="H3161" i="1"/>
  <c r="L3161" i="1"/>
  <c r="N3161" i="1"/>
  <c r="O3161" i="1"/>
  <c r="H3162" i="1"/>
  <c r="L3162" i="1"/>
  <c r="N3162" i="1"/>
  <c r="O3162" i="1"/>
  <c r="H3163" i="1"/>
  <c r="L3163" i="1"/>
  <c r="N3163" i="1"/>
  <c r="O3163" i="1"/>
  <c r="H3164" i="1"/>
  <c r="L3164" i="1"/>
  <c r="N3164" i="1"/>
  <c r="O3164" i="1"/>
  <c r="H3165" i="1"/>
  <c r="L3165" i="1"/>
  <c r="N3165" i="1"/>
  <c r="O3165" i="1"/>
  <c r="H3166" i="1"/>
  <c r="L3166" i="1"/>
  <c r="N3166" i="1"/>
  <c r="O3166" i="1"/>
  <c r="H3167" i="1"/>
  <c r="L3167" i="1"/>
  <c r="N3167" i="1"/>
  <c r="O3167" i="1"/>
  <c r="H3168" i="1"/>
  <c r="L3168" i="1"/>
  <c r="N3168" i="1"/>
  <c r="O3168" i="1"/>
  <c r="H3169" i="1"/>
  <c r="L3169" i="1"/>
  <c r="N3169" i="1"/>
  <c r="O3169" i="1"/>
  <c r="H3170" i="1"/>
  <c r="L3170" i="1"/>
  <c r="N3170" i="1"/>
  <c r="O3170" i="1"/>
  <c r="H3171" i="1"/>
  <c r="L3171" i="1"/>
  <c r="N3171" i="1"/>
  <c r="O3171" i="1"/>
  <c r="H3172" i="1"/>
  <c r="L3172" i="1"/>
  <c r="N3172" i="1"/>
  <c r="O3172" i="1"/>
  <c r="H3173" i="1"/>
  <c r="L3173" i="1"/>
  <c r="N3173" i="1"/>
  <c r="O3173" i="1"/>
  <c r="H3174" i="1"/>
  <c r="L3174" i="1"/>
  <c r="N3174" i="1"/>
  <c r="O3174" i="1"/>
  <c r="H3176" i="1"/>
  <c r="L3176" i="1"/>
  <c r="N3176" i="1"/>
  <c r="O3176" i="1"/>
  <c r="H3177" i="1"/>
  <c r="L3177" i="1"/>
  <c r="N3177" i="1"/>
  <c r="O3177" i="1"/>
  <c r="H3178" i="1"/>
  <c r="L3178" i="1"/>
  <c r="N3178" i="1"/>
  <c r="O3178" i="1"/>
  <c r="H3179" i="1"/>
  <c r="L3179" i="1"/>
  <c r="N3179" i="1"/>
  <c r="O3179" i="1"/>
  <c r="H3180" i="1"/>
  <c r="L3180" i="1"/>
  <c r="N3180" i="1"/>
  <c r="O3180" i="1"/>
  <c r="H3181" i="1"/>
  <c r="L3181" i="1"/>
  <c r="N3181" i="1"/>
  <c r="O3181" i="1"/>
  <c r="H3182" i="1"/>
  <c r="L3182" i="1"/>
  <c r="N3182" i="1"/>
  <c r="O3182" i="1"/>
  <c r="H3183" i="1"/>
  <c r="L3183" i="1"/>
  <c r="N3183" i="1"/>
  <c r="O3183" i="1"/>
  <c r="H3184" i="1"/>
  <c r="L3184" i="1"/>
  <c r="N3184" i="1"/>
  <c r="O3184" i="1"/>
  <c r="H3185" i="1"/>
  <c r="L3185" i="1"/>
  <c r="N3185" i="1"/>
  <c r="O3185" i="1"/>
  <c r="H3186" i="1"/>
  <c r="L3186" i="1"/>
  <c r="N3186" i="1"/>
  <c r="O3186" i="1"/>
  <c r="H3187" i="1"/>
  <c r="L3187" i="1"/>
  <c r="N3187" i="1"/>
  <c r="O3187" i="1"/>
  <c r="H3188" i="1"/>
  <c r="L3188" i="1"/>
  <c r="N3188" i="1"/>
  <c r="O3188" i="1"/>
  <c r="H3189" i="1"/>
  <c r="L3189" i="1"/>
  <c r="N3189" i="1"/>
  <c r="O3189" i="1"/>
  <c r="H3190" i="1"/>
  <c r="L3190" i="1"/>
  <c r="N3190" i="1"/>
  <c r="O3190" i="1"/>
  <c r="H3191" i="1"/>
  <c r="L3191" i="1"/>
  <c r="N3191" i="1"/>
  <c r="O3191" i="1"/>
  <c r="H3192" i="1"/>
  <c r="L3192" i="1"/>
  <c r="N3192" i="1"/>
  <c r="O3192" i="1"/>
  <c r="H3193" i="1"/>
  <c r="L3193" i="1"/>
  <c r="N3193" i="1"/>
  <c r="O3193" i="1"/>
  <c r="H3194" i="1"/>
  <c r="L3194" i="1"/>
  <c r="N3194" i="1"/>
  <c r="O3194" i="1"/>
  <c r="H3195" i="1"/>
  <c r="L3195" i="1"/>
  <c r="N3195" i="1"/>
  <c r="O3195" i="1"/>
  <c r="H3196" i="1"/>
  <c r="L3196" i="1"/>
  <c r="N3196" i="1"/>
  <c r="O3196" i="1"/>
  <c r="H3197" i="1"/>
  <c r="L3197" i="1"/>
  <c r="N3197" i="1"/>
  <c r="O3197" i="1"/>
  <c r="H3198" i="1"/>
  <c r="L3198" i="1"/>
  <c r="N3198" i="1"/>
  <c r="O3198" i="1"/>
  <c r="H3199" i="1"/>
  <c r="L3199" i="1"/>
  <c r="N3199" i="1"/>
  <c r="O3199" i="1"/>
  <c r="H3200" i="1"/>
  <c r="L3200" i="1"/>
  <c r="N3200" i="1"/>
  <c r="O3200" i="1"/>
  <c r="H3201" i="1"/>
  <c r="L3201" i="1"/>
  <c r="N3201" i="1"/>
  <c r="O3201" i="1"/>
  <c r="H3202" i="1"/>
  <c r="L3202" i="1"/>
  <c r="N3202" i="1"/>
  <c r="O3202" i="1"/>
  <c r="H3203" i="1"/>
  <c r="L3203" i="1"/>
  <c r="N3203" i="1"/>
  <c r="O3203" i="1"/>
  <c r="H3204" i="1"/>
  <c r="L3204" i="1"/>
  <c r="N3204" i="1"/>
  <c r="O3204" i="1"/>
  <c r="H3205" i="1"/>
  <c r="L3205" i="1"/>
  <c r="N3205" i="1"/>
  <c r="O3205" i="1"/>
  <c r="H3206" i="1"/>
  <c r="L3206" i="1"/>
  <c r="N3206" i="1"/>
  <c r="O3206" i="1"/>
  <c r="H3207" i="1"/>
  <c r="L3207" i="1"/>
  <c r="N3207" i="1"/>
  <c r="O3207" i="1"/>
  <c r="H3208" i="1"/>
  <c r="L3208" i="1"/>
  <c r="N3208" i="1"/>
  <c r="O3208" i="1"/>
  <c r="H3209" i="1"/>
  <c r="L3209" i="1"/>
  <c r="N3209" i="1"/>
  <c r="O3209" i="1"/>
  <c r="H3210" i="1"/>
  <c r="L3210" i="1"/>
  <c r="N3210" i="1"/>
  <c r="O3210" i="1"/>
  <c r="H3211" i="1"/>
  <c r="L3211" i="1"/>
  <c r="N3211" i="1"/>
  <c r="O3211" i="1"/>
  <c r="H3212" i="1"/>
  <c r="L3212" i="1"/>
  <c r="N3212" i="1"/>
  <c r="O3212" i="1"/>
  <c r="H3214" i="1"/>
  <c r="L3214" i="1"/>
  <c r="N3214" i="1"/>
  <c r="O3214" i="1"/>
  <c r="H3215" i="1"/>
  <c r="L3215" i="1"/>
  <c r="N3215" i="1"/>
  <c r="O3215" i="1"/>
  <c r="H3216" i="1"/>
  <c r="L3216" i="1"/>
  <c r="N3216" i="1"/>
  <c r="O3216" i="1"/>
  <c r="H3217" i="1"/>
  <c r="L3217" i="1"/>
  <c r="N3217" i="1"/>
  <c r="O3217" i="1"/>
  <c r="H3218" i="1"/>
  <c r="L3218" i="1"/>
  <c r="N3218" i="1"/>
  <c r="O3218" i="1"/>
  <c r="H3219" i="1"/>
  <c r="L3219" i="1"/>
  <c r="N3219" i="1"/>
  <c r="O3219" i="1"/>
  <c r="H3220" i="1"/>
  <c r="L3220" i="1"/>
  <c r="N3220" i="1"/>
  <c r="O3220" i="1"/>
  <c r="H3221" i="1"/>
  <c r="L3221" i="1"/>
  <c r="N3221" i="1"/>
  <c r="O3221" i="1"/>
  <c r="H3223" i="1"/>
  <c r="L3223" i="1"/>
  <c r="N3223" i="1"/>
  <c r="O3223" i="1"/>
  <c r="H3224" i="1"/>
  <c r="L3224" i="1"/>
  <c r="N3224" i="1"/>
  <c r="O3224" i="1"/>
  <c r="H3225" i="1"/>
  <c r="L3225" i="1"/>
  <c r="N3225" i="1"/>
  <c r="O3225" i="1"/>
  <c r="H3226" i="1"/>
  <c r="L3226" i="1"/>
  <c r="N3226" i="1"/>
  <c r="O3226" i="1"/>
  <c r="H3227" i="1"/>
  <c r="L3227" i="1"/>
  <c r="N3227" i="1"/>
  <c r="O3227" i="1"/>
  <c r="H3228" i="1"/>
  <c r="L3228" i="1"/>
  <c r="N3228" i="1"/>
  <c r="O3228" i="1"/>
  <c r="H3229" i="1"/>
  <c r="L3229" i="1"/>
  <c r="N3229" i="1"/>
  <c r="O3229" i="1"/>
  <c r="H3230" i="1"/>
  <c r="L3230" i="1"/>
  <c r="N3230" i="1"/>
  <c r="O3230" i="1"/>
  <c r="H3231" i="1"/>
  <c r="L3231" i="1"/>
  <c r="N3231" i="1"/>
  <c r="O3231" i="1"/>
  <c r="H3232" i="1"/>
  <c r="L3232" i="1"/>
  <c r="N3232" i="1"/>
  <c r="O3232" i="1"/>
  <c r="H3233" i="1"/>
  <c r="L3233" i="1"/>
  <c r="N3233" i="1"/>
  <c r="O3233" i="1"/>
  <c r="H3234" i="1"/>
  <c r="L3234" i="1"/>
  <c r="N3234" i="1"/>
  <c r="O3234" i="1"/>
  <c r="H3235" i="1"/>
  <c r="L3235" i="1"/>
  <c r="N3235" i="1"/>
  <c r="O3235" i="1"/>
  <c r="H3236" i="1"/>
  <c r="L3236" i="1"/>
  <c r="N3236" i="1"/>
  <c r="O3236" i="1"/>
  <c r="H3237" i="1"/>
  <c r="L3237" i="1"/>
  <c r="N3237" i="1"/>
  <c r="O3237" i="1"/>
  <c r="H3238" i="1"/>
  <c r="L3238" i="1"/>
  <c r="N3238" i="1"/>
  <c r="O3238" i="1"/>
  <c r="H3239" i="1"/>
  <c r="L3239" i="1"/>
  <c r="N3239" i="1"/>
  <c r="O3239" i="1"/>
  <c r="H3240" i="1"/>
  <c r="L3240" i="1"/>
  <c r="N3240" i="1"/>
  <c r="O3240" i="1"/>
  <c r="H3241" i="1"/>
  <c r="L3241" i="1"/>
  <c r="N3241" i="1"/>
  <c r="O3241" i="1"/>
  <c r="H3242" i="1"/>
  <c r="L3242" i="1"/>
  <c r="N3242" i="1"/>
  <c r="O3242" i="1"/>
  <c r="H3243" i="1"/>
  <c r="L3243" i="1"/>
  <c r="N3243" i="1"/>
  <c r="O3243" i="1"/>
  <c r="H3244" i="1"/>
  <c r="L3244" i="1"/>
  <c r="N3244" i="1"/>
  <c r="O3244" i="1"/>
  <c r="H3245" i="1"/>
  <c r="L3245" i="1"/>
  <c r="N3245" i="1"/>
  <c r="O3245" i="1"/>
  <c r="H3246" i="1"/>
  <c r="L3246" i="1"/>
  <c r="N3246" i="1"/>
  <c r="O3246" i="1"/>
  <c r="H3248" i="1"/>
  <c r="L3248" i="1"/>
  <c r="N3248" i="1"/>
  <c r="O3248" i="1"/>
  <c r="H3249" i="1"/>
  <c r="L3249" i="1"/>
  <c r="N3249" i="1"/>
  <c r="O3249" i="1"/>
  <c r="H3250" i="1"/>
  <c r="L3250" i="1"/>
  <c r="N3250" i="1"/>
  <c r="O3250" i="1"/>
  <c r="H3251" i="1"/>
  <c r="L3251" i="1"/>
  <c r="N3251" i="1"/>
  <c r="O3251" i="1"/>
  <c r="H3252" i="1"/>
  <c r="L3252" i="1"/>
  <c r="N3252" i="1"/>
  <c r="O3252" i="1"/>
  <c r="H3253" i="1"/>
  <c r="L3253" i="1"/>
  <c r="N3253" i="1"/>
  <c r="O3253" i="1"/>
  <c r="H3254" i="1"/>
  <c r="L3254" i="1"/>
  <c r="N3254" i="1"/>
  <c r="O3254" i="1"/>
  <c r="H3255" i="1"/>
  <c r="L3255" i="1"/>
  <c r="N3255" i="1"/>
  <c r="O3255" i="1"/>
  <c r="H3256" i="1"/>
  <c r="L3256" i="1"/>
  <c r="N3256" i="1"/>
  <c r="O3256" i="1"/>
  <c r="H3257" i="1"/>
  <c r="L3257" i="1"/>
  <c r="N3257" i="1"/>
  <c r="O3257" i="1"/>
  <c r="L3258" i="1"/>
  <c r="N3258" i="1"/>
  <c r="O3258" i="1"/>
  <c r="H3259" i="1"/>
  <c r="L3259" i="1"/>
  <c r="N3259" i="1"/>
  <c r="O3259" i="1"/>
  <c r="H3260" i="1"/>
  <c r="L3260" i="1"/>
  <c r="N3260" i="1"/>
  <c r="O3260" i="1"/>
  <c r="H3261" i="1"/>
  <c r="L3261" i="1"/>
  <c r="N3261" i="1"/>
  <c r="O3261" i="1"/>
  <c r="H3262" i="1"/>
  <c r="L3262" i="1"/>
  <c r="N3262" i="1"/>
  <c r="O3262" i="1"/>
  <c r="H3263" i="1"/>
  <c r="L3263" i="1"/>
  <c r="N3263" i="1"/>
  <c r="O3263" i="1"/>
  <c r="H3264" i="1"/>
  <c r="L3264" i="1"/>
  <c r="N3264" i="1"/>
  <c r="O3264" i="1"/>
  <c r="H3265" i="1"/>
  <c r="L3265" i="1"/>
  <c r="N3265" i="1"/>
  <c r="O3265" i="1"/>
  <c r="H3266" i="1"/>
  <c r="L3266" i="1"/>
  <c r="N3266" i="1"/>
  <c r="O3266" i="1"/>
  <c r="H3267" i="1"/>
  <c r="L3267" i="1"/>
  <c r="N3267" i="1"/>
  <c r="O3267" i="1"/>
  <c r="H3268" i="1"/>
  <c r="L3268" i="1"/>
  <c r="N3268" i="1"/>
  <c r="O3268" i="1"/>
  <c r="H3269" i="1"/>
  <c r="L3269" i="1"/>
  <c r="N3269" i="1"/>
  <c r="O3269" i="1"/>
  <c r="H3270" i="1"/>
  <c r="L3270" i="1"/>
  <c r="N3270" i="1"/>
  <c r="O3270" i="1"/>
  <c r="H3271" i="1"/>
  <c r="L3271" i="1"/>
  <c r="N3271" i="1"/>
  <c r="O3271" i="1"/>
  <c r="H3272" i="1"/>
  <c r="L3272" i="1"/>
  <c r="N3272" i="1"/>
  <c r="O3272" i="1"/>
  <c r="H3273" i="1"/>
  <c r="L3273" i="1"/>
  <c r="N3273" i="1"/>
  <c r="O3273" i="1"/>
  <c r="H3274" i="1"/>
  <c r="L3274" i="1"/>
  <c r="N3274" i="1"/>
  <c r="O3274" i="1"/>
  <c r="H3275" i="1"/>
  <c r="L3275" i="1"/>
  <c r="N3275" i="1"/>
  <c r="O3275" i="1"/>
  <c r="H3276" i="1"/>
  <c r="L3276" i="1"/>
  <c r="N3276" i="1"/>
  <c r="O3276" i="1"/>
  <c r="H3277" i="1"/>
  <c r="L3277" i="1"/>
  <c r="N3277" i="1"/>
  <c r="O3277" i="1"/>
  <c r="H3278" i="1"/>
  <c r="L3278" i="1"/>
  <c r="N3278" i="1"/>
  <c r="O3278" i="1"/>
  <c r="H3279" i="1"/>
  <c r="L3279" i="1"/>
  <c r="N3279" i="1"/>
  <c r="O3279" i="1"/>
  <c r="H3280" i="1"/>
  <c r="L3280" i="1"/>
  <c r="N3280" i="1"/>
  <c r="O3280" i="1"/>
  <c r="H3281" i="1"/>
  <c r="L3281" i="1"/>
  <c r="N3281" i="1"/>
  <c r="O3281" i="1"/>
  <c r="H3282" i="1"/>
  <c r="L3282" i="1"/>
  <c r="N3282" i="1"/>
  <c r="O3282" i="1"/>
  <c r="H3283" i="1"/>
  <c r="L3283" i="1"/>
  <c r="N3283" i="1"/>
  <c r="O3283" i="1"/>
  <c r="H3284" i="1"/>
  <c r="L3284" i="1"/>
  <c r="N3284" i="1"/>
  <c r="O3284" i="1"/>
  <c r="H3285" i="1"/>
  <c r="L3285" i="1"/>
  <c r="N3285" i="1"/>
  <c r="O3285" i="1"/>
  <c r="H3286" i="1"/>
  <c r="L3286" i="1"/>
  <c r="N3286" i="1"/>
  <c r="O3286" i="1"/>
  <c r="H3287" i="1"/>
  <c r="L3287" i="1"/>
  <c r="N3287" i="1"/>
  <c r="O3287" i="1"/>
  <c r="H3288" i="1"/>
  <c r="L3288" i="1"/>
  <c r="N3288" i="1"/>
  <c r="O3288" i="1"/>
  <c r="H3289" i="1"/>
  <c r="L3289" i="1"/>
  <c r="N3289" i="1"/>
  <c r="O3289" i="1"/>
  <c r="H3290" i="1"/>
  <c r="L3290" i="1"/>
  <c r="N3290" i="1"/>
  <c r="O3290" i="1"/>
  <c r="H3291" i="1"/>
  <c r="L3291" i="1"/>
  <c r="N3291" i="1"/>
  <c r="O3291" i="1"/>
  <c r="H3292" i="1"/>
  <c r="L3292" i="1"/>
  <c r="N3292" i="1"/>
  <c r="O3292" i="1"/>
  <c r="H3293" i="1"/>
  <c r="L3293" i="1"/>
  <c r="N3293" i="1"/>
  <c r="O3293" i="1"/>
  <c r="H3294" i="1"/>
  <c r="L3294" i="1"/>
  <c r="N3294" i="1"/>
  <c r="O3294" i="1"/>
  <c r="H3295" i="1"/>
  <c r="L3295" i="1"/>
  <c r="N3295" i="1"/>
  <c r="O3295" i="1"/>
  <c r="H3296" i="1"/>
  <c r="L3296" i="1"/>
  <c r="N3296" i="1"/>
  <c r="O3296" i="1"/>
  <c r="H3297" i="1"/>
  <c r="L3297" i="1"/>
  <c r="N3297" i="1"/>
  <c r="O3297" i="1"/>
  <c r="H3298" i="1"/>
  <c r="L3298" i="1"/>
  <c r="N3298" i="1"/>
  <c r="O3298" i="1"/>
  <c r="H3299" i="1"/>
  <c r="L3299" i="1"/>
  <c r="N3299" i="1"/>
  <c r="O3299" i="1"/>
  <c r="H3300" i="1"/>
  <c r="L3300" i="1"/>
  <c r="N3300" i="1"/>
  <c r="O3300" i="1"/>
  <c r="H3301" i="1"/>
  <c r="L3301" i="1"/>
  <c r="N3301" i="1"/>
  <c r="O3301" i="1"/>
  <c r="H3302" i="1"/>
  <c r="L3302" i="1"/>
  <c r="N3302" i="1"/>
  <c r="O3302" i="1"/>
  <c r="H3303" i="1"/>
  <c r="L3303" i="1"/>
  <c r="N3303" i="1"/>
  <c r="O3303" i="1"/>
  <c r="H3304" i="1"/>
  <c r="L3304" i="1"/>
  <c r="N3304" i="1"/>
  <c r="O3304" i="1"/>
  <c r="H3305" i="1"/>
  <c r="L3305" i="1"/>
  <c r="N3305" i="1"/>
  <c r="O3305" i="1"/>
  <c r="H3306" i="1"/>
  <c r="L3306" i="1"/>
  <c r="N3306" i="1"/>
  <c r="O3306" i="1"/>
  <c r="H3307" i="1"/>
  <c r="L3307" i="1"/>
  <c r="N3307" i="1"/>
  <c r="O3307" i="1"/>
  <c r="H3308" i="1"/>
  <c r="L3308" i="1"/>
  <c r="N3308" i="1"/>
  <c r="O3308" i="1"/>
  <c r="H3309" i="1"/>
  <c r="L3309" i="1"/>
  <c r="N3309" i="1"/>
  <c r="O3309" i="1"/>
  <c r="H3310" i="1"/>
  <c r="L3310" i="1"/>
  <c r="N3310" i="1"/>
  <c r="O3310" i="1"/>
  <c r="H3311" i="1"/>
  <c r="L3311" i="1"/>
  <c r="N3311" i="1"/>
  <c r="O3311" i="1"/>
  <c r="H3312" i="1"/>
  <c r="L3312" i="1"/>
  <c r="N3312" i="1"/>
  <c r="O3312" i="1"/>
  <c r="H3313" i="1"/>
  <c r="L3313" i="1"/>
  <c r="N3313" i="1"/>
  <c r="O3313" i="1"/>
  <c r="H3314" i="1"/>
  <c r="L3314" i="1"/>
  <c r="N3314" i="1"/>
  <c r="O3314" i="1"/>
  <c r="H3315" i="1"/>
  <c r="L3315" i="1"/>
  <c r="N3315" i="1"/>
  <c r="O3315" i="1"/>
  <c r="H3316" i="1"/>
  <c r="L3316" i="1"/>
  <c r="N3316" i="1"/>
  <c r="O3316" i="1"/>
  <c r="H3317" i="1"/>
  <c r="L3317" i="1"/>
  <c r="N3317" i="1"/>
  <c r="O3317" i="1"/>
  <c r="H3318" i="1"/>
  <c r="L3318" i="1"/>
  <c r="N3318" i="1"/>
  <c r="O3318" i="1"/>
  <c r="H3319" i="1"/>
  <c r="L3319" i="1"/>
  <c r="N3319" i="1"/>
  <c r="O3319" i="1"/>
  <c r="H3320" i="1"/>
  <c r="L3320" i="1"/>
  <c r="N3320" i="1"/>
  <c r="O3320" i="1"/>
  <c r="H3321" i="1"/>
  <c r="L3321" i="1"/>
  <c r="N3321" i="1"/>
  <c r="O3321" i="1"/>
  <c r="H3322" i="1"/>
  <c r="L3322" i="1"/>
  <c r="N3322" i="1"/>
  <c r="O3322" i="1"/>
  <c r="H3323" i="1"/>
  <c r="L3323" i="1"/>
  <c r="N3323" i="1"/>
  <c r="O3323" i="1"/>
  <c r="H3324" i="1"/>
  <c r="L3324" i="1"/>
  <c r="N3324" i="1"/>
  <c r="O3324" i="1"/>
  <c r="H3325" i="1"/>
  <c r="L3325" i="1"/>
  <c r="N3325" i="1"/>
  <c r="O3325" i="1"/>
  <c r="H3326" i="1"/>
  <c r="L3326" i="1"/>
  <c r="N3326" i="1"/>
  <c r="O3326" i="1"/>
  <c r="H3327" i="1"/>
  <c r="L3327" i="1"/>
  <c r="N3327" i="1"/>
  <c r="O3327" i="1"/>
  <c r="H3328" i="1"/>
  <c r="L3328" i="1"/>
  <c r="N3328" i="1"/>
  <c r="O3328" i="1"/>
  <c r="H3329" i="1"/>
  <c r="L3329" i="1"/>
  <c r="N3329" i="1"/>
  <c r="O3329" i="1"/>
  <c r="H3330" i="1"/>
  <c r="L3330" i="1"/>
  <c r="N3330" i="1"/>
  <c r="O3330" i="1"/>
  <c r="H3331" i="1"/>
  <c r="L3331" i="1"/>
  <c r="N3331" i="1"/>
  <c r="O3331" i="1"/>
  <c r="H3332" i="1"/>
  <c r="L3332" i="1"/>
  <c r="N3332" i="1"/>
  <c r="O3332" i="1"/>
  <c r="H3333" i="1"/>
  <c r="L3333" i="1"/>
  <c r="N3333" i="1"/>
  <c r="O3333" i="1"/>
  <c r="H3334" i="1"/>
  <c r="L3334" i="1"/>
  <c r="N3334" i="1"/>
  <c r="O3334" i="1"/>
  <c r="H3335" i="1"/>
  <c r="L3335" i="1"/>
  <c r="N3335" i="1"/>
  <c r="O3335" i="1"/>
  <c r="H3336" i="1"/>
  <c r="L3336" i="1"/>
  <c r="N3336" i="1"/>
  <c r="O3336" i="1"/>
  <c r="H3337" i="1"/>
  <c r="L3337" i="1"/>
  <c r="N3337" i="1"/>
  <c r="O3337" i="1"/>
  <c r="H3338" i="1"/>
  <c r="L3338" i="1"/>
  <c r="N3338" i="1"/>
  <c r="O3338" i="1"/>
  <c r="H3339" i="1"/>
  <c r="L3339" i="1"/>
  <c r="N3339" i="1"/>
  <c r="O3339" i="1"/>
  <c r="H3340" i="1"/>
  <c r="L3340" i="1"/>
  <c r="N3340" i="1"/>
  <c r="O3340" i="1"/>
  <c r="H3341" i="1"/>
  <c r="L3341" i="1"/>
  <c r="N3341" i="1"/>
  <c r="O3341" i="1"/>
  <c r="H3342" i="1"/>
  <c r="L3342" i="1"/>
  <c r="N3342" i="1"/>
  <c r="O3342" i="1"/>
  <c r="H3343" i="1"/>
  <c r="L3343" i="1"/>
  <c r="N3343" i="1"/>
  <c r="O3343" i="1"/>
  <c r="H3344" i="1"/>
  <c r="L3344" i="1"/>
  <c r="N3344" i="1"/>
  <c r="O3344" i="1"/>
  <c r="H3345" i="1"/>
  <c r="L3345" i="1"/>
  <c r="N3345" i="1"/>
  <c r="O3345" i="1"/>
  <c r="H3346" i="1"/>
  <c r="L3346" i="1"/>
  <c r="N3346" i="1"/>
  <c r="O3346" i="1"/>
  <c r="H3347" i="1"/>
  <c r="L3347" i="1"/>
  <c r="N3347" i="1"/>
  <c r="O3347" i="1"/>
  <c r="H3348" i="1"/>
  <c r="L3348" i="1"/>
  <c r="N3348" i="1"/>
  <c r="O3348" i="1"/>
  <c r="H3349" i="1"/>
  <c r="L3349" i="1"/>
  <c r="N3349" i="1"/>
  <c r="O3349" i="1"/>
  <c r="H3351" i="1"/>
  <c r="L3351" i="1"/>
  <c r="N3351" i="1"/>
  <c r="O3351" i="1"/>
  <c r="H3352" i="1"/>
  <c r="L3352" i="1"/>
  <c r="N3352" i="1"/>
  <c r="O3352" i="1"/>
  <c r="H3353" i="1"/>
  <c r="L3353" i="1"/>
  <c r="N3353" i="1"/>
  <c r="O3353" i="1"/>
  <c r="H3354" i="1"/>
  <c r="L3354" i="1"/>
  <c r="N3354" i="1"/>
  <c r="O3354" i="1"/>
  <c r="H3355" i="1"/>
  <c r="L3355" i="1"/>
  <c r="N3355" i="1"/>
  <c r="O3355" i="1"/>
  <c r="H3356" i="1"/>
  <c r="L3356" i="1"/>
  <c r="N3356" i="1"/>
  <c r="O3356" i="1"/>
  <c r="H3357" i="1"/>
  <c r="L3357" i="1"/>
  <c r="N3357" i="1"/>
  <c r="O3357" i="1"/>
  <c r="H3358" i="1"/>
  <c r="L3358" i="1"/>
  <c r="N3358" i="1"/>
  <c r="O3358" i="1"/>
  <c r="H3359" i="1"/>
  <c r="L3359" i="1"/>
  <c r="N3359" i="1"/>
  <c r="O3359" i="1"/>
  <c r="H3360" i="1"/>
  <c r="L3360" i="1"/>
  <c r="N3360" i="1"/>
  <c r="O3360" i="1"/>
  <c r="H3361" i="1"/>
  <c r="L3361" i="1"/>
  <c r="N3361" i="1"/>
  <c r="O3361" i="1"/>
  <c r="H3362" i="1"/>
  <c r="L3362" i="1"/>
  <c r="N3362" i="1"/>
  <c r="O3362" i="1"/>
  <c r="H3363" i="1"/>
  <c r="L3363" i="1"/>
  <c r="N3363" i="1"/>
  <c r="O3363" i="1"/>
  <c r="H3364" i="1"/>
  <c r="L3364" i="1"/>
  <c r="N3364" i="1"/>
  <c r="O3364" i="1"/>
  <c r="H3365" i="1"/>
  <c r="L3365" i="1"/>
  <c r="N3365" i="1"/>
  <c r="O3365" i="1"/>
  <c r="H3366" i="1"/>
  <c r="L3366" i="1"/>
  <c r="N3366" i="1"/>
  <c r="O3366" i="1"/>
  <c r="H3367" i="1"/>
  <c r="L3367" i="1"/>
  <c r="N3367" i="1"/>
  <c r="O3367" i="1"/>
  <c r="H3368" i="1"/>
  <c r="L3368" i="1"/>
  <c r="N3368" i="1"/>
  <c r="O3368" i="1"/>
  <c r="H3369" i="1"/>
  <c r="L3369" i="1"/>
  <c r="N3369" i="1"/>
  <c r="O3369" i="1"/>
  <c r="H3370" i="1"/>
  <c r="L3370" i="1"/>
  <c r="N3370" i="1"/>
  <c r="O3370" i="1"/>
  <c r="H3371" i="1"/>
  <c r="L3371" i="1"/>
  <c r="N3371" i="1"/>
  <c r="O3371" i="1"/>
  <c r="H3372" i="1"/>
  <c r="L3372" i="1"/>
  <c r="N3372" i="1"/>
  <c r="O3372" i="1"/>
  <c r="H3373" i="1"/>
  <c r="L3373" i="1"/>
  <c r="N3373" i="1"/>
  <c r="O3373" i="1"/>
  <c r="H3374" i="1"/>
  <c r="L3374" i="1"/>
  <c r="N3374" i="1"/>
  <c r="O3374" i="1"/>
  <c r="H3375" i="1"/>
  <c r="L3375" i="1"/>
  <c r="N3375" i="1"/>
  <c r="O3375" i="1"/>
  <c r="H3376" i="1"/>
  <c r="L3376" i="1"/>
  <c r="N3376" i="1"/>
  <c r="O3376" i="1"/>
  <c r="H3377" i="1"/>
  <c r="L3377" i="1"/>
  <c r="N3377" i="1"/>
  <c r="O3377" i="1"/>
  <c r="H3378" i="1"/>
  <c r="L3378" i="1"/>
  <c r="N3378" i="1"/>
  <c r="O3378" i="1"/>
  <c r="H3379" i="1"/>
  <c r="L3379" i="1"/>
  <c r="N3379" i="1"/>
  <c r="O3379" i="1"/>
  <c r="H3380" i="1"/>
  <c r="L3380" i="1"/>
  <c r="N3380" i="1"/>
  <c r="O3380" i="1"/>
  <c r="H3381" i="1"/>
  <c r="L3381" i="1"/>
  <c r="N3381" i="1"/>
  <c r="O3381" i="1"/>
  <c r="H3382" i="1"/>
  <c r="L3382" i="1"/>
  <c r="N3382" i="1"/>
  <c r="O3382" i="1"/>
  <c r="H3383" i="1"/>
  <c r="L3383" i="1"/>
  <c r="N3383" i="1"/>
  <c r="O3383" i="1"/>
  <c r="H3384" i="1"/>
  <c r="L3384" i="1"/>
  <c r="N3384" i="1"/>
  <c r="O3384" i="1"/>
  <c r="H3385" i="1"/>
  <c r="L3385" i="1"/>
  <c r="N3385" i="1"/>
  <c r="O3385" i="1"/>
  <c r="H3386" i="1"/>
  <c r="L3386" i="1"/>
  <c r="N3386" i="1"/>
  <c r="O3386" i="1"/>
  <c r="H3387" i="1"/>
  <c r="L3387" i="1"/>
  <c r="N3387" i="1"/>
  <c r="O3387" i="1"/>
  <c r="H3388" i="1"/>
  <c r="L3388" i="1"/>
  <c r="N3388" i="1"/>
  <c r="O3388" i="1"/>
  <c r="H3389" i="1"/>
  <c r="L3389" i="1"/>
  <c r="N3389" i="1"/>
  <c r="O3389" i="1"/>
  <c r="H3390" i="1"/>
  <c r="L3390" i="1"/>
  <c r="N3390" i="1"/>
  <c r="O3390" i="1"/>
  <c r="H3391" i="1"/>
  <c r="L3391" i="1"/>
  <c r="N3391" i="1"/>
  <c r="O3391" i="1"/>
  <c r="H3392" i="1"/>
  <c r="L3392" i="1"/>
  <c r="N3392" i="1"/>
  <c r="O3392" i="1"/>
  <c r="H3394" i="1"/>
  <c r="L3394" i="1"/>
  <c r="N3394" i="1"/>
  <c r="O3394" i="1"/>
  <c r="H3395" i="1"/>
  <c r="L3395" i="1"/>
  <c r="N3395" i="1"/>
  <c r="O3395" i="1"/>
  <c r="H3396" i="1"/>
  <c r="L3396" i="1"/>
  <c r="N3396" i="1"/>
  <c r="O3396" i="1"/>
  <c r="H3397" i="1"/>
  <c r="L3397" i="1"/>
  <c r="N3397" i="1"/>
  <c r="O3397" i="1"/>
  <c r="H3398" i="1"/>
  <c r="L3398" i="1"/>
  <c r="N3398" i="1"/>
  <c r="O3398" i="1"/>
  <c r="H3399" i="1"/>
  <c r="L3399" i="1"/>
  <c r="N3399" i="1"/>
  <c r="O3399" i="1"/>
  <c r="H3401" i="1"/>
  <c r="L3401" i="1"/>
  <c r="N3401" i="1"/>
  <c r="O3401" i="1"/>
  <c r="H3403" i="1"/>
  <c r="L3403" i="1"/>
  <c r="N3403" i="1"/>
  <c r="O3403" i="1"/>
  <c r="H3404" i="1"/>
  <c r="L3404" i="1"/>
  <c r="N3404" i="1"/>
  <c r="O3404" i="1"/>
  <c r="H3405" i="1"/>
  <c r="L3405" i="1"/>
  <c r="N3405" i="1"/>
  <c r="O3405" i="1"/>
  <c r="H3406" i="1"/>
  <c r="L3406" i="1"/>
  <c r="N3406" i="1"/>
  <c r="O3406" i="1"/>
  <c r="H3407" i="1"/>
  <c r="L3407" i="1"/>
  <c r="N3407" i="1"/>
  <c r="O3407" i="1"/>
  <c r="H3408" i="1"/>
  <c r="L3408" i="1"/>
  <c r="N3408" i="1"/>
  <c r="O3408" i="1"/>
  <c r="H3409" i="1"/>
  <c r="L3409" i="1"/>
  <c r="N3409" i="1"/>
  <c r="O3409" i="1"/>
  <c r="H3410" i="1"/>
  <c r="L3410" i="1"/>
  <c r="N3410" i="1"/>
  <c r="O3410" i="1"/>
  <c r="H3411" i="1"/>
  <c r="L3411" i="1"/>
  <c r="N3411" i="1"/>
  <c r="O3411" i="1"/>
  <c r="H3412" i="1"/>
  <c r="L3412" i="1"/>
  <c r="N3412" i="1"/>
  <c r="O3412" i="1"/>
  <c r="H3413" i="1"/>
  <c r="L3413" i="1"/>
  <c r="N3413" i="1"/>
  <c r="O3413" i="1"/>
  <c r="H3414" i="1"/>
  <c r="L3414" i="1"/>
  <c r="N3414" i="1"/>
  <c r="O3414" i="1"/>
  <c r="H3415" i="1"/>
  <c r="L3415" i="1"/>
  <c r="N3415" i="1"/>
  <c r="O3415" i="1"/>
  <c r="H3416" i="1"/>
  <c r="L3416" i="1"/>
  <c r="N3416" i="1"/>
  <c r="O3416" i="1"/>
  <c r="H3417" i="1"/>
  <c r="L3417" i="1"/>
  <c r="N3417" i="1"/>
  <c r="O3417" i="1"/>
  <c r="L3418" i="1"/>
  <c r="N3418" i="1"/>
  <c r="O3418" i="1"/>
  <c r="H3419" i="1"/>
  <c r="L3419" i="1"/>
  <c r="N3419" i="1"/>
  <c r="O3419" i="1"/>
  <c r="H3420" i="1"/>
  <c r="L3420" i="1"/>
  <c r="N3420" i="1"/>
  <c r="O3420" i="1"/>
  <c r="H3421" i="1"/>
  <c r="L3421" i="1"/>
  <c r="N3421" i="1"/>
  <c r="O3421" i="1"/>
  <c r="H3422" i="1"/>
  <c r="L3422" i="1"/>
  <c r="N3422" i="1"/>
  <c r="O3422" i="1"/>
  <c r="H3423" i="1"/>
  <c r="L3423" i="1"/>
  <c r="N3423" i="1"/>
  <c r="O3423" i="1"/>
  <c r="H3424" i="1"/>
  <c r="L3424" i="1"/>
  <c r="N3424" i="1"/>
  <c r="O3424" i="1"/>
  <c r="H3425" i="1"/>
  <c r="L3425" i="1"/>
  <c r="N3425" i="1"/>
  <c r="O3425" i="1"/>
  <c r="H3426" i="1"/>
  <c r="L3426" i="1"/>
  <c r="N3426" i="1"/>
  <c r="O3426" i="1"/>
  <c r="H3427" i="1"/>
  <c r="L3427" i="1"/>
  <c r="N3427" i="1"/>
  <c r="O3427" i="1"/>
  <c r="H3428" i="1"/>
  <c r="L3428" i="1"/>
  <c r="N3428" i="1"/>
  <c r="O3428" i="1"/>
  <c r="H3429" i="1"/>
  <c r="L3429" i="1"/>
  <c r="N3429" i="1"/>
  <c r="O3429" i="1"/>
  <c r="H3430" i="1"/>
  <c r="L3430" i="1"/>
  <c r="N3430" i="1"/>
  <c r="O3430" i="1"/>
  <c r="H3431" i="1"/>
  <c r="L3431" i="1"/>
  <c r="N3431" i="1"/>
  <c r="O3431" i="1"/>
  <c r="H3432" i="1"/>
  <c r="L3432" i="1"/>
  <c r="N3432" i="1"/>
  <c r="O3432" i="1"/>
  <c r="H3433" i="1"/>
  <c r="L3433" i="1"/>
  <c r="N3433" i="1"/>
  <c r="O3433" i="1"/>
  <c r="H3434" i="1"/>
  <c r="L3434" i="1"/>
  <c r="N3434" i="1"/>
  <c r="O3434" i="1"/>
  <c r="H3435" i="1"/>
  <c r="L3435" i="1"/>
  <c r="N3435" i="1"/>
  <c r="O3435" i="1"/>
  <c r="H3436" i="1"/>
  <c r="L3436" i="1"/>
  <c r="N3436" i="1"/>
  <c r="O3436" i="1"/>
  <c r="H3437" i="1"/>
  <c r="L3437" i="1"/>
  <c r="N3437" i="1"/>
  <c r="O3437" i="1"/>
  <c r="H3438" i="1"/>
  <c r="L3438" i="1"/>
  <c r="N3438" i="1"/>
  <c r="O3438" i="1"/>
  <c r="H3439" i="1"/>
  <c r="L3439" i="1"/>
  <c r="N3439" i="1"/>
  <c r="O3439" i="1"/>
  <c r="H3440" i="1"/>
  <c r="L3440" i="1"/>
  <c r="N3440" i="1"/>
  <c r="O3440" i="1"/>
  <c r="H3441" i="1"/>
  <c r="L3441" i="1"/>
  <c r="N3441" i="1"/>
  <c r="O3441" i="1"/>
  <c r="H3442" i="1"/>
  <c r="L3442" i="1"/>
  <c r="N3442" i="1"/>
  <c r="O3442" i="1"/>
  <c r="H3443" i="1"/>
  <c r="L3443" i="1"/>
  <c r="N3443" i="1"/>
  <c r="O3443" i="1"/>
  <c r="H3444" i="1"/>
  <c r="L3444" i="1"/>
  <c r="N3444" i="1"/>
  <c r="O3444" i="1"/>
  <c r="H3445" i="1"/>
  <c r="L3445" i="1"/>
  <c r="N3445" i="1"/>
  <c r="O3445" i="1"/>
  <c r="H3446" i="1"/>
  <c r="L3446" i="1"/>
  <c r="N3446" i="1"/>
  <c r="O3446" i="1"/>
  <c r="H3447" i="1"/>
  <c r="L3447" i="1"/>
  <c r="N3447" i="1"/>
  <c r="O3447" i="1"/>
  <c r="H3448" i="1"/>
  <c r="L3448" i="1"/>
  <c r="N3448" i="1"/>
  <c r="O3448" i="1"/>
  <c r="H3449" i="1"/>
  <c r="L3449" i="1"/>
  <c r="N3449" i="1"/>
  <c r="O3449" i="1"/>
  <c r="H3450" i="1"/>
  <c r="L3450" i="1"/>
  <c r="N3450" i="1"/>
  <c r="O3450" i="1"/>
  <c r="H3451" i="1"/>
  <c r="L3451" i="1"/>
  <c r="N3451" i="1"/>
  <c r="O3451" i="1"/>
  <c r="H3452" i="1"/>
  <c r="L3452" i="1"/>
  <c r="N3452" i="1"/>
  <c r="O3452" i="1"/>
  <c r="H3453" i="1"/>
  <c r="L3453" i="1"/>
  <c r="N3453" i="1"/>
  <c r="O3453" i="1"/>
  <c r="H3455" i="1"/>
  <c r="L3455" i="1"/>
  <c r="N3455" i="1"/>
  <c r="O3455" i="1"/>
  <c r="H3456" i="1"/>
  <c r="L3456" i="1"/>
  <c r="N3456" i="1"/>
  <c r="O3456" i="1"/>
  <c r="H3457" i="1"/>
  <c r="L3457" i="1"/>
  <c r="N3457" i="1"/>
  <c r="O3457" i="1"/>
  <c r="H3458" i="1"/>
  <c r="L3458" i="1"/>
  <c r="N3458" i="1"/>
  <c r="O3458" i="1"/>
  <c r="H3459" i="1"/>
  <c r="L3459" i="1"/>
  <c r="N3459" i="1"/>
  <c r="O3459" i="1"/>
  <c r="H3460" i="1"/>
  <c r="L3460" i="1"/>
  <c r="N3460" i="1"/>
  <c r="O3460" i="1"/>
  <c r="H3461" i="1"/>
  <c r="L3461" i="1"/>
  <c r="N3461" i="1"/>
  <c r="O3461" i="1"/>
  <c r="H3462" i="1"/>
  <c r="L3462" i="1"/>
  <c r="N3462" i="1"/>
  <c r="O3462" i="1"/>
  <c r="H3463" i="1"/>
  <c r="L3463" i="1"/>
  <c r="N3463" i="1"/>
  <c r="O3463" i="1"/>
  <c r="H3464" i="1"/>
  <c r="L3464" i="1"/>
  <c r="N3464" i="1"/>
  <c r="O3464" i="1"/>
  <c r="H3465" i="1"/>
  <c r="L3465" i="1"/>
  <c r="N3465" i="1"/>
  <c r="O3465" i="1"/>
  <c r="H3466" i="1"/>
  <c r="L3466" i="1"/>
  <c r="N3466" i="1"/>
  <c r="O3466" i="1"/>
  <c r="H3467" i="1"/>
  <c r="L3467" i="1"/>
  <c r="N3467" i="1"/>
  <c r="O3467" i="1"/>
  <c r="H3468" i="1"/>
  <c r="L3468" i="1"/>
  <c r="N3468" i="1"/>
  <c r="O3468" i="1"/>
  <c r="H3469" i="1"/>
  <c r="L3469" i="1"/>
  <c r="N3469" i="1"/>
  <c r="O3469" i="1"/>
  <c r="H3470" i="1"/>
  <c r="L3470" i="1"/>
  <c r="N3470" i="1"/>
  <c r="O3470" i="1"/>
  <c r="H3471" i="1"/>
  <c r="L3471" i="1"/>
  <c r="N3471" i="1"/>
  <c r="O3471" i="1"/>
  <c r="H3472" i="1"/>
  <c r="L3472" i="1"/>
  <c r="N3472" i="1"/>
  <c r="O3472" i="1"/>
  <c r="H3473" i="1"/>
  <c r="L3473" i="1"/>
  <c r="N3473" i="1"/>
  <c r="O3473" i="1"/>
  <c r="H3475" i="1"/>
  <c r="L3475" i="1"/>
  <c r="N3475" i="1"/>
  <c r="O3475" i="1"/>
  <c r="H3476" i="1"/>
  <c r="L3476" i="1"/>
  <c r="N3476" i="1"/>
  <c r="O3476" i="1"/>
  <c r="H3477" i="1"/>
  <c r="L3477" i="1"/>
  <c r="N3477" i="1"/>
  <c r="O3477" i="1"/>
  <c r="H3478" i="1"/>
  <c r="L3478" i="1"/>
  <c r="N3478" i="1"/>
  <c r="O3478" i="1"/>
  <c r="H3479" i="1"/>
  <c r="L3479" i="1"/>
  <c r="N3479" i="1"/>
  <c r="O3479" i="1"/>
  <c r="H3480" i="1"/>
  <c r="L3480" i="1"/>
  <c r="N3480" i="1"/>
  <c r="O3480" i="1"/>
  <c r="H3481" i="1"/>
  <c r="L3481" i="1"/>
  <c r="N3481" i="1"/>
  <c r="O3481" i="1"/>
  <c r="H3482" i="1"/>
  <c r="L3482" i="1"/>
  <c r="N3482" i="1"/>
  <c r="O3482" i="1"/>
  <c r="H3483" i="1"/>
  <c r="L3483" i="1"/>
  <c r="N3483" i="1"/>
  <c r="O3483" i="1"/>
  <c r="H3484" i="1"/>
  <c r="L3484" i="1"/>
  <c r="N3484" i="1"/>
  <c r="O3484" i="1"/>
  <c r="H3485" i="1"/>
  <c r="L3485" i="1"/>
  <c r="N3485" i="1"/>
  <c r="O3485" i="1"/>
  <c r="H3486" i="1"/>
  <c r="L3486" i="1"/>
  <c r="N3486" i="1"/>
  <c r="O3486" i="1"/>
  <c r="H3487" i="1"/>
  <c r="L3487" i="1"/>
  <c r="N3487" i="1"/>
  <c r="O3487" i="1"/>
  <c r="H3488" i="1"/>
  <c r="L3488" i="1"/>
  <c r="N3488" i="1"/>
  <c r="O3488" i="1"/>
  <c r="H3489" i="1"/>
  <c r="L3489" i="1"/>
  <c r="N3489" i="1"/>
  <c r="O3489" i="1"/>
  <c r="H3490" i="1"/>
  <c r="L3490" i="1"/>
  <c r="N3490" i="1"/>
  <c r="O3490" i="1"/>
  <c r="H3491" i="1"/>
  <c r="L3491" i="1"/>
  <c r="N3491" i="1"/>
  <c r="O3491" i="1"/>
  <c r="H3492" i="1"/>
  <c r="L3492" i="1"/>
  <c r="N3492" i="1"/>
  <c r="O3492" i="1"/>
  <c r="H3493" i="1"/>
  <c r="L3493" i="1"/>
  <c r="N3493" i="1"/>
  <c r="O3493" i="1"/>
  <c r="H3494" i="1"/>
  <c r="L3494" i="1"/>
  <c r="N3494" i="1"/>
  <c r="O3494" i="1"/>
  <c r="H3495" i="1"/>
  <c r="L3495" i="1"/>
  <c r="N3495" i="1"/>
  <c r="O3495" i="1"/>
  <c r="H3496" i="1"/>
  <c r="L3496" i="1"/>
  <c r="N3496" i="1"/>
  <c r="O3496" i="1"/>
  <c r="H3497" i="1"/>
  <c r="L3497" i="1"/>
  <c r="N3497" i="1"/>
  <c r="O3497" i="1"/>
  <c r="H3498" i="1"/>
  <c r="L3498" i="1"/>
  <c r="N3498" i="1"/>
  <c r="O3498" i="1"/>
  <c r="H3499" i="1"/>
  <c r="L3499" i="1"/>
  <c r="N3499" i="1"/>
  <c r="O3499" i="1"/>
  <c r="H3500" i="1"/>
  <c r="L3500" i="1"/>
  <c r="N3500" i="1"/>
  <c r="O3500" i="1"/>
  <c r="H3501" i="1"/>
  <c r="L3501" i="1"/>
  <c r="N3501" i="1"/>
  <c r="O3501" i="1"/>
  <c r="H3502" i="1"/>
  <c r="L3502" i="1"/>
  <c r="N3502" i="1"/>
  <c r="O3502" i="1"/>
  <c r="H3504" i="1"/>
  <c r="L3504" i="1"/>
  <c r="N3504" i="1"/>
  <c r="O3504" i="1"/>
  <c r="H3506" i="1"/>
  <c r="L3506" i="1"/>
  <c r="N3506" i="1"/>
  <c r="O3506" i="1"/>
  <c r="H3507" i="1"/>
  <c r="L3507" i="1"/>
  <c r="N3507" i="1"/>
  <c r="O3507" i="1"/>
  <c r="H3508" i="1"/>
  <c r="L3508" i="1"/>
  <c r="N3508" i="1"/>
  <c r="O3508" i="1"/>
  <c r="H3509" i="1"/>
  <c r="L3509" i="1"/>
  <c r="N3509" i="1"/>
  <c r="O3509" i="1"/>
  <c r="H3510" i="1"/>
  <c r="L3510" i="1"/>
  <c r="N3510" i="1"/>
  <c r="O3510" i="1"/>
  <c r="H3511" i="1"/>
  <c r="L3511" i="1"/>
  <c r="N3511" i="1"/>
  <c r="O3511" i="1"/>
  <c r="H3512" i="1"/>
  <c r="L3512" i="1"/>
  <c r="N3512" i="1"/>
  <c r="O3512" i="1"/>
  <c r="H3513" i="1"/>
  <c r="L3513" i="1"/>
  <c r="N3513" i="1"/>
  <c r="O3513" i="1"/>
  <c r="H3514" i="1"/>
  <c r="L3514" i="1"/>
  <c r="N3514" i="1"/>
  <c r="O3514" i="1"/>
  <c r="H3515" i="1"/>
  <c r="L3515" i="1"/>
  <c r="N3515" i="1"/>
  <c r="O3515" i="1"/>
  <c r="H3516" i="1"/>
  <c r="L3516" i="1"/>
  <c r="N3516" i="1"/>
  <c r="O3516" i="1"/>
  <c r="H3518" i="1"/>
  <c r="L3518" i="1"/>
  <c r="N3518" i="1"/>
  <c r="O3518" i="1"/>
  <c r="H3519" i="1"/>
  <c r="L3519" i="1"/>
  <c r="N3519" i="1"/>
  <c r="O3519" i="1"/>
  <c r="H3520" i="1"/>
  <c r="L3520" i="1"/>
  <c r="N3520" i="1"/>
  <c r="O3520" i="1"/>
  <c r="H3521" i="1"/>
  <c r="L3521" i="1"/>
  <c r="N3521" i="1"/>
  <c r="O3521" i="1"/>
  <c r="H3522" i="1"/>
  <c r="L3522" i="1"/>
  <c r="N3522" i="1"/>
  <c r="O3522" i="1"/>
  <c r="H3523" i="1"/>
  <c r="L3523" i="1"/>
  <c r="N3523" i="1"/>
  <c r="O3523" i="1"/>
  <c r="H3524" i="1"/>
  <c r="L3524" i="1"/>
  <c r="N3524" i="1"/>
  <c r="O3524" i="1"/>
  <c r="H3525" i="1"/>
  <c r="L3525" i="1"/>
  <c r="N3525" i="1"/>
  <c r="O3525" i="1"/>
  <c r="H3526" i="1"/>
  <c r="L3526" i="1"/>
  <c r="N3526" i="1"/>
  <c r="O3526" i="1"/>
  <c r="H3527" i="1"/>
  <c r="L3527" i="1"/>
  <c r="N3527" i="1"/>
  <c r="O3527" i="1"/>
  <c r="H3528" i="1"/>
  <c r="L3528" i="1"/>
  <c r="N3528" i="1"/>
  <c r="O3528" i="1"/>
  <c r="H3529" i="1"/>
  <c r="L3529" i="1"/>
  <c r="N3529" i="1"/>
  <c r="O3529" i="1"/>
  <c r="H3530" i="1"/>
  <c r="L3530" i="1"/>
  <c r="N3530" i="1"/>
  <c r="O3530" i="1"/>
  <c r="H3531" i="1"/>
  <c r="L3531" i="1"/>
  <c r="N3531" i="1"/>
  <c r="O3531" i="1"/>
  <c r="H3532" i="1"/>
  <c r="L3532" i="1"/>
  <c r="N3532" i="1"/>
  <c r="O3532" i="1"/>
  <c r="L3533" i="1"/>
  <c r="N3533" i="1"/>
  <c r="O3533" i="1"/>
  <c r="H3534" i="1"/>
  <c r="L3534" i="1"/>
  <c r="N3534" i="1"/>
  <c r="O3534" i="1"/>
  <c r="H3535" i="1"/>
  <c r="L3535" i="1"/>
  <c r="N3535" i="1"/>
  <c r="O3535" i="1"/>
  <c r="H3536" i="1"/>
  <c r="L3536" i="1"/>
  <c r="N3536" i="1"/>
  <c r="O3536" i="1"/>
  <c r="H3537" i="1"/>
  <c r="L3537" i="1"/>
  <c r="N3537" i="1"/>
  <c r="O3537" i="1"/>
  <c r="H3538" i="1"/>
  <c r="L3538" i="1"/>
  <c r="N3538" i="1"/>
  <c r="O3538" i="1"/>
  <c r="H3539" i="1"/>
  <c r="L3539" i="1"/>
  <c r="N3539" i="1"/>
  <c r="O3539" i="1"/>
  <c r="H3540" i="1"/>
  <c r="L3540" i="1"/>
  <c r="N3540" i="1"/>
  <c r="O3540" i="1"/>
  <c r="H3541" i="1"/>
  <c r="L3541" i="1"/>
  <c r="N3541" i="1"/>
  <c r="O3541" i="1"/>
  <c r="H3542" i="1"/>
  <c r="L3542" i="1"/>
  <c r="N3542" i="1"/>
  <c r="O3542" i="1"/>
  <c r="H3543" i="1"/>
  <c r="L3543" i="1"/>
  <c r="N3543" i="1"/>
  <c r="O3543" i="1"/>
  <c r="H3544" i="1"/>
  <c r="L3544" i="1"/>
  <c r="N3544" i="1"/>
  <c r="O3544" i="1"/>
  <c r="H3545" i="1"/>
  <c r="L3545" i="1"/>
  <c r="N3545" i="1"/>
  <c r="O3545" i="1"/>
  <c r="H3546" i="1"/>
  <c r="L3546" i="1"/>
  <c r="N3546" i="1"/>
  <c r="O3546" i="1"/>
  <c r="H3547" i="1"/>
  <c r="L3547" i="1"/>
  <c r="N3547" i="1"/>
  <c r="O3547" i="1"/>
  <c r="H3548" i="1"/>
  <c r="L3548" i="1"/>
  <c r="N3548" i="1"/>
  <c r="O3548" i="1"/>
  <c r="H3549" i="1"/>
  <c r="L3549" i="1"/>
  <c r="N3549" i="1"/>
  <c r="O3549" i="1"/>
  <c r="H3550" i="1"/>
  <c r="L3550" i="1"/>
  <c r="N3550" i="1"/>
  <c r="O3550" i="1"/>
  <c r="H3551" i="1"/>
  <c r="L3551" i="1"/>
  <c r="N3551" i="1"/>
  <c r="O3551" i="1"/>
  <c r="H3552" i="1"/>
  <c r="L3552" i="1"/>
  <c r="N3552" i="1"/>
  <c r="O3552" i="1"/>
  <c r="H3553" i="1"/>
  <c r="L3553" i="1"/>
  <c r="N3553" i="1"/>
  <c r="O3553" i="1"/>
  <c r="H3554" i="1"/>
  <c r="L3554" i="1"/>
  <c r="N3554" i="1"/>
  <c r="O3554" i="1"/>
  <c r="H3555" i="1"/>
  <c r="L3555" i="1"/>
  <c r="N3555" i="1"/>
  <c r="O3555" i="1"/>
  <c r="H3556" i="1"/>
  <c r="L3556" i="1"/>
  <c r="N3556" i="1"/>
  <c r="O3556" i="1"/>
  <c r="H3557" i="1"/>
  <c r="L3557" i="1"/>
  <c r="N3557" i="1"/>
  <c r="O3557" i="1"/>
  <c r="H3558" i="1"/>
  <c r="L3558" i="1"/>
  <c r="N3558" i="1"/>
  <c r="O3558" i="1"/>
  <c r="H3559" i="1"/>
  <c r="L3559" i="1"/>
  <c r="N3559" i="1"/>
  <c r="O3559" i="1"/>
  <c r="H3560" i="1"/>
  <c r="L3560" i="1"/>
  <c r="N3560" i="1"/>
  <c r="O3560" i="1"/>
  <c r="H3561" i="1"/>
  <c r="L3561" i="1"/>
  <c r="N3561" i="1"/>
  <c r="O3561" i="1"/>
  <c r="H3566" i="1"/>
  <c r="L3566" i="1"/>
  <c r="N3566" i="1"/>
  <c r="O3566" i="1"/>
  <c r="H3567" i="1"/>
  <c r="L3567" i="1"/>
  <c r="N3567" i="1"/>
  <c r="O3567" i="1"/>
  <c r="H3568" i="1"/>
  <c r="L3568" i="1"/>
  <c r="N3568" i="1"/>
  <c r="O3568" i="1"/>
  <c r="H3569" i="1"/>
  <c r="L3569" i="1"/>
  <c r="N3569" i="1"/>
  <c r="O3569" i="1"/>
  <c r="H3570" i="1"/>
  <c r="L3570" i="1"/>
  <c r="N3570" i="1"/>
  <c r="O3570" i="1"/>
  <c r="H3571" i="1"/>
  <c r="L3571" i="1"/>
  <c r="N3571" i="1"/>
  <c r="O3571" i="1"/>
  <c r="H3572" i="1"/>
  <c r="L3572" i="1"/>
  <c r="N3572" i="1"/>
  <c r="O3572" i="1"/>
  <c r="H3573" i="1"/>
  <c r="L3573" i="1"/>
  <c r="N3573" i="1"/>
  <c r="O3573" i="1"/>
  <c r="H3574" i="1"/>
  <c r="L3574" i="1"/>
  <c r="N3574" i="1"/>
  <c r="O3574" i="1"/>
  <c r="H3575" i="1"/>
  <c r="L3575" i="1"/>
  <c r="N3575" i="1"/>
  <c r="O3575" i="1"/>
  <c r="H3576" i="1"/>
  <c r="L3576" i="1"/>
  <c r="N3576" i="1"/>
  <c r="O3576" i="1"/>
  <c r="H3577" i="1"/>
  <c r="L3577" i="1"/>
  <c r="N3577" i="1"/>
  <c r="O3577" i="1"/>
  <c r="H3578" i="1"/>
  <c r="L3578" i="1"/>
  <c r="N3578" i="1"/>
  <c r="O3578" i="1"/>
  <c r="H3579" i="1"/>
  <c r="L3579" i="1"/>
  <c r="N3579" i="1"/>
  <c r="O3579" i="1"/>
  <c r="H3580" i="1"/>
  <c r="L3580" i="1"/>
  <c r="N3580" i="1"/>
  <c r="O3580" i="1"/>
  <c r="H3581" i="1"/>
  <c r="L3581" i="1"/>
  <c r="N3581" i="1"/>
  <c r="O3581" i="1"/>
  <c r="H3582" i="1"/>
  <c r="L3582" i="1"/>
  <c r="N3582" i="1"/>
  <c r="O3582" i="1"/>
  <c r="H3584" i="1"/>
  <c r="L3584" i="1"/>
  <c r="N3584" i="1"/>
  <c r="O3584" i="1"/>
  <c r="H3585" i="1"/>
  <c r="L3585" i="1"/>
  <c r="N3585" i="1"/>
  <c r="O3585" i="1"/>
  <c r="H3586" i="1"/>
  <c r="L3586" i="1"/>
  <c r="N3586" i="1"/>
  <c r="O3586" i="1"/>
  <c r="H3587" i="1"/>
  <c r="L3587" i="1"/>
  <c r="N3587" i="1"/>
  <c r="O3587" i="1"/>
  <c r="H3588" i="1"/>
  <c r="L3588" i="1"/>
  <c r="N3588" i="1"/>
  <c r="O3588" i="1"/>
  <c r="H3589" i="1"/>
  <c r="L3589" i="1"/>
  <c r="N3589" i="1"/>
  <c r="O3589" i="1"/>
  <c r="H3590" i="1"/>
  <c r="L3590" i="1"/>
  <c r="N3590" i="1"/>
  <c r="O3590" i="1"/>
  <c r="H3591" i="1"/>
  <c r="L3591" i="1"/>
  <c r="N3591" i="1"/>
  <c r="O3591" i="1"/>
  <c r="H3592" i="1"/>
  <c r="L3592" i="1"/>
  <c r="N3592" i="1"/>
  <c r="O3592" i="1"/>
  <c r="H3593" i="1"/>
  <c r="L3593" i="1"/>
  <c r="N3593" i="1"/>
  <c r="O3593" i="1"/>
  <c r="H3594" i="1"/>
  <c r="L3594" i="1"/>
  <c r="N3594" i="1"/>
  <c r="O3594" i="1"/>
  <c r="H3595" i="1"/>
  <c r="L3595" i="1"/>
  <c r="N3595" i="1"/>
  <c r="O3595" i="1"/>
  <c r="H3596" i="1"/>
  <c r="L3596" i="1"/>
  <c r="N3596" i="1"/>
  <c r="O3596" i="1"/>
  <c r="H3597" i="1"/>
  <c r="L3597" i="1"/>
  <c r="N3597" i="1"/>
  <c r="O3597" i="1"/>
  <c r="H3598" i="1"/>
  <c r="L3598" i="1"/>
  <c r="N3598" i="1"/>
  <c r="O3598" i="1"/>
  <c r="H3599" i="1"/>
  <c r="L3599" i="1"/>
  <c r="N3599" i="1"/>
  <c r="O3599" i="1"/>
  <c r="H3600" i="1"/>
  <c r="L3600" i="1"/>
  <c r="N3600" i="1"/>
  <c r="O3600" i="1"/>
  <c r="H3601" i="1"/>
  <c r="L3601" i="1"/>
  <c r="N3601" i="1"/>
  <c r="O3601" i="1"/>
  <c r="H3602" i="1"/>
  <c r="L3602" i="1"/>
  <c r="N3602" i="1"/>
  <c r="O3602" i="1"/>
  <c r="H3603" i="1"/>
  <c r="L3603" i="1"/>
  <c r="N3603" i="1"/>
  <c r="O3603" i="1"/>
  <c r="H3604" i="1"/>
  <c r="L3604" i="1"/>
  <c r="N3604" i="1"/>
  <c r="O3604" i="1"/>
  <c r="H3605" i="1"/>
  <c r="L3605" i="1"/>
  <c r="N3605" i="1"/>
  <c r="O3605" i="1"/>
  <c r="H3606" i="1"/>
  <c r="L3606" i="1"/>
  <c r="N3606" i="1"/>
  <c r="O3606" i="1"/>
  <c r="H3607" i="1"/>
  <c r="L3607" i="1"/>
  <c r="N3607" i="1"/>
  <c r="O3607" i="1"/>
  <c r="H3608" i="1"/>
  <c r="L3608" i="1"/>
  <c r="N3608" i="1"/>
  <c r="O3608" i="1"/>
  <c r="H3609" i="1"/>
  <c r="L3609" i="1"/>
  <c r="N3609" i="1"/>
  <c r="O3609" i="1"/>
  <c r="H3610" i="1"/>
  <c r="L3610" i="1"/>
  <c r="N3610" i="1"/>
  <c r="O3610" i="1"/>
  <c r="H3611" i="1"/>
  <c r="L3611" i="1"/>
  <c r="N3611" i="1"/>
  <c r="O3611" i="1"/>
  <c r="H3612" i="1"/>
  <c r="L3612" i="1"/>
  <c r="N3612" i="1"/>
  <c r="O3612" i="1"/>
  <c r="H3613" i="1"/>
  <c r="L3613" i="1"/>
  <c r="N3613" i="1"/>
  <c r="O3613" i="1"/>
  <c r="H3614" i="1"/>
  <c r="L3614" i="1"/>
  <c r="N3614" i="1"/>
  <c r="O3614" i="1"/>
  <c r="H3615" i="1"/>
  <c r="L3615" i="1"/>
  <c r="N3615" i="1"/>
  <c r="O3615" i="1"/>
  <c r="H3616" i="1"/>
  <c r="L3616" i="1"/>
  <c r="N3616" i="1"/>
  <c r="O3616" i="1"/>
  <c r="H3617" i="1"/>
  <c r="L3617" i="1"/>
  <c r="N3617" i="1"/>
  <c r="O3617" i="1"/>
  <c r="H3618" i="1"/>
  <c r="L3618" i="1"/>
  <c r="N3618" i="1"/>
  <c r="O3618" i="1"/>
  <c r="H3619" i="1"/>
  <c r="L3619" i="1"/>
  <c r="N3619" i="1"/>
  <c r="O3619" i="1"/>
  <c r="H3620" i="1"/>
  <c r="L3620" i="1"/>
  <c r="N3620" i="1"/>
  <c r="O3620" i="1"/>
  <c r="H3621" i="1"/>
  <c r="L3621" i="1"/>
  <c r="N3621" i="1"/>
  <c r="O3621" i="1"/>
  <c r="H3622" i="1"/>
  <c r="L3622" i="1"/>
  <c r="N3622" i="1"/>
  <c r="O3622" i="1"/>
  <c r="H3623" i="1"/>
  <c r="L3623" i="1"/>
  <c r="N3623" i="1"/>
  <c r="O3623" i="1"/>
  <c r="H3624" i="1"/>
  <c r="L3624" i="1"/>
  <c r="N3624" i="1"/>
  <c r="O3624" i="1"/>
  <c r="H3625" i="1"/>
  <c r="L3625" i="1"/>
  <c r="N3625" i="1"/>
  <c r="O3625" i="1"/>
  <c r="H3626" i="1"/>
  <c r="L3626" i="1"/>
  <c r="N3626" i="1"/>
  <c r="O3626" i="1"/>
  <c r="H3627" i="1"/>
  <c r="L3627" i="1"/>
  <c r="N3627" i="1"/>
  <c r="O3627" i="1"/>
  <c r="H3628" i="1"/>
  <c r="L3628" i="1"/>
  <c r="N3628" i="1"/>
  <c r="O3628" i="1"/>
  <c r="H3629" i="1"/>
  <c r="L3629" i="1"/>
  <c r="N3629" i="1"/>
  <c r="O3629" i="1"/>
  <c r="H3630" i="1"/>
  <c r="L3630" i="1"/>
  <c r="N3630" i="1"/>
  <c r="O3630" i="1"/>
  <c r="H3631" i="1"/>
  <c r="L3631" i="1"/>
  <c r="N3631" i="1"/>
  <c r="O3631" i="1"/>
  <c r="L3632" i="1"/>
  <c r="N3632" i="1"/>
  <c r="O3632" i="1"/>
  <c r="H3633" i="1"/>
  <c r="L3633" i="1"/>
  <c r="N3633" i="1"/>
  <c r="O3633" i="1"/>
  <c r="H3634" i="1"/>
  <c r="L3634" i="1"/>
  <c r="N3634" i="1"/>
  <c r="O3634" i="1"/>
  <c r="H3635" i="1"/>
  <c r="L3635" i="1"/>
  <c r="N3635" i="1"/>
  <c r="O3635" i="1"/>
  <c r="H3636" i="1"/>
  <c r="L3636" i="1"/>
  <c r="N3636" i="1"/>
  <c r="O3636" i="1"/>
  <c r="H3637" i="1"/>
  <c r="L3637" i="1"/>
  <c r="N3637" i="1"/>
  <c r="O3637" i="1"/>
  <c r="H3638" i="1"/>
  <c r="L3638" i="1"/>
  <c r="N3638" i="1"/>
  <c r="O3638" i="1"/>
  <c r="H3639" i="1"/>
  <c r="L3639" i="1"/>
  <c r="N3639" i="1"/>
  <c r="O3639" i="1"/>
  <c r="H3640" i="1"/>
  <c r="L3640" i="1"/>
  <c r="N3640" i="1"/>
  <c r="O3640" i="1"/>
  <c r="H3641" i="1"/>
  <c r="L3641" i="1"/>
  <c r="N3641" i="1"/>
  <c r="O3641" i="1"/>
  <c r="H3642" i="1"/>
  <c r="L3642" i="1"/>
  <c r="N3642" i="1"/>
  <c r="O3642" i="1"/>
  <c r="H3643" i="1"/>
  <c r="L3643" i="1"/>
  <c r="N3643" i="1"/>
  <c r="O3643" i="1"/>
  <c r="H3644" i="1"/>
  <c r="L3644" i="1"/>
  <c r="N3644" i="1"/>
  <c r="O3644" i="1"/>
  <c r="H3645" i="1"/>
  <c r="L3645" i="1"/>
  <c r="N3645" i="1"/>
  <c r="O3645" i="1"/>
  <c r="H3646" i="1"/>
  <c r="L3646" i="1"/>
  <c r="N3646" i="1"/>
  <c r="O3646" i="1"/>
  <c r="H3647" i="1"/>
  <c r="L3647" i="1"/>
  <c r="N3647" i="1"/>
  <c r="O3647" i="1"/>
  <c r="H3648" i="1"/>
  <c r="L3648" i="1"/>
  <c r="N3648" i="1"/>
  <c r="O3648" i="1"/>
  <c r="H3649" i="1"/>
  <c r="L3649" i="1"/>
  <c r="N3649" i="1"/>
  <c r="O3649" i="1"/>
  <c r="H3650" i="1"/>
  <c r="L3650" i="1"/>
  <c r="N3650" i="1"/>
  <c r="O3650" i="1"/>
  <c r="H3651" i="1"/>
  <c r="L3651" i="1"/>
  <c r="N3651" i="1"/>
  <c r="O3651" i="1"/>
  <c r="H3652" i="1"/>
  <c r="L3652" i="1"/>
  <c r="N3652" i="1"/>
  <c r="O3652" i="1"/>
  <c r="H3653" i="1"/>
  <c r="L3653" i="1"/>
  <c r="N3653" i="1"/>
  <c r="O3653" i="1"/>
  <c r="H3654" i="1"/>
  <c r="L3654" i="1"/>
  <c r="N3654" i="1"/>
  <c r="O3654" i="1"/>
  <c r="H3655" i="1"/>
  <c r="L3655" i="1"/>
  <c r="N3655" i="1"/>
  <c r="O3655" i="1"/>
  <c r="H3656" i="1"/>
  <c r="L3656" i="1"/>
  <c r="N3656" i="1"/>
  <c r="O3656" i="1"/>
  <c r="H3657" i="1"/>
  <c r="L3657" i="1"/>
  <c r="N3657" i="1"/>
  <c r="O3657" i="1"/>
  <c r="H3658" i="1"/>
  <c r="L3658" i="1"/>
  <c r="N3658" i="1"/>
  <c r="O3658" i="1"/>
  <c r="H3659" i="1"/>
  <c r="L3659" i="1"/>
  <c r="N3659" i="1"/>
  <c r="O3659" i="1"/>
  <c r="H3660" i="1"/>
  <c r="L3660" i="1"/>
  <c r="N3660" i="1"/>
  <c r="O3660" i="1"/>
  <c r="H3661" i="1"/>
  <c r="L3661" i="1"/>
  <c r="N3661" i="1"/>
  <c r="O3661" i="1"/>
  <c r="H3662" i="1"/>
  <c r="L3662" i="1"/>
  <c r="N3662" i="1"/>
  <c r="O3662" i="1"/>
  <c r="H3663" i="1"/>
  <c r="L3663" i="1"/>
  <c r="N3663" i="1"/>
  <c r="O3663" i="1"/>
  <c r="H3664" i="1"/>
  <c r="L3664" i="1"/>
  <c r="N3664" i="1"/>
  <c r="O3664" i="1"/>
  <c r="H3665" i="1"/>
  <c r="L3665" i="1"/>
  <c r="N3665" i="1"/>
  <c r="O3665" i="1"/>
  <c r="H3666" i="1"/>
  <c r="L3666" i="1"/>
  <c r="N3666" i="1"/>
  <c r="O3666" i="1"/>
  <c r="H3667" i="1"/>
  <c r="L3667" i="1"/>
  <c r="N3667" i="1"/>
  <c r="O3667" i="1"/>
  <c r="H3668" i="1"/>
  <c r="L3668" i="1"/>
  <c r="N3668" i="1"/>
  <c r="O3668" i="1"/>
  <c r="H3669" i="1"/>
  <c r="L3669" i="1"/>
  <c r="N3669" i="1"/>
  <c r="O3669" i="1"/>
  <c r="H3670" i="1"/>
  <c r="L3670" i="1"/>
  <c r="N3670" i="1"/>
  <c r="O3670" i="1"/>
  <c r="H3671" i="1"/>
  <c r="L3671" i="1"/>
  <c r="N3671" i="1"/>
  <c r="O3671" i="1"/>
  <c r="H3672" i="1"/>
  <c r="L3672" i="1"/>
  <c r="N3672" i="1"/>
  <c r="O3672" i="1"/>
  <c r="H3673" i="1"/>
  <c r="L3673" i="1"/>
  <c r="N3673" i="1"/>
  <c r="O3673" i="1"/>
  <c r="H3674" i="1"/>
  <c r="L3674" i="1"/>
  <c r="N3674" i="1"/>
  <c r="O3674" i="1"/>
  <c r="H3675" i="1"/>
  <c r="L3675" i="1"/>
  <c r="N3675" i="1"/>
  <c r="O3675" i="1"/>
  <c r="H3676" i="1"/>
  <c r="L3676" i="1"/>
  <c r="N3676" i="1"/>
  <c r="O3676" i="1"/>
  <c r="H3678" i="1"/>
  <c r="L3678" i="1"/>
  <c r="N3678" i="1"/>
  <c r="O3678" i="1"/>
  <c r="H3679" i="1"/>
  <c r="L3679" i="1"/>
  <c r="N3679" i="1"/>
  <c r="O3679" i="1"/>
  <c r="H3680" i="1"/>
  <c r="L3680" i="1"/>
  <c r="N3680" i="1"/>
  <c r="O3680" i="1"/>
  <c r="H3681" i="1"/>
  <c r="L3681" i="1"/>
  <c r="N3681" i="1"/>
  <c r="O3681" i="1"/>
  <c r="H3682" i="1"/>
  <c r="L3682" i="1"/>
  <c r="N3682" i="1"/>
  <c r="O3682" i="1"/>
  <c r="H3683" i="1"/>
  <c r="L3683" i="1"/>
  <c r="N3683" i="1"/>
  <c r="O3683" i="1"/>
  <c r="H3684" i="1"/>
  <c r="L3684" i="1"/>
  <c r="N3684" i="1"/>
  <c r="O3684" i="1"/>
  <c r="H3685" i="1"/>
  <c r="L3685" i="1"/>
  <c r="N3685" i="1"/>
  <c r="O3685" i="1"/>
  <c r="H3686" i="1"/>
  <c r="L3686" i="1"/>
  <c r="N3686" i="1"/>
  <c r="O3686" i="1"/>
  <c r="H3687" i="1"/>
  <c r="L3687" i="1"/>
  <c r="N3687" i="1"/>
  <c r="O3687" i="1"/>
  <c r="H3688" i="1"/>
  <c r="L3688" i="1"/>
  <c r="N3688" i="1"/>
  <c r="O3688" i="1"/>
  <c r="H3689" i="1"/>
  <c r="L3689" i="1"/>
  <c r="N3689" i="1"/>
  <c r="O3689" i="1"/>
  <c r="H3690" i="1"/>
  <c r="L3690" i="1"/>
  <c r="N3690" i="1"/>
  <c r="O3690" i="1"/>
  <c r="H3691" i="1"/>
  <c r="L3691" i="1"/>
  <c r="N3691" i="1"/>
  <c r="O3691" i="1"/>
  <c r="H3692" i="1"/>
  <c r="L3692" i="1"/>
  <c r="N3692" i="1"/>
  <c r="O3692" i="1"/>
  <c r="H3693" i="1"/>
  <c r="L3693" i="1"/>
  <c r="N3693" i="1"/>
  <c r="O3693" i="1"/>
  <c r="H3694" i="1"/>
  <c r="L3694" i="1"/>
  <c r="N3694" i="1"/>
  <c r="O3694" i="1"/>
  <c r="H3695" i="1"/>
  <c r="L3695" i="1"/>
  <c r="N3695" i="1"/>
  <c r="O3695" i="1"/>
  <c r="H3696" i="1"/>
  <c r="L3696" i="1"/>
  <c r="N3696" i="1"/>
  <c r="O3696" i="1"/>
  <c r="H3697" i="1"/>
  <c r="L3697" i="1"/>
  <c r="N3697" i="1"/>
  <c r="O3697" i="1"/>
  <c r="H3698" i="1"/>
  <c r="L3698" i="1"/>
  <c r="N3698" i="1"/>
  <c r="O3698" i="1"/>
  <c r="H3699" i="1"/>
  <c r="L3699" i="1"/>
  <c r="N3699" i="1"/>
  <c r="O3699" i="1"/>
  <c r="H3700" i="1"/>
  <c r="L3700" i="1"/>
  <c r="N3700" i="1"/>
  <c r="O3700" i="1"/>
  <c r="H3701" i="1"/>
  <c r="L3701" i="1"/>
  <c r="N3701" i="1"/>
  <c r="O3701" i="1"/>
  <c r="H3702" i="1"/>
  <c r="L3702" i="1"/>
  <c r="N3702" i="1"/>
  <c r="O3702" i="1"/>
  <c r="H3703" i="1"/>
  <c r="L3703" i="1"/>
  <c r="N3703" i="1"/>
  <c r="O3703" i="1"/>
  <c r="H3704" i="1"/>
  <c r="L3704" i="1"/>
  <c r="N3704" i="1"/>
  <c r="O3704" i="1"/>
  <c r="H3706" i="1"/>
  <c r="L3706" i="1"/>
  <c r="N3706" i="1"/>
  <c r="O3706" i="1"/>
  <c r="H3707" i="1"/>
  <c r="L3707" i="1"/>
  <c r="N3707" i="1"/>
  <c r="O3707" i="1"/>
  <c r="H3708" i="1"/>
  <c r="L3708" i="1"/>
  <c r="N3708" i="1"/>
  <c r="O3708" i="1"/>
  <c r="H3709" i="1"/>
  <c r="L3709" i="1"/>
  <c r="N3709" i="1"/>
  <c r="O3709" i="1"/>
  <c r="H3710" i="1"/>
  <c r="L3710" i="1"/>
  <c r="N3710" i="1"/>
  <c r="O3710" i="1"/>
  <c r="H3711" i="1"/>
  <c r="L3711" i="1"/>
  <c r="N3711" i="1"/>
  <c r="O3711" i="1"/>
  <c r="H3712" i="1"/>
  <c r="L3712" i="1"/>
  <c r="N3712" i="1"/>
  <c r="O3712" i="1"/>
  <c r="H3713" i="1"/>
  <c r="L3713" i="1"/>
  <c r="N3713" i="1"/>
  <c r="O3713" i="1"/>
  <c r="H3714" i="1"/>
  <c r="L3714" i="1"/>
  <c r="N3714" i="1"/>
  <c r="O3714" i="1"/>
  <c r="H3715" i="1"/>
  <c r="L3715" i="1"/>
  <c r="N3715" i="1"/>
  <c r="O3715" i="1"/>
  <c r="H3716" i="1"/>
  <c r="L3716" i="1"/>
  <c r="N3716" i="1"/>
  <c r="O3716" i="1"/>
  <c r="H3717" i="1"/>
  <c r="L3717" i="1"/>
  <c r="N3717" i="1"/>
  <c r="O3717" i="1"/>
  <c r="H3718" i="1"/>
  <c r="L3718" i="1"/>
  <c r="N3718" i="1"/>
  <c r="O3718" i="1"/>
  <c r="H3719" i="1"/>
  <c r="L3719" i="1"/>
  <c r="N3719" i="1"/>
  <c r="O3719" i="1"/>
  <c r="H3720" i="1"/>
  <c r="L3720" i="1"/>
  <c r="N3720" i="1"/>
  <c r="O3720" i="1"/>
  <c r="H3721" i="1"/>
  <c r="L3721" i="1"/>
  <c r="N3721" i="1"/>
  <c r="O3721" i="1"/>
  <c r="H3722" i="1"/>
  <c r="L3722" i="1"/>
  <c r="N3722" i="1"/>
  <c r="O3722" i="1"/>
  <c r="H3723" i="1"/>
  <c r="L3723" i="1"/>
  <c r="N3723" i="1"/>
  <c r="O3723" i="1"/>
  <c r="H3724" i="1"/>
  <c r="L3724" i="1"/>
  <c r="N3724" i="1"/>
  <c r="O3724" i="1"/>
  <c r="H3725" i="1"/>
  <c r="L3725" i="1"/>
  <c r="N3725" i="1"/>
  <c r="O3725" i="1"/>
  <c r="H3726" i="1"/>
  <c r="L3726" i="1"/>
  <c r="N3726" i="1"/>
  <c r="O3726" i="1"/>
  <c r="H3727" i="1"/>
  <c r="L3727" i="1"/>
  <c r="N3727" i="1"/>
  <c r="O3727" i="1"/>
  <c r="H3728" i="1"/>
  <c r="L3728" i="1"/>
  <c r="N3728" i="1"/>
  <c r="O3728" i="1"/>
  <c r="H3730" i="1"/>
  <c r="L3730" i="1"/>
  <c r="N3730" i="1"/>
  <c r="O3730" i="1"/>
  <c r="H3731" i="1"/>
  <c r="L3731" i="1"/>
  <c r="N3731" i="1"/>
  <c r="O3731" i="1"/>
  <c r="H3732" i="1"/>
  <c r="L3732" i="1"/>
  <c r="N3732" i="1"/>
  <c r="O3732" i="1"/>
  <c r="H3733" i="1"/>
  <c r="L3733" i="1"/>
  <c r="N3733" i="1"/>
  <c r="O3733" i="1"/>
  <c r="H3734" i="1"/>
  <c r="L3734" i="1"/>
  <c r="N3734" i="1"/>
  <c r="O3734" i="1"/>
  <c r="H3735" i="1"/>
  <c r="L3735" i="1"/>
  <c r="N3735" i="1"/>
  <c r="O3735" i="1"/>
  <c r="H3736" i="1"/>
  <c r="L3736" i="1"/>
  <c r="N3736" i="1"/>
  <c r="O3736" i="1"/>
  <c r="H3737" i="1"/>
  <c r="L3737" i="1"/>
  <c r="N3737" i="1"/>
  <c r="O3737" i="1"/>
  <c r="H3738" i="1"/>
  <c r="L3738" i="1"/>
  <c r="N3738" i="1"/>
  <c r="O3738" i="1"/>
  <c r="H3739" i="1"/>
  <c r="L3739" i="1"/>
  <c r="N3739" i="1"/>
  <c r="O3739" i="1"/>
  <c r="H3740" i="1"/>
  <c r="L3740" i="1"/>
  <c r="N3740" i="1"/>
  <c r="O3740" i="1"/>
  <c r="H3741" i="1"/>
  <c r="L3741" i="1"/>
  <c r="N3741" i="1"/>
  <c r="O3741" i="1"/>
  <c r="H3742" i="1"/>
  <c r="L3742" i="1"/>
  <c r="N3742" i="1"/>
  <c r="O3742" i="1"/>
  <c r="H3743" i="1"/>
  <c r="L3743" i="1"/>
  <c r="N3743" i="1"/>
  <c r="O3743" i="1"/>
  <c r="H3744" i="1"/>
  <c r="L3744" i="1"/>
  <c r="N3744" i="1"/>
  <c r="O3744" i="1"/>
  <c r="H3745" i="1"/>
  <c r="L3745" i="1"/>
  <c r="N3745" i="1"/>
  <c r="O3745" i="1"/>
  <c r="H3746" i="1"/>
  <c r="L3746" i="1"/>
  <c r="N3746" i="1"/>
  <c r="O3746" i="1"/>
  <c r="H3747" i="1"/>
  <c r="L3747" i="1"/>
  <c r="N3747" i="1"/>
  <c r="O3747" i="1"/>
  <c r="H3748" i="1"/>
  <c r="L3748" i="1"/>
  <c r="N3748" i="1"/>
  <c r="O3748" i="1"/>
  <c r="H3749" i="1"/>
  <c r="L3749" i="1"/>
  <c r="N3749" i="1"/>
  <c r="O3749" i="1"/>
  <c r="H3750" i="1"/>
  <c r="L3750" i="1"/>
  <c r="N3750" i="1"/>
  <c r="O3750" i="1"/>
  <c r="H3751" i="1"/>
  <c r="L3751" i="1"/>
  <c r="N3751" i="1"/>
  <c r="O3751" i="1"/>
  <c r="H3752" i="1"/>
  <c r="L3752" i="1"/>
  <c r="N3752" i="1"/>
  <c r="O3752" i="1"/>
  <c r="H3753" i="1"/>
  <c r="L3753" i="1"/>
  <c r="N3753" i="1"/>
  <c r="O3753" i="1"/>
  <c r="H3754" i="1"/>
  <c r="L3754" i="1"/>
  <c r="N3754" i="1"/>
  <c r="O3754" i="1"/>
  <c r="H3755" i="1"/>
  <c r="L3755" i="1"/>
  <c r="N3755" i="1"/>
  <c r="O3755" i="1"/>
  <c r="H3756" i="1"/>
  <c r="L3756" i="1"/>
  <c r="N3756" i="1"/>
  <c r="O3756" i="1"/>
  <c r="H3757" i="1"/>
  <c r="L3757" i="1"/>
  <c r="N3757" i="1"/>
  <c r="O3757" i="1"/>
  <c r="H3758" i="1"/>
  <c r="L3758" i="1"/>
  <c r="N3758" i="1"/>
  <c r="O3758" i="1"/>
  <c r="H3759" i="1"/>
  <c r="L3759" i="1"/>
  <c r="N3759" i="1"/>
  <c r="O3759" i="1"/>
  <c r="H3760" i="1"/>
  <c r="L3760" i="1"/>
  <c r="N3760" i="1"/>
  <c r="O3760" i="1"/>
  <c r="H3761" i="1"/>
  <c r="L3761" i="1"/>
  <c r="N3761" i="1"/>
  <c r="O3761" i="1"/>
  <c r="H3762" i="1"/>
  <c r="L3762" i="1"/>
  <c r="N3762" i="1"/>
  <c r="O3762" i="1"/>
  <c r="H3763" i="1"/>
  <c r="L3763" i="1"/>
  <c r="N3763" i="1"/>
  <c r="O3763" i="1"/>
  <c r="H3764" i="1"/>
  <c r="L3764" i="1"/>
  <c r="N3764" i="1"/>
  <c r="O3764" i="1"/>
  <c r="H3765" i="1"/>
  <c r="L3765" i="1"/>
  <c r="N3765" i="1"/>
  <c r="O3765" i="1"/>
  <c r="H3767" i="1"/>
  <c r="L3767" i="1"/>
  <c r="N3767" i="1"/>
  <c r="O3767" i="1"/>
  <c r="H3768" i="1"/>
  <c r="L3768" i="1"/>
  <c r="N3768" i="1"/>
  <c r="O3768" i="1"/>
  <c r="H3769" i="1"/>
  <c r="L3769" i="1"/>
  <c r="N3769" i="1"/>
  <c r="O3769" i="1"/>
  <c r="H3770" i="1"/>
  <c r="L3770" i="1"/>
  <c r="N3770" i="1"/>
  <c r="O3770" i="1"/>
  <c r="H3771" i="1"/>
  <c r="L3771" i="1"/>
  <c r="N3771" i="1"/>
  <c r="O3771" i="1"/>
  <c r="H3772" i="1"/>
  <c r="L3772" i="1"/>
  <c r="N3772" i="1"/>
  <c r="O3772" i="1"/>
  <c r="H3773" i="1"/>
  <c r="L3773" i="1"/>
  <c r="N3773" i="1"/>
  <c r="O3773" i="1"/>
  <c r="H3774" i="1"/>
  <c r="L3774" i="1"/>
  <c r="N3774" i="1"/>
  <c r="O3774" i="1"/>
  <c r="H3775" i="1"/>
  <c r="L3775" i="1"/>
  <c r="N3775" i="1"/>
  <c r="O3775" i="1"/>
  <c r="H3776" i="1"/>
  <c r="L3776" i="1"/>
  <c r="N3776" i="1"/>
  <c r="O3776" i="1"/>
  <c r="H3777" i="1"/>
  <c r="L3777" i="1"/>
  <c r="N3777" i="1"/>
  <c r="O3777" i="1"/>
  <c r="H3778" i="1"/>
  <c r="L3778" i="1"/>
  <c r="N3778" i="1"/>
  <c r="O3778" i="1"/>
  <c r="H3779" i="1"/>
  <c r="L3779" i="1"/>
  <c r="N3779" i="1"/>
  <c r="O3779" i="1"/>
  <c r="H3780" i="1"/>
  <c r="L3780" i="1"/>
  <c r="N3780" i="1"/>
  <c r="O3780" i="1"/>
  <c r="H3781" i="1"/>
  <c r="L3781" i="1"/>
  <c r="N3781" i="1"/>
  <c r="O3781" i="1"/>
  <c r="H3782" i="1"/>
  <c r="L3782" i="1"/>
  <c r="N3782" i="1"/>
  <c r="O3782" i="1"/>
  <c r="H3784" i="1"/>
  <c r="L3784" i="1"/>
  <c r="N3784" i="1"/>
  <c r="O3784" i="1"/>
  <c r="H3785" i="1"/>
  <c r="L3785" i="1"/>
  <c r="N3785" i="1"/>
  <c r="O3785" i="1"/>
  <c r="H3786" i="1"/>
  <c r="L3786" i="1"/>
  <c r="N3786" i="1"/>
  <c r="O3786" i="1"/>
  <c r="H3787" i="1"/>
  <c r="L3787" i="1"/>
  <c r="N3787" i="1"/>
  <c r="O3787" i="1"/>
  <c r="H3788" i="1"/>
  <c r="L3788" i="1"/>
  <c r="N3788" i="1"/>
  <c r="O3788" i="1"/>
  <c r="H3789" i="1"/>
  <c r="L3789" i="1"/>
  <c r="N3789" i="1"/>
  <c r="O3789" i="1"/>
  <c r="H3790" i="1"/>
  <c r="L3790" i="1"/>
  <c r="N3790" i="1"/>
  <c r="O3790" i="1"/>
  <c r="H3791" i="1"/>
  <c r="L3791" i="1"/>
  <c r="N3791" i="1"/>
  <c r="O3791" i="1"/>
  <c r="H3792" i="1"/>
  <c r="L3792" i="1"/>
  <c r="N3792" i="1"/>
  <c r="O3792" i="1"/>
  <c r="H3793" i="1"/>
  <c r="L3793" i="1"/>
  <c r="N3793" i="1"/>
  <c r="O3793" i="1"/>
  <c r="H3794" i="1"/>
  <c r="L3794" i="1"/>
  <c r="N3794" i="1"/>
  <c r="O3794" i="1"/>
  <c r="H3795" i="1"/>
  <c r="L3795" i="1"/>
  <c r="N3795" i="1"/>
  <c r="O3795" i="1"/>
  <c r="H3796" i="1"/>
  <c r="L3796" i="1"/>
  <c r="N3796" i="1"/>
  <c r="O3796" i="1"/>
  <c r="H3797" i="1"/>
  <c r="L3797" i="1"/>
  <c r="N3797" i="1"/>
  <c r="O3797" i="1"/>
  <c r="H3798" i="1"/>
  <c r="L3798" i="1"/>
  <c r="N3798" i="1"/>
  <c r="O3798" i="1"/>
  <c r="H3799" i="1"/>
  <c r="L3799" i="1"/>
  <c r="N3799" i="1"/>
  <c r="O3799" i="1"/>
  <c r="H3800" i="1"/>
  <c r="L3800" i="1"/>
  <c r="N3800" i="1"/>
  <c r="O3800" i="1"/>
  <c r="H3801" i="1"/>
  <c r="L3801" i="1"/>
  <c r="N3801" i="1"/>
  <c r="O3801" i="1"/>
  <c r="H3802" i="1"/>
  <c r="L3802" i="1"/>
  <c r="N3802" i="1"/>
  <c r="O3802" i="1"/>
  <c r="H3803" i="1"/>
  <c r="L3803" i="1"/>
  <c r="N3803" i="1"/>
  <c r="O3803" i="1"/>
  <c r="H3804" i="1"/>
  <c r="L3804" i="1"/>
  <c r="N3804" i="1"/>
  <c r="O3804" i="1"/>
  <c r="H3805" i="1"/>
  <c r="L3805" i="1"/>
  <c r="N3805" i="1"/>
  <c r="O3805" i="1"/>
  <c r="H3807" i="1"/>
  <c r="L3807" i="1"/>
  <c r="N3807" i="1"/>
  <c r="O3807" i="1"/>
  <c r="H3808" i="1"/>
  <c r="L3808" i="1"/>
  <c r="N3808" i="1"/>
  <c r="O3808" i="1"/>
  <c r="H3809" i="1"/>
  <c r="L3809" i="1"/>
  <c r="N3809" i="1"/>
  <c r="O3809" i="1"/>
  <c r="H3811" i="1"/>
  <c r="L3811" i="1"/>
  <c r="N3811" i="1"/>
  <c r="O3811" i="1"/>
  <c r="H3812" i="1"/>
  <c r="L3812" i="1"/>
  <c r="N3812" i="1"/>
  <c r="O3812" i="1"/>
  <c r="H3813" i="1"/>
  <c r="L3813" i="1"/>
  <c r="N3813" i="1"/>
  <c r="O3813" i="1"/>
  <c r="H3814" i="1"/>
  <c r="L3814" i="1"/>
  <c r="N3814" i="1"/>
  <c r="O3814" i="1"/>
  <c r="H3815" i="1"/>
  <c r="L3815" i="1"/>
  <c r="N3815" i="1"/>
  <c r="O3815" i="1"/>
  <c r="H3816" i="1"/>
  <c r="L3816" i="1"/>
  <c r="N3816" i="1"/>
  <c r="O3816" i="1"/>
  <c r="H3817" i="1"/>
  <c r="L3817" i="1"/>
  <c r="N3817" i="1"/>
  <c r="O3817" i="1"/>
  <c r="H3818" i="1"/>
  <c r="L3818" i="1"/>
  <c r="N3818" i="1"/>
  <c r="O3818" i="1"/>
  <c r="H3820" i="1"/>
  <c r="L3820" i="1"/>
  <c r="N3820" i="1"/>
  <c r="O3820" i="1"/>
  <c r="H3821" i="1"/>
  <c r="L3821" i="1"/>
  <c r="N3821" i="1"/>
  <c r="O3821" i="1"/>
  <c r="H3822" i="1"/>
  <c r="L3822" i="1"/>
  <c r="N3822" i="1"/>
  <c r="O3822" i="1"/>
  <c r="H3823" i="1"/>
  <c r="L3823" i="1"/>
  <c r="N3823" i="1"/>
  <c r="O3823" i="1"/>
  <c r="H3824" i="1"/>
  <c r="L3824" i="1"/>
  <c r="N3824" i="1"/>
  <c r="O3824" i="1"/>
  <c r="H3825" i="1"/>
  <c r="L3825" i="1"/>
  <c r="N3825" i="1"/>
  <c r="O3825" i="1"/>
  <c r="H3826" i="1"/>
  <c r="L3826" i="1"/>
  <c r="N3826" i="1"/>
  <c r="O3826" i="1"/>
  <c r="H3827" i="1"/>
  <c r="L3827" i="1"/>
  <c r="N3827" i="1"/>
  <c r="O3827" i="1"/>
  <c r="H3828" i="1"/>
  <c r="L3828" i="1"/>
  <c r="N3828" i="1"/>
  <c r="O3828" i="1"/>
  <c r="H3829" i="1"/>
  <c r="L3829" i="1"/>
  <c r="N3829" i="1"/>
  <c r="O3829" i="1"/>
  <c r="H3830" i="1"/>
  <c r="L3830" i="1"/>
  <c r="N3830" i="1"/>
  <c r="O3830" i="1"/>
  <c r="H3831" i="1"/>
  <c r="L3831" i="1"/>
  <c r="N3831" i="1"/>
  <c r="O3831" i="1"/>
  <c r="H3832" i="1"/>
  <c r="L3832" i="1"/>
  <c r="N3832" i="1"/>
  <c r="O3832" i="1"/>
  <c r="H3833" i="1"/>
  <c r="L3833" i="1"/>
  <c r="N3833" i="1"/>
  <c r="O3833" i="1"/>
  <c r="H3834" i="1"/>
  <c r="L3834" i="1"/>
  <c r="N3834" i="1"/>
  <c r="O3834" i="1"/>
  <c r="H3835" i="1"/>
  <c r="L3835" i="1"/>
  <c r="N3835" i="1"/>
  <c r="O3835" i="1"/>
  <c r="H3836" i="1"/>
  <c r="L3836" i="1"/>
  <c r="N3836" i="1"/>
  <c r="O3836" i="1"/>
  <c r="H3837" i="1"/>
  <c r="L3837" i="1"/>
  <c r="N3837" i="1"/>
  <c r="O3837" i="1"/>
  <c r="H3838" i="1"/>
  <c r="L3838" i="1"/>
  <c r="N3838" i="1"/>
  <c r="O3838" i="1"/>
  <c r="H3839" i="1"/>
  <c r="L3839" i="1"/>
  <c r="N3839" i="1"/>
  <c r="O3839" i="1"/>
  <c r="H3840" i="1"/>
  <c r="L3840" i="1"/>
  <c r="N3840" i="1"/>
  <c r="O3840" i="1"/>
  <c r="H3841" i="1"/>
  <c r="L3841" i="1"/>
  <c r="N3841" i="1"/>
  <c r="O3841" i="1"/>
  <c r="H3842" i="1"/>
  <c r="L3842" i="1"/>
  <c r="N3842" i="1"/>
  <c r="O3842" i="1"/>
  <c r="H3843" i="1"/>
  <c r="L3843" i="1"/>
  <c r="N3843" i="1"/>
  <c r="O3843" i="1"/>
  <c r="H3844" i="1"/>
  <c r="L3844" i="1"/>
  <c r="N3844" i="1"/>
  <c r="O3844" i="1"/>
  <c r="H3845" i="1"/>
  <c r="L3845" i="1"/>
  <c r="N3845" i="1"/>
  <c r="O3845" i="1"/>
  <c r="H3846" i="1"/>
  <c r="L3846" i="1"/>
  <c r="N3846" i="1"/>
  <c r="O3846" i="1"/>
  <c r="H3847" i="1"/>
  <c r="L3847" i="1"/>
  <c r="N3847" i="1"/>
  <c r="O3847" i="1"/>
  <c r="H3848" i="1"/>
  <c r="L3848" i="1"/>
  <c r="N3848" i="1"/>
  <c r="O3848" i="1"/>
  <c r="H3849" i="1"/>
  <c r="L3849" i="1"/>
  <c r="N3849" i="1"/>
  <c r="O3849" i="1"/>
  <c r="H3850" i="1"/>
  <c r="L3850" i="1"/>
  <c r="N3850" i="1"/>
  <c r="O3850" i="1"/>
  <c r="H3851" i="1"/>
  <c r="L3851" i="1"/>
  <c r="N3851" i="1"/>
  <c r="O3851" i="1"/>
  <c r="H3852" i="1"/>
  <c r="L3852" i="1"/>
  <c r="N3852" i="1"/>
  <c r="O3852" i="1"/>
  <c r="H3853" i="1"/>
  <c r="L3853" i="1"/>
  <c r="N3853" i="1"/>
  <c r="O3853" i="1"/>
  <c r="L3854" i="1"/>
  <c r="N3854" i="1"/>
  <c r="O3854" i="1"/>
  <c r="H3855" i="1"/>
  <c r="L3855" i="1"/>
  <c r="N3855" i="1"/>
  <c r="O3855" i="1"/>
  <c r="H3856" i="1"/>
  <c r="L3856" i="1"/>
  <c r="N3856" i="1"/>
  <c r="O3856" i="1"/>
  <c r="H3857" i="1"/>
  <c r="L3857" i="1"/>
  <c r="N3857" i="1"/>
  <c r="O3857" i="1"/>
  <c r="H3858" i="1"/>
  <c r="L3858" i="1"/>
  <c r="N3858" i="1"/>
  <c r="O3858" i="1"/>
  <c r="H3859" i="1"/>
  <c r="L3859" i="1"/>
  <c r="N3859" i="1"/>
  <c r="O3859" i="1"/>
  <c r="H3860" i="1"/>
  <c r="L3860" i="1"/>
  <c r="N3860" i="1"/>
  <c r="O3860" i="1"/>
  <c r="H3861" i="1"/>
  <c r="L3861" i="1"/>
  <c r="N3861" i="1"/>
  <c r="O3861" i="1"/>
  <c r="H3862" i="1"/>
  <c r="L3862" i="1"/>
  <c r="N3862" i="1"/>
  <c r="O3862" i="1"/>
  <c r="H3863" i="1"/>
  <c r="L3863" i="1"/>
  <c r="N3863" i="1"/>
  <c r="O3863" i="1"/>
  <c r="H3864" i="1"/>
  <c r="L3864" i="1"/>
  <c r="N3864" i="1"/>
  <c r="O3864" i="1"/>
  <c r="H3865" i="1"/>
  <c r="L3865" i="1"/>
  <c r="N3865" i="1"/>
  <c r="O3865" i="1"/>
  <c r="H3866" i="1"/>
  <c r="L3866" i="1"/>
  <c r="N3866" i="1"/>
  <c r="O3866" i="1"/>
  <c r="H3867" i="1"/>
  <c r="L3867" i="1"/>
  <c r="N3867" i="1"/>
  <c r="O3867" i="1"/>
  <c r="H3868" i="1"/>
  <c r="L3868" i="1"/>
  <c r="N3868" i="1"/>
  <c r="O3868" i="1"/>
  <c r="H3869" i="1"/>
  <c r="L3869" i="1"/>
  <c r="N3869" i="1"/>
  <c r="O3869" i="1"/>
  <c r="H3870" i="1"/>
  <c r="L3870" i="1"/>
  <c r="N3870" i="1"/>
  <c r="O3870" i="1"/>
  <c r="H3871" i="1"/>
  <c r="L3871" i="1"/>
  <c r="N3871" i="1"/>
  <c r="O3871" i="1"/>
  <c r="H3872" i="1"/>
  <c r="L3872" i="1"/>
  <c r="N3872" i="1"/>
  <c r="O3872" i="1"/>
  <c r="H3873" i="1"/>
  <c r="L3873" i="1"/>
  <c r="N3873" i="1"/>
  <c r="O3873" i="1"/>
  <c r="H3874" i="1"/>
  <c r="L3874" i="1"/>
  <c r="N3874" i="1"/>
  <c r="O3874" i="1"/>
  <c r="H3875" i="1"/>
  <c r="L3875" i="1"/>
  <c r="N3875" i="1"/>
  <c r="O3875" i="1"/>
  <c r="H3876" i="1"/>
  <c r="L3876" i="1"/>
  <c r="N3876" i="1"/>
  <c r="O3876" i="1"/>
  <c r="H3877" i="1"/>
  <c r="L3877" i="1"/>
  <c r="N3877" i="1"/>
  <c r="O3877" i="1"/>
  <c r="H3878" i="1"/>
  <c r="L3878" i="1"/>
  <c r="N3878" i="1"/>
  <c r="O3878" i="1"/>
  <c r="H3879" i="1"/>
  <c r="L3879" i="1"/>
  <c r="N3879" i="1"/>
  <c r="O3879" i="1"/>
  <c r="H3880" i="1"/>
  <c r="L3880" i="1"/>
  <c r="N3880" i="1"/>
  <c r="O3880" i="1"/>
  <c r="H3881" i="1"/>
  <c r="L3881" i="1"/>
  <c r="N3881" i="1"/>
  <c r="O3881" i="1"/>
  <c r="H3882" i="1"/>
  <c r="L3882" i="1"/>
  <c r="N3882" i="1"/>
  <c r="O3882" i="1"/>
  <c r="H3883" i="1"/>
  <c r="L3883" i="1"/>
  <c r="N3883" i="1"/>
  <c r="O3883" i="1"/>
  <c r="H3884" i="1"/>
  <c r="L3884" i="1"/>
  <c r="N3884" i="1"/>
  <c r="O3884" i="1"/>
  <c r="H3885" i="1"/>
  <c r="L3885" i="1"/>
  <c r="N3885" i="1"/>
  <c r="O3885" i="1"/>
  <c r="H3886" i="1"/>
  <c r="L3886" i="1"/>
  <c r="N3886" i="1"/>
  <c r="O3886" i="1"/>
  <c r="H3887" i="1"/>
  <c r="L3887" i="1"/>
  <c r="N3887" i="1"/>
  <c r="O3887" i="1"/>
  <c r="H3888" i="1"/>
  <c r="L3888" i="1"/>
  <c r="N3888" i="1"/>
  <c r="O3888" i="1"/>
  <c r="H3889" i="1"/>
  <c r="L3889" i="1"/>
  <c r="N3889" i="1"/>
  <c r="O3889" i="1"/>
  <c r="H3890" i="1"/>
  <c r="L3890" i="1"/>
  <c r="N3890" i="1"/>
  <c r="O3890" i="1"/>
  <c r="H3891" i="1"/>
  <c r="L3891" i="1"/>
  <c r="N3891" i="1"/>
  <c r="O3891" i="1"/>
  <c r="H3892" i="1"/>
  <c r="L3892" i="1"/>
  <c r="N3892" i="1"/>
  <c r="O3892" i="1"/>
  <c r="H3893" i="1"/>
  <c r="L3893" i="1"/>
  <c r="N3893" i="1"/>
  <c r="O3893" i="1"/>
  <c r="H3894" i="1"/>
  <c r="L3894" i="1"/>
  <c r="N3894" i="1"/>
  <c r="O3894" i="1"/>
  <c r="H3895" i="1"/>
  <c r="L3895" i="1"/>
  <c r="N3895" i="1"/>
  <c r="O3895" i="1"/>
  <c r="H3897" i="1"/>
  <c r="L3897" i="1"/>
  <c r="N3897" i="1"/>
  <c r="O3897" i="1"/>
  <c r="H3898" i="1"/>
  <c r="L3898" i="1"/>
  <c r="N3898" i="1"/>
  <c r="O3898" i="1"/>
  <c r="H3899" i="1"/>
  <c r="L3899" i="1"/>
  <c r="N3899" i="1"/>
  <c r="O3899" i="1"/>
  <c r="H3900" i="1"/>
  <c r="L3900" i="1"/>
  <c r="N3900" i="1"/>
  <c r="O3900" i="1"/>
  <c r="H3901" i="1"/>
  <c r="L3901" i="1"/>
  <c r="N3901" i="1"/>
  <c r="O3901" i="1"/>
  <c r="H3902" i="1"/>
  <c r="L3902" i="1"/>
  <c r="N3902" i="1"/>
  <c r="O3902" i="1"/>
  <c r="H3903" i="1"/>
  <c r="L3903" i="1"/>
  <c r="N3903" i="1"/>
  <c r="O3903" i="1"/>
  <c r="H3904" i="1"/>
  <c r="L3904" i="1"/>
  <c r="N3904" i="1"/>
  <c r="O3904" i="1"/>
  <c r="H3905" i="1"/>
  <c r="L3905" i="1"/>
  <c r="N3905" i="1"/>
  <c r="O3905" i="1"/>
  <c r="H3906" i="1"/>
  <c r="L3906" i="1"/>
  <c r="N3906" i="1"/>
  <c r="O3906" i="1"/>
  <c r="H3907" i="1"/>
  <c r="L3907" i="1"/>
  <c r="N3907" i="1"/>
  <c r="O3907" i="1"/>
  <c r="H3908" i="1"/>
  <c r="L3908" i="1"/>
  <c r="N3908" i="1"/>
  <c r="O3908" i="1"/>
  <c r="H3909" i="1"/>
  <c r="L3909" i="1"/>
  <c r="N3909" i="1"/>
  <c r="O3909" i="1"/>
  <c r="H3910" i="1"/>
  <c r="L3910" i="1"/>
  <c r="N3910" i="1"/>
  <c r="O3910" i="1"/>
  <c r="H3911" i="1"/>
  <c r="L3911" i="1"/>
  <c r="N3911" i="1"/>
  <c r="O3911" i="1"/>
  <c r="H3912" i="1"/>
  <c r="L3912" i="1"/>
  <c r="N3912" i="1"/>
  <c r="O3912" i="1"/>
  <c r="H3914" i="1"/>
  <c r="L3914" i="1"/>
  <c r="N3914" i="1"/>
  <c r="O3914" i="1"/>
  <c r="H3915" i="1"/>
  <c r="L3915" i="1"/>
  <c r="N3915" i="1"/>
  <c r="O3915" i="1"/>
  <c r="H3916" i="1"/>
  <c r="L3916" i="1"/>
  <c r="N3916" i="1"/>
  <c r="O3916" i="1"/>
  <c r="H3917" i="1"/>
  <c r="L3917" i="1"/>
  <c r="N3917" i="1"/>
  <c r="O3917" i="1"/>
  <c r="H3918" i="1"/>
  <c r="L3918" i="1"/>
  <c r="N3918" i="1"/>
  <c r="O3918" i="1"/>
  <c r="H3919" i="1"/>
  <c r="L3919" i="1"/>
  <c r="N3919" i="1"/>
  <c r="O3919" i="1"/>
  <c r="H3920" i="1"/>
  <c r="L3920" i="1"/>
  <c r="N3920" i="1"/>
  <c r="O3920" i="1"/>
  <c r="H3921" i="1"/>
  <c r="L3921" i="1"/>
  <c r="N3921" i="1"/>
  <c r="O3921" i="1"/>
  <c r="H3922" i="1"/>
  <c r="L3922" i="1"/>
  <c r="N3922" i="1"/>
  <c r="O3922" i="1"/>
  <c r="H3923" i="1"/>
  <c r="L3923" i="1"/>
  <c r="N3923" i="1"/>
  <c r="O3923" i="1"/>
  <c r="H3924" i="1"/>
  <c r="L3924" i="1"/>
  <c r="N3924" i="1"/>
  <c r="O3924" i="1"/>
  <c r="L3925" i="1"/>
  <c r="N3925" i="1"/>
  <c r="O3925" i="1"/>
  <c r="H3927" i="1"/>
  <c r="L3927" i="1"/>
  <c r="N3927" i="1"/>
  <c r="O3927" i="1"/>
  <c r="H3928" i="1"/>
  <c r="L3928" i="1"/>
  <c r="N3928" i="1"/>
  <c r="O3928" i="1"/>
  <c r="H3929" i="1"/>
  <c r="L3929" i="1"/>
  <c r="N3929" i="1"/>
  <c r="O3929" i="1"/>
  <c r="H3930" i="1"/>
  <c r="L3930" i="1"/>
  <c r="N3930" i="1"/>
  <c r="O3930" i="1"/>
  <c r="H3932" i="1"/>
  <c r="L3932" i="1"/>
  <c r="N3932" i="1"/>
  <c r="O3932" i="1"/>
  <c r="H3933" i="1"/>
  <c r="L3933" i="1"/>
  <c r="N3933" i="1"/>
  <c r="O3933" i="1"/>
  <c r="H3934" i="1"/>
  <c r="L3934" i="1"/>
  <c r="N3934" i="1"/>
  <c r="O3934" i="1"/>
  <c r="H3935" i="1"/>
  <c r="L3935" i="1"/>
  <c r="N3935" i="1"/>
  <c r="O3935" i="1"/>
  <c r="H3936" i="1"/>
  <c r="L3936" i="1"/>
  <c r="N3936" i="1"/>
  <c r="O3936" i="1"/>
  <c r="H3938" i="1"/>
  <c r="L3938" i="1"/>
  <c r="N3938" i="1"/>
  <c r="O3938" i="1"/>
  <c r="H3939" i="1"/>
  <c r="L3939" i="1"/>
  <c r="N3939" i="1"/>
  <c r="O3939" i="1"/>
  <c r="H3940" i="1"/>
  <c r="L3940" i="1"/>
  <c r="N3940" i="1"/>
  <c r="O3940" i="1"/>
  <c r="H3941" i="1"/>
  <c r="L3941" i="1"/>
  <c r="N3941" i="1"/>
  <c r="O3941" i="1"/>
  <c r="H3942" i="1"/>
  <c r="L3942" i="1"/>
  <c r="N3942" i="1"/>
  <c r="O3942" i="1"/>
  <c r="H3943" i="1"/>
  <c r="L3943" i="1"/>
  <c r="N3943" i="1"/>
  <c r="O3943" i="1"/>
  <c r="H3944" i="1"/>
  <c r="L3944" i="1"/>
  <c r="N3944" i="1"/>
  <c r="O3944" i="1"/>
  <c r="H3945" i="1"/>
  <c r="L3945" i="1"/>
  <c r="N3945" i="1"/>
  <c r="O3945" i="1"/>
  <c r="H3947" i="1"/>
  <c r="L3947" i="1"/>
  <c r="N3947" i="1"/>
  <c r="O3947" i="1"/>
  <c r="H3948" i="1"/>
  <c r="L3948" i="1"/>
  <c r="N3948" i="1"/>
  <c r="O3948" i="1"/>
  <c r="H3949" i="1"/>
  <c r="L3949" i="1"/>
  <c r="N3949" i="1"/>
  <c r="O3949" i="1"/>
  <c r="H3950" i="1"/>
  <c r="L3950" i="1"/>
  <c r="N3950" i="1"/>
  <c r="O3950" i="1"/>
  <c r="H3951" i="1"/>
  <c r="L3951" i="1"/>
  <c r="N3951" i="1"/>
  <c r="O3951" i="1"/>
  <c r="H3952" i="1"/>
  <c r="L3952" i="1"/>
  <c r="N3952" i="1"/>
  <c r="O3952" i="1"/>
  <c r="H3953" i="1"/>
  <c r="L3953" i="1"/>
  <c r="N3953" i="1"/>
  <c r="O3953" i="1"/>
  <c r="H3954" i="1"/>
  <c r="L3954" i="1"/>
  <c r="N3954" i="1"/>
  <c r="O3954" i="1"/>
  <c r="H3955" i="1"/>
  <c r="L3955" i="1"/>
  <c r="N3955" i="1"/>
  <c r="O3955" i="1"/>
  <c r="H3956" i="1"/>
  <c r="L3956" i="1"/>
  <c r="N3956" i="1"/>
  <c r="O3956" i="1"/>
  <c r="H3957" i="1"/>
  <c r="L3957" i="1"/>
  <c r="N3957" i="1"/>
  <c r="O3957" i="1"/>
  <c r="H3958" i="1"/>
  <c r="L3958" i="1"/>
  <c r="N3958" i="1"/>
  <c r="O3958" i="1"/>
  <c r="H3959" i="1"/>
  <c r="L3959" i="1"/>
  <c r="N3959" i="1"/>
  <c r="O3959" i="1"/>
  <c r="H3960" i="1"/>
  <c r="L3960" i="1"/>
  <c r="N3960" i="1"/>
  <c r="O3960" i="1"/>
  <c r="H3961" i="1"/>
  <c r="L3961" i="1"/>
  <c r="N3961" i="1"/>
  <c r="O3961" i="1"/>
  <c r="H3962" i="1"/>
  <c r="L3962" i="1"/>
  <c r="N3962" i="1"/>
  <c r="O3962" i="1"/>
  <c r="H3963" i="1"/>
  <c r="L3963" i="1"/>
  <c r="N3963" i="1"/>
  <c r="O3963" i="1"/>
  <c r="H3964" i="1"/>
  <c r="L3964" i="1"/>
  <c r="N3964" i="1"/>
  <c r="O3964" i="1"/>
  <c r="H3966" i="1"/>
  <c r="L3966" i="1"/>
  <c r="N3966" i="1"/>
  <c r="O3966" i="1"/>
  <c r="H3967" i="1"/>
  <c r="L3967" i="1"/>
  <c r="N3967" i="1"/>
  <c r="O3967" i="1"/>
  <c r="H3968" i="1"/>
  <c r="L3968" i="1"/>
  <c r="N3968" i="1"/>
  <c r="O3968" i="1"/>
  <c r="H3969" i="1"/>
  <c r="L3969" i="1"/>
  <c r="N3969" i="1"/>
  <c r="O3969" i="1"/>
  <c r="H3970" i="1"/>
  <c r="L3970" i="1"/>
  <c r="N3970" i="1"/>
  <c r="O3970" i="1"/>
  <c r="H3971" i="1"/>
  <c r="L3971" i="1"/>
  <c r="N3971" i="1"/>
  <c r="O3971" i="1"/>
  <c r="H3972" i="1"/>
  <c r="L3972" i="1"/>
  <c r="N3972" i="1"/>
  <c r="O3972" i="1"/>
  <c r="H3973" i="1"/>
  <c r="L3973" i="1"/>
  <c r="N3973" i="1"/>
  <c r="O3973" i="1"/>
  <c r="H3974" i="1"/>
  <c r="L3974" i="1"/>
  <c r="N3974" i="1"/>
  <c r="O3974" i="1"/>
  <c r="H3975" i="1"/>
  <c r="L3975" i="1"/>
  <c r="N3975" i="1"/>
  <c r="O3975" i="1"/>
  <c r="H3976" i="1"/>
  <c r="L3976" i="1"/>
  <c r="N3976" i="1"/>
  <c r="O3976" i="1"/>
  <c r="H3977" i="1"/>
  <c r="L3977" i="1"/>
  <c r="N3977" i="1"/>
  <c r="O3977" i="1"/>
  <c r="H3978" i="1"/>
  <c r="L3978" i="1"/>
  <c r="N3978" i="1"/>
  <c r="O3978" i="1"/>
  <c r="H3979" i="1"/>
  <c r="L3979" i="1"/>
  <c r="N3979" i="1"/>
  <c r="O3979" i="1"/>
  <c r="H3980" i="1"/>
  <c r="L3980" i="1"/>
  <c r="N3980" i="1"/>
  <c r="O3980" i="1"/>
  <c r="H3981" i="1"/>
  <c r="L3981" i="1"/>
  <c r="N3981" i="1"/>
  <c r="O3981" i="1"/>
  <c r="H3982" i="1"/>
  <c r="L3982" i="1"/>
  <c r="N3982" i="1"/>
  <c r="O3982" i="1"/>
  <c r="H3983" i="1"/>
  <c r="L3983" i="1"/>
  <c r="N3983" i="1"/>
  <c r="O3983" i="1"/>
  <c r="H3984" i="1"/>
  <c r="L3984" i="1"/>
  <c r="N3984" i="1"/>
  <c r="O3984" i="1"/>
  <c r="H3985" i="1"/>
  <c r="L3985" i="1"/>
  <c r="N3985" i="1"/>
  <c r="O3985" i="1"/>
  <c r="H3986" i="1"/>
  <c r="L3986" i="1"/>
  <c r="N3986" i="1"/>
  <c r="O3986" i="1"/>
  <c r="H3987" i="1"/>
  <c r="L3987" i="1"/>
  <c r="N3987" i="1"/>
  <c r="O3987" i="1"/>
  <c r="H3988" i="1"/>
  <c r="L3988" i="1"/>
  <c r="N3988" i="1"/>
  <c r="O3988" i="1"/>
  <c r="H3989" i="1"/>
  <c r="L3989" i="1"/>
  <c r="N3989" i="1"/>
  <c r="O3989" i="1"/>
  <c r="H3990" i="1"/>
  <c r="L3990" i="1"/>
  <c r="N3990" i="1"/>
  <c r="O3990" i="1"/>
  <c r="H3991" i="1"/>
  <c r="L3991" i="1"/>
  <c r="N3991" i="1"/>
  <c r="O3991" i="1"/>
  <c r="H3992" i="1"/>
  <c r="L3992" i="1"/>
  <c r="N3992" i="1"/>
  <c r="O3992" i="1"/>
  <c r="H3993" i="1"/>
  <c r="L3993" i="1"/>
  <c r="N3993" i="1"/>
  <c r="O3993" i="1"/>
  <c r="H3994" i="1"/>
  <c r="L3994" i="1"/>
  <c r="N3994" i="1"/>
  <c r="O3994" i="1"/>
  <c r="H3995" i="1"/>
  <c r="L3995" i="1"/>
  <c r="N3995" i="1"/>
  <c r="O3995" i="1"/>
  <c r="H3996" i="1"/>
  <c r="L3996" i="1"/>
  <c r="N3996" i="1"/>
  <c r="O3996" i="1"/>
  <c r="H3997" i="1"/>
  <c r="L3997" i="1"/>
  <c r="N3997" i="1"/>
  <c r="O3997" i="1"/>
  <c r="H3998" i="1"/>
  <c r="L3998" i="1"/>
  <c r="N3998" i="1"/>
  <c r="O3998" i="1"/>
  <c r="H3999" i="1"/>
  <c r="L3999" i="1"/>
  <c r="N3999" i="1"/>
  <c r="O3999" i="1"/>
  <c r="H4000" i="1"/>
  <c r="L4000" i="1"/>
  <c r="N4000" i="1"/>
  <c r="O4000" i="1"/>
  <c r="H4001" i="1"/>
  <c r="L4001" i="1"/>
  <c r="N4001" i="1"/>
  <c r="O4001" i="1"/>
  <c r="H4002" i="1"/>
  <c r="L4002" i="1"/>
  <c r="N4002" i="1"/>
  <c r="O4002" i="1"/>
  <c r="H4003" i="1"/>
  <c r="L4003" i="1"/>
  <c r="N4003" i="1"/>
  <c r="O4003" i="1"/>
  <c r="H4004" i="1"/>
  <c r="L4004" i="1"/>
  <c r="N4004" i="1"/>
  <c r="O4004" i="1"/>
  <c r="H4005" i="1"/>
  <c r="L4005" i="1"/>
  <c r="N4005" i="1"/>
  <c r="O4005" i="1"/>
  <c r="H4006" i="1"/>
  <c r="L4006" i="1"/>
  <c r="N4006" i="1"/>
  <c r="O4006" i="1"/>
  <c r="H4007" i="1"/>
  <c r="L4007" i="1"/>
  <c r="N4007" i="1"/>
  <c r="O4007" i="1"/>
  <c r="H4008" i="1"/>
  <c r="L4008" i="1"/>
  <c r="N4008" i="1"/>
  <c r="O4008" i="1"/>
  <c r="H4009" i="1"/>
  <c r="L4009" i="1"/>
  <c r="N4009" i="1"/>
  <c r="O4009" i="1"/>
  <c r="H4010" i="1"/>
  <c r="L4010" i="1"/>
  <c r="N4010" i="1"/>
  <c r="O4010" i="1"/>
  <c r="H4011" i="1"/>
  <c r="L4011" i="1"/>
  <c r="N4011" i="1"/>
  <c r="O4011" i="1"/>
  <c r="H4012" i="1"/>
  <c r="L4012" i="1"/>
  <c r="N4012" i="1"/>
  <c r="O4012" i="1"/>
  <c r="H4013" i="1"/>
  <c r="L4013" i="1"/>
  <c r="N4013" i="1"/>
  <c r="O4013" i="1"/>
  <c r="H4014" i="1"/>
  <c r="L4014" i="1"/>
  <c r="N4014" i="1"/>
  <c r="O4014" i="1"/>
  <c r="H4015" i="1"/>
  <c r="L4015" i="1"/>
  <c r="N4015" i="1"/>
  <c r="O4015" i="1"/>
  <c r="H4016" i="1"/>
  <c r="L4016" i="1"/>
  <c r="N4016" i="1"/>
  <c r="O4016" i="1"/>
  <c r="H4017" i="1"/>
  <c r="L4017" i="1"/>
  <c r="N4017" i="1"/>
  <c r="O4017" i="1"/>
  <c r="H4018" i="1"/>
  <c r="L4018" i="1"/>
  <c r="N4018" i="1"/>
  <c r="O4018" i="1"/>
  <c r="H4019" i="1"/>
  <c r="L4019" i="1"/>
  <c r="N4019" i="1"/>
  <c r="O4019" i="1"/>
  <c r="H4020" i="1"/>
  <c r="L4020" i="1"/>
  <c r="N4020" i="1"/>
  <c r="O4020" i="1"/>
  <c r="H4021" i="1"/>
  <c r="L4021" i="1"/>
  <c r="N4021" i="1"/>
  <c r="O4021" i="1"/>
  <c r="H4022" i="1"/>
  <c r="L4022" i="1"/>
  <c r="N4022" i="1"/>
  <c r="O4022" i="1"/>
  <c r="H4023" i="1"/>
  <c r="L4023" i="1"/>
  <c r="N4023" i="1"/>
  <c r="O4023" i="1"/>
  <c r="H4024" i="1"/>
  <c r="L4024" i="1"/>
  <c r="N4024" i="1"/>
  <c r="O4024" i="1"/>
  <c r="H4025" i="1"/>
  <c r="L4025" i="1"/>
  <c r="N4025" i="1"/>
  <c r="O4025" i="1"/>
  <c r="H4026" i="1"/>
  <c r="L4026" i="1"/>
  <c r="N4026" i="1"/>
  <c r="O4026" i="1"/>
  <c r="H4027" i="1"/>
  <c r="L4027" i="1"/>
  <c r="N4027" i="1"/>
  <c r="O4027" i="1"/>
  <c r="H4028" i="1"/>
  <c r="L4028" i="1"/>
  <c r="N4028" i="1"/>
  <c r="O4028" i="1"/>
  <c r="H4029" i="1"/>
  <c r="L4029" i="1"/>
  <c r="N4029" i="1"/>
  <c r="O4029" i="1"/>
  <c r="H4030" i="1"/>
  <c r="L4030" i="1"/>
  <c r="N4030" i="1"/>
  <c r="O4030" i="1"/>
  <c r="H4031" i="1"/>
  <c r="L4031" i="1"/>
  <c r="N4031" i="1"/>
  <c r="O4031" i="1"/>
  <c r="H4032" i="1"/>
  <c r="L4032" i="1"/>
  <c r="N4032" i="1"/>
  <c r="O4032" i="1"/>
  <c r="H4033" i="1"/>
  <c r="L4033" i="1"/>
  <c r="N4033" i="1"/>
  <c r="O4033" i="1"/>
  <c r="H4034" i="1"/>
  <c r="L4034" i="1"/>
  <c r="N4034" i="1"/>
  <c r="O4034" i="1"/>
  <c r="H4035" i="1"/>
  <c r="L4035" i="1"/>
  <c r="N4035" i="1"/>
  <c r="O4035" i="1"/>
  <c r="H4036" i="1"/>
  <c r="L4036" i="1"/>
  <c r="N4036" i="1"/>
  <c r="O4036" i="1"/>
  <c r="H4038" i="1"/>
  <c r="L4038" i="1"/>
  <c r="N4038" i="1"/>
  <c r="O4038" i="1"/>
  <c r="H4039" i="1"/>
  <c r="L4039" i="1"/>
  <c r="N4039" i="1"/>
  <c r="O4039" i="1"/>
  <c r="H4040" i="1"/>
  <c r="L4040" i="1"/>
  <c r="N4040" i="1"/>
  <c r="O4040" i="1"/>
  <c r="H4041" i="1"/>
  <c r="L4041" i="1"/>
  <c r="N4041" i="1"/>
  <c r="O4041" i="1"/>
  <c r="H4042" i="1"/>
  <c r="L4042" i="1"/>
  <c r="N4042" i="1"/>
  <c r="O4042" i="1"/>
  <c r="H4043" i="1"/>
  <c r="L4043" i="1"/>
  <c r="N4043" i="1"/>
  <c r="O4043" i="1"/>
  <c r="H4044" i="1"/>
  <c r="L4044" i="1"/>
  <c r="N4044" i="1"/>
  <c r="O4044" i="1"/>
  <c r="L4045" i="1"/>
  <c r="N4045" i="1"/>
  <c r="O4045" i="1"/>
  <c r="H4046" i="1"/>
  <c r="L4046" i="1"/>
  <c r="N4046" i="1"/>
  <c r="O4046" i="1"/>
  <c r="H4047" i="1"/>
  <c r="L4047" i="1"/>
  <c r="N4047" i="1"/>
  <c r="O4047" i="1"/>
  <c r="H4048" i="1"/>
  <c r="L4048" i="1"/>
  <c r="N4048" i="1"/>
  <c r="O4048" i="1"/>
  <c r="H4050" i="1"/>
  <c r="L4050" i="1"/>
  <c r="N4050" i="1"/>
  <c r="O4050" i="1"/>
  <c r="H4051" i="1"/>
  <c r="L4051" i="1"/>
  <c r="N4051" i="1"/>
  <c r="O4051" i="1"/>
  <c r="H4052" i="1"/>
  <c r="L4052" i="1"/>
  <c r="N4052" i="1"/>
  <c r="O4052" i="1"/>
  <c r="H4053" i="1"/>
  <c r="L4053" i="1"/>
  <c r="N4053" i="1"/>
  <c r="O4053" i="1"/>
  <c r="H4054" i="1"/>
  <c r="L4054" i="1"/>
  <c r="N4054" i="1"/>
  <c r="O4054" i="1"/>
  <c r="H4055" i="1"/>
  <c r="L4055" i="1"/>
  <c r="N4055" i="1"/>
  <c r="O4055" i="1"/>
  <c r="H4056" i="1"/>
  <c r="L4056" i="1"/>
  <c r="N4056" i="1"/>
  <c r="O4056" i="1"/>
  <c r="H4057" i="1"/>
  <c r="L4057" i="1"/>
  <c r="N4057" i="1"/>
  <c r="O4057" i="1"/>
  <c r="H4058" i="1"/>
  <c r="L4058" i="1"/>
  <c r="N4058" i="1"/>
  <c r="O4058" i="1"/>
  <c r="H4059" i="1"/>
  <c r="L4059" i="1"/>
  <c r="N4059" i="1"/>
  <c r="O4059" i="1"/>
  <c r="H4060" i="1"/>
  <c r="L4060" i="1"/>
  <c r="N4060" i="1"/>
  <c r="O4060" i="1"/>
  <c r="H4062" i="1"/>
  <c r="L4062" i="1"/>
  <c r="N4062" i="1"/>
  <c r="O4062" i="1"/>
  <c r="H4063" i="1"/>
  <c r="L4063" i="1"/>
  <c r="N4063" i="1"/>
  <c r="O4063" i="1"/>
  <c r="H4064" i="1"/>
  <c r="L4064" i="1"/>
  <c r="N4064" i="1"/>
  <c r="O4064" i="1"/>
  <c r="H4065" i="1"/>
  <c r="L4065" i="1"/>
  <c r="N4065" i="1"/>
  <c r="O4065" i="1"/>
  <c r="H4066" i="1"/>
  <c r="L4066" i="1"/>
  <c r="N4066" i="1"/>
  <c r="O4066" i="1"/>
  <c r="H4067" i="1"/>
  <c r="L4067" i="1"/>
  <c r="N4067" i="1"/>
  <c r="O4067" i="1"/>
  <c r="H4068" i="1"/>
  <c r="L4068" i="1"/>
  <c r="N4068" i="1"/>
  <c r="O4068" i="1"/>
  <c r="H4069" i="1"/>
  <c r="L4069" i="1"/>
  <c r="N4069" i="1"/>
  <c r="O4069" i="1"/>
  <c r="H4070" i="1"/>
  <c r="L4070" i="1"/>
  <c r="N4070" i="1"/>
  <c r="O4070" i="1"/>
  <c r="H4071" i="1"/>
  <c r="L4071" i="1"/>
  <c r="N4071" i="1"/>
  <c r="O4071" i="1"/>
  <c r="H4072" i="1"/>
  <c r="L4072" i="1"/>
  <c r="N4072" i="1"/>
  <c r="O4072" i="1"/>
  <c r="H4073" i="1"/>
  <c r="L4073" i="1"/>
  <c r="N4073" i="1"/>
  <c r="O4073" i="1"/>
  <c r="H4074" i="1"/>
  <c r="L4074" i="1"/>
  <c r="N4074" i="1"/>
  <c r="O4074" i="1"/>
  <c r="H4075" i="1"/>
  <c r="L4075" i="1"/>
  <c r="N4075" i="1"/>
  <c r="O4075" i="1"/>
  <c r="H4076" i="1"/>
  <c r="L4076" i="1"/>
  <c r="N4076" i="1"/>
  <c r="O4076" i="1"/>
  <c r="H4078" i="1"/>
  <c r="L4078" i="1"/>
  <c r="N4078" i="1"/>
  <c r="O4078" i="1"/>
  <c r="H4079" i="1"/>
  <c r="L4079" i="1"/>
  <c r="N4079" i="1"/>
  <c r="O4079" i="1"/>
  <c r="H4080" i="1"/>
  <c r="L4080" i="1"/>
  <c r="N4080" i="1"/>
  <c r="O4080" i="1"/>
  <c r="H4081" i="1"/>
  <c r="L4081" i="1"/>
  <c r="N4081" i="1"/>
  <c r="O4081" i="1"/>
  <c r="L4082" i="1"/>
  <c r="N4082" i="1"/>
  <c r="O4082" i="1"/>
  <c r="H4083" i="1"/>
  <c r="L4083" i="1"/>
  <c r="N4083" i="1"/>
  <c r="O4083" i="1"/>
  <c r="H4084" i="1"/>
  <c r="L4084" i="1"/>
  <c r="N4084" i="1"/>
  <c r="O4084" i="1"/>
  <c r="H4085" i="1"/>
  <c r="L4085" i="1"/>
  <c r="N4085" i="1"/>
  <c r="O4085" i="1"/>
  <c r="H4086" i="1"/>
  <c r="L4086" i="1"/>
  <c r="N4086" i="1"/>
  <c r="O4086" i="1"/>
  <c r="H4087" i="1"/>
  <c r="L4087" i="1"/>
  <c r="N4087" i="1"/>
  <c r="O4087" i="1"/>
  <c r="H4088" i="1"/>
  <c r="L4088" i="1"/>
  <c r="N4088" i="1"/>
  <c r="O4088" i="1"/>
  <c r="H4089" i="1"/>
  <c r="L4089" i="1"/>
  <c r="N4089" i="1"/>
  <c r="O4089" i="1"/>
  <c r="H4091" i="1"/>
  <c r="L4091" i="1"/>
  <c r="N4091" i="1"/>
  <c r="O4091" i="1"/>
  <c r="H4092" i="1"/>
  <c r="L4092" i="1"/>
  <c r="N4092" i="1"/>
  <c r="O4092" i="1"/>
  <c r="H4093" i="1"/>
  <c r="L4093" i="1"/>
  <c r="N4093" i="1"/>
  <c r="O4093" i="1"/>
  <c r="H4094" i="1"/>
  <c r="L4094" i="1"/>
  <c r="N4094" i="1"/>
  <c r="O4094" i="1"/>
  <c r="H4095" i="1"/>
  <c r="L4095" i="1"/>
  <c r="N4095" i="1"/>
  <c r="O4095" i="1"/>
  <c r="H4096" i="1"/>
  <c r="L4096" i="1"/>
  <c r="N4096" i="1"/>
  <c r="O4096" i="1"/>
  <c r="H4097" i="1"/>
  <c r="L4097" i="1"/>
  <c r="N4097" i="1"/>
  <c r="O4097" i="1"/>
  <c r="H4098" i="1"/>
  <c r="L4098" i="1"/>
  <c r="N4098" i="1"/>
  <c r="O4098" i="1"/>
  <c r="H4099" i="1"/>
  <c r="L4099" i="1"/>
  <c r="N4099" i="1"/>
  <c r="O4099" i="1"/>
  <c r="H4100" i="1"/>
  <c r="L4100" i="1"/>
  <c r="N4100" i="1"/>
  <c r="O4100" i="1"/>
  <c r="H4101" i="1"/>
  <c r="L4101" i="1"/>
  <c r="N4101" i="1"/>
  <c r="O4101" i="1"/>
  <c r="H4102" i="1"/>
  <c r="L4102" i="1"/>
  <c r="N4102" i="1"/>
  <c r="O4102" i="1"/>
  <c r="H4103" i="1"/>
  <c r="L4103" i="1"/>
  <c r="N4103" i="1"/>
  <c r="O4103" i="1"/>
  <c r="H4104" i="1"/>
  <c r="L4104" i="1"/>
  <c r="N4104" i="1"/>
  <c r="O4104" i="1"/>
  <c r="H4107" i="1"/>
  <c r="L4107" i="1"/>
  <c r="N4107" i="1"/>
  <c r="O4107" i="1"/>
  <c r="H4108" i="1"/>
  <c r="L4108" i="1"/>
  <c r="N4108" i="1"/>
  <c r="O4108" i="1"/>
  <c r="H4109" i="1"/>
  <c r="L4109" i="1"/>
  <c r="N4109" i="1"/>
  <c r="O4109" i="1"/>
  <c r="H4110" i="1"/>
  <c r="L4110" i="1"/>
  <c r="N4110" i="1"/>
  <c r="O4110" i="1"/>
  <c r="H4111" i="1"/>
  <c r="L4111" i="1"/>
  <c r="N4111" i="1"/>
  <c r="O4111" i="1"/>
  <c r="H4112" i="1"/>
  <c r="L4112" i="1"/>
  <c r="N4112" i="1"/>
  <c r="O4112" i="1"/>
  <c r="H4113" i="1"/>
  <c r="L4113" i="1"/>
  <c r="N4113" i="1"/>
  <c r="O4113" i="1"/>
  <c r="H4114" i="1"/>
  <c r="L4114" i="1"/>
  <c r="N4114" i="1"/>
  <c r="O4114" i="1"/>
  <c r="H4115" i="1"/>
  <c r="L4115" i="1"/>
  <c r="N4115" i="1"/>
  <c r="O4115" i="1"/>
  <c r="H4116" i="1"/>
  <c r="L4116" i="1"/>
  <c r="N4116" i="1"/>
  <c r="O4116" i="1"/>
  <c r="H4117" i="1"/>
  <c r="L4117" i="1"/>
  <c r="N4117" i="1"/>
  <c r="O4117" i="1"/>
  <c r="H4118" i="1"/>
  <c r="L4118" i="1"/>
  <c r="N4118" i="1"/>
  <c r="O4118" i="1"/>
  <c r="H4119" i="1"/>
  <c r="L4119" i="1"/>
  <c r="N4119" i="1"/>
  <c r="O4119" i="1"/>
  <c r="H4120" i="1"/>
  <c r="L4120" i="1"/>
  <c r="N4120" i="1"/>
  <c r="O4120" i="1"/>
  <c r="H4121" i="1"/>
  <c r="L4121" i="1"/>
  <c r="N4121" i="1"/>
  <c r="O4121" i="1"/>
  <c r="H4122" i="1"/>
  <c r="L4122" i="1"/>
  <c r="N4122" i="1"/>
  <c r="O4122" i="1"/>
  <c r="H4123" i="1"/>
  <c r="L4123" i="1"/>
  <c r="N4123" i="1"/>
  <c r="O4123" i="1"/>
  <c r="H4124" i="1"/>
  <c r="L4124" i="1"/>
  <c r="N4124" i="1"/>
  <c r="O4124" i="1"/>
  <c r="H4126" i="1"/>
  <c r="L4126" i="1"/>
  <c r="N4126" i="1"/>
  <c r="O4126" i="1"/>
  <c r="H4127" i="1"/>
  <c r="L4127" i="1"/>
  <c r="N4127" i="1"/>
  <c r="O4127" i="1"/>
  <c r="H4128" i="1"/>
  <c r="L4128" i="1"/>
  <c r="N4128" i="1"/>
  <c r="O4128" i="1"/>
  <c r="H4129" i="1"/>
  <c r="L4129" i="1"/>
  <c r="N4129" i="1"/>
  <c r="O4129" i="1"/>
  <c r="H4130" i="1"/>
  <c r="L4130" i="1"/>
  <c r="N4130" i="1"/>
  <c r="O4130" i="1"/>
  <c r="H4131" i="1"/>
  <c r="L4131" i="1"/>
  <c r="N4131" i="1"/>
  <c r="O4131" i="1"/>
  <c r="H4132" i="1"/>
  <c r="L4132" i="1"/>
  <c r="N4132" i="1"/>
  <c r="O4132" i="1"/>
  <c r="H4133" i="1"/>
  <c r="L4133" i="1"/>
  <c r="N4133" i="1"/>
  <c r="O4133" i="1"/>
  <c r="H4134" i="1"/>
  <c r="L4134" i="1"/>
  <c r="N4134" i="1"/>
  <c r="O4134" i="1"/>
  <c r="H4135" i="1"/>
  <c r="L4135" i="1"/>
  <c r="N4135" i="1"/>
  <c r="O4135" i="1"/>
  <c r="H4137" i="1"/>
  <c r="L4137" i="1"/>
  <c r="N4137" i="1"/>
  <c r="O4137" i="1"/>
  <c r="H4138" i="1"/>
  <c r="L4138" i="1"/>
  <c r="N4138" i="1"/>
  <c r="O4138" i="1"/>
  <c r="H4139" i="1"/>
  <c r="L4139" i="1"/>
  <c r="N4139" i="1"/>
  <c r="O4139" i="1"/>
  <c r="H4140" i="1"/>
  <c r="L4140" i="1"/>
  <c r="N4140" i="1"/>
  <c r="O4140" i="1"/>
  <c r="H4141" i="1"/>
  <c r="L4141" i="1"/>
  <c r="N4141" i="1"/>
  <c r="O4141" i="1"/>
  <c r="H4142" i="1"/>
  <c r="L4142" i="1"/>
  <c r="N4142" i="1"/>
  <c r="O4142" i="1"/>
  <c r="H4143" i="1"/>
  <c r="L4143" i="1"/>
  <c r="N4143" i="1"/>
  <c r="O4143" i="1"/>
  <c r="H4144" i="1"/>
  <c r="L4144" i="1"/>
  <c r="N4144" i="1"/>
  <c r="O4144" i="1"/>
  <c r="H4145" i="1"/>
  <c r="L4145" i="1"/>
  <c r="N4145" i="1"/>
  <c r="O4145" i="1"/>
  <c r="H4146" i="1"/>
  <c r="L4146" i="1"/>
  <c r="N4146" i="1"/>
  <c r="O4146" i="1"/>
  <c r="H4147" i="1"/>
  <c r="L4147" i="1"/>
  <c r="N4147" i="1"/>
  <c r="O4147" i="1"/>
  <c r="H4148" i="1"/>
  <c r="L4148" i="1"/>
  <c r="N4148" i="1"/>
  <c r="O4148" i="1"/>
  <c r="H4149" i="1"/>
  <c r="L4149" i="1"/>
  <c r="N4149" i="1"/>
  <c r="O4149" i="1"/>
  <c r="H4150" i="1"/>
  <c r="L4150" i="1"/>
  <c r="N4150" i="1"/>
  <c r="O4150" i="1"/>
  <c r="H4151" i="1"/>
  <c r="L4151" i="1"/>
  <c r="N4151" i="1"/>
  <c r="O4151" i="1"/>
  <c r="H4152" i="1"/>
  <c r="L4152" i="1"/>
  <c r="N4152" i="1"/>
  <c r="O4152" i="1"/>
  <c r="H4153" i="1"/>
  <c r="L4153" i="1"/>
  <c r="N4153" i="1"/>
  <c r="O4153" i="1"/>
  <c r="H4154" i="1"/>
  <c r="L4154" i="1"/>
  <c r="N4154" i="1"/>
  <c r="O4154" i="1"/>
  <c r="H4155" i="1"/>
  <c r="L4155" i="1"/>
  <c r="N4155" i="1"/>
  <c r="O4155" i="1"/>
  <c r="H4156" i="1"/>
  <c r="L4156" i="1"/>
  <c r="N4156" i="1"/>
  <c r="O4156" i="1"/>
  <c r="H4157" i="1"/>
  <c r="L4157" i="1"/>
  <c r="N4157" i="1"/>
  <c r="O4157" i="1"/>
  <c r="H4158" i="1"/>
  <c r="L4158" i="1"/>
  <c r="N4158" i="1"/>
  <c r="O4158" i="1"/>
  <c r="H4159" i="1"/>
  <c r="L4159" i="1"/>
  <c r="N4159" i="1"/>
  <c r="O4159" i="1"/>
  <c r="H4160" i="1"/>
  <c r="L4160" i="1"/>
  <c r="N4160" i="1"/>
  <c r="O4160" i="1"/>
  <c r="H4161" i="1"/>
  <c r="L4161" i="1"/>
  <c r="N4161" i="1"/>
  <c r="O4161" i="1"/>
  <c r="H4162" i="1"/>
  <c r="L4162" i="1"/>
  <c r="N4162" i="1"/>
  <c r="O4162" i="1"/>
  <c r="H4163" i="1"/>
  <c r="L4163" i="1"/>
  <c r="N4163" i="1"/>
  <c r="O4163" i="1"/>
  <c r="H4164" i="1"/>
  <c r="L4164" i="1"/>
  <c r="N4164" i="1"/>
  <c r="O4164" i="1"/>
  <c r="H4165" i="1"/>
  <c r="L4165" i="1"/>
  <c r="N4165" i="1"/>
  <c r="O4165" i="1"/>
  <c r="H4166" i="1"/>
  <c r="L4166" i="1"/>
  <c r="N4166" i="1"/>
  <c r="O4166" i="1"/>
  <c r="H4167" i="1"/>
  <c r="L4167" i="1"/>
  <c r="N4167" i="1"/>
  <c r="O4167" i="1"/>
  <c r="H4168" i="1"/>
  <c r="L4168" i="1"/>
  <c r="N4168" i="1"/>
  <c r="O4168" i="1"/>
  <c r="H4169" i="1"/>
  <c r="L4169" i="1"/>
  <c r="N4169" i="1"/>
  <c r="O4169" i="1"/>
  <c r="H4170" i="1"/>
  <c r="L4170" i="1"/>
  <c r="N4170" i="1"/>
  <c r="O4170" i="1"/>
  <c r="H4171" i="1"/>
  <c r="L4171" i="1"/>
  <c r="N4171" i="1"/>
  <c r="O4171" i="1"/>
  <c r="H4173" i="1"/>
  <c r="L4173" i="1"/>
  <c r="N4173" i="1"/>
  <c r="O4173" i="1"/>
  <c r="H4174" i="1"/>
  <c r="L4174" i="1"/>
  <c r="N4174" i="1"/>
  <c r="O4174" i="1"/>
  <c r="H4175" i="1"/>
  <c r="L4175" i="1"/>
  <c r="N4175" i="1"/>
  <c r="O4175" i="1"/>
  <c r="H4176" i="1"/>
  <c r="L4176" i="1"/>
  <c r="N4176" i="1"/>
  <c r="O4176" i="1"/>
  <c r="H4177" i="1"/>
  <c r="L4177" i="1"/>
  <c r="N4177" i="1"/>
  <c r="O4177" i="1"/>
  <c r="H4178" i="1"/>
  <c r="L4178" i="1"/>
  <c r="N4178" i="1"/>
  <c r="O4178" i="1"/>
  <c r="H4179" i="1"/>
  <c r="L4179" i="1"/>
  <c r="N4179" i="1"/>
  <c r="O4179" i="1"/>
  <c r="H4180" i="1"/>
  <c r="L4180" i="1"/>
  <c r="N4180" i="1"/>
  <c r="O4180" i="1"/>
  <c r="H4181" i="1"/>
  <c r="L4181" i="1"/>
  <c r="N4181" i="1"/>
  <c r="O4181" i="1"/>
  <c r="H4182" i="1"/>
  <c r="L4182" i="1"/>
  <c r="N4182" i="1"/>
  <c r="O4182" i="1"/>
  <c r="H4183" i="1"/>
  <c r="L4183" i="1"/>
  <c r="N4183" i="1"/>
  <c r="O4183" i="1"/>
  <c r="H4184" i="1"/>
  <c r="L4184" i="1"/>
  <c r="N4184" i="1"/>
  <c r="O4184" i="1"/>
  <c r="H4185" i="1"/>
  <c r="L4185" i="1"/>
  <c r="N4185" i="1"/>
  <c r="O4185" i="1"/>
  <c r="H4186" i="1"/>
  <c r="L4186" i="1"/>
  <c r="N4186" i="1"/>
  <c r="O4186" i="1"/>
  <c r="H4187" i="1"/>
  <c r="L4187" i="1"/>
  <c r="N4187" i="1"/>
  <c r="O4187" i="1"/>
  <c r="H4188" i="1"/>
  <c r="L4188" i="1"/>
  <c r="N4188" i="1"/>
  <c r="O4188" i="1"/>
  <c r="H4189" i="1"/>
  <c r="L4189" i="1"/>
  <c r="N4189" i="1"/>
  <c r="O4189" i="1"/>
  <c r="H4190" i="1"/>
  <c r="L4190" i="1"/>
  <c r="N4190" i="1"/>
  <c r="O4190" i="1"/>
  <c r="H4191" i="1"/>
  <c r="L4191" i="1"/>
  <c r="N4191" i="1"/>
  <c r="O4191" i="1"/>
  <c r="H4192" i="1"/>
  <c r="L4192" i="1"/>
  <c r="N4192" i="1"/>
  <c r="O4192" i="1"/>
  <c r="H4193" i="1"/>
  <c r="L4193" i="1"/>
  <c r="N4193" i="1"/>
  <c r="O4193" i="1"/>
  <c r="H4194" i="1"/>
  <c r="L4194" i="1"/>
  <c r="N4194" i="1"/>
  <c r="O4194" i="1"/>
  <c r="H4195" i="1"/>
  <c r="L4195" i="1"/>
  <c r="N4195" i="1"/>
  <c r="O4195" i="1"/>
  <c r="H4196" i="1"/>
  <c r="L4196" i="1"/>
  <c r="N4196" i="1"/>
  <c r="O4196" i="1"/>
  <c r="H4197" i="1"/>
  <c r="L4197" i="1"/>
  <c r="N4197" i="1"/>
  <c r="O4197" i="1"/>
  <c r="H4198" i="1"/>
  <c r="L4198" i="1"/>
  <c r="N4198" i="1"/>
  <c r="O4198" i="1"/>
  <c r="H4199" i="1"/>
  <c r="L4199" i="1"/>
  <c r="N4199" i="1"/>
  <c r="O4199" i="1"/>
  <c r="H4200" i="1"/>
  <c r="L4200" i="1"/>
  <c r="N4200" i="1"/>
  <c r="O4200" i="1"/>
  <c r="H4201" i="1"/>
  <c r="L4201" i="1"/>
  <c r="N4201" i="1"/>
  <c r="O4201" i="1"/>
  <c r="H4202" i="1"/>
  <c r="L4202" i="1"/>
  <c r="N4202" i="1"/>
  <c r="O4202" i="1"/>
  <c r="H4203" i="1"/>
  <c r="L4203" i="1"/>
  <c r="N4203" i="1"/>
  <c r="O4203" i="1"/>
  <c r="H4204" i="1"/>
  <c r="L4204" i="1"/>
  <c r="N4204" i="1"/>
  <c r="O4204" i="1"/>
  <c r="H4205" i="1"/>
  <c r="L4205" i="1"/>
  <c r="N4205" i="1"/>
  <c r="O4205" i="1"/>
  <c r="H4206" i="1"/>
  <c r="L4206" i="1"/>
  <c r="N4206" i="1"/>
  <c r="O4206" i="1"/>
  <c r="H4207" i="1"/>
  <c r="L4207" i="1"/>
  <c r="N4207" i="1"/>
  <c r="O4207" i="1"/>
  <c r="H4208" i="1"/>
  <c r="L4208" i="1"/>
  <c r="N4208" i="1"/>
  <c r="O4208" i="1"/>
  <c r="H4209" i="1"/>
  <c r="L4209" i="1"/>
  <c r="N4209" i="1"/>
  <c r="O4209" i="1"/>
  <c r="H4210" i="1"/>
  <c r="L4210" i="1"/>
  <c r="N4210" i="1"/>
  <c r="O4210" i="1"/>
  <c r="H4211" i="1"/>
  <c r="L4211" i="1"/>
  <c r="N4211" i="1"/>
  <c r="O4211" i="1"/>
  <c r="L4212" i="1"/>
  <c r="N4212" i="1"/>
  <c r="O4212" i="1"/>
  <c r="H4213" i="1"/>
  <c r="L4213" i="1"/>
  <c r="N4213" i="1"/>
  <c r="O4213" i="1"/>
  <c r="H4214" i="1"/>
  <c r="L4214" i="1"/>
  <c r="N4214" i="1"/>
  <c r="O4214" i="1"/>
  <c r="H4216" i="1"/>
  <c r="L4216" i="1"/>
  <c r="N4216" i="1"/>
  <c r="O4216" i="1"/>
  <c r="H4217" i="1"/>
  <c r="L4217" i="1"/>
  <c r="N4217" i="1"/>
  <c r="O4217" i="1"/>
  <c r="H4218" i="1"/>
  <c r="L4218" i="1"/>
  <c r="N4218" i="1"/>
  <c r="O4218" i="1"/>
  <c r="H4219" i="1"/>
  <c r="L4219" i="1"/>
  <c r="N4219" i="1"/>
  <c r="O4219" i="1"/>
  <c r="H4220" i="1"/>
  <c r="L4220" i="1"/>
  <c r="N4220" i="1"/>
  <c r="O4220" i="1"/>
  <c r="H4221" i="1"/>
  <c r="L4221" i="1"/>
  <c r="N4221" i="1"/>
  <c r="O4221" i="1"/>
  <c r="H4222" i="1"/>
  <c r="L4222" i="1"/>
  <c r="N4222" i="1"/>
  <c r="O4222" i="1"/>
  <c r="H4223" i="1"/>
  <c r="L4223" i="1"/>
  <c r="N4223" i="1"/>
  <c r="O4223" i="1"/>
  <c r="H4224" i="1"/>
  <c r="L4224" i="1"/>
  <c r="N4224" i="1"/>
  <c r="O4224" i="1"/>
  <c r="H4225" i="1"/>
  <c r="L4225" i="1"/>
  <c r="N4225" i="1"/>
  <c r="O4225" i="1"/>
  <c r="H4227" i="1"/>
  <c r="L4227" i="1"/>
  <c r="N4227" i="1"/>
  <c r="O4227" i="1"/>
  <c r="H4228" i="1"/>
  <c r="L4228" i="1"/>
  <c r="N4228" i="1"/>
  <c r="O4228" i="1"/>
  <c r="H4229" i="1"/>
  <c r="L4229" i="1"/>
  <c r="N4229" i="1"/>
  <c r="O4229" i="1"/>
  <c r="H4230" i="1"/>
  <c r="L4230" i="1"/>
  <c r="N4230" i="1"/>
  <c r="O4230" i="1"/>
  <c r="H4231" i="1"/>
  <c r="L4231" i="1"/>
  <c r="N4231" i="1"/>
  <c r="O4231" i="1"/>
  <c r="H4232" i="1"/>
  <c r="L4232" i="1"/>
  <c r="N4232" i="1"/>
  <c r="O4232" i="1"/>
  <c r="H4233" i="1"/>
  <c r="L4233" i="1"/>
  <c r="N4233" i="1"/>
  <c r="O4233" i="1"/>
  <c r="H4234" i="1"/>
  <c r="L4234" i="1"/>
  <c r="N4234" i="1"/>
  <c r="O4234" i="1"/>
  <c r="H4235" i="1"/>
  <c r="L4235" i="1"/>
  <c r="N4235" i="1"/>
  <c r="O4235" i="1"/>
  <c r="H4236" i="1"/>
  <c r="L4236" i="1"/>
  <c r="N4236" i="1"/>
  <c r="O4236" i="1"/>
  <c r="H4237" i="1"/>
  <c r="L4237" i="1"/>
  <c r="N4237" i="1"/>
  <c r="O4237" i="1"/>
  <c r="H4238" i="1"/>
  <c r="L4238" i="1"/>
  <c r="N4238" i="1"/>
  <c r="O4238" i="1"/>
  <c r="H4239" i="1"/>
  <c r="L4239" i="1"/>
  <c r="N4239" i="1"/>
  <c r="O4239" i="1"/>
  <c r="H4240" i="1"/>
  <c r="L4240" i="1"/>
  <c r="N4240" i="1"/>
  <c r="O4240" i="1"/>
  <c r="H4241" i="1"/>
  <c r="L4241" i="1"/>
  <c r="N4241" i="1"/>
  <c r="O4241" i="1"/>
  <c r="H4242" i="1"/>
  <c r="L4242" i="1"/>
  <c r="N4242" i="1"/>
  <c r="O4242" i="1"/>
  <c r="H4243" i="1"/>
  <c r="L4243" i="1"/>
  <c r="N4243" i="1"/>
  <c r="O4243" i="1"/>
  <c r="H4244" i="1"/>
  <c r="L4244" i="1"/>
  <c r="N4244" i="1"/>
  <c r="O4244" i="1"/>
  <c r="H4245" i="1"/>
  <c r="L4245" i="1"/>
  <c r="N4245" i="1"/>
  <c r="O4245" i="1"/>
  <c r="L4246" i="1"/>
  <c r="N4246" i="1"/>
  <c r="O4246" i="1"/>
  <c r="H4247" i="1"/>
  <c r="L4247" i="1"/>
  <c r="N4247" i="1"/>
  <c r="O4247" i="1"/>
  <c r="H4248" i="1"/>
  <c r="L4248" i="1"/>
  <c r="N4248" i="1"/>
  <c r="O4248" i="1"/>
  <c r="H4249" i="1"/>
  <c r="L4249" i="1"/>
  <c r="N4249" i="1"/>
  <c r="O4249" i="1"/>
  <c r="H4250" i="1"/>
  <c r="L4250" i="1"/>
  <c r="N4250" i="1"/>
  <c r="O4250" i="1"/>
  <c r="H4251" i="1"/>
  <c r="L4251" i="1"/>
  <c r="N4251" i="1"/>
  <c r="O4251" i="1"/>
  <c r="H4252" i="1"/>
  <c r="L4252" i="1"/>
  <c r="N4252" i="1"/>
  <c r="O4252" i="1"/>
  <c r="H4253" i="1"/>
  <c r="L4253" i="1"/>
  <c r="N4253" i="1"/>
  <c r="O4253" i="1"/>
  <c r="H4254" i="1"/>
  <c r="L4254" i="1"/>
  <c r="N4254" i="1"/>
  <c r="O4254" i="1"/>
</calcChain>
</file>

<file path=xl/sharedStrings.xml><?xml version="1.0" encoding="utf-8"?>
<sst xmlns="http://schemas.openxmlformats.org/spreadsheetml/2006/main" count="111164" uniqueCount="47428">
  <si>
    <t>Index</t>
  </si>
  <si>
    <t>Primary Protein Name</t>
  </si>
  <si>
    <t>Alternative Protein Names</t>
  </si>
  <si>
    <t>Identifier</t>
  </si>
  <si>
    <t>Accession</t>
  </si>
  <si>
    <t>Other Accessions</t>
  </si>
  <si>
    <t>UniProt Gene Name</t>
  </si>
  <si>
    <t>Other Gene Synonyms</t>
  </si>
  <si>
    <t>Species Name</t>
  </si>
  <si>
    <t>Taxonomy Number</t>
  </si>
  <si>
    <t>UniProt Link</t>
  </si>
  <si>
    <t>MGI Accession</t>
  </si>
  <si>
    <t>MGI Gene Name</t>
  </si>
  <si>
    <t>MGI Link</t>
  </si>
  <si>
    <t>Key Words</t>
  </si>
  <si>
    <t>KW: Biological process</t>
  </si>
  <si>
    <t>KW: Cellular component</t>
  </si>
  <si>
    <t>KW: Coding sequence diversity</t>
  </si>
  <si>
    <t>KW: Developmental stage</t>
  </si>
  <si>
    <t>KW: Disease</t>
  </si>
  <si>
    <t>KW: Domain</t>
  </si>
  <si>
    <t>KW: Ligand</t>
  </si>
  <si>
    <t>KW: Molecular function</t>
  </si>
  <si>
    <t>KW: PTM</t>
  </si>
  <si>
    <t>KW: Technical term</t>
  </si>
  <si>
    <t>GO: Biological Process</t>
  </si>
  <si>
    <t>GO: Cellular Component</t>
  </si>
  <si>
    <t>GO: Molecular Function</t>
  </si>
  <si>
    <t>CC Pathway</t>
  </si>
  <si>
    <t>Reactome Pathway</t>
  </si>
  <si>
    <t>sp|P24622|CRYAA_MOUSE</t>
  </si>
  <si>
    <t>Alpha-crystallin A chain</t>
  </si>
  <si>
    <t>na</t>
  </si>
  <si>
    <t>CRYAA_MOUSE</t>
  </si>
  <si>
    <t>P24622</t>
  </si>
  <si>
    <t>P02490; P02496; P82532; Q61444; Q6LEL4</t>
  </si>
  <si>
    <t>Crya1</t>
  </si>
  <si>
    <t>Mus musculus (Mouse)</t>
  </si>
  <si>
    <t>MGI:88515</t>
  </si>
  <si>
    <t>Acetylation; Alternative splicing; Chaperone; Cytoplasm; Eye lens protein; Glycoprotein; Metal-binding; Methylation; Nucleus; Phosphoprotein; Zinc</t>
  </si>
  <si>
    <t>Cytoplasm; Nucleus</t>
  </si>
  <si>
    <t>Alternative splicing</t>
  </si>
  <si>
    <t>Metal-binding; Zinc</t>
  </si>
  <si>
    <t>Chaperone; Eye lens protein</t>
  </si>
  <si>
    <t>Acetylation; Glycoprotein; Methylation; Phosphoprotein</t>
  </si>
  <si>
    <t>actin filament organization {GO:0007015}; apoptotic process {GO:0006915}; apoptotic process involved in morphogenesis {GO:0060561}; camera-type eye development {GO:0043010}; embryonic camera-type eye morphogenesis {GO:0048596}; lens development in camera-type eye {GO:0002088}; lens fiber cell morphogenesis {GO:0070309}; lens morphogenesis in camera-type eye {GO:0002089}; microtubule-based process {GO:0007017}; mitochondrion organization {GO:0007005}; negative regulation of apoptotic process {GO:0043066}; negative regulation of cysteine-type endopeptidase activity involved in apoptotic process {GO:0043154}; negative regulation of gene expression {GO:0010629}; negative regulation of intracellular transport {GO:0032387}; positive regulation of cell growth {GO:0030307}; positive regulation of protein phosphorylation {GO:0001934}; protein folding {GO:0006457}; protein refolding {GO:0042026}; protein stabilization {GO:0050821}; response to heat {GO:0009408}; response to hydrogen peroxide {GO:0042542}; response to hypoxia {GO:0001666}; response to UV-A {GO:0070141}; tubulin complex assembly {GO:0007021}; visual perception {GO:0007601}</t>
  </si>
  <si>
    <t>cytoplasm {GO:0005737}; cytosol {GO:0005829}; nucleoplasm {GO:0005654}; nucleus {GO:0005634}; protein-containing complex {GO:0032991}</t>
  </si>
  <si>
    <t>identical protein binding {GO:0042802}; metal ion binding {GO:0046872}; structural constituent of eye lens {GO:0005212}; structural molecule activity {GO:0005198}; unfolded protein binding {GO:0051082}</t>
  </si>
  <si>
    <t>sp|Q9WVJ5|CRBB1_MOUSE</t>
  </si>
  <si>
    <t>Beta-crystallin B1B</t>
  </si>
  <si>
    <t>Beta-B1 crystallin</t>
  </si>
  <si>
    <t>CRBB1_MOUSE</t>
  </si>
  <si>
    <t>Q9WVJ5</t>
  </si>
  <si>
    <t>MGI:104992</t>
  </si>
  <si>
    <t>Acetylation; Eye lens protein; Methylation; Repeat</t>
  </si>
  <si>
    <t>Repeat</t>
  </si>
  <si>
    <t>Eye lens protein</t>
  </si>
  <si>
    <t>Acetylation; Methylation</t>
  </si>
  <si>
    <t>lens development in camera-type eye {GO:0002088}; visual perception {GO:0007601}</t>
  </si>
  <si>
    <t>structural constituent of eye lens {GO:0005212}</t>
  </si>
  <si>
    <t>sp|P02525|CRBA1_MOUSE</t>
  </si>
  <si>
    <t>Beta-crystallin A1</t>
  </si>
  <si>
    <t>Beta-A1-crystallin</t>
  </si>
  <si>
    <t>CRBA1_MOUSE</t>
  </si>
  <si>
    <t>P02525</t>
  </si>
  <si>
    <t>MGI:88518</t>
  </si>
  <si>
    <t>Eye lens protein; Glutathionylation; Methylation; Repeat</t>
  </si>
  <si>
    <t>Glutathionylation; Methylation</t>
  </si>
  <si>
    <t>camera-type eye development {GO:0043010}; lens development in camera-type eye {GO:0002088}; negative regulation of cytokine production {GO:0001818}; negative regulation of ERK1 and ERK2 cascade {GO:0070373}; negative regulation of phosphatidylinositol 3-kinase signaling {GO:0014067}; negative regulation of protein kinase B signaling {GO:0051898}; negative regulation of TOR signaling {GO:0032007}; phagocytosis {GO:0006909}; positive regulation of anoikis {GO:2000210}; regulation of autophagy {GO:0010506}; visual perception {GO:0007601}</t>
  </si>
  <si>
    <t>cytoplasm {GO:0005737}; lysosome {GO:0005764}; nucleus {GO:0005634}</t>
  </si>
  <si>
    <t>identical protein binding {GO:0042802}; structural constituent of eye lens {GO:0005212}</t>
  </si>
  <si>
    <t>sp|Q9JJU9|CRBB3_MOUSE</t>
  </si>
  <si>
    <t>Beta-crystallin B3, N-terminally processed</t>
  </si>
  <si>
    <t>Beta-B3 crystallin</t>
  </si>
  <si>
    <t>CRBB3_MOUSE</t>
  </si>
  <si>
    <t>Q9JJU9</t>
  </si>
  <si>
    <t>MGI:102717</t>
  </si>
  <si>
    <t>Acetylation; Eye lens protein; Repeat</t>
  </si>
  <si>
    <t>Acetylation</t>
  </si>
  <si>
    <t>sp|P04345|CRGA_MOUSE</t>
  </si>
  <si>
    <t>Gamma-crystallin A</t>
  </si>
  <si>
    <t>Gamma-A-crystallin; Gamma-crystallin 4</t>
  </si>
  <si>
    <t>CRGA_MOUSE</t>
  </si>
  <si>
    <t>P04345</t>
  </si>
  <si>
    <t>MGI:88521</t>
  </si>
  <si>
    <t>Eye lens protein; Repeat</t>
  </si>
  <si>
    <t>eye development {GO:0001654}; lens development in camera-type eye {GO:0002088}; visual perception {GO:0007601}</t>
  </si>
  <si>
    <t>sp|P23927|CRYAB_MOUSE</t>
  </si>
  <si>
    <t>Alpha-crystallin B chain</t>
  </si>
  <si>
    <t>Alpha(B)-crystallin; P23</t>
  </si>
  <si>
    <t>CRYAB_MOUSE</t>
  </si>
  <si>
    <t>P23927</t>
  </si>
  <si>
    <t>Q64325</t>
  </si>
  <si>
    <t>Crya2</t>
  </si>
  <si>
    <t>MGI:88516</t>
  </si>
  <si>
    <t>Acetylation; Chaperone; Cytoplasm; Eye lens protein; Lysosome; Metal-binding; Methylation; Nucleus; Phosphoprotein; Secreted; Zinc</t>
  </si>
  <si>
    <t>Cytoplasm; Lysosome; Nucleus; Secreted</t>
  </si>
  <si>
    <t>Acetylation; Methylation; Phosphoprotein</t>
  </si>
  <si>
    <t>apoptotic process involved in morphogenesis {GO:0060561}; camera-type eye development {GO:0043010}; cellular response to gamma radiation {GO:0071480}; lens development in camera-type eye {GO:0002088}; microtubule polymerization or depolymerization {GO:0031109}; multicellular organism aging {GO:0010259}; muscle organ development {GO:0007517}; negative regulation of amyloid fibril formation {GO:1905907}; negative regulation of apoptotic process {GO:0043066}; negative regulation of cell growth {GO:0030308}; negative regulation of cysteine-type endopeptidase activity involved in apoptotic process {GO:0043154}; negative regulation of DNA-templated transcription {GO:0045892}; negative regulation of gene expression {GO:0010629}; negative regulation of intracellular transport {GO:0032387}; negative regulation of protein-containing complex assembly {GO:0031333}; negative regulation of reactive oxygen species metabolic process {GO:2000378}; protein folding {GO:0006457}; protein refolding {GO:0042026}; protein stabilization {GO:0050821}; regulation of cell death {GO:0010941}; response to estradiol {GO:0032355}; response to heat {GO:0009408}; response to hydrogen peroxide {GO:0042542}; response to hypoxia {GO:0001666}; stress-activated MAPK cascade {GO:0051403}; tubulin complex assembly {GO:0007021}</t>
  </si>
  <si>
    <t>actin filament bundle {GO:0032432}; axon {GO:0030424}; cardiac myofibril {GO:0097512}; cell surface {GO:0009986}; contractile fiber {GO:0043292}; cytoplasm {GO:0005737}; cytosol {GO:0005829}; dendritic spine {GO:0043197}; extracellular region {GO:0005576}; Golgi apparatus {GO:0005794}; I band {GO:0031674}; lysosome {GO:0005764}; M band {GO:0031430}; microtubule cytoskeleton {GO:0015630}; mitochondrion {GO:0005739}; myelin sheath {GO:0043209}; nucleus {GO:0005634}; perikaryon {GO:0043204}; plasma membrane {GO:0005886}; postsynaptic density {GO:0014069}; protein-containing complex {GO:0032991}; synapse {GO:0045202}; synaptic membrane {GO:0097060}; Z disc {GO:0030018}</t>
  </si>
  <si>
    <t>amyloid-beta binding {GO:0001540}; cytoskeletal protein binding {GO:0008092}; identical protein binding {GO:0042802}; metal ion binding {GO:0046872}; microtubule binding {GO:0008017}; protein homodimerization activity {GO:0042803}; protein-containing complex binding {GO:0044877}; structural constituent of eye lens {GO:0005212}; structural molecule activity {GO:0005198}; unfolded protein binding {GO:0051082}</t>
  </si>
  <si>
    <t>HSF1-dependent transactivation {R-MMU-3371571}</t>
  </si>
  <si>
    <t>sp|P04344|CRGB_MOUSE</t>
  </si>
  <si>
    <t>Gamma-crystallin B</t>
  </si>
  <si>
    <t>Gamma-B-crystallin; Gamma-crystallin 3</t>
  </si>
  <si>
    <t>CRGB_MOUSE</t>
  </si>
  <si>
    <t>P04344</t>
  </si>
  <si>
    <t>Q61593; Q6PHP7</t>
  </si>
  <si>
    <t>MGI:88522</t>
  </si>
  <si>
    <t>eye development {GO:0001654}; lens development in camera-type eye {GO:0002088}; lens fiber cell development {GO:0070307}; lens fiber cell morphogenesis {GO:0070309}; visual perception {GO:0007601}</t>
  </si>
  <si>
    <t>cytoplasm {GO:0005737}; nucleus {GO:0005634}</t>
  </si>
  <si>
    <t>sp|Q9JJV1|CRBA2_MOUSE</t>
  </si>
  <si>
    <t>Beta-crystallin A2</t>
  </si>
  <si>
    <t>Beta-A2 crystallin</t>
  </si>
  <si>
    <t>CRBA2_MOUSE</t>
  </si>
  <si>
    <t>Q9JJV1</t>
  </si>
  <si>
    <t>Q540J7</t>
  </si>
  <si>
    <t>MGI:104336</t>
  </si>
  <si>
    <t>sp|P62696|CRBB2_MOUSE</t>
  </si>
  <si>
    <t>Beta-crystallin B2</t>
  </si>
  <si>
    <t>Beta-B2 crystallin; Beta-crystallin Bp</t>
  </si>
  <si>
    <t>CRBB2_MOUSE</t>
  </si>
  <si>
    <t>P62696</t>
  </si>
  <si>
    <t>P19942; P26775; Q0VGT6</t>
  </si>
  <si>
    <t>MGI:88519</t>
  </si>
  <si>
    <t>3D-structure; Acetylation; Eye lens protein; Repeat</t>
  </si>
  <si>
    <t>3D-structure</t>
  </si>
  <si>
    <t>camera-type eye development {GO:0043010}; lens development in camera-type eye {GO:0002088}; visual perception {GO:0007601}</t>
  </si>
  <si>
    <t>sp|A2AMT1|BFSP1_MOUSE</t>
  </si>
  <si>
    <t>Filensin N-terminal fragment</t>
  </si>
  <si>
    <t>Beaded filament structural protein 1; Lens fiber cell beaded-filament structural protein CP 95 (CP95)</t>
  </si>
  <si>
    <t>BFSP1_MOUSE</t>
  </si>
  <si>
    <t>A2AMT1</t>
  </si>
  <si>
    <t>O54770; Q3UPV0; Q6PFF8; Q8BKB1; Q9QWM4</t>
  </si>
  <si>
    <t>MGI:101770</t>
  </si>
  <si>
    <t>Acetylation; Alternative splicing; Cell membrane; Coiled coil; Cytoplasm; Cytoskeleton; Eye lens protein; Intermediate filament; Lipoprotein; Membrane; Myristate; Phosphoprotein; Repeat</t>
  </si>
  <si>
    <t>Cell membrane; Cytoplasm; Cytoskeleton; Intermediate filament; Membrane</t>
  </si>
  <si>
    <t>Coiled coil; Repeat</t>
  </si>
  <si>
    <t>Acetylation; Lipoprotein; Myristate; Phosphoprotein</t>
  </si>
  <si>
    <t>cell maturation {GO:0048469}; intermediate filament organization {GO:0045109}; lens fiber cell development {GO:0070307}</t>
  </si>
  <si>
    <t>cell cortex {GO:0005938}; cytoplasm {GO:0005737}; intermediate filament {GO:0005882}; plasma membrane {GO:0005886}</t>
  </si>
  <si>
    <t>sp|Q9CXV3|CRGF_MOUSE</t>
  </si>
  <si>
    <t>Gamma-crystallin F</t>
  </si>
  <si>
    <t>Gamma-F-crystallin</t>
  </si>
  <si>
    <t>CRGF_MOUSE</t>
  </si>
  <si>
    <t>Q9CXV3</t>
  </si>
  <si>
    <t>MGI:88526</t>
  </si>
  <si>
    <t>cellular response to reactive oxygen species {GO:0034614}; eye development {GO:0001654}; lens development in camera-type eye {GO:0002088}; visual perception {GO:0007601}</t>
  </si>
  <si>
    <t>sp|Q6NVD9|BFSP2_MOUSE</t>
  </si>
  <si>
    <t>Phakinin</t>
  </si>
  <si>
    <t>49 kDa cytoskeletal protein; Beaded filament structural protein 2; Lens fiber cell beaded filament protein CP 47 (CP47); Lens fiber cell beaded filament protein CP 49 (CP49); Lens intermediate filament-like light (LIFL-L)</t>
  </si>
  <si>
    <t>BFSP2_MOUSE</t>
  </si>
  <si>
    <t>Q6NVD9</t>
  </si>
  <si>
    <t>Q63832; Q6P5N4; Q8VDD6</t>
  </si>
  <si>
    <t>MGI:1333828</t>
  </si>
  <si>
    <t>Acetylation; Alternative splicing; Cell membrane; Coiled coil; Cytoplasm; Cytoskeleton; Eye lens protein; Intermediate filament; Membrane; Phosphoprotein; Repeat; Sensory transduction; Vision</t>
  </si>
  <si>
    <t>Sensory transduction; Vision</t>
  </si>
  <si>
    <t>Acetylation; Phosphoprotein</t>
  </si>
  <si>
    <t>cell maturation {GO:0048469}; cytoskeleton organization {GO:0007010}; intermediate filament cytoskeleton organization {GO:0045104}; intermediate filament organization {GO:0045109}; lens fiber cell development {GO:0070307}; response to stimulus {GO:0050896}; visual perception {GO:0007601}</t>
  </si>
  <si>
    <t>cell cortex {GO:0005938}; cytoplasm {GO:0005737}; cytoskeleton {GO:0005856}; intermediate filament {GO:0005882}; plasma membrane {GO:0005886}</t>
  </si>
  <si>
    <t>sp|Q9JJV0|CRBA4_MOUSE</t>
  </si>
  <si>
    <t>Beta-crystallin A4</t>
  </si>
  <si>
    <t>Beta-A4 crystallin</t>
  </si>
  <si>
    <t>CRBA4_MOUSE</t>
  </si>
  <si>
    <t>Q9JJV0</t>
  </si>
  <si>
    <t>MGI:102716</t>
  </si>
  <si>
    <t>sp|Q61597|CRGC_MOUSE</t>
  </si>
  <si>
    <t>Gamma-crystallin C</t>
  </si>
  <si>
    <t>Gamma-C-crystallin</t>
  </si>
  <si>
    <t>CRGC_MOUSE</t>
  </si>
  <si>
    <t>Q61597</t>
  </si>
  <si>
    <t>Q03739</t>
  </si>
  <si>
    <t>Gammab-cry</t>
  </si>
  <si>
    <t>MGI:88523</t>
  </si>
  <si>
    <t>3D-structure; Eye lens protein; Methylation; Repeat</t>
  </si>
  <si>
    <t>Methylation</t>
  </si>
  <si>
    <t>camera-type eye development {GO:0043010}; eye development {GO:0001654}; lens development in camera-type eye {GO:0002088}; visual perception {GO:0007601}</t>
  </si>
  <si>
    <t>sp|P16546|SPTN1_MOUSE</t>
  </si>
  <si>
    <t>Spectrin alpha chain, non-erythrocytic 1</t>
  </si>
  <si>
    <t>Alpha-II spectrin; Fodrin alpha chain</t>
  </si>
  <si>
    <t>SPTN1_MOUSE</t>
  </si>
  <si>
    <t>P16546</t>
  </si>
  <si>
    <t>A3KGU6; A3KGU8; Q8K380; Q9CT05</t>
  </si>
  <si>
    <t>Spna2; Spta2</t>
  </si>
  <si>
    <t>MGI:98386</t>
  </si>
  <si>
    <t>Acetylation; Actin capping; Actin-binding; Alternative splicing; Calcium; Calmodulin-binding; Cytoplasm; Cytoskeleton; Metal-binding; Phosphoprotein; Repeat; SH3 domain</t>
  </si>
  <si>
    <t>Cytoplasm; Cytoskeleton</t>
  </si>
  <si>
    <t>Repeat; SH3 domain</t>
  </si>
  <si>
    <t>Calcium; Metal-binding</t>
  </si>
  <si>
    <t>Actin capping; Actin-binding; Calmodulin-binding</t>
  </si>
  <si>
    <t>actin cytoskeleton organization {GO:0030036}; actin cytoskeleton reorganization {GO:0031532}; actin filament capping {GO:0051693}</t>
  </si>
  <si>
    <t>cell junction {GO:0030054}; cell projection {GO:0042995}; cortical actin cytoskeleton {GO:0030864}; cortical cytoskeleton {GO:0030863}; cuticular plate {GO:0032437}; cytosol {GO:0005829}; fascia adherens {GO:0005916}; intracellular membrane-bounded organelle {GO:0043231}; lateral plasma membrane {GO:0016328}; membrane {GO:0016020}; microtubule cytoskeleton {GO:0015630}; myelin sheath {GO:0043209}; paranodal junction {GO:0033010}; paranode region of axon {GO:0033270}; plasma membrane {GO:0005886}; protein-containing complex {GO:0032991}; Z disc {GO:0030018}</t>
  </si>
  <si>
    <t>actin filament binding {GO:0051015}; calcium ion binding {GO:0005509}; calmodulin binding {GO:0005516}; protein-containing complex binding {GO:0044877}; spectrin binding {GO:0030507}; syntaxin binding {GO:0019905}</t>
  </si>
  <si>
    <t>Caspase-mediated cleavage of cytoskeletal proteins {R-MMU-264870}; NCAM signaling for neurite out-growth {R-MMU-375165}; Interaction between L1 and Ankyrins {R-MMU-445095}; RAF/MAP kinase cascade {R-MMU-5673001}; Neutrophil degranulation {R-MMU-6798695}; COPI-mediated anterograde transport {R-MMU-6807878}; RHOU GTPase cycle {R-MMU-9013420}; RHOV GTPase cycle {R-MMU-9013424}</t>
  </si>
  <si>
    <t>sp|P63017|HSP7C_MOUSE</t>
  </si>
  <si>
    <t>Heat shock cognate 71 kDa protein</t>
  </si>
  <si>
    <t>Heat shock 70 kDa protein 8</t>
  </si>
  <si>
    <t>HSP7C_MOUSE</t>
  </si>
  <si>
    <t>P63017</t>
  </si>
  <si>
    <t>P08109; P12225; Q3U6R0; Q3U764; Q3U7D7; Q3U7E2; Q3U9B4; Q3U9G0; Q3UGM0; Q5FWJ6; Q62373; Q62374; Q62375; Q6NZD0</t>
  </si>
  <si>
    <t>Hsc70; Hsc73</t>
  </si>
  <si>
    <t>MGI:105384</t>
  </si>
  <si>
    <t>3D-structure; Acetylation; ATP-binding; Cell membrane; Chaperone; Cytoplasm; Hydrolase; Isopeptide bond; Membrane; Methylation; mRNA processing; mRNA splicing; Nucleotide-binding; Nucleus; Phosphoprotein; Repressor; Spliceosome; Stress response; Transcription; Transcription regulation; Ubl conjugation</t>
  </si>
  <si>
    <t>Stress response; Transcription; Transcription regulation; mRNA processing; mRNA splicing</t>
  </si>
  <si>
    <t>Cell membrane; Cytoplasm; Membrane; Nucleus; Spliceosome</t>
  </si>
  <si>
    <t>ATP-binding; Nucleotide-binding</t>
  </si>
  <si>
    <t>Chaperone; Hydrolase; Repressor</t>
  </si>
  <si>
    <t>Acetylation; Isopeptide bond; Methylation; Phosphoprotein; Ubl conjugation</t>
  </si>
  <si>
    <t>aging {GO:0007568}; ATP metabolic process {GO:0046034}; cellular response to cadmium ion {GO:0071276}; cellular response to heat {GO:0034605}; cellular response to unfolded protein {GO:0034620}; cerebellum development {GO:0021549}; chaperone cofactor-dependent protein refolding {GO:0051085}; chaperone-mediated autophagy {GO:0061684}; chaperone-mediated autophagy translocation complex disassembly {GO:1904764}; chaperone-mediated protein folding {GO:0061077}; clathrin coat disassembly {GO:0072318}; estrous cycle {GO:0044849}; forebrain development {GO:0030900}; G1/S transition of mitotic cell cycle {GO:0000082}; kidney development {GO:0001822}; late endosomal microautophagy {GO:0061738}; maintenance of postsynaptic specialization structure {GO:0098880}; modulation by host of viral process {GO:0044788}; mRNA splicing, via spliceosome {GO:0000398}; negative regulation of cardiac muscle cell apoptotic process {GO:0010667}; negative regulation of DNA-templated transcription {GO:0045892}; negative regulation of hydrogen peroxide-induced cell death {GO:1903206}; negative regulation of supramolecular fiber organization {GO:1902904}; positive regulation by host of viral genome replication {GO:0044829}; positive regulation of catalytic activity {GO:0043085}; positive regulation of lysosomal membrane permeability {GO:0097214}; positive regulation of mRNA splicing, via spliceosome {GO:0048026}; positive regulation of phagocytosis {GO:0050766}; positive regulation of protein refolding {GO:1904592}; positive regulation of proteolysis {GO:0045862}; positive regulation of T cell mediated cytotoxicity {GO:0001916}; protein autophosphorylation {GO:0046777}; protein folding {GO:0006457}; protein import into nucleus {GO:0006606}; protein refolding {GO:0042026}; protein targeting to lysosome involved in chaperone-mediated autophagy {GO:0061740}; protein transmembrane import into intracellular organelle {GO:0044743}; protein-containing complex disassembly {GO:0032984}; regulation of cell cycle {GO:0051726}; regulation of postsynapse organization {GO:0099175}; regulation of protein complex stability {GO:0061635}; regulation of protein stability {GO:0031647}; response to activity {GO:0014823}; response to estradiol {GO:0032355}; response to ethanol {GO:0045471}; response to nickel cation {GO:0010045}; response to odorant {GO:1990834}; response to progesterone {GO:0032570}; response to starvation {GO:0042594}; response to xenobiotic stimulus {GO:0009410}; sensory perception of smell {GO:0007608}; skeletal muscle tissue development {GO:0007519}; slow axonal transport {GO:1990832}; vesicle-mediated transport {GO:0016192}</t>
  </si>
  <si>
    <t>asymmetric synapse {GO:0032279}; autophagosome {GO:0005776}; axon {GO:0030424}; cell surface {GO:0009986}; chaperone complex {GO:0101031}; cytoplasm {GO:0005737}; cytosol {GO:0005829}; dendrite {GO:0030425}; dendritic shaft {GO:0043198}; dendritic spine {GO:0043197}; extracellular exosome {GO:0070062}; glutamatergic synapse {GO:0098978}; glycinergic synapse {GO:0098690}; intermediate filament {GO:0005882}; late endosome {GO:0005770}; late endosome lumen {GO:0031906}; lysosomal matrix {GO:1990836}; lysosomal membrane {GO:0005765}; lysosome {GO:0005764}; melanosome {GO:0042470}; membrane raft {GO:0045121}; messenger ribonucleoprotein complex {GO:1990124}; microtubule {GO:0005874}; myelin sheath {GO:0043209}; neuron projection {GO:0043005}; neuron spine {GO:0044309}; neuronal cell body {GO:0043025}; nucleolus {GO:0005730}; nucleus {GO:0005634}; perikaryon {GO:0043204}; perinuclear region of cytoplasm {GO:0048471}; photoreceptor inner segment {GO:0001917}; photoreceptor ribbon synapse {GO:0098684}; plasma membrane {GO:0005886}; postsynapse {GO:0098794}; postsynaptic cytosol {GO:0099524}; postsynaptic density {GO:0014069}; postsynaptic specialization membrane {GO:0099634}; presynapse {GO:0098793}; presynaptic cytosol {GO:0099523}; protein-containing complex {GO:0032991}; Prp19 complex {GO:0000974}; ribonucleoprotein complex {GO:1990904}; spliceosomal complex {GO:0005681}; synaptic vesicle {GO:0008021}; terminal bouton {GO:0043195}</t>
  </si>
  <si>
    <t>A1 adenosine receptor binding {GO:0031686}; ADP binding {GO:0043531}; ATP binding {GO:0005524}; ATP hydrolysis activity {GO:0016887}; ATP-dependent protein disaggregase activity {GO:0140545}; ATP-dependent protein folding chaperone {GO:0140662}; C3HC4-type RING finger domain binding {GO:0055131}; chaperone binding {GO:0051087}; clathrin-uncoating ATPase activity {GO:1990833}; enzyme binding {GO:0019899}; G protein-coupled receptor binding {GO:0001664}; heat shock protein binding {GO:0031072}; misfolded protein binding {GO:0051787}; peptide binding {GO:0042277}; phosphatidylserine binding {GO:0001786}; prostaglandin binding {GO:1904593}; protein folding chaperone {GO:0044183}; protein-macromolecule adaptor activity {GO:0030674}; RNA binding {GO:0003723}; signaling receptor binding {GO:0005102}; ubiquitin protein ligase binding {GO:0031625}; unfolded protein binding {GO:0051082}</t>
  </si>
  <si>
    <t>Regulation of HSF1-mediated heat shock response {R-MMU-3371453}; HSP90 chaperone cycle for steroid hormone receptors (SHR) in the presence of ligand {R-MMU-3371497}; Attenuation phase {R-MMU-3371568}; HSF1-dependent transactivation {R-MMU-3371571}; Lysosome Vesicle Biogenesis {R-MMU-432720}; Golgi Associated Vesicle Biogenesis {R-MMU-432722}; AUF1 (hnRNP D0) binds and destabilizes mRNA {R-MMU-450408}; Neutrophil degranulation {R-MMU-6798695}; mRNA Splicing - Major Pathway {R-MMU-72163}; Clathrin-mediated endocytosis {R-MMU-8856828}; Protein methylation {R-MMU-8876725}; GABA synthesis, release, reuptake and degradation {R-MMU-888590}</t>
  </si>
  <si>
    <t>sp|P17182|ENOA_MOUSE</t>
  </si>
  <si>
    <t>Alpha-enolase</t>
  </si>
  <si>
    <t>2-phospho-D-glycerate hydro-lyase; Enolase 1; Non-neural enolase (NNE)</t>
  </si>
  <si>
    <t>ENOA_MOUSE</t>
  </si>
  <si>
    <t>P17182</t>
  </si>
  <si>
    <t>Q99KT7; Q9DCY7</t>
  </si>
  <si>
    <t>Eno-1</t>
  </si>
  <si>
    <t>MGI:95393</t>
  </si>
  <si>
    <t>Acetylation; Cell membrane; Cytoplasm; Glycolysis; Hydroxylation; Isopeptide bond; Lyase; Magnesium; Membrane; Metal-binding; Phosphoprotein; Ubl conjugation</t>
  </si>
  <si>
    <t>Glycolysis</t>
  </si>
  <si>
    <t>Cell membrane; Cytoplasm; Membrane</t>
  </si>
  <si>
    <t>Magnesium; Metal-binding</t>
  </si>
  <si>
    <t>Lyase</t>
  </si>
  <si>
    <t>Acetylation; Hydroxylation; Isopeptide bond; Phosphoprotein; Ubl conjugation</t>
  </si>
  <si>
    <t>canonical glycolysis {GO:0061621}; cellular response to interleukin-7 {GO:0098761}; gluconeogenesis {GO:0006094}; glycolytic process {GO:0006096}; in utero embryonic development {GO:0001701}; negative regulation of cell growth {GO:0030308}; negative regulation of DNA-templated transcription {GO:0045892}; negative regulation of hypoxia-induced intrinsic apoptotic signaling pathway {GO:1903298}; negative regulation of transcription by RNA polymerase II {GO:0000122}; positive regulation of ATP biosynthetic process {GO:2001171}; positive regulation of binding {GO:0051099}; positive regulation of muscle contraction {GO:0045933}; positive regulation of plasminogen activation {GO:0010756}</t>
  </si>
  <si>
    <t>cell cortex {GO:0005938}; cell surface {GO:0009986}; cytoplasm {GO:0005737}; cytosol {GO:0005829}; extrinsic component of plasma membrane {GO:0019897}; growth cone {GO:0030426}; membrane {GO:0016020}; membrane raft {GO:0045121}; myelin sheath {GO:0043209}; neuron projection {GO:0043005}; nuclear outer membrane {GO:0005640}; phosphopyruvate hydratase complex {GO:0000015}; plasma membrane {GO:0005886}; synaptic membrane {GO:0097060}</t>
  </si>
  <si>
    <t>DNA-binding transcription repressor activity, RNA polymerase II-specific {GO:0001227}; enzyme binding {GO:0019899}; GTPase binding {GO:0051020}; heat shock protein binding {GO:0031072}; identical protein binding {GO:0042802}; magnesium ion binding {GO:0000287}; phosphopyruvate hydratase activity {GO:0004634}; protein homodimerization activity {GO:0042803}; protein-containing complex binding {GO:0044877}; RNA binding {GO:0003723}; RNA polymerase II transcription regulatory region sequence-specific DNA binding {GO:0000977}; transcription corepressor activity {GO:0003714}; transcription corepressor binding {GO:0001222}</t>
  </si>
  <si>
    <t>Carbohydrate degradation; glycolysis; pyruvate from D- glyceraldehyde 3-phosphate: step 4/5.</t>
  </si>
  <si>
    <t>Glycolysis {R-MMU-70171}; Gluconeogenesis {R-MMU-70263}</t>
  </si>
  <si>
    <t>sp|O35486|CRYGS_MOUSE</t>
  </si>
  <si>
    <t>Gamma-crystallin S</t>
  </si>
  <si>
    <t>Beta-crystallin S; Gamma-S-crystallin</t>
  </si>
  <si>
    <t>CRYGS_MOUSE</t>
  </si>
  <si>
    <t>O35486</t>
  </si>
  <si>
    <t>MGI:1298216</t>
  </si>
  <si>
    <t>lens development in camera-type eye {GO:0002088}; morphogenesis of an epithelium {GO:0002009}; visual perception {GO:0007601}</t>
  </si>
  <si>
    <t>sp|P10854|H2B1M_MOUSE</t>
  </si>
  <si>
    <t>Histone H2B type 1-M</t>
  </si>
  <si>
    <t>H2B 291B</t>
  </si>
  <si>
    <t>H2B1M_MOUSE</t>
  </si>
  <si>
    <t>P10854</t>
  </si>
  <si>
    <t>Q5T008</t>
  </si>
  <si>
    <t>MGI:2448404</t>
  </si>
  <si>
    <t>Acetylation; ADP-ribosylation; Chromosome; DNA-binding; Glycoprotein; Hydroxylation; Isopeptide bond; Methylation; Nucleosome core; Nucleus; Phosphoprotein; Ubl conjugation</t>
  </si>
  <si>
    <t>Chromosome; Nucleosome core; Nucleus</t>
  </si>
  <si>
    <t>DNA-binding</t>
  </si>
  <si>
    <t>ADP-ribosylation; Acetylation; Glycoprotein; Hydroxylation; Isopeptide bond; Methylation; Phosphoprotein; Ubl conjugation</t>
  </si>
  <si>
    <t>nucleosome assembly {GO:0006334}</t>
  </si>
  <si>
    <t>cytosol {GO:0005829}; nucleoplasm {GO:0005654}; nucleosome {GO:0000786}; nucleus {GO:0005634}</t>
  </si>
  <si>
    <t>DNA binding {GO:0003677}; protein heterodimerization activity {GO:0046982}; structural constituent of chromatin {GO:0030527}</t>
  </si>
  <si>
    <t>HATs acetylate histones {R-MMU-3214847}</t>
  </si>
  <si>
    <t>sp|P58252|EF2_MOUSE</t>
  </si>
  <si>
    <t>Elongation factor 2 (EF-2)</t>
  </si>
  <si>
    <t>EF2_MOUSE</t>
  </si>
  <si>
    <t>P58252</t>
  </si>
  <si>
    <t>Q544E4</t>
  </si>
  <si>
    <t>MGI:95288</t>
  </si>
  <si>
    <t>3D-structure; Acetylation; Cytoplasm; Elongation factor; GTP-binding; Isopeptide bond; Methylation; Nucleotide-binding; Nucleus; Phosphoprotein; Protein biosynthesis; Ubl conjugation</t>
  </si>
  <si>
    <t>Protein biosynthesis</t>
  </si>
  <si>
    <t>GTP-binding; Nucleotide-binding</t>
  </si>
  <si>
    <t>Elongation factor</t>
  </si>
  <si>
    <t>hematopoietic progenitor cell differentiation {GO:0002244}; positive regulation of cytoplasmic translation {GO:2000767}; positive regulation of translation {GO:0045727}; translational elongation {GO:0006414}</t>
  </si>
  <si>
    <t>aggresome {GO:0016235}; cytoplasm {GO:0005737}; cytosol {GO:0005829}; membrane raft {GO:0045121}; plasma membrane {GO:0005886}; polysomal ribosome {GO:0042788}; polysome {GO:0005844}; ribonucleoprotein complex {GO:1990904}; synapse {GO:0045202}</t>
  </si>
  <si>
    <t>5S rRNA binding {GO:0008097}; actin filament binding {GO:0051015}; GTP binding {GO:0005525}; GTPase activity {GO:0003924}; p53 binding {GO:0002039}; protein kinase binding {GO:0019901}; ribosome binding {GO:0043022}; RNA binding {GO:0003723}; translation elongation factor activity {GO:0003746}</t>
  </si>
  <si>
    <t>Peptide chain elongation {R-MMU-156902}; Synthesis of diphthamide-EEF2 {R-MMU-5358493}; Neutrophil degranulation {R-MMU-6798695}; Protein methylation {R-MMU-8876725}</t>
  </si>
  <si>
    <t>sp|P10126|EF1A1_MOUSE</t>
  </si>
  <si>
    <t>Elongation factor 1-alpha 1 (EF-1-alpha-1)</t>
  </si>
  <si>
    <t>Elongation factor Tu (EF-Tu); Eukaryotic elongation factor 1 A-1 (eEF1A-1)</t>
  </si>
  <si>
    <t>EF1A1_MOUSE</t>
  </si>
  <si>
    <t>P10126</t>
  </si>
  <si>
    <t>Q61511; Q6ZWN2; Q8BMB8; Q8BVS8; Q99KU5</t>
  </si>
  <si>
    <t>Eef1a</t>
  </si>
  <si>
    <t>MGI:1096881</t>
  </si>
  <si>
    <t>Acetylation; Cell membrane; Cytoplasm; Elongation factor; GTP-binding; Membrane; Methylation; Nucleotide-binding; Nucleus; Phosphoprotein; Protein biosynthesis; Ubl conjugation</t>
  </si>
  <si>
    <t>Cell membrane; Cytoplasm; Membrane; Nucleus</t>
  </si>
  <si>
    <t>Acetylation; Methylation; Phosphoprotein; Ubl conjugation</t>
  </si>
  <si>
    <t>aging {GO:0007568}; cellular response to epidermal growth factor stimulus {GO:0071364}; cellular response to nerve growth factor stimulus {GO:1990090}; cellular response to xenobiotic stimulus {GO:0071466}; negative regulation of reactive oxygen species biosynthetic process {GO:1903427}; positive regulation by host of viral genome replication {GO:0044829}; positive regulation of cell death {GO:0010942}; positive regulation of neuron projection development {GO:0010976}; regulation of D-erythro-sphingosine kinase activity {GO:1900022}; translation {GO:0006412}; translational elongation {GO:0006414}</t>
  </si>
  <si>
    <t>cortical actin cytoskeleton {GO:0030864}; cytoplasm {GO:0005737}; cytosol {GO:0005829}; myelin sheath {GO:0043209}; nucleolus {GO:0005730}; nucleus {GO:0005634}; plasma membrane {GO:0005886}; ruffle membrane {GO:0032587}</t>
  </si>
  <si>
    <t>calmodulin binding {GO:0005516}; GTP binding {GO:0005525}; GTPase activity {GO:0003924}; heterocyclic compound binding {GO:1901363}; identical protein binding {GO:0042802}; kinase binding {GO:0019900}; mRNA binding {GO:0003729}; protein kinase binding {GO:0019901}; translation elongation factor activity {GO:0003746}; tRNA binding {GO:0000049}</t>
  </si>
  <si>
    <t>Eukaryotic Translation Elongation {R-MMU-156842}; HSF1 activation {R-MMU-3371511}; Neutrophil degranulation {R-MMU-6798695}; Protein methylation {R-MMU-8876725}</t>
  </si>
  <si>
    <t>sp|P20152|VIME_MOUSE</t>
  </si>
  <si>
    <t>Vimentin</t>
  </si>
  <si>
    <t>VIME_MOUSE</t>
  </si>
  <si>
    <t>P20152</t>
  </si>
  <si>
    <t>O08704; Q8CCH1</t>
  </si>
  <si>
    <t>MGI:98932</t>
  </si>
  <si>
    <t>Acetylation; Cell membrane; Coiled coil; Cytoplasm; Cytoskeleton; Glycoprotein; Intermediate filament; Isopeptide bond; Membrane; Nucleus; Phosphoprotein; S-nitrosylation; Ubl conjugation</t>
  </si>
  <si>
    <t>Cell membrane; Cytoplasm; Cytoskeleton; Intermediate filament; Membrane; Nucleus</t>
  </si>
  <si>
    <t>Coiled coil</t>
  </si>
  <si>
    <t>Acetylation; Glycoprotein; Isopeptide bond; Phosphoprotein; S-nitrosylation; Ubl conjugation</t>
  </si>
  <si>
    <t>astrocyte development {GO:0014002}; Bergmann glial cell differentiation {GO:0060020}; cellular response to interferon-gamma {GO:0071346}; cellular response to lipopolysaccharide {GO:0071222}; cellular response to muramyl dipeptide {GO:0071225}; intermediate filament organization {GO:0045109}; intermediate filament-based process {GO:0045103}; lens fiber cell development {GO:0070307}; negative regulation of neuron projection development {GO:0010977}; neuron projection development {GO:0031175}; positive regulation of collagen biosynthetic process {GO:0032967}; positive regulation of gene expression {GO:0010628}; positive regulation of glial cell proliferation {GO:0060252}; positive regulation of translation {GO:0045727}; regulation of axonogenesis {GO:0050770}; regulation of mRNA stability {GO:0043488}; regulation of Schwann cell migration {GO:1900147}; SMAD protein signal transduction {GO:0060395}</t>
  </si>
  <si>
    <t>axon {GO:0030424}; cell body {GO:0044297}; cell leading edge {GO:0031252}; cell projection {GO:0042995}; cytoplasm {GO:0005737}; cytoskeleton {GO:0005856}; cytosol {GO:0005829}; intermediate filament {GO:0005882}; intermediate filament cytoskeleton {GO:0045111}; neuron projection {GO:0043005}; nuclear matrix {GO:0016363}; perinuclear region of cytoplasm {GO:0048471}; peroxisome {GO:0005777}; phagocytic vesicle {GO:0045335}; plasma membrane {GO:0005886}; polysome {GO:0005844}; ribonucleoprotein complex {GO:1990904}; type III intermediate filament {GO:0045098}</t>
  </si>
  <si>
    <t>double-stranded RNA binding {GO:0003725}; identical protein binding {GO:0042802}; keratin filament binding {GO:1990254}; kinase binding {GO:0019900}; protein domain specific binding {GO:0019904}; protein phosphatase 2A binding {GO:0051721}; protein tyrosine kinase binding {GO:1990782}; RNA binding {GO:0003723}; scaffold protein binding {GO:0097110}; structural constituent of cytoskeleton {GO:0005200}; structural constituent of eye lens {GO:0005212}</t>
  </si>
  <si>
    <t>Caspase-mediated cleavage of cytoskeletal proteins {R-MMU-264870}; Striated Muscle Contraction {R-MMU-390522}; RHOBTB1 GTPase cycle {R-MMU-9013422}; Aggrephagy {R-MMU-9646399}</t>
  </si>
  <si>
    <t>sp|P52480|KPYM_MOUSE</t>
  </si>
  <si>
    <t>Pyruvate kinase PKM</t>
  </si>
  <si>
    <t>Pyruvate kinase muscle isozyme; Threonine-protein kinase PKM2; Tyrosine-protein kinase PKM2</t>
  </si>
  <si>
    <t>KPYM_MOUSE</t>
  </si>
  <si>
    <t>P52480</t>
  </si>
  <si>
    <t>Q3TBV8; Q3TBW5; Q3TC59; Q3U1X3; Q3U5P6; Q4VC20; Q64484; Q91YI8; Q9CWB1</t>
  </si>
  <si>
    <t>Pk3; Pkm2; Pykm</t>
  </si>
  <si>
    <t>MGI:97591</t>
  </si>
  <si>
    <t>Acetylation; Allosteric enzyme; Alternative splicing; ATP-binding; Cytoplasm; Glycolysis; Hydroxylation; Isopeptide bond; Kinase; Magnesium; Metal-binding; Methylation; Nucleotide-binding; Nucleus; Phosphoprotein; Potassium; Pyruvate; Transferase; Translation regulation; Ubl conjugation</t>
  </si>
  <si>
    <t>Glycolysis; Translation regulation</t>
  </si>
  <si>
    <t>ATP-binding; Magnesium; Metal-binding; Nucleotide-binding; Potassium; Pyruvate</t>
  </si>
  <si>
    <t>Allosteric enzyme; Kinase; Transferase</t>
  </si>
  <si>
    <t>Acetylation; Hydroxylation; Isopeptide bond; Methylation; Phosphoprotein; Ubl conjugation</t>
  </si>
  <si>
    <t>animal organ regeneration {GO:0031100}; ATP biosynthetic process {GO:0006754}; canonical glycolysis {GO:0061621}; cellular response to insulin stimulus {GO:0032869}; glucose metabolic process {GO:0006006}; glycolytic process {GO:0006096}; liver development {GO:0001889}; positive regulation of cytoplasmic translation {GO:2000767}; positive regulation of sprouting angiogenesis {GO:1903672}; positive regulation of transcription by RNA polymerase II {GO:0045944}; programmed cell death {GO:0012501}; protein homotetramerization {GO:0051289}; protein tetramerization {GO:0051262}; pyruvate biosynthetic process {GO:0042866}; pyruvate metabolic process {GO:0006090}; skeletal muscle tissue regeneration {GO:0043403}</t>
  </si>
  <si>
    <t>cilium {GO:0005929}; collagen-containing extracellular matrix {GO:0062023}; cytoplasm {GO:0005737}; cytosol {GO:0005829}; mitochondrion {GO:0005739}; myelin sheath {GO:0043209}; nucleus {GO:0005634}; pyruvate kinase complex {GO:1902912}; rough endoplasmic reticulum {GO:0005791}</t>
  </si>
  <si>
    <t>ADP binding {GO:0043531}; ATP binding {GO:0005524}; histone kinase activity (H3-T11 specific) {GO:0035402}; identical protein binding {GO:0042802}; magnesium ion binding {GO:0000287}; mRNA binding {GO:0003729}; potassium ion binding {GO:0030955}; protein dimerization activity {GO:0046983}; protein homodimerization activity {GO:0042803}; protein tyrosine kinase activity {GO:0004713}; pyruvate kinase activity {GO:0004743}; thyroid hormone binding {GO:0070324}; transcription coactivator activity {GO:0003713}</t>
  </si>
  <si>
    <t>Carbohydrate degradation; glycolysis; pyruvate from D- glyceraldehyde 3-phosphate: step 5/5..</t>
  </si>
  <si>
    <t>Neutrophil degranulation {R-MMU-6798695}; Glycolysis {R-MMU-70171}</t>
  </si>
  <si>
    <t>sp|P16858|G3P_MOUSE</t>
  </si>
  <si>
    <t>Glyceraldehyde-3-phosphate dehydrogenase (GAPDH)</t>
  </si>
  <si>
    <t>Peptidyl-cysteine S-nitrosylase GAPDH</t>
  </si>
  <si>
    <t>G3P_MOUSE</t>
  </si>
  <si>
    <t>P16858</t>
  </si>
  <si>
    <t>A6H6A8; Q0QEU0; Q3THM2; Q3TUI2; Q3UMT2; Q4V783; Q569X2; Q569X5; Q5U410</t>
  </si>
  <si>
    <t>Gapd</t>
  </si>
  <si>
    <t>MGI:95640</t>
  </si>
  <si>
    <t>3D-structure; Acetylation; ADP-ribosylation; Apoptosis; Cytoplasm; Cytoskeleton; Glycolysis; Immunity; Innate immunity; Isopeptide bond; Methylation; NAD; Nucleus; Oxidoreductase; Phosphoprotein; S-nitrosylation; Transferase; Translation regulation; Ubl conjugation</t>
  </si>
  <si>
    <t>Apoptosis; Glycolysis; Immunity; Innate immunity; Translation regulation</t>
  </si>
  <si>
    <t>Cytoplasm; Cytoskeleton; Nucleus</t>
  </si>
  <si>
    <t>NAD</t>
  </si>
  <si>
    <t>Oxidoreductase; Transferase</t>
  </si>
  <si>
    <t>ADP-ribosylation; Acetylation; Isopeptide bond; Methylation; Phosphoprotein; S-nitrosylation; Ubl conjugation</t>
  </si>
  <si>
    <t>antimicrobial humoral immune response mediated by antimicrobial peptide {GO:0061844}; apoptotic process {GO:0006915}; cAMP-mediated signaling {GO:0019933}; canonical glycolysis {GO:0061621}; carbohydrate metabolic process {GO:0005975}; cellular response to interferon-gamma {GO:0071346}; defense response to fungus {GO:0050832}; gluconeogenesis {GO:0006094}; glycolytic process {GO:0006096}; killing by host of symbiont cells {GO:0051873}; killing of cells of another organism {GO:0031640}; microtubule cytoskeleton organization {GO:0000226}; negative regulation of endopeptidase activity {GO:0010951}; negative regulation of translation {GO:0017148}; negative regulation of vascular associated smooth muscle cell apoptotic process {GO:1905460}; neuron apoptotic process {GO:0051402}; peptidyl-cysteine S-trans-nitrosylation {GO:0035606}; positive regulation of cytokine production {GO:0001819}; positive regulation of I-kappaB kinase/NF-kappaB signaling {GO:0043123}; positive regulation of type I interferon production {GO:0032481}; protein stabilization {GO:0050821}; response to ammonium ion {GO:0060359}</t>
  </si>
  <si>
    <t>cytoplasm {GO:0005737}; cytosol {GO:0005829}; GAIT complex {GO:0097452}; glutamatergic synapse {GO:0098978}; intracellular membrane-bounded organelle {GO:0043231}; late endosome lumen {GO:0031906}; lipid droplet {GO:0005811}; microtubule cytoskeleton {GO:0015630}; mitochondrion {GO:0005739}; myelin sheath {GO:0043209}; nuclear membrane {GO:0031965}; nucleus {GO:0005634}; plasma membrane {GO:0005886}; postsynaptic density, intracellular component {GO:0099092}; ribonucleoprotein complex {GO:1990904}</t>
  </si>
  <si>
    <t>aspartic-type endopeptidase inhibitor activity {GO:0019828}; disordered domain specific binding {GO:0097718}; enzyme binding {GO:0019899}; glyceraldehyde-3-phosphate dehydrogenase (NAD+) (phosphorylating) activity {GO:0004365}; identical protein binding {GO:0042802}; microtubule binding {GO:0008017}; NAD binding {GO:0051287}; NADP binding {GO:0050661}; peptidyl-cysteine S-nitrosylase activity {GO:0035605}</t>
  </si>
  <si>
    <t>Carbohydrate degradation; glycolysis; pyruvate from D- glyceraldehyde 3-phosphate: step 1/5.</t>
  </si>
  <si>
    <t>sp|P68368|TBA4A_MOUSE</t>
  </si>
  <si>
    <t>Tubulin alpha-4A chain</t>
  </si>
  <si>
    <t>Alpha-tubulin 4; Alpha-tubulin isotype M-alpha-4; Tubulin alpha-4 chain</t>
  </si>
  <si>
    <t>TBA4A_MOUSE</t>
  </si>
  <si>
    <t>P68368</t>
  </si>
  <si>
    <t>P05215; Q3TY31</t>
  </si>
  <si>
    <t>Tuba4</t>
  </si>
  <si>
    <t>MGI:1095410</t>
  </si>
  <si>
    <t>Acetylation; Cytoplasm; Cytoskeleton; GTP-binding; Hydrolase; Magnesium; Metal-binding; Methylation; Microtubule; Nitration; Nucleotide-binding; Phosphoprotein</t>
  </si>
  <si>
    <t>Cytoplasm; Cytoskeleton; Microtubule</t>
  </si>
  <si>
    <t>GTP-binding; Magnesium; Metal-binding; Nucleotide-binding</t>
  </si>
  <si>
    <t>Hydrolase</t>
  </si>
  <si>
    <t>Acetylation; Methylation; Nitration; Phosphoprotein</t>
  </si>
  <si>
    <t>microtubule cytoskeleton organization {GO:0000226}; mitotic cell cycle {GO:0000278}</t>
  </si>
  <si>
    <t>cytoplasm {GO:0005737}; cytoskeleton {GO:0005856}; microtubule {GO:0005874}; microtubule cytoskeleton {GO:0015630}</t>
  </si>
  <si>
    <t>enzyme binding {GO:0019899}; GTP binding {GO:0005525}; protein kinase binding {GO:0019901}; structural constituent of cytoskeleton {GO:0005200}</t>
  </si>
  <si>
    <t>Platelet degranulation {R-MMU-114608}; Microtubule-dependent trafficking of connexons from Golgi to the plasma membrane {R-MMU-190840}; MHC class II antigen presentation {R-MMU-2132295}; Separation of Sister Chromatids {R-MMU-2467813}; Resolution of Sister Chromatid Cohesion {R-MMU-2500257}; Regulation of PLK1 Activity at G2/M Transition {R-MMU-2565942}; HSP90 chaperone cycle for steroid hormone receptors (SHR) in the presence of ligand {R-MMU-3371497};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Recycling pathway of L1 {R-MMU-437239}; Hedgehog 'off' state {R-MMU-5610787}; Cilium Assembly {R-MMU-5617833}; Anchoring of the basal body to the plasma membrane {R-MMU-5620912}; Intraflagellar transport {R-MMU-5620924}; RHO GTPases activate IQGAPs {R-MMU-5626467}; RHO GTPases Activate Formins {R-MMU-5663220}; COPI-mediated anterograde transport {R-MMU-6807878}; COPI-dependent Golgi-to-ER retrograde traffic {R-MMU-6811434}; COPI-independent Golgi-to-ER retrograde traffic {R-MMU-6811436}; Mitotic Prometaphase {R-MMU-68877}; The role of GTSE1 in G2/M progression after G2 checkpoint {R-MMU-8852276}; AURKA Activation by TPX2 {R-MMU-8854518}; Carboxyterminal post-translational modifications of tubulin {R-MMU-8955332}; Aggrephagy {R-MMU-9646399}; EML4 and NUDC in mitotic spindle formation {R-MMU-9648025}; Sealing of the nuclear envelope (NE) by ESCRT-III {R-MMU-9668328}; Kinesins {R-MMU-983189}</t>
  </si>
  <si>
    <t>sp|P62806|H4_MOUSE</t>
  </si>
  <si>
    <t>Histone H4</t>
  </si>
  <si>
    <t>H4_MOUSE</t>
  </si>
  <si>
    <t>P62806</t>
  </si>
  <si>
    <t>A0AUM5; A4FUP8; A4QMY0; P02304; P02305; Q0VDL9; Q2M2Q5; Q5T006; Q6PDS7; Q811M0; Q9D0C9; Q9D6Q8</t>
  </si>
  <si>
    <t>Hist1h4a</t>
  </si>
  <si>
    <t>MGI:2448419</t>
  </si>
  <si>
    <t>3D-structure; Acetylation; Chromosome; Citrullination; DNA-binding; Hydroxylation; Isopeptide bond; Methylation; Nucleosome core; Nucleus; Phosphoprotein; Ubl conjugation</t>
  </si>
  <si>
    <t>Acetylation; Citrullination; Hydroxylation; Isopeptide bond; Methylation; Phosphoprotein; Ubl conjugation</t>
  </si>
  <si>
    <t>nucleosome assembly {GO:0006334}; protein localization to CENP-A containing chromatin {GO:0061644}</t>
  </si>
  <si>
    <t>CENP-A containing nucleosome {GO:0043505}; nuclear chromosome {GO:0000228}; nucleoplasm {GO:0005654}; nucleosome {GO:0000786}; nucleus {GO:0005634}; protein-containing complex {GO:0032991}</t>
  </si>
  <si>
    <t>DNA binding {GO:0003677}; protein domain specific binding {GO:0019904}; protein heterodimerization activity {GO:0046982}; structural constituent of chromatin {GO:0030527}</t>
  </si>
  <si>
    <t>PRC2 methylates histones and DNA {R-MMU-212300}; Condensation of Prophase Chromosomes {R-MMU-2299718}; PKMTs methylate histone lysines {R-MMU-3214841}; HDMs demethylate histones {R-MMU-3214842}; HATs acetylate histones {R-MMU-3214847}; RMTs methylate histone arginines {R-MMU-3214858}; SUMOylation of chromatin organization proteins {R-MMU-4551638}; Recruitment and ATM-mediated phosphorylation of repair and signaling proteins at DNA double strand breaks {R-MMU-5693565}; Nonhomologous End-Joining (NHEJ) {R-MMU-5693571}; Processing of DNA double-strand break ends {R-MMU-5693607}; Deposition of new CENPA-containing nucleosomes at the centromere {R-MMU-606279}; G2/M DNA damage checkpoint {R-MMU-69473}; RUNX1 regulates genes involved in megakaryocyte differentiation and platelet function {R-MMU-8936459}; Estrogen-dependent gene expression {R-MMU-9018519}</t>
  </si>
  <si>
    <t>sp|Q62261|SPTB2_MOUSE</t>
  </si>
  <si>
    <t>Spectrin beta chain, non-erythrocytic 1</t>
  </si>
  <si>
    <t>Beta-II spectrin; Embryonic liver fodrin; Fodrin beta chain</t>
  </si>
  <si>
    <t>SPTB2_MOUSE</t>
  </si>
  <si>
    <t>Q62261</t>
  </si>
  <si>
    <t>A2AFU1; Q3TEM7; Q5SQL8; Q5SQL9; Q9QWJ7</t>
  </si>
  <si>
    <t>Elf; Spnb-2; Spnb2; Sptb2</t>
  </si>
  <si>
    <t>MGI:98388</t>
  </si>
  <si>
    <t>3D-structure; Acetylation; Actin capping; Actin-binding; Alternative splicing; Calmodulin-binding; Cell membrane; Cytoplasm; Cytoskeleton; Glycoprotein; Membrane; Phosphoprotein; Repeat</t>
  </si>
  <si>
    <t>Cell membrane; Cytoplasm; Cytoskeleton; Membrane</t>
  </si>
  <si>
    <t>Acetylation; Glycoprotein; Phosphoprotein</t>
  </si>
  <si>
    <t>actin cytoskeleton organization {GO:0030036}; actin filament capping {GO:0051693}; central nervous system development {GO:0007417}; central nervous system formation {GO:0021556}; common-partner SMAD protein phosphorylation {GO:0007182}; Golgi to plasma membrane protein transport {GO:0043001}; membrane assembly {GO:0071709}; mitotic cytokinesis {GO:0000281}; plasma membrane organization {GO:0007009}; positive regulation of interleukin-2 production {GO:0032743}; positive regulation of protein localization to plasma membrane {GO:1903078}; protein localization to plasma membrane {GO:0072659}; regulation of protein localization to plasma membrane {GO:1903076}; regulation of SMAD protein signal transduction {GO:0060390}</t>
  </si>
  <si>
    <t>axolemma {GO:0030673}; cell junction {GO:0030054}; cell projection {GO:0042995}; cortical actin cytoskeleton {GO:0030864}; cortical cytoskeleton {GO:0030863}; cuticular plate {GO:0032437}; cytoplasm {GO:0005737}; cytosol {GO:0005829}; endomembrane system {GO:0012505}; glutamatergic synapse {GO:0098978}; M band {GO:0031430}; membrane {GO:0016020}; nucleolus {GO:0005730}; nucleus {GO:0005634}; plasma membrane {GO:0005886}; postsynapse {GO:0098794}; postsynaptic density {GO:0014069}; protein-containing complex {GO:0032991}; spectrin {GO:0008091}</t>
  </si>
  <si>
    <t>actin filament binding {GO:0051015}; ankyrin binding {GO:0030506}; calmodulin binding {GO:0005516}; GTPase binding {GO:0051020}; phospholipid binding {GO:0005543}; protein-containing complex binding {GO:0044877}; structural constituent of cytoskeleton {GO:0005200}</t>
  </si>
  <si>
    <t>NCAM signaling for neurite out-growth {R-MMU-375165}; Interaction between L1 and Ankyrins {R-MMU-445095}; RAF/MAP kinase cascade {R-MMU-5673001}; COPI-mediated anterograde transport {R-MMU-6807878}; RHOU GTPase cycle {R-MMU-9013420}; RHOV GTPase cycle {R-MMU-9013424}</t>
  </si>
  <si>
    <t>sp|P11499|HS90B_MOUSE</t>
  </si>
  <si>
    <t>Heat shock protein HSP 90-beta</t>
  </si>
  <si>
    <t>Heat shock 84 kDa (HSP 84; HSP84); Tumor-specific transplantation 84 kDa antigen (TSTA)</t>
  </si>
  <si>
    <t>HS90B_MOUSE</t>
  </si>
  <si>
    <t>P11499</t>
  </si>
  <si>
    <t>O89078; Q3UIQ7</t>
  </si>
  <si>
    <t>Hsp84; Hsp84-1; Hspcb</t>
  </si>
  <si>
    <t>MGI:96247</t>
  </si>
  <si>
    <t>Acetylation; ATP-binding; Cell membrane; Chaperone; Cytoplasm; Glycoprotein; Membrane; Methylation; Nucleotide-binding; Nucleus; Phosphoprotein; S-nitrosylation; Secreted; Stress response; Ubl conjugation</t>
  </si>
  <si>
    <t>Stress response</t>
  </si>
  <si>
    <t>Cell membrane; Cytoplasm; Membrane; Nucleus; Secreted</t>
  </si>
  <si>
    <t>Chaperone</t>
  </si>
  <si>
    <t>Acetylation; Glycoprotein; Methylation; Phosphoprotein; S-nitrosylation; Ubl conjugation</t>
  </si>
  <si>
    <t>axon extension {GO:0048675}; cellular response to heat {GO:0034605}; cellular response to interleukin-4 {GO:0071353}; cellular response to organic cyclic compound {GO:0071407}; central nervous system neuron axonogenesis {GO:0021955}; chaperone-mediated protein complex assembly {GO:0051131}; establishment of cell polarity {GO:0030010}; negative regulation of apoptotic process {GO:0043066}; negative regulation of complement-dependent cytotoxicity {GO:1903660}; negative regulation of neuron apoptotic process {GO:0043524}; negative regulation of proteasomal protein catabolic process {GO:1901799}; negative regulation of proteasomal ubiquitin-dependent protein catabolic process {GO:0032435}; negative regulation of protein metabolic process {GO:0051248}; negative regulation of transforming growth factor beta activation {GO:1901389}; placenta development {GO:0001890}; positive regulation of cell differentiation {GO:0045597}; positive regulation of cell size {GO:0045793}; positive regulation of cyclin-dependent protein kinase activity {GO:1904031}; positive regulation of nitric oxide biosynthetic process {GO:0045429}; positive regulation of peptidyl-serine phosphorylation {GO:0033138}; positive regulation of phosphoprotein phosphatase activity {GO:0032516}; positive regulation of protein binding {GO:0032092}; positive regulation of protein import into nucleus {GO:0042307}; positive regulation of protein kinase B signaling {GO:0051897}; positive regulation of protein localization to cell surface {GO:2000010}; positive regulation of protein serine/threonine kinase activity {GO:0071902}; positive regulation of telomerase activity {GO:0051973}; positive regulation of transforming growth factor beta receptor signaling pathway {GO:0030511}; protein folding {GO:0006457}; protein stabilization {GO:0050821}; regulation of cell cycle {GO:0051726}; regulation of protein localization {GO:0032880}; regulation of protein ubiquitination {GO:0031396}; response to cocaine {GO:0042220}; response to organic substance {GO:0010033}; response to salt stress {GO:0009651}; response to xenobiotic stimulus {GO:0009410}; supramolecular fiber organization {GO:0097435}; telomerase holoenzyme complex assembly {GO:1905323}; telomere maintenance via telomerase {GO:0007004}; virion attachment to host cell {GO:0019062}</t>
  </si>
  <si>
    <t>apical plasma membrane {GO:0016324}; aryl hydrocarbon receptor complex {GO:0034751}; axonal growth cone {GO:0044295}; basolateral plasma membrane {GO:0016323}; brush border membrane {GO:0031526}; cell surface {GO:0009986}; COP9 signalosome {GO:0008180}; cytoplasm {GO:0005737}; cytosol {GO:0005829}; dendritic growth cone {GO:0044294}; dynein axonemal particle {GO:0120293}; extracellular region {GO:0005576}; HSP90-CDC37 chaperone complex {GO:1990565}; inclusion body {GO:0016234}; lysosomal membrane {GO:0005765}; melanosome {GO:0042470}; mitochondrion {GO:0005739}; neuronal cell body {GO:0043025}; nucleus {GO:0005634}; ooplasm {GO:1990917}; perinuclear region of cytoplasm {GO:0048471}; plasma membrane {GO:0005886}; protein-containing complex {GO:0032991}; sperm head plasma membrane {GO:1990913}</t>
  </si>
  <si>
    <t>ATP binding {GO:0005524}; ATP hydrolysis activity {GO:0016887}; ATP-dependent protein binding {GO:0043008}; ATP-dependent protein folding chaperone {GO:0140662}; CTP binding {GO:0002135}; dATP binding {GO:0032564}; disordered domain specific binding {GO:0097718}; DNA polymerase binding {GO:0070182}; double-stranded RNA binding {GO:0003725}; GTP binding {GO:0005525}; heat shock protein binding {GO:0031072}; heterocyclic compound binding {GO:1901363}; histone deacetylase binding {GO:0042826}; histone methyltransferase binding {GO:1990226}; identical protein binding {GO:0042802}; kinase binding {GO:0019900}; nitric-oxide synthase regulator activity {GO:0030235}; peptide binding {GO:0042277}; protein dimerization activity {GO:0046983}; protein folding chaperone {GO:0044183}; protein homodimerization activity {GO:0042803}; protein kinase binding {GO:0019901}; sulfonylurea receptor binding {GO:0017098}; tau protein binding {GO:0048156}; TPR domain binding {GO:0030911}; transmembrane transporter binding {GO:0044325}; ubiquitin protein ligase binding {GO:0031625}; unfolded protein binding {GO:0051082}; UTP binding {GO:0002134}</t>
  </si>
  <si>
    <t>DDX58/IFIH1-mediated induction of interferon-alpha/beta {R-MMU-168928}; Regulation of actin dynamics for phagocytic cup formation {R-MMU-2029482}; HSP90 chaperone cycle for steroid hormone receptors (SHR) in the presence of ligand {R-MMU-3371497}; HSF1 activation {R-MMU-3371511}; Attenuation phase {R-MMU-3371568}; HSF1-dependent transactivation {R-MMU-3371571}; Sema3A PAK dependent Axon repulsion {R-MMU-399954}; Neutrophil degranulation {R-MMU-6798695}; The NLRP3 inflammasome {R-MMU-844456}; The role of GTSE1 in G2/M progression after G2 checkpoint {R-MMU-8852276}; Aryl hydrocarbon receptor signalling {R-MMU-8937144}; ESR-mediated signaling {R-MMU-8939211}; RHOBTB2 GTPase cycle {R-MMU-9013418}; Estrogen-dependent gene expression {R-MMU-9018519}</t>
  </si>
  <si>
    <t>sp|Q9QXS1|PLEC_MOUSE</t>
  </si>
  <si>
    <t>Plectin (PCN; PLTN)</t>
  </si>
  <si>
    <t>Plectin-1; Plectin-6</t>
  </si>
  <si>
    <t>PLEC_MOUSE</t>
  </si>
  <si>
    <t>Q9QXS1</t>
  </si>
  <si>
    <t>E9QN87; Q6S384; Q6S389; Q6S394; Q9CS65; Q9QUT2; Q9QXQ8; Q9QXQ9; Q9QXR0; Q9QXR1; Q9QXR2; Q9QXR3; Q9QXR4; Q9QXR5; Q9QXR6; Q9QXR7; Q9QXR8; Q9QXR9; Q9QXS0; Q9QXS2; Q9QXS3</t>
  </si>
  <si>
    <t>Plec1</t>
  </si>
  <si>
    <t>MGI:1277961</t>
  </si>
  <si>
    <t>3D-structure; Acetylation; Actin-binding; Alternative splicing; Cell junction; Coiled coil; Cytoplasm; Cytoskeleton; Methylation; Phosphoprotein; Repeat; SH3 domain</t>
  </si>
  <si>
    <t>Cell junction; Cytoplasm; Cytoskeleton</t>
  </si>
  <si>
    <t>Coiled coil; Repeat; SH3 domain</t>
  </si>
  <si>
    <t>Actin-binding</t>
  </si>
  <si>
    <t>actin cytoskeleton organization {GO:0030036}; actin cytoskeleton reorganization {GO:0031532}; actin filament organization {GO:0007015}; actomyosin contractile ring assembly actin filament organization {GO:2000689}; adherens junction organization {GO:0034332}; cardiac muscle cell development {GO:0055013}; cell morphogenesis {GO:0000902}; cell motility {GO:0048870}; cellular response to extracellular stimulus {GO:0031668}; cellular response to fluid shear stress {GO:0071498}; cellular response to hydrostatic pressure {GO:0071464}; cellular response to mechanical stimulus {GO:0071260}; establishment of skin barrier {GO:0061436}; fibroblast migration {GO:0010761}; gene expression {GO:0010467}; hemidesmosome assembly {GO:0031581}; intermediate filament cytoskeleton organization {GO:0045104}; intermediate filament organization {GO:0045109}; keratinocyte development {GO:0003334}; keratinocyte differentiation {GO:0030216}; leukocyte migration involved in immune response {GO:0002522}; mitochondrion morphogenesis {GO:0070584}; mitochondrion organization {GO:0007005}; multicellular organism growth {GO:0035264}; myelination in peripheral nervous system {GO:0022011}; myoblast differentiation {GO:0045445}; negative regulation of protein kinase activity {GO:0006469}; nucleus organization {GO:0006997}; peripheral nervous system myelin maintenance {GO:0032287}; protein localization {GO:0008104}; protein-containing complex organization {GO:0043933}; regulation of ATP citrate synthase activity {GO:2000983}; regulation of vascular permeability {GO:0043114}; respiratory electron transport chain {GO:0022904}; response to food {GO:0032094}; response to nutrient {GO:0007584}; sarcomere organization {GO:0045214}; skeletal muscle fiber development {GO:0048741}; skeletal muscle tissue development {GO:0007519}; skeletal myofibril assembly {GO:0014866}; skin development {GO:0043588}; T cell chemotaxis {GO:0010818}; tight junction organization {GO:0120193}; transmission of nerve impulse {GO:0019226}; wound healing {GO:0042060}</t>
  </si>
  <si>
    <t>apical plasma membrane {GO:0016324}; axon {GO:0030424}; basal plasma membrane {GO:0009925}; brush border {GO:0005903}; cell periphery {GO:0071944}; contractile fiber {GO:0043292}; cytoplasm {GO:0005737}; cytosol {GO:0005829}; dendrite {GO:0030425}; focal adhesion {GO:0005925}; hemidesmosome {GO:0030056}; intermediate filament cytoskeleton {GO:0045111}; membrane {GO:0016020}; mitochondrial outer membrane {GO:0005741}; myelin sheath {GO:0043209}; myofibril {GO:0030016}; perinuclear region of cytoplasm {GO:0048471}; sarcolemma {GO:0042383}; sarcoplasm {GO:0016528}; Z disc {GO:0030018}</t>
  </si>
  <si>
    <t>actin binding {GO:0003779}; actin filament binding {GO:0051015}; ankyrin binding {GO:0030506}; cytoskeletal protein binding {GO:0008092}; dystroglycan binding {GO:0002162}; protein N-terminus binding {GO:0047485}; protein self-association {GO:0043621}; structural constituent of cytoskeleton {GO:0005200}; structural constituent of muscle {GO:0008307}; structural molecule activity {GO:0005198}</t>
  </si>
  <si>
    <t>Caspase-mediated cleavage of cytoskeletal proteins {R-MMU-264870}; Type I hemidesmosome assembly {R-MMU-446107}</t>
  </si>
  <si>
    <t>sp|P09411|PGK1_MOUSE</t>
  </si>
  <si>
    <t>Phosphoglycerate kinase 1</t>
  </si>
  <si>
    <t>PGK1_MOUSE</t>
  </si>
  <si>
    <t>P09411</t>
  </si>
  <si>
    <t>Q3TPE6; Q3UKV8; Q5XJE7</t>
  </si>
  <si>
    <t>Pgk-1</t>
  </si>
  <si>
    <t>MGI:97555</t>
  </si>
  <si>
    <t>3D-structure; Acetylation; ATP-binding; Cytoplasm; Glycolysis; Hydroxylation; Kinase; Nucleotide-binding; Phosphoprotein; Transferase</t>
  </si>
  <si>
    <t>Cytoplasm</t>
  </si>
  <si>
    <t>Kinase; Transferase</t>
  </si>
  <si>
    <t>Acetylation; Hydroxylation; Phosphoprotein</t>
  </si>
  <si>
    <t>canonical glycolysis {GO:0061621}; cellular response to hypoxia {GO:0071456}; epithelial cell differentiation {GO:0030855}; gluconeogenesis {GO:0006094}; glycolytic process {GO:0006096}; negative regulation of angiogenesis {GO:0016525}; phosphorylation {GO:0016310}; plasminogen activation {GO:0031639}</t>
  </si>
  <si>
    <t>cytoplasm {GO:0005737}; cytosol {GO:0005829}; extracellular space {GO:0005615}; membrane raft {GO:0045121}</t>
  </si>
  <si>
    <t>ADP binding {GO:0043531}; ATP binding {GO:0005524}; phosphoglycerate kinase activity {GO:0004618}; protein-disulfide reductase (NAD(P)) activity {GO:0047134}</t>
  </si>
  <si>
    <t>Carbohydrate degradation; glycolysis; pyruvate from D- glyceraldehyde 3-phosphate: step 2/5..</t>
  </si>
  <si>
    <t>sp|Q8BKC5|IPO5_MOUSE</t>
  </si>
  <si>
    <t>Importin-5 (Imp5)</t>
  </si>
  <si>
    <t>Importin subunit beta-3; Karyopherin beta-3; Ran-binding protein 5 (RanBP5)</t>
  </si>
  <si>
    <t>IPO5_MOUSE</t>
  </si>
  <si>
    <t>Q8BKC5</t>
  </si>
  <si>
    <t>Q3TEG2; Q7TQC6; Q9EQ30</t>
  </si>
  <si>
    <t>Kpnb3; Ranbp5</t>
  </si>
  <si>
    <t>MGI:1917822</t>
  </si>
  <si>
    <t>Acetylation; Alternative splicing; Cytoplasm; Nucleus; Phosphoprotein; Protein transport; Repeat; Transport</t>
  </si>
  <si>
    <t>Protein transport; Transport</t>
  </si>
  <si>
    <t>cellular response to amino acid stimulus {GO:0071230}; NLS-bearing protein import into nucleus {GO:0006607}; positive regulation of protein import into nucleus {GO:0042307}; protein import into nucleus {GO:0006606}; ribosomal protein import into nucleus {GO:0006610}</t>
  </si>
  <si>
    <t>nuclear import signal receptor activity {GO:0061608}; nuclear localization sequence binding {GO:0008139}; small GTPase binding {GO:0031267}</t>
  </si>
  <si>
    <t>sp|P62983|RS27A_MOUSE</t>
  </si>
  <si>
    <t>40S ribosomal protein S27a</t>
  </si>
  <si>
    <t>Ubiquitin carboxyl extension protein 80</t>
  </si>
  <si>
    <t>RS27A_MOUSE</t>
  </si>
  <si>
    <t>P62983</t>
  </si>
  <si>
    <t>P02248; P02249; P02250; P49664; P62991; Q29120; Q62317; Q64223; Q8VCH1; Q91887; Q91888; Q9CXY4; Q9CZM0; Q9D1R5; Q9D2W3; Q9D8D9; Q9ET23; Q9ET24; Q9Z0H9</t>
  </si>
  <si>
    <t>Uba80; Ubcep1</t>
  </si>
  <si>
    <t>MGI:1925544</t>
  </si>
  <si>
    <t>3D-structure; Acetylation; ADP-ribosylation; Cytoplasm; Isopeptide bond; Metal-binding; Nucleus; Phosphoprotein; Ribonucleoprotein; Ribosomal protein; Ubl conjugation; Zinc; Zinc-finger</t>
  </si>
  <si>
    <t>Zinc-finger</t>
  </si>
  <si>
    <t>Ribonucleoprotein; Ribosomal protein</t>
  </si>
  <si>
    <t>ADP-ribosylation; Acetylation; Isopeptide bond; Phosphoprotein; Ubl conjugation</t>
  </si>
  <si>
    <t>cytoplasmic translation {GO:0002181}; modification-dependent protein catabolic process {GO:0019941}; protein ubiquitination {GO:0016567}</t>
  </si>
  <si>
    <t>cytoplasm {GO:0005737}; cytosol {GO:0005829}; cytosolic ribosome {GO:0022626}; cytosolic small ribosomal subunit {GO:0022627}; myelin sheath {GO:0043209}; nucleoplasm {GO:0005654}; nucleus {GO:0005634}</t>
  </si>
  <si>
    <t>metal ion binding {GO:0046872}; protein tag {GO:0031386}; structural constituent of ribosome {GO:0003735}; ubiquitin protein ligase binding {GO:0031625}</t>
  </si>
  <si>
    <t>Translesion synthesis by REV1 {R-MMU-110312}; Recognition of DNA damage by PCNA-containing replication complex {R-MMU-110314}; Translesion Synthesis by POLH {R-MMU-110320}; Activation of NF-kappaB in B cells {R-MMU-1169091}; Oxygen-dependent proline hydroxylation of Hypoxia-inducible Factor Alpha {R-MMU-1234176}; Downregulation of ERBB4 signaling {R-MMU-1253288}; Spry regulation of FGF signaling {R-MMU-1295596}; Downregulation of ERBB2:ERBB3 signaling {R-MMU-1358803}; NOD1/2 Signaling Pathway {R-MMU-168638}; APC/C:Cdc20 mediated degradation of Cyclin B {R-MMU-174048}; Autodegradation of Cdh1 by Cdh1:APC/C {R-MMU-174084}; SCF-beta-TrCP mediated degradation of Emi1 {R-MMU-174113}; APC/C:Cdc20 mediated degradation of Securin {R-MMU-174154}; APC/C:Cdh1 mediated degradation of Cdc20 and other APC/C:Cdh1 targeted proteins in late mitosis/early G1 {R-MMU-174178}; Cdc20:Phospho-APC/C mediated degradation of Cyclin A {R-MMU-174184}; APC-Cdc20 mediated degradation of Nek2A {R-MMU-179409}; EGFR downregulation {R-MMU-182971}; SCF(Skp2)-mediated degradation of p27/p21 {R-MMU-187577}; Degradation of beta-catenin by the destruction complex {R-MMU-195253}; TCF dependent signaling in response to WNT {R-MMU-201681}; Downstream TCR signaling {R-MMU-202424}; NRIF signals cell death from the nucleus {R-MMU-205043}; p75NTR recruits signalling complexes {R-MMU-209543}; NF-kB is activated and signals survival {R-MMU-209560}; Activated NOTCH1 Transmits Signal to the Nucleus {R-MMU-2122948}; Downregulation of TGF-beta receptor signaling {R-MMU-2173788}; TGF-beta receptor signaling in EMT (epithelial to mesenchymal transition) {R-MMU-2173791}; Downregulation of SMAD2/3:SMAD4 transcriptional activity {R-MMU-2173795}; SMAD2/SMAD3:SMAD4 heterotrimer regulates transcription {R-MMU-2173796}; Separation of Sister Chromatids {R-MMU-2467813}; Oxidative Stress Induced Senescence {R-MMU-2559580}; Senescence-Associated Secretory Phenotype (SASP) {R-MMU-2559582}; Oncogene Induced Senescence {R-MMU-2559585}; Regulation of PLK1 Activity at G2/M Transition {R-MMU-2565942}; Stimuli-sensing channels {R-MMU-2672351}; FCERI mediated NF-kB activation {R-MMU-2871837}; Regulation of innate immune responses to cytosolic DNA {R-MMU-3134975}; Autodegradation of the E3 ubiquitin ligase COP1 {R-MMU-349425}; Deactivation of the beta-catenin transactivating complex {R-MMU-3769402}; ABC-family proteins mediated transport {R-MMU-382556}; TAK1-dependent IKK and NF-kappa-B activation {R-MMU-445989}; activated TAK1 mediates p38 MAPK activation {R-MMU-450302}; JNK (c-Jun kinases) phosphorylation and activation mediated by activated human TAK1 {R-MMU-450321}; AUF1 (hnRNP D0) binds and destabilizes mRNA {R-MMU-450408}; Asymmetric localization of PCP proteins {R-MMU-4608870}; Degradation of AXIN {R-MMU-4641257}; Degradation of DVL {R-MMU-4641258}; Regulation of FZD by ubiquitination {R-MMU-4641263}; PINK1-PRKN Mediated Mitophagy {R-MMU-5205685}; N-glycan trimming in the ER and Calnexin/Calreticulin cycle {R-MMU-532668}; Regulation of TNFR1 signaling {R-MMU-5357905}; TNFR1-induced NFkappaB signaling pathway {R-MMU-5357956}; Hedgehog ligand biogenesis {R-MMU-5358346}; Dectin-1 mediated noncanonical NF-kB signaling {R-MMU-5607761}; CLEC7A (Dectin-1) signaling {R-MMU-5607764}; Degradation of GLI1 by the proteasome {R-MMU-5610780}; GLI3 is processed to GLI3R by the proteasome {R-MMU-5610785}; Hedgehog 'on' state {R-MMU-5632684}; Negative regulation of FGFR1 signaling {R-MMU-5654726}; Negative regulation of FGFR2 signaling {R-MMU-5654727}; Negative regulation of FGFR3 signaling {R-MMU-5654732}; Negative regulation of FGFR4 signaling {R-MMU-5654733}; Translesion synthesis by POLK {R-MMU-5655862}; Translesion synthesis by POLI {R-MMU-5656121}; Termination of translesion DNA synthesis {R-MMU-5656169}; Regulation of RAS by GAPs {R-MMU-5658442}; TNFR2 non-canonical NF-kB pathway {R-MMU-5668541}; Negative regulation of MAPK pathway {R-MMU-5675221}; Regulation of necroptotic cell death {R-MMU-5675482}; NIK--&gt;noncanonical NF-kB signaling {R-MMU-5676590}; MAP3K8 (TPL2)-dependent MAPK1/3 activation {R-MMU-5684264}; HDR through Homologous Recombination (HRR) {R-MMU-5685942}; MAPK6/MAPK4 signaling {R-MMU-5687128}; UCH proteinases {R-MMU-5689603}; Josephin domain DUBs {R-MMU-5689877}; Ub-specific processing proteases {R-MMU-5689880}; Ovarian tumor domain proteases {R-MMU-5689896}; Metalloprotease DUBs {R-MMU-5689901}; Recruitment and ATM-mediated phosphorylation of repair and signaling proteins at DNA double strand breaks {R-MMU-5693565}; DNA Damage Recognition in GG-NER {R-MMU-5696394}; Formation of Incision Complex in GG-NER {R-MMU-5696395}; Gap-filling DNA repair synthesis and ligation in GG-NER {R-MMU-5696397}; Dual Incision in GG-NER {R-MMU-5696400}; Formation of TC-NER Pre-Incision Complex {R-MMU-6781823}; Dual incision in TC-NER {R-MMU-6782135}; Gap-filling DNA repair synthesis and ligation in TC-NER {R-MMU-6782210}; Fanconi Anemia Pathway {R-MMU-6783310}; Regulation of TP53 Activity through Phosphorylation {R-MMU-6804756}; Regulation of TP53 Degradation {R-MMU-6804757}; Regulation of TP53 Activity through Methylation {R-MMU-6804760}; Negative regulation of MET activity {R-MMU-6807004}; Assembly of the pre-replicative complex {R-MMU-68867}; Orc1 removal from chromatin {R-MMU-68949}; CDK-mediated phosphorylation and removal of Cdc6 {R-MMU-69017}; Cyclin D associated events in G1 {R-MMU-69231}; G2/M Checkpoints {R-MMU-69481}; Stabilization of p53 {R-MMU-69541}; Ubiquitin Mediated Degradation of Phosphorylated Cdc25A {R-MMU-69601}; Ubiquitin-dependent degradation of Cyclin D {R-MMU-75815}; PTK6 Regulates RTKs and Their Effectors AKT1 and DOK1 {R-MMU-8849469}; The role of GTSE1 in G2/M progression after G2 checkpoint {R-MMU-8852276}; FBXL7 down-regulates AURKA during mitotic entry and in early mitosis {R-MMU-8854050}; Cargo recognition for clathrin-mediated endocytosis {R-MMU-8856825}; Clathrin-mediated endocytosis {R-MMU-8856828}; Downregulation of ERBB2 signaling {R-MMU-8863795}; VLDLR internalisation and degradation {R-MMU-8866427}; Synthesis of active ubiquitin: roles of E1 and E2 enzymes {R-MMU-8866652}; E3 ubiquitin ligases ubiquitinate target proteins {R-MMU-8866654}; RUNX1 regulates transcription of genes involved in differentiation of HSCs {R-MMU-8939236}; Regulation of RUNX2 expression and activity {R-MMU-8939902}; Regulation of RUNX3 expression and activity {R-MMU-8941858}; Regulation of PTEN localization {R-MMU-8948747}; Regulation of PTEN stability and activity {R-MMU-8948751}; Neddylation {R-MMU-8951664}; ER Quality Control Compartment (ERQC) {R-MMU-901032}; Regulation of expression of SLITs and ROBOs {R-MMU-9010553}; NOTCH3 Activation and Transmission of Signal to the Nucleus {R-MMU-9013507}; Interleukin-1 signaling {R-MMU-9020702}; Peroxisomal protein import {R-MMU-9033241}; Regulation of signaling by CBL {R-MMU-912631}; Endosomal Sorting Complex Required For Transport (ESCRT) {R-MMU-917729}; Iron uptake and transport {R-MMU-917937}; Negative regulators of DDX58/IFIH1 signaling {R-MMU-936440}; Activation of IRF3/IRF7 mediated by TBK1/IKK epsilon {R-MMU-936964}; IRAK1 recruits IKK complex {R-MMU-937039}; IKK complex recruitment mediated by RIP1 {R-MMU-937041}; IRAK2 mediated activation of TAK1 complex {R-MMU-937042}; TRAF6-mediated induction of TAK1 complex within TLR4 complex {R-MMU-937072}; Alpha-protein kinase 1 signaling pathway {R-MMU-9645460}; Aggrephagy {R-MMU-9646399}; RAS processing {R-MMU-9648002}; Pexophagy {R-MMU-9664873}; Inactivation of CSF3 (G-CSF) signaling {R-MMU-9705462}; Negative regulation of FLT3 {R-MMU-9706369}; Regulation of BACH1 activity {R-MMU-9708530}; IRAK1 recruits IKK complex upon TLR7/8 or 9 stimulation {R-MMU-975144}; IRAK2 mediated activation of TAK1 complex upon TLR7/8 or 9 stimulation {R-MMU-975163}; KEAP1-NFE2L2 pathway {R-MMU-9755511}; Regulation of NF-kappa B signaling {R-MMU-9758274}; GSK3B and BTRC:CUL1-mediated-degradation of NFE2L2 {R-MMU-9762114}; Antigen processing: Ubiquitination &amp; Proteasome degradation {R-MMU-983168}</t>
  </si>
  <si>
    <t>sp|Q9D8N0|EF1G_MOUSE</t>
  </si>
  <si>
    <t>Elongation factor 1-gamma (EF-1-gamma)</t>
  </si>
  <si>
    <t>eEF-1B gamma</t>
  </si>
  <si>
    <t>EF1G_MOUSE</t>
  </si>
  <si>
    <t>Q9D8N0</t>
  </si>
  <si>
    <t>Q920C5; Q9CRT5; Q9CSU3; Q9D004</t>
  </si>
  <si>
    <t>MGI:1914410</t>
  </si>
  <si>
    <t>Acetylation; Elongation factor; Isopeptide bond; Protein biosynthesis; Ubl conjugation</t>
  </si>
  <si>
    <t>Acetylation; Isopeptide bond; Ubl conjugation</t>
  </si>
  <si>
    <t>response to virus {GO:0009615}; translational elongation {GO:0006414}</t>
  </si>
  <si>
    <t>cytoplasm {GO:0005737}; endoplasmic reticulum {GO:0005783}; nucleus {GO:0005634}</t>
  </si>
  <si>
    <t>translation elongation factor activity {GO:0003746}</t>
  </si>
  <si>
    <t>Eukaryotic Translation Elongation {R-MMU-156842}</t>
  </si>
  <si>
    <t>sp|P13020|GELS_MOUSE</t>
  </si>
  <si>
    <t>Gelsolin</t>
  </si>
  <si>
    <t>Actin-depolymerizing factor (ADF); Brevin</t>
  </si>
  <si>
    <t>GELS_MOUSE</t>
  </si>
  <si>
    <t>P13020</t>
  </si>
  <si>
    <t>Q3UPB1; Q8R590</t>
  </si>
  <si>
    <t>Gsb</t>
  </si>
  <si>
    <t>MGI:95851</t>
  </si>
  <si>
    <t>3D-structure; Acetylation; Actin capping; Actin-binding; Alternative initiation; Calcium; Cilium biogenesis/degradation; Cytoplasm; Cytoskeleton; Disulfide bond; Metal-binding; Phosphoprotein; Repeat; Secreted; Signal</t>
  </si>
  <si>
    <t>Cilium biogenesis/degradation</t>
  </si>
  <si>
    <t>Cytoplasm; Cytoskeleton; Secreted</t>
  </si>
  <si>
    <t>Alternative initiation</t>
  </si>
  <si>
    <t>Repeat; Signal</t>
  </si>
  <si>
    <t>Actin capping; Actin-binding</t>
  </si>
  <si>
    <t>Acetylation; Disulfide bond; Phosphoprotein</t>
  </si>
  <si>
    <t>actin cytoskeleton organization {GO:0030036}; actin filament capping {GO:0051693}; actin filament depolymerization {GO:0030042}; actin filament polymerization {GO:0030041}; actin filament reorganization {GO:0090527}; actin filament severing {GO:0051014}; actin nucleation {GO:0045010}; actin polymerization or depolymerization {GO:0008154}; amyloid fibril formation {GO:1990000}; apoptotic process {GO:0006915}; barbed-end actin filament capping {GO:0051016}; cardiac muscle cell contraction {GO:0086003}; cell projection assembly {GO:0030031}; cellular response to cadmium ion {GO:0071276}; cellular response to interferon-gamma {GO:0071346}; central nervous system development {GO:0007417}; cilium assembly {GO:0060271}; hepatocyte apoptotic process {GO:0097284}; negative regulation of viral entry into host cell {GO:0046597}; phagocytosis, engulfment {GO:0006911}; phosphatidylinositol-mediated signaling {GO:0048015}; positive regulation of actin nucleation {GO:0051127}; positive regulation of cysteine-type endopeptidase activity involved in apoptotic signaling pathway {GO:2001269}; positive regulation of gene expression {GO:0010628}; positive regulation of keratinocyte apoptotic process {GO:1902174}; positive regulation of protein processing in phagocytic vesicle {GO:1903923}; protein destabilization {GO:0031648}; regulation of cell adhesion {GO:0030155}; regulation of establishment of T cell polarity {GO:1903903}; regulation of plasma membrane raft polarization {GO:1903906}; regulation of podosome assembly {GO:0071801}; regulation of receptor clustering {GO:1903909}; relaxation of cardiac muscle {GO:0055119}; renal protein absorption {GO:0097017}; response to muscle stretch {GO:0035994}; sequestering of actin monomers {GO:0042989}; striated muscle atrophy {GO:0014891}; vesicle-mediated transport {GO:0016192}</t>
  </si>
  <si>
    <t>actin cap {GO:0030478}; actin cytoskeleton {GO:0015629}; cortical actin cytoskeleton {GO:0030864}; cytoplasm {GO:0005737}; cytosol {GO:0005829}; extracellular region {GO:0005576}; extracellular space {GO:0005615}; lamellipodium {GO:0030027}; myelin sheath {GO:0043209}; nucleus {GO:0005634}; perinuclear region of cytoplasm {GO:0048471}; phagocytic vesicle {GO:0045335}; plasma membrane {GO:0005886}; podosome {GO:0002102}; protein-containing complex {GO:0032991}; ruffle {GO:0001726}; sarcoplasm {GO:0016528}</t>
  </si>
  <si>
    <t>actin binding {GO:0003779}; actin filament binding {GO:0051015}; calcium ion binding {GO:0005509}; myosin II binding {GO:0045159}; phosphatidylinositol 3-kinase catalytic subunit binding {GO:0036313}; phosphatidylinositol-4,5-bisphosphate binding {GO:0005546}</t>
  </si>
  <si>
    <t>Caspase-mediated cleavage of cytoskeletal proteins {R-MMU-264870}; Neutrophil degranulation {R-MMU-6798695}</t>
  </si>
  <si>
    <t>sp|P28236|CXA8_MOUSE</t>
  </si>
  <si>
    <t>Gap junction alpha-8 protein</t>
  </si>
  <si>
    <t>Connexin-50 (Cx50); Lens fiber protein MP70</t>
  </si>
  <si>
    <t>CXA8_MOUSE</t>
  </si>
  <si>
    <t>P28236</t>
  </si>
  <si>
    <t>MGI:99953</t>
  </si>
  <si>
    <t>Cell junction; Cell membrane; Disulfide bond; Gap junction; Membrane; Transmembrane; Transmembrane helix</t>
  </si>
  <si>
    <t>Cell junction; Cell membrane; Gap junction; Membrane</t>
  </si>
  <si>
    <t>Transmembrane; Transmembrane helix</t>
  </si>
  <si>
    <t>Disulfide bond</t>
  </si>
  <si>
    <t>camera-type eye development {GO:0043010}; cell-cell signaling {GO:0007267}; gap junction-mediated intercellular transport {GO:1990349}; lens development in camera-type eye {GO:0002088}; regulation of catalase activity {GO:1902551}; regulation of glutathione peroxidase activity {GO:1903282}; regulation of granulocyte macrophage colony-stimulating factor production {GO:0032645}</t>
  </si>
  <si>
    <t>connexin complex {GO:0005922}; integral component of membrane {GO:0016021}; integral component of plasma membrane {GO:0005887}; plasma membrane {GO:0005886}</t>
  </si>
  <si>
    <t>gap junction channel activity {GO:0005243}; identical protein binding {GO:0042802}</t>
  </si>
  <si>
    <t>Gap junction assembly {R-MMU-190861}</t>
  </si>
  <si>
    <t>sp|Q8VHL5|CRGN_MOUSE</t>
  </si>
  <si>
    <t>Gamma-crystallin N</t>
  </si>
  <si>
    <t>Gamma-N-crystallin</t>
  </si>
  <si>
    <t>CRGN_MOUSE</t>
  </si>
  <si>
    <t>Q8VHL5</t>
  </si>
  <si>
    <t>Q0IJ73; Q0VAU5</t>
  </si>
  <si>
    <t>MGI:2449167</t>
  </si>
  <si>
    <t>sp|P40142|TKT_MOUSE</t>
  </si>
  <si>
    <t>Transketolase (TK)</t>
  </si>
  <si>
    <t>P68</t>
  </si>
  <si>
    <t>TKT_MOUSE</t>
  </si>
  <si>
    <t>P40142</t>
  </si>
  <si>
    <t>Q3U7Y1; Q3UK62; Q545A1; Q9ESA0</t>
  </si>
  <si>
    <t>MGI:105992</t>
  </si>
  <si>
    <t>Acetylation; Calcium; Isopeptide bond; Magnesium; Metal-binding; Phosphoprotein; Thiamine pyrophosphate; Transferase; Ubl conjugation</t>
  </si>
  <si>
    <t>Calcium; Magnesium; Metal-binding; Thiamine pyrophosphate</t>
  </si>
  <si>
    <t>Transferase</t>
  </si>
  <si>
    <t>Acetylation; Isopeptide bond; Phosphoprotein; Ubl conjugation</t>
  </si>
  <si>
    <t>glyceraldehyde-3-phosphate biosynthetic process {GO:0046166}; pentose-phosphate shunt {GO:0006098}; pentose-phosphate shunt, non-oxidative branch {GO:0009052}; regulation of growth {GO:0040008}; ribose phosphate biosynthetic process {GO:0046390}</t>
  </si>
  <si>
    <t>cytosol {GO:0005829}; endoplasmic reticulum membrane {GO:0005789}; intracellular membrane-bounded organelle {GO:0043231}; myelin sheath {GO:0043209}; nuclear body {GO:0016604}; nucleoplasm {GO:0005654}; peroxisome {GO:0005777}</t>
  </si>
  <si>
    <t>calcium ion binding {GO:0005509}; carbohydrate binding {GO:0030246}; magnesium ion binding {GO:0000287}; monosaccharide binding {GO:0048029}; protein homodimerization activity {GO:0042803}; thiamine pyrophosphate binding {GO:0030976}; transketolase activity {GO:0004802}</t>
  </si>
  <si>
    <t>Insulin effects increased synthesis of Xylulose-5-Phosphate {R-MMU-163754}; Pentose phosphate pathway {R-MMU-71336}</t>
  </si>
  <si>
    <t>sp|P62962|PROF1_MOUSE</t>
  </si>
  <si>
    <t>Profilin-1</t>
  </si>
  <si>
    <t>Profilin I</t>
  </si>
  <si>
    <t>PROF1_MOUSE</t>
  </si>
  <si>
    <t>P62962</t>
  </si>
  <si>
    <t>P10924</t>
  </si>
  <si>
    <t>MGI:97549</t>
  </si>
  <si>
    <t>Acetylation; Actin-binding; Cytoplasm; Cytoskeleton; Isopeptide bond; Phosphoprotein; Ubl conjugation</t>
  </si>
  <si>
    <t>actin cytoskeleton organization {GO:0030036}; modification of postsynaptic actin cytoskeleton {GO:0098885}; negative regulation of actin filament bundle assembly {GO:0032232}; negative regulation of actin filament polymerization {GO:0030837}; negative regulation of stress fiber assembly {GO:0051497}; neural tube closure {GO:0001843}; positive regulation of actin filament bundle assembly {GO:0032233}; positive regulation of actin filament polymerization {GO:0030838}; positive regulation of ATP-dependent activity {GO:0032781}; positive regulation of DNA metabolic process {GO:0051054}; positive regulation of epithelial cell migration {GO:0010634}; positive regulation of ruffle assembly {GO:1900029}; positive regulation of stress fiber assembly {GO:0051496}; positive regulation of transcription by RNA polymerase II {GO:0045944}; positive regulation of viral transcription {GO:0050434}; protein stabilization {GO:0050821}; regulation of actin filament polymerization {GO:0030833}; regulation of actin polymerization or depolymerization {GO:0008064}; regulation of transcription by RNA polymerase II {GO:0006357}; sequestering of actin monomers {GO:0042989}; synapse maturation {GO:0060074}</t>
  </si>
  <si>
    <t>cell cortex {GO:0005938}; cytoplasm {GO:0005737}; cytoskeleton {GO:0005856}; cytosol {GO:0005829}; extracellular region {GO:0005576}; glutamatergic synapse {GO:0098978}; neuron projection {GO:0043005}; nucleus {GO:0005634}; parallel fiber to Purkinje cell synapse {GO:0098688}; postsynapse {GO:0098794}; presynapse {GO:0098793}; Schaffer collateral - CA1 synapse {GO:0098685}; synapse {GO:0045202}</t>
  </si>
  <si>
    <t>actin binding {GO:0003779}; actin monomer binding {GO:0003785}; adenyl-nucleotide exchange factor activity {GO:0000774}; phosphatidylinositol-4,5-bisphosphate binding {GO:0005546}; phosphotyrosine residue binding {GO:0001784}; proline-rich region binding {GO:0070064}; signaling receptor binding {GO:0005102}; small GTPase binding {GO:0031267}</t>
  </si>
  <si>
    <t>Signaling by ROBO receptors {R-MMU-376176}; PCP/CE pathway {R-MMU-4086400}; RHO GTPases Activate Formins {R-MMU-5663220}</t>
  </si>
  <si>
    <t>sp|P17742|PPIA_MOUSE</t>
  </si>
  <si>
    <t>Peptidyl-prolyl cis-trans isomerase A, N-terminally processed</t>
  </si>
  <si>
    <t>Cyclophilin A; Cyclosporin A-binding protein; Rotamase A; SP18</t>
  </si>
  <si>
    <t>PPIA_MOUSE</t>
  </si>
  <si>
    <t>P17742</t>
  </si>
  <si>
    <t>Q9CWJ5; Q9R137</t>
  </si>
  <si>
    <t>MGI:97749</t>
  </si>
  <si>
    <t>3D-structure; Acetylation; Apoptosis; Cytoplasm; Glycoprotein; Isomerase; Isopeptide bond; Nucleus; Phosphoprotein; Rotamase; Secreted; Ubl conjugation</t>
  </si>
  <si>
    <t>Apoptosis</t>
  </si>
  <si>
    <t>Cytoplasm; Nucleus; Secreted</t>
  </si>
  <si>
    <t>Isomerase; Rotamase</t>
  </si>
  <si>
    <t>Acetylation; Glycoprotein; Isopeptide bond; Phosphoprotein; Ubl conjugation</t>
  </si>
  <si>
    <t>activation of protein kinase B activity {GO:0032148}; apoptotic process {GO:0006915}; cell adhesion molecule production {GO:0060352}; cellular response to oxidative stress {GO:0034599}; endothelial cell activation {GO:0042118}; leukocyte chemotaxis {GO:0030595}; lipid droplet organization {GO:0034389}; negative regulation of oxidative stress-induced intrinsic apoptotic signaling pathway {GO:1902176}; negative regulation of protein K48-linked ubiquitination {GO:0061944}; negative regulation of protein kinase activity {GO:0006469}; negative regulation of protein phosphorylation {GO:0001933}; negative regulation of stress-activated MAPK cascade {GO:0032873}; negative regulation of viral life cycle {GO:1903901}; neuron differentiation {GO:0030182}; neutrophil chemotaxis {GO:0030593}; platelet activation {GO:0030168}; platelet aggregation {GO:0070527}; positive regulation of MAPK cascade {GO:0043410}; positive regulation of NF-kappaB transcription factor activity {GO:0051092}; positive regulation of protein dephosphorylation {GO:0035307}; positive regulation of protein phosphorylation {GO:0001934}; positive regulation of protein secretion {GO:0050714}; positive regulation of viral genome replication {GO:0045070}; protein folding {GO:0006457}; protein peptidyl-prolyl isomerization {GO:0000413}; regulation of apoptotic signaling pathway {GO:2001233}; regulation of viral genome replication {GO:0045069}</t>
  </si>
  <si>
    <t>cytoplasm {GO:0005737}; cytosol {GO:0005829}; extracellular region {GO:0005576}; extracellular space {GO:0005615}; intracellular membrane-bounded organelle {GO:0043231}; myelin sheath {GO:0043209}; nucleus {GO:0005634}; protein-containing complex {GO:0032991}</t>
  </si>
  <si>
    <t>cyclosporin A binding {GO:0016018}; heparan sulfate binding {GO:1904399}; integrin binding {GO:0005178}; peptidyl-prolyl cis-trans isomerase activity {GO:0003755}</t>
  </si>
  <si>
    <t>Neutrophil degranulation {R-MMU-6798695}</t>
  </si>
  <si>
    <t>sp|Q64691|CAN3_MOUSE</t>
  </si>
  <si>
    <t>Calpain-3</t>
  </si>
  <si>
    <t>Calcium-activated neutral proteinase 3 (CANP 3); Calpain L3; Calpain p94; Muscle-specific calcium-activated neutral protease 3</t>
  </si>
  <si>
    <t>CAN3_MOUSE</t>
  </si>
  <si>
    <t>Q64691</t>
  </si>
  <si>
    <t>A2AVV3; Q9WUC5</t>
  </si>
  <si>
    <t>MGI:107437</t>
  </si>
  <si>
    <t>Alternative splicing; Calcium; Cytoplasm; Hydrolase; Metal-binding; Nucleus; Protease; Repeat; Thiol protease</t>
  </si>
  <si>
    <t>Hydrolase; Protease; Thiol protease</t>
  </si>
  <si>
    <t>calcium-dependent self proteolysis {GO:1990092}; cellular response to calcium ion {GO:0071277}; cellular response to salt stress {GO:0071472}; G1 to G0 transition involved in cell differentiation {GO:0070315}; muscle structure development {GO:0061061}; myofibril assembly {GO:0030239}; negative regulation of apoptotic process {GO:0043066}; negative regulation of DNA-templated transcription {GO:0045892}; negative regulation of protein sumoylation {GO:0033234}; positive regulation of DNA-templated transcription {GO:0045893}; positive regulation of NF-kappaB transcription factor activity {GO:0051092}; positive regulation of proteolysis {GO:0045862}; positive regulation of release of sequestered calcium ion into cytosol {GO:0051281}; positive regulation of satellite cell activation involved in skeletal muscle regeneration {GO:0014718}; programmed cell death {GO:0012501}; protein catabolic process {GO:0030163}; protein destabilization {GO:0031648}; protein localization to membrane {GO:0072657}; protein-containing complex assembly {GO:0065003}; proteolysis {GO:0006508}; regulation of catalytic activity {GO:0050790}; regulation of I-kappaB kinase/NF-kappaB signaling {GO:0043122}; regulation of myoblast differentiation {GO:0045661}; response to calcium ion {GO:0051592}; response to muscle activity {GO:0014850}; sarcomere organization {GO:0045214}; self proteolysis {GO:0097264}; sodium-dependent self proteolysis {GO:1990091}</t>
  </si>
  <si>
    <t>cytoplasm {GO:0005737}; cytosol {GO:0005829}; myofibril {GO:0030016}; nucleolus {GO:0005730}; nucleus {GO:0005634}; plasma membrane {GO:0005886}; protein-containing complex {GO:0032991}; T-tubule {GO:0030315}; Z disc {GO:0030018}</t>
  </si>
  <si>
    <t>calcium ion binding {GO:0005509}; calcium-dependent cysteine-type endopeptidase activity {GO:0004198}; catalytic activity {GO:0003824}; enzyme binding {GO:0019899}; identical protein binding {GO:0042802}; ligase regulator activity {GO:0055103}; molecular adaptor activity {GO:0060090}; peptidase activity {GO:0008233}; signaling receptor binding {GO:0005102}; sodium ion binding {GO:0031402}; structural constituent of muscle {GO:0008307}; titin binding {GO:0031432}</t>
  </si>
  <si>
    <t>Degradation of the extracellular matrix {R-MMU-1474228}</t>
  </si>
  <si>
    <t>sp|P60710|ACTB_MOUSE</t>
  </si>
  <si>
    <t>Actin, cytoplasmic 1, N-terminally processed</t>
  </si>
  <si>
    <t>Beta-actin</t>
  </si>
  <si>
    <t>ACTB_MOUSE</t>
  </si>
  <si>
    <t>P60710</t>
  </si>
  <si>
    <t>P02570; P70514; P99021; Q11211; Q3TI89; Q3TVP6; Q64316; Q6ZWM3</t>
  </si>
  <si>
    <t>MGI:87904</t>
  </si>
  <si>
    <t>Acetylation; ATP-binding; Cytoplasm; Cytoskeleton; Hydrolase; Methylation; Nucleotide-binding; Nucleus; Oxidation; Ubl conjugation</t>
  </si>
  <si>
    <t>Acetylation; Methylation; Oxidation; Ubl conjugation</t>
  </si>
  <si>
    <t>adherens junction assembly {GO:0034333}; apical protein localization {GO:0045176}; axonogenesis {GO:0007409}; cell motility {GO:0048870}; cellular response to cytochalasin B {GO:0072749}; cellular response to electrical stimulus {GO:0071257}; chromatin remodeling {GO:0006338}; establishment or maintenance of cell polarity {GO:0007163}; histone acetylation {GO:0016573}; histone H2A acetylation {GO:0043968}; histone H4 acetylation {GO:0043967}; morphogenesis of a polarized epithelium {GO:0001738}; negative regulation of cell differentiation {GO:0045596}; negative regulation of cyclin-dependent protein kinase activity {GO:1904030}; negative regulation of protein binding {GO:0032091}; positive regulation of cell differentiation {GO:0045597}; positive regulation of cell population proliferation {GO:0008284}; positive regulation of DNA-templated transcription {GO:0045893}; positive regulation of double-strand break repair {GO:2000781}; positive regulation of double-strand break repair via homologous recombination {GO:1905168}; positive regulation of myoblast differentiation {GO:0045663}; positive regulation of stem cell population maintenance {GO:1902459}; positive regulation of T cell differentiation {GO:0045582}; postsynaptic actin cytoskeleton organization {GO:0098974}; protein localization to adherens junction {GO:0071896}; regulation of apoptotic process {GO:0042981}; regulation of cell cycle {GO:0051726}; regulation of cyclin-dependent protein serine/threonine kinase activity {GO:0000079}; regulation of double-strand break repair {GO:2000779}; regulation of G0 to G1 transition {GO:0070316}; regulation of G1/S transition of mitotic cell cycle {GO:2000045}; regulation of mitotic metaphase/anaphase transition {GO:0030071}; regulation of norepinephrine uptake {GO:0051621}; regulation of nucleotide-excision repair {GO:2000819}; regulation of protein localization to plasma membrane {GO:1903076}; regulation of transcription by RNA polymerase II {GO:0006357}; regulation of transepithelial transport {GO:0150111}; regulation of transmembrane transporter activity {GO:0022898}; synaptic vesicle endocytosis {GO:0048488}</t>
  </si>
  <si>
    <t>actin cytoskeleton {GO:0015629}; actin filament {GO:0005884}; adherens junction {GO:0005912}; apical junction complex {GO:0043296}; axon {GO:0030424}; bBAF complex {GO:0140092}; brahma complex {GO:0035060}; calyx of Held {GO:0044305}; cell-cell junction {GO:0005911}; chromatin {GO:0000785}; cortical cytoskeleton {GO:0030863}; cytoplasm {GO:0005737}; cytoplasmic ribonucleoprotein granule {GO:0036464}; cytoskeleton {GO:0005856}; cytosol {GO:0005829}; dense body {GO:0097433}; focal adhesion {GO:0005925}; GBAF complex {GO:0140288}; glutamatergic synapse {GO:0098978}; kinetochore {GO:0000776}; lamellipodium {GO:0030027}; membrane {GO:0016020}; membrane raft {GO:0045121}; myelin sheath {GO:0043209}; nBAF complex {GO:0071565}; npBAF complex {GO:0071564}; NuA4 histone acetyltransferase complex {GO:0035267}; nuclear matrix {GO:0016363}; nucleosome {GO:0000786}; nucleus {GO:0005634}; plasma membrane {GO:0005886}; podosome {GO:0002102}; postsynaptic actin cytoskeleton {GO:0098871}; postsynaptic density {GO:0014069}; protein-containing complex {GO:0032991}; ribonucleoprotein complex {GO:1990904}; RSC-type complex {GO:0016586}; Schaffer collateral - CA1 synapse {GO:0098685}; stress fiber {GO:0001725}; SWI/SNF complex {GO:0016514}; synapse {GO:0045202}; tight junction {GO:0070160}</t>
  </si>
  <si>
    <t>ATP binding {GO:0005524}; identical protein binding {GO:0042802}; kinesin binding {GO:0019894}; nitric-oxide synthase binding {GO:0050998}; protein kinase binding {GO:0019901}; structural constituent of postsynaptic actin cytoskeleton {GO:0098973}; Tat protein binding {GO:0030957}</t>
  </si>
  <si>
    <t>Gap junction degradation {R-MMU-190873}; Formation of annular gap junctions {R-MMU-196025}; Regulation of actin dynamics for phagocytic cup formation {R-MMU-2029482}; EPHB-mediated forward signaling {R-MMU-3928662}; Adherens junctions interactions {R-MMU-418990}; Recycling pathway of L1 {R-MMU-437239}; VEGFA-VEGFR2 Pathway {R-MMU-4420097}; Interaction between L1 and Ankyrins {R-MMU-445095}; Cell-extracellular matrix interactions {R-MMU-446353}; RHO GTPases activate IQGAPs {R-MMU-5626467}; RHO GTPases Activate WASPs and WAVEs {R-MMU-5663213}; RHO GTPases Activate Formins {R-MMU-5663220}; MAP2K and MAPK activation {R-MMU-5674135}; Clathrin-mediated endocytosis {R-MMU-8856828}; RHOBTB2 GTPase cycle {R-MMU-9013418}</t>
  </si>
  <si>
    <t>sp|Q05816|FABP5_MOUSE</t>
  </si>
  <si>
    <t>Fatty acid-binding protein 5</t>
  </si>
  <si>
    <t>Epidermal-type fatty acid-binding protein (E-FABP); Fatty acid-binding protein, epidermal; Keratinocyte lipid-binding protein; Psoriasis-associated fatty acid-binding protein homolog (PA-FABP)</t>
  </si>
  <si>
    <t>FABP5_MOUSE</t>
  </si>
  <si>
    <t>Q05816</t>
  </si>
  <si>
    <t>MGI:101790</t>
  </si>
  <si>
    <t>3D-structure; Acetylation; Cytoplasm; Disulfide bond; Lipid transport; Lipid-binding; Nucleus; Phosphoprotein; Secreted; Synapse; Transport</t>
  </si>
  <si>
    <t>Lipid transport; Transport</t>
  </si>
  <si>
    <t>Cytoplasm; Nucleus; Secreted; Synapse</t>
  </si>
  <si>
    <t>Lipid-binding</t>
  </si>
  <si>
    <t>fatty acid transport {GO:0015908}; glucose homeostasis {GO:0042593}; glucose metabolic process {GO:0006006}; lipid metabolic process {GO:0006629}; lipid transport across blood-brain barrier {GO:1990379}; negative regulation of glucose transmembrane transport {GO:0010829}; phosphatidylcholine biosynthetic process {GO:0006656}; positive regulation of cold-induced thermogenesis {GO:0120162}; positive regulation of peroxisome proliferator activated receptor signaling pathway {GO:0035360}; regulation of prostaglandin biosynthetic process {GO:0031392}; regulation of retrograde trans-synaptic signaling by endocanabinoid {GO:0099178}; regulation of sensory perception of pain {GO:0051930}</t>
  </si>
  <si>
    <t>anchoring junction {GO:0070161}; cytoplasm {GO:0005737}; cytosol {GO:0005829}; extracellular space {GO:0005615}; nucleus {GO:0005634}; postsynaptic density {GO:0014069}; synapse {GO:0045202}</t>
  </si>
  <si>
    <t>fatty acid binding {GO:0005504}; identical protein binding {GO:0042802}; long-chain fatty acid transporter activity {GO:0005324}; retinoic acid binding {GO:0001972}</t>
  </si>
  <si>
    <t>Triglyceride catabolism {R-MMU-163560}; Signaling by Retinoic Acid {R-MMU-5362517}; Neutrophil degranulation {R-MMU-6798695}</t>
  </si>
  <si>
    <t>sp|P24549|AL1A1_MOUSE</t>
  </si>
  <si>
    <t>Aldehyde dehydrogenase 1A1</t>
  </si>
  <si>
    <t>3-deoxyglucosone dehydrogenase; ALDH-E1; ALHDII; Aldehyde dehydrogenase family 1 member A1; Aldehyde dehydrogenase, cytosolic; Retinal dehydrogenase 1 (RALDH 1; RalDH1)</t>
  </si>
  <si>
    <t>AL1A1_MOUSE</t>
  </si>
  <si>
    <t>P24549</t>
  </si>
  <si>
    <t>Q7TQJ0; Q811J0</t>
  </si>
  <si>
    <t>Ahd-2; Ahd2; Aldh1</t>
  </si>
  <si>
    <t>MGI:1353450</t>
  </si>
  <si>
    <t>Acetylation; Cell projection; Cytoplasm; Lipid metabolism; NAD; Oxidoreductase; Phosphoprotein</t>
  </si>
  <si>
    <t>Lipid metabolism</t>
  </si>
  <si>
    <t>Cell projection; Cytoplasm</t>
  </si>
  <si>
    <t>Oxidoreductase</t>
  </si>
  <si>
    <t>9-cis-retinoic acid biosynthetic process {GO:0042904}; 9-cis-retinoic acid metabolic process {GO:0042905}; apoptotic process {GO:0006915}; cellular detoxification of aldehyde {GO:0110095}; embryonic eye morphogenesis {GO:0048048}; fructosamine catabolic process {GO:0030392}; fructose catabolic process {GO:0006001}; gamma-aminobutyric acid biosynthetic process {GO:0009449}; maintenance of lens transparency {GO:0036438}; negative regulation of cold-induced thermogenesis {GO:0120163}; optic cup morphogenesis involved in camera-type eye development {GO:0002072}; positive regulation of apoptotic process {GO:0043065}; response to ethanol {GO:0045471}; response to oxidative stress {GO:0006979}; response to xenobiotic stimulus {GO:0009410}; retinoic acid biosynthetic process {GO:0002138}; retinoic acid metabolic process {GO:0042573}; retinoid metabolic process {GO:0001523}; retinol metabolic process {GO:0042572}</t>
  </si>
  <si>
    <t>axon {GO:0030424}; cytoplasm {GO:0005737}; cytosol {GO:0005829}; nucleus {GO:0005634}; synapse {GO:0045202}</t>
  </si>
  <si>
    <t>3-chloroallyl aldehyde dehydrogenase activity {GO:0004028}; 3-deoxyglucosone dehydrogenase activity {GO:0106373}; aldehyde dehydrogenase (NAD+) activity {GO:0004029}; aminobutyraldehyde dehydrogenase activity {GO:0019145}; benzaldehyde dehydrogenase (NAD+) activity {GO:0018479}; glyceraldehyde-3-phosphate dehydrogenase (NAD+) (non-phosphorylating) activity {GO:0043878}; identical protein binding {GO:0042802}; NAD binding {GO:0051287}; retinal dehydrogenase activity {GO:0001758}</t>
  </si>
  <si>
    <t>Cofactor metabolism; retinol metabolism.</t>
  </si>
  <si>
    <t>RA biosynthesis pathway {R-MMU-5365859}; Fructose catabolism {R-MMU-70350}; Ethanol oxidation {R-MMU-71384}</t>
  </si>
  <si>
    <t>sp|Q8K1H1|TDRD7_MOUSE</t>
  </si>
  <si>
    <t>Tudor domain-containing protein 7</t>
  </si>
  <si>
    <t>PCTAIRE2-binding protein; Tudor repeat associator with PCTAIRE-2 (Trap)</t>
  </si>
  <si>
    <t>TDRD7_MOUSE</t>
  </si>
  <si>
    <t>Q8K1H1</t>
  </si>
  <si>
    <t>B1AWG7; B1AWH5; Q8R181</t>
  </si>
  <si>
    <t>Pctaire2bp</t>
  </si>
  <si>
    <t>MGI:2140279</t>
  </si>
  <si>
    <t>3D-structure; Cataract; Cytoplasm; Developmental protein; Differentiation; Phosphoprotein; Repeat; RNA-binding; Spermatogenesis</t>
  </si>
  <si>
    <t>Differentiation; Spermatogenesis</t>
  </si>
  <si>
    <t>Cataract</t>
  </si>
  <si>
    <t>Developmental protein; RNA-binding</t>
  </si>
  <si>
    <t>Phosphoprotein</t>
  </si>
  <si>
    <t>germ cell development {GO:0007281}; lens fiber cell differentiation {GO:0070306}; lens morphogenesis in camera-type eye {GO:0002089}; P granule organization {GO:0030719}; piRNA metabolic process {GO:0034587}; post-transcriptional regulation of gene expression {GO:0010608}; spermatogenesis {GO:0007283}</t>
  </si>
  <si>
    <t>chromatoid body {GO:0033391}; cytoplasm {GO:0005737}; mitochondrial matrix {GO:0005759}; P granule {GO:0043186}; ribonucleoprotein complex {GO:1990904}; ribonucleoprotein granule {GO:0035770}</t>
  </si>
  <si>
    <t>mRNA binding {GO:0003729}; protein N-terminus binding {GO:0047485}</t>
  </si>
  <si>
    <t>sp|P02772|FETA_MOUSE</t>
  </si>
  <si>
    <t>Alpha-fetoprotein</t>
  </si>
  <si>
    <t>Alpha-1-fetoprotein; Alpha-fetoglobulin</t>
  </si>
  <si>
    <t>FETA_MOUSE</t>
  </si>
  <si>
    <t>P02772</t>
  </si>
  <si>
    <t>Q3UJD0</t>
  </si>
  <si>
    <t>MGI:87951</t>
  </si>
  <si>
    <t>Copper; Disulfide bond; Glycoprotein; Metal-binding; Nickel; Phosphoprotein; Repeat; Secreted; Signal; Sulfation</t>
  </si>
  <si>
    <t>Secreted</t>
  </si>
  <si>
    <t>Copper; Metal-binding; Nickel</t>
  </si>
  <si>
    <t>Disulfide bond; Glycoprotein; Phosphoprotein; Sulfation</t>
  </si>
  <si>
    <t>ovulation from ovarian follicle {GO:0001542}; progesterone metabolic process {GO:0042448}; sexual reproduction {GO:0019953}; SMAD protein signal transduction {GO:0060395}</t>
  </si>
  <si>
    <t>cytoplasm {GO:0005737}; cytosol {GO:0005829}; extracellular space {GO:0005615}</t>
  </si>
  <si>
    <t>fatty acid binding {GO:0005504}; zinc ion binding {GO:0008270}</t>
  </si>
  <si>
    <t>Regulation of Insulin-like Growth Factor (IGF) transport and uptake by Insulin-like Growth Factor Binding Proteins (IGFBPs) {R-MMU-381426}; Post-translational protein phosphorylation {R-MMU-8957275}</t>
  </si>
  <si>
    <t>sp|P26040|EZRI_MOUSE</t>
  </si>
  <si>
    <t>Ezrin</t>
  </si>
  <si>
    <t>Cytovillin; Villin-2; p81</t>
  </si>
  <si>
    <t>EZRI_MOUSE</t>
  </si>
  <si>
    <t>P26040</t>
  </si>
  <si>
    <t>Q80ZT8; Q9DCI1</t>
  </si>
  <si>
    <t>Vil2</t>
  </si>
  <si>
    <t>MGI:98931</t>
  </si>
  <si>
    <t>Acetylation; Cell membrane; Cell projection; Cell shape; Coiled coil; Cytoplasm; Cytoskeleton; Membrane; Phosphoprotein; S-nitrosylation</t>
  </si>
  <si>
    <t>Cell shape</t>
  </si>
  <si>
    <t>Cell membrane; Cell projection; Cytoplasm; Cytoskeleton; Membrane</t>
  </si>
  <si>
    <t>Acetylation; Phosphoprotein; S-nitrosylation</t>
  </si>
  <si>
    <t>actin cytoskeleton reorganization {GO:0031532}; actin filament bundle assembly {GO:0051017}; astral microtubule organization {GO:0030953}; cellular response to cAMP {GO:0071320}; cortical microtubule organization {GO:0043622}; establishment of centrosome localization {GO:0051660}; establishment of endothelial barrier {GO:0061028}; establishment or maintenance of apical/basal cell polarity {GO:0035088}; filopodium assembly {GO:0046847}; intestinal D-glucose absorption {GO:0001951}; leukocyte cell-cell adhesion {GO:0007159}; membrane to membrane docking {GO:0022614}; negative regulation of ERK1 and ERK2 cascade {GO:0070373}; negative regulation of interleukin-2 production {GO:0032703}; negative regulation of p38MAPK cascade {GO:1903753}; negative regulation of T cell receptor signaling pathway {GO:0050860}; negative regulation of transcription by RNA polymerase II {GO:0000122}; phosphatidylinositol-mediated signaling {GO:0048015}; positive regulation of early endosome to late endosome transport {GO:2000643}; positive regulation of gene expression {GO:0010628}; positive regulation of multicellular organism growth {GO:0040018}; positive regulation of protein catabolic process {GO:0045732}; positive regulation of protein localization to early endosome {GO:1902966}; positive regulation of protein localization to plasma membrane {GO:1903078}; positive regulation of protein secretion {GO:0050714}; protein kinase A signaling {GO:0010737}; protein localization to cell cortex {GO:0072697}; protein localization to plasma membrane {GO:0072659}; protein-containing complex localization {GO:0031503}; receptor internalization {GO:0031623}; regulation of cell shape {GO:0008360}; regulation of microvillus length {GO:0032532}; regulation of organelle assembly {GO:1902115}; sphingosine-1-phosphate receptor signaling pathway {GO:0003376}; terminal web assembly {GO:1902896}</t>
  </si>
  <si>
    <t>actin cytoskeleton {GO:0015629}; actin filament {GO:0005884}; adherens junction {GO:0005912}; apical part of cell {GO:0045177}; apical plasma membrane {GO:0016324}; astrocyte projection {GO:0097449}; basolateral plasma membrane {GO:0016323}; brush border {GO:0005903}; cell body {GO:0044297}; cell cortex {GO:0005938}; cell periphery {GO:0071944}; cell projection {GO:0042995}; cell tip {GO:0051286}; ciliary basal body {GO:0036064}; cytoplasm {GO:0005737}; cytoplasmic side of apical plasma membrane {GO:0098592}; cytosol {GO:0005829}; endosome {GO:0005768}; extrinsic component of membrane {GO:0019898}; fibrillar center {GO:0001650}; filopodium {GO:0030175}; focal adhesion {GO:0005925}; immunological synapse {GO:0001772}; membrane raft {GO:0045121}; microspike {GO:0044393}; microvillus {GO:0005902}; microvillus membrane {GO:0031528}; myelin sheath {GO:0043209}; perinuclear region of cytoplasm {GO:0048471}; plasma membrane {GO:0005886}; plasma membrane raft {GO:0044853}; protein-containing complex {GO:0032991}; ruffle {GO:0001726}; ruffle membrane {GO:0032587}; Schwann cell microvillus {GO:0097454}; T-tubule {GO:0030315}; uropod {GO:0001931}</t>
  </si>
  <si>
    <t>actin binding {GO:0003779}; actin filament binding {GO:0051015}; ATPase binding {GO:0051117}; cell adhesion molecule binding {GO:0050839}; disordered domain specific binding {GO:0097718}; identical protein binding {GO:0042802}; microtubule binding {GO:0008017}; protein C-terminus binding {GO:0008022}; protein domain specific binding {GO:0019904}; protein kinase A binding {GO:0051018}; protein kinase A catalytic subunit binding {GO:0034236}; protein kinase A regulatory subunit binding {GO:0034237}; protein-containing complex binding {GO:0044877}; S100 protein binding {GO:0044548}</t>
  </si>
  <si>
    <t>Netrin-1 signaling {R-MMU-373752}; Recycling pathway of L1 {R-MMU-437239}</t>
  </si>
  <si>
    <t>sp|Q78ZA7|NP1L4_MOUSE</t>
  </si>
  <si>
    <t>Nucleosome assembly protein 1-like 4</t>
  </si>
  <si>
    <t>NP1L4_MOUSE</t>
  </si>
  <si>
    <t>Q78ZA7</t>
  </si>
  <si>
    <t>O88701</t>
  </si>
  <si>
    <t>MGI:1316687</t>
  </si>
  <si>
    <t>Acetylation; Chaperone; Cytoplasm; Nucleus; Phosphoprotein</t>
  </si>
  <si>
    <t>chromatin {GO:0000785}; cytoplasm {GO:0005737}; dendrite {GO:0030425}; neuronal cell body {GO:0043025}; nucleus {GO:0005634}</t>
  </si>
  <si>
    <t>chromatin binding {GO:0003682}; histone binding {GO:0042393}; nucleosome binding {GO:0031491}</t>
  </si>
  <si>
    <t>sp|P27773|PDIA3_MOUSE</t>
  </si>
  <si>
    <t>Protein disulfide-isomerase A3</t>
  </si>
  <si>
    <t>58 kDa glucose-regulated protein; 58 kDa microsomal protein (p58); Disulfide isomerase ER-60; Endoplasmic reticulum resident protein 57 (ER protein 57; ERp57); Endoplasmic reticulum resident protein 60 (ER protein 60; ERp60)</t>
  </si>
  <si>
    <t>PDIA3_MOUSE</t>
  </si>
  <si>
    <t>P27773</t>
  </si>
  <si>
    <t>Q3TEI9; Q3TIL2; Q3UZK8; Q8C2F4; Q99LF6</t>
  </si>
  <si>
    <t>Erp; Erp60; Grp58</t>
  </si>
  <si>
    <t>MGI:95834</t>
  </si>
  <si>
    <t>Acetylation; Disulfide bond; Endoplasmic reticulum; Isomerase; Methylation; Phosphoprotein; Redox-active center; Repeat; Signal</t>
  </si>
  <si>
    <t>Endoplasmic reticulum</t>
  </si>
  <si>
    <t>Redox-active center; Repeat; Signal</t>
  </si>
  <si>
    <t>Isomerase</t>
  </si>
  <si>
    <t>Acetylation; Disulfide bond; Methylation; Phosphoprotein</t>
  </si>
  <si>
    <t>cellular response to interleukin-7 {GO:0098761}; cellular response to vitamin D {GO:0071305}; extrinsic apoptotic signaling pathway {GO:0097191}; peptide antigen assembly with MHC class I protein complex {GO:0002502}; positive regulation of extrinsic apoptotic signaling pathway {GO:2001238}; positive regulation of protein folding {GO:1903334}; protein folding {GO:0006457}; response to endoplasmic reticulum stress {GO:0034976}</t>
  </si>
  <si>
    <t>acrosomal vesicle {GO:0001669}; apical plasma membrane {GO:0016324}; cell surface {GO:0009986}; cytoplasm {GO:0005737}; endoplasmic reticulum {GO:0005783}; endoplasmic reticulum lumen {GO:0005788}; extracellular region {GO:0005576}; extracellular space {GO:0005615}; melanosome {GO:0042470}; MHC class I peptide loading complex {GO:0042824}; mitochondrial intermembrane space {GO:0005758}; mitochondrion {GO:0005739}; myelin sheath {GO:0043209}; nucleus {GO:0005634}; plasma membrane {GO:0005886}; smooth endoplasmic reticulum {GO:0005790}; TAP complex {GO:0042825}; Tapasin-ERp57 complex {GO:0061779}</t>
  </si>
  <si>
    <t>identical protein binding {GO:0042802}; MHC class I protein binding {GO:0042288}; peptidase activity {GO:0008233}; protein disulfide isomerase activity {GO:0003756}; protein-disulfide reductase (glutathione) activity {GO:0019153}; protein-disulfide reductase activity {GO:0015035}</t>
  </si>
  <si>
    <t>ER-Phagosome pathway {R-MMU-1236974}; Calnexin/calreticulin cycle {R-MMU-901042}; Antigen Presentation: Folding, assembly and peptide loading of class I MHC {R-MMU-983170}</t>
  </si>
  <si>
    <t>sp|P97351|RS3A_MOUSE</t>
  </si>
  <si>
    <t>40S ribosomal protein S3a</t>
  </si>
  <si>
    <t>Protein TU-11</t>
  </si>
  <si>
    <t>RS3A_MOUSE</t>
  </si>
  <si>
    <t>P97351</t>
  </si>
  <si>
    <t>Rps3a1</t>
  </si>
  <si>
    <t>MGI:1202063</t>
  </si>
  <si>
    <t>3D-structure; Acetylation; ADP-ribosylation; Cytoplasm; Differentiation; Isopeptide bond; Nucleus; Phosphoprotein; Ribonucleoprotein; Ribosomal protein; Ubl conjugation</t>
  </si>
  <si>
    <t>Differentiation</t>
  </si>
  <si>
    <t>cell differentiation {GO:0030154}; cytoplasmic translation {GO:0002181}; negative regulation of apoptotic process {GO:0043066}; translation {GO:0006412}</t>
  </si>
  <si>
    <t>cytoplasm {GO:0005737}; cytosol {GO:0005829}; cytosolic ribosome {GO:0022626}; cytosolic small ribosomal subunit {GO:0022627}; endoplasmic reticulum {GO:0005783}; nucleolus {GO:0005730}; nucleus {GO:0005634}; ribonucleoprotein complex {GO:1990904}; small ribosomal subunit {GO:0015935}; synapse {GO:0045202}</t>
  </si>
  <si>
    <t>mRNA 5'-UTR binding {GO:0048027}; mRNA binding {GO:0003729}; structural constituent of ribosome {GO:0003735}; translation initiation factor binding {GO:0031369}</t>
  </si>
  <si>
    <t>L13a-mediated translational silencing of Ceruloplasmin expression {R-MMU-156827}; SRP-dependent cotranslational protein targeting to membrane {R-MMU-1799339}; Major pathway of rRNA processing in the nucleolus and cytosol {R-MMU-6791226}; Translation initiation complex formation {R-MMU-72649}; Formation of a pool of free 40S subunits {R-MMU-72689}; Formation of the ternary complex, and subsequently, the 43S complex {R-MMU-72695}; Ribosomal scanning and start codon recognition {R-MMU-72702}; GTP hydrolysis and joining of the 60S ribosomal subunit {R-MMU-72706}; Nonsense Mediated Decay (NMD) independent of the Exon Junction Complex (EJC) {R-MMU-975956}; Nonsense Mediated Decay (NMD) enhanced by the Exon Junction Complex (EJC) {R-MMU-975957}</t>
  </si>
  <si>
    <t>sp|P25444|RS2_MOUSE</t>
  </si>
  <si>
    <t>40S ribosomal protein S2</t>
  </si>
  <si>
    <t>40S ribosomal protein S4; Protein LLRep3</t>
  </si>
  <si>
    <t>RS2_MOUSE</t>
  </si>
  <si>
    <t>P25444</t>
  </si>
  <si>
    <t>Llrep3; Rps4</t>
  </si>
  <si>
    <t>MGI:105110</t>
  </si>
  <si>
    <t>3D-structure; Acetylation; Citrullination; Cytoplasm; Isopeptide bond; Nucleus; Phosphoprotein; Repeat; Ribonucleoprotein; Ribosomal protein; Ubl conjugation</t>
  </si>
  <si>
    <t>Acetylation; Citrullination; Isopeptide bond; Phosphoprotein; Ubl conjugation</t>
  </si>
  <si>
    <t>cellular response to interleukin-4 {GO:0071353}; cytoplasmic translation {GO:0002181}; positive regulation of ubiquitin-protein transferase activity {GO:0051443}; translation {GO:0006412}</t>
  </si>
  <si>
    <t>cytoplasm {GO:0005737}; cytosol {GO:0005829}; cytosolic ribosome {GO:0022626}; cytosolic small ribosomal subunit {GO:0022627}; nucleolus {GO:0005730}; nucleoplasm {GO:0005654}; ribonucleoprotein complex {GO:1990904}; synapse {GO:0045202}</t>
  </si>
  <si>
    <t>enzyme binding {GO:0019899}; fibroblast growth factor binding {GO:0017134}; mRNA binding {GO:0003729}; protein-containing complex binding {GO:0044877}; structural constituent of ribosome {GO:0003735}</t>
  </si>
  <si>
    <t>L13a-mediated translational silencing of Ceruloplasmin expression {R-MMU-156827}; SRP-dependent cotranslational protein targeting to membrane {R-MMU-1799339}; RMTs methylate histone arginines {R-MMU-3214858}; Major pathway of rRNA processing in the nucleolus and cytosol {R-MMU-6791226}; Translation initiation complex formation {R-MMU-72649}; Formation of a pool of free 40S subunits {R-MMU-72689}; Formation of the ternary complex, and subsequently, the 43S complex {R-MMU-72695}; Ribosomal scanning and start codon recognition {R-MMU-72702}; GTP hydrolysis and joining of the 60S ribosomal subunit {R-MMU-72706}; Protein methylation {R-MMU-8876725}; Nonsense Mediated Decay (NMD) independent of the Exon Junction Complex (EJC) {R-MMU-975956}; Nonsense Mediated Decay (NMD) enhanced by the Exon Junction Complex (EJC) {R-MMU-975957}</t>
  </si>
  <si>
    <t>sp|Q61598|GDIB_MOUSE</t>
  </si>
  <si>
    <t>Rab GDP dissociation inhibitor beta (Rab GDI beta)</t>
  </si>
  <si>
    <t>GDI-3; Guanosine diphosphate dissociation inhibitor 2 (GDI-2)</t>
  </si>
  <si>
    <t>GDIB_MOUSE</t>
  </si>
  <si>
    <t>Q61598</t>
  </si>
  <si>
    <t>Q541Z9; Q8C530; Q9D8M9</t>
  </si>
  <si>
    <t>Gdi3</t>
  </si>
  <si>
    <t>MGI:99845</t>
  </si>
  <si>
    <t>Acetylation; Alternative splicing; Cytoplasm; GTPase activation; Membrane; Phosphoprotein</t>
  </si>
  <si>
    <t>Cytoplasm; Membrane</t>
  </si>
  <si>
    <t>GTPase activation</t>
  </si>
  <si>
    <t>negative regulation of cilium assembly {GO:1902018}; negative regulation of protein localization to cilium {GO:1903565}; protein transport {GO:0015031}; small GTPase mediated signal transduction {GO:0007264}; vesicle-mediated transport {GO:0016192}</t>
  </si>
  <si>
    <t>cytoplasm {GO:0005737}; Golgi apparatus {GO:0005794}; membrane {GO:0016020}; myelin sheath {GO:0043209}; synapse {GO:0045202}</t>
  </si>
  <si>
    <t>GTPase activator activity {GO:0005096}; Rab GDP-dissociation inhibitor activity {GO:0005093}; small GTPase binding {GO:0031267}</t>
  </si>
  <si>
    <t>Neutrophil degranulation {R-MMU-6798695}; RAB GEFs exchange GTP for GDP on RABs {R-MMU-8876198}</t>
  </si>
  <si>
    <t>sp|Q01853|TERA_MOUSE</t>
  </si>
  <si>
    <t>Transitional endoplasmic reticulum ATPase (TER ATPase)</t>
  </si>
  <si>
    <t>15S Mg(2+)-ATPase p97 subunit; Valosin-containing protein (VCP)</t>
  </si>
  <si>
    <t>TERA_MOUSE</t>
  </si>
  <si>
    <t>Q01853</t>
  </si>
  <si>
    <t>Q3TFH9; Q3TIM2; Q3TXN9; Q6PI18; Q8BSR6; Q8CEG4</t>
  </si>
  <si>
    <t>MGI:99919</t>
  </si>
  <si>
    <t>3D-structure; Acetylation; ATP-binding; Autophagy; Cytoplasm; DNA damage; DNA repair; Endoplasmic reticulum; Hydrolase; Isopeptide bond; Lipid-binding; Methylation; Nucleotide-binding; Nucleus; Phosphoprotein; Transport; Ubl conjugation; Ubl conjugation pathway</t>
  </si>
  <si>
    <t>Autophagy; DNA damage; DNA repair; Transport; Ubl conjugation pathway</t>
  </si>
  <si>
    <t>Cytoplasm; Endoplasmic reticulum; Nucleus</t>
  </si>
  <si>
    <t>ATP-binding; Lipid-binding; Nucleotide-binding</t>
  </si>
  <si>
    <t>activation of cysteine-type endopeptidase activity involved in apoptotic process {GO:0006919}; aggresome assembly {GO:0070842}; ATP metabolic process {GO:0046034}; autophagosome maturation {GO:0097352}; autophagy {GO:0006914}; cellular response to arsenite ion {GO:1903843}; cellular response to DNA damage stimulus {GO:0006974}; cellular response to heat {GO:0034605}; DNA repair {GO:0006281}; double-strand break repair {GO:0006302}; endoplasmic reticulum stress-induced pre-emptive quality control {GO:0061857}; endoplasmic reticulum to Golgi vesicle-mediated transport {GO:0006888}; endosome to lysosome transport via multivesicular body sorting pathway {GO:0032510}; ER-associated misfolded protein catabolic process {GO:0071712}; ERAD pathway {GO:0036503}; flavin adenine dinucleotide catabolic process {GO:0072389}; interstrand cross-link repair {GO:0036297}; macroautophagy {GO:0016236}; mitotic spindle disassembly {GO:0051228}; NADH metabolic process {GO:0006734}; negative regulation of smoothened signaling pathway {GO:0045879}; positive regulation of ATP biosynthetic process {GO:2001171}; positive regulation of canonical Wnt signaling pathway {GO:0090263}; positive regulation of Lys63-specific deubiquitinase activity {GO:1903007}; positive regulation of mitochondrial membrane potential {GO:0010918}; positive regulation of oxidative phosphorylation {GO:1903862}; positive regulation of proteasomal ubiquitin-dependent protein catabolic process {GO:0032436}; positive regulation of protein catabolic process {GO:0045732}; positive regulation of protein K63-linked deubiquitination {GO:1903006}; positive regulation of protein-containing complex assembly {GO:0031334}; positive regulation of ubiquitin-dependent protein catabolic process {GO:2000060}; proteasomal protein catabolic process {GO:0010498}; proteasome-mediated ubiquitin-dependent protein catabolic process {GO:0043161}; protein ubiquitination {GO:0016567}; protein-DNA covalent cross-linking repair {GO:0106300}; regulation of aerobic respiration {GO:1903715}; regulation of protein localization to chromatin {GO:1905634}; regulation of synapse organization {GO:0050807}; retrograde protein transport, ER to cytosol {GO:0030970}; stress granule disassembly {GO:0035617}; translesion synthesis {GO:0019985}; ubiquitin-dependent ERAD pathway {GO:0030433}; ubiquitin-dependent protein catabolic process {GO:0006511}; viral genome replication {GO:0019079}</t>
  </si>
  <si>
    <t>ATPase complex {GO:1904949}; cytoplasm {GO:0005737}; cytoplasmic stress granule {GO:0010494}; cytosol {GO:0005829}; Derlin-1 retrotranslocation complex {GO:0036513}; endoplasmic reticulum {GO:0005783}; endoplasmic reticulum membrane {GO:0005789}; glutamatergic synapse {GO:0098978}; intracellular membrane-bounded organelle {GO:0043231}; lipid droplet {GO:0005811}; myelin sheath {GO:0043209}; nucleoplasm {GO:0005654}; nucleus {GO:0005634}; perinuclear region of cytoplasm {GO:0048471}; proteasome complex {GO:0000502}; protein-containing complex {GO:0032991}; site of double-strand break {GO:0035861}; synapse {GO:0045202}; VCP-NPL4-UFD1 AAA ATPase complex {GO:0034098}; VCP-NSFL1C complex {GO:1990730}</t>
  </si>
  <si>
    <t>ADP binding {GO:0043531}; ATP binding {GO:0005524}; ATP hydrolysis activity {GO:0016887}; BAT3 complex binding {GO:1904288}; deubiquitinase activator activity {GO:0035800}; identical protein binding {GO:0042802}; K48-linked polyubiquitin modification-dependent protein binding {GO:0036435}; lipid binding {GO:0008289}; MHC class I protein binding {GO:0042288}; nucleic acid binding {GO:0003676}; polyubiquitin modification-dependent protein binding {GO:0031593}; protein domain specific binding {GO:0019904}; protein phosphatase binding {GO:0019903}; protein-containing complex binding {GO:0044877}; ubiquitin protein ligase binding {GO:0031625}; ubiquitin-dependent protein binding {GO:0140036}; ubiquitin-like protein ligase binding {GO:0044389}; ubiquitin-specific protease binding {GO:1990381}</t>
  </si>
  <si>
    <t>Translesion Synthesis by POLH {R-MMU-110320}; HSF1 activation {R-MMU-3371511}; ABC-family proteins mediated transport {R-MMU-382556}; N-glycan trimming in the ER and Calnexin/Calreticulin cycle {R-MMU-532668}; Hedgehog ligand biogenesis {R-MMU-5358346}; Josephin domain DUBs {R-MMU-5689877}; Ovarian tumor domain proteases {R-MMU-5689896}; Neutrophil degranulation {R-MMU-6798695}; Protein methylation {R-MMU-8876725}; Neddylation {R-MMU-8951664}; RHOH GTPase cycle {R-MMU-9013407}; KEAP1-NFE2L2 pathway {R-MMU-9755511}</t>
  </si>
  <si>
    <t>sp|P62259|1433E_MOUSE</t>
  </si>
  <si>
    <t>14-3-3 protein epsilon (14-3-3E)</t>
  </si>
  <si>
    <t>1433E_MOUSE</t>
  </si>
  <si>
    <t>P62259</t>
  </si>
  <si>
    <t>P29360; P42655; Q63631</t>
  </si>
  <si>
    <t>MGI:894689</t>
  </si>
  <si>
    <t>Acetylation; Cytoplasm; Isopeptide bond; Nucleus; Phosphoprotein; Ubl conjugation</t>
  </si>
  <si>
    <t>cellular response to heat {GO:0034605}; cerebral cortex development {GO:0021987}; hippocampus development {GO:0021766}; MAPK cascade {GO:0000165}; negative regulation of calcium ion export across plasma membrane {GO:1905913}; negative regulation of calcium ion transmembrane transporter activity {GO:1901020}; negative regulation of peptidyl-serine dephosphorylation {GO:1902309}; negative regulation of protein dephosphorylation {GO:0035308}; neuron migration {GO:0001764}; positive regulation of protein export from nucleus {GO:0046827}; protein localization {GO:0008104}; protein localization to nucleus {GO:0034504}; protein targeting {GO:0006605}; regulation of cytosolic calcium ion concentration {GO:0051480}; regulation of membrane repolarization {GO:0060306}; regulation of mitotic cell cycle {GO:0007346}; regulation of postsynaptic membrane neurotransmitter receptor levels {GO:0099072}; regulation of potassium ion transmembrane transporter activity {GO:1901016}; signal transduction {GO:0007165}</t>
  </si>
  <si>
    <t>axon {GO:0030424}; central region of growth cone {GO:0090724}; cytoplasm {GO:0005737}; cytosol {GO:0005829}; glutamatergic synapse {GO:0098978}; kinesin complex {GO:0005871}; melanosome {GO:0042470}; mitochondrion {GO:0005739}; nucleus {GO:0005634}; plasma membrane {GO:0005886}; synapse {GO:0045202}</t>
  </si>
  <si>
    <t>calcium channel regulator activity {GO:0005246}; enzyme binding {GO:0019899}; histone deacetylase binding {GO:0042826}; identical protein binding {GO:0042802}; phosphoprotein binding {GO:0051219}; phosphoserine residue binding {GO:0050815}; potassium channel regulator activity {GO:0015459}; protein domain specific binding {GO:0019904}; protein heterodimerization activity {GO:0046982}; protein phosphatase binding {GO:0019903}; protein-containing complex binding {GO:0044877}; scaffold protein binding {GO:0097110}; transmembrane transporter binding {GO:0044325}; ubiquitin protein ligase binding {GO:0031625}</t>
  </si>
  <si>
    <t>Activation of BAD and translocation to mitochondria {R-MMU-111447}; Signaling by Hippo {R-MMU-2028269}; NADE modulates death signalling {R-MMU-205025}; Regulation of PLK1 Activity at G2/M Transition {R-MMU-2565942}; Regulation of HSF1-mediated heat shock response {R-MMU-3371453}; HSF1 activation {R-MMU-3371511};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RHO GTPases activate PKNs {R-MMU-5625740}; TP53 Regulates Metabolic Genes {R-MMU-5628897}; Chk1/Chk2(Cds1) mediated inactivation of Cyclin B:Cdk1 complex {R-MMU-75035}; AURKA Activation by TPX2 {R-MMU-8854518}; RAB GEFs exchange GTP for GDP on RABs {R-MMU-8876198}</t>
  </si>
  <si>
    <t>sp|P04342|CRGD_MOUSE</t>
  </si>
  <si>
    <t>Gamma-crystallin D</t>
  </si>
  <si>
    <t>Gamma-D-crystallin; Gamma-crystallin 1</t>
  </si>
  <si>
    <t>CRGD_MOUSE</t>
  </si>
  <si>
    <t>P04342</t>
  </si>
  <si>
    <t>O89027; Q6PGI0</t>
  </si>
  <si>
    <t>MGI:88524</t>
  </si>
  <si>
    <t>cellular response to reactive oxygen species {GO:0034614}; eye development {GO:0001654}; lens development in camera-type eye {GO:0002088}; lens fiber cell differentiation {GO:0070306}; visual perception {GO:0007601}</t>
  </si>
  <si>
    <t>sp|Q9D8E6|RL4_MOUSE</t>
  </si>
  <si>
    <t>60S ribosomal protein L4</t>
  </si>
  <si>
    <t>RL4_MOUSE</t>
  </si>
  <si>
    <t>Q9D8E6</t>
  </si>
  <si>
    <t>Q9CY08</t>
  </si>
  <si>
    <t>MGI:1915141</t>
  </si>
  <si>
    <t>3D-structure; Acetylation; Citrullination; Cytoplasm; Isopeptide bond; Methylation; Phosphoprotein; Ribonucleoprotein; Ribosomal protein; Ubl conjugation</t>
  </si>
  <si>
    <t>Acetylation; Citrullination; Isopeptide bond; Methylation; Phosphoprotein; Ubl conjugation</t>
  </si>
  <si>
    <t>cytoplasmic translation {GO:0002181}; positive regulation of axon extension {GO:0045773}; positive regulation of axonogenesis {GO:0050772}</t>
  </si>
  <si>
    <t>A band {GO:0031672}; cytoplasm {GO:0005737}; cytosol {GO:0005829}; cytosolic large ribosomal subunit {GO:0022625}; cytosolic ribosome {GO:0022626}; large ribosomal subunit {GO:0015934}; nucleus {GO:0005634}; postsynaptic density {GO:0014069}; ribonucleoprotein complex {GO:1990904}; rough endoplasmic reticulum {GO:0005791}</t>
  </si>
  <si>
    <t>5S rRNA binding {GO:0008097}; RNA binding {GO:0003723}; structural constituent of ribosome {GO:0003735}</t>
  </si>
  <si>
    <t>L13a-mediated translational silencing of Ceruloplasmin expression {R-MMU-156827}; SRP-dependent cotranslational protein targeting to membrane {R-MMU-1799339}; Major pathway of rRNA processing in the nucleolus and cytosol {R-MMU-6791226}; Formation of a pool of free 40S subunits {R-MMU-72689}; GTP hydrolysis and joining of the 60S ribosomal subunit {R-MMU-72706}; Nonsense Mediated Decay (NMD) independent of the Exon Junction Complex (EJC) {R-MMU-975956}; Nonsense Mediated Decay (NMD) enhanced by the Exon Junction Complex (EJC) {R-MMU-975957}</t>
  </si>
  <si>
    <t>sp|Q68FD5|CLH1_MOUSE</t>
  </si>
  <si>
    <t>Clathrin heavy chain 1</t>
  </si>
  <si>
    <t>CLH1_MOUSE</t>
  </si>
  <si>
    <t>Q68FD5</t>
  </si>
  <si>
    <t>MGI:2388633</t>
  </si>
  <si>
    <t>3D-structure; Acetylation; Autophagy; Cell cycle; Cell division; Coated pit; Cytoplasm; Cytoplasmic vesicle; Cytoskeleton; Membrane; Mitosis; Phosphoprotein; Repeat</t>
  </si>
  <si>
    <t>Autophagy; Cell cycle; Cell division; Mitosis</t>
  </si>
  <si>
    <t>Coated pit; Cytoplasm; Cytoplasmic vesicle; Cytoskeleton; Membrane</t>
  </si>
  <si>
    <t>amyloid-beta clearance by transcytosis {GO:0150093}; autophagy {GO:0006914}; cell division {GO:0051301}; clathrin coat assembly {GO:0048268}; clathrin-dependent endocytosis {GO:0072583}; Golgi organization {GO:0007030}; intracellular protein transport {GO:0006886}; mitotic cell cycle {GO:0000278}; mitotic spindle assembly {GO:0090307}; negative regulation of hyaluronan biosynthetic process {GO:1900126}; negative regulation of protein localization to plasma membrane {GO:1903077}; receptor internalization {GO:0031623}; receptor-mediated endocytosis {GO:0006898}; regulation of mitotic spindle organization {GO:0060236}; retrograde transport, endosome to Golgi {GO:0042147}; synaptic vesicle endocytosis {GO:0048488}; transferrin transport {GO:0033572}</t>
  </si>
  <si>
    <t>clathrin coat {GO:0030118}; clathrin coat of coated pit {GO:0030132}; clathrin coat of trans-Golgi network vesicle {GO:0030130}; clathrin complex {GO:0071439}; clathrin-coated endocytic vesicle {GO:0045334}; clathrin-coated pit {GO:0005905}; clathrin-coated vesicle {GO:0030136}; cytosol {GO:0005829}; endosome {GO:0005768}; extrinsic component of synaptic vesicle membrane {GO:0098850}; lysosome {GO:0005764}; melanosome {GO:0042470}; membrane {GO:0016020}; membrane coat {GO:0030117}; mitochondrion {GO:0005739}; mitotic spindle {GO:0072686}; mitotic spindle microtubule {GO:1990498}; Myb complex {GO:0031523}; myelin sheath {GO:0043209}; photoreceptor ribbon synapse {GO:0098684}; presynaptic endocytic zone membrane {GO:0098835}; protein-containing complex {GO:0032991}; sarcolemma {GO:0042383}; spindle {GO:0005819}; T-tubule {GO:0030315}</t>
  </si>
  <si>
    <t>ankyrin binding {GO:0030506}; clathrin light chain binding {GO:0032051}; disordered domain specific binding {GO:0097718}; double-stranded RNA binding {GO:0003725}; heat shock protein binding {GO:0031072}; low-density lipoprotein particle receptor binding {GO:0050750}; peptide binding {GO:0042277}; protein C-terminus binding {GO:0008022}; protein kinase binding {GO:0019901}; structural molecule activity {GO:0005198}; ubiquitin-specific protease binding {GO:1990381}</t>
  </si>
  <si>
    <t>Retrograde neurotrophin signalling {R-MMU-177504}; Gap junction degradation {R-MMU-190873}; Formation of annular gap junctions {R-MMU-196025}; MHC class II antigen presentation {R-MMU-2132295}; Lysosome Vesicle Biogenesis {R-MMU-432720}; Golgi Associated Vesicle Biogenesis {R-MMU-432722}; Recycling pathway of L1 {R-MMU-437239}; WNT5A-dependent internalization of FZD4 {R-MMU-5099900}; WNT5A-dependent internalization of FZD2, FZD5 and ROR2 {R-MMU-5140745}; Cargo recognition for clathrin-mediated endocytosis {R-MMU-8856825}; Clathrin-mediated endocytosis {R-MMU-8856828}; VLDLR internalisation and degradation {R-MMU-8866427}; LDL clearance {R-MMU-8964038}; RHOU GTPase cycle {R-MMU-9013420}; RHOV GTPase cycle {R-MMU-9013424}</t>
  </si>
  <si>
    <t>sp|P27659|RL3_MOUSE</t>
  </si>
  <si>
    <t>60S ribosomal protein L3</t>
  </si>
  <si>
    <t>J1 protein</t>
  </si>
  <si>
    <t>RL3_MOUSE</t>
  </si>
  <si>
    <t>P27659</t>
  </si>
  <si>
    <t>O89071; Q91VJ6</t>
  </si>
  <si>
    <t>MGI:1351605</t>
  </si>
  <si>
    <t>3D-structure; Acetylation; Cytoplasm; Isopeptide bond; Methylation; Nucleus; Phosphoprotein; Ribonucleoprotein; Ribosomal protein; Ubl conjugation</t>
  </si>
  <si>
    <t>cellular response to interleukin-4 {GO:0071353}; cytoplasmic translation {GO:0002181}; translation {GO:0006412}</t>
  </si>
  <si>
    <t>cytoplasm {GO:0005737}; cytosol {GO:0005829}; cytosolic large ribosomal subunit {GO:0022625}; cytosolic ribosome {GO:0022626}; nucleolus {GO:0005730}; protein-containing complex {GO:0032991}; ribosome {GO:0005840}; synapse {GO:0045202}</t>
  </si>
  <si>
    <t>sp|P11983|TCPA_MOUSE</t>
  </si>
  <si>
    <t>T-complex protein 1 subunit alpha (TCP-1-alpha)</t>
  </si>
  <si>
    <t>CCT-alpha; Tailless complex polypeptide 1A (TCP-1-A); Tailless complex polypeptide 1B (TCP-1-B)</t>
  </si>
  <si>
    <t>TCPA_MOUSE</t>
  </si>
  <si>
    <t>P11983</t>
  </si>
  <si>
    <t>P11984; Q3TJ96; Q3TKU1; Q3U5T8; Q3U7I8; Q3UAA8; Q3UB80; Q3UE48</t>
  </si>
  <si>
    <t>Cct1; Ccta</t>
  </si>
  <si>
    <t>MGI:98535</t>
  </si>
  <si>
    <t>Acetylation; Alternative splicing; ATP-binding; Chaperone; Cytoplasm; Cytoskeleton; Nucleotide-binding; Phosphoprotein</t>
  </si>
  <si>
    <t>binding of sperm to zona pellucida {GO:0007339}; chaperone-mediated protein folding {GO:0061077}; positive regulation of establishment of protein localization to telomere {GO:1904851}; positive regulation of telomerase activity {GO:0051973}; positive regulation of telomerase RNA localization to Cajal body {GO:1904874}; positive regulation of telomere maintenance via telomerase {GO:0032212}; protein folding {GO:0006457}; protein stabilization {GO:0050821}; regulation of macrophage apoptotic process {GO:2000109}; scaRNA localization to Cajal body {GO:0090666}; toxin transport {GO:1901998}; translocation of peptides or proteins into host cell cytoplasm {GO:0044053}</t>
  </si>
  <si>
    <t>acrosomal vesicle {GO:0001669}; cell body {GO:0044297}; centrosome {GO:0005813}; chaperonin-containing T-complex {GO:0005832}; Golgi apparatus {GO:0005794}; heterochromatin {GO:0000792}; microtubule {GO:0005874}; microtubule organizing center {GO:0005815}; myelin sheath {GO:0043209}; pericentriolar material {GO:0000242}; zona pellucida receptor complex {GO:0002199}</t>
  </si>
  <si>
    <t>ATP binding {GO:0005524}; ATP hydrolysis activity {GO:0016887}; ATP-dependent protein folding chaperone {GO:0140662}; protein folding chaperone {GO:0044183}; ubiquitin protein ligase binding {GO:0031625}; unfolded protein binding {GO:0051082}</t>
  </si>
  <si>
    <t>Association of TriC/CCT with target proteins during biosynthesis {R-MMU-390471}; Cooperation of PDCL (PhLP1) and TRiC/CCT in G-protein beta folding {R-MMU-6814122}</t>
  </si>
  <si>
    <t>sp|P08113|ENPL_MOUSE</t>
  </si>
  <si>
    <t>Endoplasmin</t>
  </si>
  <si>
    <t>94 kDa glucose-regulated protein (GRP-94); Endoplasmic reticulum resident protein 99 (ERp99); Heat shock protein 90 kDa beta member 1; Polymorphic tumor rejection antigen 1; Tumor rejection antigen gp96</t>
  </si>
  <si>
    <t>ENPL_MOUSE</t>
  </si>
  <si>
    <t>P08113</t>
  </si>
  <si>
    <t>P11427</t>
  </si>
  <si>
    <t>Grp94; Tra-1; Tra1</t>
  </si>
  <si>
    <t>MGI:98817</t>
  </si>
  <si>
    <t>Acetylation; ATP-binding; Calcium; Chaperone; Disulfide bond; Endoplasmic reticulum; Glycoprotein; Hydroxylation; Nucleotide-binding; Phosphoprotein; Sarcoplasmic reticulum; Signal</t>
  </si>
  <si>
    <t>Endoplasmic reticulum; Sarcoplasmic reticulum</t>
  </si>
  <si>
    <t>Signal</t>
  </si>
  <si>
    <t>ATP-binding; Calcium; Nucleotide-binding</t>
  </si>
  <si>
    <t>Acetylation; Disulfide bond; Glycoprotein; Hydroxylation; Phosphoprotein</t>
  </si>
  <si>
    <t>actin rod assembly {GO:0031247}; cellular response to ATP {GO:0071318}; negative regulation of apoptotic process {GO:0043066}; protein folding {GO:0006457}; regulation of phosphoprotein phosphatase activity {GO:0043666}; response to hypoxia {GO:0001666}; retrograde protein transport, ER to cytosol {GO:0030970}; ubiquitin-dependent ERAD pathway {GO:0030433}</t>
  </si>
  <si>
    <t>cytosol {GO:0005829}; endoplasmic reticulum {GO:0005783}; endoplasmic reticulum chaperone complex {GO:0034663}; endoplasmic reticulum lumen {GO:0005788}; endoplasmic reticulum membrane {GO:0005789}; extracellular region {GO:0005576}; melanosome {GO:0042470}; midbody {GO:0030496}; perinuclear region of cytoplasm {GO:0048471}; protein-containing complex {GO:0032991}; sarcoplasmic reticulum lumen {GO:0033018}; smooth endoplasmic reticulum {GO:0005790}; sperm plasma membrane {GO:0097524}</t>
  </si>
  <si>
    <t>ATP binding {GO:0005524}; ATP hydrolysis activity {GO:0016887}; ATP-dependent protein folding chaperone {GO:0140662}; low-density lipoprotein particle receptor binding {GO:0050750}; protein phosphatase binding {GO:0019903}; RNA binding {GO:0003723}; unfolded protein binding {GO:0051082}</t>
  </si>
  <si>
    <t>Trafficking and processing of endosomal TLR {R-MMU-1679131}; Scavenging by Class A Receptors {R-MMU-3000480}; Regulation of Insulin-like Growth Factor (IGF) transport and uptake by Insulin-like Growth Factor Binding Proteins (IGFBPs) {R-MMU-381426}; Interleukin-4 and Interleukin-13 signaling {R-MMU-6785807}; Post-translational protein phosphorylation {R-MMU-8957275}</t>
  </si>
  <si>
    <t>sp|Q9JHU4|DYHC1_MOUSE</t>
  </si>
  <si>
    <t>Cytoplasmic dynein 1 heavy chain 1</t>
  </si>
  <si>
    <t>Cytoplasmic dynein heavy chain 1; Dynein heavy chain, cytosolic</t>
  </si>
  <si>
    <t>DYHC1_MOUSE</t>
  </si>
  <si>
    <t>Q9JHU4</t>
  </si>
  <si>
    <t>E9QM71</t>
  </si>
  <si>
    <t>Dhc1; Dnch1; Dnchc1; Dyhc</t>
  </si>
  <si>
    <t>MGI:103147</t>
  </si>
  <si>
    <t>3D-structure; Acetylation; ATP-binding; Cell cycle; Cell division; Coiled coil; Cytoplasm; Cytoskeleton; Disease variant; Dynein; Microtubule; Mitosis; Motor protein; Nucleotide-binding; Phosphoprotein; Repeat; Transport</t>
  </si>
  <si>
    <t>Cell cycle; Cell division; Mitosis; Transport</t>
  </si>
  <si>
    <t>Cytoplasm; Cytoskeleton; Dynein; Microtubule</t>
  </si>
  <si>
    <t>Disease variant</t>
  </si>
  <si>
    <t>Motor protein</t>
  </si>
  <si>
    <t>cell division {GO:0051301}; cilium movement {GO:0003341}; cytoplasmic microtubule organization {GO:0031122}; establishment of spindle localization {GO:0051293}; microtubule-based movement {GO:0007018}; minus-end-directed vesicle transport along microtubule {GO:0072382}; mitotic cell cycle {GO:0000278}; nuclear migration {GO:0007097}; P-body assembly {GO:0033962}; positive regulation of cold-induced thermogenesis {GO:0120162}; positive regulation of intracellular transport {GO:0032388}; positive regulation of spindle assembly {GO:1905832}; regulation of metaphase plate congression {GO:0090235}; regulation of mitotic spindle organization {GO:0060236}; retrograde axonal transport {GO:0008090}; stress granule assembly {GO:0034063}</t>
  </si>
  <si>
    <t>axon {GO:0030424}; axon cytoplasm {GO:1904115}; cell cortex {GO:0005938}; centrosome {GO:0005813}; cytoplasm {GO:0005737}; cytoplasmic dynein complex {GO:0005868}; cytoplasmic microtubule {GO:0005881}; dynein complex {GO:0030286}; filopodium {GO:0030175}; manchette {GO:0002177}; microtubule {GO:0005874}; neuronal cell body {GO:0043025}; nuclear envelope {GO:0005635}</t>
  </si>
  <si>
    <t>ATP binding {GO:0005524}; dynein intermediate chain binding {GO:0045505}; dynein light intermediate chain binding {GO:0051959}; minus-end-directed microtubule motor activity {GO:0008569}</t>
  </si>
  <si>
    <t>Amplification of signal from unattached kinetochores via a MAD2 inhibitory signal {R-MMU-141444}; MHC class II antigen presentation {R-MMU-2132295}; Separation of Sister Chromatids {R-MMU-2467813}; Resolution of Sister Chromatid Cohesion {R-MMU-2500257}; Regulation of PLK1 Activity at G2/M Transition {R-MMU-2565942}; HSP90 chaperone cycle for steroid hormone receptors (SHR) in the presence of ligand {R-MMU-3371497};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RHO GTPases Activate Formins {R-MMU-5663220}; Neutrophil degranulation {R-MMU-6798695}; COPI-mediated anterograde transport {R-MMU-6807878}; COPI-independent Golgi-to-ER retrograde traffic {R-MMU-6811436}; Mitotic Prometaphase {R-MMU-68877}; AURKA Activation by TPX2 {R-MMU-8854518}; Aggrephagy {R-MMU-9646399}; EML4 and NUDC in mitotic spindle formation {R-MMU-9648025}</t>
  </si>
  <si>
    <t>sp|Q921I1|TRFE_MOUSE</t>
  </si>
  <si>
    <t>Serotransferrin (Transferrin)</t>
  </si>
  <si>
    <t>Beta-1 metal-binding globulin; Siderophilin</t>
  </si>
  <si>
    <t>TRFE_MOUSE</t>
  </si>
  <si>
    <t>Q921I1</t>
  </si>
  <si>
    <t>O35421; Q3UBW7; Q58E69; Q61803; Q62357; Q62358; Q62359; Q63915; Q64515; Q8VII5; Q922C0</t>
  </si>
  <si>
    <t>Trf</t>
  </si>
  <si>
    <t>MGI:98821</t>
  </si>
  <si>
    <t>Disulfide bond; Glycoprotein; Ion transport; Iron; Iron transport; Metal-binding; Methylation; Phosphoprotein; Repeat; Secreted; Signal; Transport</t>
  </si>
  <si>
    <t>Ion transport; Iron transport; Transport</t>
  </si>
  <si>
    <t>Iron; Metal-binding</t>
  </si>
  <si>
    <t>Disulfide bond; Glycoprotein; Methylation; Phosphoprotein</t>
  </si>
  <si>
    <t>actin filament organization {GO:0007015}; antibacterial humoral response {GO:0019731}; cellular iron ion homeostasis {GO:0006879}; cellular response to iron ion {GO:0071281}; ERK1 and ERK2 cascade {GO:0070371}; iron ion transport {GO:0006826}; osteoclast differentiation {GO:0030316}; positive regulation of bone resorption {GO:0045780}; positive regulation of cell motility {GO:2000147}; positive regulation of DNA-templated transcription {GO:0045893}; positive regulation of myelination {GO:0031643}; positive regulation of oligodendrocyte progenitor proliferation {GO:0070447}; positive regulation of phosphorylation {GO:0042327}; positive regulation of receptor-mediated endocytosis {GO:0048260}; regulation of iron ion transport {GO:0034756}; response to bacterium {GO:0009617}; SMAD protein signal transduction {GO:0060395}</t>
  </si>
  <si>
    <t>apical plasma membrane {GO:0016324}; basal part of cell {GO:0045178}; basal plasma membrane {GO:0009925}; basement membrane {GO:0005604}; cell surface {GO:0009986}; cell tip {GO:0051286}; clathrin-coated pit {GO:0005905}; cytoplasmic vesicle {GO:0031410}; dense body {GO:0097433}; early endosome {GO:0005769}; endocytic vesicle {GO:0030139}; endosome {GO:0005768}; extracellular region {GO:0005576}; extracellular space {GO:0005615}; extrinsic component of external side of plasma membrane {GO:0031232}; HFE-transferrin receptor complex {GO:1990712}; late endosome {GO:0005770}; membrane {GO:0016020}; perinuclear region of cytoplasm {GO:0048471}; plasma membrane {GO:0005886}; recycling endosome {GO:0055037}; vesicle {GO:0031982}; vesicle coat {GO:0030120}</t>
  </si>
  <si>
    <t>ferric iron binding {GO:0008199}; ferrous iron binding {GO:0008198}; iron chaperone activity {GO:0034986}; transferrin receptor binding {GO:1990459}</t>
  </si>
  <si>
    <t>Platelet degranulation {R-MMU-114608}; Regulation of Insulin-like Growth Factor (IGF) transport and uptake by Insulin-like Growth Factor Binding Proteins (IGFBPs) {R-MMU-381426}; Cargo recognition for clathrin-mediated endocytosis {R-MMU-8856825}; Clathrin-mediated endocytosis {R-MMU-8856828}; Post-translational protein phosphorylation {R-MMU-8957275}; Iron uptake and transport {R-MMU-917937}; Transferrin endocytosis and recycling {R-MMU-917977}</t>
  </si>
  <si>
    <t>sp|P07901|HS90A_MOUSE</t>
  </si>
  <si>
    <t>Heat shock protein HSP 90-alpha</t>
  </si>
  <si>
    <t>Heat shock 86 kDa (HSP 86; HSP86); Tumor-specific transplantation 86 kDa antigen (TSTA)</t>
  </si>
  <si>
    <t>HS90A_MOUSE</t>
  </si>
  <si>
    <t>P07901</t>
  </si>
  <si>
    <t>Hsp86; Hsp86-1; Hspca</t>
  </si>
  <si>
    <t>MGI:96250</t>
  </si>
  <si>
    <t>3D-structure; Acetylation; ATP-binding; Cell membrane; Chaperone; Cytoplasm; Hydrolase; Membrane; Mitochondrion; Nucleotide-binding; Nucleus; Phosphoprotein; S-nitrosylation; Stress response; Ubl conjugation</t>
  </si>
  <si>
    <t>Cell membrane; Cytoplasm; Membrane; Mitochondrion; Nucleus</t>
  </si>
  <si>
    <t>Chaperone; Hydrolase</t>
  </si>
  <si>
    <t>Acetylation; Phosphoprotein; S-nitrosylation; Ubl conjugation</t>
  </si>
  <si>
    <t>activation of innate immune response {GO:0002218}; axon extension {GO:0048675}; cardiac muscle cell apoptotic process {GO:0010659}; cellular response to heat {GO:0034605}; cellular response to virus {GO:0098586}; central nervous system neuron axonogenesis {GO:0021955}; chaperone-mediated protein complex assembly {GO:0051131}; establishment of cell polarity {GO:0030010}; neuron migration {GO:0001764}; nitric oxide biosynthetic process {GO:0006809}; positive regulation of cardiac muscle contraction {GO:0060452}; positive regulation of cell size {GO:0045793}; positive regulation of cytotoxic T cell differentiation {GO:0045585}; positive regulation of defense response to virus by host {GO:0002230}; positive regulation of interferon-beta production {GO:0032728}; positive regulation of lamellipodium assembly {GO:0010592}; positive regulation of nitric oxide biosynthetic process {GO:0045429}; positive regulation of peptidyl-serine phosphorylation {GO:0033138}; positive regulation of protein catabolic process {GO:0045732}; positive regulation of protein import into nucleus {GO:0042307}; positive regulation of protein kinase B signaling {GO:0051897}; positive regulation of protein phosphorylation {GO:0001934}; positive regulation of protein polymerization {GO:0032273}; positive regulation of tau-protein kinase activity {GO:1902949}; positive regulation of telomerase activity {GO:0051973}; protein folding {GO:0006457}; protein insertion into mitochondrial outer membrane {GO:0045040}; protein refolding {GO:0042026}; protein stabilization {GO:0050821}; regulation of apoptotic process {GO:0042981}; regulation of protein localization {GO:0032880}; regulation of protein ubiquitination {GO:0031396}; response to antibiotic {GO:0046677}; response to cocaine {GO:0042220}; response to cold {GO:0009409}; response to estrogen {GO:0043627}; response to heat {GO:0009408}; response to salt stress {GO:0009651}; response to unfolded protein {GO:0006986}; response to xenobiotic stimulus {GO:0009410}; skeletal muscle contraction {GO:0003009}; telomerase holoenzyme complex assembly {GO:1905323}; telomere maintenance via telomerase {GO:0007004}</t>
  </si>
  <si>
    <t>apical plasma membrane {GO:0016324}; axonal growth cone {GO:0044295}; basolateral plasma membrane {GO:0016323}; brush border membrane {GO:0031526}; cell surface {GO:0009986}; collagen-containing extracellular matrix {GO:0062023}; cytoplasm {GO:0005737}; cytosol {GO:0005829}; dendritic growth cone {GO:0044294}; melanosome {GO:0042470}; mitochondrion {GO:0005739}; myelin sheath {GO:0043209}; neuron projection {GO:0043005}; neuronal cell body {GO:0043025}; nucleus {GO:0005634}; perinuclear region of cytoplasm {GO:0048471}; plasma membrane {GO:0005886}; protein-containing complex {GO:0032991}; sperm flagellum {GO:0036126}; sperm mitochondrial sheath {GO:0097226}; sperm plasma membrane {GO:0097524}</t>
  </si>
  <si>
    <t>ATP binding {GO:0005524}; ATP hydrolysis activity {GO:0016887}; ATP-dependent protein folding chaperone {GO:0140662}; CTP binding {GO:0002135}; dATP binding {GO:0032564}; disordered domain specific binding {GO:0097718}; DNA polymerase binding {GO:0070182}; GTP binding {GO:0005525}; GTPase binding {GO:0051020}; histone deacetylase binding {GO:0042826}; identical protein binding {GO:0042802}; mRNA binding {GO:0003729}; nitric-oxide synthase regulator activity {GO:0030235}; protein folding chaperone {GO:0044183}; protein homodimerization activity {GO:0042803}; protein phosphatase binding {GO:0019903}; protein tyrosine kinase binding {GO:1990782}; Rho GDP-dissociation inhibitor binding {GO:0051022}; scaffold protein binding {GO:0097110}; sulfonylurea receptor binding {GO:0017098}; tau protein binding {GO:0048156}; TPR domain binding {GO:0030911}; transmembrane transporter binding {GO:0044325}; ubiquitin protein ligase binding {GO:0031625}; unfolded protein binding {GO:0051082}; UTP binding {GO:0002134}</t>
  </si>
  <si>
    <t>Signaling by ERBB2 {R-MMU-1227986}; Tetrahydrobiopterin (BH4) synthesis, recycling, salvage and regulation {R-MMU-1474151}; DDX58/IFIH1-mediated induction of interferon-alpha/beta {R-MMU-168928}; Regulation of actin dynamics for phagocytic cup formation {R-MMU-2029482}; eNOS activation {R-MMU-203615}; Regulation of PLK1 Activity at G2/M Transition {R-MMU-2565942}; HSP90 chaperone cycle for steroid hormone receptors (SHR) in the presence of ligand {R-MMU-3371497}; HSF1 activation {R-MMU-3371511}; Attenuation phase {R-MMU-3371568}; HSF1-dependent transactivation {R-MMU-3371571};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Sema3A PAK dependent Axon repulsion {R-MMU-399954}; VEGFA-VEGFR2 Pathway {R-MMU-4420097}; VEGFR2 mediated vascular permeability {R-MMU-5218920}; Anchoring of the basal body to the plasma membrane {R-MMU-5620912}; Regulation of necroptotic cell death {R-MMU-5675482}; Neutrophil degranulation {R-MMU-6798695}; The role of GTSE1 in G2/M progression after G2 checkpoint {R-MMU-8852276}; AURKA Activation by TPX2 {R-MMU-8854518}; Downregulation of ERBB2 signaling {R-MMU-8863795}; ESR-mediated signaling {R-MMU-8939211}; Extra-nuclear estrogen signaling {R-MMU-9009391}; RHOBTB2 GTPase cycle {R-MMU-9013418}; Estrogen-dependent gene expression {R-MMU-9018519}; Drug-mediated inhibition of ERBB2 signaling {R-MMU-9652282}</t>
  </si>
  <si>
    <t>sp|P20029|BIP_MOUSE</t>
  </si>
  <si>
    <t>Endoplasmic reticulum chaperone BiP</t>
  </si>
  <si>
    <t>78 kDa glucose-regulated protein (GRP-78); Binding-immunoglobulin protein (BiP); Heat shock protein 70 family protein 5 (HSP70 family protein 5); Heat shock protein family A member 5; Immunoglobulin heavy chain-binding protein</t>
  </si>
  <si>
    <t>BIP_MOUSE</t>
  </si>
  <si>
    <t>P20029</t>
  </si>
  <si>
    <t>O35642; Q3UFF2; Q61630</t>
  </si>
  <si>
    <t>MGI:95835</t>
  </si>
  <si>
    <t>Acetylation; ATP-binding; Chaperone; Cytoplasm; Endoplasmic reticulum; Hydrolase; Isopeptide bond; Methylation; Nitration; Nucleotide-binding; Phosphoprotein; Signal; Ubl conjugation</t>
  </si>
  <si>
    <t>Cytoplasm; Endoplasmic reticulum</t>
  </si>
  <si>
    <t>Acetylation; Isopeptide bond; Methylation; Nitration; Phosphoprotein; Ubl conjugation</t>
  </si>
  <si>
    <t>cellular response to antibiotic {GO:0071236}; cellular response to calcium ion {GO:0071277}; cellular response to cAMP {GO:0071320}; cellular response to gamma radiation {GO:0071480}; cellular response to glucose starvation {GO:0042149}; cellular response to interleukin-4 {GO:0071353}; cellular response to manganese ion {GO:0071287}; cellular response to nerve growth factor stimulus {GO:1990090}; cellular response to unfolded protein {GO:0034620}; cellular response to xenobiotic stimulus {GO:0071466}; cerebellar Purkinje cell layer development {GO:0021680}; cerebellum structural organization {GO:0021589}; chaperone cofactor-dependent protein refolding {GO:0051085}; endoplasmic reticulum unfolded protein response {GO:0030968}; ER overload response {GO:0006983}; luteolysis {GO:0001554}; maintenance of protein localization in endoplasmic reticulum {GO:0035437}; negative regulation of apoptotic process {GO:0043066}; negative regulation of IRE1-mediated unfolded protein response {GO:1903895}; negative regulation of protein-containing complex assembly {GO:0031333}; negative regulation of transforming growth factor beta receptor signaling pathway {GO:0030512}; neuron apoptotic process {GO:0051402}; neuron differentiation {GO:0030182}; positive regulation of cell migration {GO:0030335}; positive regulation of embryonic development {GO:0040019}; positive regulation of neuron projection development {GO:0010976}; positive regulation of protein ubiquitination {GO:0031398}; post-translational protein targeting to membrane, translocation {GO:0031204}; protein refolding {GO:0042026}; proteolysis involved in protein catabolic process {GO:0051603}; response to cocaine {GO:0042220}; response to endoplasmic reticulum stress {GO:0034976}; response to methamphetamine hydrochloride {GO:1904313}; stress response to metal ion {GO:0097501}; toxin transport {GO:1901998}; ubiquitin-dependent ERAD pathway {GO:0030433}</t>
  </si>
  <si>
    <t>cell surface {GO:0009986}; COP9 signalosome {GO:0008180}; cytoplasm {GO:0005737}; cytosol {GO:0005829}; endoplasmic reticulum {GO:0005783}; endoplasmic reticulum chaperone complex {GO:0034663}; endoplasmic reticulum lumen {GO:0005788}; endoplasmic reticulum membrane {GO:0005789}; endoplasmic reticulum-Golgi intermediate compartment {GO:0005793}; extracellular region {GO:0005576}; integral component of endoplasmic reticulum membrane {GO:0030176}; intracellular membrane-bounded organelle {GO:0043231}; melanosome {GO:0042470}; membrane {GO:0016020}; midbody {GO:0030496}; mitochondrion {GO:0005739}; myelin sheath {GO:0043209}; nucleus {GO:0005634}; plasma membrane {GO:0005886}; protein-containing complex {GO:0032991}; smooth endoplasmic reticulum {GO:0005790}</t>
  </si>
  <si>
    <t>ATP binding {GO:0005524}; ATP hydrolysis activity {GO:0016887}; ATP-dependent protein folding chaperone {GO:0140662}; enzyme binding {GO:0019899}; heat shock protein binding {GO:0031072}; misfolded protein binding {GO:0051787}; protein domain specific binding {GO:0019904}; protein folding chaperone {GO:0044183}; ribosome binding {GO:0043022}; ubiquitin protein ligase binding {GO:0031625}; unfolded protein binding {GO:0051082}</t>
  </si>
  <si>
    <t>Regulation of HSF1-mediated heat shock response {R-MMU-3371453}; Antigen Presentation: Folding, assembly and peptide loading of class I MHC {R-MMU-983170}</t>
  </si>
  <si>
    <t>sp|P47962|RL5_MOUSE</t>
  </si>
  <si>
    <t>60S ribosomal protein L5</t>
  </si>
  <si>
    <t>RL5_MOUSE</t>
  </si>
  <si>
    <t>P47962</t>
  </si>
  <si>
    <t>Q9CR19</t>
  </si>
  <si>
    <t>MGI:102854</t>
  </si>
  <si>
    <t>3D-structure; Acetylation; Cytoplasm; Isopeptide bond; Nucleus; Phosphoprotein; Ribonucleoprotein; Ribosomal protein; RNA-binding; rRNA-binding; Ubl conjugation</t>
  </si>
  <si>
    <t>RNA-binding; Ribonucleoprotein; Ribosomal protein; rRNA-binding</t>
  </si>
  <si>
    <t>cytoplasmic translation {GO:0002181}; negative regulation of protein neddylation {GO:2000435}; negative regulation of ubiquitin protein ligase activity {GO:1904667}; negative regulation of ubiquitin-dependent protein catabolic process {GO:2000059}; positive regulation of gene expression {GO:0010628}; positive regulation of isoleucine-tRNA ligase activity {GO:1905017}; positive regulation of methionine-tRNA ligase activity {GO:1905020}; positive regulation of phosphatase activity {GO:0010922}; positive regulation of threonine-tRNA ligase activity {GO:1905023}; positive regulation of translation {GO:0045727}; protein stabilization {GO:0050821}; regulation of signal transduction by p53 class mediator {GO:1901796}; ribosomal large subunit assembly {GO:0000027}; ribosomal large subunit biogenesis {GO:0042273}; rRNA processing {GO:0006364}</t>
  </si>
  <si>
    <t>aminoacyl-tRNA synthetase multienzyme complex {GO:0017101}; cytoplasm {GO:0005737}; cytosol {GO:0005829}; cytosolic large ribosomal subunit {GO:0022625}; cytosolic ribosome {GO:0022626}; endoplasmic reticulum {GO:0005783}; nucleolus {GO:0005730}; nucleoplasm {GO:0005654}; nucleus {GO:0005634}; postsynaptic density {GO:0014069}; protein-containing complex {GO:0032991}; ribonucleoprotein complex {GO:1990904}; synapse {GO:0045202}</t>
  </si>
  <si>
    <t>5S rRNA binding {GO:0008097}; mRNA 3'-UTR binding {GO:0003730}; mRNA 5'-UTR binding {GO:0048027}; mRNA binding {GO:0003729}; structural constituent of ribosome {GO:0003735}; ubiquitin ligase inhibitor activity {GO:1990948}; ubiquitin protein ligase binding {GO:0031625}</t>
  </si>
  <si>
    <t>sp|P47911|RL6_MOUSE</t>
  </si>
  <si>
    <t>60S ribosomal protein L6</t>
  </si>
  <si>
    <t>TAX-responsive enhancer element-binding protein 107 (TAXREB107)</t>
  </si>
  <si>
    <t>RL6_MOUSE</t>
  </si>
  <si>
    <t>P47911</t>
  </si>
  <si>
    <t>Q6P5I2; Q925C3</t>
  </si>
  <si>
    <t>MGI:108057</t>
  </si>
  <si>
    <t>3D-structure; Acetylation; Cytoplasm; Endoplasmic reticulum; Isopeptide bond; Phosphoprotein; Ribonucleoprotein; Ribosomal protein; Ubl conjugation</t>
  </si>
  <si>
    <t>cytoplasmic translation {GO:0002181}; ribosomal large subunit assembly {GO:0000027}</t>
  </si>
  <si>
    <t>A band {GO:0031672}; cytoplasm {GO:0005737}; cytoplasmic ribonucleoprotein granule {GO:0036464}; cytosol {GO:0005829}; cytosolic large ribosomal subunit {GO:0022625}; cytosolic ribosome {GO:0022626}; nucleolus {GO:0005730}; nucleus {GO:0005634}; polysomal ribosome {GO:0042788}; postsynaptic density {GO:0014069}; rough endoplasmic reticulum {GO:0005791}; synapse {GO:0045202}</t>
  </si>
  <si>
    <t>5.8S rRNA binding {GO:1990932}; mRNA binding {GO:0003729}; RNA binding {GO:0003723}; structural constituent of ribosome {GO:0003735}; tRNA binding {GO:0000049}</t>
  </si>
  <si>
    <t>sp|Q8C8R3|ANK2_MOUSE</t>
  </si>
  <si>
    <t>Ankyrin-2 (ANK-2)</t>
  </si>
  <si>
    <t>Ankyrin-B; Brain ankyrin</t>
  </si>
  <si>
    <t>ANK2_MOUSE</t>
  </si>
  <si>
    <t>Q8C8R3</t>
  </si>
  <si>
    <t>Q3TM62; Q3V2X0; Q6PCN2; Q80ZZ7; Q8BNC1; Q8C445; Q8CCV0</t>
  </si>
  <si>
    <t>MGI:88025</t>
  </si>
  <si>
    <t>Alternative splicing; ANK repeat; Cell membrane; Cytoplasm; Cytoskeleton; Endocytosis; Endosome; Lysosome; Membrane; Mitochondrion; Phosphoprotein; Postsynaptic cell membrane; Protein transport; Repeat; Synapse; Transport</t>
  </si>
  <si>
    <t>Endocytosis; Protein transport; Transport</t>
  </si>
  <si>
    <t>Cell membrane; Cytoplasm; Cytoskeleton; Endosome; Lysosome; Membrane; Mitochondrion; Postsynaptic cell membrane; Synapse</t>
  </si>
  <si>
    <t>ANK repeat; Repeat</t>
  </si>
  <si>
    <t>atrial cardiac muscle cell action potential {GO:0086014}; atrial cardiac muscle cell to AV node cell communication {GO:0086066}; atrial septum development {GO:0003283}; cardiac muscle contraction {GO:0060048}; cellular calcium ion homeostasis {GO:0006874}; endocytosis {GO:0006897}; positive regulation of calcium ion transmembrane transporter activity {GO:1901021}; positive regulation of calcium ion transport {GO:0051928}; positive regulation of cation channel activity {GO:2001259}; positive regulation of gene expression {GO:0010628}; positive regulation of potassium ion transmembrane transporter activity {GO:1901018}; positive regulation of potassium ion transport {GO:0043268}; protein localization {GO:0008104}; protein localization to cell surface {GO:0034394}; protein localization to endoplasmic reticulum {GO:0070972}; protein localization to M-band {GO:0036309}; protein localization to organelle {GO:0033365}; protein localization to plasma membrane {GO:0072659}; protein localization to T-tubule {GO:0036371}; protein stabilization {GO:0050821}; protein transport {GO:0015031}; regulation of atrial cardiac muscle cell action potential {GO:0098910}; regulation of AV node cell action potential {GO:0098904}; regulation of calcium ion transmembrane transporter activity {GO:1901019}; regulation of calcium ion transport {GO:0051924}; regulation of cardiac muscle cell contraction {GO:0086004}; regulation of cardiac muscle cell membrane potential {GO:0086036}; regulation of cardiac muscle contraction {GO:0055117}; regulation of cardiac muscle contraction by calcium ion signaling {GO:0010882}; regulation of cardiac muscle contraction by regulation of the release of sequestered calcium ion {GO:0010881}; regulation of cation channel activity {GO:2001257}; regulation of heart rate {GO:0002027}; regulation of heart rate by cardiac conduction {GO:0086091}; regulation of protein stability {GO:0031647}; regulation of release of sequestered calcium ion into cytosol {GO:0051279}; regulation of SA node cell action potential {GO:0098907}; regulation of ventricular cardiac muscle cell membrane repolarization {GO:0060307}; SA node cell action potential {GO:0086015}; SA node cell to atrial cardiac muscle cell communication {GO:0086070}; T-tubule organization {GO:0033292}; ventricular cardiac muscle cell action potential {GO:0086005}</t>
  </si>
  <si>
    <t>A band {GO:0031672}; basolateral plasma membrane {GO:0016323}; costamere {GO:0043034}; cytoplasm {GO:0005737}; cytoskeleton {GO:0005856}; early endosome {GO:0005769}; extrinsic component of cytoplasmic side of plasma membrane {GO:0031234}; intercalated disc {GO:0014704}; lysosome {GO:0005764}; M band {GO:0031430}; membrane raft {GO:0045121}; mitochondrion {GO:0005739}; neuron projection {GO:0043005}; paranodal junction {GO:0033010}; perinuclear region of cytoplasm {GO:0048471}; plasma membrane {GO:0005886}; postsynaptic density {GO:0014069}; postsynaptic membrane {GO:0045211}; recycling endosome {GO:0055037}; sarcolemma {GO:0042383}; T-tubule {GO:0030315}; Z disc {GO:0030018}</t>
  </si>
  <si>
    <t>ATPase binding {GO:0051117}; enzyme binding {GO:0019899}; phosphorylation-dependent protein binding {GO:0140031}; potassium channel regulator activity {GO:0015459}; protein kinase binding {GO:0019901}; protein-macromolecule adaptor activity {GO:0030674}; spectrin binding {GO:0030507}; structural constituent of cytoskeleton {GO:0005200}; transmembrane transporter binding {GO:0044325}</t>
  </si>
  <si>
    <t>sp|P17751|TPIS_MOUSE</t>
  </si>
  <si>
    <t>Triosephosphate isomerase (TIM)</t>
  </si>
  <si>
    <t>Methylglyoxal synthase; Triose-phosphate isomerase</t>
  </si>
  <si>
    <t>TPIS_MOUSE</t>
  </si>
  <si>
    <t>P17751</t>
  </si>
  <si>
    <t>Q3TJH2; Q3UC04; Q3UKG9; Q64513; Q9CVF9; Q9CWE7</t>
  </si>
  <si>
    <t>Tpi</t>
  </si>
  <si>
    <t>MGI:98797</t>
  </si>
  <si>
    <t>Acetylation; Alternative initiation; Cytoplasm; Gluconeogenesis; Glycolysis; Isomerase; Isopeptide bond; Lyase; Methylation; Nitration; Phosphoprotein; Ubl conjugation</t>
  </si>
  <si>
    <t>Gluconeogenesis; Glycolysis</t>
  </si>
  <si>
    <t>Isomerase; Lyase</t>
  </si>
  <si>
    <t>canonical glycolysis {GO:0061621}; gluconeogenesis {GO:0006094}; glucose metabolic process {GO:0006006}; glyceraldehyde-3-phosphate biosynthetic process {GO:0046166}; glyceraldehyde-3-phosphate metabolic process {GO:0019682}; glycerol catabolic process {GO:0019563}; glycolytic process {GO:0006096}; methylglyoxal biosynthetic process {GO:0019242}</t>
  </si>
  <si>
    <t>cytosol {GO:0005829}; nucleus {GO:0005634}</t>
  </si>
  <si>
    <t>isomerase activity {GO:0016853}; methylglyoxal synthase activity {GO:0008929}; protein homodimerization activity {GO:0042803}; triose-phosphate isomerase activity {GO:0004807}; ubiquitin protein ligase binding {GO:0031625}</t>
  </si>
  <si>
    <t>Carbohydrate biosynthesis; gluconeogenesis.</t>
  </si>
  <si>
    <t>sp|Q8VEK3|HNRPU_MOUSE</t>
  </si>
  <si>
    <t>Heterogeneous nuclear ribonucleoprotein U (hnRNP U)</t>
  </si>
  <si>
    <t>Scaffold-attachment factor A (SAF-A)</t>
  </si>
  <si>
    <t>HNRPU_MOUSE</t>
  </si>
  <si>
    <t>Q8VEK3</t>
  </si>
  <si>
    <t>G3XA10; Q9R205</t>
  </si>
  <si>
    <t>MGI:1858195</t>
  </si>
  <si>
    <t>Acetylation; Activator; ADP-ribosylation; Alternative splicing; ATP-binding; Biological rhythms; Cell cycle; Cell division; Centromere; Chromatin regulator; Chromosome; Citrullination; Coiled coil; Cytoplasm; Cytoskeleton; Developmental protein; Differentiation; DNA-binding; Isopeptide bond; Kinetochore; Methylation; Mitosis; mRNA processing; mRNA splicing; Nucleotide-binding; Nucleus; Phosphoprotein; Repressor; Ribonucleoprotein; RNA-binding; Spliceosome; Transcription; Transcription regulation; Ubl conjugation</t>
  </si>
  <si>
    <t>Biological rhythms; Cell cycle; Cell division; Differentiation; Mitosis; Transcription; Transcription regulation; mRNA processing; mRNA splicing</t>
  </si>
  <si>
    <t>Centromere; Chromosome; Cytoplasm; Cytoskeleton; Kinetochore; Nucleus; Spliceosome</t>
  </si>
  <si>
    <t>Activator; Chromatin regulator; DNA-binding; Developmental protein; RNA-binding; Repressor; Ribonucleoprotein</t>
  </si>
  <si>
    <t>ADP-ribosylation; Acetylation; Citrullination; Isopeptide bond; Methylation; Phosphoprotein; Ubl conjugation</t>
  </si>
  <si>
    <t>adaptive thermogenesis {GO:1990845}; cardiac muscle cell development {GO:0055013}; cell cycle {GO:0007049}; cell division {GO:0051301}; cellular response to dexamethasone stimulus {GO:0071549}; cellular response to glucocorticoid stimulus {GO:0071385}; cellular response to leukemia inhibitory factor {GO:1990830}; circadian regulation of gene expression {GO:0032922}; CRD-mediated mRNA stabilization {GO:0070934}; dendritic transport of messenger ribonucleoprotein complex {GO:0098963}; dosage compensation by inactivation of X chromosome {GO:0009048}; maintenance of protein location in nucleus {GO:0051457}; mRNA metabolic process {GO:0016071}; mRNA processing {GO:0006397}; mRNA stabilization {GO:0048255}; negative regulation of kinase activity {GO:0033673}; negative regulation of nuclear-transcribed mRNA catabolic process, deadenylation-dependent decay {GO:1900152}; negative regulation of stem cell differentiation {GO:2000737}; negative regulation of telomere maintenance via telomerase {GO:0032211}; negative regulation of transcription by RNA polymerase II {GO:0000122}; negative regulation of transcription elongation by RNA polymerase II {GO:0034244}; positive regulation of attachment of mitotic spindle microtubules to kinetochore {GO:1902425}; positive regulation of brown fat cell differentiation {GO:0090336}; positive regulation of cytoplasmic translation {GO:2000767}; positive regulation of DNA topoisomerase (ATP-hydrolyzing) activity {GO:2000373}; positive regulation of gene expression {GO:0010628}; positive regulation of stem cell proliferation {GO:2000648}; positive regulation of transcription by RNA polymerase II {GO:0045944}; protein localization to spindle microtubule {GO:1902889}; regulation of alternative mRNA splicing, via spliceosome {GO:0000381}; regulation of chromatin organization {GO:1902275}; regulation of mitotic cell cycle {GO:0007346}; regulation of mitotic spindle assembly {GO:1901673}; RNA localization to chromatin {GO:1990280}; RNA splicing {GO:0008380}</t>
  </si>
  <si>
    <t>catalytic step 2 spliceosome {GO:0071013}; cell surface {GO:0009986}; centrosome {GO:0005813}; CRD-mediated mRNA stability complex {GO:0070937}; cytoplasmic ribonucleoprotein granule {GO:0036464}; cytosol {GO:0005829}; dendrite cytoplasm {GO:0032839}; inactive sex chromosome {GO:0098577}; kinetochore {GO:0000776}; midbody {GO:0030496}; mitotic spindle {GO:0072686}; mitotic spindle microtubule {GO:1990498}; mitotic spindle midzone {GO:1990023}; nuclear chromosome {GO:0000228}; nuclear matrix {GO:0016363}; nuclear speck {GO:0016607}; nucleoplasm {GO:0005654}; nucleus {GO:0005634}; protein-containing complex {GO:0032991}; ribonucleoprotein complex {GO:1990904}; RNA polymerase II transcription regulator complex {GO:0090575}; spindle pole {GO:0000922}; telomerase holoenzyme complex {GO:0005697}</t>
  </si>
  <si>
    <t>actin binding {GO:0003779}; ATP binding {GO:0005524}; chromatin binding {GO:0003682}; chromatin DNA binding {GO:0031490}; DNA binding {GO:0003677}; double-stranded DNA binding {GO:0003690}; double-stranded RNA binding {GO:0003725}; identical protein binding {GO:0042802}; lncRNA binding {GO:0106222}; mRNA 3'-UTR binding {GO:0003730}; poly(A) binding {GO:0008143}; poly(C) RNA binding {GO:0017130}; poly(G) binding {GO:0034046}; pre-mRNA binding {GO:0036002}; promoter-specific chromatin binding {GO:1990841}; protein-containing complex binding {GO:0044877}; ribonucleoprotein complex binding {GO:0043021}; RNA binding {GO:0003723}; RNA polymerase II C-terminal domain binding {GO:0099122}; RNA polymerase II cis-regulatory region sequence-specific DNA binding {GO:0000978}; RNA polymerase II complex binding {GO:0000993}; sequence-specific DNA binding {GO:0043565}; sequence-specific double-stranded DNA binding {GO:1990837}; single-stranded DNA binding {GO:0003697}; single-stranded RNA binding {GO:0003727}; snRNA binding {GO:0017069}; telomerase RNA binding {GO:0070034}; TFIIH-class transcription factor complex binding {GO:0001097}; transcription corepressor activity {GO:0003714}</t>
  </si>
  <si>
    <t>mRNA Splicing - Major Pathway {R-MMU-72163}</t>
  </si>
  <si>
    <t>sp|P09405|NUCL_MOUSE</t>
  </si>
  <si>
    <t>Nucleolin</t>
  </si>
  <si>
    <t>Protein C23</t>
  </si>
  <si>
    <t>NUCL_MOUSE</t>
  </si>
  <si>
    <t>P09405</t>
  </si>
  <si>
    <t>Q548M9; Q61991; Q8BQD8; Q99K50</t>
  </si>
  <si>
    <t>Nuc</t>
  </si>
  <si>
    <t>MGI:97286</t>
  </si>
  <si>
    <t>Acetylation; Cytoplasm; DNA-binding; Isopeptide bond; Methylation; Nucleus; Phosphoprotein; Repeat; RNA-binding; Ubl conjugation</t>
  </si>
  <si>
    <t>DNA-binding; RNA-binding</t>
  </si>
  <si>
    <t>angiogenesis {GO:0001525}; cellular response to epidermal growth factor stimulus {GO:0071364}; cellular response to leukemia inhibitory factor {GO:1990830}; cellular response to lipopolysaccharide {GO:0071222}; endocytosis {GO:0006897}; negative regulation of apoptotic process {GO:0043066}; negative regulation of insulin receptor signaling pathway {GO:0046627}; negative regulation of translation {GO:0017148}; positive regulation of interleukin-6 production {GO:0032755}; positive regulation of mRNA splicing, via spliceosome {GO:0048026}; positive regulation of transcription by RNA polymerase II {GO:0045944}; positive regulation of transcription of nucleolar large rRNA by RNA polymerase I {GO:1901838}; positive regulation of tumor necrosis factor production {GO:0032760}; regulation of peptidyl-tyrosine phosphorylation {GO:0050730}; regulation of rRNA processing {GO:2000232}</t>
  </si>
  <si>
    <t>cell cortex {GO:0005938}; cell surface {GO:0009986}; chromosome {GO:0005694}; cornified envelope {GO:0001533}; cytoplasm {GO:0005737}; cytoplasmic ribonucleoprotein granule {GO:0036464}; dense fibrillar component {GO:0001651}; fibrillar center {GO:0001650}; nucleolus {GO:0005730}; nucleoplasm {GO:0005654}; nucleus {GO:0005634}; ribonucleoprotein complex {GO:1990904}; spliceosomal complex {GO:0005681}</t>
  </si>
  <si>
    <t>calcium ion binding {GO:0005509}; DNA topoisomerase binding {GO:0044547}; DNA-binding transcription factor binding {GO:0140297}; ErbB-4 class receptor binding {GO:1990631}; histone binding {GO:0042393}; identical protein binding {GO:0042802}; insulin receptor substrate binding {GO:0043560}; laminin binding {GO:0043236}; mRNA 5'-UTR binding {GO:0048027}; PH domain binding {GO:0042731}; protein C-terminus binding {GO:0008022}; RNA binding {GO:0003723}; rRNA primary transcript binding {GO:0042134}; selenocysteine insertion sequence binding {GO:0035368}; sequence-specific DNA binding {GO:0043565}; signaling receptor binding {GO:0005102}; single-stranded DNA binding {GO:0003697}; telomeric DNA binding {GO:0042162}</t>
  </si>
  <si>
    <t>Major pathway of rRNA processing in the nucleolus and cytosol {R-MMU-6791226}</t>
  </si>
  <si>
    <t>sp|P80314|TCPB_MOUSE</t>
  </si>
  <si>
    <t>T-complex protein 1 subunit beta (TCP-1-beta)</t>
  </si>
  <si>
    <t>CCT-beta</t>
  </si>
  <si>
    <t>TCPB_MOUSE</t>
  </si>
  <si>
    <t>P80314</t>
  </si>
  <si>
    <t>Q9R1U0</t>
  </si>
  <si>
    <t>Cctb</t>
  </si>
  <si>
    <t>MGI:107186</t>
  </si>
  <si>
    <t>Acetylation; ATP-binding; Chaperone; Cytoplasm; Isopeptide bond; Nucleotide-binding; Phosphoprotein; Ubl conjugation</t>
  </si>
  <si>
    <t>binding of sperm to zona pellucida {GO:0007339}; chaperone mediated protein folding independent of cofactor {GO:0051086}; chaperone-mediated protein complex assembly {GO:0051131}; chaperone-mediated protein folding {GO:0061077}; positive regulation of establishment of protein localization to telomere {GO:1904851}; positive regulation of telomerase activity {GO:0051973}; positive regulation of telomerase RNA localization to Cajal body {GO:1904874}; positive regulation of telomere maintenance via telomerase {GO:0032212}; protein folding {GO:0006457}; protein stabilization {GO:0050821}; scaRNA localization to Cajal body {GO:0090666}; toxin transport {GO:1901998}</t>
  </si>
  <si>
    <t>cell body {GO:0044297}; chaperonin-containing T-complex {GO:0005832}; cytosol {GO:0005829}; microtubule {GO:0005874}; myelin sheath {GO:0043209}; zona pellucida receptor complex {GO:0002199}</t>
  </si>
  <si>
    <t>Association of TriC/CCT with target proteins during biosynthesis {R-MMU-390471}; Neutrophil degranulation {R-MMU-6798695}; Cooperation of PDCL (PhLP1) and TRiC/CCT in G-protein beta folding {R-MMU-6814122}; RHOBTB2 GTPase cycle {R-MMU-9013418}; RHOBTB1 GTPase cycle {R-MMU-9013422}</t>
  </si>
  <si>
    <t>sp|P05064|ALDOA_MOUSE</t>
  </si>
  <si>
    <t>Fructose-bisphosphate aldolase A</t>
  </si>
  <si>
    <t>Aldolase 1; Muscle-type aldolase</t>
  </si>
  <si>
    <t>ALDOA_MOUSE</t>
  </si>
  <si>
    <t>P05064</t>
  </si>
  <si>
    <t>Aldo1</t>
  </si>
  <si>
    <t>MGI:87994</t>
  </si>
  <si>
    <t>Acetylation; Cytoplasm; Glycolysis; Hydroxylation; Isopeptide bond; Lyase; Phosphoprotein; Schiff base; Ubl conjugation</t>
  </si>
  <si>
    <t>Schiff base</t>
  </si>
  <si>
    <t>ATP biosynthetic process {GO:0006754}; binding of sperm to zona pellucida {GO:0007339}; canonical glycolysis {GO:0061621}; fructose 1,6-bisphosphate metabolic process {GO:0030388}; fructose metabolic process {GO:0006000}; glycolytic process {GO:0006096}; glycolytic process through fructose-6-phosphate {GO:0061615}; methylglyoxal biosynthetic process {GO:0019242}; muscle cell cellular homeostasis {GO:0046716}; positive regulation of cell migration {GO:0030335}; protein homotetramerization {GO:0051289}; regulation of cell shape {GO:0008360}; striated muscle contraction {GO:0006941}</t>
  </si>
  <si>
    <t>actin cytoskeleton {GO:0015629}; cytoplasm {GO:0005737}; cytosol {GO:0005829}; extracellular exosome {GO:0070062}; extracellular space {GO:0005615}; heterochromatin {GO:0000792}; M band {GO:0031430}; membrane {GO:0016020}; mitochondrion {GO:0005739}; myelin sheath {GO:0043209}; plasma membrane {GO:0005886}; protein-containing complex {GO:0032991}; sperm fibrous sheath {GO:0035686}; sperm head {GO:0061827}; Z disc {GO:0030018}</t>
  </si>
  <si>
    <t>cytoskeletal protein binding {GO:0008092}; fructose binding {GO:0070061}; fructose-bisphosphate aldolase activity {GO:0004332}; identical protein binding {GO:0042802}; protease binding {GO:0002020}</t>
  </si>
  <si>
    <t>Carbohydrate degradation; glycolysis; D-glyceraldehyde 3- phosphate and glycerone phosphate from D-glucose: step 4/4.</t>
  </si>
  <si>
    <t>Platelet degranulation {R-MMU-114608}; Neutrophil degranulation {R-MMU-6798695}; Glycolysis {R-MMU-70171}; Gluconeogenesis {R-MMU-70263}</t>
  </si>
  <si>
    <t>sp|Q60864|STIP1_MOUSE</t>
  </si>
  <si>
    <t>Stress-induced-phosphoprotein 1 (STI1; mSTI1)</t>
  </si>
  <si>
    <t>Hsc70/Hsp90-organizing protein (Hop)</t>
  </si>
  <si>
    <t>STIP1_MOUSE</t>
  </si>
  <si>
    <t>Q60864</t>
  </si>
  <si>
    <t>Q3TT16; Q8BPH3; Q99L66</t>
  </si>
  <si>
    <t>MGI:109130</t>
  </si>
  <si>
    <t>Acetylation; Cytoplasm; Isopeptide bond; Nucleus; Phosphoprotein; Repeat; TPR repeat; Ubl conjugation</t>
  </si>
  <si>
    <t>Repeat; TPR repeat</t>
  </si>
  <si>
    <t>cellular response to interleukin-7 {GO:0098761}; protein folding {GO:0006457}</t>
  </si>
  <si>
    <t>chaperone complex {GO:0101031}; cytosol {GO:0005829}; dynein axonemal particle {GO:0120293}; myelin sheath {GO:0043209}; nucleus {GO:0005634}; protein-containing complex {GO:0032991}</t>
  </si>
  <si>
    <t>chaperone binding {GO:0051087}; Hsp70 protein binding {GO:0030544}; Hsp90 protein binding {GO:0051879}; protein C-terminus binding {GO:0008022}</t>
  </si>
  <si>
    <t>HSP90 chaperone cycle for steroid hormone receptors (SHR) in the presence of ligand {R-MMU-3371497}; RND1 GTPase cycle {R-MMU-9696273}</t>
  </si>
  <si>
    <t>sp|P62911|RL32_MOUSE</t>
  </si>
  <si>
    <t>60S ribosomal protein L32</t>
  </si>
  <si>
    <t>RL32_MOUSE</t>
  </si>
  <si>
    <t>P62911</t>
  </si>
  <si>
    <t>P02433; Q3UFJ7</t>
  </si>
  <si>
    <t>MGI:98038</t>
  </si>
  <si>
    <t>3D-structure; Cytoplasm; Isopeptide bond; Phosphoprotein; Ribonucleoprotein; Ribosomal protein; Ubl conjugation</t>
  </si>
  <si>
    <t>Isopeptide bond; Phosphoprotein; Ubl conjugation</t>
  </si>
  <si>
    <t>cellular response to dexamethasone stimulus {GO:0071549}; cytoplasmic translation {GO:0002181}; liver regeneration {GO:0097421}; translation {GO:0006412}</t>
  </si>
  <si>
    <t>cytoplasm {GO:0005737}; cytosol {GO:0005829}; cytosolic large ribosomal subunit {GO:0022625}; cytosolic ribosome {GO:0022626}; polysomal ribosome {GO:0042788}</t>
  </si>
  <si>
    <t>structural constituent of ribosome {GO:0003735}</t>
  </si>
  <si>
    <t>sp|Q02053|UBA1_MOUSE</t>
  </si>
  <si>
    <t>Ubiquitin-like modifier-activating enzyme 1</t>
  </si>
  <si>
    <t>Ubiquitin-activating enzyme E1; Ubiquitin-activating enzyme E1 X; Ubiquitin-like modifier-activating enzyme 1 X</t>
  </si>
  <si>
    <t>UBA1_MOUSE</t>
  </si>
  <si>
    <t>Q02053</t>
  </si>
  <si>
    <t>A6H6S6; P31253; Q542H8</t>
  </si>
  <si>
    <t>Sbx; Ube1; Ube1ax; Ube1x</t>
  </si>
  <si>
    <t>MGI:98890</t>
  </si>
  <si>
    <t>3D-structure; Acetylation; ATP-binding; Cytoplasm; Ligase; Mitochondrion; Nucleotide-binding; Nucleus; Phosphoprotein; Repeat; Ubl conjugation; Ubl conjugation pathway</t>
  </si>
  <si>
    <t>Ubl conjugation pathway</t>
  </si>
  <si>
    <t>Cytoplasm; Mitochondrion; Nucleus</t>
  </si>
  <si>
    <t>Ligase</t>
  </si>
  <si>
    <t>Acetylation; Phosphoprotein; Ubl conjugation</t>
  </si>
  <si>
    <t>cellular response to DNA damage stimulus {GO:0006974}; protein modification by small protein conjugation {GO:0032446}; protein ubiquitination {GO:0016567}; ubiquitin-dependent protein catabolic process {GO:0006511}</t>
  </si>
  <si>
    <t>cytoplasm {GO:0005737}; desmosome {GO:0030057}; endosome membrane {GO:0010008}; heterochromatin {GO:0000792}; lysosomal membrane {GO:0005765}; mitochondrion {GO:0005739}; nucleoplasm {GO:0005654}; nucleus {GO:0005634}; rough endoplasmic reticulum membrane {GO:0030867}</t>
  </si>
  <si>
    <t>ATP binding {GO:0005524}; ubiquitin activating enzyme activity {GO:0004839}</t>
  </si>
  <si>
    <t>Protein modification; protein ubiquitination.</t>
  </si>
  <si>
    <t>Synthesis of active ubiquitin: roles of E1 and E2 enzymes {R-MMU-8866652}; Antigen processing: Ubiquitination &amp; Proteasome degradation {R-MMU-983168}</t>
  </si>
  <si>
    <t>sp|P63038|CH60_MOUSE</t>
  </si>
  <si>
    <t>60 kDa heat shock protein, mitochondrial</t>
  </si>
  <si>
    <t>60 kDa chaperonin; Chaperonin 60 (CPN60); HSP-65; Heat shock protein 60 (HSP-60; Hsp60); Mitochondrial matrix protein P1</t>
  </si>
  <si>
    <t>CH60_MOUSE</t>
  </si>
  <si>
    <t>P63038</t>
  </si>
  <si>
    <t>P19226; P19227; P97602; Q3KQP2; Q3UIP0; Q8C2C7; Q8VEF4</t>
  </si>
  <si>
    <t>Hsp60</t>
  </si>
  <si>
    <t>MGI:96242</t>
  </si>
  <si>
    <t>Acetylation; Alternative splicing; ATP-binding; Chaperone; Isomerase; Isopeptide bond; Mitochondrion; Nucleotide-binding; Phosphoprotein; Transit peptide; Ubl conjugation</t>
  </si>
  <si>
    <t>Mitochondrion</t>
  </si>
  <si>
    <t>Transit peptide</t>
  </si>
  <si>
    <t>Chaperone; Isomerase</t>
  </si>
  <si>
    <t>activation of cysteine-type endopeptidase activity involved in apoptotic process {GO:0006919}; apoptotic mitochondrial changes {GO:0008637}; B cell activation {GO:0042113}; B cell proliferation {GO:0042100}; biological process involved in interaction with symbiont {GO:0051702}; cellular response to heat {GO:0034605}; cellular response to interleukin-7 {GO:0098761}; isotype switching to IgG isotypes {GO:0048291}; mitochondrial unfolded protein response {GO:0034514}; MyD88-dependent toll-like receptor signaling pathway {GO:0002755}; negative regulation of apoptotic process {GO:0043066}; negative regulation of apoptotic process in bone marrow cell {GO:0071866}; negative regulation of neuron apoptotic process {GO:0043524}; negative regulation of reactive oxygen species biosynthetic process {GO:1903427}; positive regulation of apoptotic process {GO:0043065}; positive regulation of inflammatory response {GO:0050729}; positive regulation of interferon-alpha production {GO:0032727}; positive regulation of interferon-gamma production {GO:0032729}; positive regulation of interleukin-10 production {GO:0032733}; positive regulation of interleukin-12 production {GO:0032735}; positive regulation of interleukin-6 production {GO:0032755}; positive regulation of macrophage activation {GO:0043032}; positive regulation of T cell activation {GO:0050870}; positive regulation of T cell mediated immune response to tumor cell {GO:0002842}; positive regulation of tumor necrosis factor production {GO:0032760}; protein folding {GO:0006457}; protein import into mitochondrial intermembrane space {GO:0045041}; protein refolding {GO:0042026}; protein stabilization {GO:0050821}; response to activity {GO:0014823}; response to ATP {GO:0033198}; response to cocaine {GO:0042220}; response to cold {GO:0009409}; response to estrogen {GO:0043627}; response to glucocorticoid {GO:0051384}; response to hydrogen peroxide {GO:0042542}; response to hypoxia {GO:0001666}; response to ischemia {GO:0002931}; response to lipopolysaccharide {GO:0032496}; response to unfolded protein {GO:0006986}; response to xenobiotic stimulus {GO:0009410}; T cell activation {GO:0042110}</t>
  </si>
  <si>
    <t>cell surface {GO:0009986}; clathrin-coated pit {GO:0005905}; coated vesicle {GO:0030135}; cytoplasm {GO:0005737}; cytosol {GO:0005829}; early endosome {GO:0005769}; extracellular exosome {GO:0070062}; extracellular space {GO:0005615}; Golgi apparatus {GO:0005794}; Golgi cisterna {GO:0031985}; intracellular membrane-bounded organelle {GO:0043231}; lipopolysaccharide receptor complex {GO:0046696}; membrane {GO:0016020}; membrane raft {GO:0045121}; mitochondrial crista {GO:0030061}; mitochondrial inner membrane {GO:0005743}; mitochondrial matrix {GO:0005759}; mitochondrion {GO:0005739}; myelin sheath {GO:0043209}; peroxisomal matrix {GO:0005782}; plasma membrane {GO:0005886}; protein-containing complex {GO:0032991}; rough endoplasmic reticulum {GO:0005791}; secretory granule {GO:0030141}; sperm midpiece {GO:0097225}; sperm plasma membrane {GO:0097524}; zymogen granule {GO:0042588}</t>
  </si>
  <si>
    <t>apolipoprotein A-I binding {GO:0034186}; apolipoprotein binding {GO:0034185}; ATP binding {GO:0005524}; ATP-dependent protein folding chaperone {GO:0140662}; chaperone binding {GO:0051087}; double-stranded RNA binding {GO:0003725}; enzyme binding {GO:0019899}; high-density lipoprotein particle binding {GO:0008035}; isomerase activity {GO:0016853}; lipopolysaccharide binding {GO:0001530}; modification-dependent protein binding {GO:0140030}; p53 binding {GO:0002039}; protein-containing complex binding {GO:0044877}; ubiquitin protein ligase binding {GO:0031625}</t>
  </si>
  <si>
    <t>Mitochondrial protein import {R-MMU-1268020}</t>
  </si>
  <si>
    <t>sp|P12970|RL7A_MOUSE</t>
  </si>
  <si>
    <t>60S ribosomal protein L7a</t>
  </si>
  <si>
    <t>Surfeit locus protein 3</t>
  </si>
  <si>
    <t>RL7A_MOUSE</t>
  </si>
  <si>
    <t>P12970</t>
  </si>
  <si>
    <t>Q91YM3</t>
  </si>
  <si>
    <t>Surf-3; Surf3</t>
  </si>
  <si>
    <t>MGI:1353472</t>
  </si>
  <si>
    <t>3D-structure; Acetylation; Cytoplasm; Isopeptide bond; Ribonucleoprotein; Ribosomal protein; Ubl conjugation</t>
  </si>
  <si>
    <t>cytoplasmic translation {GO:0002181}; maturation of LSU-rRNA {GO:0000470}</t>
  </si>
  <si>
    <t>cytoplasm {GO:0005737}; cytosol {GO:0005829}; cytosolic large ribosomal subunit {GO:0022625}; cytosolic ribosome {GO:0022626}; membrane {GO:0016020}; nucleolus {GO:0005730}; polysomal ribosome {GO:0042788}; polysome {GO:0005844}; ribosome {GO:0005840}; synapse {GO:0045202}</t>
  </si>
  <si>
    <t>RNA binding {GO:0003723}; structural constituent of ribosome {GO:0003735}</t>
  </si>
  <si>
    <t>sp|P08003|PDIA4_MOUSE</t>
  </si>
  <si>
    <t>Protein disulfide-isomerase A4</t>
  </si>
  <si>
    <t>Endoplasmic reticulum resident protein 72 (ER protein 72; ERp-72; ERp72)</t>
  </si>
  <si>
    <t>PDIA4_MOUSE</t>
  </si>
  <si>
    <t>P08003</t>
  </si>
  <si>
    <t>P15841; Q3TT79; Q3UJW0; Q6NXW4; Q8BMT8</t>
  </si>
  <si>
    <t>Cai; Erp72</t>
  </si>
  <si>
    <t>MGI:104864</t>
  </si>
  <si>
    <t>3D-structure; Acetylation; Disulfide bond; Endoplasmic reticulum; Glycoprotein; Isomerase; Redox-active center; Repeat; Signal</t>
  </si>
  <si>
    <t>Acetylation; Disulfide bond; Glycoprotein</t>
  </si>
  <si>
    <t>chaperone-mediated protein folding {GO:0061077}; positive regulation of protein folding {GO:1903334}; protein folding {GO:0006457}; response to endoplasmic reticulum stress {GO:0034976}</t>
  </si>
  <si>
    <t>cell surface {GO:0009986}; endoplasmic reticulum {GO:0005783}; endoplasmic reticulum chaperone complex {GO:0034663}; endoplasmic reticulum lumen {GO:0005788}; extracellular space {GO:0005615}; melanosome {GO:0042470}; smooth endoplasmic reticulum {GO:0005790}</t>
  </si>
  <si>
    <t>protein disulfide isomerase activity {GO:0003756}; protein-disulfide reductase activity {GO:0015035}</t>
  </si>
  <si>
    <t>sp|P14148|RL7_MOUSE</t>
  </si>
  <si>
    <t>60S ribosomal protein L7</t>
  </si>
  <si>
    <t>RL7_MOUSE</t>
  </si>
  <si>
    <t>P14148</t>
  </si>
  <si>
    <t>Q80UR0</t>
  </si>
  <si>
    <t>MGI:98073</t>
  </si>
  <si>
    <t>3D-structure; Acetylation; Cytoplasm; Phosphoprotein; Repeat; Ribonucleoprotein; Ribosomal protein; RNA-binding</t>
  </si>
  <si>
    <t>RNA-binding; Ribonucleoprotein; Ribosomal protein</t>
  </si>
  <si>
    <t>cytoplasmic translation {GO:0002181}; maturation of LSU-rRNA from tricistronic rRNA transcript (SSU-rRNA, 5.8S rRNA, LSU-rRNA) {GO:0000463}; ribosomal large subunit biogenesis {GO:0042273}; rRNA processing {GO:0006364}; translation {GO:0006412}</t>
  </si>
  <si>
    <t>A band {GO:0031672}; cytoplasm {GO:0005737}; cytosol {GO:0005829}; cytosolic large ribosomal subunit {GO:0022625}; cytosolic ribosome {GO:0022626}; polysome {GO:0005844}; postsynaptic density {GO:0014069}; ribonucleoprotein complex {GO:1990904}; ribosome {GO:0005840}; synapse {GO:0045202}</t>
  </si>
  <si>
    <t>5S rRNA binding {GO:0008097}; DNA binding {GO:0003677}; identical protein binding {GO:0042802}; mRNA binding {GO:0003729}; RNA binding {GO:0003723}; structural constituent of ribosome {GO:0003735}</t>
  </si>
  <si>
    <t>sp|Q61171|PRDX2_MOUSE</t>
  </si>
  <si>
    <t>Peroxiredoxin-2</t>
  </si>
  <si>
    <t>Thiol-specific antioxidant protein (TSA); Thioredoxin peroxidase 1; Thioredoxin-dependent peroxide reductase 1; Thioredoxin-dependent peroxiredoxin 2</t>
  </si>
  <si>
    <t>PRDX2_MOUSE</t>
  </si>
  <si>
    <t>Q61171</t>
  </si>
  <si>
    <t>O88376; Q60796; Q9CWJ4; Q9DB49</t>
  </si>
  <si>
    <t>Tdpx1; Tpx</t>
  </si>
  <si>
    <t>MGI:109486</t>
  </si>
  <si>
    <t>Acetylation; Antioxidant; Cytoplasm; Disulfide bond; Oxidoreductase; Peroxidase; Phosphoprotein; Redox-active center</t>
  </si>
  <si>
    <t>Redox-active center</t>
  </si>
  <si>
    <t>Antioxidant; Oxidoreductase; Peroxidase</t>
  </si>
  <si>
    <t>cell redox homeostasis {GO:0045454}; cellular response to oxidative stress {GO:0034599}; defense response to tumor cell {GO:0002357}; extrinsic apoptotic signaling pathway {GO:0097191}; hydrogen peroxide catabolic process {GO:0042744}; hydrogen peroxide metabolic process {GO:0042743}; leukocyte activation {GO:0045321}; negative regulation of extrinsic apoptotic signaling pathway {GO:2001237}; negative regulation of extrinsic apoptotic signaling pathway in absence of ligand {GO:2001240}; negative regulation of lipopolysaccharide-mediated signaling pathway {GO:0031665}; negative regulation of neuron apoptotic process {GO:0043524}; negative regulation of NF-kappaB transcription factor activity {GO:0032088}; negative regulation of T cell differentiation {GO:0045581}; positive regulation of blood coagulation {GO:0030194}; positive regulation of MAPK cascade {GO:0043410}; regulation of apoptotic process {GO:0042981}; regulation of hydrogen peroxide metabolic process {GO:0010310}; removal of superoxide radicals {GO:0019430}; respiratory burst involved in inflammatory response {GO:0002536}; response to lipopolysaccharide {GO:0032496}; response to oxidative stress {GO:0006979}; T cell homeostasis {GO:0043029}; T cell proliferation {GO:0042098}; thymus development {GO:0048538}</t>
  </si>
  <si>
    <t>cytosol {GO:0005829}; mitochondrion {GO:0005739}; myelin sheath {GO:0043209}</t>
  </si>
  <si>
    <t>antioxidant activity {GO:0016209}; peroxidase activity {GO:0004601}; selenium binding {GO:0008430}; thioredoxin peroxidase activity {GO:0008379}; thioredoxin-dependent peroxiredoxin activity {GO:0140824}</t>
  </si>
  <si>
    <t>Detoxification of Reactive Oxygen Species {R-MMU-3299685}; TP53 Regulates Metabolic Genes {R-MMU-5628897}</t>
  </si>
  <si>
    <t>sp|O70251|EF1B_MOUSE</t>
  </si>
  <si>
    <t>Elongation factor 1-beta (EF-1-beta)</t>
  </si>
  <si>
    <t>EF1B_MOUSE</t>
  </si>
  <si>
    <t>O70251</t>
  </si>
  <si>
    <t>Q3THP5; Q5SUH1; Q8CHS1; Q99L22; Q9CZD4</t>
  </si>
  <si>
    <t>Eef1b2</t>
  </si>
  <si>
    <t>MGI:1929520</t>
  </si>
  <si>
    <t>Acetylation; Elongation factor; Isopeptide bond; Phosphoprotein; Protein biosynthesis; Ubl conjugation</t>
  </si>
  <si>
    <t>response to ethanol {GO:0045471}; translational elongation {GO:0006414}</t>
  </si>
  <si>
    <t>cytoplasm {GO:0005737}; cytosol {GO:0005829}; endoplasmic reticulum {GO:0005783}; eukaryotic translation elongation factor 1 complex {GO:0005853}</t>
  </si>
  <si>
    <t>guanyl-nucleotide exchange factor activity {GO:0005085}; translation elongation factor activity {GO:0003746}</t>
  </si>
  <si>
    <t>sp|P80316|TCPE_MOUSE</t>
  </si>
  <si>
    <t>T-complex protein 1 subunit epsilon (TCP-1-epsilon)</t>
  </si>
  <si>
    <t>CCT-epsilon</t>
  </si>
  <si>
    <t>TCPE_MOUSE</t>
  </si>
  <si>
    <t>P80316</t>
  </si>
  <si>
    <t>Q3TIE0; Q3U530; Q3UCU4; Q3UJK9; Q3UWA9; Q542K3; Q6ZQJ1</t>
  </si>
  <si>
    <t>Ccte; Kiaa0098</t>
  </si>
  <si>
    <t>MGI:107185</t>
  </si>
  <si>
    <t>Acetylation; ATP-binding; Chaperone; Cytoplasm; Cytoskeleton; Isopeptide bond; Nucleotide-binding; Phosphoprotein; Ubl conjugation</t>
  </si>
  <si>
    <t>binding of sperm to zona pellucida {GO:0007339}; chaperone-mediated protein folding {GO:0061077}; positive regulation of establishment of protein localization to telomere {GO:1904851}; positive regulation of telomere maintenance via telomerase {GO:0032212}; protein folding {GO:0006457}; protein stabilization {GO:0050821}; response to virus {GO:0009615}; toxin transport {GO:1901998}</t>
  </si>
  <si>
    <t>cell body {GO:0044297}; centrosome {GO:0005813}; chaperonin-containing T-complex {GO:0005832}; microtubule {GO:0005874}; myelin sheath {GO:0043209}</t>
  </si>
  <si>
    <t>ATP binding {GO:0005524}; ATP hydrolysis activity {GO:0016887}; ATP-dependent protein folding chaperone {GO:0140662}; beta-tubulin binding {GO:0048487}; G-protein beta-subunit binding {GO:0031681}; mRNA 3'-UTR binding {GO:0003730}; mRNA 5'-UTR binding {GO:0048027}; protein folding chaperone {GO:0044183}; unfolded protein binding {GO:0051082}</t>
  </si>
  <si>
    <t>sp|O88569|ROA2_MOUSE</t>
  </si>
  <si>
    <t>Heterogeneous nuclear ribonucleoproteins A2/B1 (hnRNP A2/B1)</t>
  </si>
  <si>
    <t>ROA2_MOUSE</t>
  </si>
  <si>
    <t>O88569</t>
  </si>
  <si>
    <t>B9EJ02; Q3UVJ5; Q6PCV9; Q8C2A0; Q8CJ71; Q91ZR9; Q9R204</t>
  </si>
  <si>
    <t>Hnrpa2b1</t>
  </si>
  <si>
    <t>MGI:104819</t>
  </si>
  <si>
    <t>Acetylation; Alternative splicing; Cytoplasm; Isopeptide bond; Methylation; mRNA processing; mRNA splicing; mRNA transport; Nucleus; Phosphoprotein; Repeat; Ribonucleoprotein; RNA-binding; Secreted; Spliceosome; Transport; Ubl conjugation</t>
  </si>
  <si>
    <t>Transport; mRNA processing; mRNA splicing; mRNA transport</t>
  </si>
  <si>
    <t>Cytoplasm; Nucleus; Secreted; Spliceosome</t>
  </si>
  <si>
    <t>RNA-binding; Ribonucleoprotein</t>
  </si>
  <si>
    <t>G-quadruplex DNA unwinding {GO:0044806}; miRNA transport {GO:1990428}; mRNA export from nucleus {GO:0006406}; mRNA processing {GO:0006397}; mRNA splicing, via spliceosome {GO:0000398}; mRNA transport {GO:0051028}; negative regulation of mRNA splicing, via spliceosome {GO:0048025}; negative regulation of transcription by RNA polymerase II {GO:0000122}; positive regulation of telomerase RNA reverse transcriptase activity {GO:1905663}; positive regulation of telomere maintenance via telomere lengthening {GO:1904358}; primary miRNA processing {GO:0031053}; RNA transport {GO:0050658}; telomere capping {GO:0016233}</t>
  </si>
  <si>
    <t>Cajal body {GO:0015030}; catalytic step 2 spliceosome {GO:0071013}; chromatin {GO:0000785}; chromosome, telomeric region {GO:0000781}; cytoplasm {GO:0005737}; extracellular exosome {GO:0070062}; glutamatergic synapse {GO:0098978}; neuron projection {GO:0043005}; neuronal cell body {GO:0043025}; neuronal ribonucleoprotein granule {GO:0071598}; nuclear matrix {GO:0016363}; nucleoplasm {GO:0005654}; nucleus {GO:0005634}; perikaryon {GO:0043204}; postsynaptic cytosol {GO:0099524}; ribonucleoprotein complex {GO:1990904}; spliceosomal complex {GO:0005681}</t>
  </si>
  <si>
    <t>DNA polymerase binding {GO:0070182}; G-rich strand telomeric DNA binding {GO:0098505}; identical protein binding {GO:0042802}; miRNA binding {GO:0035198}; molecular condensate scaffold activity {GO:0140693}; mRNA 3'-UTR binding {GO:0003730}; mRNA CDS binding {GO:1990715}; N6-methyladenosine-containing RNA binding {GO:1990247}; pre-mRNA intronic binding {GO:0097157}; regulatory region RNA binding {GO:0001069}; RNA binding {GO:0003723}; single-stranded telomeric DNA binding {GO:0043047}</t>
  </si>
  <si>
    <t>sp|Q03265|ATPA_MOUSE</t>
  </si>
  <si>
    <t>ATP synthase subunit alpha, mitochondrial</t>
  </si>
  <si>
    <t>ATP synthase F1 subunit alpha</t>
  </si>
  <si>
    <t>ATPA_MOUSE</t>
  </si>
  <si>
    <t>Q03265</t>
  </si>
  <si>
    <t>Q3TFN0; Q3THN8; Q3TPR0; Q3TPV3; Q3TZU3; Q3UIR7; Q543Y6</t>
  </si>
  <si>
    <t>Atp5a1</t>
  </si>
  <si>
    <t>MGI:88115</t>
  </si>
  <si>
    <t>Acetylation; ATP synthesis; ATP-binding; Cell membrane; CF(1); Glycoprotein; Hydrogen ion transport; Ion transport; Membrane; Methylation; Mitochondrion; Mitochondrion inner membrane; Nucleotide-binding; Phosphoprotein; Transit peptide; Transport</t>
  </si>
  <si>
    <t>ATP synthesis; Hydrogen ion transport; Ion transport; Transport</t>
  </si>
  <si>
    <t>CF(1); Cell membrane; Membrane; Mitochondrion; Mitochondrion inner membrane</t>
  </si>
  <si>
    <t>aging {GO:0007568}; apoptotic process {GO:0006915}; ATP biosynthetic process {GO:0006754}; ATP metabolic process {GO:0046034}; cellular response to dexamethasone stimulus {GO:0071549}; cellular response to nitric oxide {GO:0071732}; lipid metabolic process {GO:0006629}; negative regulation of endothelial cell proliferation {GO:0001937}; positive regulation of blood vessel endothelial cell migration {GO:0043536}; proton motive force-driven ATP synthesis {GO:0015986}; proton motive force-driven mitochondrial ATP synthesis {GO:0042776}; response to ethanol {GO:0045471}; response to muscle activity {GO:0014850}</t>
  </si>
  <si>
    <t>cell surface {GO:0009986}; COP9 signalosome {GO:0008180}; membrane {GO:0016020}; membrane raft {GO:0045121}; mitochondrial inner membrane {GO:0005743}; mitochondrial proton-transporting ATP synthase complex {GO:0005753}; mitochondrial proton-transporting ATP synthase complex, catalytic sector F(1) {GO:0000275}; mitochondrial proton-transporting ATP synthase, catalytic core {GO:0005754}; mitochondrion {GO:0005739}; myelin sheath {GO:0043209}; nucleus {GO:0005634}; plasma membrane {GO:0005886}; proton-transporting ATP synthase complex {GO:0045259}; proton-transporting ATP synthase complex, catalytic core F(1) {GO:0045261}</t>
  </si>
  <si>
    <t>ADP binding {GO:0043531}; angiostatin binding {GO:0043532}; ATP binding {GO:0005524}; ATP hydrolysis activity {GO:0016887}; MHC class I protein binding {GO:0042288}; protease binding {GO:0002020}; proton-transporting ATP synthase activity, rotational mechanism {GO:0046933}</t>
  </si>
  <si>
    <t>Formation of ATP by chemiosmotic coupling {R-MMU-163210}; Cristae formation {R-MMU-8949613}</t>
  </si>
  <si>
    <t>sp|Q05A80|CAPR2_MOUSE</t>
  </si>
  <si>
    <t>Caprin-2</t>
  </si>
  <si>
    <t>C1q domain-containing protein 1; Cytoplasmic activation/proliferation-associated protein 2; RNA granule protein 140</t>
  </si>
  <si>
    <t>CAPR2_MOUSE</t>
  </si>
  <si>
    <t>Q05A80</t>
  </si>
  <si>
    <t>Q58E31; Q6ZPG7</t>
  </si>
  <si>
    <t>MGI:2448541</t>
  </si>
  <si>
    <t>Alternative splicing; Calcium; Cell membrane; Cytoplasm; Differentiation; Growth regulation; Membrane; Metal-binding; Phosphoprotein; Protein synthesis inhibitor; RNA-binding</t>
  </si>
  <si>
    <t>Differentiation; Growth regulation</t>
  </si>
  <si>
    <t>Protein synthesis inhibitor; RNA-binding</t>
  </si>
  <si>
    <t>cell differentiation {GO:0030154}; negative regulation of cell growth {GO:0030308}; negative regulation of translation {GO:0017148}; positive regulation of canonical Wnt signaling pathway {GO:0090263}; positive regulation of dendrite morphogenesis {GO:0050775}; positive regulation of dendritic spine morphogenesis {GO:0061003}; positive regulation of peptidyl-serine phosphorylation {GO:0033138}; positive regulation of protein binding {GO:0032092}; positive regulation of transcription by RNA polymerase II {GO:0045944}</t>
  </si>
  <si>
    <t>centrosome {GO:0005813}; cytoplasm {GO:0005737}; cytosol {GO:0005829}; mitochondrion {GO:0005739}; nucleoplasm {GO:0005654}; plasma membrane {GO:0005886}; receptor complex {GO:0043235}</t>
  </si>
  <si>
    <t>metal ion binding {GO:0046872}; RNA binding {GO:0003723}; signaling receptor binding {GO:0005102}</t>
  </si>
  <si>
    <t>sp|P14211|CALR_MOUSE</t>
  </si>
  <si>
    <t>Calreticulin</t>
  </si>
  <si>
    <t>CRP55; Calregulin; Endoplasmic reticulum resident protein 60 (ERp60); HACBP</t>
  </si>
  <si>
    <t>CALR_MOUSE</t>
  </si>
  <si>
    <t>P14211</t>
  </si>
  <si>
    <t>Q3TVD2</t>
  </si>
  <si>
    <t>MGI:88252</t>
  </si>
  <si>
    <t>3D-structure; Acetylation; Calcium; Chaperone; Cytoplasm; Cytoplasmic vesicle; Disulfide bond; Endoplasmic reticulum; Extracellular matrix; Hydroxylation; Lectin; Lysosome; Metal-binding; Repeat; Sarcoplasmic reticulum; Secreted; Signal; Zinc</t>
  </si>
  <si>
    <t>Cytoplasm; Cytoplasmic vesicle; Endoplasmic reticulum; Extracellular matrix; Lysosome; Sarcoplasmic reticulum; Secreted</t>
  </si>
  <si>
    <t>Calcium; Lectin; Metal-binding; Zinc</t>
  </si>
  <si>
    <t>Acetylation; Disulfide bond; Hydroxylation</t>
  </si>
  <si>
    <t>cardiac muscle cell differentiation {GO:0055007}; cellular response to electrical stimulus {GO:0071257}; cellular response to lithium ion {GO:0071285}; cellular response to organic substance {GO:0071310}; cellular response to virus {GO:0098586}; cellular senescence {GO:0090398}; cortical actin cytoskeleton organization {GO:0030866}; negative regulation of DNA-templated transcription {GO:0045892}; negative regulation of intracellular steroid hormone receptor signaling pathway {GO:0033144}; negative regulation of neuron differentiation {GO:0045665}; negative regulation of retinoic acid receptor signaling pathway {GO:0048387}; negative regulation of transcription by RNA polymerase II {GO:0000122}; negative regulation of translation {GO:0017148}; negative regulation of trophoblast cell migration {GO:1901164}; peptide antigen assembly with MHC class I protein complex {GO:0002502}; positive regulation of cell cycle {GO:0045787}; positive regulation of cell population proliferation {GO:0008284}; positive regulation of dendritic cell chemotaxis {GO:2000510}; positive regulation of endothelial cell migration {GO:0010595}; positive regulation of gene expression {GO:0010628}; positive regulation of NIK/NF-kappaB signaling {GO:1901224}; positive regulation of phagocytosis {GO:0050766}; positive regulation of substrate adhesion-dependent cell spreading {GO:1900026}; protein export from nucleus {GO:0006611}; protein folding {GO:0006457}; protein localization to nucleus {GO:0034504}; protein stabilization {GO:0050821}; regulation of meiotic nuclear division {GO:0040020}; response to estradiol {GO:0032355}; response to glycoside {GO:1903416}; response to testosterone {GO:0033574}; response to xenobiotic stimulus {GO:0009410}; spermatogenesis {GO:0007283}; ubiquitin-dependent ERAD pathway {GO:0030433}</t>
  </si>
  <si>
    <t>acrosomal vesicle {GO:0001669}; cell surface {GO:0009986}; collagen-containing extracellular matrix {GO:0062023}; cortical granule {GO:0060473}; cytolytic granule {GO:0044194}; cytoplasm {GO:0005737}; cytosol {GO:0005829}; endoplasmic reticulum {GO:0005783}; endoplasmic reticulum lumen {GO:0005788}; endoplasmic reticulum membrane {GO:0005789}; endoplasmic reticulum quality control compartment {GO:0044322}; external side of plasma membrane {GO:0009897}; extracellular region {GO:0005576}; extracellular space {GO:0005615}; Golgi apparatus {GO:0005794}; intracellular membrane-bounded organelle {GO:0043231}; membrane {GO:0016020}; MHC class I peptide loading complex {GO:0042824}; nuclear envelope {GO:0005635}; nucleus {GO:0005634}; perinuclear region of cytoplasm {GO:0048471}; phagocytic vesicle {GO:0045335}; plasma membrane {GO:0005886}; polysome {GO:0005844}; protein-containing complex {GO:0032991}; sarcoplasmic reticulum {GO:0016529}; sarcoplasmic reticulum lumen {GO:0033018}; smooth endoplasmic reticulum {GO:0005790}</t>
  </si>
  <si>
    <t>calcium ion binding {GO:0005509}; carbohydrate binding {GO:0030246}; hormone binding {GO:0042562}; integrin binding {GO:0005178}; iron ion binding {GO:0005506}; mRNA binding {GO:0003729}; nuclear androgen receptor binding {GO:0050681}; peptide binding {GO:0042277}; ubiquitin protein ligase binding {GO:0031625}; unfolded protein binding {GO:0051082}</t>
  </si>
  <si>
    <t>ER-Phagosome pathway {R-MMU-1236974}; Scavenging by Class A Receptors {R-MMU-3000480}; Calnexin/calreticulin cycle {R-MMU-901042}; Antigen Presentation: Folding, assembly and peptide loading of class I MHC {R-MMU-983170}</t>
  </si>
  <si>
    <t>sp|P06151|LDHA_MOUSE</t>
  </si>
  <si>
    <t>L-lactate dehydrogenase A chain (LDH-A)</t>
  </si>
  <si>
    <t>LDH muscle subunit (LDH-M)</t>
  </si>
  <si>
    <t>LDHA_MOUSE</t>
  </si>
  <si>
    <t>P06151</t>
  </si>
  <si>
    <t>Ldh-1; Ldh1</t>
  </si>
  <si>
    <t>MGI:96759</t>
  </si>
  <si>
    <t>Acetylation; Cytoplasm; Isopeptide bond; NAD; Oxidoreductase; Phosphoprotein; Ubl conjugation</t>
  </si>
  <si>
    <t>cellular response to extracellular stimulus {GO:0031668}; glucose catabolic process to lactate via pyruvate {GO:0019661}; lactate biosynthetic process from pyruvate {GO:0019244}; lactate metabolic process {GO:0006089}; NAD metabolic process {GO:0019674}; positive regulation of apoptotic process {GO:0043065}; pyruvate metabolic process {GO:0006090}</t>
  </si>
  <si>
    <t>cytosol {GO:0005829}; mitochondrion {GO:0005739}; oxidoreductase complex {GO:1990204}; sperm fibrous sheath {GO:0035686}</t>
  </si>
  <si>
    <t>identical protein binding {GO:0042802}; kinase binding {GO:0019900}; L-lactate dehydrogenase activity {GO:0004459}; lactate dehydrogenase activity {GO:0004457}; NAD binding {GO:0051287}</t>
  </si>
  <si>
    <t>Fermentation; pyruvate fermentation to lactate; (S)-lactate from pyruvate: step 1/1..</t>
  </si>
  <si>
    <t>Pyruvate metabolism {R-MMU-70268}</t>
  </si>
  <si>
    <t>sp|P15508|SPTB1_MOUSE</t>
  </si>
  <si>
    <t>Spectrin beta chain, erythrocytic</t>
  </si>
  <si>
    <t>Beta-I spectrin</t>
  </si>
  <si>
    <t>SPTB1_MOUSE</t>
  </si>
  <si>
    <t>P15508</t>
  </si>
  <si>
    <t>Spnb-1; Spnb1; Sptb1</t>
  </si>
  <si>
    <t>MGI:98387</t>
  </si>
  <si>
    <t>Actin capping; Actin-binding; Cytoplasm; Cytoskeleton; Phosphoprotein; Repeat</t>
  </si>
  <si>
    <t>actin cytoskeleton organization {GO:0030036}; actin filament capping {GO:0051693}; hemopoiesis {GO:0030097}; plasma membrane organization {GO:0007009}; porphyrin-containing compound biosynthetic process {GO:0006779}</t>
  </si>
  <si>
    <t>cell junction {GO:0030054}; cell projection {GO:0042995}; cell surface {GO:0009986}; cortical actin cytoskeleton {GO:0030864}; cortical cytoskeleton {GO:0030863}; cytosol {GO:0005829}; membrane {GO:0016020}; plasma membrane {GO:0005886}; protein-containing complex {GO:0032991}; spectrin {GO:0008091}; spectrin-associated cytoskeleton {GO:0014731}</t>
  </si>
  <si>
    <t>actin binding {GO:0003779}; actin filament binding {GO:0051015}; ankyrin binding {GO:0030506}; structural constituent of cytoskeleton {GO:0005200}</t>
  </si>
  <si>
    <t>NCAM signaling for neurite out-growth {R-MMU-375165}; Interaction between L1 and Ankyrins {R-MMU-445095}; RAF/MAP kinase cascade {R-MMU-5673001}; COPI-mediated anterograde transport {R-MMU-6807878}</t>
  </si>
  <si>
    <t>sp|Q8BTM8|FLNA_MOUSE</t>
  </si>
  <si>
    <t>Filamin-A (FLN-A)</t>
  </si>
  <si>
    <t>Actin-binding protein 280 (ABP-280); Alpha-filamin; Endothelial actin-binding protein; Filamin-1; Non-muscle filamin</t>
  </si>
  <si>
    <t>FLNA_MOUSE</t>
  </si>
  <si>
    <t>Q8BTM8</t>
  </si>
  <si>
    <t>B7FAV0; O54934; Q7TQI1; Q8BLK1; Q8BTN7; Q8VHX5; Q8VHX8; Q99KQ2</t>
  </si>
  <si>
    <t>Fln; Fln1</t>
  </si>
  <si>
    <t>MGI:95556</t>
  </si>
  <si>
    <t>Acetylation; Actin-binding; Alternative splicing; Cell projection; Cilium biogenesis/degradation; Cytoplasm; Cytoskeleton; Isopeptide bond; Phosphoprotein; Repeat; Ubl conjugation</t>
  </si>
  <si>
    <t>Cell projection; Cytoplasm; Cytoskeleton</t>
  </si>
  <si>
    <t>actin crosslink formation {GO:0051764}; actin cytoskeleton organization {GO:0030036}; actin cytoskeleton reorganization {GO:0031532}; adenylate cyclase-inhibiting dopamine receptor signaling pathway {GO:0007195}; angiogenesis {GO:0001525}; blood coagulation, intrinsic pathway {GO:0007597}; blood vessel remodeling {GO:0001974}; cell-cell junction organization {GO:0045216}; cilium assembly {GO:0060271}; cytoplasmic sequestering of protein {GO:0051220}; early endosome to late endosome transport {GO:0045022}; epithelial to mesenchymal transition {GO:0001837}; establishment of protein localization {GO:0045184}; establishment of Sertoli cell barrier {GO:0097368}; formation of radial glial scaffolds {GO:0021943}; heart morphogenesis {GO:0003007}; megakaryocyte development {GO:0035855}; mitotic spindle assembly {GO:0090307}; mRNA transcription by RNA polymerase II {GO:0042789}; negative regulation of apoptotic process {GO:0043066}; negative regulation of DNA-binding transcription factor activity {GO:0043433}; negative regulation of neuron projection development {GO:0010977}; negative regulation of protein catabolic process {GO:0042177}; negative regulation of transcription by RNA polymerase I {GO:0016479}; positive regulation of actin filament bundle assembly {GO:0032233}; positive regulation of axon regeneration {GO:0048680}; positive regulation of I-kappaB kinase/NF-kappaB signaling {GO:0043123}; positive regulation of integrin-mediated signaling pathway {GO:2001046}; positive regulation of neural precursor cell proliferation {GO:2000179}; positive regulation of neuron migration {GO:2001224}; positive regulation of platelet activation {GO:0010572}; positive regulation of potassium ion transmembrane transport {GO:1901381}; positive regulation of protein import into nucleus {GO:0042307}; positive regulation of substrate adhesion-dependent cell spreading {GO:1900026}; protein localization to bicellular tight junction {GO:1902396}; protein localization to cell surface {GO:0034394}; protein localization to plasma membrane {GO:0072659}; protein stabilization {GO:0050821}; receptor clustering {GO:0043113}; regulation of actin filament bundle assembly {GO:0032231}; regulation of cell migration {GO:0030334}; regulation of membrane repolarization during atrial cardiac muscle cell action potential {GO:1905000}; regulation of membrane repolarization during cardiac muscle cell action potential {GO:1905031}; release of sequestered calcium ion into cytosol {GO:0051209}; semaphorin-plexin signaling pathway {GO:0071526}; synapse organization {GO:0050808}; tubulin deacetylation {GO:0090042}; wound healing, spreading of cells {GO:0044319}</t>
  </si>
  <si>
    <t>actin cytoskeleton {GO:0015629}; actin filament {GO:0005884}; actin filament bundle {GO:0032432}; apical dendrite {GO:0097440}; axonal growth cone {GO:0044295}; brush border {GO:0005903}; cell cortex {GO:0005938}; cell-cell junction {GO:0005911}; cortical cytoskeleton {GO:0030863}; cytoplasm {GO:0005737}; cytosol {GO:0005829}; dendritic shaft {GO:0043198}; glutamatergic synapse {GO:0098978}; glycoprotein Ib-IX-V complex {GO:1990779}; growth cone {GO:0030426}; Myb complex {GO:0031523}; neuronal cell body {GO:0043025}; nucleolus {GO:0005730}; nucleus {GO:0005634}; perikaryon {GO:0043204}; perinuclear region of cytoplasm {GO:0048471}; plasma membrane {GO:0005886}; postsynapse {GO:0098794}; trans-Golgi network {GO:0005802}; Z disc {GO:0030018}</t>
  </si>
  <si>
    <t>actin binding {GO:0003779}; actin filament binding {GO:0051015}; DNA-binding transcription factor binding {GO:0140297}; Fc-gamma receptor I complex binding {GO:0034988}; G protein-coupled receptor binding {GO:0001664}; GTPase binding {GO:0051020}; kinase binding {GO:0019900}; mu-type opioid receptor binding {GO:0031852}; potassium channel regulator activity {GO:0015459}; protein homodimerization activity {GO:0042803}; protein kinase C binding {GO:0005080}; protein-containing complex binding {GO:0044877}; SMAD binding {GO:0046332}; small GTPase binding {GO:0031267}; transmembrane transporter binding {GO:0044325}</t>
  </si>
  <si>
    <t>Platelet degranulation {R-MMU-114608}; GP1b-IX-V activation signalling {R-MMU-430116}; Cell-extracellular matrix interactions {R-MMU-446353}; RHO GTPases activate PAKs {R-MMU-5627123}</t>
  </si>
  <si>
    <t>sp|P42932|TCPQ_MOUSE</t>
  </si>
  <si>
    <t>T-complex protein 1 subunit theta (TCP-1-theta)</t>
  </si>
  <si>
    <t>CCT-theta</t>
  </si>
  <si>
    <t>TCPQ_MOUSE</t>
  </si>
  <si>
    <t>P42932</t>
  </si>
  <si>
    <t>Cctq</t>
  </si>
  <si>
    <t>MGI:107183</t>
  </si>
  <si>
    <t>Acetylation; ATP-binding; Cell projection; Chaperone; Cilium; Cytoplasm; Cytoskeleton; Isopeptide bond; Nucleotide-binding; Phosphoprotein; Ubl conjugation</t>
  </si>
  <si>
    <t>Cell projection; Cilium; Cytoplasm; Cytoskeleton</t>
  </si>
  <si>
    <t>binding of sperm to zona pellucida {GO:0007339}; chaperone-mediated protein folding {GO:0061077}; pore complex assembly {GO:0046931}; positive regulation of establishment of protein localization to telomere {GO:1904851}; positive regulation of telomere maintenance via telomerase {GO:0032212}; protein folding {GO:0006457}; protein stabilization {GO:0050821}; toxin transport {GO:1901998}</t>
  </si>
  <si>
    <t>cell body {GO:0044297}; centrosome {GO:0005813}; chaperonin-containing T-complex {GO:0005832}; cilium {GO:0005929}; cytoplasm {GO:0005737}; cytosol {GO:0005829}; intermediate filament cytoskeleton {GO:0045111}; microtubule {GO:0005874}; nucleoplasm {GO:0005654}; zona pellucida receptor complex {GO:0002199}</t>
  </si>
  <si>
    <t>ATP binding {GO:0005524}; ATP hydrolysis activity {GO:0016887}; ATP-dependent protein folding chaperone {GO:0140662}; protein folding chaperone {GO:0044183}; unfolded protein binding {GO:0051082}</t>
  </si>
  <si>
    <t>Association of TriC/CCT with target proteins during biosynthesis {R-MMU-390471}; Neutrophil degranulation {R-MMU-6798695}; Cooperation of PDCL (PhLP1) and TRiC/CCT in G-protein beta folding {R-MMU-6814122}</t>
  </si>
  <si>
    <t>sp|P08228|SODC_MOUSE</t>
  </si>
  <si>
    <t>Superoxide dismutase [Cu-Zn]</t>
  </si>
  <si>
    <t>SODC_MOUSE</t>
  </si>
  <si>
    <t>P08228</t>
  </si>
  <si>
    <t>MGI:98351</t>
  </si>
  <si>
    <t>3D-structure; Acetylation; Antioxidant; Copper; Cytoplasm; Disulfide bond; Lipoprotein; Metal-binding; Nucleus; Oxidoreductase; Palmitate; Phosphoprotein; Zinc</t>
  </si>
  <si>
    <t>Copper; Metal-binding; Zinc</t>
  </si>
  <si>
    <t>Antioxidant; Oxidoreductase</t>
  </si>
  <si>
    <t>Acetylation; Disulfide bond; Lipoprotein; Palmitate; Phosphoprotein</t>
  </si>
  <si>
    <t>aging {GO:0007568}; anterograde axonal transport {GO:0008089}; apoptotic process {GO:0006915}; auditory receptor cell stereocilium organization {GO:0060088}; cellular iron ion homeostasis {GO:0006879}; ectopic germ cell programmed cell death {GO:0035234}; embryo implantation {GO:0007566}; glutathione metabolic process {GO:0006749}; heart contraction {GO:0060047}; hydrogen peroxide biosynthetic process {GO:0050665}; locomotory behavior {GO:0007626}; muscle cell cellular homeostasis {GO:0046716}; myeloid cell homeostasis {GO:0002262}; negative regulation of apoptotic process {GO:0043066}; negative regulation of cholesterol biosynthetic process {GO:0045541}; negative regulation of developmental process {GO:0051093}; negative regulation of inflammatory response {GO:0050728}; negative regulation of neuron apoptotic process {GO:0043524}; negative regulation of reproductive process {GO:2000242}; neurofilament cytoskeleton organization {GO:0060052}; ovarian follicle development {GO:0001541}; peripheral nervous system myelin maintenance {GO:0032287}; positive regulation of catalytic activity {GO:0043085}; positive regulation of cytokine production {GO:0001819}; positive regulation of MAPK cascade {GO:0043410}; positive regulation of oxidative stress-induced intrinsic apoptotic signaling pathway {GO:1902177}; positive regulation of phagocytosis {GO:0050766}; positive regulation of superoxide anion generation {GO:0032930}; reactive oxygen species metabolic process {GO:0072593}; regulation of blood pressure {GO:0008217}; regulation of GTPase activity {GO:0043087}; regulation of mitochondrial membrane potential {GO:0051881}; regulation of multicellular organism growth {GO:0040014}; regulation of protein kinase activity {GO:0045859}; relaxation of vascular associated smooth muscle {GO:0060087}; removal of superoxide radicals {GO:0019430}; response to axon injury {GO:0048678}; response to copper ion {GO:0046688}; response to ethanol {GO:0045471}; response to heat {GO:0009408}; response to hydrogen peroxide {GO:0042542}; response to nutrient levels {GO:0031667}; response to organic substance {GO:0010033}; response to oxidative stress {GO:0006979}; response to reactive oxygen species {GO:0000302}; response to superoxide {GO:0000303}; response to xenobiotic stimulus {GO:0009410}; retina homeostasis {GO:0001895}; retrograde axonal transport {GO:0008090}; sensory perception of sound {GO:0007605}; spermatogenesis {GO:0007283}; superoxide anion generation {GO:0042554}; superoxide metabolic process {GO:0006801}; transmission of nerve impulse {GO:0019226}</t>
  </si>
  <si>
    <t>axon cytoplasm {GO:1904115}; cytoplasm {GO:0005737}; cytoplasmic vesicle {GO:0031410}; cytosol {GO:0005829}; dendrite cytoplasm {GO:0032839}; dense core granule {GO:0031045}; extracellular region {GO:0005576}; extracellular space {GO:0005615}; lysosome {GO:0005764}; mitochondrial intermembrane space {GO:0005758}; mitochondrion {GO:0005739}; myelin sheath {GO:0043209}; neuron projection {GO:0043005}; neuronal cell body {GO:0043025}; nucleoplasm {GO:0005654}; nucleus {GO:0005634}; peroxisome {GO:0005777}; plasma membrane {GO:0005886}; protein-containing complex {GO:0032991}; secretory granule {GO:0030141}</t>
  </si>
  <si>
    <t>chaperone binding {GO:0051087}; copper ion binding {GO:0005507}; enzyme binding {GO:0019899}; identical protein binding {GO:0042802}; protein phosphatase 2B binding {GO:0030346}; small GTPase binding {GO:0031267}; superoxide dismutase activity {GO:0004784}; zinc ion binding {GO:0008270}</t>
  </si>
  <si>
    <t>Platelet degranulation {R-MMU-114608}; Detoxification of Reactive Oxygen Species {R-MMU-3299685}</t>
  </si>
  <si>
    <t>sp|P19096|FAS_MOUSE</t>
  </si>
  <si>
    <t>Acyl-[acyl-carrier-protein] hydrolase</t>
  </si>
  <si>
    <t>Type I Fatty Acid Synthase</t>
  </si>
  <si>
    <t>FAS_MOUSE</t>
  </si>
  <si>
    <t>P19096</t>
  </si>
  <si>
    <t>B1ATU8; Q6PB72; Q8C4Z0; Q9EQR0</t>
  </si>
  <si>
    <t>MGI:95485</t>
  </si>
  <si>
    <t>3D-structure; Acetylation; Cytoplasm; Fatty acid biosynthesis; Fatty acid metabolism; Hydrolase; Isopeptide bond; Lipid biosynthesis; Lipid metabolism; Lyase; Multifunctional enzyme; NAD; NADP; Oxidoreductase; Phosphopantetheine; Phosphoprotein; Pyridoxal phosphate; S-nitrosylation; Transferase; Ubl conjugation</t>
  </si>
  <si>
    <t>Fatty acid biosynthesis; Fatty acid metabolism; Lipid biosynthesis; Lipid metabolism</t>
  </si>
  <si>
    <t>NAD; NADP; Pyridoxal phosphate</t>
  </si>
  <si>
    <t>Hydrolase; Lyase; Multifunctional enzyme; Oxidoreductase; Transferase</t>
  </si>
  <si>
    <t>Acetylation; Isopeptide bond; Phosphopantetheine; Phosphoprotein; S-nitrosylation; Ubl conjugation</t>
  </si>
  <si>
    <t>acetyl-CoA metabolic process {GO:0006084}; cellular response to interleukin-4 {GO:0071353}; establishment of endothelial intestinal barrier {GO:0090557}; ether lipid biosynthetic process {GO:0008611}; fatty acid biosynthetic process {GO:0006633}; glandular epithelial cell development {GO:0002068}; inflammatory response {GO:0006954}; mammary gland development {GO:0030879}; modulation by host of viral process {GO:0044788}; monocyte differentiation {GO:0030224}; neutrophil differentiation {GO:0030223}; tissue development {GO:0009888}</t>
  </si>
  <si>
    <t>cytoplasm {GO:0005737}; cytosol {GO:0005829}; glycogen granule {GO:0042587}; Golgi apparatus {GO:0005794}; melanosome {GO:0042470}; mitochondrion {GO:0005739}; plasma membrane {GO:0005886}</t>
  </si>
  <si>
    <t>(3R)-hydroxymyristoyl-[acyl-carrier-protein] dehydratase activity {GO:0008659}; 3-hydroxydecanoyl-[acyl-carrier-protein] dehydratase activity {GO:0008693}; 3-hydroxyoctanoyl-[acyl-carrier-protein] dehydratase activity {GO:0047451}; 3-hydroxypalmitoyl-[acyl-carrier-protein] dehydratase activity {GO:0004317}; 3-oxoacyl-[acyl-carrier-protein] reductase (NADPH) activity {GO:0004316}; 3-oxoacyl-[acyl-carrier-protein] synthase activity {GO:0004315}; [acyl-carrier-protein] S-acetyltransferase activity {GO:0004313}; [acyl-carrier-protein] S-malonyltransferase activity {GO:0004314}; enoyl-[acyl-carrier-protein] reductase (NADPH, A-specific) activity {GO:0047117}; fatty acid synthase activity {GO:0004312}; identical protein binding {GO:0042802}; myristoyl-[acyl-carrier-protein] hydrolase activity {GO:0016295}; oleoyl-[acyl-carrier-protein] hydrolase activity {GO:0004320}; palmitoyl-[acyl-carrier-protein] hydrolase activity {GO:0016296}; phosphopantetheine binding {GO:0031177}</t>
  </si>
  <si>
    <t>Lipid metabolism; fatty acid biosynthesis.</t>
  </si>
  <si>
    <t>ChREBP activates metabolic gene expression {R-MMU-163765}; Vitamin B5 (pantothenate) metabolism {R-MMU-199220}; Fatty acyl-CoA biosynthesis {R-MMU-75105}</t>
  </si>
  <si>
    <t>sp|P51855|GSHB_MOUSE</t>
  </si>
  <si>
    <t>Glutathione synthetase (GSH synthetase; GSH-S)</t>
  </si>
  <si>
    <t>Glutathione synthase</t>
  </si>
  <si>
    <t>GSHB_MOUSE</t>
  </si>
  <si>
    <t>P51855</t>
  </si>
  <si>
    <t>MGI:95852</t>
  </si>
  <si>
    <t>Acetylation; ATP-binding; Glutathione biosynthesis; Ligase; Magnesium; Metal-binding; Nucleotide-binding; Phosphoprotein</t>
  </si>
  <si>
    <t>Glutathione biosynthesis</t>
  </si>
  <si>
    <t>ATP-binding; Magnesium; Metal-binding; Nucleotide-binding</t>
  </si>
  <si>
    <t>glutathione biosynthetic process {GO:0006750}; response to cadmium ion {GO:0046686}</t>
  </si>
  <si>
    <t>cytosol {GO:0005829}</t>
  </si>
  <si>
    <t>ATP binding {GO:0005524}; glutathione binding {GO:0043295}; glutathione synthase activity {GO:0004363}; glycine binding {GO:0016594}; identical protein binding {GO:0042802}; magnesium ion binding {GO:0000287}; peptide binding {GO:0042277}; protein homodimerization activity {GO:0042803}</t>
  </si>
  <si>
    <t>Sulfur metabolism; glutathione biosynthesis; glutathione from L-cysteine and L-glutamate: step 2/2..</t>
  </si>
  <si>
    <t>Glutathione synthesis and recycling {R-MMU-174403}</t>
  </si>
  <si>
    <t>sp|P29341|PABP1_MOUSE</t>
  </si>
  <si>
    <t>Polyadenylate-binding protein 1 (PABP-1; Poly(A)-binding protein 1)</t>
  </si>
  <si>
    <t>PABP1_MOUSE</t>
  </si>
  <si>
    <t>P29341</t>
  </si>
  <si>
    <t>Q99L36</t>
  </si>
  <si>
    <t>Pabp1</t>
  </si>
  <si>
    <t>MGI:1349722</t>
  </si>
  <si>
    <t>Acetylation; Cell projection; Cytoplasm; Methylation; mRNA processing; mRNA splicing; Nonsense-mediated mRNA decay; Nucleus; Phosphoprotein; Repeat; RNA-binding; Spliceosome</t>
  </si>
  <si>
    <t>Nonsense-mediated mRNA decay; mRNA processing; mRNA splicing</t>
  </si>
  <si>
    <t>Cell projection; Cytoplasm; Nucleus; Spliceosome</t>
  </si>
  <si>
    <t>RNA-binding</t>
  </si>
  <si>
    <t>gene silencing by RNA {GO:0031047}; mRNA processing {GO:0006397}; negative regulation of nuclear-transcribed mRNA catabolic process, nonsense-mediated decay {GO:2000623}; nuclear-transcribed mRNA catabolic process, nonsense-mediated decay {GO:0000184}; positive regulation of nuclear-transcribed mRNA catabolic process, deadenylation-dependent decay {GO:1900153}; positive regulation of nuclear-transcribed mRNA poly(A) tail shortening {GO:0060213}; RNA splicing {GO:0008380}</t>
  </si>
  <si>
    <t>catalytic step 2 spliceosome {GO:0071013}; cell leading edge {GO:0031252}; cytoplasm {GO:0005737}; cytoplasmic ribonucleoprotein granule {GO:0036464}; cytoplasmic stress granule {GO:0010494}; cytosol {GO:0005829}; dendrite {GO:0030425}; lamellipodium {GO:0030027}; mCRD-mediated mRNA stability complex {GO:0106002}; messenger ribonucleoprotein complex {GO:1990124}; nucleus {GO:0005634}; ribonucleoprotein complex {GO:1990904}; synapse {GO:0045202}</t>
  </si>
  <si>
    <t>mRNA 3'-UTR binding {GO:0003730}; mRNA binding {GO:0003729}; poly(A) binding {GO:0008143}; poly(U) RNA binding {GO:0008266}; protein C-terminus binding {GO:0008022}; RNA binding {GO:0003723}</t>
  </si>
  <si>
    <t>L13a-mediated translational silencing of Ceruloplasmin expression {R-MMU-156827}; Deadenylation of mRNA {R-MMU-429947}; AUF1 (hnRNP D0) binds and destabilizes mRNA {R-MMU-450408}; Translation initiation complex formation {R-MMU-72649}; Nonsense Mediated Decay (NMD) independent of the Exon Junction Complex (EJC) {R-MMU-975956}; Nonsense Mediated Decay (NMD) enhanced by the Exon Junction Complex (EJC) {R-MMU-975957}</t>
  </si>
  <si>
    <t>sp|P14869|RLA0_MOUSE</t>
  </si>
  <si>
    <t>60S acidic ribosomal protein P0</t>
  </si>
  <si>
    <t>60S ribosomal protein L10E</t>
  </si>
  <si>
    <t>RLA0_MOUSE</t>
  </si>
  <si>
    <t>P14869</t>
  </si>
  <si>
    <t>Q99L54</t>
  </si>
  <si>
    <t>Arbp</t>
  </si>
  <si>
    <t>MGI:1927636</t>
  </si>
  <si>
    <t>3D-structure; Cytoplasm; Isopeptide bond; Nucleus; Phosphoprotein; Ribonucleoprotein; Ribosomal protein; Ubl conjugation</t>
  </si>
  <si>
    <t>cellular response to cAMP {GO:0071320}; cellular response to interleukin-4 {GO:0071353}; cellular response to phorbol 13-acetate 12-myristate {GO:1904628}; cellular response to Thyroid stimulating hormone {GO:1904401}; cytoplasmic translation {GO:0002181}; lactation {GO:0007595}; response to selenium ion {GO:0010269}; ribosomal large subunit assembly {GO:0000027}</t>
  </si>
  <si>
    <t>cytoplasm {GO:0005737}; cytoplasmic ribonucleoprotein granule {GO:0036464}; cytosol {GO:0005829}; cytosolic large ribosomal subunit {GO:0022625}; cytosolic ribosome {GO:0022626}; dendrite {GO:0030425}; endoplasmic reticulum {GO:0005783}; membrane {GO:0016020}; nucleus {GO:0005634}; postsynapse {GO:0098794}; postsynaptic density {GO:0014069}; ribonucleoprotein complex {GO:1990904}; synapse {GO:0045202}</t>
  </si>
  <si>
    <t>large ribosomal subunit rRNA binding {GO:0070180}; peptide binding {GO:0042277}; structural constituent of ribosome {GO:0003735}</t>
  </si>
  <si>
    <t>sp|P09103|PDIA1_MOUSE</t>
  </si>
  <si>
    <t>Protein disulfide-isomerase (PDI)</t>
  </si>
  <si>
    <t>Cellular thyroid hormone-binding protein; Endoplasmic reticulum resident protein 59 (ER protein 59; ERp59); Prolyl 4-hydroxylase subunit beta; p55</t>
  </si>
  <si>
    <t>PDIA1_MOUSE</t>
  </si>
  <si>
    <t>P09103</t>
  </si>
  <si>
    <t>Q922C8</t>
  </si>
  <si>
    <t>Pdia1</t>
  </si>
  <si>
    <t>MGI:97464</t>
  </si>
  <si>
    <t>Acetylation; Cell membrane; Chaperone; Disulfide bond; Endoplasmic reticulum; Isomerase; Membrane; Phosphoprotein; Redox-active center; Repeat; Signal</t>
  </si>
  <si>
    <t>Cell membrane; Endoplasmic reticulum; Membrane</t>
  </si>
  <si>
    <t>cellular response to hypoxia {GO:0071456}; cellular response to interleukin-7 {GO:0098761}; peptidyl-proline hydroxylation to 4-hydroxy-L-proline {GO:0018401}; positive regulation of cell adhesion {GO:0045785}; positive regulation of substrate adhesion-dependent cell spreading {GO:1900026}; positive regulation of viral entry into host cell {GO:0046598}; protein folding {GO:0006457}; protein folding in endoplasmic reticulum {GO:0034975}; regulation of oxidative stress-induced intrinsic apoptotic signaling pathway {GO:1902175}; response to endoplasmic reticulum stress {GO:0034976}</t>
  </si>
  <si>
    <t>cytoskeleton {GO:0005856}; cytosol {GO:0005829}; endoplasmic reticulum {GO:0005783}; endoplasmic reticulum chaperone complex {GO:0034663}; endoplasmic reticulum lumen {GO:0005788}; endoplasmic reticulum-Golgi intermediate compartment {GO:0005793}; external side of plasma membrane {GO:0009897}; lamellipodium {GO:0030027}; melanosome {GO:0042470}; procollagen-proline 4-dioxygenase complex {GO:0016222}; protein-containing complex {GO:0032991}</t>
  </si>
  <si>
    <t>actin binding {GO:0003779}; enzyme binding {GO:0019899}; integrin binding {GO:0005178}; procollagen-proline 4-dioxygenase activity {GO:0004656}; protein disulfide isomerase activity {GO:0003756}; protein heterodimerization activity {GO:0046982}; protein-containing complex binding {GO:0044877}; protein-disulfide reductase activity {GO:0015035}; thiol oxidase activity {GO:0016972}</t>
  </si>
  <si>
    <t>Collagen biosynthesis and modifying enzymes {R-MMU-1650814}; Detoxification of Reactive Oxygen Species {R-MMU-3299685}; Regulation of Insulin-like Growth Factor (IGF) transport and uptake by Insulin-like Growth Factor Binding Proteins (IGFBPs) {R-MMU-381426}; Hedgehog ligand biogenesis {R-MMU-5358346}; VLDL assembly {R-MMU-8866423}; Post-translational protein phosphorylation {R-MMU-8957275}; Chylomicron assembly {R-MMU-8963888}; LDL remodeling {R-MMU-8964041}</t>
  </si>
  <si>
    <t>sp|P0DP26|CALM1_MOUSE</t>
  </si>
  <si>
    <t>Calmodulin-1</t>
  </si>
  <si>
    <t>CALM1_MOUSE</t>
  </si>
  <si>
    <t>P0DP26</t>
  </si>
  <si>
    <t>P02593; P62204; P70667; P99014; Q3TEH7; Q3THK5; Q3U6Z5; Q3U7C7; Q498A3; Q61379; Q61380; Q8BNC9; Q91VQ9; Q9D6G4</t>
  </si>
  <si>
    <t>Calm; Cam; Cam1</t>
  </si>
  <si>
    <t>MGI:88251</t>
  </si>
  <si>
    <t>3D-structure; Acetylation; Calcium; Cell projection; Cilium; Cytoplasm; Cytoskeleton; Flagellum; Isopeptide bond; Metal-binding; Methylation; Phosphoprotein; Repeat; Ubl conjugation</t>
  </si>
  <si>
    <t>Cell projection; Cilium; Cytoplasm; Cytoskeleton; Flagellum</t>
  </si>
  <si>
    <t>activation of adenylate cyclase activity {GO:0007190}; autophagosome membrane docking {GO:0016240}; calcium-mediated signaling {GO:0019722}; detection of calcium ion {GO:0005513}; establishment of protein localization to mitochondrial membrane {GO:0090151}; G2/M transition of mitotic cell cycle {GO:0000086}; mitochondrion-endoplasmic reticulum membrane tethering {GO:1990456}; negative regulation of high voltage-gated calcium channel activity {GO:1901842}; negative regulation of ryanodine-sensitive calcium-release channel activity {GO:0060315}; organelle localization by membrane tethering {GO:0140056}; positive regulation of cyclic-nucleotide phosphodiesterase activity {GO:0051343}; positive regulation of DNA binding {GO:0043388}; positive regulation of nitric-oxide synthase activity {GO:0051000}; positive regulation of phosphoprotein phosphatase activity {GO:0032516}; positive regulation of protein dephosphorylation {GO:0035307}; positive regulation of ryanodine-sensitive calcium-release channel activity {GO:0060316}; regulation of cardiac muscle cell action potential {GO:0098901}; regulation of cardiac muscle contraction {GO:0055117}; regulation of cytokinesis {GO:0032465}; regulation of heart rate {GO:0002027}; regulation of release of sequestered calcium ion into cytosol by sarcoplasmic reticulum {GO:0010880}; regulation of ryanodine-sensitive calcium-release channel activity {GO:0060314}; regulation of synaptic vesicle endocytosis {GO:1900242}; regulation of synaptic vesicle exocytosis {GO:2000300}; response to amphetamine {GO:0001975}; response to calcium ion {GO:0051592}; response to corticosterone {GO:0051412}</t>
  </si>
  <si>
    <t>calcium channel complex {GO:0034704}; catalytic complex {GO:1902494}; centrosome {GO:0005813}; cytoplasm {GO:0005737}; cytosol {GO:0005829}; growth cone {GO:0030426}; mitochondrial membrane {GO:0031966}; myelin sheath {GO:0043209}; neuron projection {GO:0043005}; nucleoplasm {GO:0005654}; nucleus {GO:0005634}; plasma membrane {GO:0005886}; protein-containing complex {GO:0032991}; sarcomere {GO:0030017}; sperm midpiece {GO:0097225}; spindle microtubule {GO:0005876}; spindle pole {GO:0000922}; synaptic vesicle membrane {GO:0030672}; voltage-gated potassium channel complex {GO:0008076}</t>
  </si>
  <si>
    <t>adenylate cyclase activator activity {GO:0010856}; adenylate cyclase binding {GO:0008179}; calcium channel inhibitor activity {GO:0019855}; calcium ion binding {GO:0005509}; calcium-dependent protein binding {GO:0048306}; disordered domain specific binding {GO:0097718}; enzyme regulator activity {GO:0030234}; N-terminal myristoylation domain binding {GO:0031997}; nitric-oxide synthase binding {GO:0050998}; nitric-oxide synthase regulator activity {GO:0030235}; phosphatidylinositol 3-kinase binding {GO:0043548}; protein domain specific binding {GO:0019904}; protein kinase binding {GO:0019901}; protein N-terminus binding {GO:0047485}; protein phosphatase activator activity {GO:0072542}; titin binding {GO:0031432}; transmembrane transporter binding {GO:0044325}; type 3 metabotropic glutamate receptor binding {GO:0031800}</t>
  </si>
  <si>
    <t>CaMK IV-mediated phosphorylation of CREB {R-MMU-111932}; Calmodulin induced events {R-MMU-111933}; Cam-PDE 1 activation {R-MMU-111957}; Platelet degranulation {R-MMU-114608}; Tetrahydrobiopterin (BH4) synthesis, recycling, salvage and regulation {R-MMU-1474151}; PKA activation {R-MMU-163615}; Synthesis of IP3 and IP4 in the cytosol {R-MMU-1855204}; Calcineurin activates NFAT {R-MMU-2025928}; eNOS activation {R-MMU-203615}; Inactivation, recovery and regulation of the phototransduction cascade {R-MMU-2514859}; Stimuli-sensing channels {R-MMU-2672351}; FCERI mediated Ca+2 mobilization {R-MMU-2871809}; Ca2+ pathway {R-MMU-4086398}; Reduction of cytosolic Ca++ levels {R-MMU-418359}; Sodium/Calcium exchangers {R-MMU-425561}; Unblocking of NMDA receptors, glutamate binding and activation {R-MMU-438066}; CREB1 phosphorylation through the activation of CaMKII/CaMKK/CaMKIV cascasde {R-MMU-442729}; Smooth Muscle Contraction {R-MMU-445355}; Activation of Ca-permeable Kainate Receptor {R-MMU-451308}; VEGFR2 mediated vascular permeability {R-MMU-5218920}; Ion homeostasis {R-MMU-5578775}; CLEC7A (Dectin-1) induces NFAT activation {R-MMU-5607763}; RHO GTPases activate IQGAPs {R-MMU-5626467}; RHO GTPases activate PAKs {R-MMU-5627123}; RAF activation {R-MMU-5673000}; RAF/MAP kinase cascade {R-MMU-5673001}; Glycogen breakdown (glycogenolysis) {R-MMU-70221}; Protein methylation {R-MMU-8876725}; Extra-nuclear estrogen signaling {R-MMU-9009391}; Ion transport by P-type ATPases {R-MMU-936837}; Activation of RAC1 downstream of NMDARs {R-MMU-9619229}; RAS processing {R-MMU-9648002}</t>
  </si>
  <si>
    <t>sp|P35700|PRDX1_MOUSE</t>
  </si>
  <si>
    <t>Peroxiredoxin-1</t>
  </si>
  <si>
    <t>Macrophage 23 kDa stress protein; Osteoblast-specific factor 3 (OSF-3); Thioredoxin peroxidase 2; Thioredoxin-dependent peroxide reductase 2; Thioredoxin-dependent peroxiredoxin 1</t>
  </si>
  <si>
    <t>PRDX1_MOUSE</t>
  </si>
  <si>
    <t>P35700</t>
  </si>
  <si>
    <t>Q3UBV4; Q9CWI2</t>
  </si>
  <si>
    <t>Msp23; Paga; Tdpx2</t>
  </si>
  <si>
    <t>MGI:99523</t>
  </si>
  <si>
    <t>Acetylation; Antioxidant; Cytoplasm; Disulfide bond; Isopeptide bond; Oxidoreductase; Peroxidase; Phosphoprotein; Redox-active center; Ubl conjugation</t>
  </si>
  <si>
    <t>Acetylation; Disulfide bond; Isopeptide bond; Phosphoprotein; Ubl conjugation</t>
  </si>
  <si>
    <t>cell redox homeostasis {GO:0045454}; erythrocyte homeostasis {GO:0034101}; fibroblast proliferation {GO:0048144}; hydrogen peroxide catabolic process {GO:0042744}; leukocyte activation {GO:0045321}; natural killer cell activation {GO:0030101}; natural killer cell mediated cytotoxicity {GO:0042267}; regulation of NIK/NF-kappaB signaling {GO:1901222}; regulation of stress-activated MAPK cascade {GO:0032872}; removal of superoxide radicals {GO:0019430}; response to oxidative stress {GO:0006979}; response to reactive oxygen species {GO:0000302}</t>
  </si>
  <si>
    <t>cytoplasm {GO:0005737}; cytosol {GO:0005829}; euchromatin {GO:0000791}; mitochondrial matrix {GO:0005759}; mitochondrion {GO:0005739}; myelin sheath {GO:0043209}; nucleolus {GO:0005730}; nucleus {GO:0005634}; peroxisomal matrix {GO:0005782}</t>
  </si>
  <si>
    <t>heme binding {GO:0020037}; identical protein binding {GO:0042802}; peroxidase activity {GO:0004601}; peroxiredoxin activity {GO:0051920}; thioredoxin peroxidase activity {GO:0008379}; thioredoxin-dependent peroxiredoxin activity {GO:0140824}</t>
  </si>
  <si>
    <t>Detoxification of Reactive Oxygen Species {R-MMU-3299685}; TP53 Regulates Metabolic Genes {R-MMU-5628897}; KEAP1-NFE2L2 pathway {R-MMU-9755511}</t>
  </si>
  <si>
    <t>sp|P61979|HNRPK_MOUSE</t>
  </si>
  <si>
    <t>Heterogeneous nuclear ribonucleoprotein K (hnRNP K)</t>
  </si>
  <si>
    <t>HNRPK_MOUSE</t>
  </si>
  <si>
    <t>P61979</t>
  </si>
  <si>
    <t>Q07244; Q15671; Q60577; Q8BGQ8; Q922Y7; Q96J62</t>
  </si>
  <si>
    <t>Hnrpk</t>
  </si>
  <si>
    <t>MGI:99894</t>
  </si>
  <si>
    <t>Acetylation; Activator; Alternative splicing; Cell junction; Cell projection; Cytoplasm; DNA-binding; Glycoprotein; Isopeptide bond; Methylation; mRNA processing; mRNA splicing; Nucleus; Phosphoprotein; Repeat; Repressor; Ribonucleoprotein; RNA-binding; Spliceosome; Transcription; Transcription regulation; Ubl conjugation</t>
  </si>
  <si>
    <t>Transcription; Transcription regulation; mRNA processing; mRNA splicing</t>
  </si>
  <si>
    <t>Cell junction; Cell projection; Cytoplasm; Nucleus; Spliceosome</t>
  </si>
  <si>
    <t>Activator; DNA-binding; RNA-binding; Repressor; Ribonucleoprotein</t>
  </si>
  <si>
    <t>Acetylation; Glycoprotein; Isopeptide bond; Methylation; Phosphoprotein; Ubl conjugation</t>
  </si>
  <si>
    <t>cellular response to forskolin {GO:1904322}; cellular response to insulin stimulus {GO:0032869}; cerebral cortex development {GO:0021987}; modulation of chemical synaptic transmission {GO:0050804}; mRNA processing {GO:0006397}; negative regulation of apoptotic process {GO:0043066}; negative regulation of branching morphogenesis of a nerve {GO:2000173}; negative regulation of DNA-templated transcription {GO:0045892}; negative regulation of gene expression {GO:0010629}; negative regulation of mRNA splicing, via spliceosome {GO:0048025}; negative regulation of protein binding {GO:0032091}; negative regulation of transcription by RNA polymerase II {GO:0000122}; ovarian follicle development {GO:0001541}; positive regulation of dendrite extension {GO:1903861}; positive regulation of dendritic spine development {GO:0060999}; positive regulation of long-term synaptic potentiation {GO:1900273}; positive regulation of low-density lipoprotein receptor activity {GO:1905599}; positive regulation of neuron projection development {GO:0010976}; positive regulation of protein localization to cell surface {GO:2000010}; positive regulation of receptor-mediated endocytosis {GO:0048260}; positive regulation of RNA splicing {GO:0033120}; positive regulation of synapse maturation {GO:0090129}; positive regulation of synaptic transmission {GO:0050806}; positive regulation of transcription by RNA polymerase II {GO:0045944}; regulation of gene expression {GO:0010468}; regulation of intrinsic apoptotic signaling pathway in response to DNA damage by p53 class mediator {GO:1902165}; regulation of low-density lipoprotein particle clearance {GO:0010988}; regulation of mRNA splicing, via spliceosome {GO:0048024}; regulation of postsynapse organization {GO:0099175}; regulation of transcription by RNA polymerase II {GO:0006357}; RNA splicing {GO:0008380}</t>
  </si>
  <si>
    <t>anchoring junction {GO:0070161}; axon terminus {GO:0043679}; catalytic step 2 spliceosome {GO:0071013}; cell cortex {GO:0005938}; chromatin {GO:0000785}; cytoplasm {GO:0005737}; cytoplasmic stress granule {GO:0010494}; cytosol {GO:0005829}; dendritic spine {GO:0043197}; glutamatergic synapse {GO:0098978}; mitochondrion {GO:0005739}; nucleoplasm {GO:0005654}; nucleus {GO:0005634}; podosome {GO:0002102}; postsynapse {GO:0098794}; postsynaptic density {GO:0014069}; protein-DNA complex {GO:0032993}; ribonucleoprotein complex {GO:1990904}</t>
  </si>
  <si>
    <t>actinin binding {GO:0042805}; ATPase binding {GO:0051117}; C-rich single-stranded DNA binding {GO:1990829}; cis-regulatory region sequence-specific DNA binding {GO:0000987}; double-stranded DNA binding {GO:0003690}; heat shock protein binding {GO:0031072}; identical protein binding {GO:0042802}; lamin binding {GO:0005521}; mRNA 3'-UTR binding {GO:0003730}; mRNA binding {GO:0003729}; mRNA CDS binding {GO:1990715}; pre-mRNA 3'-splice site binding {GO:0030628}; protein domain specific binding {GO:0019904}; ribonucleoprotein complex binding {GO:0043021}; RNA binding {GO:0003723}; single-stranded DNA binding {GO:0003697}</t>
  </si>
  <si>
    <t>SUMOylation of RNA binding proteins {R-MMU-4570464}; mRNA Splicing - Major Pathway {R-MMU-72163}</t>
  </si>
  <si>
    <t>sp|Q8VDD5|MYH9_MOUSE</t>
  </si>
  <si>
    <t>Myosin-9</t>
  </si>
  <si>
    <t>Cellular myosin heavy chain, type A; Myosin heavy chain 9; Myosin heavy chain, non-muscle IIa; Non-muscle myosin heavy chain A (NMMHC-A); Non-muscle myosin heavy chain IIa (NMMHC II-a; NMMHC-IIA)</t>
  </si>
  <si>
    <t>MYH9_MOUSE</t>
  </si>
  <si>
    <t>Q8VDD5</t>
  </si>
  <si>
    <t>Q3UHT9; Q3UHU4; Q6KAN6; Q811I2</t>
  </si>
  <si>
    <t>MGI:107717</t>
  </si>
  <si>
    <t>Acetylation; Actin-binding; ATP-binding; Calmodulin-binding; Cell adhesion; Cell shape; Coiled coil; Cytoplasm; Cytoplasmic vesicle; Cytoskeleton; Methylation; Motor protein; Myosin; Nucleotide-binding; Phosphoprotein; Ubl conjugation</t>
  </si>
  <si>
    <t>Cell adhesion; Cell shape</t>
  </si>
  <si>
    <t>Cytoplasm; Cytoplasmic vesicle; Cytoskeleton</t>
  </si>
  <si>
    <t>Actin-binding; Calmodulin-binding; Motor protein; Myosin</t>
  </si>
  <si>
    <t>actin cytoskeleton reorganization {GO:0031532}; actin filament bundle assembly {GO:0051017}; actin filament bundle distribution {GO:0070650}; actin filament-based movement {GO:0030048}; actomyosin structure organization {GO:0031032}; angiogenesis {GO:0001525}; blood vessel endothelial cell migration {GO:0043534}; cell adhesion {GO:0007155}; cell morphogenesis involved in differentiation {GO:0000904}; cell-cell adhesion {GO:0098609}; cortical granule exocytosis {GO:0060471}; cytokinetic process {GO:0032506}; establishment of meiotic spindle localization {GO:0051295}; establishment of T cell polarity {GO:0001768}; follicle-stimulating hormone signaling pathway {GO:0042699}; in utero embryonic development {GO:0001701}; lysosome localization {GO:0032418}; meiotic spindle organization {GO:0000212}; membrane protein ectodomain proteolysis {GO:0006509}; monocyte differentiation {GO:0030224}; myoblast fusion {GO:0007520}; negative regulation of actin filament severing {GO:1903919}; negative regulation of vascular associated smooth muscle cell migration {GO:1904753}; phagocytosis, engulfment {GO:0006911}; plasma membrane repair {GO:0001778}; platelet formation {GO:0030220}; positive regulation of cytosolic calcium ion concentration involved in phospholipase C-activating G protein-coupled signaling pathway {GO:0051482}; positive regulation of endocytosis {GO:0045807}; positive regulation of ERK1 and ERK2 cascade {GO:0070374}; positive regulation of focal adhesion assembly {GO:0051894}; positive regulation of G protein-coupled receptor signaling pathway {GO:0045745}; positive regulation of inositol trisphosphate biosynthetic process {GO:0032962}; positive regulation of insulin secretion involved in cellular response to glucose stimulus {GO:0035774}; positive regulation of phagocytosis {GO:0050766}; positive regulation of protein processing in phagocytic vesicle {GO:1903923}; protein transport {GO:0015031}; regulated exocytosis {GO:0045055}; regulation of cell shape {GO:0008360}; regulation of plasma membrane repair {GO:1905684}; uropod organization {GO:0032796}</t>
  </si>
  <si>
    <t>actin cytoskeleton {GO:0015629}; actin filament {GO:0005884}; actomyosin {GO:0042641}; actomyosin contractile ring {GO:0005826}; adherens junction {GO:0005912}; apical plasma membrane {GO:0016324}; brush border {GO:0005903}; cell cortex {GO:0005938}; cell leading edge {GO:0031252}; cleavage furrow {GO:0032154}; COP9 signalosome {GO:0008180}; cortical cytoskeleton {GO:0030863}; cortical granule {GO:0060473}; cytoplasm {GO:0005737}; cytoplasmic side of plasma membrane {GO:0009898}; cytosol {GO:0005829}; endosome {GO:0005768}; immunological synapse {GO:0001772}; lamellipodium {GO:0030027}; lateral plasma membrane {GO:0016328}; mitochondrion {GO:0005739}; myosin complex {GO:0016459}; myosin filament {GO:0032982}; myosin II complex {GO:0016460}; myosin II filament {GO:0097513}; neuromuscular junction {GO:0031594}; nuclear body {GO:0016604}; nucleus {GO:0005634}; phagocytic vesicle {GO:0045335}; plasma membrane {GO:0005886}; protein-containing complex {GO:0032991}; ruffle {GO:0001726}; spindle {GO:0005819}; stress fiber {GO:0001725}; uropod {GO:0001931}</t>
  </si>
  <si>
    <t>actin binding {GO:0003779}; actin filament binding {GO:0051015}; ADP binding {GO:0043531}; ATP binding {GO:0005524}; calmodulin binding {GO:0005516}; follicle-stimulating hormone receptor binding {GO:0031762}; G-protein alpha-subunit binding {GO:0001965}; identical protein binding {GO:0042802}; integrin binding {GO:0005178}; microfilament motor activity {GO:0000146}; protein domain specific binding {GO:0019904}; protein homodimerization activity {GO:0042803}; protein kinase binding {GO:0019901}; protein-membrane adaptor activity {GO:0043495}; scaffold protein binding {GO:0097110}</t>
  </si>
  <si>
    <t>Regulation of actin dynamics for phagocytic cup formation {R-MMU-2029482}; RHO GTPases activate PAKs {R-MMU-5627123}</t>
  </si>
  <si>
    <t>sp|P63028|TCTP_MOUSE</t>
  </si>
  <si>
    <t>Translationally-controlled tumor protein (TCTP)</t>
  </si>
  <si>
    <t>21 kDa polypeptide; p21; p23</t>
  </si>
  <si>
    <t>TCTP_MOUSE</t>
  </si>
  <si>
    <t>P63028</t>
  </si>
  <si>
    <t>P14701; Q3TMT0; Q3TWS8; Q3TWX0; Q3UAG7; Q569M9</t>
  </si>
  <si>
    <t>Trt</t>
  </si>
  <si>
    <t>MGI:104890</t>
  </si>
  <si>
    <t>3D-structure; Calcium; Cytoplasm; Phosphoprotein</t>
  </si>
  <si>
    <t>Calcium</t>
  </si>
  <si>
    <t>negative regulation of ectoderm development {GO:2000384}; negative regulation of intrinsic apoptotic signaling pathway in response to DNA damage {GO:1902230}; response to virus {GO:0009615}; stem cell population maintenance {GO:0019827}</t>
  </si>
  <si>
    <t>cytoplasm {GO:0005737}; cytoplasmic microtubule {GO:0005881}; cytosol {GO:0005829}; extracellular space {GO:0005615}; multivesicular body {GO:0005771}; nucleoplasm {GO:0005654}; nucleus {GO:0005634}; spindle pole {GO:0000922}</t>
  </si>
  <si>
    <t>calcium ion binding {GO:0005509}; DNA-binding transcription factor binding {GO:0140297}</t>
  </si>
  <si>
    <t>sp|P16460|ASSY_MOUSE</t>
  </si>
  <si>
    <t>Argininosuccinate synthase</t>
  </si>
  <si>
    <t>Citrulline--aspartate ligase</t>
  </si>
  <si>
    <t>ASSY_MOUSE</t>
  </si>
  <si>
    <t>P16460</t>
  </si>
  <si>
    <t>MGI:88090</t>
  </si>
  <si>
    <t>Acetylation; Amino-acid biosynthesis; Arginine biosynthesis; ATP-binding; Cytoplasm; Ligase; Nucleotide-binding; Phosphoprotein; Urea cycle</t>
  </si>
  <si>
    <t>Amino-acid biosynthesis; Arginine biosynthesis; Urea cycle</t>
  </si>
  <si>
    <t>acute-phase response {GO:0006953}; aging {GO:0007568}; arginine biosynthetic process {GO:0006526}; argininosuccinate metabolic process {GO:0000053}; aspartate metabolic process {GO:0006531}; cellular response to amine stimulus {GO:0071418}; cellular response to amino acid stimulus {GO:0071230}; cellular response to ammonium ion {GO:0071242}; cellular response to cAMP {GO:0071320}; cellular response to dexamethasone stimulus {GO:0071549}; cellular response to glucagon stimulus {GO:0071377}; cellular response to interferon-gamma {GO:0071346}; cellular response to laminar fluid shear stress {GO:0071499}; cellular response to lipopolysaccharide {GO:0071222}; cellular response to oleic acid {GO:0071400}; cellular response to tumor necrosis factor {GO:0071356}; circadian rhythm {GO:0007623}; citrulline metabolic process {GO:0000052}; diaphragm development {GO:0060539}; kidney development {GO:0001822}; liver development {GO:0001889}; midgut development {GO:0007494}; negative regulation of leukocyte cell-cell adhesion {GO:1903038}; positive regulation of nitric oxide biosynthetic process {GO:0045429}; response to estradiol {GO:0032355}; response to glucocorticoid {GO:0051384}; response to growth hormone {GO:0060416}; response to mycotoxin {GO:0010046}; response to nutrient {GO:0007584}; response to xenobiotic stimulus {GO:0009410}; response to zinc ion {GO:0010043}; urea cycle {GO:0000050}</t>
  </si>
  <si>
    <t>cell body fiber {GO:0070852}; cytoplasm {GO:0005737}; cytosol {GO:0005829}; endoplasmic reticulum {GO:0005783}; lysosome {GO:0005764}; mitochondrial outer membrane {GO:0005741}; mitochondrion {GO:0005739}; myelin sheath {GO:0043209}; neuron projection {GO:0043005}; neuronal cell body {GO:0043025}; nucleoplasm {GO:0005654}; nucleus {GO:0005634}; perikaryon {GO:0043204}</t>
  </si>
  <si>
    <t>amino acid binding {GO:0016597}; argininosuccinate synthase activity {GO:0004055}; ATP binding {GO:0005524}; identical protein binding {GO:0042802}; toxic substance binding {GO:0015643}</t>
  </si>
  <si>
    <t>Nitrogen metabolism; urea cycle; (N(omega)-L- arginino)succinate from L-aspartate and L-citrulline: step 1/1.</t>
  </si>
  <si>
    <t>Urea cycle {R-MMU-70635}</t>
  </si>
  <si>
    <t>sp|P62918|RL8_MOUSE</t>
  </si>
  <si>
    <t>60S ribosomal protein L8</t>
  </si>
  <si>
    <t>RL8_MOUSE</t>
  </si>
  <si>
    <t>P62918</t>
  </si>
  <si>
    <t>P25120; Q3V288</t>
  </si>
  <si>
    <t>MGI:1350927</t>
  </si>
  <si>
    <t>3D-structure; Cytoplasm; Hydroxylation; Isopeptide bond; Ribonucleoprotein; Ribosomal protein; RNA-binding; rRNA-binding; Ubl conjugation</t>
  </si>
  <si>
    <t>Hydroxylation; Isopeptide bond; Ubl conjugation</t>
  </si>
  <si>
    <t>cytoplasmic translation {GO:0002181}</t>
  </si>
  <si>
    <t>cytoplasm {GO:0005737}; cytosol {GO:0005829}; cytosolic large ribosomal subunit {GO:0022625}; cytosolic ribosome {GO:0022626}; polysomal ribosome {GO:0042788}; postsynapse {GO:0098794}; postsynaptic density {GO:0014069}; synapse {GO:0045202}</t>
  </si>
  <si>
    <t>5.8S rRNA binding {GO:1990932}; RNA binding {GO:0003723}; structural constituent of ribosome {GO:0003735}</t>
  </si>
  <si>
    <t>sp|P80313|TCPH_MOUSE</t>
  </si>
  <si>
    <t>T-complex protein 1 subunit eta (TCP-1-eta)</t>
  </si>
  <si>
    <t>CCT-eta</t>
  </si>
  <si>
    <t>TCPH_MOUSE</t>
  </si>
  <si>
    <t>P80313</t>
  </si>
  <si>
    <t>Ccth</t>
  </si>
  <si>
    <t>MGI:107184</t>
  </si>
  <si>
    <t>Acetylation; ATP-binding; Chaperone; Cytoplasm; Isopeptide bond; Methylation; Nucleotide-binding; Ubl conjugation</t>
  </si>
  <si>
    <t>Acetylation; Isopeptide bond; Methylation; Ubl conjugation</t>
  </si>
  <si>
    <t>binding of sperm to zona pellucida {GO:0007339}; chaperone-mediated protein folding {GO:0061077}; positive regulation of establishment of protein localization to telomere {GO:1904851}; positive regulation of telomere maintenance via telomerase {GO:0032212}; protein folding {GO:0006457}; protein stabilization {GO:0050821}; toxin transport {GO:1901998}</t>
  </si>
  <si>
    <t>cell body {GO:0044297}; chaperonin-containing T-complex {GO:0005832}; microtubule {GO:0005874}; mitochondrion {GO:0005739}</t>
  </si>
  <si>
    <t>Association of TriC/CCT with target proteins during biosynthesis {R-MMU-390471}; Cooperation of PDCL (PhLP1) and TRiC/CCT in G-protein beta folding {R-MMU-6814122}; RHOBTB2 GTPase cycle {R-MMU-9013418}; RHOBTB1 GTPase cycle {R-MMU-9013422}</t>
  </si>
  <si>
    <t>sp|P28656|NP1L1_MOUSE</t>
  </si>
  <si>
    <t>Nucleosome assembly protein 1-like 1</t>
  </si>
  <si>
    <t>Brain protein DN38; NAP-1-related protein</t>
  </si>
  <si>
    <t>NP1L1_MOUSE</t>
  </si>
  <si>
    <t>P28656</t>
  </si>
  <si>
    <t>Q3UL14</t>
  </si>
  <si>
    <t>Nrp</t>
  </si>
  <si>
    <t>MGI:1855693</t>
  </si>
  <si>
    <t>Acetylation; Cytoplasm; Isopeptide bond; Lipoprotein; Methylation; Neurogenesis; Nucleus; Phosphoprotein; Prenylation</t>
  </si>
  <si>
    <t>Neurogenesis</t>
  </si>
  <si>
    <t>Acetylation; Isopeptide bond; Lipoprotein; Methylation; Phosphoprotein; Prenylation</t>
  </si>
  <si>
    <t>nervous system development {GO:0007399}; nucleosome assembly {GO:0006334}; positive regulation of neural precursor cell proliferation {GO:2000179}; positive regulation of neurogenesis {GO:0050769}</t>
  </si>
  <si>
    <t>chromatin {GO:0000785}; cytoplasm {GO:0005737}; melanosome {GO:0042470}; neuron projection {GO:0043005}; nucleus {GO:0005634}</t>
  </si>
  <si>
    <t>chromatin binding {GO:0003682}; histone binding {GO:0042393}; histone chaperone activity {GO:0140713}; kinase binding {GO:0019900}</t>
  </si>
  <si>
    <t>sp|Q61316|HSP74_MOUSE</t>
  </si>
  <si>
    <t>Heat shock 70 kDa protein 4</t>
  </si>
  <si>
    <t>Heat shock 70-related protein APG-2</t>
  </si>
  <si>
    <t>HSP74_MOUSE</t>
  </si>
  <si>
    <t>Q61316</t>
  </si>
  <si>
    <t>Apg2; Hsp110</t>
  </si>
  <si>
    <t>MGI:1342292</t>
  </si>
  <si>
    <t>Acetylation; ATP-binding; Cytoplasm; Methylation; Nucleotide-binding; Phosphoprotein; Stress response</t>
  </si>
  <si>
    <t>chaperone-mediated protein complex assembly {GO:0051131}; negative regulation of cell death {GO:0060548}; negative regulation of DNA binding {GO:0043392}; negative regulation of gene expression {GO:0010629}; negative regulation of protein phosphorylation {GO:0001933}; positive regulation of protein binding {GO:0032092}; protein folding {GO:0006457}; protein insertion into mitochondrial outer membrane {GO:0045040}; response to heat {GO:0009408}</t>
  </si>
  <si>
    <t>cytoplasm {GO:0005737}; cytosol {GO:0005829}; extracellular exosome {GO:0070062}; lipid droplet {GO:0005811}; mitochondrion {GO:0005739}; nucleus {GO:0005634}</t>
  </si>
  <si>
    <t>ATP binding {GO:0005524}; ATP-dependent protein folding chaperone {GO:0140662}; protein-containing complex binding {GO:0044877}; RNA polymerase II-specific DNA-binding transcription factor binding {GO:0061629}</t>
  </si>
  <si>
    <t>Regulation of HSF1-mediated heat shock response {R-MMU-3371453}</t>
  </si>
  <si>
    <t>sp|P80318|TCPG_MOUSE</t>
  </si>
  <si>
    <t>T-complex protein 1 subunit gamma (TCP-1-gamma)</t>
  </si>
  <si>
    <t>CCT-gamma; Matricin; mTRiC-P5</t>
  </si>
  <si>
    <t>TCPG_MOUSE</t>
  </si>
  <si>
    <t>P80318</t>
  </si>
  <si>
    <t>Cctg</t>
  </si>
  <si>
    <t>MGI:104708</t>
  </si>
  <si>
    <t>3D-structure; Acetylation; ATP-binding; Chaperone; Cytoplasm; Disulfide bond; Isopeptide bond; Nucleotide-binding; Phosphoprotein; Ubl conjugation</t>
  </si>
  <si>
    <t>cell body {GO:0044297}; chaperonin-containing T-complex {GO:0005832}; microtubule {GO:0005874}; myelin sheath {GO:0043209}; zona pellucida receptor complex {GO:0002199}</t>
  </si>
  <si>
    <t>sp|P63158|HMGB1_MOUSE</t>
  </si>
  <si>
    <t>High mobility group protein B1</t>
  </si>
  <si>
    <t>High mobility group protein 1 (HMG-1)</t>
  </si>
  <si>
    <t>HMGB1_MOUSE</t>
  </si>
  <si>
    <t>P63158</t>
  </si>
  <si>
    <t>P07155; P27109; P27428</t>
  </si>
  <si>
    <t>Hmg-1; Hmg1</t>
  </si>
  <si>
    <t>MGI:96113</t>
  </si>
  <si>
    <t>3D-structure; Acetylation; Adaptive immunity; ADP-ribosylation; Autophagy; Cell membrane; Chemotaxis; Chromosome; Cytoplasm; Disulfide bond; DNA damage; DNA recombination; DNA repair; DNA-binding; Endosome; Heparin-binding; Immunity; Inflammatory response; Innate immunity; Isopeptide bond; Membrane; Nucleus; Oxidation; Phosphoprotein; Repeat; Secreted</t>
  </si>
  <si>
    <t>Adaptive immunity; Autophagy; Chemotaxis; DNA damage; DNA recombination; DNA repair; Immunity; Inflammatory response; Innate immunity</t>
  </si>
  <si>
    <t>Cell membrane; Chromosome; Cytoplasm; Endosome; Membrane; Nucleus; Secreted</t>
  </si>
  <si>
    <t>DNA-binding; Heparin-binding</t>
  </si>
  <si>
    <t>ADP-ribosylation; Acetylation; Disulfide bond; Isopeptide bond; Oxidation; Phosphoprotein</t>
  </si>
  <si>
    <t>activation of innate immune response {GO:0002218}; apoptotic cell clearance {GO:0043277}; autophagy {GO:0006914}; base-excision repair {GO:0006284}; cellular response to interleukin-7 {GO:0098761}; cellular response to lipopolysaccharide {GO:0071222}; chromatin assembly {GO:0031497}; DNA geometric change {GO:0032392}; endothelial cell chemotaxis {GO:0035767}; endothelial cell proliferation {GO:0001935}; eye development {GO:0001654}; glycogen catabolic process {GO:0005980}; heterochromatin assembly {GO:0031507}; induction of positive chemotaxis {GO:0050930}; inflammatory response {GO:0006954}; innate immune response {GO:0045087}; lung development {GO:0030324}; macrophage activation involved in immune response {GO:0002281}; myeloid cell differentiation {GO:0030099}; myeloid dendritic cell activation {GO:0001773}; myeloid progenitor cell differentiation {GO:0002318}; negative regulation of apoptotic cell clearance {GO:2000426}; negative regulation of blood vessel endothelial cell migration {GO:0043537}; negative regulation of CD4-positive, alpha-beta T cell differentiation {GO:0043371}; negative regulation of interferon-gamma production {GO:0032689}; negative regulation of RNA polymerase II transcription preinitiation complex assembly {GO:0017055}; negative regulation of transcription by RNA polymerase II {GO:0000122}; neutrophil clearance {GO:0097350}; plasmacytoid dendritic cell activation {GO:0002270}; positive regulation of activated T cell proliferation {GO:0042104}; positive regulation of apoptotic process {GO:0043065}; positive regulation of autophagy {GO:0010508}; positive regulation of blood vessel endothelial cell migration {GO:0043536}; positive regulation of cell migration {GO:0030335}; positive regulation of chemokine (C-X-C motif) ligand 2 production {GO:2000343}; positive regulation of cysteine-type endopeptidase activity involved in apoptotic process {GO:0043280}; positive regulation of cytosolic calcium ion concentration {GO:0007204}; positive regulation of dendritic cell differentiation {GO:2001200}; positive regulation of DNA binding {GO:0043388}; positive regulation of DNA ligation {GO:0051106}; positive regulation of ERK1 and ERK2 cascade {GO:0070374}; positive regulation of glycogen catabolic process {GO:0045819}; positive regulation of innate immune response {GO:0045089}; positive regulation of interferon-alpha production {GO:0032727}; positive regulation of interferon-beta production {GO:0032728}; positive regulation of interleukin-1 beta production {GO:0032731}; positive regulation of interleukin-1 production {GO:0032732}; positive regulation of interleukin-10 production {GO:0032733}; positive regulation of interleukin-12 production {GO:0032735}; positive regulation of interleukin-6 production {GO:0032755}; positive regulation of interleukin-8 production {GO:0032757}; positive regulation of JNK cascade {GO:0046330}; positive regulation of MAPK cascade {GO:0043410}; positive regulation of mesenchymal cell proliferation {GO:0002053}; positive regulation of mismatch repair {GO:0032425}; positive regulation of mitotic cell cycle {GO:0045931}; positive regulation of monocyte chemotactic protein-1 production {GO:0071639}; positive regulation of monocyte chemotaxis {GO:0090026}; positive regulation of myeloid cell differentiation {GO:0045639}; positive regulation of myeloid progenitor cell differentiation {GO:1905455}; positive regulation of NIK/NF-kappaB signaling {GO:1901224}; positive regulation of protein phosphorylation {GO:0001934}; positive regulation of sprouting angiogenesis {GO:1903672}; positive regulation of toll-like receptor 2 signaling pathway {GO:0034137}; positive regulation of toll-like receptor 4 signaling pathway {GO:0034145}; positive regulation of toll-like receptor 9 signaling pathway {GO:0034165}; positive regulation of transcription by RNA polymerase II {GO:0045944}; positive regulation of tumor necrosis factor production {GO:0032760}; positive regulation of vascular endothelial cell proliferation {GO:1905564}; positive regulation of wound healing {GO:0090303}; regulation of nucleotide-excision repair {GO:2000819}; regulation of restriction endodeoxyribonuclease activity {GO:0032072}; regulation of T cell mediated immune response to tumor cell {GO:0002840}; regulation of tolerance induction {GO:0002643}; regulation of transcription by RNA polymerase II {GO:0006357}; response to glucocorticoid {GO:0051384}; T-helper 1 cell activation {GO:0035711}; T-helper 1 cell differentiation {GO:0045063}; transcription by RNA polymerase II {GO:0006366}; V(D)J recombination {GO:0033151}</t>
  </si>
  <si>
    <t>alphav-beta3 integrin-HMGB1 complex {GO:0035868}; cell surface {GO:0009986}; condensed chromosome {GO:0000793}; cytoplasm {GO:0005737}; cytosol {GO:0005829}; early endosome {GO:0005769}; endoplasmic reticulum-Golgi intermediate compartment {GO:0005793}; extracellular region {GO:0005576}; extracellular space {GO:0005615}; membrane raft {GO:0045121}; neuron projection {GO:0043005}; nucleus {GO:0005634}; transcription repressor complex {GO:0017053}</t>
  </si>
  <si>
    <t>5S rRNA binding {GO:0008097}; bent DNA binding {GO:0003681}; bubble DNA binding {GO:0000405}; C-X-C chemokine binding {GO:0019958}; calcium-dependent protein kinase regulator activity {GO:0010858}; crossed form four-way junction DNA binding {GO:0000402}; cytokine activity {GO:0005125}; damaged DNA binding {GO:0003684}; DNA binding, bending {GO:0008301}; DNA polymerase binding {GO:0070182}; DNA-binding transcription factor binding {GO:0140297}; double-stranded DNA binding {GO:0003690}; double-stranded RNA binding {GO:0003725}; four-way junction DNA binding {GO:0000400}; glycolipid binding {GO:0051861}; heparin binding {GO:0008201}; integrin binding {GO:0005178}; lipopolysaccharide binding {GO:0001530}; lyase activity {GO:0016829}; nucleic acid binding {GO:0003676}; open form four-way junction DNA binding {GO:0000401}; peptide binding {GO:0042277}; phosphatidylserine binding {GO:0001786}; protein kinase activator activity {GO:0030295}; RAGE receptor binding {GO:0050786}; RNA polymerase II-specific DNA-binding transcription factor binding {GO:0061629}; single-stranded DNA binding {GO:0003697}; single-stranded RNA binding {GO:0003727}; supercoiled DNA binding {GO:0097100}; transcription cis-regulatory region binding {GO:0000976}; transcription coactivator activity {GO:0003713}; transcription corepressor activity {GO:0003714}</t>
  </si>
  <si>
    <t>Apoptosis induced DNA fragmentation {R-MMU-140342}; TAK1-dependent IKK and NF-kappa-B activation {R-MMU-445989}; Pyroptosis {R-MMU-5620971}; Regulation of TLR by endogenous ligand {R-MMU-5686938}; Neutrophil degranulation {R-MMU-6798695}; Advanced glycosylation endproduct receptor signaling {R-MMU-879415}; TRAF6 mediated NF-kB activation {R-MMU-933542}</t>
  </si>
  <si>
    <t>sp|Q9CQI6|COTL1_MOUSE</t>
  </si>
  <si>
    <t>Coactosin-like protein</t>
  </si>
  <si>
    <t>COTL1_MOUSE</t>
  </si>
  <si>
    <t>Q9CQI6</t>
  </si>
  <si>
    <t>Clp</t>
  </si>
  <si>
    <t>MGI:1919292</t>
  </si>
  <si>
    <t>3D-structure; Acetylation; Actin-binding; Chaperone; Cytoplasm; Cytoskeleton; Nucleus; Phosphoprotein</t>
  </si>
  <si>
    <t>Actin-binding; Chaperone</t>
  </si>
  <si>
    <t>defense response to fungus {GO:0050832}; regulation of actin filament polymerization {GO:0030833}</t>
  </si>
  <si>
    <t>cortical actin cytoskeleton {GO:0030864}; cytosol {GO:0005829}; nucleus {GO:0005634}; plasma membrane {GO:0005886}</t>
  </si>
  <si>
    <t>actin binding {GO:0003779}; actin filament binding {GO:0051015}; enzyme binding {GO:0019899}</t>
  </si>
  <si>
    <t>sp|P62908|RS3_MOUSE</t>
  </si>
  <si>
    <t>40S ribosomal protein S3</t>
  </si>
  <si>
    <t>RS3_MOUSE</t>
  </si>
  <si>
    <t>P62908</t>
  </si>
  <si>
    <t>P17073; P47933</t>
  </si>
  <si>
    <t>MGI:1350917</t>
  </si>
  <si>
    <t>3D-structure; Acetylation; Apoptosis; Cell cycle; Cell division; Cytoplasm; Cytoskeleton; DNA damage; DNA repair; DNA-binding; Isopeptide bond; Lyase; Membrane; Methylation; Mitochondrion; Mitochondrion inner membrane; Mitosis; Nucleus; Phosphoprotein; Ribonucleoprotein; Ribosomal protein; RNA-binding; Transcription; Transcription regulation; Translation regulation; Ubl conjugation</t>
  </si>
  <si>
    <t>Apoptosis; Cell cycle; Cell division; DNA damage; DNA repair; Mitosis; Transcription; Transcription regulation; Translation regulation</t>
  </si>
  <si>
    <t>Cytoplasm; Cytoskeleton; Membrane; Mitochondrion; Mitochondrion inner membrane; Nucleus</t>
  </si>
  <si>
    <t>DNA-binding; Lyase; RNA-binding; Ribonucleoprotein; Ribosomal protein</t>
  </si>
  <si>
    <t>apoptotic process {GO:0006915}; cell division {GO:0051301}; cellular response to DNA damage stimulus {GO:0006974}; cellular response to hydrogen peroxide {GO:0070301}; cellular response to nerve growth factor stimulus {GO:1990090}; cellular response to reactive oxygen species {GO:0034614}; cellular response to tumor necrosis factor {GO:0071356}; chromosome segregation {GO:0007059}; cytoplasmic translation {GO:0002181}; DNA repair {GO:0006281}; negative regulation of DNA repair {GO:0045738}; negative regulation of protein ubiquitination {GO:0031397}; negative regulation of translation {GO:0017148}; positive regulation of activated T cell proliferation {GO:0042104}; positive regulation of apoptotic signaling pathway {GO:2001235}; positive regulation of base-excision repair {GO:1905053}; positive regulation of cysteine-type endopeptidase activity involved in execution phase of apoptosis {GO:2001272}; positive regulation of DNA N-glycosylase activity {GO:1902546}; positive regulation of DNA repair {GO:0045739}; positive regulation of endodeoxyribonuclease activity {GO:0032079}; positive regulation of gene expression {GO:0010628}; positive regulation of interleukin-2 production {GO:0032743}; positive regulation of intrinsic apoptotic signaling pathway in response to DNA damage {GO:1902231}; positive regulation of JUN kinase activity {GO:0043507}; positive regulation of microtubule polymerization {GO:0031116}; positive regulation of NF-kappaB transcription factor activity {GO:0051092}; positive regulation of NIK/NF-kappaB signaling {GO:1901224}; positive regulation of protein-containing complex assembly {GO:0031334}; positive regulation of T cell receptor signaling pathway {GO:0050862}; regulation of apoptotic process {GO:0042981}; response to TNF agonist {GO:0061481}; spindle assembly {GO:0051225}</t>
  </si>
  <si>
    <t>cytoplasm {GO:0005737}; cytosol {GO:0005829}; cytosolic ribosome {GO:0022626}; cytosolic small ribosomal subunit {GO:0022627}; dendrite {GO:0030425}; endomembrane system {GO:0012505}; endoplasmic reticulum {GO:0005783}; mitochondrial inner membrane {GO:0005743}; mitochondrial matrix {GO:0005759}; mitotic spindle {GO:0072686}; NF-kappaB complex {GO:0071159}; nucleolus {GO:0005730}; nucleus {GO:0005634}; plasma membrane {GO:0005886}; polysome {GO:0005844}; postsynaptic density {GO:0014069}; ribonucleoprotein complex {GO:1990904}; ribosome {GO:0005840}; ruffle membrane {GO:0032587}; synapse {GO:0045202}</t>
  </si>
  <si>
    <t>class I DNA-(apurinic or apyrimidinic site) endonuclease activity {GO:0140078}; damaged DNA binding {GO:0003684}; DNA binding {GO:0003677}; DNA-(apurinic or apyrimidinic site) endonuclease activity {GO:0003906}; DNA-binding transcription factor binding {GO:0140297}; endodeoxyribonuclease activity {GO:0004520}; enzyme binding {GO:0019899}; Hsp70 protein binding {GO:0030544}; Hsp90 protein binding {GO:0051879}; kinase binding {GO:0019900}; microtubule binding {GO:0008017}; mRNA binding {GO:0003729}; oxidized purine DNA binding {GO:0032357}; oxidized pyrimidine DNA binding {GO:0032358}; protein kinase A binding {GO:0051018}; protein kinase binding {GO:0019901}; protein-containing complex binding {GO:0044877}; RNA binding {GO:0003723}; RNA polymerase II transcription regulatory region sequence-specific DNA binding {GO:0000977}; small ribosomal subunit rRNA binding {GO:0070181}; structural constituent of ribosome {GO:0003735}; supercoiled DNA binding {GO:0097100}; tubulin binding {GO:0015631}; ubiquitin-like protein conjugating enzyme binding {GO:0044390}</t>
  </si>
  <si>
    <t>sp|P56480|ATPB_MOUSE</t>
  </si>
  <si>
    <t>ATP synthase subunit beta, mitochondrial</t>
  </si>
  <si>
    <t>ATP synthase F1 subunit beta</t>
  </si>
  <si>
    <t>ATPB_MOUSE</t>
  </si>
  <si>
    <t>P56480</t>
  </si>
  <si>
    <t>Q0QEP4; Q3TFD7; Q3TIP9; Q3TK44; Q3TWD5; Q3TX28; Q3U6U4; Q3U774; Q3UB69; Q3UF69; Q8CI65; Q8VEJ5; Q9CTI7; Q9CWX7</t>
  </si>
  <si>
    <t>Atp5b</t>
  </si>
  <si>
    <t>MGI:107801</t>
  </si>
  <si>
    <t>Acetylation; ATP synthesis; ATP-binding; CF(1); Glycoprotein; Hydrogen ion transport; Ion transport; Membrane; Mitochondrion; Mitochondrion inner membrane; Nucleotide-binding; Phosphoprotein; Transit peptide; Translocase; Transport</t>
  </si>
  <si>
    <t>CF(1); Membrane; Mitochondrion; Mitochondrion inner membrane</t>
  </si>
  <si>
    <t>Translocase</t>
  </si>
  <si>
    <t>angiogenesis {GO:0001525}; ATP biosynthetic process {GO:0006754}; ATP metabolic process {GO:0046034}; cellular response to interleukin-7 {GO:0098761}; lipid metabolic process {GO:0006629}; negative regulation of cell adhesion involved in substrate-bound cell migration {GO:0006933}; positive regulation of blood vessel endothelial cell migration {GO:0043536}; proton motive force-driven mitochondrial ATP synthesis {GO:0042776}; proton transmembrane transport {GO:1902600}; receptor-mediated endocytosis {GO:0006898}; regulation of intracellular pH {GO:0051453}</t>
  </si>
  <si>
    <t>cell surface {GO:0009986}; membrane {GO:0016020}; membrane raft {GO:0045121}; mitochondrial inner membrane {GO:0005743}; mitochondrial membrane {GO:0031966}; mitochondrial nucleoid {GO:0042645}; mitochondrial proton-transporting ATP synthase complex {GO:0005753}; mitochondrial proton-transporting ATP synthase complex, catalytic sector F(1) {GO:0000275}; mitochondrion {GO:0005739}; myelin sheath {GO:0043209}; plasma membrane {GO:0005886}; proton-transporting ATP synthase complex {GO:0045259}; proton-transporting ATP synthase complex, catalytic core F(1) {GO:0045261}</t>
  </si>
  <si>
    <t>ADP binding {GO:0043531}; angiostatin binding {GO:0043532}; ATP binding {GO:0005524}; ATP hydrolysis activity {GO:0016887}; calcium ion binding {GO:0005509}; lipoprotein particle receptor activity {GO:0030228}; MHC class I protein binding {GO:0042288}; proton-transporting ATP synthase activity, rotational mechanism {GO:0046933}; proton-transporting ATPase activity, rotational mechanism {GO:0046961}</t>
  </si>
  <si>
    <t>Mitochondrial protein import {R-MMU-1268020}; Formation of ATP by chemiosmotic coupling {R-MMU-163210}; Cristae formation {R-MMU-8949613}</t>
  </si>
  <si>
    <t>sp|P62900|RL31_MOUSE</t>
  </si>
  <si>
    <t>60S ribosomal protein L31</t>
  </si>
  <si>
    <t>RL31_MOUSE</t>
  </si>
  <si>
    <t>P62900</t>
  </si>
  <si>
    <t>P12947</t>
  </si>
  <si>
    <t>MGI:2149632</t>
  </si>
  <si>
    <t>3D-structure; Acetylation; Cytoplasm; Phosphoprotein; Ribonucleoprotein; Ribosomal protein</t>
  </si>
  <si>
    <t>cytoplasm {GO:0005737}; cytosol {GO:0005829}; cytosolic large ribosomal subunit {GO:0022625}; cytosolic ribosome {GO:0022626}; nucleolus {GO:0005730}; nucleoplasm {GO:0005654}; polysomal ribosome {GO:0042788}; synapse {GO:0045202}</t>
  </si>
  <si>
    <t>sp|P62281|RS11_MOUSE</t>
  </si>
  <si>
    <t>40S ribosomal protein S11</t>
  </si>
  <si>
    <t>RS11_MOUSE</t>
  </si>
  <si>
    <t>P62281</t>
  </si>
  <si>
    <t>P04643</t>
  </si>
  <si>
    <t>MGI:1351329</t>
  </si>
  <si>
    <t>3D-structure; Acetylation; Citrullination; Lipoprotein; Methylation; Palmitate; Phosphoprotein; Ribonucleoprotein; Ribosomal protein; RNA-binding; rRNA-binding</t>
  </si>
  <si>
    <t>Acetylation; Citrullination; Lipoprotein; Methylation; Palmitate; Phosphoprotein</t>
  </si>
  <si>
    <t>cytoplasm {GO:0005737}; cytosol {GO:0005829}; cytosolic ribosome {GO:0022626}; cytosolic small ribosomal subunit {GO:0022627}</t>
  </si>
  <si>
    <t>rRNA binding {GO:0019843}; structural constituent of ribosome {GO:0003735}</t>
  </si>
  <si>
    <t>sp|P62267|RS23_MOUSE</t>
  </si>
  <si>
    <t>40S ribosomal protein S23</t>
  </si>
  <si>
    <t>RS23_MOUSE</t>
  </si>
  <si>
    <t>P62267</t>
  </si>
  <si>
    <t>P39028; Q542K7</t>
  </si>
  <si>
    <t>MGI:1913725</t>
  </si>
  <si>
    <t>3D-structure; Acetylation; Cytoplasm; Endoplasmic reticulum; Hydroxylation; Isopeptide bond; Ribonucleoprotein; Ribosomal protein; Ubl conjugation</t>
  </si>
  <si>
    <t>Acetylation; Hydroxylation; Isopeptide bond; Ubl conjugation</t>
  </si>
  <si>
    <t>cytoplasmic translation {GO:0002181}; maintenance of translational fidelity {GO:1990145}; stress granule assembly {GO:0034063}; translation {GO:0006412}</t>
  </si>
  <si>
    <t>cytoplasm {GO:0005737}; cytosol {GO:0005829}; cytosolic ribosome {GO:0022626}; cytosolic small ribosomal subunit {GO:0022627}; endoplasmic reticulum {GO:0005783}; polysomal ribosome {GO:0042788}; ribosome {GO:0005840}; rough endoplasmic reticulum {GO:0005791}; small ribosomal subunit {GO:0015935}; synapse {GO:0045202}</t>
  </si>
  <si>
    <t>sp|P10852|4F2_MOUSE</t>
  </si>
  <si>
    <t>4F2 cell-surface antigen heavy chain (4F2hc)</t>
  </si>
  <si>
    <t>Solute carrier family 3 member 2; CD_antigen=CD98</t>
  </si>
  <si>
    <t>4F2_MOUSE</t>
  </si>
  <si>
    <t>P10852</t>
  </si>
  <si>
    <t>G3UWA6; Q54AH5</t>
  </si>
  <si>
    <t>Mdu1</t>
  </si>
  <si>
    <t>MGI:96955</t>
  </si>
  <si>
    <t>3D-structure; Alternative splicing; Amino-acid transport; Cell junction; Cell membrane; Disulfide bond; Glycoprotein; Isopeptide bond; Lysosome; Membrane; Phosphoprotein; Signal-anchor; Transmembrane; Transmembrane helix; Transport; Ubl conjugation</t>
  </si>
  <si>
    <t>Amino-acid transport; Transport</t>
  </si>
  <si>
    <t>Cell junction; Cell membrane; Lysosome; Membrane</t>
  </si>
  <si>
    <t>Signal-anchor; Transmembrane; Transmembrane helix</t>
  </si>
  <si>
    <t>Disulfide bond; Glycoprotein; Isopeptide bond; Phosphoprotein; Ubl conjugation</t>
  </si>
  <si>
    <t>carbohydrate metabolic process {GO:0005975}; L-alanine import across plasma membrane {GO:1904273}; L-leucine import across plasma membrane {GO:1903801}; leucine import across plasma membrane {GO:0098713}; leucine transport {GO:0015820}; neutral amino acid transport {GO:0015804}; phenylalanine transport {GO:0015823}; response to exogenous dsRNA {GO:0043330}; tryptophan transport {GO:0015827}; viral entry into host cell {GO:0046718}</t>
  </si>
  <si>
    <t>amino acid transport complex {GO:1990184}; anchoring junction {GO:0070161}; apical plasma membrane {GO:0016324}; apical pole of neuron {GO:0044225}; basal plasma membrane {GO:0009925}; basolateral plasma membrane {GO:0016323}; cell surface {GO:0009986}; cytoplasm {GO:0005737}; integral component of membrane {GO:0016021}; lysosomal membrane {GO:0005765}; melanosome {GO:0042470}; neuronal cell body {GO:0043025}; nucleoplasm {GO:0005654}; plasma membrane {GO:0005886}; synapse {GO:0045202}</t>
  </si>
  <si>
    <t>aromatic amino acid transmembrane transporter activity {GO:0015173}; double-stranded RNA binding {GO:0003725}; L-alanine transmembrane transporter activity {GO:0015180}; L-leucine transmembrane transporter activity {GO:0015190}; neutral amino acid transmembrane transporter activity {GO:0015175}</t>
  </si>
  <si>
    <t>Amino acid transport across the plasma membrane {R-MMU-352230}; Tryptophan catabolism {R-MMU-71240}</t>
  </si>
  <si>
    <t>sp|P23116|EIF3A_MOUSE</t>
  </si>
  <si>
    <t>Eukaryotic translation initiation factor 3 subunit A (eIF3a)</t>
  </si>
  <si>
    <t>Centrosomin; Eukaryotic translation initiation factor 3 subunit 10; eIF-3-theta; eIF3 p167; eIF3 p180; eIF3 p185; p162</t>
  </si>
  <si>
    <t>EIF3A_MOUSE</t>
  </si>
  <si>
    <t>P23116</t>
  </si>
  <si>
    <t>E9QQ50; Q60697; Q62162</t>
  </si>
  <si>
    <t>Csma; Eif3; Eif3s10</t>
  </si>
  <si>
    <t>MGI:95301</t>
  </si>
  <si>
    <t>Acetylation; Coiled coil; Cytoplasm; Cytoskeleton; Initiation factor; Nucleus; Phosphoprotein; Protein biosynthesis; Repeat; RNA editing; RNA-binding</t>
  </si>
  <si>
    <t>RNA editing</t>
  </si>
  <si>
    <t>Initiation factor; RNA-binding</t>
  </si>
  <si>
    <t>formation of cytoplasmic translation initiation complex {GO:0001732}; IRES-dependent viral translational initiation {GO:0075522}; negative regulation of ERK1 and ERK2 cascade {GO:0070373}; translation reinitiation {GO:0002188}; viral translational termination-reinitiation {GO:0075525}</t>
  </si>
  <si>
    <t>cytosol {GO:0005829}; eukaryotic 43S preinitiation complex {GO:0016282}; eukaryotic 48S preinitiation complex {GO:0033290}; eukaryotic translation initiation factor 3 complex {GO:0005852}; eukaryotic translation initiation factor 3 complex, eIF3e {GO:0071540}; eukaryotic translation initiation factor 3 complex, eIF3m {GO:0071541}; microtubule {GO:0005874}; microtubule organizing center {GO:0005815}; multi-eIF complex {GO:0043614}; nucleolus {GO:0005730}; nucleoplasm {GO:0005654}; nucleus {GO:0005634}; postsynaptic density {GO:0014069}</t>
  </si>
  <si>
    <t>mRNA binding {GO:0003729}; receptor tyrosine kinase binding {GO:0030971}; RNA binding {GO:0003723}; translation initiation factor activity {GO:0003743}</t>
  </si>
  <si>
    <t>L13a-mediated translational silencing of Ceruloplasmin expression {R-MMU-156827}; Translation initiation complex formation {R-MMU-72649}; Formation of a pool of free 40S subunits {R-MMU-72689}; Formation of the ternary complex, and subsequently, the 43S complex {R-MMU-72695}; Ribosomal scanning and start codon recognition {R-MMU-72702}; GTP hydrolysis and joining of the 60S ribosomal subunit {R-MMU-72706}</t>
  </si>
  <si>
    <t>sp|P63101|1433Z_MOUSE</t>
  </si>
  <si>
    <t>14-3-3 protein zeta/delta</t>
  </si>
  <si>
    <t>Protein kinase C inhibitor protein 1 (KCIP-1); SEZ-2</t>
  </si>
  <si>
    <t>1433Z_MOUSE</t>
  </si>
  <si>
    <t>P63101</t>
  </si>
  <si>
    <t>P35215; P70197; P97286; Q3TSF1; Q5EBQ1</t>
  </si>
  <si>
    <t>MGI:109484</t>
  </si>
  <si>
    <t>3D-structure; Acetylation; Cytoplasm; Phosphoprotein</t>
  </si>
  <si>
    <t>angiogenesis {GO:0001525}; ERK1 and ERK2 cascade {GO:0070371}; establishment of Golgi localization {GO:0051683}; Golgi reassembly {GO:0090168}; histamine secretion by mast cell {GO:0002553}; lung development {GO:0030324}; negative regulation of transcription by RNA polymerase II {GO:0000122}; protein localization {GO:0008104}; protein phosphorylation {GO:0006468}; protein targeting {GO:0006605}; protein targeting to mitochondrion {GO:0006626}; regulation of cell death {GO:0010941}; regulation of ERK1 and ERK2 cascade {GO:0070372}; regulation of synapse maturation {GO:0090128}; respiratory system process {GO:0003016}; response to xenobiotic stimulus {GO:0009410}; signal transduction {GO:0007165}; synaptic target recognition {GO:0008039}; tube formation {GO:0035148}</t>
  </si>
  <si>
    <t>cell leading edge {GO:0031252}; cytoplasm {GO:0005737}; cytosol {GO:0005829}; glutamatergic synapse {GO:0098978}; hippocampal mossy fiber to CA3 synapse {GO:0098686}; melanosome {GO:0042470}; mitochondrion {GO:0005739}; nucleus {GO:0005634}; perinuclear region of cytoplasm {GO:0048471}; postsynaptic density {GO:0014069}; protein-containing complex {GO:0032991}</t>
  </si>
  <si>
    <t>DNA-binding transcription factor binding {GO:0140297}; identical protein binding {GO:0042802}; phosphoserine residue binding {GO:0050815}; protein domain specific binding {GO:0019904}; protein kinase binding {GO:0019901}; protein sequestering activity {GO:0140311}; protein-containing complex binding {GO:0044877}; transmembrane transporter binding {GO:0044325}; ubiquitin protein ligase binding {GO:0031625}</t>
  </si>
  <si>
    <t>Activation of BAD and translocation to mitochondria {R-MMU-111447}; Deactivation of the beta-catenin transactivating complex {R-MMU-3769402}; Rap1 signalling {R-MMU-392517}; GP1b-IX-V activation signalling {R-MMU-430116}; KSRP (KHSRP) binds and destabilizes mRNA {R-MMU-450604}; Interleukin-3, Interleukin-5 and GM-CSF signaling {R-MMU-512988}; RHO GTPases activate PKNs {R-MMU-5625740}; TP53 Regulates Metabolic Genes {R-MMU-5628897}; Chk1/Chk2(Cds1) mediated inactivation of Cyclin B:Cdk1 complex {R-MMU-75035}; NOTCH4 Activation and Transmission of Signal to the Nucleus {R-MMU-9013700}; Regulation of localization of FOXO transcription factors {R-MMU-9614399}</t>
  </si>
  <si>
    <t>sp|Q9DBJ1|PGAM1_MOUSE</t>
  </si>
  <si>
    <t>Phosphoglycerate mutase 1</t>
  </si>
  <si>
    <t>BPG-dependent PGAM 1; Phosphoglycerate mutase isozyme B (PGAM-B)</t>
  </si>
  <si>
    <t>PGAM1_MOUSE</t>
  </si>
  <si>
    <t>Q9DBJ1</t>
  </si>
  <si>
    <t>Q9D6W0; Q9ERT3</t>
  </si>
  <si>
    <t>MGI:97552</t>
  </si>
  <si>
    <t>Acetylation; Glycolysis; Hydrolase; Isomerase; Phosphoprotein</t>
  </si>
  <si>
    <t>Hydrolase; Isomerase</t>
  </si>
  <si>
    <t>gluconeogenesis {GO:0006094}; glycolytic process {GO:0006096}</t>
  </si>
  <si>
    <t>cytoplasm {GO:0005737}; cytosol {GO:0005829}; myelin sheath {GO:0043209}; nucleus {GO:0005634}; sperm principal piece {GO:0097228}</t>
  </si>
  <si>
    <t>2,3-bisphosphoglycerate-dependent phosphoglycerate mutase activity {GO:0046538}; bisphosphoglycerate mutase activity {GO:0004082}; hydrolase activity {GO:0016787}; phosphoglycerate mutase activity {GO:0004619}; protein kinase binding {GO:0019901}</t>
  </si>
  <si>
    <t>Neutrophil degranulation {R-MMU-6798695}; Glycolysis {R-MMU-70171}; Gluconeogenesis {R-MMU-70263}</t>
  </si>
  <si>
    <t>sp|Q62418|DBNL_MOUSE</t>
  </si>
  <si>
    <t>Drebrin-like protein</t>
  </si>
  <si>
    <t>Actin-binding protein 1; SH3 domain-containing protein 7</t>
  </si>
  <si>
    <t>DBNL_MOUSE</t>
  </si>
  <si>
    <t>Q62418</t>
  </si>
  <si>
    <t>Q3TG34; Q3U5X3; Q3U8I5; Q3UZ33; Q5NCI5; Q5NCI6; Q5NCI7; Q80WP1; Q8BH56</t>
  </si>
  <si>
    <t>MGI:700006</t>
  </si>
  <si>
    <t>Acetylation; Actin-binding; Adaptive immunity; Alternative splicing; Cell junction; Cell membrane; Cell projection; Coiled coil; Cytoplasm; Cytoplasmic vesicle; Cytoskeleton; Endocytosis; Endosome; Golgi apparatus; Immunity; Membrane; Phosphoprotein; SH3 domain; Synapse; Transport</t>
  </si>
  <si>
    <t>Adaptive immunity; Endocytosis; Immunity; Transport</t>
  </si>
  <si>
    <t>Cell junction; Cell membrane; Cell projection; Cytoplasm; Cytoplasmic vesicle; Cytoskeleton; Endosome; Golgi apparatus; Membrane; Synapse</t>
  </si>
  <si>
    <t>Coiled coil; SH3 domain</t>
  </si>
  <si>
    <t>adaptive immune response {GO:0002250}; neuron projection morphogenesis {GO:0048812}; podosome assembly {GO:0071800}; positive regulation of axon extension {GO:0045773}; positive regulation of dendritic spine morphogenesis {GO:0061003}; postsynaptic actin cytoskeleton organization {GO:0098974}; Rac protein signal transduction {GO:0016601}; receptor-mediated endocytosis {GO:0006898}; regulation of actin filament polymerization {GO:0030833}; ruffle assembly {GO:0097178}; synapse assembly {GO:0007416}</t>
  </si>
  <si>
    <t>anchoring junction {GO:0070161}; cell cortex {GO:0005938}; clathrin-coated vesicle membrane {GO:0030665}; cortical actin cytoskeleton {GO:0030864}; cytoplasm {GO:0005737}; cytosol {GO:0005829}; dendrite {GO:0030425}; early endosome {GO:0005769}; Golgi membrane {GO:0000139}; intracellular membrane-bounded organelle {GO:0043231}; lamellipodium {GO:0030027}; perikaryon {GO:0043204}; plasma membrane {GO:0005886}; podosome {GO:0002102}; postsynaptic density {GO:0014069}; postsynaptic membrane {GO:0045211}; ruffle {GO:0001726}; site of polarized growth {GO:0030427}</t>
  </si>
  <si>
    <t>actin binding {GO:0003779}; actin filament binding {GO:0051015}; protein C-terminus binding {GO:0008022}; protein domain specific binding {GO:0019904}</t>
  </si>
  <si>
    <t>sp|P51180|MIP_MOUSE</t>
  </si>
  <si>
    <t>Lens fiber major intrinsic protein</t>
  </si>
  <si>
    <t>Aquaporin-0; MIP26 (MP26)</t>
  </si>
  <si>
    <t>MIP_MOUSE</t>
  </si>
  <si>
    <t>P51180</t>
  </si>
  <si>
    <t>O00285; Q3UWJ9; Q8BHA2</t>
  </si>
  <si>
    <t>Palm</t>
  </si>
  <si>
    <t>MGI:96990</t>
  </si>
  <si>
    <t>Cell junction; Cell membrane; Disease variant; Eye lens protein; Gap junction; Lipoprotein; Membrane; Phosphoprotein; Repeat; Sensory transduction; Transmembrane; Transmembrane helix; Transport; Vision</t>
  </si>
  <si>
    <t>Sensory transduction; Transport; Vision</t>
  </si>
  <si>
    <t>Repeat; Transmembrane; Transmembrane helix</t>
  </si>
  <si>
    <t>Lipoprotein; Phosphoprotein</t>
  </si>
  <si>
    <t>canalicular bile acid transport {GO:0015722}; cell communication {GO:0007154}; gap junction-mediated intercellular transport {GO:1990349}; lens development in camera-type eye {GO:0002088}; positive regulation of cell adhesion {GO:0045785}; protein homotetramerization {GO:0051289}; response to stimulus {GO:0050896}; visual perception {GO:0007601}; water transport {GO:0006833}</t>
  </si>
  <si>
    <t>apical plasma membrane {GO:0016324}; endoplasmic reticulum {GO:0005783}; gap junction {GO:0005921}; integral component of membrane {GO:0016021}; integral component of plasma membrane {GO:0005887}; intracellular canaliculus {GO:0046691}; intracellular membrane-bounded organelle {GO:0043231}; membrane {GO:0016020}; plasma membrane {GO:0005886}</t>
  </si>
  <si>
    <t>calmodulin binding {GO:0005516}; channel activity {GO:0015267}; structural constituent of eye lens {GO:0005212}; water channel activity {GO:0015250}</t>
  </si>
  <si>
    <t>Passive transport by Aquaporins {R-MMU-432047}</t>
  </si>
  <si>
    <t>sp|Q99LX0|PARK7_MOUSE</t>
  </si>
  <si>
    <t>Parkinson disease protein 7 homolog</t>
  </si>
  <si>
    <t>Maillard deglycase; Parkinsonism-associated deglycase; Protein DJ-1 (DJ-1); Protein/nucleic acid deglycase DJ-1</t>
  </si>
  <si>
    <t>PARK7_MOUSE</t>
  </si>
  <si>
    <t>Q99LX0</t>
  </si>
  <si>
    <t>O88306; Q3THB9; Q3U509</t>
  </si>
  <si>
    <t>MGI:2135637</t>
  </si>
  <si>
    <t>Acetylation; Autophagy; Cell membrane; Chaperone; Copper; Cytoplasm; DNA damage; DNA repair; Endoplasmic reticulum; Fertilization; Hydrolase; Inflammatory response; Isopeptide bond; Lipoprotein; Membrane; Mitochondrion; Nucleus; Oxidation; Palmitate; Phosphoprotein; Protease; RNA-binding; Stress response; Tumor suppressor; Ubl conjugation; Zymogen</t>
  </si>
  <si>
    <t>Autophagy; DNA damage; DNA repair; Fertilization; Inflammatory response; Stress response</t>
  </si>
  <si>
    <t>Cell membrane; Cytoplasm; Endoplasmic reticulum; Membrane; Mitochondrion; Nucleus</t>
  </si>
  <si>
    <t>Tumor suppressor</t>
  </si>
  <si>
    <t>Copper</t>
  </si>
  <si>
    <t>Chaperone; Hydrolase; Protease; RNA-binding</t>
  </si>
  <si>
    <t>Acetylation; Isopeptide bond; Lipoprotein; Oxidation; Palmitate; Phosphoprotein; Ubl conjugation; Zymogen</t>
  </si>
  <si>
    <t>adult locomotory behavior {GO:0008344}; autophagy {GO:0006914}; cellular detoxification of aldehyde {GO:0110095}; cellular detoxification of methylglyoxal {GO:0140041}; cellular response to glyoxal {GO:0036471}; cellular response to hydrogen peroxide {GO:0070301}; cellular response to oxidative stress {GO:0034599}; cellular response to reactive oxygen species {GO:0034614}; detection of oxidative stress {GO:0070994}; detoxification of copper ion {GO:0010273}; detoxification of mercury ion {GO:0050787}; DNA repair {GO:0006281}; dopamine uptake involved in synaptic transmission {GO:0051583}; glucose homeostasis {GO:0042593}; glutathione deglycation {GO:0036531}; glycolate biosynthetic process {GO:0046295}; glyoxal metabolic process {GO:1903189}; guanine deglycation {GO:0106044}; guanine deglycation, glyoxal removal {GO:0106046}; guanine deglycation, methylglyoxal removal {GO:0106045}; histone modification {GO:0016570}; hydrogen peroxide metabolic process {GO:0042743}; inflammatory response {GO:0006954}; insulin secretion {GO:0030073}; lactate biosynthetic process {GO:0019249}; membrane depolarization {GO:0051899}; membrane hyperpolarization {GO:0060081}; methylglyoxal catabolic process to lactate {GO:0061727}; mitochondrion organization {GO:0007005}; negative regulation of apoptotic process {GO:0043066}; negative regulation of cell death {GO:0060548}; negative regulation of cysteine-type endopeptidase activity involved in apoptotic signaling pathway {GO:2001268}; negative regulation of endoplasmic reticulum stress-induced intrinsic apoptotic signaling pathway {GO:1902236}; negative regulation of extrinsic apoptotic signaling pathway {GO:2001237}; negative regulation of gene expression {GO:0010629}; negative regulation of hydrogen peroxide-induced cell death {GO:1903206}; negative regulation of hydrogen peroxide-induced neuron death {GO:1903208}; negative regulation of hydrogen peroxide-induced neuron intrinsic apoptotic signaling pathway {GO:1903384}; negative regulation of neuron apoptotic process {GO:0043524}; negative regulation of neuron death {GO:1901215}; negative regulation of nitrosative stress-induced intrinsic apoptotic signaling pathway {GO:1905259}; negative regulation of NMDA glutamate receptor activity {GO:1904782}; negative regulation of oxidative stress-induced cell death {GO:1903202}; negative regulation of oxidative stress-induced neuron death {GO:1903204}; negative regulation of oxidative stress-induced neuron intrinsic apoptotic signaling pathway {GO:1903377}; negative regulation of proteasomal ubiquitin-dependent protein catabolic process {GO:0032435}; negative regulation of protein acetylation {GO:1901984}; negative regulation of protein binding {GO:0032091}; negative regulation of protein catabolic process {GO:0042177}; negative regulation of protein export from nucleus {GO:0046826}; negative regulation of protein K48-linked deubiquitination {GO:1903094}; negative regulation of protein kinase activity {GO:0006469}; negative regulation of protein phosphorylation {GO:0001933}; negative regulation of protein sumoylation {GO:0033234}; negative regulation of protein ubiquitination {GO:0031397}; negative regulation of reactive oxygen species biosynthetic process {GO:1903427}; negative regulation of smooth muscle cell migration {GO:0014912}; negative regulation of TRAIL-activated apoptotic signaling pathway {GO:1903122}; negative regulation of ubiquitin-protein transferase activity {GO:0051444}; negative regulation of ubiquitin-specific protease activity {GO:2000157}; negative regulation of vascular associated smooth muscle cell proliferation {GO:1904706}; peptidyl-arginine deglycation {GO:0036527}; peptidyl-cysteine deglycation {GO:0036526}; peptidyl-lysine deglycation {GO:0036528}; positive regulation of acute inflammatory response to antigenic stimulus {GO:0002866}; positive regulation of androgen receptor activity {GO:2000825}; positive regulation of DNA-binding transcription factor activity {GO:0051091}; positive regulation of dopamine biosynthetic process {GO:1903181}; positive regulation of fertilization {GO:1905516}; positive regulation of gene expression {GO:0010628}; positive regulation of interleukin-8 production {GO:0032757}; positive regulation of L-dopa biosynthetic process {GO:1903197}; positive regulation of L-dopa decarboxylase activity {GO:1903200}; positive regulation of mitochondrial electron transport, NADH to ubiquinone {GO:1902958}; positive regulation of NAD(P)H oxidase activity {GO:0033864}; positive regulation of oxidative phosphorylation uncoupler activity {GO:2000277}; positive regulation of oxidative stress-induced intrinsic apoptotic signaling pathway {GO:1902177}; positive regulation of peptidyl-serine phosphorylation {GO:0033138}; positive regulation of protein localization to nucleus {GO:1900182}; positive regulation of protein-containing complex assembly {GO:0031334}; positive regulation of pyrroline-5-carboxylate reductase activity {GO:1903168}; positive regulation of reactive oxygen species biosynthetic process {GO:1903428}; positive regulation of superoxide dismutase activity {GO:1901671}; positive regulation of transcription by RNA polymerase II {GO:0045944}; positive regulation of transcription regulatory region DNA binding {GO:2000679}; positive regulation of tyrosine 3-monooxygenase activity {GO:1903178}; protein deglycation, glyoxal removal {GO:0036529}; protein deglycation, methylglyoxal removal {GO:0036530}; protein deglycosylation {GO:0006517}; protein stabilization {GO:0050821}; proteolysis {GO:0006508}; regulation of androgen receptor signaling pathway {GO:0060765}; regulation of histone acetylation {GO:0035065}; regulation of histone ubiquitination {GO:0033182}; regulation of inflammatory response {GO:0050727}; regulation of mitochondrial membrane potential {GO:0051881}; regulation of neuron apoptotic process {GO:0043523}; response to hydrogen peroxide {GO:0042542}; response to oxidative stress {GO:0006979}; single fertilization {GO:0007338}; synaptic transmission, dopaminergic {GO:0001963}</t>
  </si>
  <si>
    <t>axon {GO:0030424}; cell body {GO:0044297}; chromatin {GO:0000785}; cytoplasm {GO:0005737}; cytosol {GO:0005829}; endoplasmic reticulum {GO:0005783}; membrane raft {GO:0045121}; mitochondrial intermembrane space {GO:0005758}; mitochondrial matrix {GO:0005759}; mitochondrion {GO:0005739}; neuron projection {GO:0043005}; nucleoplasm {GO:0005654}; nucleus {GO:0005634}; perinuclear region of cytoplasm {GO:0048471}; plasma membrane {GO:0005886}; PML body {GO:0016605}; presynapse {GO:0098793}; sperm head {GO:0061827}</t>
  </si>
  <si>
    <t>copper ion binding {GO:0005507}; cupric ion binding {GO:1903135}; cuprous ion binding {GO:1903136}; cytokine binding {GO:0019955}; DNA-binding transcription factor binding {GO:0140297}; enzyme binding {GO:0019899}; glyoxalase (glycolic acid-forming) activity {GO:1990422}; identical protein binding {GO:0042802}; kinase binding {GO:0019900}; L-dopa decarboxylase activator activity {GO:0036478}; mercury ion binding {GO:0045340}; mRNA binding {GO:0003729}; nuclear androgen receptor binding {GO:0050681}; oxidoreductase activity, acting on peroxide as acceptor {GO:0016684}; oxygen sensor activity {GO:0019826}; peptidase activity {GO:0008233}; peroxiredoxin activity {GO:0051920}; protein homodimerization activity {GO:0042803}; protein-containing complex binding {GO:0044877}; RNA binding {GO:0003723}; scaffold protein binding {GO:0097110}; signaling receptor binding {GO:0005102}; small protein activating enzyme binding {GO:0044388}; superoxide dismutase copper chaperone activity {GO:0016532}; transcription coactivator activity {GO:0003713}; tyrosine 3-monooxygenase activator activity {GO:0036470}; ubiquitin-like protein conjugating enzyme binding {GO:0044390}; ubiquitin-specific protease binding {GO:1990381}</t>
  </si>
  <si>
    <t>SUMOylation of transcription cofactors {R-MMU-3899300}; Aggrephagy {R-MMU-9646399}</t>
  </si>
  <si>
    <t>sp|P28474|ADHX_MOUSE</t>
  </si>
  <si>
    <t>Alcohol dehydrogenase class-3</t>
  </si>
  <si>
    <t>Alcohol dehydrogenase 2; Alcohol dehydrogenase 5; Alcohol dehydrogenase B2 (ADH-B2); Alcohol dehydrogenase class-III; Glutathione-dependent formaldehyde dehydrogenase (FALDH; FDH; GSH-FDH); S-(hydroxymethyl)glutathione dehydrogenase</t>
  </si>
  <si>
    <t>ADHX_MOUSE</t>
  </si>
  <si>
    <t>P28474</t>
  </si>
  <si>
    <t>Q3TW83; Q8C662</t>
  </si>
  <si>
    <t>Adh-2; Adh2</t>
  </si>
  <si>
    <t>MGI:87929</t>
  </si>
  <si>
    <t>Acetylation; Cytoplasm; Lipid metabolism; Metal-binding; NAD; Oxidoreductase; Phosphoprotein; Zinc</t>
  </si>
  <si>
    <t>Metal-binding; NAD; Zinc</t>
  </si>
  <si>
    <t>ethanol catabolic process {GO:0006068}; ethanol oxidation {GO:0006069}; fatty acid omega-oxidation {GO:0010430}; formaldehyde catabolic process {GO:0046294}; peptidyl-cysteine S-nitrosylation {GO:0018119}; positive regulation of blood pressure {GO:0045777}; respiratory system process {GO:0003016}; response to lipopolysaccharide {GO:0032496}; response to nitrosative stress {GO:0051409}; response to redox state {GO:0051775}; retinoid metabolic process {GO:0001523}</t>
  </si>
  <si>
    <t>cytoplasm {GO:0005737}; cytosol {GO:0005829}; mitochondrion {GO:0005739}; nucleus {GO:0005634}</t>
  </si>
  <si>
    <t>alcohol dehydrogenase (NAD+) activity {GO:0004022}; alcohol dehydrogenase activity, zinc-dependent {GO:0004024}; fatty acid binding {GO:0005504}; formaldehyde dehydrogenase activity {GO:0018467}; identical protein binding {GO:0042802}; S-(hydroxymethyl)glutathione dehydrogenase activity {GO:0051903}; S-(hydroxymethyl)glutathione dehydrogenase NAD activity {GO:0106322}; S-(hydroxymethyl)glutathione dehydrogenase NADP activity {GO:0106321}; zinc ion binding {GO:0008270}</t>
  </si>
  <si>
    <t>Ethanol oxidation {R-MMU-71384}</t>
  </si>
  <si>
    <t>sp|P35564|CALX_MOUSE</t>
  </si>
  <si>
    <t>Calnexin</t>
  </si>
  <si>
    <t>CALX_MOUSE</t>
  </si>
  <si>
    <t>P35564</t>
  </si>
  <si>
    <t>MGI:88261</t>
  </si>
  <si>
    <t>Acetylation; Calcium; Chaperone; Disulfide bond; Endoplasmic reticulum; Lectin; Lipoprotein; Membrane; Metal-binding; Palmitate; Phosphoprotein; Repeat; Signal; Transmembrane; Transmembrane helix; Ubl conjugation</t>
  </si>
  <si>
    <t>Endoplasmic reticulum; Membrane</t>
  </si>
  <si>
    <t>Repeat; Signal; Transmembrane; Transmembrane helix</t>
  </si>
  <si>
    <t>Calcium; Lectin; Metal-binding</t>
  </si>
  <si>
    <t>Acetylation; Disulfide bond; Lipoprotein; Palmitate; Phosphoprotein; Ubl conjugation</t>
  </si>
  <si>
    <t>aging {GO:0007568}; clathrin-dependent endocytosis {GO:0072583}; protein folding {GO:0006457}; synaptic vesicle endocytosis {GO:0048488}; ubiquitin-dependent ERAD pathway {GO:0030433}</t>
  </si>
  <si>
    <t>axon {GO:0030424}; cytoplasm {GO:0005737}; dendrite cytoplasm {GO:0032839}; dendritic spine {GO:0043197}; endoplasmic reticulum {GO:0005783}; endoplasmic reticulum membrane {GO:0005789}; endoplasmic reticulum quality control compartment {GO:0044322}; glutamatergic synapse {GO:0098978}; integral component of lumenal side of endoplasmic reticulum membrane {GO:0071556}; integral component of membrane {GO:0016021}; integral component of postsynaptic membrane {GO:0099055}; integral component of presynaptic active zone membrane {GO:0099059}; melanosome {GO:0042470}; membrane {GO:0016020}; mitochondria-associated endoplasmic reticulum membrane {GO:0044233}; myelin sheath {GO:0043209}; neuronal cell body {GO:0043025}; protein-containing complex {GO:0032991}; ribosome {GO:0005840}; rough endoplasmic reticulum {GO:0005791}; smooth endoplasmic reticulum {GO:0005790}</t>
  </si>
  <si>
    <t>apolipoprotein binding {GO:0034185}; calcium ion binding {GO:0005509}; carbohydrate binding {GO:0030246}; ionotropic glutamate receptor binding {GO:0035255}; unfolded protein binding {GO:0051082}</t>
  </si>
  <si>
    <t>MHC class II antigen presentation {R-MMU-2132295}; Calnexin/calreticulin cycle {R-MMU-901042}; Interleukin-27 signaling {R-MMU-9020956}; Antigen Presentation: Folding, assembly and peptide loading of class I MHC {R-MMU-983170}</t>
  </si>
  <si>
    <t>sp|P19253|RL13A_MOUSE</t>
  </si>
  <si>
    <t>60S ribosomal protein L13a</t>
  </si>
  <si>
    <t>Transplantation antigen P198; Tum-P198 antigen</t>
  </si>
  <si>
    <t>RL13A_MOUSE</t>
  </si>
  <si>
    <t>P19253</t>
  </si>
  <si>
    <t>P198; Tstap198-7</t>
  </si>
  <si>
    <t>MGI:1351455</t>
  </si>
  <si>
    <t>3D-structure; Acetylation; Citrullination; Cytoplasm; Phosphoprotein; Ribonucleoprotein; Ribosomal protein; Translation regulation; Tumor antigen</t>
  </si>
  <si>
    <t>Translation regulation</t>
  </si>
  <si>
    <t>Ribonucleoprotein; Ribosomal protein; Tumor antigen</t>
  </si>
  <si>
    <t>Acetylation; Citrullination; Phosphoprotein</t>
  </si>
  <si>
    <t>cellular response to interferon-gamma {GO:0071346}; cytoplasmic translation {GO:0002181}; homeostatic process {GO:0042592}; lung morphogenesis {GO:0060425}; macrophage chemotaxis {GO:0048246}; negative regulation of formation of translation preinitiation complex {GO:1901194}; negative regulation of translation {GO:0017148}; response to lipopolysaccharide {GO:0032496}</t>
  </si>
  <si>
    <t>cytoplasm {GO:0005737}; cytosol {GO:0005829}; cytosolic large ribosomal subunit {GO:0022625}; cytosolic ribosome {GO:0022626}; GAIT complex {GO:0097452}; ribonucleoprotein complex {GO:1990904}; ribosome {GO:0005840}</t>
  </si>
  <si>
    <t>mRNA binding {GO:0003729}; structural constituent of ribosome {GO:0003735}</t>
  </si>
  <si>
    <t>sp|P62082|RS7_MOUSE</t>
  </si>
  <si>
    <t>40S ribosomal protein S7</t>
  </si>
  <si>
    <t>RS7_MOUSE</t>
  </si>
  <si>
    <t>P62082</t>
  </si>
  <si>
    <t>P23821; P24818</t>
  </si>
  <si>
    <t>MGI:1333818</t>
  </si>
  <si>
    <t>3D-structure; Acetylation; Cytoplasm; Cytoskeleton; Isopeptide bond; Nucleus; Ribonucleoprotein; Ribosomal protein; Ubl conjugation</t>
  </si>
  <si>
    <t>cytoplasmic translation {GO:0002181}; negative regulation of ubiquitin protein ligase activity {GO:1904667}; negative regulation of ubiquitin-dependent protein catabolic process {GO:2000059}; neural crest cell differentiation {GO:0014033}; neural tube closure {GO:0001843}; positive regulation of gene expression {GO:0010628}; positive regulation of intrinsic apoptotic signaling pathway by p53 class mediator {GO:1902255}; protein stabilization {GO:0050821}; ribosomal small subunit biogenesis {GO:0042274}; rRNA processing {GO:0006364}</t>
  </si>
  <si>
    <t>centrosome {GO:0005813}; cytoplasm {GO:0005737}; cytosol {GO:0005829}; cytosolic ribosome {GO:0022626}; cytosolic small ribosomal subunit {GO:0022627}; nucleolus {GO:0005730}; nucleus {GO:0005634}; protein-containing complex {GO:0032991}; ribonucleoprotein complex {GO:1990904}; small-subunit processome {GO:0032040}; synapse {GO:0045202}</t>
  </si>
  <si>
    <t>mRNA 3'-UTR binding {GO:0003730}; mRNA 5'-UTR binding {GO:0048027}; poly(U) RNA binding {GO:0008266}; protein kinase binding {GO:0019901}; structural constituent of ribosome {GO:0003735}; ubiquitin ligase inhibitor activity {GO:1990948}</t>
  </si>
  <si>
    <t>sp|Q9JIF0|ANM1_MOUSE</t>
  </si>
  <si>
    <t>Protein arginine N-methyltransferase 1</t>
  </si>
  <si>
    <t>Histone-arginine N-methyltransferase PRMT1</t>
  </si>
  <si>
    <t>ANM1_MOUSE</t>
  </si>
  <si>
    <t>Q9JIF0</t>
  </si>
  <si>
    <t>Q99LS4</t>
  </si>
  <si>
    <t>Hrmt1l2; Mrmt1</t>
  </si>
  <si>
    <t>MGI:107846</t>
  </si>
  <si>
    <t>Acetylation; Alternative splicing; Cytoplasm; Isopeptide bond; Methyltransferase; Nucleus; Phosphoprotein; S-adenosyl-L-methionine; Transferase; Ubl conjugation</t>
  </si>
  <si>
    <t>S-adenosyl-L-methionine</t>
  </si>
  <si>
    <t>Methyltransferase; Transferase</t>
  </si>
  <si>
    <t>cardiac muscle tissue development {GO:0048738}; histone H4-R3 methylation {GO:0043985}; histone methylation {GO:0016571}; in utero embryonic development {GO:0001701}; negative regulation of JNK cascade {GO:0046329}; negative regulation of megakaryocyte differentiation {GO:0045653}; neuron projection development {GO:0031175}; peptidyl-arginine methylation {GO:0018216}; peptidyl-arginine methylation, to asymmetrical-dimethyl arginine {GO:0019919}; peptidyl-arginine omega-N-methylation {GO:0035247}; positive regulation of cell population proliferation {GO:0008284}; positive regulation of erythrocyte differentiation {GO:0045648}; protein homooligomerization {GO:0051260}; protein methylation {GO:0006479}; regulation of megakaryocyte differentiation {GO:0045652}; RNA splicing {GO:0008380}</t>
  </si>
  <si>
    <t>cytoplasm {GO:0005737}; cytosol {GO:0005829}; membrane {GO:0016020}; methylosome {GO:0034709}; nucleoplasm {GO:0005654}; nucleus {GO:0005634}; protein-containing complex {GO:0032991}</t>
  </si>
  <si>
    <t>enzyme binding {GO:0019899}; histone methyltransferase activity {GO:0042054}; histone methyltransferase activity (H4-R3 specific) {GO:0044020}; histone-arginine N-methyltransferase activity {GO:0008469}; identical protein binding {GO:0042802}; methyl-CpG binding {GO:0008327}; mitogen-activated protein kinase p38 binding {GO:0048273}; N-methyltransferase activity {GO:0008170}; protein methyltransferase activity {GO:0008276}; protein-arginine N-methyltransferase activity {GO:0016274}; protein-arginine omega-N asymmetric methyltransferase activity {GO:0035242}; protein-arginine omega-N monomethyltransferase activity {GO:0035241}; S-adenosyl-L-methionine binding {GO:1904047}; snoRNP binding {GO:0030519}</t>
  </si>
  <si>
    <t>RMTs methylate histone arginines {R-MMU-3214858}; RUNX1 regulates genes involved in megakaryocyte differentiation and platelet function {R-MMU-8936459}; Extra-nuclear estrogen signaling {R-MMU-9009391}; Estrogen-dependent gene expression {R-MMU-9018519}</t>
  </si>
  <si>
    <t>sp|Q9WUB3|PYGM_MOUSE</t>
  </si>
  <si>
    <t>Glycogen phosphorylase, muscle form</t>
  </si>
  <si>
    <t>Myophosphorylase</t>
  </si>
  <si>
    <t>PYGM_MOUSE</t>
  </si>
  <si>
    <t>Q9WUB3</t>
  </si>
  <si>
    <t>MGI:97830</t>
  </si>
  <si>
    <t>Acetylation; Allosteric enzyme; Carbohydrate metabolism; Glycogen metabolism; Glycosyltransferase; Nucleotide-binding; Phosphoprotein; Pyridoxal phosphate; Transferase</t>
  </si>
  <si>
    <t>Carbohydrate metabolism; Glycogen metabolism</t>
  </si>
  <si>
    <t>Nucleotide-binding; Pyridoxal phosphate</t>
  </si>
  <si>
    <t>Allosteric enzyme; Glycosyltransferase; Transferase</t>
  </si>
  <si>
    <t>cellular calcium ion homeostasis {GO:0006874}; glycogen catabolic process {GO:0005980}; glycogen metabolic process {GO:0005977}; response to cAMP {GO:0051591}; response to hypoxia {GO:0001666}; response to organic substance {GO:0010033}</t>
  </si>
  <si>
    <t>cytoplasm {GO:0005737}; sarcoplasmic reticulum {GO:0016529}; Z disc {GO:0030018}</t>
  </si>
  <si>
    <t>AMP binding {GO:0016208}; carbohydrate binding {GO:0030246}; glycogen phosphorylase activity {GO:0008184}; linear malto-oligosaccharide phosphorylase activity {GO:0102250}; organic cyclic compound binding {GO:0097159}; pyridoxal phosphate binding {GO:0030170}; SHG alpha-glucan phosphorylase activity {GO:0102499}</t>
  </si>
  <si>
    <t>Glycogen breakdown (glycogenolysis) {R-MMU-70221}</t>
  </si>
  <si>
    <t>sp|P53026|RL10A_MOUSE</t>
  </si>
  <si>
    <t>60S ribosomal protein L10a</t>
  </si>
  <si>
    <t>CSA-19; Neural precursor cell expressed developmentally down-regulated protein 6 (NEDD-6)</t>
  </si>
  <si>
    <t>RL10A_MOUSE</t>
  </si>
  <si>
    <t>P53026</t>
  </si>
  <si>
    <t>Nedd-6; Nedd6</t>
  </si>
  <si>
    <t>MGI:1343877</t>
  </si>
  <si>
    <t>3D-structure; Acetylation; Cytoplasm; Isopeptide bond; Phosphoprotein; Ribonucleoprotein; Ribosomal protein; Ubl conjugation</t>
  </si>
  <si>
    <t>cytoplasmic translation {GO:0002181}; maturation of LSU-rRNA {GO:0000470}; translation {GO:0006412}</t>
  </si>
  <si>
    <t>cytoplasm {GO:0005737}; cytosol {GO:0005829}; cytosolic large ribosomal subunit {GO:0022625}; cytosolic ribosome {GO:0022626}; mitochondrion {GO:0005739}; polysomal ribosome {GO:0042788}; postsynaptic density {GO:0014069}; synapse {GO:0045202}</t>
  </si>
  <si>
    <t>sp|P62754|RS6_MOUSE</t>
  </si>
  <si>
    <t>40S ribosomal protein S6</t>
  </si>
  <si>
    <t>Phosphoprotein NP33</t>
  </si>
  <si>
    <t>RS6_MOUSE</t>
  </si>
  <si>
    <t>P62754</t>
  </si>
  <si>
    <t>P08227; P10660</t>
  </si>
  <si>
    <t>MGI:98159</t>
  </si>
  <si>
    <t>3D-structure; Acetylation; ADP-ribosylation; Hydroxylation; Isopeptide bond; Phosphoprotein; Ribonucleoprotein; Ribosomal protein; Ubl conjugation</t>
  </si>
  <si>
    <t>ADP-ribosylation; Acetylation; Hydroxylation; Isopeptide bond; Phosphoprotein; Ubl conjugation</t>
  </si>
  <si>
    <t>activation-induced cell death of T cells {GO:0006924}; cellular response to ethanol {GO:0071361}; cytoplasmic translation {GO:0002181}; erythrocyte development {GO:0048821}; G1/S transition of mitotic cell cycle {GO:0000082}; gastrulation {GO:0007369}; glucose homeostasis {GO:0042593}; mammalian oogenesis stage {GO:0022605}; mitotic cell cycle {GO:0000278}; negative regulation of apoptotic process {GO:0043066}; negative regulation of bicellular tight junction assembly {GO:1903347}; placenta development {GO:0001890}; positive regulation of apoptotic process {GO:0043065}; positive regulation of cell population proliferation {GO:0008284}; response to insulin {GO:0032868}; ribosomal small subunit assembly {GO:0000028}; ribosomal small subunit biogenesis {GO:0042274}; rRNA processing {GO:0006364}; T cell differentiation in thymus {GO:0033077}; T cell proliferation involved in immune response {GO:0002309}; TOR signaling {GO:0031929}</t>
  </si>
  <si>
    <t>cell body {GO:0044297}; cytoplasm {GO:0005737}; cytoplasmic ribonucleoprotein granule {GO:0036464}; cytosol {GO:0005829}; cytosolic ribosome {GO:0022626}; cytosolic small ribosomal subunit {GO:0022627}; dendrite {GO:0030425}; endoplasmic reticulum {GO:0005783}; nucleolus {GO:0005730}; nucleus {GO:0005634}; perinuclear region of cytoplasm {GO:0048471}; polysome {GO:0005844}; ribonucleoprotein complex {GO:1990904}; ribosome {GO:0005840}; small ribosomal subunit {GO:0015935}</t>
  </si>
  <si>
    <t>mRNA binding {GO:0003729}; protein kinase binding {GO:0019901}; structural constituent of ribosome {GO:0003735}</t>
  </si>
  <si>
    <t>L13a-mediated translational silencing of Ceruloplasmin expression {R-MMU-156827}; mTORC1-mediated signalling {R-MMU-166208}; SRP-dependent cotranslational protein targeting to membrane {R-MMU-1799339}; Major pathway of rRNA processing in the nucleolus and cytosol {R-MMU-6791226}; Translation initiation complex formation {R-MMU-72649}; Formation of a pool of free 40S subunits {R-MMU-72689}; Formation of the ternary complex, and subsequently, the 43S complex {R-MMU-72695}; Ribosomal scanning and start codon recognition {R-MMU-72702}; GTP hydrolysis and joining of the 60S ribosomal subunit {R-MMU-72706}; Nonsense Mediated Decay (NMD) independent of the Exon Junction Complex (EJC) {R-MMU-975956}; Nonsense Mediated Decay (NMD) enhanced by the Exon Junction Complex (EJC) {R-MMU-975957}</t>
  </si>
  <si>
    <t>sp|P08249|MDHM_MOUSE</t>
  </si>
  <si>
    <t>Malate dehydrogenase, mitochondrial</t>
  </si>
  <si>
    <t>MDHM_MOUSE</t>
  </si>
  <si>
    <t>P08249</t>
  </si>
  <si>
    <t>Q0QF44; Q8CF79; Q8R1P0</t>
  </si>
  <si>
    <t>Mor1</t>
  </si>
  <si>
    <t>MGI:97050</t>
  </si>
  <si>
    <t>Acetylation; Glycoprotein; Mitochondrion; NAD; Oxidoreductase; Phosphoprotein; Transit peptide; Tricarboxylic acid cycle</t>
  </si>
  <si>
    <t>Tricarboxylic acid cycle</t>
  </si>
  <si>
    <t>aerobic respiration {GO:0009060}; gluconeogenesis {GO:0006094}; malate metabolic process {GO:0006108}; NADH metabolic process {GO:0006734}; oxaloacetate metabolic process {GO:0006107}; tricarboxylic acid cycle {GO:0006099}</t>
  </si>
  <si>
    <t>cytoplasm {GO:0005737}; membrane {GO:0016020}; mitochondrial inner membrane {GO:0005743}; mitochondrial matrix {GO:0005759}; mitochondrion {GO:0005739}; myelin sheath {GO:0043209}</t>
  </si>
  <si>
    <t>L-malate dehydrogenase activity {GO:0030060}; malate dehydrogenase (NADP+) activity {GO:0046554}; malate dehydrogenase activity {GO:0016615}; protein homodimerization activity {GO:0042803}; protein self-association {GO:0043621}</t>
  </si>
  <si>
    <t>Gluconeogenesis {R-MMU-70263}; Citric acid cycle (TCA cycle) {R-MMU-71403}</t>
  </si>
  <si>
    <t>sp|P14733|LMNB1_MOUSE</t>
  </si>
  <si>
    <t>Lamin-B1</t>
  </si>
  <si>
    <t>LMNB1_MOUSE</t>
  </si>
  <si>
    <t>P14733</t>
  </si>
  <si>
    <t>Q61791</t>
  </si>
  <si>
    <t>MGI:96795</t>
  </si>
  <si>
    <t>Acetylation; Coiled coil; Disulfide bond; Intermediate filament; Isopeptide bond; Lipoprotein; Methylation; Nucleus; Phosphoprotein; Prenylation; Ubl conjugation</t>
  </si>
  <si>
    <t>Intermediate filament; Nucleus</t>
  </si>
  <si>
    <t>Acetylation; Disulfide bond; Isopeptide bond; Lipoprotein; Methylation; Phosphoprotein; Prenylation; Ubl conjugation</t>
  </si>
  <si>
    <t>cellular response to monosodium L-glutamate {GO:1904609}; heterochromatin assembly {GO:0031507}; nuclear envelope organization {GO:0006998}; nuclear migration {GO:0007097}; nuclear pore localization {GO:0051664}; positive regulation of G2/M transition of mitotic cell cycle {GO:0010971}; positive regulation of JNK cascade {GO:0046330}; protein localization to nuclear envelope {GO:0090435}</t>
  </si>
  <si>
    <t>cytoplasm {GO:0005737}; lamin filament {GO:0005638}; nuclear envelope {GO:0005635}; nuclear inner membrane {GO:0005637}; nuclear lamina {GO:0005652}; nuclear matrix {GO:0016363}; nuclear membrane {GO:0031965}; nucleoplasm {GO:0005654}; nucleus {GO:0005634}</t>
  </si>
  <si>
    <t>double-stranded DNA binding {GO:0003690}; JUN kinase binding {GO:0008432}; phospholipase binding {GO:0043274}; sequence-specific double-stranded DNA binding {GO:1990837}; structural constituent of cytoskeleton {GO:0005200}</t>
  </si>
  <si>
    <t>Formation of Senescence-Associated Heterochromatin Foci (SAHF) {R-MMU-2559584}; Nuclear Envelope Breakdown {R-MMU-2980766}; Initiation of Nuclear Envelope (NE) Reformation {R-MMU-2995383}; Breakdown of the nuclear lamina {R-MMU-352238}; Depolymerisation of the Nuclear Lamina {R-MMU-4419969}; RHOD GTPase cycle {R-MMU-9013405}; RHOF GTPase cycle {R-MMU-9035034}</t>
  </si>
  <si>
    <t>sp|P68510|1433F_MOUSE</t>
  </si>
  <si>
    <t>14-3-3 protein eta</t>
  </si>
  <si>
    <t>1433F_MOUSE</t>
  </si>
  <si>
    <t>P68510</t>
  </si>
  <si>
    <t>P11576; P70198; Q3TGZ9</t>
  </si>
  <si>
    <t>MGI:109194</t>
  </si>
  <si>
    <t>cytoskeleton organization {GO:0007010}; glucocorticoid catabolic process {GO:0006713}; glucocorticoid receptor signaling pathway {GO:0042921}; intracellular protein transport {GO:0006886}; membrane depolarization during action potential {GO:0086010}; negative regulation of apoptotic process {GO:0043066}; negative regulation of dendrite morphogenesis {GO:0050774}; positive regulation of DNA-templated transcription {GO:0045893}; protein localization {GO:0008104}; regulation of mitotic nuclear division {GO:0007088}; regulation of sodium ion transmembrane transporter activity {GO:2000649}; regulation of sodium ion transport {GO:0002028}; signal transduction {GO:0007165}</t>
  </si>
  <si>
    <t>cytoplasm {GO:0005737}; cytosol {GO:0005829}; intercalated disc {GO:0014704}; plasma membrane {GO:0005886}; synapse {GO:0045202}</t>
  </si>
  <si>
    <t>actin binding {GO:0003779}; enzyme binding {GO:0019899}; identical protein binding {GO:0042802}; nuclear glucocorticoid receptor binding {GO:0035259}; protein domain specific binding {GO:0019904}; protein heterodimerization activity {GO:0046982}; sodium channel regulator activity {GO:0017080}; transmembrane transporter binding {GO:0044325}</t>
  </si>
  <si>
    <t>Activation of BAD and translocation to mitochondria {R-MMU-111447}; RHO GTPases activate PKNs {R-MMU-5625740}; TP53 Regulates Metabolic Genes {R-MMU-5628897}; Chk1/Chk2(Cds1) mediated inactivation of Cyclin B:Cdk1 complex {R-MMU-75035}</t>
  </si>
  <si>
    <t>sp|P62702|RS4X_MOUSE</t>
  </si>
  <si>
    <t>40S ribosomal protein S4, X isoform</t>
  </si>
  <si>
    <t>RS4X_MOUSE</t>
  </si>
  <si>
    <t>P62702</t>
  </si>
  <si>
    <t>P12631; P12750; P27576; P55831; Q14727; Q9CXN0</t>
  </si>
  <si>
    <t>Rps4</t>
  </si>
  <si>
    <t>MGI:98158</t>
  </si>
  <si>
    <t>3D-structure; Acetylation; Cytoplasm; Isopeptide bond; Ribonucleoprotein; Ribosomal protein; RNA-binding; rRNA-binding; Ubl conjugation</t>
  </si>
  <si>
    <t>cytoplasmic translation {GO:0002181}; translation {GO:0006412}</t>
  </si>
  <si>
    <t>cytoplasm {GO:0005737}; cytoplasmic ribonucleoprotein granule {GO:0036464}; cytosol {GO:0005829}; cytosolic ribosome {GO:0022626}; cytosolic small ribosomal subunit {GO:0022627}; polysome {GO:0005844}; ribonucleoprotein complex {GO:1990904}; ribosome {GO:0005840}; small ribosomal subunit {GO:0015935}; synapse {GO:0045202}</t>
  </si>
  <si>
    <t>RNA binding {GO:0003723}; rRNA binding {GO:0019843}; structural constituent of ribosome {GO:0003735}</t>
  </si>
  <si>
    <t>sp|P30416|FKBP4_MOUSE</t>
  </si>
  <si>
    <t>Peptidyl-prolyl cis-trans isomerase FKBP4, N-terminally processed</t>
  </si>
  <si>
    <t>52 kDa FK506-binding protein (52 kDa FKBP; FKBP-52); 59 kDa immunophilin (p59); FK506-binding protein 4 (FKBP-4); FKBP59; HSP-binding immunophilin (HBI); Immunophilin FKBP52; Rotamase</t>
  </si>
  <si>
    <t>FKBP4_MOUSE</t>
  </si>
  <si>
    <t>P30416</t>
  </si>
  <si>
    <t>Q3TVC9</t>
  </si>
  <si>
    <t>Fkpb52</t>
  </si>
  <si>
    <t>MGI:95543</t>
  </si>
  <si>
    <t>Acetylation; Chaperone; Cytoplasm; Cytoskeleton; Isomerase; Isopeptide bond; Methylation; Microtubule; Mitochondrion; Nucleus; Phosphoprotein; Repeat; Rotamase; TPR repeat; Ubl conjugation</t>
  </si>
  <si>
    <t>Cytoplasm; Cytoskeleton; Microtubule; Mitochondrion; Nucleus</t>
  </si>
  <si>
    <t>Chaperone; Isomerase; Rotamase</t>
  </si>
  <si>
    <t>androgen receptor signaling pathway {GO:0030521}; chaperone-mediated protein folding {GO:0061077}; copper ion transport {GO:0006825}; embryo implantation {GO:0007566}; male sex differentiation {GO:0046661}; negative regulation of microtubule polymerization {GO:0031115}; negative regulation of microtubule polymerization or depolymerization {GO:0031111}; negative regulation of neuron projection development {GO:0010977}; prostate gland development {GO:0030850}; protein peptidyl-prolyl isomerization {GO:0000413}; protein-containing complex localization {GO:0031503}; reproductive structure development {GO:0048608}; steroid hormone receptor complex assembly {GO:0006463}</t>
  </si>
  <si>
    <t>axonal growth cone {GO:0044295}; cytoplasm {GO:0005737}; cytosol {GO:0005829}; microtubule {GO:0005874}; mitochondrion {GO:0005739}; neuron projection {GO:0043005}; neuronal cell body {GO:0043025}; nucleoplasm {GO:0005654}; nucleus {GO:0005634}; perinuclear region of cytoplasm {GO:0048471}; protein-containing complex {GO:0032991}</t>
  </si>
  <si>
    <t>ATP binding {GO:0005524}; copper-dependent protein binding {GO:0032767}; FK506 binding {GO:0005528}; GTP binding {GO:0005525}; heat shock protein binding {GO:0031072}; nuclear glucocorticoid receptor binding {GO:0035259}; peptidyl-prolyl cis-trans isomerase activity {GO:0003755}; phosphoprotein binding {GO:0051219}; tau protein binding {GO:0048156}</t>
  </si>
  <si>
    <t>HSP90 chaperone cycle for steroid hormone receptors (SHR) in the presence of ligand {R-MMU-3371497}; Attenuation phase {R-MMU-3371568}; ESR-mediated signaling {R-MMU-8939211}; Estrogen-dependent gene expression {R-MMU-9018519}</t>
  </si>
  <si>
    <t>sp|P80315|TCPD_MOUSE</t>
  </si>
  <si>
    <t>T-complex protein 1 subunit delta (TCP-1-delta)</t>
  </si>
  <si>
    <t>A45; CCT-delta</t>
  </si>
  <si>
    <t>TCPD_MOUSE</t>
  </si>
  <si>
    <t>P80315</t>
  </si>
  <si>
    <t>Cctd</t>
  </si>
  <si>
    <t>MGI:104689</t>
  </si>
  <si>
    <t>Acetylation; ATP-binding; Cell projection; Chaperone; Cilium; Cytoplasm; Cytoskeleton; Methylation; Nucleotide-binding; Phosphoprotein</t>
  </si>
  <si>
    <t>binding of sperm to zona pellucida {GO:0007339}; chaperone-mediated protein folding {GO:0061077}; positive regulation of establishment of protein localization to telomere {GO:1904851}; positive regulation of telomerase activity {GO:0051973}; positive regulation of telomerase RNA localization to Cajal body {GO:1904874}; positive regulation of telomere maintenance via telomerase {GO:0032212}; protein folding {GO:0006457}; protein stabilization {GO:0050821}; scaRNA localization to Cajal body {GO:0090666}; toxin transport {GO:1901998}</t>
  </si>
  <si>
    <t>cell body {GO:0044297}; centrosome {GO:0005813}; chaperonin-containing T-complex {GO:0005832}; cilium {GO:0005929}; cytosol {GO:0005829}; melanosome {GO:0042470}; microtubule {GO:0005874}; nucleoplasm {GO:0005654}; zona pellucida receptor complex {GO:0002199}</t>
  </si>
  <si>
    <t>sp|P60843|IF4A1_MOUSE</t>
  </si>
  <si>
    <t>Eukaryotic initiation factor 4A-I (eIF-4A-I; eIF4A-I)</t>
  </si>
  <si>
    <t>ATP-dependent RNA helicase eIF4A-1</t>
  </si>
  <si>
    <t>IF4A1_MOUSE</t>
  </si>
  <si>
    <t>P60843</t>
  </si>
  <si>
    <t>P04765; Q61516</t>
  </si>
  <si>
    <t>Ddx2a; Eif4a</t>
  </si>
  <si>
    <t>MGI:95303</t>
  </si>
  <si>
    <t>3D-structure; Acetylation; ATP-binding; Helicase; Hydrolase; Initiation factor; Isopeptide bond; Nucleotide-binding; Phosphoprotein; Protein biosynthesis; RNA-binding; Ubl conjugation</t>
  </si>
  <si>
    <t>Helicase; Hydrolase; Initiation factor; RNA-binding</t>
  </si>
  <si>
    <t>cytoplasmic translational initiation {GO:0002183}; translational initiation {GO:0006413}</t>
  </si>
  <si>
    <t>cytoplasm {GO:0005737}; eukaryotic translation initiation factor 4F complex {GO:0016281}</t>
  </si>
  <si>
    <t>ATP binding {GO:0005524}; ATP hydrolysis activity {GO:0016887}; double-stranded RNA binding {GO:0003725}; RNA helicase activity {GO:0003724}; translation initiation factor activity {GO:0003743}</t>
  </si>
  <si>
    <t>ISG15 antiviral mechanism {R-MMU-1169408}; L13a-mediated translational silencing of Ceruloplasmin expression {R-MMU-156827}; Deadenylation of mRNA {R-MMU-429947}; Translation initiation complex formation {R-MMU-72649}; Activation of the mRNA upon binding of the cap-binding complex and eIFs, and subsequent binding to 43S {R-MMU-72662}; Ribosomal scanning and start codon recognition {R-MMU-72702}; GTP hydrolysis and joining of the 60S ribosomal subunit {R-MMU-72706}</t>
  </si>
  <si>
    <t>sp|Q04447|KCRB_MOUSE</t>
  </si>
  <si>
    <t>Creatine kinase B-type</t>
  </si>
  <si>
    <t>B-CK; Creatine kinase B chain; Creatine phosphokinase B-type (CPK-B)</t>
  </si>
  <si>
    <t>KCRB_MOUSE</t>
  </si>
  <si>
    <t>Q04447</t>
  </si>
  <si>
    <t>Q3KQP4; Q3TKI3; Q3U5P5; Q3UF71; Q9CXK6</t>
  </si>
  <si>
    <t>MGI:88407</t>
  </si>
  <si>
    <t>ATP-binding; Cytoplasm; Kinase; Mitochondrion; Nitration; Nucleotide-binding; Phosphoprotein; Transferase</t>
  </si>
  <si>
    <t>Cytoplasm; Mitochondrion</t>
  </si>
  <si>
    <t>Nitration; Phosphoprotein</t>
  </si>
  <si>
    <t>cellular chloride ion homeostasis {GO:0030644}; cerebellum development {GO:0021549}; phosphocreatine biosynthetic process {GO:0046314}; phosphorylation {GO:0016310}</t>
  </si>
  <si>
    <t>cytosol {GO:0005829}; dendrite {GO:0030425}; extracellular space {GO:0005615}; mitochondrion {GO:0005739}; myelin sheath {GO:0043209}; neuronal cell body {GO:0043025}; nucleus {GO:0005634}</t>
  </si>
  <si>
    <t>ATP binding {GO:0005524}; creatine kinase activity {GO:0004111}; kinase activity {GO:0016301}; ubiquitin protein ligase binding {GO:0031625}</t>
  </si>
  <si>
    <t>Creatine metabolism {R-MMU-71288}; RND3 GTPase cycle {R-MMU-9696264}</t>
  </si>
  <si>
    <t>sp|P14206|RSSA_MOUSE</t>
  </si>
  <si>
    <t>40S ribosomal protein SA</t>
  </si>
  <si>
    <t>37 kDa laminin receptor precursor (37LRP); 37 kDa oncofetal antigen; 37/67 kDa laminin receptor (LRP/LR); 67 kDa laminin receptor (67LR); Laminin receptor 1 (LamR); Laminin-binding protein precursor p40 (LBP/p40); OFA/iLRP</t>
  </si>
  <si>
    <t>RSSA_MOUSE</t>
  </si>
  <si>
    <t>P14206</t>
  </si>
  <si>
    <t>Q58E74; Q8BHL0; Q8BNL2; Q91V31; Q9CY13</t>
  </si>
  <si>
    <t>Lamr1; P40-8</t>
  </si>
  <si>
    <t>MGI:105381</t>
  </si>
  <si>
    <t>3D-structure; Acetylation; Cell membrane; Cytoplasm; Isopeptide bond; Membrane; Nucleus; Phosphoprotein; Receptor; Repeat; Ribonucleoprotein; Ribosomal protein; Ubl conjugation</t>
  </si>
  <si>
    <t>Receptor; Ribonucleoprotein; Ribosomal protein</t>
  </si>
  <si>
    <t>cell-cell adhesion {GO:0098609}; cytoplasmic translation {GO:0002181}; ribosomal small subunit assembly {GO:0000028}; translation {GO:0006412}</t>
  </si>
  <si>
    <t>basement membrane {GO:0005604}; collagen-containing extracellular matrix {GO:0062023}; cytoplasm {GO:0005737}; cytosol {GO:0005829}; cytosolic ribosome {GO:0022626}; cytosolic small ribosomal subunit {GO:0022627}; glutamatergic synapse {GO:0098978}; membrane {GO:0016020}; neuronal cell body {GO:0043025}; nucleus {GO:0005634}; plasma membrane {GO:0005886}; small ribosomal subunit {GO:0015935}; synapse {GO:0045202}</t>
  </si>
  <si>
    <t>laminin binding {GO:0043236}; laminin receptor activity {GO:0005055}; ribosome binding {GO:0043022}; structural constituent of ribosome {GO:0003735}</t>
  </si>
  <si>
    <t>sp|P63323|RS12_MOUSE</t>
  </si>
  <si>
    <t>40S ribosomal protein S12</t>
  </si>
  <si>
    <t>RS12_MOUSE</t>
  </si>
  <si>
    <t>P63323</t>
  </si>
  <si>
    <t>P09388; P12728; Q6ZWZ6</t>
  </si>
  <si>
    <t>MGI:98105</t>
  </si>
  <si>
    <t>3D-structure; Acetylation; Cytoplasm; Ribonucleoprotein; Ribosomal protein</t>
  </si>
  <si>
    <t>cytoplasmic translation {GO:0002181}; positive regulation of canonical Wnt signaling pathway {GO:0090263}</t>
  </si>
  <si>
    <t>cytoplasm {GO:0005737}; cytosol {GO:0005829}; cytosolic large ribosomal subunit {GO:0022625}; cytosolic ribosome {GO:0022626}; cytosolic small ribosomal subunit {GO:0022627}; Golgi apparatus {GO:0005794}; intracellular membrane-bounded organelle {GO:0043231}</t>
  </si>
  <si>
    <t>sp|P68033|ACTC_MOUSE</t>
  </si>
  <si>
    <t>Actin, alpha cardiac muscle 1, intermediate form</t>
  </si>
  <si>
    <t>Alpha-cardiac actin</t>
  </si>
  <si>
    <t>ACTC_MOUSE</t>
  </si>
  <si>
    <t>P68033</t>
  </si>
  <si>
    <t>P04270</t>
  </si>
  <si>
    <t>Actc</t>
  </si>
  <si>
    <t>MGI:87905</t>
  </si>
  <si>
    <t>Acetylation; ATP-binding; Cytoplasm; Cytoskeleton; Hydrolase; Methylation; Muscle protein; Nucleotide-binding; Oxidation</t>
  </si>
  <si>
    <t>Hydrolase; Muscle protein</t>
  </si>
  <si>
    <t>Acetylation; Methylation; Oxidation</t>
  </si>
  <si>
    <t>actin filament organization {GO:0007015}; actin filament-based movement {GO:0030048}; actin-mediated cell contraction {GO:0070252}; actin-myosin filament sliding {GO:0033275}; actomyosin structure organization {GO:0031032}; cardiac muscle contraction {GO:0060048}; cardiac muscle tissue morphogenesis {GO:0055008}; cardiac myofibril assembly {GO:0055003}; heart contraction {GO:0060047}; mesenchyme migration {GO:0090131}; negative regulation of apoptotic process {GO:0043066}; positive regulation of gene expression {GO:0010628}; response to ethanol {GO:0045471}; response to xenobiotic stimulus {GO:0009410}; skeletal muscle thin filament assembly {GO:0030240}</t>
  </si>
  <si>
    <t>actin filament {GO:0005884}; cell body {GO:0044297}; cytoplasm {GO:0005737}; dynactin complex {GO:0005869}; filopodium {GO:0030175}; glutamatergic synapse {GO:0098978}; I band {GO:0031674}; lamellipodium {GO:0030027}; sarcomere {GO:0030017}; synapse {GO:0045202}</t>
  </si>
  <si>
    <t>ATP binding {GO:0005524}; microfilament motor activity {GO:0000146}; myosin binding {GO:0017022}</t>
  </si>
  <si>
    <t>Striated Muscle Contraction {R-MMU-390522}; RHOA GTPase cycle {R-MMU-8980692}; RHOB GTPase cycle {R-MMU-9013026}</t>
  </si>
  <si>
    <t>sp|Q9R0P9|UCHL1_MOUSE</t>
  </si>
  <si>
    <t>Ubiquitin carboxyl-terminal hydrolase isozyme L1 (UCH-L1)</t>
  </si>
  <si>
    <t>Neuron cytoplasmic protein 9.5; PGP 9.5 (PGP9.5); Ubiquitin thioesterase L1</t>
  </si>
  <si>
    <t>UCHL1_MOUSE</t>
  </si>
  <si>
    <t>Q9R0P9</t>
  </si>
  <si>
    <t>Q9R122</t>
  </si>
  <si>
    <t>MGI:103149</t>
  </si>
  <si>
    <t>Cytoplasm; Endoplasmic reticulum; Glycoprotein; Hydrolase; Lipoprotein; Membrane; Phosphoprotein; Prenylation; Protease; Thiol protease; Ubl conjugation pathway</t>
  </si>
  <si>
    <t>Cytoplasm; Endoplasmic reticulum; Membrane</t>
  </si>
  <si>
    <t>Glycoprotein; Lipoprotein; Phosphoprotein; Prenylation</t>
  </si>
  <si>
    <t>adult walking behavior {GO:0007628}; axon target recognition {GO:0007412}; axonal transport of mitochondrion {GO:0019896}; axonogenesis {GO:0007409}; cellular response to xenobiotic stimulus {GO:0071466}; eating behavior {GO:0042755}; male germ cell proliferation {GO:0002176}; muscle cell development {GO:0055001}; negative regulation of MAP kinase activity {GO:0043407}; neuromuscular process {GO:0050905}; protein deubiquitination {GO:0016579}; response to ischemia {GO:0002931}; sensory perception of pain {GO:0019233}; ubiquitin-dependent protein catabolic process {GO:0006511}</t>
  </si>
  <si>
    <t>axon {GO:0030424}; axon cytoplasm {GO:1904115}; cytoplasm {GO:0005737}; cytosol {GO:0005829}; endoplasmic reticulum membrane {GO:0005789}; myelin sheath {GO:0043209}; neuron projection terminus {GO:0044306}; neuronal cell body {GO:0043025}; nucleoplasm {GO:0005654}; plasma membrane {GO:0005886}</t>
  </si>
  <si>
    <t>alpha-2A adrenergic receptor binding {GO:0031694}; cysteine-type deubiquitinase activity {GO:0004843}; cysteine-type endopeptidase activity {GO:0004197}; ligase activity {GO:0016874}; omega peptidase activity {GO:0008242}; ubiquitin binding {GO:0043130}; ubiquitin protein ligase binding {GO:0031625}</t>
  </si>
  <si>
    <t>UCH proteinases {R-MMU-5689603}</t>
  </si>
  <si>
    <t>sp|P68040|RACK1_MOUSE</t>
  </si>
  <si>
    <t>Receptor of activated protein C kinase 1, N-terminally processed</t>
  </si>
  <si>
    <t>12-3; Guanine nucleotide-binding protein subunit beta-2-like 1; Receptor for activated C kinase; Receptor of activated protein kinase C 1; p205; Guanine nucleotide-binding protein subunit beta-2-like 1, N-terminally processed</t>
  </si>
  <si>
    <t>RACK1_MOUSE</t>
  </si>
  <si>
    <t>P68040</t>
  </si>
  <si>
    <t>P25388; P99049; Q3THP0; Q3THY7; Q3TKQ0; Q3TW88; Q5NCC5; Q5NCC6; Q9CSQ0; Q9ERM6</t>
  </si>
  <si>
    <t>Gnb2-rs1; Gnb2l1</t>
  </si>
  <si>
    <t>MGI:101849</t>
  </si>
  <si>
    <t>3D-structure; Acetylation; Apoptosis; Biological rhythms; Cell cycle; Cell membrane; Cell projection; Cytoplasm; Developmental protein; Gastrulation; Growth regulation; Membrane; Nucleus; Phosphoprotein; Repeat; Ribonucleoprotein; Ribosomal protein; Translation regulation; WD repeat</t>
  </si>
  <si>
    <t>Apoptosis; Biological rhythms; Cell cycle; Gastrulation; Growth regulation; Translation regulation</t>
  </si>
  <si>
    <t>Cell membrane; Cell projection; Cytoplasm; Membrane; Nucleus</t>
  </si>
  <si>
    <t>Repeat; WD repeat</t>
  </si>
  <si>
    <t>Developmental protein; Ribonucleoprotein; Ribosomal protein</t>
  </si>
  <si>
    <t>activation of cysteine-type endopeptidase activity involved in apoptotic process {GO:0006919}; cell cycle {GO:0007049}; cellular response to glucose stimulus {GO:0071333}; cellular response to growth factor stimulus {GO:0071363}; gastrulation {GO:0007369}; intracellular signal transduction {GO:0035556}; negative regulation of cell growth {GO:0030308}; negative regulation of gene expression {GO:0010629}; negative regulation of hydrogen peroxide-induced neuron death {GO:1903208}; negative regulation of peptidyl-serine phosphorylation {GO:0033137}; negative regulation of phagocytosis {GO:0050765}; negative regulation of protein binding {GO:0032091}; negative regulation of protein kinase B signaling {GO:0051898}; negative regulation of smoothened signaling pathway {GO:0045879}; negative regulation of translation {GO:0017148}; negative regulation of Wnt signaling pathway {GO:0030178}; pigmentation {GO:0043473}; positive regulation of apoptotic process {GO:0043065}; positive regulation of cell migration {GO:0030335}; positive regulation of cyclic-nucleotide phosphodiesterase activity {GO:0051343}; positive regulation of gastrulation {GO:2000543}; positive regulation of Golgi to plasma membrane protein transport {GO:0042998}; positive regulation of GTPase activity {GO:0043547}; positive regulation of intrinsic apoptotic signaling pathway {GO:2001244}; positive regulation of mitochondrial depolarization {GO:0051901}; positive regulation of proteasomal ubiquitin-dependent protein catabolic process {GO:0032436}; positive regulation of protein phosphorylation {GO:0001934}; positive regulation of protein-containing complex assembly {GO:0031334}; protein localization {GO:0008104}; protein ubiquitination {GO:0016567}; regulation of cell cycle {GO:0051726}; regulation of cell division {GO:0051302}; regulation of establishment of cell polarity {GO:2000114}; regulation of protein localization {GO:0032880}; regulation of protein localization to plasma membrane {GO:1903076}; rescue of stalled ribosome {GO:0072344}; rhythmic process {GO:0048511}; translation {GO:0006412}</t>
  </si>
  <si>
    <t>cell body {GO:0044297}; cytoplasm {GO:0005737}; cytosol {GO:0005829}; dendrite {GO:0030425}; IRE1-RACK1-PP2A complex {GO:1990630}; midbody {GO:0030496}; mitochondrion {GO:0005739}; neuron projection {GO:0043005}; neuronal cell body {GO:0043025}; nucleoplasm {GO:0005654}; nucleus {GO:0005634}; perikaryon {GO:0043204}; perinuclear region of cytoplasm {GO:0048471}; phagocytic cup {GO:0001891}; small ribosomal subunit {GO:0015935}</t>
  </si>
  <si>
    <t>BH3 domain binding {GO:0051434}; cyclin binding {GO:0030332}; cysteine-type endopeptidase activator activity involved in apoptotic process {GO:0008656}; enzyme binding {GO:0019899}; ion channel inhibitor activity {GO:0008200}; protein homodimerization activity {GO:0042803}; protein kinase C binding {GO:0005080}; protein phosphatase binding {GO:0019903}; protein tyrosine kinase inhibitor activity {GO:0030292}; receptor tyrosine kinase binding {GO:0030971}; ribosome binding {GO:0043022}; SH2 domain binding {GO:0042169}; signaling adaptor activity {GO:0035591}; signaling receptor activity {GO:0038023}</t>
  </si>
  <si>
    <t>Regulation of TNFR1 signaling {R-MMU-5357905}; TNFR1-induced NFkappaB signaling pathway {R-MMU-5357956}; TNFR1-mediated ceramide production {R-MMU-5626978}</t>
  </si>
  <si>
    <t>sp|P39447|ZO1_MOUSE</t>
  </si>
  <si>
    <t>Tight junction protein ZO-1</t>
  </si>
  <si>
    <t>Tight junction protein 1; Zona occludens protein 1; Zonula occludens protein 1</t>
  </si>
  <si>
    <t>ZO1_MOUSE</t>
  </si>
  <si>
    <t>P39447</t>
  </si>
  <si>
    <t>E9QK00</t>
  </si>
  <si>
    <t>Zo1</t>
  </si>
  <si>
    <t>MGI:98759</t>
  </si>
  <si>
    <t>3D-structure; Calmodulin-binding; Cell junction; Cell membrane; Cytoplasm; Gap junction; Membrane; Phosphoprotein; Repeat; SH3 domain; Tight junction</t>
  </si>
  <si>
    <t>Cell junction; Cell membrane; Cytoplasm; Gap junction; Membrane; Tight junction</t>
  </si>
  <si>
    <t>Calmodulin-binding</t>
  </si>
  <si>
    <t>actomyosin structure organization {GO:0031032}; adherens junction maintenance {GO:0034334}; blastocyst formation {GO:0001825}; cell-cell adhesion {GO:0098609}; cell-cell junction organization {GO:0045216}; cellular response to glucose stimulus {GO:0071333}; establishment of endothelial intestinal barrier {GO:0090557}; negative regulation of actin cytoskeleton reorganization {GO:2000250}; negative regulation of apoptotic process {GO:0043066}; negative regulation of stress fiber assembly {GO:0051497}; negative regulation of vascular permeability {GO:0043116}; positive regulation of blood-brain barrier permeability {GO:1905605}; positive regulation of cell migration {GO:0030335}; positive regulation of cell population proliferation {GO:0008284}; positive regulation of cell-cell adhesion mediated by cadherin {GO:2000049}; positive regulation of sprouting angiogenesis {GO:1903672}; protein localization to adherens junction {GO:0071896}; protein localization to bicellular tight junction {GO:1902396}; protein localization to cell-cell junction {GO:0150105}; regulation of bicellular tight junction assembly {GO:2000810}; regulation of cell junction assembly {GO:1901888}; regulation of cytoskeleton organization {GO:0051493}; response to ethanol {GO:0045471}; response to lipopolysaccharide {GO:0032496}; response to magnetism {GO:0071000}; response to xenobiotic stimulus {GO:0009410}; sensory perception of sound {GO:0007605}</t>
  </si>
  <si>
    <t>adherens junction {GO:0005912}; apical junction complex {GO:0043296}; apical part of cell {GO:0045177}; apical plasma membrane {GO:0016324}; apicolateral plasma membrane {GO:0016327}; basolateral plasma membrane {GO:0016323}; bicellular tight junction {GO:0005923}; cell junction {GO:0030054}; cell surface {GO:0009986}; cell-cell junction {GO:0005911}; cytoplasm {GO:0005737}; cytosol {GO:0005829}; gap junction {GO:0005921}; I band {GO:0031674}; intercalated disc {GO:0014704}; intercellular canaliculus {GO:0046581}; membrane {GO:0016020}; nucleus {GO:0005634}; plasma membrane {GO:0005886}; protein-containing complex {GO:0032991}; tight junction {GO:0070160}</t>
  </si>
  <si>
    <t>beta-catenin binding {GO:0008013}; calmodulin binding {GO:0005516}; cell adhesion molecule binding {GO:0050839}; connexin binding {GO:0071253}; protein C-terminus binding {GO:0008022}; protein domain specific binding {GO:0019904}</t>
  </si>
  <si>
    <t>Regulation of gap junction activity {R-MMU-191650}; Signaling by Hippo {R-MMU-2028269}; Apoptotic cleavage of cell adhesion proteins {R-MMU-351906}</t>
  </si>
  <si>
    <t>sp|Q99K48|NONO_MOUSE</t>
  </si>
  <si>
    <t>Non-POU domain-containing octamer-binding protein (NonO protein)</t>
  </si>
  <si>
    <t>NONO_MOUSE</t>
  </si>
  <si>
    <t>Q99K48</t>
  </si>
  <si>
    <t>Q63887; Q9CYQ4; Q9DBP2</t>
  </si>
  <si>
    <t>MGI:1855692</t>
  </si>
  <si>
    <t>3D-structure; Acetylation; Activator; Alternative splicing; Biological rhythms; Chromosome; Coiled coil; DNA damage; DNA recombination; DNA repair; DNA-binding; Immunity; Innate immunity; Isopeptide bond; Methylation; mRNA processing; mRNA splicing; Nucleus; Phosphoprotein; Repeat; Repressor; RNA-binding; Transcription; Transcription regulation; Ubl conjugation</t>
  </si>
  <si>
    <t>Biological rhythms; DNA damage; DNA recombination; DNA repair; Immunity; Innate immunity; Transcription; Transcription regulation; mRNA processing; mRNA splicing</t>
  </si>
  <si>
    <t>Chromosome; Nucleus</t>
  </si>
  <si>
    <t>Activator; DNA-binding; RNA-binding; Repressor</t>
  </si>
  <si>
    <t>activation of innate immune response {GO:0002218}; circadian rhythm {GO:0007623}; DNA recombination {GO:0006310}; DNA repair {GO:0006281}; innate immune response {GO:0045087}; mRNA processing {GO:0006397}; negative regulation of DNA-templated transcription {GO:0045892}; negative regulation of oxidative stress-induced neuron intrinsic apoptotic signaling pathway {GO:1903377}; regulation of circadian rhythm {GO:0042752}; regulation of DNA-templated transcription {GO:0006355}; RNA splicing {GO:0008380}</t>
  </si>
  <si>
    <t>chromosome {GO:0005694}; fibrillar center {GO:0001650}; nuclear matrix {GO:0016363}; nuclear speck {GO:0016607}; nucleoplasm {GO:0005654}; nucleus {GO:0005634}; paraspeckles {GO:0042382}; RNA polymerase II transcription regulator complex {GO:0090575}</t>
  </si>
  <si>
    <t>chromatin binding {GO:0003682}; DNA binding {GO:0003677}; identical protein binding {GO:0042802}; RNA binding {GO:0003723}</t>
  </si>
  <si>
    <t>sp|Q01768|NDKB_MOUSE</t>
  </si>
  <si>
    <t>Nucleoside diphosphate kinase B (NDK B; NDP kinase B)</t>
  </si>
  <si>
    <t>Histidine protein kinase NDKB; P18; nm23-M2</t>
  </si>
  <si>
    <t>NDKB_MOUSE</t>
  </si>
  <si>
    <t>Q01768</t>
  </si>
  <si>
    <t>MGI:97356</t>
  </si>
  <si>
    <t>ATP-binding; Cell projection; Cytoplasm; DNA-binding; Kinase; Magnesium; Metal-binding; Nucleotide metabolism; Nucleotide-binding; Nucleus; Transcription; Transcription regulation; Transferase</t>
  </si>
  <si>
    <t>Nucleotide metabolism; Transcription; Transcription regulation</t>
  </si>
  <si>
    <t>Cell projection; Cytoplasm; Nucleus</t>
  </si>
  <si>
    <t>DNA-binding; Kinase; Transferase</t>
  </si>
  <si>
    <t>adenylate cyclase-activating G protein-coupled receptor signaling pathway {GO:0007189}; CTP biosynthetic process {GO:0006241}; dTMP biosynthetic process {GO:0006231}; GTP biosynthetic process {GO:0006183}; integrin-mediated signaling pathway {GO:0007229}; negative regulation of apoptotic process {GO:0043066}; negative regulation of myeloid leukocyte differentiation {GO:0002762}; nucleoside diphosphate phosphorylation {GO:0006165}; positive regulation of DNA-templated transcription {GO:0045893}; positive regulation of epithelial cell proliferation {GO:0050679}; positive regulation of keratinocyte differentiation {GO:0045618}; positive regulation of neuron projection development {GO:0010976}; positive regulation of transcription by RNA polymerase II {GO:0045944}; protein autophosphorylation {GO:0046777}; regulation of apoptotic process {GO:0042981}; UTP biosynthetic process {GO:0006228}</t>
  </si>
  <si>
    <t>cell periphery {GO:0071944}; cytoplasm {GO:0005737}; intermediate filament {GO:0005882}; lamellipodium {GO:0030027}; mitochondrial membrane {GO:0031966}; mitochondrion {GO:0005739}; myelin sheath {GO:0043209}; nucleus {GO:0005634}; perinuclear region of cytoplasm {GO:0048471}; ruffle {GO:0001726}</t>
  </si>
  <si>
    <t>ATP binding {GO:0005524}; DNA binding {GO:0003677}; enzyme binding {GO:0019899}; fatty acid binding {GO:0005504}; G-quadruplex DNA binding {GO:0051880}; GDP binding {GO:0019003}; heterocyclic compound binding {GO:1901363}; identical protein binding {GO:0042802}; intermediate filament binding {GO:0019215}; metal ion binding {GO:0046872}; nucleoside diphosphate kinase activity {GO:0004550}; protein histidine kinase activity {GO:0004673}; protein serine/threonine kinase activity {GO:0004674}; transcription coactivator activity {GO:0003713}</t>
  </si>
  <si>
    <t>Interconversion of nucleotide di- and triphosphates {R-MMU-499943}; Neutrophil degranulation {R-MMU-6798695}; Azathioprine ADME {R-MMU-9748787}</t>
  </si>
  <si>
    <t>sp|P10630|IF4A2_MOUSE</t>
  </si>
  <si>
    <t>Eukaryotic initiation factor 4A-II (eIF-4A-II; eIF4A-II)</t>
  </si>
  <si>
    <t>ATP-dependent RNA helicase eIF4A-2</t>
  </si>
  <si>
    <t>IF4A2_MOUSE</t>
  </si>
  <si>
    <t>P10630</t>
  </si>
  <si>
    <t>Q61513; Q61514</t>
  </si>
  <si>
    <t>Ddx2b</t>
  </si>
  <si>
    <t>MGI:106906</t>
  </si>
  <si>
    <t>Alternative splicing; ATP-binding; Helicase; Hydrolase; Initiation factor; Nucleotide-binding; Phosphoprotein; Protein biosynthesis; RNA-binding</t>
  </si>
  <si>
    <t>cellular response to leukemia inhibitory factor {GO:1990830}; cytoplasmic translational initiation {GO:0002183}; negative regulation of RNA-directed 5'-3' RNA polymerase activity {GO:1900260}; translational initiation {GO:0006413}</t>
  </si>
  <si>
    <t>eukaryotic translation initiation factor 4F complex {GO:0016281}; perinuclear region of cytoplasm {GO:0048471}</t>
  </si>
  <si>
    <t>ATP binding {GO:0005524}; ATP hydrolysis activity {GO:0016887}; RNA binding {GO:0003723}; RNA helicase activity {GO:0003724}; translation initiation factor activity {GO:0003743}</t>
  </si>
  <si>
    <t>sp|P50580|PA2G4_MOUSE</t>
  </si>
  <si>
    <t>Proliferation-associated protein 2G4</t>
  </si>
  <si>
    <t>IRES-specific cellular trans-acting factor 45 kDa (ITAF45); Mpp1; Proliferation-associated protein 1; Protein p38-2G4</t>
  </si>
  <si>
    <t>PA2G4_MOUSE</t>
  </si>
  <si>
    <t>P50580</t>
  </si>
  <si>
    <t>Ebp1; Plfap</t>
  </si>
  <si>
    <t>MGI:894684</t>
  </si>
  <si>
    <t>3D-structure; Acetylation; Alternative splicing; Cytoplasm; Isopeptide bond; Nucleus; Phosphoprotein; Repressor; Ribonucleoprotein; RNA-binding; rRNA processing; Transcription; Transcription regulation; Translation regulation; Ubl conjugation</t>
  </si>
  <si>
    <t>Transcription; Transcription regulation; Translation regulation; rRNA processing</t>
  </si>
  <si>
    <t>RNA-binding; Repressor; Ribonucleoprotein</t>
  </si>
  <si>
    <t>negative regulation of apoptotic process {GO:0043066}; negative regulation of DNA-templated transcription {GO:0045892}; positive regulation of cell differentiation {GO:0045597}; regulation of translation {GO:0006417}; rRNA processing {GO:0006364}</t>
  </si>
  <si>
    <t>cytoplasm {GO:0005737}; nucleolus {GO:0005730}; nucleus {GO:0005634}; ribonucleoprotein complex {GO:1990904}</t>
  </si>
  <si>
    <t>nucleic acid binding {GO:0003676}; RNA binding {GO:0003723}; transcription corepressor activity {GO:0003714}; ubiquitin protein ligase binding {GO:0031625}</t>
  </si>
  <si>
    <t>sp|Q60668|HNRPD_MOUSE</t>
  </si>
  <si>
    <t>Heterogeneous nuclear ribonucleoprotein D0 (hnRNP D0)</t>
  </si>
  <si>
    <t>AU-rich element RNA-binding protein 1</t>
  </si>
  <si>
    <t>HNRPD_MOUSE</t>
  </si>
  <si>
    <t>Q60668</t>
  </si>
  <si>
    <t>Q60667; Q80ZJ0; Q91X94</t>
  </si>
  <si>
    <t>Auf1; Hnrpd</t>
  </si>
  <si>
    <t>MGI:101947</t>
  </si>
  <si>
    <t>Acetylation; Alternative splicing; Biological rhythms; Cytoplasm; DNA-binding; Isopeptide bond; Methylation; Nucleus; Phosphoprotein; Repeat; Ribonucleoprotein; RNA-binding; Transcription; Transcription regulation; Ubl conjugation</t>
  </si>
  <si>
    <t>Biological rhythms; Transcription; Transcription regulation</t>
  </si>
  <si>
    <t>DNA-binding; RNA-binding; Ribonucleoprotein</t>
  </si>
  <si>
    <t>3'-UTR-mediated mRNA destabilization {GO:0061158}; cellular response to amino acid stimulus {GO:0071230}; cellular response to estradiol stimulus {GO:0071392}; cellular response to nitric oxide {GO:0071732}; cellular response to putrescine {GO:1904586}; cerebellum development {GO:0021549}; circadian regulation of translation {GO:0097167}; CRD-mediated mRNA stabilization {GO:0070934}; hepatocyte dedifferentiation {GO:1990828}; liver development {GO:0001889}; mRNA stabilization {GO:0048255}; mRNA transcription by RNA polymerase II {GO:0042789}; negative regulation of gene expression {GO:0010629}; negative regulation of nuclear-transcribed mRNA catabolic process, deadenylation-dependent decay {GO:1900152}; positive regulation of cytoplasmic translation {GO:2000767}; positive regulation of gene expression {GO:0010628}; positive regulation of telomerase RNA reverse transcriptase activity {GO:1905663}; positive regulation of telomere capping {GO:1904355}; positive regulation of transcription by RNA polymerase II {GO:0045944}; positive regulation of translation {GO:0045727}; regulation of circadian rhythm {GO:0042752}; regulation of gene expression {GO:0010468}; regulation of mRNA stability {GO:0043488}; regulation of telomere maintenance {GO:0032204}; response to calcium ion {GO:0051592}; response to electrical stimulus {GO:0051602}; response to rapamycin {GO:1901355}; response to sodium phosphate {GO:1904383}</t>
  </si>
  <si>
    <t>cytosol {GO:0005829}; mCRD-mediated mRNA stability complex {GO:0106002}; nucleoplasm {GO:0005654}; nucleus {GO:0005634}; ribonucleoprotein complex {GO:1990904}; synapse {GO:0045202}</t>
  </si>
  <si>
    <t>chromatin binding {GO:0003682}; histone deacetylase binding {GO:0042826}; minor groove of adenine-thymine-rich DNA binding {GO:0003680}; mRNA 3'-UTR AU-rich region binding {GO:0035925}; mRNA binding {GO:0003729}; RNA binding {GO:0003723}; telomeric DNA binding {GO:0042162}</t>
  </si>
  <si>
    <t>AUF1 (hnRNP D0) binds and destabilizes mRNA {R-MMU-450408}; mRNA Splicing - Major Pathway {R-MMU-72163}</t>
  </si>
  <si>
    <t>sp|Q9CZX8|RS19_MOUSE</t>
  </si>
  <si>
    <t>40S ribosomal protein S19</t>
  </si>
  <si>
    <t>RS19_MOUSE</t>
  </si>
  <si>
    <t>Q9CZX8</t>
  </si>
  <si>
    <t>Q5M9J4</t>
  </si>
  <si>
    <t>MGI:1333780</t>
  </si>
  <si>
    <t>3D-structure; Acetylation; Methylation; Ribonucleoprotein; Ribosomal protein</t>
  </si>
  <si>
    <t>antimicrobial humoral immune response mediated by antimicrobial peptide {GO:0061844}; cytoplasmic translation {GO:0002181}; defense response to Gram-negative bacterium {GO:0050829}; erythrocyte differentiation {GO:0030218}; killing of cells of another organism {GO:0031640}; maturation of SSU-rRNA {GO:0030490}; maturation of SSU-rRNA from tricistronic rRNA transcript (SSU-rRNA, 5.8S rRNA, LSU-rRNA) {GO:0000462}; monocyte chemotaxis {GO:0002548}; negative regulation of respiratory burst involved in inflammatory response {GO:0060266}; Notch signaling pathway {GO:0007219}; nucleolus organization {GO:0007000}; positive regulation of respiratory burst involved in inflammatory response {GO:0060265}; ribosomal small subunit assembly {GO:0000028}; ribosomal small subunit biogenesis {GO:0042274}; rRNA processing {GO:0006364}</t>
  </si>
  <si>
    <t>cytoplasm {GO:0005737}; cytosol {GO:0005829}; cytosolic ribosome {GO:0022626}; cytosolic small ribosomal subunit {GO:0022627}; nucleolus {GO:0005730}; nucleoplasm {GO:0005654}; postsynaptic density {GO:0014069}; ribosome {GO:0005840}; small ribosomal subunit {GO:0015935}; synapse {GO:0045202}</t>
  </si>
  <si>
    <t>fibroblast growth factor binding {GO:0017134}; identical protein binding {GO:0042802}; protein kinase binding {GO:0019901}; RNA binding {GO:0003723}; structural constituent of ribosome {GO:0003735}; translation initiation factor binding {GO:0031369}</t>
  </si>
  <si>
    <t>sp|P47963|RL13_MOUSE</t>
  </si>
  <si>
    <t>60S ribosomal protein L13</t>
  </si>
  <si>
    <t>A52</t>
  </si>
  <si>
    <t>RL13_MOUSE</t>
  </si>
  <si>
    <t>P47963</t>
  </si>
  <si>
    <t>Q9CRZ9; Q9DCH1</t>
  </si>
  <si>
    <t>MGI:105922</t>
  </si>
  <si>
    <t>3D-structure; Acetylation; Isopeptide bond; Phosphoprotein; Ribonucleoprotein; Ribosomal protein; Ubl conjugation</t>
  </si>
  <si>
    <t>blastocyst development {GO:0001824}; bone development {GO:0060348}; cytoplasmic translation {GO:0002181}</t>
  </si>
  <si>
    <t>cytoplasm {GO:0005737}; cytosol {GO:0005829}; cytosolic large ribosomal subunit {GO:0022625}; cytosolic ribosome {GO:0022626}; endoplasmic reticulum {GO:0005783}; nucleolus {GO:0005730}</t>
  </si>
  <si>
    <t>sp|O08553|DPYL2_MOUSE</t>
  </si>
  <si>
    <t>Dihydropyrimidinase-related protein 2 (DRP-2)</t>
  </si>
  <si>
    <t>Unc-33-like phosphoprotein 2 (ULIP-2)</t>
  </si>
  <si>
    <t>DPYL2_MOUSE</t>
  </si>
  <si>
    <t>O08553</t>
  </si>
  <si>
    <t>Q6P5D0</t>
  </si>
  <si>
    <t>Crmp2; Ulip2</t>
  </si>
  <si>
    <t>MGI:1349763</t>
  </si>
  <si>
    <t>3D-structure; Cytoplasm; Cytoskeleton; Developmental protein; Differentiation; Membrane; Methylation; Neurogenesis; Phosphoprotein; S-nitrosylation</t>
  </si>
  <si>
    <t>Differentiation; Neurogenesis</t>
  </si>
  <si>
    <t>Cytoplasm; Cytoskeleton; Membrane</t>
  </si>
  <si>
    <t>Developmental protein</t>
  </si>
  <si>
    <t>Methylation; Phosphoprotein; S-nitrosylation</t>
  </si>
  <si>
    <t>axon guidance {GO:0007411}; brain development {GO:0007420}; cytoskeleton organization {GO:0007010}; endocytosis {GO:0006897}; positive regulation of glutamate secretion {GO:0014049}; regulation of axon extension {GO:0030516}; regulation of neuron differentiation {GO:0045664}; regulation of neuron projection development {GO:0010975}; synaptic vesicle transport {GO:0048489}</t>
  </si>
  <si>
    <t>axon {GO:0030424}; cytosol {GO:0005829}; dendrite {GO:0030425}; growth cone {GO:0030426}; membrane {GO:0016020}; microtubule {GO:0005874}; mitochondrion {GO:0005739}; myelin sheath {GO:0043209}; neuron projection {GO:0043005}; neuronal cell body {GO:0043025}; plasma membrane {GO:0005886}; presynapse {GO:0098793}; protein-containing complex {GO:0032991}; terminal bouton {GO:0043195}</t>
  </si>
  <si>
    <t>hydrolase activity, acting on carbon-nitrogen (but not peptide) bonds {GO:0016810}; identical protein binding {GO:0042802}; microtubule binding {GO:0008017}; protein kinase binding {GO:0019901}</t>
  </si>
  <si>
    <t>CRMPs in Sema3A signaling {R-MMU-399956}; Recycling pathway of L1 {R-MMU-437239}</t>
  </si>
  <si>
    <t>sp|Q61753|SERA_MOUSE</t>
  </si>
  <si>
    <t>D-3-phosphoglycerate dehydrogenase (3-PGDH)</t>
  </si>
  <si>
    <t>A10</t>
  </si>
  <si>
    <t>SERA_MOUSE</t>
  </si>
  <si>
    <t>Q61753</t>
  </si>
  <si>
    <t>Q3TEE5; Q75SV9; Q8C603</t>
  </si>
  <si>
    <t>MGI:1355330</t>
  </si>
  <si>
    <t>Acetylation; Amino-acid biosynthesis; Isopeptide bond; NAD; Oxidoreductase; Phosphoprotein; Serine biosynthesis; Ubl conjugation</t>
  </si>
  <si>
    <t>Amino-acid biosynthesis; Serine biosynthesis</t>
  </si>
  <si>
    <t>G1 to G0 transition {GO:0070314}; gamma-aminobutyric acid metabolic process {GO:0009448}; glial cell development {GO:0021782}; glutamine metabolic process {GO:0006541}; glycine metabolic process {GO:0006544}; L-serine biosynthetic process {GO:0006564}; L-serine metabolic process {GO:0006563}; neural tube development {GO:0021915}; neurogenesis {GO:0022008}; neuron projection development {GO:0031175}; regulation of gene expression {GO:0010468}; spinal cord development {GO:0021510}; taurine metabolic process {GO:0019530}; threonine metabolic process {GO:0006566}</t>
  </si>
  <si>
    <t>myelin sheath {GO:0043209}</t>
  </si>
  <si>
    <t>NAD binding {GO:0051287}; phosphoglycerate dehydrogenase activity {GO:0004617}</t>
  </si>
  <si>
    <t>Amino-acid biosynthesis; L-serine biosynthesis; L-serine from 3-phospho-D-glycerate: step 1/3.</t>
  </si>
  <si>
    <t>Serine biosynthesis {R-MMU-977347}</t>
  </si>
  <si>
    <t>sp|P19324|SERPH_MOUSE</t>
  </si>
  <si>
    <t>Serpin H1</t>
  </si>
  <si>
    <t>47 kDa heat shock protein; Collagen-binding protein (Colligin); Serine protease inhibitor J6</t>
  </si>
  <si>
    <t>SERPH_MOUSE</t>
  </si>
  <si>
    <t>P19324</t>
  </si>
  <si>
    <t>Q5U4D0</t>
  </si>
  <si>
    <t>Cbp1; Hsp47</t>
  </si>
  <si>
    <t>MGI:88283</t>
  </si>
  <si>
    <t>Acetylation; Chaperone; Endoplasmic reticulum; Glycoprotein; Phosphoprotein; Signal; Stress response</t>
  </si>
  <si>
    <t>chondrocyte development involved in endochondral bone morphogenesis {GO:0003433}; collagen biosynthetic process {GO:0032964}; collagen fibril organization {GO:0030199}; negative regulation of endopeptidase activity {GO:0010951}; protein maturation {GO:0051604}</t>
  </si>
  <si>
    <t>collagen-containing extracellular matrix {GO:0062023}; cytoplasm {GO:0005737}; endoplasmic reticulum {GO:0005783}; endoplasmic reticulum lumen {GO:0005788}; endoplasmic reticulum-Golgi intermediate compartment {GO:0005793}; extracellular space {GO:0005615}; membrane raft {GO:0045121}</t>
  </si>
  <si>
    <t>collagen binding {GO:0005518}; serine-type endopeptidase inhibitor activity {GO:0004867}; unfolded protein binding {GO:0051082}</t>
  </si>
  <si>
    <t>Collagen biosynthesis and modifying enzymes {R-MMU-1650814}</t>
  </si>
  <si>
    <t>sp|Q9CPR4|RL17_MOUSE</t>
  </si>
  <si>
    <t>60S ribosomal protein L17</t>
  </si>
  <si>
    <t>RL17_MOUSE</t>
  </si>
  <si>
    <t>Q9CPR4</t>
  </si>
  <si>
    <t>MGI:2448270</t>
  </si>
  <si>
    <t>3D-structure; Cytoplasm; Ribonucleoprotein; Ribosomal protein</t>
  </si>
  <si>
    <t>cytoplasmic translation {GO:0002181}; positive regulation of G1/S transition of mitotic cell cycle {GO:1900087}</t>
  </si>
  <si>
    <t>A band {GO:0031672}; cytoplasm {GO:0005737}; cytosol {GO:0005829}; cytosolic large ribosomal subunit {GO:0022625}; cytosolic ribosome {GO:0022626}; nucleus {GO:0005634}; polysome {GO:0005844}; synapse {GO:0045202}</t>
  </si>
  <si>
    <t>large ribosomal subunit rRNA binding {GO:0070180}; structural constituent of ribosome {GO:0003735}</t>
  </si>
  <si>
    <t>sp|Q922R8|PDIA6_MOUSE</t>
  </si>
  <si>
    <t>Protein disulfide-isomerase A6</t>
  </si>
  <si>
    <t>Thioredoxin domain-containing protein 7</t>
  </si>
  <si>
    <t>PDIA6_MOUSE</t>
  </si>
  <si>
    <t>Q922R8</t>
  </si>
  <si>
    <t>Q8BK54</t>
  </si>
  <si>
    <t>Txndc7</t>
  </si>
  <si>
    <t>MGI:1919103</t>
  </si>
  <si>
    <t>3D-structure; Cell membrane; Chaperone; Disulfide bond; Endoplasmic reticulum; Isomerase; Membrane; Phosphoprotein; Redox-active center; Repeat; Signal</t>
  </si>
  <si>
    <t>Disulfide bond; Phosphoprotein</t>
  </si>
  <si>
    <t>platelet activation {GO:0030168}; platelet aggregation {GO:0070527}; response to endoplasmic reticulum stress {GO:0034976}</t>
  </si>
  <si>
    <t>cytosol {GO:0005829}; endoplasmic reticulum {GO:0005783}; endoplasmic reticulum chaperone complex {GO:0034663}; endoplasmic reticulum lumen {GO:0005788}; endoplasmic reticulum-Golgi intermediate compartment {GO:0005793}; extracellular space {GO:0005615}; melanosome {GO:0042470}; plasma membrane {GO:0005886}; smooth endoplasmic reticulum {GO:0005790}</t>
  </si>
  <si>
    <t>sp|P70168|IMB1_MOUSE</t>
  </si>
  <si>
    <t>Importin subunit beta-1</t>
  </si>
  <si>
    <t>Karyopherin subunit beta-1; Nuclear factor p97; Pore targeting complex 97 kDa subunit (PTAC97); SCG</t>
  </si>
  <si>
    <t>IMB1_MOUSE</t>
  </si>
  <si>
    <t>P70168</t>
  </si>
  <si>
    <t>Q62117; Q6GTI5</t>
  </si>
  <si>
    <t>Impnb</t>
  </si>
  <si>
    <t>MGI:107532</t>
  </si>
  <si>
    <t>3D-structure; Acetylation; ADP-ribosylation; Cytoplasm; Nucleus; Phosphoprotein; Protein transport; Repeat; Transport</t>
  </si>
  <si>
    <t>ADP-ribosylation; Acetylation; Phosphoprotein</t>
  </si>
  <si>
    <t>astral microtubule organization {GO:0030953}; establishment of mitotic spindle localization {GO:0040001}; establishment of protein localization {GO:0045184}; mitotic chromosome movement towards spindle pole {GO:0007079}; mitotic metaphase plate congression {GO:0007080}; mitotic spindle assembly {GO:0090307}; protein import into nucleus {GO:0006606}; Ran protein signal transduction {GO:0031291}; ribosomal protein import into nucleus {GO:0006610}; RNA import into nucleus {GO:0006404}</t>
  </si>
  <si>
    <t>cytoplasmic stress granule {GO:0010494}; cytosol {GO:0005829}; endoplasmic reticulum tubular network {GO:0071782}; NLS-dependent protein nuclear import complex {GO:0042564}; nuclear envelope {GO:0005635}; nuclear membrane {GO:0031965}; nuclear pore {GO:0005643}; nucleoplasm {GO:0005654}; nucleus {GO:0005634}; protein-containing complex {GO:0032991}</t>
  </si>
  <si>
    <t>enzyme binding {GO:0019899}; Hsp90 protein binding {GO:0051879}; importin-alpha family protein binding {GO:0061676}; kinesin binding {GO:0019894}; nuclear import signal receptor activity {GO:0061608}; nuclear localization sequence binding {GO:0008139}; protein domain specific binding {GO:0019904}; protein-containing complex binding {GO:0044877}; small GTPase binding {GO:0031267}</t>
  </si>
  <si>
    <t>Apoptosis induced DNA fragmentation {R-MMU-140342}; Regulation of cholesterol biosynthesis by SREBP (SREBF) {R-MMU-1655829}; Initiation of Nuclear Envelope (NE) Reformation {R-MMU-2995383}; Neutrophil degranulation {R-MMU-6798695}; Assembly of the ORC complex at the origin of replication {R-MMU-68616}; Interferon alpha/beta signaling {R-MMU-909733}</t>
  </si>
  <si>
    <t>sp|O70318|E41L2_MOUSE</t>
  </si>
  <si>
    <t>Band 4.1-like protein 2</t>
  </si>
  <si>
    <t>Erythrocyte membrane protein band 4.1-like 2; Generally expressed protein 4.1 (4.1G)</t>
  </si>
  <si>
    <t>E41L2_MOUSE</t>
  </si>
  <si>
    <t>O70318</t>
  </si>
  <si>
    <t>G3X9B8</t>
  </si>
  <si>
    <t>MGI:103009</t>
  </si>
  <si>
    <t>Acetylation; Actin-binding; Cell cycle; Cell division; Cell membrane; Cytoplasm; Cytoskeleton; Membrane; Mitosis; Phosphoprotein; Transport</t>
  </si>
  <si>
    <t>actin cytoskeleton organization {GO:0030036}; actomyosin structure organization {GO:0031032}; cell cycle {GO:0007049}; cell division {GO:0051301}; cortical actin cytoskeleton organization {GO:0030866}; positive regulation of protein localization to cell cortex {GO:1904778}; regulation of cell shape {GO:0008360}</t>
  </si>
  <si>
    <t>actin cytoskeleton {GO:0015629}; cell cortex {GO:0005938}; cell junction {GO:0030054}; COP9 signalosome {GO:0008180}; cytoskeleton {GO:0005856}; nucleoplasm {GO:0005654}; plasma membrane {GO:0005886}</t>
  </si>
  <si>
    <t>actin binding {GO:0003779}; PH domain binding {GO:0042731}; spectrin binding {GO:0030507}; structural molecule activity {GO:0005198}</t>
  </si>
  <si>
    <t>Neurexins and neuroligins {R-MMU-6794361}</t>
  </si>
  <si>
    <t>sp|Q9R0P5|DEST_MOUSE</t>
  </si>
  <si>
    <t>Destrin</t>
  </si>
  <si>
    <t>Actin-depolymerizing factor (ADF); Sid 23</t>
  </si>
  <si>
    <t>DEST_MOUSE</t>
  </si>
  <si>
    <t>Q9R0P5</t>
  </si>
  <si>
    <t>Dsn; Sid23</t>
  </si>
  <si>
    <t>MGI:1929270</t>
  </si>
  <si>
    <t>Acetylation; Actin-binding; Phosphoprotein; Ubl conjugation</t>
  </si>
  <si>
    <t>actin filament depolymerization {GO:0030042}; actin filament fragmentation {GO:0030043}; actin filament severing {GO:0051014}; positive regulation of actin filament depolymerization {GO:0030836}</t>
  </si>
  <si>
    <t>actin cytoskeleton {GO:0015629}; cortical actin cytoskeleton {GO:0030864}; cytoplasm {GO:0005737}</t>
  </si>
  <si>
    <t>actin filament binding {GO:0051015}</t>
  </si>
  <si>
    <t>sp|Q64433|CH10_MOUSE</t>
  </si>
  <si>
    <t>10 kDa heat shock protein, mitochondrial (Hsp10)</t>
  </si>
  <si>
    <t>10 kDa chaperonin; Chaperonin 10 (CPN10)</t>
  </si>
  <si>
    <t>CH10_MOUSE</t>
  </si>
  <si>
    <t>Q64433</t>
  </si>
  <si>
    <t>MGI:104680</t>
  </si>
  <si>
    <t>Acetylation; Chaperone; Mitochondrion; Phosphoprotein; Stress response</t>
  </si>
  <si>
    <t>chaperone cofactor-dependent protein refolding {GO:0051085}</t>
  </si>
  <si>
    <t>mitochondrial matrix {GO:0005759}; mitochondrion {GO:0005739}</t>
  </si>
  <si>
    <t>ATP binding {GO:0005524}; ATP-dependent protein folding chaperone {GO:0140662}; chaperone binding {GO:0051087}; metal ion binding {GO:0046872}; unfolded protein binding {GO:0051082}</t>
  </si>
  <si>
    <t>RHOG GTPase cycle {R-MMU-9013408}</t>
  </si>
  <si>
    <t>sp|Q9D0E1|HNRPM_MOUSE</t>
  </si>
  <si>
    <t>Heterogeneous nuclear ribonucleoprotein M (hnRNP M)</t>
  </si>
  <si>
    <t>HNRPM_MOUSE</t>
  </si>
  <si>
    <t>Q9D0E1</t>
  </si>
  <si>
    <t>Q6P1B2; Q99JQ0</t>
  </si>
  <si>
    <t>Hnrpm</t>
  </si>
  <si>
    <t>MGI:1926465</t>
  </si>
  <si>
    <t>Acetylation; Alternative splicing; Isopeptide bond; Methylation; mRNA processing; mRNA splicing; Nucleus; Phosphoprotein; Repeat; Ribonucleoprotein; RNA-binding; Spliceosome; Ubl conjugation</t>
  </si>
  <si>
    <t>mRNA processing; mRNA splicing</t>
  </si>
  <si>
    <t>Nucleus; Spliceosome</t>
  </si>
  <si>
    <t>alternative mRNA splicing, via spliceosome {GO:0000380}; positive regulation of protein import {GO:1904591}; positive regulation of protein localization to nucleus {GO:1900182}; regulation of mRNA stability involved in response to oxidative stress {GO:2000815}</t>
  </si>
  <si>
    <t>catalytic step 2 spliceosome {GO:0071013}; cell surface {GO:0009986}; collagen-containing extracellular matrix {GO:0062023}; cytoplasm {GO:0005737}; nuclear matrix {GO:0016363}; nucleoplasm {GO:0005654}; nucleus {GO:0005634}; paraspeckles {GO:0042382}; post-mRNA release spliceosomal complex {GO:0071014}; ribonucleoprotein complex {GO:1990904}; spliceosomal complex {GO:0005681}</t>
  </si>
  <si>
    <t>calcium-dependent protein binding {GO:0048306}; mRNA binding {GO:0003729}; protein antigen binding {GO:1990405}; protein domain specific binding {GO:0019904}</t>
  </si>
  <si>
    <t>sp|P62830|RL23_MOUSE</t>
  </si>
  <si>
    <t>60S ribosomal protein L23</t>
  </si>
  <si>
    <t>RL23_MOUSE</t>
  </si>
  <si>
    <t>P62830</t>
  </si>
  <si>
    <t>P23131; P24048; Q29246; Q3THU4; Q9CZE6; Q9DCQ4</t>
  </si>
  <si>
    <t>MGI:1929455</t>
  </si>
  <si>
    <t>3D-structure; Cytoplasm; Phosphoprotein; Ribonucleoprotein; Ribosomal protein</t>
  </si>
  <si>
    <t>cellular response to actinomycin D {GO:0072717}; cytoplasmic translation {GO:0002181}; G1 to G0 transition {GO:0070314}; negative regulation of transcription by RNA polymerase II {GO:0000122}; negative regulation of ubiquitin protein ligase activity {GO:1904667}; negative regulation of ubiquitin-dependent protein catabolic process {GO:2000059}; positive regulation of cell population proliferation {GO:0008284}; positive regulation of gene expression {GO:0010628}; positive regulation of signal transduction by p53 class mediator {GO:1901798}; protein stabilization {GO:0050821}; protein-DNA complex disassembly {GO:0032986}; regulation of G1 to G0 transition {GO:1903450}; translation {GO:0006412}</t>
  </si>
  <si>
    <t>cytoplasm {GO:0005737}; cytosol {GO:0005829}; cytosolic large ribosomal subunit {GO:0022625}; cytosolic ribosome {GO:0022626}; nucleolus {GO:0005730}; nucleoplasm {GO:0005654}; postsynaptic density {GO:0014069}; protein-containing complex {GO:0032991}; ribosome {GO:0005840}</t>
  </si>
  <si>
    <t>large ribosomal subunit rRNA binding {GO:0070180}; structural constituent of ribosome {GO:0003735}; transcription coactivator binding {GO:0001223}; ubiquitin ligase inhibitor activity {GO:1990948}; ubiquitin protein ligase binding {GO:0031625}</t>
  </si>
  <si>
    <t>sp|P62751|RL23A_MOUSE</t>
  </si>
  <si>
    <t>60S ribosomal protein L23a</t>
  </si>
  <si>
    <t>RL23A_MOUSE</t>
  </si>
  <si>
    <t>P62751</t>
  </si>
  <si>
    <t>P29316; P39024; Q92774</t>
  </si>
  <si>
    <t>MGI:3040672</t>
  </si>
  <si>
    <t>3D-structure; Acetylation; Citrullination; Cytoplasm; Isopeptide bond; Methylation; Nucleus; Phosphoprotein; Ribonucleoprotein; Ribosomal protein; RNA-binding; rRNA-binding; Ubl conjugation</t>
  </si>
  <si>
    <t>cytoplasm {GO:0005737}; cytosol {GO:0005829}; cytosolic large ribosomal subunit {GO:0022625}; cytosolic ribosome {GO:0022626}; nucleus {GO:0005634}</t>
  </si>
  <si>
    <t>large ribosomal subunit rRNA binding {GO:0070180}; structural constituent of ribosome {GO:0003735}; TORC2 complex binding {GO:1904841}</t>
  </si>
  <si>
    <t>sp|Q9DCJ9|NPL_MOUSE</t>
  </si>
  <si>
    <t>N-acetylneuraminate lyase (NALase)</t>
  </si>
  <si>
    <t>N-acetylneuraminate pyruvate-lyase; N-acetylneuraminic acid aldolase; Sialate lyase; Sialate-pyruvate lyase; Sialic acid aldolase; Sialic acid lyase</t>
  </si>
  <si>
    <t>NPL_MOUSE</t>
  </si>
  <si>
    <t>Q9DCJ9</t>
  </si>
  <si>
    <t>MGI:1921341</t>
  </si>
  <si>
    <t>Carbohydrate metabolism; Cytoplasm; Lyase; Phosphoprotein; Schiff base</t>
  </si>
  <si>
    <t>Carbohydrate metabolism</t>
  </si>
  <si>
    <t>carbohydrate metabolic process {GO:0005975}; N-acetylneuraminate catabolic process {GO:0019262}</t>
  </si>
  <si>
    <t>cytoplasm {GO:0005737}</t>
  </si>
  <si>
    <t>identical protein binding {GO:0042802}; N-acetylneuraminate lyase activity {GO:0008747}</t>
  </si>
  <si>
    <t>Amino-sugar metabolism; N-acetylneuraminate degradation.</t>
  </si>
  <si>
    <t>Sialic acid metabolism {R-MMU-4085001}</t>
  </si>
  <si>
    <t>tr|Q68FG2|Q68FG2_MOUSE</t>
  </si>
  <si>
    <t>sp|P61358|RL27_MOUSE</t>
  </si>
  <si>
    <t>60S ribosomal protein L27</t>
  </si>
  <si>
    <t>RL27_MOUSE</t>
  </si>
  <si>
    <t>P61358</t>
  </si>
  <si>
    <t>MGI:98036</t>
  </si>
  <si>
    <t>3D-structure; Acetylation; Cytoplasm; Endoplasmic reticulum; Ribonucleoprotein; Ribosomal protein</t>
  </si>
  <si>
    <t>cytoplasmic translation {GO:0002181}; response to aldosterone {GO:1904044}; rRNA processing {GO:0006364}</t>
  </si>
  <si>
    <t>cytoplasm {GO:0005737}; cytoplasmic side of rough endoplasmic reticulum membrane {GO:0098556}; cytosol {GO:0005829}; cytosolic large ribosomal subunit {GO:0022625}; cytosolic ribosome {GO:0022626}; large ribosomal subunit {GO:0015934}; nucleolus {GO:0005730}; nucleoplasm {GO:0005654}; ribonucleoprotein complex {GO:1990904}; ribosome {GO:0005840}</t>
  </si>
  <si>
    <t>sp|P63325|RS10_MOUSE</t>
  </si>
  <si>
    <t>40S ribosomal protein S10</t>
  </si>
  <si>
    <t>RS10_MOUSE</t>
  </si>
  <si>
    <t>P63325</t>
  </si>
  <si>
    <t>P09900; Q9DCR5</t>
  </si>
  <si>
    <t>MGI:1914347</t>
  </si>
  <si>
    <t>3D-structure; Cytoplasm; Isopeptide bond; Methylation; Nucleus; Phosphoprotein; Ribonucleoprotein; Ribosomal protein; Ubl conjugation</t>
  </si>
  <si>
    <t>Isopeptide bond; Methylation; Phosphoprotein; Ubl conjugation</t>
  </si>
  <si>
    <t>cytoplasm {GO:0005737}; cytosol {GO:0005829}; cytosolic ribosome {GO:0022626}; cytosolic small ribosomal subunit {GO:0022627}; nucleolus {GO:0005730}</t>
  </si>
  <si>
    <t>RNA binding {GO:0003723}; structural constituent of ribosome {GO:0003735}; tRNA binding {GO:0000049}</t>
  </si>
  <si>
    <t>sp|Q9DCL9|PUR6_MOUSE</t>
  </si>
  <si>
    <t>Phosphoribosylaminoimidazole succinocarboxamide synthetase</t>
  </si>
  <si>
    <t>AIR carboxylase (AIRC); SAICAR synthetase</t>
  </si>
  <si>
    <t>PUR6_MOUSE</t>
  </si>
  <si>
    <t>Q9DCL9</t>
  </si>
  <si>
    <t>Q9CQ38</t>
  </si>
  <si>
    <t>MGI:1914304</t>
  </si>
  <si>
    <t>Acetylation; ATP-binding; Decarboxylase; Ligase; Lyase; Multifunctional enzyme; Nucleotide-binding; Phosphoprotein; Purine biosynthesis</t>
  </si>
  <si>
    <t>Purine biosynthesis</t>
  </si>
  <si>
    <t>Decarboxylase; Ligase; Lyase; Multifunctional enzyme</t>
  </si>
  <si>
    <t>'de novo' AMP biosynthetic process {GO:0044208}; 'de novo' IMP biosynthetic process {GO:0006189}; 'de novo' XMP biosynthetic process {GO:0097294}; GMP biosynthetic process {GO:0006177}; purine nucleobase biosynthetic process {GO:0009113}</t>
  </si>
  <si>
    <t>cytoplasm {GO:0005737}; cytosol {GO:0005829}</t>
  </si>
  <si>
    <t>5-amino-4-imidazole carboxylate lyase activity {GO:0043727}; ATP binding {GO:0005524}; identical protein binding {GO:0042802}; phosphoribosylaminoimidazole carboxylase activity {GO:0004638}; phosphoribosylaminoimidazolesuccinocarboxamide synthase activity {GO:0004639}</t>
  </si>
  <si>
    <t>Purine metabolism; IMP biosynthesis via de novo pathway; 5- amino-1-(5-phospho-D-ribosyl)imidazole-4-carboxylate from 5-amino-1-(5- phospho-D-ribosyl)imidazole (carboxylase route): step 1/1.</t>
  </si>
  <si>
    <t>Purine ribonucleoside monophosphate biosynthesis {R-MMU-73817}</t>
  </si>
  <si>
    <t>sp|P49312|ROA1_MOUSE</t>
  </si>
  <si>
    <t>Heterogeneous nuclear ribonucleoprotein A1, N-terminally processed</t>
  </si>
  <si>
    <t>HDP-1; Helix-destabilizing protein; Single-strand-binding protein; Topoisomerase-inhibitor suppressed; hnRNP core protein A1</t>
  </si>
  <si>
    <t>ROA1_MOUSE</t>
  </si>
  <si>
    <t>P49312</t>
  </si>
  <si>
    <t>P97312; Q3V269</t>
  </si>
  <si>
    <t>Fli-2; Hnrpa1; Tis</t>
  </si>
  <si>
    <t>MGI:104820</t>
  </si>
  <si>
    <t>Acetylation; Alternative splicing; Cytoplasm; Isopeptide bond; Methylation; mRNA processing; mRNA splicing; mRNA transport; Nucleus; Phosphoprotein; Repeat; Ribonucleoprotein; RNA-binding; Spliceosome; Transport; Ubl conjugation</t>
  </si>
  <si>
    <t>Cytoplasm; Nucleus; Spliceosome</t>
  </si>
  <si>
    <t>alternative mRNA splicing, via spliceosome {GO:0000380}; cellular response to potassium ion {GO:0035865}; cellular response to sodium arsenite {GO:1903936}; cellular response to tunicamycin {GO:1904577}; import into nucleus {GO:0051170}; mRNA splicing, via spliceosome {GO:0000398}; mRNA transport {GO:0051028}; nuclear export {GO:0051168}; positive regulation of action potential {GO:0045760}; positive regulation of gene expression {GO:0010628}; RNA splicing {GO:0008380}</t>
  </si>
  <si>
    <t>catalytic step 2 spliceosome {GO:0071013}; cytoplasm {GO:0005737}; cytosol {GO:0005829}; nucleoplasm {GO:0005654}; nucleoplasmic periphery of the nuclear pore complex {GO:1990826}; nucleus {GO:0005634}; ribonucleoprotein complex {GO:1990904}; spliceosomal complex {GO:0005681}</t>
  </si>
  <si>
    <t>DNA/DNA annealing activity {GO:1990814}; G-rich strand telomeric DNA binding {GO:0098505}; identical protein binding {GO:0042802}; miRNA binding {GO:0035198}; mRNA 3'-UTR binding {GO:0003730}; mRNA binding {GO:0003729}; pre-mRNA binding {GO:0036002}; protein domain specific binding {GO:0019904}; RNA binding {GO:0003723}; RNA strand annealing activity {GO:0033592}; sequence-specific mRNA binding {GO:1990825}; single-stranded DNA binding {GO:0003697}; single-stranded RNA binding {GO:0003727}; telomeric repeat-containing RNA binding {GO:0061752}</t>
  </si>
  <si>
    <t>FGFR2 alternative splicing {R-MMU-6803529}; mRNA Splicing - Major Pathway {R-MMU-72163}</t>
  </si>
  <si>
    <t>sp|O88342|WDR1_MOUSE</t>
  </si>
  <si>
    <t>WD repeat-containing protein 1</t>
  </si>
  <si>
    <t>Actin-interacting protein 1 (AIP1)</t>
  </si>
  <si>
    <t>WDR1_MOUSE</t>
  </si>
  <si>
    <t>O88342</t>
  </si>
  <si>
    <t>MGI:1337100</t>
  </si>
  <si>
    <t>Acetylation; Actin-binding; Cell junction; Cell projection; Cytoplasm; Cytoskeleton; Phosphoprotein; Repeat; WD repeat</t>
  </si>
  <si>
    <t>Cell junction; Cell projection; Cytoplasm; Cytoskeleton</t>
  </si>
  <si>
    <t>actin cytoskeleton organization {GO:0030036}; actin filament depolymerization {GO:0030042}; actin filament fragmentation {GO:0030043}; apical junction assembly {GO:0043297}; cortical cytoskeleton organization {GO:0030865}; establishment of planar polarity of follicular epithelium {GO:0042247}; locomotion {GO:0040011}; maintenance of epithelial cell apical/basal polarity {GO:0045199}; neutrophil mediated immunity {GO:0002446}; neutrophil migration {GO:1990266}; platelet formation {GO:0030220}; positive regulation of actin filament depolymerization {GO:0030836}; regulation of actin filament depolymerization {GO:0030834}; regulation of cell shape {GO:0008360}; regulation of oligodendrocyte differentiation {GO:0048713}; regulation of ventricular cardiac muscle cell membrane repolarization {GO:0060307}; sarcomere organization {GO:0045214}; sensory perception of sound {GO:0007605}</t>
  </si>
  <si>
    <t>actin cytoskeleton {GO:0015629}; cell junction {GO:0030054}; cell projection {GO:0042995}; cell-cell junction {GO:0005911}; cortical actin cytoskeleton {GO:0030864}; myelin sheath {GO:0043209}; plasma membrane {GO:0005886}; podosome {GO:0002102}</t>
  </si>
  <si>
    <t>actin binding {GO:0003779}; actin filament binding {GO:0051015}</t>
  </si>
  <si>
    <t>Platelet degranulation {R-MMU-114608}</t>
  </si>
  <si>
    <t>sp|Q61937|NPM_MOUSE</t>
  </si>
  <si>
    <t>Nucleophosmin (NPM)</t>
  </si>
  <si>
    <t>Nucleolar phosphoprotein B23; Nucleolar protein NO38; Numatrin</t>
  </si>
  <si>
    <t>NPM_MOUSE</t>
  </si>
  <si>
    <t>Q61937</t>
  </si>
  <si>
    <t>MGI:106184</t>
  </si>
  <si>
    <t>3D-structure; Acetylation; ADP-ribosylation; Chaperone; Cytoplasm; Cytoskeleton; Disulfide bond; DNA-binding; Isopeptide bond; Nucleus; Phosphoprotein; RNA-binding; Ubl conjugation</t>
  </si>
  <si>
    <t>Chaperone; DNA-binding; RNA-binding</t>
  </si>
  <si>
    <t>ADP-ribosylation; Acetylation; Disulfide bond; Isopeptide bond; Phosphoprotein; Ubl conjugation</t>
  </si>
  <si>
    <t>cell volume homeostasis {GO:0006884}; cellular response to UV {GO:0034644}; cellular senescence {GO:0090398}; centrosome cycle {GO:0007098}; chromatin remodeling {GO:0006338}; cleavage in ITS2 between 5.8S rRNA and LSU-rRNA of tricistronic rRNA transcript (SSU-rRNA, 5.8S rRNA, LSU-rRNA) {GO:0000448}; DNA repair {GO:0006281}; negative regulation of apoptotic process {GO:0043066}; negative regulation of cardiac muscle cell apoptotic process {GO:0010667}; negative regulation of cell population proliferation {GO:0008285}; negative regulation of centrosome duplication {GO:0010826}; negative regulation of epithelial cell proliferation {GO:0050680}; negative regulation of gene expression {GO:0010629}; negative regulation of mRNA splicing, via spliceosome {GO:0048025}; negative regulation of neuron apoptotic process {GO:0043524}; negative regulation of protein kinase activity by regulation of protein phosphorylation {GO:0044387}; nucleocytoplasmic transport {GO:0006913}; nucleosome assembly {GO:0006334}; positive regulation of catalytic activity {GO:0043085}; positive regulation of cell cycle G2/M phase transition {GO:1902751}; positive regulation of cell population proliferation {GO:0008284}; positive regulation of cellular biosynthetic process {GO:0031328}; positive regulation of centrosome duplication {GO:0010825}; positive regulation of DNA metabolic process {GO:0051054}; positive regulation of DNA replication {GO:0045740}; positive regulation of DNA-directed DNA polymerase activity {GO:1900264}; positive regulation of DNA-templated transcription {GO:0045893}; positive regulation of NF-kappaB transcription factor activity {GO:0051092}; positive regulation of protein kinase activity {GO:0045860}; positive regulation of protein localization to nucleolus {GO:1904751}; positive regulation of protein ubiquitination {GO:0031398}; positive regulation of transcription by RNA polymerase II {GO:0045944}; positive regulation of translation {GO:0045727}; post-transcriptional regulation of gene expression {GO:0010608}; protein localization {GO:0008104}; protein stabilization {GO:0050821}; regulation of cell cycle {GO:0051726}; regulation of cell growth {GO:0001558}; regulation of centriole replication {GO:0046599}; regulation of centrosome duplication {GO:0010824}; regulation of DNA damage response, signal transduction by p53 class mediator {GO:0043516}; regulation of eIF2 alpha phosphorylation by dsRNA {GO:0060735}; regulation of endodeoxyribonuclease activity {GO:0032071}; regulation of endoribonuclease activity {GO:0060699}; regulation of mRNA stability involved in cellular response to UV {GO:1902629}; regulation of neuron apoptotic process {GO:0043523}; regulation of protein stability {GO:0031647}; ribosomal large subunit biogenesis {GO:0042273}; ribosomal large subunit export from nucleus {GO:0000055}; ribosomal small subunit biogenesis {GO:0042274}; ribosomal small subunit export from nucleus {GO:0000056}; rRNA export from nucleus {GO:0006407}; rRNA transcription {GO:0009303}</t>
  </si>
  <si>
    <t>centrosome {GO:0005813}; cytoplasm {GO:0005737}; cytosol {GO:0005829}; granular component {GO:0001652}; large ribosomal subunit {GO:0015934}; nuclear matrix {GO:0016363}; nuclear speck {GO:0016607}; nucleolus {GO:0005730}; nucleoplasm {GO:0005654}; nucleus {GO:0005634}; protein-containing complex {GO:0032991}; protein-DNA complex {GO:0032993}; ribonucleoprotein complex {GO:1990904}; small ribosomal subunit {GO:0015935}; spindle pole centrosome {GO:0031616}</t>
  </si>
  <si>
    <t>ATP binding {GO:0005524}; chromatin binding {GO:0003682}; core promoter sequence-specific DNA binding {GO:0001046}; DNA binding {GO:0003677}; DNA-binding transcription factor binding {GO:0140297}; enzyme binding {GO:0019899}; histone binding {GO:0042393}; identical protein binding {GO:0042802}; molecular condensate scaffold activity {GO:0140693}; NF-kappaB binding {GO:0051059}; p53 binding {GO:0002039}; phosphatidylinositol-3,4,5-trisphosphate binding {GO:0005547}; protein homodimerization activity {GO:0042803}; protein kinase B binding {GO:0043422}; protein kinase binding {GO:0019901}; protein kinase inhibitor activity {GO:0004860}; protein N-terminus binding {GO:0047485}; ribosomal large subunit binding {GO:0043023}; ribosomal small subunit binding {GO:0043024}; RNA binding {GO:0003723}; rRNA binding {GO:0019843}; Tat protein binding {GO:0030957}; transcription coactivator activity {GO:0003713}; unfolded protein binding {GO:0051082}</t>
  </si>
  <si>
    <t>SUMOylation of transcription cofactors {R-MMU-3899300}; Deposition of new CENPA-containing nucleosomes at the centromere {R-MMU-606279}; TP53 regulates transcription of additional cell cycle genes whose exact role in the p53 pathway remain uncertain {R-MMU-6804115}; TFAP2A acts as a transcriptional repressor during retinoic acid induced cell differentiation {R-MMU-8869496}</t>
  </si>
  <si>
    <t>sp|Q9CR57|RL14_MOUSE</t>
  </si>
  <si>
    <t>60S ribosomal protein L14</t>
  </si>
  <si>
    <t>RL14_MOUSE</t>
  </si>
  <si>
    <t>Q9CR57</t>
  </si>
  <si>
    <t>Q9D8Q1</t>
  </si>
  <si>
    <t>MGI:1914365</t>
  </si>
  <si>
    <t>3D-structure; Acetylation; Cytoplasm; Isopeptide bond; Phosphoprotein; Repeat; Ribonucleoprotein; Ribosomal protein; Ubl conjugation</t>
  </si>
  <si>
    <t>cytoplasmic translation {GO:0002181}; ribosomal large subunit biogenesis {GO:0042273}; rRNA processing {GO:0006364}</t>
  </si>
  <si>
    <t>cytoplasm {GO:0005737}; cytosol {GO:0005829}; cytosolic large ribosomal subunit {GO:0022625}; cytosolic ribosome {GO:0022626}; postsynaptic density {GO:0014069}</t>
  </si>
  <si>
    <t>sp|P18760|COF1_MOUSE</t>
  </si>
  <si>
    <t>Cofilin-1</t>
  </si>
  <si>
    <t>Cofilin, non-muscle isoform</t>
  </si>
  <si>
    <t>COF1_MOUSE</t>
  </si>
  <si>
    <t>P18760</t>
  </si>
  <si>
    <t>MGI:101757</t>
  </si>
  <si>
    <t>Acetylation; Actin-binding; Cell membrane; Cell projection; Cytoplasm; Cytoskeleton; Isopeptide bond; Membrane; Nucleus; Phosphoprotein; Ubl conjugation</t>
  </si>
  <si>
    <t>Cell membrane; Cell projection; Cytoplasm; Cytoskeleton; Membrane; Nucleus</t>
  </si>
  <si>
    <t>actin filament depolymerization {GO:0030042}; actin filament fragmentation {GO:0030043}; actin filament organization {GO:0007015}; actin filament severing {GO:0051014}; cell projection organization {GO:0030030}; cellular response to epidermal growth factor stimulus {GO:0071364}; cellular response to hydrogen peroxide {GO:0070301}; cellular response to insulin-like growth factor stimulus {GO:1990314}; cellular response to interleukin-1 {GO:0071347}; cellular response to interleukin-6 {GO:0071354}; cellular response to tumor necrosis factor {GO:0071356}; cytoskeleton organization {GO:0007010}; establishment of cell polarity {GO:0030010}; establishment of spindle localization {GO:0051293}; mitotic cytokinesis {GO:0000281}; modification of postsynaptic actin cytoskeleton {GO:0098885}; negative regulation of actin filament bundle assembly {GO:0032232}; negative regulation of actin filament depolymerization {GO:0030835}; negative regulation of cell adhesion {GO:0007162}; negative regulation of cell motility {GO:2000146}; negative regulation of cell size {GO:0045792}; negative regulation of dendritic spine maintenance {GO:1902951}; negative regulation of lamellipodium assembly {GO:0010593}; negative regulation of postsynaptic density organization {GO:1905875}; negative regulation of unidimensional cell growth {GO:0051511}; neural crest cell migration {GO:0001755}; neural fold formation {GO:0001842}; positive regulation by host of viral process {GO:0044794}; positive regulation of actin filament depolymerization {GO:0030836}; positive regulation of barbed-end actin filament capping {GO:2000814}; positive regulation of cell growth {GO:0030307}; positive regulation of cell motility {GO:2000147}; positive regulation of dendritic spine development {GO:0060999}; positive regulation of embryonic development {GO:0040019}; positive regulation of establishment of cell polarity regulating cell shape {GO:2000784}; positive regulation of focal adhesion assembly {GO:0051894}; positive regulation of lamellipodium assembly {GO:0010592}; positive regulation of NMDA glutamate receptor activity {GO:1904783}; positive regulation of protein localization to cell leading edge {GO:1905873}; positive regulation of proteolysis {GO:0045862}; positive regulation of synaptic plasticity {GO:0031915}; protein import into nucleus {GO:0006606}; protein phosphorylation {GO:0006468}; regulation of cell morphogenesis {GO:0022604}; regulation of dendritic spine morphogenesis {GO:0061001}; response to amino acid {GO:0043200}</t>
  </si>
  <si>
    <t>actin cytoskeleton {GO:0015629}; cell leading edge {GO:0031252}; cell-cell junction {GO:0005911}; cofilin-actin rod {GO:0090732}; cortical actin cytoskeleton {GO:0030864}; cytoplasm {GO:0005737}; cytosol {GO:0005829}; dendritic spine {GO:0043197}; extracellular region {GO:0005576}; filopodium {GO:0030175}; focal adhesion {GO:0005925}; glutamatergic synapse {GO:0098978}; growth cone {GO:0030426}; lamellipodium {GO:0030027}; lamellipodium membrane {GO:0031258}; mitochondrial membrane {GO:0031966}; neuron projection {GO:0043005}; neuronal cell body {GO:0043025}; nuclear matrix {GO:0016363}; ruffle membrane {GO:0032587}; synaptic membrane {GO:0097060}</t>
  </si>
  <si>
    <t>actin binding {GO:0003779}; actin filament binding {GO:0051015}; phosphatidylinositol bisphosphate binding {GO:1902936}; protein phosphatase binding {GO:0019903}; signaling receptor binding {GO:0005102}</t>
  </si>
  <si>
    <t>sp|Q62318|TIF1B_MOUSE</t>
  </si>
  <si>
    <t>Transcription intermediary factor 1-beta (TIF1-beta)</t>
  </si>
  <si>
    <t>E3 SUMO-protein ligase TRIM28; KRAB-A-interacting protein; KRIP-1; RING-type E3 ubiquitin transferase TIF1-beta; Tripartite motif-containing protein 28</t>
  </si>
  <si>
    <t>TIF1B_MOUSE</t>
  </si>
  <si>
    <t>Q62318</t>
  </si>
  <si>
    <t>P70391; Q8C283; Q99PN4</t>
  </si>
  <si>
    <t>Kap1; Krip1; Tif1b</t>
  </si>
  <si>
    <t>MGI:109274</t>
  </si>
  <si>
    <t>3D-structure; Acetylation; ADP-ribosylation; Alternative splicing; Bromodomain; Chromatin regulator; Citrullination; Coiled coil; Isopeptide bond; Metal-binding; Nucleus; Phosphoprotein; Repeat; Repressor; Transcription; Transcription regulation; Transferase; Ubl conjugation; Ubl conjugation pathway; Zinc; Zinc-finger</t>
  </si>
  <si>
    <t>Transcription; Transcription regulation; Ubl conjugation pathway</t>
  </si>
  <si>
    <t>Nucleus</t>
  </si>
  <si>
    <t>Bromodomain; Coiled coil; Repeat; Zinc-finger</t>
  </si>
  <si>
    <t>Chromatin regulator; Repressor; Transferase</t>
  </si>
  <si>
    <t>ADP-ribosylation; Acetylation; Citrullination; Isopeptide bond; Phosphoprotein; Ubl conjugation</t>
  </si>
  <si>
    <t>chromatin organization {GO:0006325}; convergent extension involved in axis elongation {GO:0060028}; DNA methylation involved in embryo development {GO:0043045}; DNA repair {GO:0006281}; embryo implantation {GO:0007566}; embryonic placenta morphogenesis {GO:0060669}; epithelial to mesenchymal transition {GO:0001837}; in utero embryonic development {GO:0001701}; innate immune response {GO:0045087}; negative regulation of DNA demethylation {GO:1901536}; negative regulation of DNA-templated transcription {GO:0045892}; negative regulation of single stranded viral RNA replication via double stranded DNA intermediate {GO:0045869}; negative regulation of transcription by RNA polymerase II {GO:0000122}; positive regulation of DNA binding {GO:0043388}; positive regulation of DNA methylation-dependent heterochromatin assembly {GO:0090309}; positive regulation of DNA repair {GO:0045739}; positive regulation of DNA-templated transcription {GO:0045893}; positive regulation of protein import into nucleus {GO:0042307}; protein autophosphorylation {GO:0046777}; protein phosphorylation {GO:0006468}; protein sumoylation {GO:0016925}; Ras protein signal transduction {GO:0007265}; regulation of genetic imprinting {GO:2000653}; suppression of viral release by host {GO:0044790}</t>
  </si>
  <si>
    <t>chromatin {GO:0000785}; euchromatin {GO:0000791}; heterochromatin {GO:0000792}; nucleoplasm {GO:0005654}; nucleus {GO:0005634}; protein-containing complex {GO:0032991}; RNA polymerase II transcription regulator complex {GO:0090575}</t>
  </si>
  <si>
    <t>chromatin binding {GO:0003682}; chromo shadow domain binding {GO:0070087}; DNA binding {GO:0003677}; Krueppel-associated box domain binding {GO:0035851}; promoter-specific chromatin binding {GO:1990841}; protein kinase activity {GO:0004672}; SUMO transferase activity {GO:0019789}; transcription coactivator activity {GO:0003713}; transcription corepressor activity {GO:0003714}; ubiquitin protein ligase binding {GO:0031625}; ubiquitin-protein transferase activity {GO:0004842}; zinc ion binding {GO:0008270}</t>
  </si>
  <si>
    <t>Protein modification; protein sumoylation.</t>
  </si>
  <si>
    <t>Generic Transcription Pathway {R-MMU-212436}</t>
  </si>
  <si>
    <t>sp|Q80X90|FLNB_MOUSE</t>
  </si>
  <si>
    <t>Filamin-B (FLN-B)</t>
  </si>
  <si>
    <t>ABP-280-like protein; Actin-binding-like protein; Beta-filamin</t>
  </si>
  <si>
    <t>FLNB_MOUSE</t>
  </si>
  <si>
    <t>Q80X90</t>
  </si>
  <si>
    <t>E9QNV9; Q8VHX4; Q8VHX7; Q99KY3</t>
  </si>
  <si>
    <t>MGI:2446089</t>
  </si>
  <si>
    <t>Acetylation; Actin-binding; Cytoplasm; Cytoskeleton; Isopeptide bond; Phosphoprotein; Repeat; Ubl conjugation</t>
  </si>
  <si>
    <t>actin cytoskeleton organization {GO:0030036}; cellular response to interferon-gamma {GO:0071346}; epithelial cell morphogenesis {GO:0003382}; keratinocyte development {GO:0003334}; skeletal muscle tissue development {GO:0007519}</t>
  </si>
  <si>
    <t>brush border {GO:0005903}; cell cortex {GO:0005938}; cytoplasm {GO:0005737}; cytosol {GO:0005829}; focal adhesion {GO:0005925}; neuron projection {GO:0043005}; neuronal cell body {GO:0043025}; nucleus {GO:0005634}; phagocytic vesicle {GO:0045335}; plasma membrane {GO:0005886}; stress fiber {GO:0001725}; Z disc {GO:0030018}</t>
  </si>
  <si>
    <t>actin filament binding {GO:0051015}; identical protein binding {GO:0042802}</t>
  </si>
  <si>
    <t>ISG15 antiviral mechanism {R-MMU-1169408}</t>
  </si>
  <si>
    <t>sp|P50247|SAHH_MOUSE</t>
  </si>
  <si>
    <t>Adenosylhomocysteinase (AdoHcyase)</t>
  </si>
  <si>
    <t>CUBP; Liver copper-binding protein; S-adenosyl-L-homocysteine hydrolase</t>
  </si>
  <si>
    <t>SAHH_MOUSE</t>
  </si>
  <si>
    <t>P50247</t>
  </si>
  <si>
    <t>Q91WF1</t>
  </si>
  <si>
    <t>MGI:87968</t>
  </si>
  <si>
    <t>3D-structure; Acetylation; Copper; Cytoplasm; Hydrolase; Hydroxylation; NAD; One-carbon metabolism; Phosphoprotein</t>
  </si>
  <si>
    <t>One-carbon metabolism</t>
  </si>
  <si>
    <t>Copper; NAD</t>
  </si>
  <si>
    <t>chronic inflammatory response to antigenic stimulus {GO:0002439}; circadian sleep/wake cycle {GO:0042745}; one-carbon metabolic process {GO:0006730}; response to nutrient {GO:0007584}; S-adenosylhomocysteine catabolic process {GO:0019510}; S-adenosylmethionine cycle {GO:0033353}</t>
  </si>
  <si>
    <t>cytosol {GO:0005829}; melanosome {GO:0042470}; neuron projection {GO:0043005}; nucleus {GO:0005634}</t>
  </si>
  <si>
    <t>adenosylhomocysteinase activity {GO:0004013}; adenyl nucleotide binding {GO:0030554}; copper ion binding {GO:0005507}; identical protein binding {GO:0042802}; NAD binding {GO:0051287}; protein self-association {GO:0043621}</t>
  </si>
  <si>
    <t>Amino-acid biosynthesis; L-homocysteine biosynthesis; L- homocysteine from S-adenosyl-L-homocysteine: step 1/1.</t>
  </si>
  <si>
    <t>Methylation {R-MMU-156581}; Sulfur amino acid metabolism {R-MMU-1614635}</t>
  </si>
  <si>
    <t>sp|Q8CGC7|SYEP_MOUSE</t>
  </si>
  <si>
    <t>Proline--tRNA ligase</t>
  </si>
  <si>
    <t>Bifunctional aminoacyl-tRNA synthetase; Glutamyl-tRNA synthetase (GluRS); Prolyl-tRNA synthetase (ProRS)</t>
  </si>
  <si>
    <t>SYEP_MOUSE</t>
  </si>
  <si>
    <t>Q8CGC7</t>
  </si>
  <si>
    <t>E9QKC4; Q3UFJ2; Q4VC16</t>
  </si>
  <si>
    <t>Eprs; Qprs</t>
  </si>
  <si>
    <t>MGI:97838</t>
  </si>
  <si>
    <t>Acetylation; Aminoacyl-tRNA synthetase; ATP-binding; Cytoplasm; Ligase; Membrane; Metal-binding; Methylation; Multifunctional enzyme; Nucleotide-binding; Phosphoprotein; Protein biosynthesis; Repeat; RNA-binding; Translation regulation; Zinc</t>
  </si>
  <si>
    <t>Protein biosynthesis; Translation regulation</t>
  </si>
  <si>
    <t>ATP-binding; Metal-binding; Nucleotide-binding; Zinc</t>
  </si>
  <si>
    <t>Aminoacyl-tRNA synthetase; Ligase; Multifunctional enzyme; RNA-binding</t>
  </si>
  <si>
    <t>cellular response to insulin stimulus {GO:0032869}; cellular response to interferon-gamma {GO:0071346}; glutamyl-tRNA aminoacylation {GO:0006424}; negative regulation of translation {GO:0017148}; prolyl-tRNA aminoacylation {GO:0006433}; regulation of long-chain fatty acid import into cell {GO:0140212}</t>
  </si>
  <si>
    <t>aminoacyl-tRNA synthetase multienzyme complex {GO:0017101}; cytoplasm {GO:0005737}; cytosol {GO:0005829}; GAIT complex {GO:0097452}; plasma membrane {GO:0005886}; ribonucleoprotein complex {GO:1990904}</t>
  </si>
  <si>
    <t>ATP binding {GO:0005524}; glutamate-tRNA ligase activity {GO:0004818}; GTPase binding {GO:0051020}; identical protein binding {GO:0042802}; proline-tRNA ligase activity {GO:0004827}; protein homodimerization activity {GO:0042803}; RNA stem-loop binding {GO:0035613}; zinc ion binding {GO:0008270}</t>
  </si>
  <si>
    <t>sp|Q6ZWN5|RS9_MOUSE</t>
  </si>
  <si>
    <t>40S ribosomal protein S9</t>
  </si>
  <si>
    <t>RS9_MOUSE</t>
  </si>
  <si>
    <t>Q6ZWN5</t>
  </si>
  <si>
    <t>Q3UBF1; Q8K2D1</t>
  </si>
  <si>
    <t>MGI:1924096</t>
  </si>
  <si>
    <t>3D-structure; Acetylation; Cytoplasm; Isopeptide bond; Phosphoprotein; Ribonucleoprotein; Ribosomal protein; RNA-binding; rRNA-binding; Ubl conjugation</t>
  </si>
  <si>
    <t>cytoplasmic translation {GO:0002181}; positive regulation of cell population proliferation {GO:0008284}; positive regulation of translational fidelity {GO:0045903}; translation {GO:0006412}</t>
  </si>
  <si>
    <t>cytoplasm {GO:0005737}; cytosol {GO:0005829}; cytosolic ribosome {GO:0022626}; cytosolic small ribosomal subunit {GO:0022627}; nucleolus {GO:0005730}; ribonucleoprotein complex {GO:1990904}; small ribosomal subunit {GO:0015935}; synapse {GO:0045202}</t>
  </si>
  <si>
    <t>5.8S rRNA binding {GO:1990932}; rRNA binding {GO:0019843}; structural constituent of ribosome {GO:0003735}; translation regulator activity {GO:0045182}</t>
  </si>
  <si>
    <t>sp|P70670|NACAM_MOUSE</t>
  </si>
  <si>
    <t>Nascent polypeptide-associated complex subunit alpha, muscle-specific form</t>
  </si>
  <si>
    <t>Alpha-NAC, muscle-specific form (skNAC)</t>
  </si>
  <si>
    <t>NACAM_MOUSE</t>
  </si>
  <si>
    <t>P70670</t>
  </si>
  <si>
    <t>E9QMB1</t>
  </si>
  <si>
    <t>Gm1878</t>
  </si>
  <si>
    <t>MGI:106095</t>
  </si>
  <si>
    <t>Acetylation; Activator; Alternative splicing; Cytoplasm; DNA-binding; Isopeptide bond; Methylation; Nucleus; Phosphoprotein; Transcription; Transcription regulation; Transport; Ubl conjugation</t>
  </si>
  <si>
    <t>Transcription; Transcription regulation; Transport</t>
  </si>
  <si>
    <t>Activator; DNA-binding</t>
  </si>
  <si>
    <t>myoblast migration {GO:0051451}; negative regulation of protein localization to endoplasmic reticulum {GO:1905551}; protein targeting to membrane {GO:0006612}</t>
  </si>
  <si>
    <t>cytoplasm {GO:0005737}; nascent polypeptide-associated complex {GO:0005854}; nucleus {GO:0005634}</t>
  </si>
  <si>
    <t>DNA binding {GO:0003677}; TBP-class protein binding {GO:0017025}; transcription coactivator activity {GO:0003713}; unfolded protein binding {GO:0051082}</t>
  </si>
  <si>
    <t>sp|P08030|APT_MOUSE</t>
  </si>
  <si>
    <t>Adenine phosphoribosyltransferase (APRT)</t>
  </si>
  <si>
    <t>APT_MOUSE</t>
  </si>
  <si>
    <t>P08030</t>
  </si>
  <si>
    <t>Q564P4; Q61319; Q6PK77; Q9DCY3</t>
  </si>
  <si>
    <t>MGI:88061</t>
  </si>
  <si>
    <t>Acetylation; Cytoplasm; Glycosyltransferase; Phosphoprotein; Purine salvage; Transferase</t>
  </si>
  <si>
    <t>Purine salvage</t>
  </si>
  <si>
    <t>Glycosyltransferase; Transferase</t>
  </si>
  <si>
    <t>adenine metabolic process {GO:0046083}; adenine salvage {GO:0006168}; AMP salvage {GO:0044209}; cellular response to insulin stimulus {GO:0032869}; GMP salvage {GO:0032263}; grooming behavior {GO:0007625}; IMP salvage {GO:0032264}; lactation {GO:0007595}; purine ribonucleoside salvage {GO:0006166}</t>
  </si>
  <si>
    <t>cytoplasm {GO:0005737}; cytosol {GO:0005829}; nucleoplasm {GO:0005654}</t>
  </si>
  <si>
    <t>adenine binding {GO:0002055}; adenine phosphoribosyltransferase activity {GO:0003999}; AMP binding {GO:0016208}</t>
  </si>
  <si>
    <t>Purine metabolism; AMP biosynthesis via salvage pathway; AMP from adenine: step 1/1..</t>
  </si>
  <si>
    <t>Neutrophil degranulation {R-MMU-6798695}; Purine salvage {R-MMU-74217}</t>
  </si>
  <si>
    <t>sp|P38647|GRP75_MOUSE</t>
  </si>
  <si>
    <t>Stress-70 protein, mitochondrial</t>
  </si>
  <si>
    <t>75 kDa glucose-regulated protein (GRP-75); Heat shock 70 kDa protein 9; Mortalin; Peptide-binding protein 74 (PBP74); p66 MOT</t>
  </si>
  <si>
    <t>GRP75_MOUSE</t>
  </si>
  <si>
    <t>P38647</t>
  </si>
  <si>
    <t>Q3TW93; Q3UVN1; Q3V015; Q7TSZ0; Q9CQ05</t>
  </si>
  <si>
    <t>Grp75; Hsp74; Hspa9a</t>
  </si>
  <si>
    <t>MGI:96245</t>
  </si>
  <si>
    <t>Acetylation; ATP-binding; Chaperone; Methylation; Mitochondrion; Nucleotide-binding; Nucleus; Phosphoprotein; Transit peptide</t>
  </si>
  <si>
    <t>Mitochondrion; Nucleus</t>
  </si>
  <si>
    <t>cellular response to unfolded protein {GO:0034620}; chaperone cofactor-dependent protein refolding {GO:0051085}; erythrocyte differentiation {GO:0030218}; iron-sulfur cluster assembly {GO:0016226}; negative regulation of cell death {GO:0060548}; negative regulation of erythrocyte differentiation {GO:0045647}; negative regulation of hematopoietic stem cell differentiation {GO:1902037}; negative regulation of hemopoiesis {GO:1903707}; protein autophosphorylation {GO:0046777}; protein export from nucleus {GO:0006611}; protein refolding {GO:0042026}; regulation of erythrocyte differentiation {GO:0045646}</t>
  </si>
  <si>
    <t>cytoplasm {GO:0005737}; mitochondrial matrix {GO:0005759}; mitochondrial nucleoid {GO:0042645}; mitochondrion {GO:0005739}; myelin sheath {GO:0043209}; nucleolus {GO:0005730}</t>
  </si>
  <si>
    <t>ATP binding {GO:0005524}; ATP hydrolysis activity {GO:0016887}; ATP-dependent protein folding chaperone {GO:0140662}; chaperone binding {GO:0051087}; enzyme binding {GO:0019899}; fibroblast growth factor binding {GO:0017134}; heat shock protein binding {GO:0031072}; misfolded protein binding {GO:0051787}; protein folding chaperone {GO:0044183}; ubiquitin protein ligase binding {GO:0031625}; unfolded protein binding {GO:0051082}</t>
  </si>
  <si>
    <t>sp|P63276|RS17_MOUSE</t>
  </si>
  <si>
    <t>40S ribosomal protein S17</t>
  </si>
  <si>
    <t>RS17_MOUSE</t>
  </si>
  <si>
    <t>P63276</t>
  </si>
  <si>
    <t>P06584</t>
  </si>
  <si>
    <t>MGI:1309526</t>
  </si>
  <si>
    <t>3D-structure; Isopeptide bond; Phosphoprotein; Ribonucleoprotein; Ribosomal protein; Ubl conjugation</t>
  </si>
  <si>
    <t>cytoplasmic translation {GO:0002181}; erythrocyte homeostasis {GO:0034101}; ribosomal small subunit biogenesis {GO:0042274}; rRNA processing {GO:0006364}; translation {GO:0006412}</t>
  </si>
  <si>
    <t>cytoplasm {GO:0005737}; cytosol {GO:0005829}; cytosolic ribosome {GO:0022626}; cytosolic small ribosomal subunit {GO:0022627}; synapse {GO:0045202}</t>
  </si>
  <si>
    <t>sp|O88844|IDHC_MOUSE</t>
  </si>
  <si>
    <t>Isocitrate dehydrogenase [NADP] cytoplasmic (IDH; IDH1)</t>
  </si>
  <si>
    <t>Cytosolic NADP-isocitrate dehydrogenase; IDPc; NADP(+)-specific ICDH; Oxalosuccinate decarboxylase</t>
  </si>
  <si>
    <t>IDHC_MOUSE</t>
  </si>
  <si>
    <t>O88844</t>
  </si>
  <si>
    <t>Q3UAV7</t>
  </si>
  <si>
    <t>MGI:96413</t>
  </si>
  <si>
    <t>3D-structure; Acetylation; Cytoplasm; Glyoxylate bypass; Magnesium; Manganese; Metal-binding; NADP; Oxidoreductase; Phosphoprotein; Tricarboxylic acid cycle</t>
  </si>
  <si>
    <t>Glyoxylate bypass; Tricarboxylic acid cycle</t>
  </si>
  <si>
    <t>Magnesium; Manganese; Metal-binding; NADP</t>
  </si>
  <si>
    <t>2-oxoglutarate metabolic process {GO:0006103}; female gonad development {GO:0008585}; glutathione metabolic process {GO:0006749}; glyoxylate cycle {GO:0006097}; isocitrate metabolic process {GO:0006102}; NADP metabolic process {GO:0006739}; regulation of phospholipid biosynthetic process {GO:0071071}; regulation of phospholipid catabolic process {GO:0060696}; response to organic cyclic compound {GO:0014070}; response to oxidative stress {GO:0006979}; response to steroid hormone {GO:0048545}; tricarboxylic acid cycle {GO:0006099}</t>
  </si>
  <si>
    <t>cytoplasm {GO:0005737}; cytosol {GO:0005829}; mitochondrion {GO:0005739}; peroxisome {GO:0005777}</t>
  </si>
  <si>
    <t>identical protein binding {GO:0042802}; isocitrate dehydrogenase (NADP+) activity {GO:0004450}; magnesium ion binding {GO:0000287}; NAD binding {GO:0051287}; NADP binding {GO:0050661}; protein homodimerization activity {GO:0042803}</t>
  </si>
  <si>
    <t>NADPH regeneration {R-MMU-389542}; Neutrophil degranulation {R-MMU-6798695}; Peroxisomal protein import {R-MMU-9033241}</t>
  </si>
  <si>
    <t>sp|Q99L47|F10A1_MOUSE</t>
  </si>
  <si>
    <t>Hsc70-interacting protein (Hip)</t>
  </si>
  <si>
    <t>Protein FAM10A1; Protein ST13 homolog</t>
  </si>
  <si>
    <t>F10A1_MOUSE</t>
  </si>
  <si>
    <t>Q99L47</t>
  </si>
  <si>
    <t>Q4FJT4</t>
  </si>
  <si>
    <t>Fam10a1; Hip</t>
  </si>
  <si>
    <t>MGI:1917606</t>
  </si>
  <si>
    <t>Acetylation; Chaperone; Cytoplasm; Phosphoprotein; Repeat; TPR repeat</t>
  </si>
  <si>
    <t>chaperone cofactor-dependent protein refolding {GO:0051085}; negative regulation of protein refolding {GO:0061084}; response to bacterium {GO:0009617}</t>
  </si>
  <si>
    <t>cytosol {GO:0005829}; protein-containing complex {GO:0032991}</t>
  </si>
  <si>
    <t>chaperone binding {GO:0051087}; dATP binding {GO:0032564}; Hsp70 protein binding {GO:0030544}; identical protein binding {GO:0042802}; protein dimerization activity {GO:0046983}; protein domain specific binding {GO:0019904}; protein-containing complex binding {GO:0044877}; unfolded protein binding {GO:0051082}</t>
  </si>
  <si>
    <t>sp|P14152|MDHC_MOUSE</t>
  </si>
  <si>
    <t>Malate dehydrogenase, cytoplasmic</t>
  </si>
  <si>
    <t>Aromatic alpha-keto acid reductase (KAR); Cytosolic malate dehydrogenase</t>
  </si>
  <si>
    <t>MDHC_MOUSE</t>
  </si>
  <si>
    <t>P14152</t>
  </si>
  <si>
    <t>Q3TP22; Q80Y13; Q9DB45</t>
  </si>
  <si>
    <t>Mor2</t>
  </si>
  <si>
    <t>MGI:97051</t>
  </si>
  <si>
    <t>Acetylation; Cytoplasm; Methylation; NAD; Oxidoreductase; Phosphoprotein; Tricarboxylic acid cycle; Ubl conjugation</t>
  </si>
  <si>
    <t>gluconeogenesis {GO:0006094}; malate metabolic process {GO:0006108}; NAD metabolic process {GO:0019674}; NADH metabolic process {GO:0006734}; NADP metabolic process {GO:0006739}; oxaloacetate metabolic process {GO:0006107}; tricarboxylic acid cycle {GO:0006099}</t>
  </si>
  <si>
    <t>centrosome {GO:0005813}; cytoplasm {GO:0005737}; cytosol {GO:0005829}; mitochondrion {GO:0005739}; myelin sheath {GO:0043209}</t>
  </si>
  <si>
    <t>L-malate dehydrogenase activity {GO:0030060}; malate dehydrogenase activity {GO:0016615}; NAD binding {GO:0051287}</t>
  </si>
  <si>
    <t>Gluconeogenesis {R-MMU-70263}</t>
  </si>
  <si>
    <t>sp|P62270|RS18_MOUSE</t>
  </si>
  <si>
    <t>40S ribosomal protein S18</t>
  </si>
  <si>
    <t>Ke-3 (Ke3)</t>
  </si>
  <si>
    <t>RS18_MOUSE</t>
  </si>
  <si>
    <t>P62270</t>
  </si>
  <si>
    <t>P25232</t>
  </si>
  <si>
    <t>MGI:98146</t>
  </si>
  <si>
    <t>cytoplasm {GO:0005737}; cytosol {GO:0005829}; cytosolic ribosome {GO:0022626}; cytosolic small ribosomal subunit {GO:0022627}; nucleus {GO:0005634}; postsynaptic density {GO:0014069}; small ribosomal subunit {GO:0015935}; synapse {GO:0045202}</t>
  </si>
  <si>
    <t>protein kinase binding {GO:0019901}; rRNA binding {GO:0019843}; structural constituent of ribosome {GO:0003735}</t>
  </si>
  <si>
    <t>sp|P06745|G6PI_MOUSE</t>
  </si>
  <si>
    <t>Glucose-6-phosphate isomerase (GPI)</t>
  </si>
  <si>
    <t>Autocrine motility factor (AMF); Neuroleukin (NLK); Phosphoglucose isomerase (PGI); Phosphohexose isomerase (PHI)</t>
  </si>
  <si>
    <t>G6PI_MOUSE</t>
  </si>
  <si>
    <t>P06745</t>
  </si>
  <si>
    <t>O89062; Q3TEE7; Q3TW50; Q3UUX1; Q3UY84; Q3UZJ1; Q5RJI3; Q8C675; Q9JM07</t>
  </si>
  <si>
    <t>MGI:95797</t>
  </si>
  <si>
    <t>3D-structure; Acetylation; Cytokine; Cytoplasm; Gluconeogenesis; Glycolysis; Growth factor; Isomerase; Phosphoprotein; Secreted; Ubl conjugation</t>
  </si>
  <si>
    <t>Cytoplasm; Secreted</t>
  </si>
  <si>
    <t>Cytokine; Growth factor; Isomerase</t>
  </si>
  <si>
    <t>canonical glycolysis {GO:0061621}; carbohydrate metabolic process {GO:0005975}; erythrocyte homeostasis {GO:0034101}; gluconeogenesis {GO:0006094}; glucose 6-phosphate metabolic process {GO:0051156}; glucose homeostasis {GO:0042593}; glycolytic process {GO:0006096}; glycolytic process through glucose-6-phosphate {GO:0061620}; in utero embryonic development {GO:0001701}; learning or memory {GO:0007611}; mesoderm formation {GO:0001707}; negative regulation of cysteine-type endopeptidase activity involved in apoptotic process {GO:0043154}; negative regulation of neuron apoptotic process {GO:0043524}; positive regulation of endothelial cell migration {GO:0010595}; positive regulation of immunoglobulin production {GO:0002639}; response to cadmium ion {GO:0046686}; response to estradiol {GO:0032355}; response to immobilization stress {GO:0035902}; response to morphine {GO:0043278}; response to muscle stretch {GO:0035994}; response to progesterone {GO:0032570}; response to testosterone {GO:0033574}</t>
  </si>
  <si>
    <t>ciliary membrane {GO:0060170}; cytoplasm {GO:0005737}; cytosol {GO:0005829}; extracellular space {GO:0005615}; myelin sheath {GO:0043209}; neuron projection {GO:0043005}; nucleoplasm {GO:0005654}; plasma membrane {GO:0005886}</t>
  </si>
  <si>
    <t>carbohydrate derivative binding {GO:0097367}; cytokine activity {GO:0005125}; glucose-6-phosphate isomerase activity {GO:0004347}; growth factor activity {GO:0008083}; monosaccharide binding {GO:0048029}; ubiquitin protein ligase binding {GO:0031625}</t>
  </si>
  <si>
    <t xml:space="preserve">Carbohydrate degradation; glycolysis; D-glyceraldehyde 3- phosphate and glycerone phosphate from D-glucose: step 2/4. </t>
  </si>
  <si>
    <t>TP53 Regulates Metabolic Genes {R-MMU-5628897}; Neutrophil degranulation {R-MMU-6798695}; Glycolysis {R-MMU-70171}; Gluconeogenesis {R-MMU-70263}</t>
  </si>
  <si>
    <t>sp|P54071|IDHP_MOUSE</t>
  </si>
  <si>
    <t>Isocitrate dehydrogenase [NADP], mitochondrial (IDH)</t>
  </si>
  <si>
    <t>ICD-M; IDP; NADP(+)-specific ICDH; Oxalosuccinate decarboxylase</t>
  </si>
  <si>
    <t>IDHP_MOUSE</t>
  </si>
  <si>
    <t>P54071</t>
  </si>
  <si>
    <t>Q8C2R9; Q9EQK1</t>
  </si>
  <si>
    <t>MGI:96414</t>
  </si>
  <si>
    <t>3D-structure; Acetylation; Glyoxylate bypass; Magnesium; Manganese; Metal-binding; Mitochondrion; NADP; Oxidoreductase; Stress response; Transit peptide; Tricarboxylic acid cycle</t>
  </si>
  <si>
    <t>Glyoxylate bypass; Stress response; Tricarboxylic acid cycle</t>
  </si>
  <si>
    <t>2-oxoglutarate metabolic process {GO:0006103}; glyoxylate cycle {GO:0006097}; isocitrate metabolic process {GO:0006102}; NADP biosynthetic process {GO:0006741}; NADP metabolic process {GO:0006739}; negative regulation of glial cell migration {GO:1903976}; negative regulation of glial cell proliferation {GO:0060253}; negative regulation of matrix metallopeptidase secretion {GO:1904465}; tricarboxylic acid cycle {GO:0006099}</t>
  </si>
  <si>
    <t>cytosol {GO:0005829}; mitochondrial inner membrane {GO:0005743}; mitochondrion {GO:0005739}; peroxisome {GO:0005777}</t>
  </si>
  <si>
    <t>isocitrate dehydrogenase (NADP+) activity {GO:0004450}; magnesium ion binding {GO:0000287}; NAD binding {GO:0051287}</t>
  </si>
  <si>
    <t>Transcriptional activation of mitochondrial biogenesis {R-MMU-2151201}; Citric acid cycle (TCA cycle) {R-MMU-71403}</t>
  </si>
  <si>
    <t>sp|P40124|CAP1_MOUSE</t>
  </si>
  <si>
    <t>Adenylyl cyclase-associated protein 1 (CAP 1)</t>
  </si>
  <si>
    <t>CAP1_MOUSE</t>
  </si>
  <si>
    <t>P40124</t>
  </si>
  <si>
    <t>Q8BPT7</t>
  </si>
  <si>
    <t>Cap</t>
  </si>
  <si>
    <t>MGI:88262</t>
  </si>
  <si>
    <t>3D-structure; Acetylation; Actin-binding; Cell membrane; Isopeptide bond; Membrane; Methylation; Phosphoprotein; Ubl conjugation</t>
  </si>
  <si>
    <t>Cell membrane; Membrane</t>
  </si>
  <si>
    <t>actin cytoskeleton organization {GO:0030036}; ameboidal-type cell migration {GO:0001667}; cAMP-mediated signaling {GO:0019933}; cell morphogenesis {GO:0000902}; receptor-mediated endocytosis {GO:0006898}; regulation of adenylate cyclase activity {GO:0045761}</t>
  </si>
  <si>
    <t>cortical actin cytoskeleton {GO:0030864}; cytoplasm {GO:0005737}; cytosol {GO:0005829}; extracellular region {GO:0005576}; plasma membrane {GO:0005886}</t>
  </si>
  <si>
    <t>actin binding {GO:0003779}; adenylate cyclase binding {GO:0008179}</t>
  </si>
  <si>
    <t>sp|P62717|RL18A_MOUSE</t>
  </si>
  <si>
    <t>60S ribosomal protein L18a</t>
  </si>
  <si>
    <t>RL18A_MOUSE</t>
  </si>
  <si>
    <t>P62717</t>
  </si>
  <si>
    <t>P11249; Q3TSN0</t>
  </si>
  <si>
    <t>MGI:1924058</t>
  </si>
  <si>
    <t>cytoplasm {GO:0005737}; cytosol {GO:0005829}; cytosolic large ribosomal subunit {GO:0022625}; cytosolic ribosome {GO:0022626}; polysomal ribosome {GO:0042788}; postsynaptic density {GO:0014069}; ribosome {GO:0005840}; synapse {GO:0045202}</t>
  </si>
  <si>
    <t>sp|Q8VI64|HUMMR_MOUSE</t>
  </si>
  <si>
    <t>Protein MGARP</t>
  </si>
  <si>
    <t>Corneal endothelium-specific protein 1 (CESP-1); Hypoxia up-regulated mitochondrial movement regulator protein; Mitochondria-localized glutamic acid-rich protein; Ovary-specific acidic protein</t>
  </si>
  <si>
    <t>HUMMR_MOUSE</t>
  </si>
  <si>
    <t>Q8VI64</t>
  </si>
  <si>
    <t>Q96EB2; Q9D9Y5</t>
  </si>
  <si>
    <t>Cesp1; Hummr; Osap</t>
  </si>
  <si>
    <t>MGI:1914999</t>
  </si>
  <si>
    <t>Membrane; Mitochondrion; Mitochondrion inner membrane; Mitochondrion outer membrane; Transmembrane; Transmembrane helix</t>
  </si>
  <si>
    <t>Membrane; Mitochondrion; Mitochondrion inner membrane; Mitochondrion outer membrane</t>
  </si>
  <si>
    <t>anterograde axonal transport {GO:0008089}; axon development {GO:0061564}; axonal transport of mitochondrion {GO:0019896}; cellular response to gonadotropin-releasing hormone {GO:0097211}; cellular response to hypoxia {GO:0071456}; cellular response to steroid hormone stimulus {GO:0071383}; cerebral cortex development {GO:0021987}; negative regulation of dendrite development {GO:2000171}; positive regulation of mitochondrion organization {GO:0010822}; protein targeting to mitochondrion {GO:0006626}; regulation of mitochondrion organization {GO:0010821}; retrograde axonal transport {GO:0008090}</t>
  </si>
  <si>
    <t>axon cytoplasm {GO:1904115}; integral component of mitochondrial outer membrane {GO:0031307}; mitochondrial inner membrane {GO:0005743}; mitochondrion {GO:0005739}</t>
  </si>
  <si>
    <t>sp|P62301|RS13_MOUSE</t>
  </si>
  <si>
    <t>40S ribosomal protein S13</t>
  </si>
  <si>
    <t>RS13_MOUSE</t>
  </si>
  <si>
    <t>P62301</t>
  </si>
  <si>
    <t>MGI:1915302</t>
  </si>
  <si>
    <t>cytoplasmic translation {GO:0002181}; negative regulation of RNA splicing {GO:0033119}</t>
  </si>
  <si>
    <t>cytoplasm {GO:0005737}; cytosol {GO:0005829}; cytosolic ribosome {GO:0022626}; cytosolic small ribosomal subunit {GO:0022627}; nucleolus {GO:0005730}; nucleus {GO:0005634}; postsynaptic density {GO:0014069}; synapse {GO:0045202}</t>
  </si>
  <si>
    <t>5.8S rRNA binding {GO:1990932}; mRNA 5'-UTR binding {GO:0048027}; mRNA binding {GO:0003729}; small ribosomal subunit rRNA binding {GO:0070181}; structural constituent of ribosome {GO:0003735}</t>
  </si>
  <si>
    <t>sp|P57776|EF1D_MOUSE</t>
  </si>
  <si>
    <t>Elongation factor 1-delta (EF-1-delta)</t>
  </si>
  <si>
    <t>EF1D_MOUSE</t>
  </si>
  <si>
    <t>P57776</t>
  </si>
  <si>
    <t>Q68FG5; Q9CWW2; Q9CWY1; Q9CYD4; Q9CYJ5</t>
  </si>
  <si>
    <t>MGI:1913906</t>
  </si>
  <si>
    <t>Acetylation; Alternative splicing; DNA-binding; Elongation factor; Nucleus; Phosphoprotein; Protein biosynthesis; Transcription; Transcription regulation</t>
  </si>
  <si>
    <t>Protein biosynthesis; Transcription; Transcription regulation</t>
  </si>
  <si>
    <t>DNA-binding; Elongation factor</t>
  </si>
  <si>
    <t>cellular response to ionizing radiation {GO:0071479}; mRNA transcription {GO:0009299}; regulation of cell death {GO:0010941}; translational elongation {GO:0006414}</t>
  </si>
  <si>
    <t>cytoplasm {GO:0005737}; cytosol {GO:0005829}; endoplasmic reticulum {GO:0005783}; eukaryotic translation elongation factor 1 complex {GO:0005853}; fibrillar center {GO:0001650}; glutamatergic synapse {GO:0098978}; nucleoplasm {GO:0005654}; nucleus {GO:0005634}; synapse {GO:0045202}</t>
  </si>
  <si>
    <t>DNA binding {GO:0003677}; DNA-binding transcription factor binding {GO:0140297}; guanyl-nucleotide exchange factor activity {GO:0005085}; heat shock protein binding {GO:0031072}; translation elongation factor activity {GO:0003746}</t>
  </si>
  <si>
    <t>sp|P80317|TCPZ_MOUSE</t>
  </si>
  <si>
    <t>T-complex protein 1 subunit zeta (TCP-1-zeta)</t>
  </si>
  <si>
    <t>CCT-zeta-1</t>
  </si>
  <si>
    <t>TCPZ_MOUSE</t>
  </si>
  <si>
    <t>P80317</t>
  </si>
  <si>
    <t>Cct6; Cctz; Cctz1</t>
  </si>
  <si>
    <t>MGI:107943</t>
  </si>
  <si>
    <t>acrosomal vesicle {GO:0001669}; cell body {GO:0044297}; chaperonin-containing T-complex {GO:0005832}; cytosol {GO:0005829}; microtubule {GO:0005874}; zona pellucida receptor complex {GO:0002199}</t>
  </si>
  <si>
    <t>ATP binding {GO:0005524}; ATP hydrolysis activity {GO:0016887}; ATP-dependent protein folding chaperone {GO:0140662}; protein folding chaperone {GO:0044183}; unfolded protein binding {GO:0051082}; WD40-repeat domain binding {GO:0071987}</t>
  </si>
  <si>
    <t>Association of TriC/CCT with target proteins during biosynthesis {R-MMU-390471}; Cooperation of PDCL (PhLP1) and TRiC/CCT in G-protein beta folding {R-MMU-6814122}; RHOBTB2 GTPase cycle {R-MMU-9013418}</t>
  </si>
  <si>
    <t>sp|O09167|RL21_MOUSE</t>
  </si>
  <si>
    <t>60S ribosomal protein L21</t>
  </si>
  <si>
    <t>RL21_MOUSE</t>
  </si>
  <si>
    <t>O09167</t>
  </si>
  <si>
    <t>MGI:1278340</t>
  </si>
  <si>
    <t>3D-structure; Cytoplasm; Endoplasmic reticulum; Ribonucleoprotein; Ribosomal protein</t>
  </si>
  <si>
    <t>cytoplasm {GO:0005737}; cytosol {GO:0005829}; cytosolic large ribosomal subunit {GO:0022625}; cytosolic ribosome {GO:0022626}; endoplasmic reticulum {GO:0005783}; ribosome {GO:0005840}</t>
  </si>
  <si>
    <t>sp|P41105|RL28_MOUSE</t>
  </si>
  <si>
    <t>60S ribosomal protein L28</t>
  </si>
  <si>
    <t>RL28_MOUSE</t>
  </si>
  <si>
    <t>P41105</t>
  </si>
  <si>
    <t>MGI:101839</t>
  </si>
  <si>
    <t>cell body {GO:0044297}; cytoplasm {GO:0005737}; cytoplasmic ribonucleoprotein granule {GO:0036464}; cytosol {GO:0005829}; cytosolic large ribosomal subunit {GO:0022625}; cytosolic ribosome {GO:0022626}; dendrite {GO:0030425}</t>
  </si>
  <si>
    <t>sp|P62242|RS8_MOUSE</t>
  </si>
  <si>
    <t>40S ribosomal protein S8</t>
  </si>
  <si>
    <t>RS8_MOUSE</t>
  </si>
  <si>
    <t>P62242</t>
  </si>
  <si>
    <t>P09058; Q8C2G6</t>
  </si>
  <si>
    <t>MGI:98166</t>
  </si>
  <si>
    <t>3D-structure; Acetylation; Cytoplasm; Isopeptide bond; Lipoprotein; Membrane; Myristate; Phosphoprotein; Ribonucleoprotein; Ribosomal protein; Ubl conjugation</t>
  </si>
  <si>
    <t>Acetylation; Isopeptide bond; Lipoprotein; Myristate; Phosphoprotein; Ubl conjugation</t>
  </si>
  <si>
    <t>cytoplasmic translation {GO:0002181}; maturation of SSU-rRNA from tricistronic rRNA transcript (SSU-rRNA, 5.8S rRNA, LSU-rRNA) {GO:0000462}</t>
  </si>
  <si>
    <t>cytoplasm {GO:0005737}; cytosol {GO:0005829}; cytosolic ribosome {GO:0022626}; cytosolic small ribosomal subunit {GO:0022627}; endoplasmic reticulum {GO:0005783}; membrane {GO:0016020}; ribonucleoprotein complex {GO:1990904}</t>
  </si>
  <si>
    <t>sp|P43276|H15_MOUSE</t>
  </si>
  <si>
    <t>Histone H1.5</t>
  </si>
  <si>
    <t>H1 VAR.5; H1b</t>
  </si>
  <si>
    <t>H15_MOUSE</t>
  </si>
  <si>
    <t>P43276</t>
  </si>
  <si>
    <t>Q9CRM8</t>
  </si>
  <si>
    <t>H1f5; Hist1h1b</t>
  </si>
  <si>
    <t>MGI:1861461</t>
  </si>
  <si>
    <t>Acetylation; Chromosome; Citrullination; DNA-binding; Hydroxylation; Methylation; Nucleus; Phosphoprotein</t>
  </si>
  <si>
    <t>Acetylation; Citrullination; Hydroxylation; Methylation; Phosphoprotein</t>
  </si>
  <si>
    <t>chromatin organization {GO:0006325}; chromosome condensation {GO:0030261}; establishment of protein localization to chromatin {GO:0071169}; muscle organ development {GO:0007517}; negative regulation of DNA recombination {GO:0045910}; negative regulation of transcription by RNA polymerase II {GO:0000122}; nucleosome assembly {GO:0006334}; positive regulation of cell growth {GO:0030307}; positive regulation of histone H3-K9 methylation {GO:0051574}; protein stabilization {GO:0050821}</t>
  </si>
  <si>
    <t>chromatin {GO:0000785}; chromosome {GO:0005694}; heterochromatin {GO:0000792}; nucleolus {GO:0005730}; nucleoplasm {GO:0005654}; nucleosome {GO:0000786}; nucleus {GO:0005634}</t>
  </si>
  <si>
    <t>chromatin DNA binding {GO:0031490}; DNA binding {GO:0003677}; double-stranded DNA binding {GO:0003690}; histone deacetylase binding {GO:0042826}; nucleosomal DNA binding {GO:0031492}; structural constituent of chromatin {GO:0030527}</t>
  </si>
  <si>
    <t>Apoptosis induced DNA fragmentation {R-MMU-140342}; Formation of Senescence-Associated Heterochromatin Foci (SAHF) {R-MMU-2559584}</t>
  </si>
  <si>
    <t>sp|Q6ZWX6|IF2A_MOUSE</t>
  </si>
  <si>
    <t>Eukaryotic translation initiation factor 2 subunit 1</t>
  </si>
  <si>
    <t>Eukaryotic translation initiation factor 2 subunit alpha (eIF-2-alpha; eIF-2A; eIF-2alpha)</t>
  </si>
  <si>
    <t>IF2A_MOUSE</t>
  </si>
  <si>
    <t>Q6ZWX6</t>
  </si>
  <si>
    <t>Q3TIQ0</t>
  </si>
  <si>
    <t>Eif2a</t>
  </si>
  <si>
    <t>MGI:95299</t>
  </si>
  <si>
    <t>Acetylation; Cytoplasm; Initiation factor; Phosphoprotein; Protein biosynthesis; RNA-binding; Translation regulation</t>
  </si>
  <si>
    <t>aging {GO:0007568}; cellular response to amino acid starvation {GO:0034198}; cellular response to heat {GO:0034605}; cellular response to oxidative stress {GO:0034599}; cellular response to UV {GO:0034644}; negative regulation of guanyl-nucleotide exchange factor activity {GO:1905098}; negative regulation of translational initiation in response to stress {GO:0032057}; PERK-mediated unfolded protein response {GO:0036499}; positive regulation of neuron death {GO:1901216}; positive regulation of type B pancreatic cell apoptotic process {GO:2000676}; protein autophosphorylation {GO:0046777}; regulation of translational initiation in response to stress {GO:0043558}; response to endoplasmic reticulum stress {GO:0034976}; response to manganese-induced endoplasmic reticulum stress {GO:1990737}; stress granule assembly {GO:0034063}; translation {GO:0006412}</t>
  </si>
  <si>
    <t>cytoplasm {GO:0005737}; cytoplasmic stress granule {GO:0010494}; cytosol {GO:0005829}; eukaryotic 48S preinitiation complex {GO:0033290}; eukaryotic translation initiation factor 2 complex {GO:0005850}; eukaryotic translation initiation factor 2B complex {GO:0005851}; glial limiting end-foot {GO:0097451}; multi-eIF complex {GO:0043614}; nucleus {GO:0005634}; synapse {GO:0045202}; translation initiation ternary complex {GO:0044207}</t>
  </si>
  <si>
    <t>ribosome binding {GO:0043022}; RNA binding {GO:0003723}; translation initiation factor activity {GO:0003743}</t>
  </si>
  <si>
    <t>L13a-mediated translational silencing of Ceruloplasmin expression {R-MMU-156827}; PERK regulates gene expression {R-MMU-381042}; ABC-family proteins mediated transport {R-MMU-382556}; Translation initiation complex formation {R-MMU-72649}; Formation of the ternary complex, and subsequently, the 43S complex {R-MMU-72695}; Ribosomal scanning and start codon recognition {R-MMU-72702}; GTP hydrolysis and joining of the 60S ribosomal subunit {R-MMU-72706}; Recycling of eIF2:GDP {R-MMU-72731}</t>
  </si>
  <si>
    <t>sp|O88685|PRS6A_MOUSE</t>
  </si>
  <si>
    <t>26S proteasome regulatory subunit 6A</t>
  </si>
  <si>
    <t>26S proteasome AAA-ATPase subunit RPT5; Proteasome 26S subunit ATPase 3; Tat-binding protein 1 (TBP-1)</t>
  </si>
  <si>
    <t>PRS6A_MOUSE</t>
  </si>
  <si>
    <t>O88685</t>
  </si>
  <si>
    <t>Q99JN8</t>
  </si>
  <si>
    <t>Tbp1</t>
  </si>
  <si>
    <t>MGI:1098754</t>
  </si>
  <si>
    <t>ATP-binding; Cytoplasm; Nucleotide-binding; Nucleus; Phosphoprotein; Proteasome</t>
  </si>
  <si>
    <t>Cytoplasm; Nucleus; Proteasome</t>
  </si>
  <si>
    <t>blastocyst development {GO:0001824}; modulation by host of viral transcription {GO:0043921}; positive regulation of transcription by RNA polymerase II {GO:0045944}; proteasome-mediated ubiquitin-dependent protein catabolic process {GO:0043161}</t>
  </si>
  <si>
    <t>cytoplasm {GO:0005737}; nucleus {GO:0005634}; P-body {GO:0000932}; perinuclear region of cytoplasm {GO:0048471}; proteasome accessory complex {GO:0022624}; proteasome complex {GO:0000502}; proteasome regulatory particle, base subcomplex {GO:0008540}</t>
  </si>
  <si>
    <t>ATP binding {GO:0005524}; ATP hydrolysis activity {GO:0016887}; identical protein binding {GO:0042802}; proteasome-activating activity {GO:0036402}</t>
  </si>
  <si>
    <t>Activation of NF-kappaB in B cells {R-MMU-1169091}; Oxygen-dependent proline hydroxylation of Hypoxia-inducible Factor Alpha {R-MMU-1234176}; Cross-presentation of soluble exogenous antigens (endosomes) {R-MMU-1236978}; Autodegradation of Cdh1 by Cdh1:APC/C {R-MMU-174084}; APC/C:Cdc20 mediated degradation of Securin {R-MMU-174154}; APC/C:Cdh1 mediated degradation of Cdc20 and other APC/C:Cdh1 targeted proteins in late mitosis/early G1 {R-MMU-174178}; Cdc20:Phospho-APC/C mediated degradation of Cyclin A {R-MMU-174184}; SCF(Skp2)-mediated degradation of p27/p21 {R-MMU-187577}; Degradation of beta-catenin by the destruction complex {R-MMU-195253}; Downstream TCR signaling {R-MMU-202424}; Separation of Sister Chromatids {R-MMU-2467813}; FCERI mediated NF-kB activation {R-MMU-2871837}; Autodegradation of the E3 ubiquitin ligase COP1 {R-MMU-349425}; Regulation of ornithine decarboxylase (ODC) {R-MMU-350562}; ABC-family proteins mediated transport {R-MMU-382556}; AUF1 (hnRNP D0) binds and destabilizes mRNA {R-MMU-450408}; Asymmetric localization of PCP proteins {R-MMU-4608870}; Degradation of AXIN {R-MMU-4641257}; Degradation of DVL {R-MMU-4641258}; Hedgehog ligand biogenesis {R-MMU-5358346}; Dectin-1 mediated noncanonical NF-kB signaling {R-MMU-5607761}; CLEC7A (Dectin-1) signaling {R-MMU-5607764}; Degradation of GLI1 by the proteasome {R-MMU-5610780}; GLI3 is processed to GLI3R by the proteasome {R-MMU-5610785}; Hedgehog 'on' state {R-MMU-5632684}; Regulation of RAS by GAPs {R-MMU-5658442}; TNFR2 non-canonical NF-kB pathway {R-MMU-5668541}; NIK--&gt;noncanonical NF-kB signaling {R-MMU-5676590}; MAPK6/MAPK4 signaling {R-MMU-5687128}; UCH proteinases {R-MMU-5689603}; Ub-specific processing proteases {R-MMU-5689880}; Neutrophil degranulation {R-MMU-6798695}; Assembly of the pre-replicative complex {R-MMU-68867}; Orc1 removal from chromatin {R-MMU-68949}; CDK-mediated phosphorylation and removal of Cdc6 {R-MMU-69017}; G2/M Checkpoints {R-MMU-69481}; Ubiquitin Mediated Degradation of Phosphorylated Cdc25A {R-MMU-69601}; Ubiquitin-dependent degradation of Cyclin D {R-MMU-75815}; The role of GTSE1 in G2/M progression after G2 checkpoint {R-MMU-8852276}; FBXL7 down-regulates AURKA during mitotic entry and in early mitosis {R-MMU-8854050}; RUNX1 regulates transcription of genes involved in differentiation of HSCs {R-MMU-8939236}; Regulation of RUNX2 expression and activity {R-MMU-8939902}; Regulation of RUNX3 expression and activity {R-MMU-8941858}; Regulation of PTEN stability and activity {R-MMU-8948751}; Neddylation {R-MMU-8951664}; Interleukin-1 signaling {R-MMU-9020702}; KEAP1-NFE2L2 pathway {R-MMU-9755511}; GSK3B and BTRC:CUL1-mediated-degradation of NFE2L2 {R-MMU-9762114}; Antigen processing: Ubiquitination &amp; Proteasome degradation {R-MMU-983168}</t>
  </si>
  <si>
    <t>sp|Q02248|CTNB1_MOUSE</t>
  </si>
  <si>
    <t>Catenin beta-1</t>
  </si>
  <si>
    <t>Beta-catenin</t>
  </si>
  <si>
    <t>CTNB1_MOUSE</t>
  </si>
  <si>
    <t>Q02248</t>
  </si>
  <si>
    <t>Q922W1; Q9D335</t>
  </si>
  <si>
    <t>Catnb</t>
  </si>
  <si>
    <t>MGI:88276</t>
  </si>
  <si>
    <t>3D-structure; Acetylation; Activator; Cell adhesion; Cell junction; Cell membrane; Cell projection; Cytoplasm; Cytoskeleton; Glycoprotein; Membrane; Neurogenesis; Nucleus; Phosphoprotein; Repeat; S-nitrosylation; Synapse; Transcription; Transcription regulation; Ubl conjugation; Wnt signaling pathway</t>
  </si>
  <si>
    <t>Cell adhesion; Neurogenesis; Transcription; Transcription regulation; Wnt signaling pathway</t>
  </si>
  <si>
    <t>Cell junction; Cell membrane; Cell projection; Cytoplasm; Cytoskeleton; Membrane; Nucleus; Synapse</t>
  </si>
  <si>
    <t>Activator</t>
  </si>
  <si>
    <t>Acetylation; Glycoprotein; Phosphoprotein; S-nitrosylation; Ubl conjugation</t>
  </si>
  <si>
    <t>acinar cell differentiation {GO:0090425}; adherens junction assembly {GO:0034333}; adherens junction organization {GO:0034332}; animal organ development {GO:0048513}; anterior/posterior axis specification {GO:0009948}; apoptotic signaling pathway {GO:0097190}; astrocyte-dopaminergic neuron signaling {GO:0036520}; bone resorption {GO:0045453}; branching involved in blood vessel morphogenesis {GO:0001569}; branching involved in ureteric bud morphogenesis {GO:0001658}; canonical Wnt signaling pathway {GO:0060070}; canonical Wnt signaling pathway involved in mesenchymal stem cell differentiation {GO:0044338}; canonical Wnt signaling pathway involved in midbrain dopaminergic neuron differentiation {GO:1904954}; canonical Wnt signaling pathway involved in osteoblast differentiation {GO:0044339}; canonical Wnt signaling pathway involved in positive regulation of cardiac outflow tract cell proliferation {GO:0061324}; canonical Wnt signaling pathway involved in positive regulation of epithelial to mesenchymal transition {GO:0044334}; cardiac muscle cell proliferation {GO:0060038}; cardiac vascular smooth muscle cell differentiation {GO:0060947}; cell adhesion {GO:0007155}; cell differentiation {GO:0030154}; cell fate specification {GO:0001708}; cell maturation {GO:0048469}; cell morphogenesis involved in differentiation {GO:0000904}; cell population proliferation {GO:0008283}; cell-cell adhesion {GO:0098609}; cell-matrix adhesion {GO:0007160}; cellular response to growth factor stimulus {GO:0071363}; cellular response to indole-3-methanol {GO:0071681}; cellular response to insulin-like growth factor stimulus {GO:1990314}; cellular response to mechanical stimulus {GO:0071260}; central nervous system vasculogenesis {GO:0022009}; chemical synaptic transmission {GO:0007268}; chondrocyte differentiation {GO:0002062}; coronary artery morphogenesis {GO:0060982}; cranial ganglion development {GO:0061550}; cranial skeletal system development {GO:1904888}; DNA-templated transcription {GO:0006351}; dorsal root ganglion development {GO:1990791}; dorsal/ventral axis specification {GO:0009950}; dorsal/ventral pattern formation {GO:0009953}; ectoderm development {GO:0007398}; embryonic axis specification {GO:0000578}; embryonic brain development {GO:1990403}; embryonic digit morphogenesis {GO:0042733}; embryonic foregut morphogenesis {GO:0048617}; embryonic forelimb morphogenesis {GO:0035115}; embryonic heart tube development {GO:0035050}; embryonic hindlimb morphogenesis {GO:0035116}; embryonic organ development {GO:0048568}; embryonic skeletal limb joint morphogenesis {GO:0036023}; endoderm formation {GO:0001706}; endodermal cell fate commitment {GO:0001711}; endothelial tube morphogenesis {GO:0061154}; epicardium-derived cardiac vascular smooth muscle cell differentiation {GO:0060983}; epithelial cell differentiation involved in prostate gland development {GO:0060742}; epithelial cell proliferation involved in prostate gland development {GO:0060767}; epithelial tube branching involved in lung morphogenesis {GO:0060441}; fibroblast growth factor receptor signaling pathway {GO:0008543}; forebrain development {GO:0030900}; fungiform papilla formation {GO:0061198}; gastrulation with mouth forming second {GO:0001702}; genitalia morphogenesis {GO:0035112}; glandular epithelial cell differentiation {GO:0002067}; glial cell fate determination {GO:0007403}; hair cycle process {GO:0022405}; hair follicle morphogenesis {GO:0031069}; hair follicle placode formation {GO:0060789}; heart development {GO:0007507}; hemopoiesis {GO:0030097}; hindbrain development {GO:0030902}; hypothalamus development {GO:0021854}; I-kappaB kinase/NF-kappaB signaling {GO:0007249}; in utero embryonic development {GO:0001701}; kidney development {GO:0001822}; layer formation in cerebral cortex {GO:0021819}; lens morphogenesis in camera-type eye {GO:0002089}; limb development {GO:0060173}; lung cell differentiation {GO:0060479}; lung development {GO:0030324}; lung epithelial cell differentiation {GO:0060487}; lung induction {GO:0060492}; lung-associated mesenchyme development {GO:0060484}; male genitalia development {GO:0030539}; MAPK cascade {GO:0000165}; mesenchymal cell proliferation {GO:0010463}; mesenchymal cell proliferation involved in lung development {GO:0060916}; mesenchymal stem cell differentiation {GO:0072497}; mesenchyme development {GO:0060485}; mesenchyme morphogenesis {GO:0072132}; metanephros morphogenesis {GO:0003338}; midbrain development {GO:0030901}; midbrain dopaminergic neuron differentiation {GO:1904948}; morphogenesis of embryonic epithelium {GO:0016331}; myoblast proliferation {GO:0051450}; negative regulation of angiogenesis {GO:0016525}; negative regulation of apoptotic process {GO:0043066}; negative regulation of apoptotic signaling pathway {GO:2001234}; negative regulation of canonical Wnt signaling pathway {GO:0090090}; negative regulation of cell differentiation {GO:0045596}; negative regulation of cell population proliferation {GO:0008285}; negative regulation of chondrocyte differentiation {GO:0032331}; negative regulation of DNA-templated transcription {GO:0045892}; negative regulation of gene expression {GO:0010629}; negative regulation of mesenchymal to epithelial transition involved in metanephros morphogenesis {GO:0003340}; negative regulation of mitotic cell cycle, embryonic {GO:0045976}; negative regulation of neurogenesis {GO:0050768}; negative regulation of neuron death {GO:1901215}; negative regulation of oligodendrocyte differentiation {GO:0048715}; negative regulation of osteoclast differentiation {GO:0045671}; negative regulation of oxidative stress-induced neuron death {GO:1903204}; negative regulation of protein sumoylation {GO:0033234}; negative regulation of transcription by RNA polymerase II {GO:0000122}; nephron tubule formation {GO:0072079}; neural plate development {GO:0001840}; neuroblast proliferation {GO:0007405}; neuron differentiation {GO:0030182}; neuron fate determination {GO:0048664}; neuron migration {GO:0001764}; neuron projection extension {GO:1990138}; odontogenesis of dentin-containing tooth {GO:0042475}; oligodendrocyte differentiation {GO:0048709}; oocyte development {GO:0048599}; osteoblast differentiation {GO:0001649}; osteoclast differentiation {GO:0030316}; oviduct development {GO:0060066}; pancreas development {GO:0031016}; positive regulation of apoptotic process {GO:0043065}; positive regulation of branching involved in lung morphogenesis {GO:0061047}; positive regulation of cell differentiation {GO:0045597}; positive regulation of cell population proliferation {GO:0008284}; positive regulation of core promoter binding {GO:1904798}; positive regulation of determination of dorsal identity {GO:2000017}; positive regulation of DNA-binding transcription factor activity {GO:0051091}; positive regulation of DNA-templated transcription {GO:0045893}; positive regulation of endothelial cell differentiation {GO:0045603}; positive regulation of epithelial cell differentiation {GO:0030858}; positive regulation of epithelial cell proliferation involved in prostate gland development {GO:0060769}; positive regulation of epithelial to mesenchymal transition {GO:0010718}; positive regulation of fibroblast growth factor receptor signaling pathway {GO:0045743}; positive regulation of gene expression {GO:0010628}; positive regulation of heparan sulfate proteoglycan biosynthetic process {GO:0010909}; positive regulation of histone H3-K4 methylation {GO:0051571}; positive regulation of I-kappaB kinase/NF-kappaB signaling {GO:0043123}; positive regulation of MAPK cascade {GO:0043410}; positive regulation of mesenchymal cell proliferation {GO:0002053}; positive regulation of molecular function {GO:0044093}; positive regulation of myoblast proliferation {GO:2000288}; positive regulation of neural precursor cell proliferation {GO:2000179}; positive regulation of neuroblast proliferation {GO:0002052}; positive regulation of neuron apoptotic process {GO:0043525}; positive regulation of osteoblast differentiation {GO:0045669}; positive regulation of skeletal muscle tissue development {GO:0048643}; positive regulation of stem cell proliferation {GO:2000648}; positive regulation of telomerase activity {GO:0051973}; positive regulation of telomere maintenance via telomerase {GO:0032212}; positive regulation of transcription by RNA polymerase II {GO:0045944}; positive regulation of transcription elongation by RNA polymerase II {GO:0032968}; proteasome-mediated ubiquitin-dependent protein catabolic process {GO:0043161}; protein localization {GO:0008104}; protein localization to cell surface {GO:0034394}; protein polyubiquitination {GO:0000209}; proximal/distal pattern formation {GO:0009954}; regulation of apoptotic process {GO:0042981}; regulation of calcium ion import {GO:0090279}; regulation of cell differentiation {GO:0045595}; regulation of cell population proliferation {GO:0042127}; regulation of centriole-centriole cohesion {GO:0030997}; regulation of centromeric sister chromatid cohesion {GO:0070602}; regulation of core promoter binding {GO:1904796}; regulation of epithelial cell differentiation {GO:0030856}; regulation of gene expression {GO:0010468}; regulation of myelination {GO:0031641}; regulation of nephron tubule epithelial cell differentiation {GO:0072182}; regulation of neurogenesis {GO:0050767}; regulation of osteoblast differentiation {GO:0045667}; regulation of osteoclast differentiation {GO:0045670}; regulation of protein localization to cell surface {GO:2000008}; regulation of secondary heart field cardioblast proliferation {GO:0003266}; regulation of smooth muscle cell proliferation {GO:0048660}; regulation of T cell proliferation {GO:0042129}; regulation of timing of anagen {GO:0051884}; regulation of transcription by RNA polymerase II {GO:0006357}; renal inner medulla development {GO:0072053}; renal outer medulla development {GO:0072054}; renal vesicle formation {GO:0072033}; response to cytokine {GO:0034097}; response to estradiol {GO:0032355}; response to estrogen {GO:0043627}; response to xenobiotic stimulus {GO:0009410}; Schwann cell proliferation {GO:0014010}; skeletal system development {GO:0001501}; skin development {GO:0043588}; smooth muscle cell differentiation {GO:0051145}; stem cell proliferation {GO:0072089}; sympathetic ganglion development {GO:0061549}; synapse organization {GO:0050808}; synaptic vesicle clustering {GO:0097091}; synaptic vesicle transport {GO:0048489}; T cell differentiation {GO:0030217}; T cell differentiation in thymus {GO:0033077}; thymus development {GO:0048538}; tissue homeostasis {GO:0001894}; trachea formation {GO:0060440}; trachea morphogenesis {GO:0060439}; transcription by RNA polymerase II {GO:0006366}; vasculature development {GO:0001944}; vasculogenesis {GO:0001570}; ventricular compact myocardium morphogenesis {GO:0003223}</t>
  </si>
  <si>
    <t>adherens junction {GO:0005912}; apical junction complex {GO:0043296}; apical part of cell {GO:0045177}; apical plasma membrane {GO:0016324}; apicolateral plasma membrane {GO:0016327}; basolateral plasma membrane {GO:0016323}; beta-catenin destruction complex {GO:0030877}; beta-catenin-ICAT complex {GO:1990711}; beta-catenin-TCF complex {GO:1990907}; beta-catenin-TCF7L2 complex {GO:0070369}; bicellular tight junction {GO:0005923}; catenin complex {GO:0016342}; cell cortex {GO:0005938}; cell junction {GO:0030054}; cell periphery {GO:0071944}; cell projection membrane {GO:0031253}; cell-cell junction {GO:0005911}; centrosome {GO:0005813}; cytoplasm {GO:0005737}; cytosol {GO:0005829}; dendritic shaft {GO:0043198}; euchromatin {GO:0000791}; fascia adherens {GO:0005916}; flotillin complex {GO:0016600}; intercalated disc {GO:0014704}; lamellipodium {GO:0030027}; lateral plasma membrane {GO:0016328}; membrane {GO:0016020}; microvillus membrane {GO:0031528}; neuron projection {GO:0043005}; nuclear membrane {GO:0031965}; nucleus {GO:0005634}; perinuclear region of cytoplasm {GO:0048471}; plasma membrane {GO:0005886}; postsynaptic density, intracellular component {GO:0099092}; postsynaptic membrane {GO:0045211}; presynaptic active zone cytoplasmic component {GO:0098831}; presynaptic membrane {GO:0042734}; protein-containing complex {GO:0032991}; protein-DNA complex {GO:0032993}; RNA polymerase II transcription regulator complex {GO:0090575}; Schaffer collateral - CA1 synapse {GO:0098685}; Scrib-APC-beta-catenin complex {GO:0034750}; spindle pole {GO:0000922}; synapse {GO:0045202}; tight junction {GO:0070160}; transcription regulator complex {GO:0005667}; Wnt signalosome {GO:1990909}; Z disc {GO:0030018}</t>
  </si>
  <si>
    <t>alpha-catenin binding {GO:0045294}; beta-catenin binding {GO:0008013}; cadherin binding {GO:0045296}; chromatin binding {GO:0003682}; delta-catenin binding {GO:0070097}; disordered domain specific binding {GO:0097718}; DNA-binding transcription factor binding {GO:0140297}; enzyme binding {GO:0019899}; histone methyltransferase binding {GO:1990226}; I-SMAD binding {GO:0070411}; ionotropic glutamate receptor binding {GO:0035255}; kinase binding {GO:0019900}; molecular function activator activity {GO:0140677}; nitric-oxide synthase binding {GO:0050998}; nuclear estrogen receptor binding {GO:0030331}; nuclear receptor binding {GO:0016922}; nucleic acid binding {GO:0003676}; protein C-terminus binding {GO:0008022}; protein kinase binding {GO:0019901}; protein phosphatase binding {GO:0019903}; protein-containing complex binding {GO:0044877}; RNA polymerase II-specific DNA-binding transcription factor binding {GO:0061629}; SMAD binding {GO:0046332}; transcription coactivator activity {GO:0003713}; transcription coregulator binding {GO:0001221}; transmembrane transporter binding {GO:0044325}</t>
  </si>
  <si>
    <t>Degradation of beta-catenin by the destruction complex {R-MMU-195253}; Beta-catenin phosphorylation cascade {R-MMU-196299}; TCF dependent signaling in response to WNT {R-MMU-201681}; Formation of the beta-catenin:TCF transactivating complex {R-MMU-201722}; LRR FLII-interacting protein 1 (LRRFIP1) activates type I IFN production {R-MMU-3134973}; Apoptotic cleavage of cell adhesion proteins {R-MMU-351906}; Deactivation of the beta-catenin transactivating complex {R-MMU-3769402}; Ca2+ pathway {R-MMU-4086398}; Adherens junctions interactions {R-MMU-418990}; Disassembly of the destruction complex and recruitment of AXIN to the membrane {R-MMU-4641262}; VEGFR2 mediated vascular permeability {R-MMU-5218920}; Myogenesis {R-MMU-525793}; RHO GTPases activate IQGAPs {R-MMU-5626467}; Transcriptional Regulation by VENTX {R-MMU-8853884}; RUNX3 regulates WNT signaling {R-MMU-8951430}</t>
  </si>
  <si>
    <t>sp|P14131|RS16_MOUSE</t>
  </si>
  <si>
    <t>40S ribosomal protein S16</t>
  </si>
  <si>
    <t>RS16_MOUSE</t>
  </si>
  <si>
    <t>P14131</t>
  </si>
  <si>
    <t>Q3THM9</t>
  </si>
  <si>
    <t>MGI:98118</t>
  </si>
  <si>
    <t>3D-structure; Acetylation; Phosphoprotein; Ribonucleoprotein; Ribosomal protein</t>
  </si>
  <si>
    <t>cellular response to leukemia inhibitory factor {GO:1990830}; cytoplasmic translation {GO:0002181}; maturation of SSU-rRNA from tricistronic rRNA transcript (SSU-rRNA, 5.8S rRNA, LSU-rRNA) {GO:0000462}; ribosomal small subunit biogenesis {GO:0042274}; rRNA processing {GO:0006364}</t>
  </si>
  <si>
    <t>cytoplasm {GO:0005737}; cytosol {GO:0005829}; cytosolic ribosome {GO:0022626}; cytosolic small ribosomal subunit {GO:0022627}; small ribosomal subunit {GO:0015935}</t>
  </si>
  <si>
    <t>sp|P14602|HSPB1_MOUSE</t>
  </si>
  <si>
    <t>Heat shock protein beta-1 (HspB1)</t>
  </si>
  <si>
    <t>Growth-related 25 kDa protein; Heat shock 25 kDa protein (HSP 25); Heat shock 27 kDa protein (HSP 27); p25</t>
  </si>
  <si>
    <t>HSPB1_MOUSE</t>
  </si>
  <si>
    <t>P14602</t>
  </si>
  <si>
    <t>Hsp25; Hsp27</t>
  </si>
  <si>
    <t>MGI:96240</t>
  </si>
  <si>
    <t>Acetylation; Alternative splicing; Chaperone; Cytoplasm; Cytoskeleton; Methylation; Nucleus; Phosphoprotein; Stress response</t>
  </si>
  <si>
    <t>anterograde axonal protein transport {GO:0099641}; cellular response to vascular endothelial growth factor stimulus {GO:0035924}; chaperone-mediated protein folding {GO:0061077}; intracellular signal transduction {GO:0035556}; negative regulation of apoptotic signaling pathway {GO:2001234}; negative regulation of oxidative stress-induced cell death {GO:1903202}; negative regulation of oxidative stress-induced intrinsic apoptotic signaling pathway {GO:1902176}; negative regulation of protein kinase activity {GO:0006469}; negative regulation of regulatory T cell differentiation {GO:0045590}; positive regulation of angiogenesis {GO:0045766}; positive regulation of blood vessel endothelial cell migration {GO:0043536}; positive regulation of endothelial cell chemotaxis {GO:2001028}; positive regulation of endothelial cell chemotaxis by VEGF-activated vascular endothelial growth factor receptor signaling pathway {GO:0038033}; positive regulation of interleukin-1 beta production {GO:0032731}; positive regulation of neuron projection development {GO:0010976}; positive regulation of tumor necrosis factor production {GO:0032760}; protein refolding {GO:0042026}; regulation of I-kappaB kinase/NF-kappaB signaling {GO:0043122}; regulation of protein phosphorylation {GO:0001932}; response to heat {GO:0009408}; response to unfolded protein {GO:0006986}; response to virus {GO:0009615}</t>
  </si>
  <si>
    <t>axon {GO:0030424}; axon cytoplasm {GO:1904115}; cardiac myofibril {GO:0097512}; contractile fiber {GO:0043292}; cornified envelope {GO:0001533}; cytoplasm {GO:0005737}; dendrite {GO:0030425}; I band {GO:0031674}; M band {GO:0031430}; nucleus {GO:0005634}; perikaryon {GO:0043204}; plasma membrane {GO:0005886}; postsynaptic density membrane {GO:0098839}; proteasome complex {GO:0000502}; spindle {GO:0005819}; synapse {GO:0045202}; Z disc {GO:0030018}</t>
  </si>
  <si>
    <t>identical protein binding {GO:0042802}; protein folding chaperone {GO:0044183}; protein homodimerization activity {GO:0042803}; protein kinase binding {GO:0019901}; protein kinase C binding {GO:0005080}; protein kinase C inhibitor activity {GO:0008426}; RNA polymerase II-specific DNA-binding transcription factor binding {GO:0061629}; ubiquitin binding {GO:0043130}; unfolded protein binding {GO:0051082}</t>
  </si>
  <si>
    <t>VEGFA-VEGFR2 Pathway {R-MMU-4420097}; AUF1 (hnRNP D0) binds and destabilizes mRNA {R-MMU-450408}; MAPK6/MAPK4 signaling {R-MMU-5687128}; Extra-nuclear estrogen signaling {R-MMU-9009391}</t>
  </si>
  <si>
    <t>sp|P15864|H12_MOUSE</t>
  </si>
  <si>
    <t>Histone H1.2</t>
  </si>
  <si>
    <t>H1 VAR.1; H1c</t>
  </si>
  <si>
    <t>H12_MOUSE</t>
  </si>
  <si>
    <t>P15864</t>
  </si>
  <si>
    <t>MGI:1931526</t>
  </si>
  <si>
    <t>Acetylation; ADP-ribosylation; Chromosome; Citrullination; DNA-binding; Hydroxylation; Methylation; Nucleus; Phosphoprotein</t>
  </si>
  <si>
    <t>ADP-ribosylation; Acetylation; Citrullination; Hydroxylation; Methylation; Phosphoprotein</t>
  </si>
  <si>
    <t>chromatin organization {GO:0006325}; chromosome condensation {GO:0030261}; histone H3-K27 trimethylation {GO:0098532}; histone H3-K4 trimethylation {GO:0080182}; negative regulation of DNA recombination {GO:0045910}; negative regulation of transcription by RNA polymerase II {GO:0000122}; nucleosome assembly {GO:0006334}; regulation of transcription by RNA polymerase II {GO:0006357}</t>
  </si>
  <si>
    <t>euchromatin {GO:0000791}; nucleosome {GO:0000786}; nucleus {GO:0005634}</t>
  </si>
  <si>
    <t>chromatin DNA binding {GO:0031490}; DNA binding {GO:0003677}; double-stranded DNA binding {GO:0003690}; nucleosomal DNA binding {GO:0031492}; structural constituent of chromatin {GO:0030527}</t>
  </si>
  <si>
    <t>sp|Q9CY58|PAIRB_MOUSE</t>
  </si>
  <si>
    <t>Plasminogen activator inhibitor 1 RNA-binding protein</t>
  </si>
  <si>
    <t>PAI1 RNA-binding protein 1 (PAI-RBP1); SERPINE1 mRNA-binding protein 1</t>
  </si>
  <si>
    <t>PAIRB_MOUSE</t>
  </si>
  <si>
    <t>Q9CY58</t>
  </si>
  <si>
    <t>Q8BHS2; Q8BHU0; Q91WP3; Q9CSN0; Q9DBY6</t>
  </si>
  <si>
    <t>Pairbp1</t>
  </si>
  <si>
    <t>MGI:1914120</t>
  </si>
  <si>
    <t>3D-structure; Acetylation; Alternative splicing; Cytoplasm; Isopeptide bond; Methylation; Nucleus; Phosphoprotein; RNA-binding; Ubl conjugation</t>
  </si>
  <si>
    <t>PML body organization {GO:0030578}; regulation of apoptotic process {GO:0042981}</t>
  </si>
  <si>
    <t>cytoplasm {GO:0005737}; cytosol {GO:0005829}; nucleus {GO:0005634}; perinuclear region of cytoplasm {GO:0048471}; plasma membrane {GO:0005886}</t>
  </si>
  <si>
    <t>mRNA 3'-UTR binding {GO:0003730}; ribosome binding {GO:0043022}; RNA binding {GO:0003723}; SUMO binding {GO:0032183}</t>
  </si>
  <si>
    <t>sp|P70296|PEBP1_MOUSE</t>
  </si>
  <si>
    <t>Hippocampal cholinergic neurostimulating peptide</t>
  </si>
  <si>
    <t>HCNPpp (HCNP)</t>
  </si>
  <si>
    <t>PEBP1_MOUSE</t>
  </si>
  <si>
    <t>P70296</t>
  </si>
  <si>
    <t>Q9D8G9; Q9JJ58</t>
  </si>
  <si>
    <t>Pbp; Pebp</t>
  </si>
  <si>
    <t>MGI:1344408</t>
  </si>
  <si>
    <t>3D-structure; Acetylation; ATP-binding; Cytoplasm; Disulfide bond; Lipid-binding; Nucleotide-binding; Phosphoprotein; Protease inhibitor; Serine protease inhibitor</t>
  </si>
  <si>
    <t>Protease inhibitor; Serine protease inhibitor</t>
  </si>
  <si>
    <t>MAPK cascade {GO:0000165}; negative regulation of MAPK cascade {GO:0043409}; negative regulation of protein phosphorylation {GO:0001933}; positive regulation of acetylcholine metabolic process {GO:0060409}; positive regulation of cAMP-mediated signaling {GO:0043950}; positive regulation of mitotic nuclear division {GO:0045840}; regulation of neurotransmitter levels {GO:0001505}; regulation of the force of heart contraction {GO:0002026}; sperm capacitation {GO:0048240}</t>
  </si>
  <si>
    <t>apical part of cell {GO:0045177}; axon terminus {GO:0043679}; cell surface {GO:0009986}; cytoplasm {GO:0005737}; extracellular space {GO:0005615}; Golgi apparatus {GO:0005794}; mitochondrial outer membrane {GO:0005741}; mitochondrion {GO:0005739}; myelin sheath {GO:0043209}; neuron projection {GO:0043005}; neuronal cell body {GO:0043025}; rough endoplasmic reticulum {GO:0005791}; synaptic vesicle {GO:0008021}</t>
  </si>
  <si>
    <t>ATP binding {GO:0005524}; enzyme binding {GO:0019899}; kinase binding {GO:0019900}; lipid binding {GO:0008289}; mitogen-activated protein kinase binding {GO:0051019}; protein kinase binding {GO:0019901}; receptor serine/threonine kinase binding {GO:0033612}; serine-type endopeptidase inhibitor activity {GO:0004867}; signaling receptor binding {GO:0005102}</t>
  </si>
  <si>
    <t>MAP2K and MAPK activation {R-MMU-5674135}; Negative regulation of MAPK pathway {R-MMU-5675221}</t>
  </si>
  <si>
    <t>sp|Q8R1B4|EIF3C_MOUSE</t>
  </si>
  <si>
    <t>Eukaryotic translation initiation factor 3 subunit C (eIF3c)</t>
  </si>
  <si>
    <t>Eukaryotic translation initiation factor 3 subunit 8; eIF3 p110</t>
  </si>
  <si>
    <t>EIF3C_MOUSE</t>
  </si>
  <si>
    <t>Q8R1B4</t>
  </si>
  <si>
    <t>Q8R3M7</t>
  </si>
  <si>
    <t>Eif3s8</t>
  </si>
  <si>
    <t>MGI:1926966</t>
  </si>
  <si>
    <t>Acetylation; Cytoplasm; Initiation factor; Phosphoprotein; Protein biosynthesis</t>
  </si>
  <si>
    <t>Initiation factor</t>
  </si>
  <si>
    <t>formation of cytoplasmic translation initiation complex {GO:0001732}; translational initiation {GO:0006413}</t>
  </si>
  <si>
    <t>eukaryotic 43S preinitiation complex {GO:0016282}; eukaryotic 48S preinitiation complex {GO:0033290}; eukaryotic translation initiation factor 3 complex {GO:0005852}; eukaryotic translation initiation factor 3 complex, eIF3m {GO:0071541}</t>
  </si>
  <si>
    <t>ribosome binding {GO:0043022}; RNA binding {GO:0003723}; translation initiation factor activity {GO:0003743}; translation initiation factor binding {GO:0031369}</t>
  </si>
  <si>
    <t>sp|Q9CPU0|LGUL_MOUSE</t>
  </si>
  <si>
    <t>Lactoylglutathione lyase</t>
  </si>
  <si>
    <t>Aldoketomutase; Glyoxalase I (Glx I); Ketone-aldehyde mutase; Methylglyoxalase; S-D-lactoylglutathione methylglyoxal lyase</t>
  </si>
  <si>
    <t>LGUL_MOUSE</t>
  </si>
  <si>
    <t>Q9CPU0</t>
  </si>
  <si>
    <t>Q543L3; Q8R3T1</t>
  </si>
  <si>
    <t>MGI:95742</t>
  </si>
  <si>
    <t>3D-structure; Acetylation; Disulfide bond; Glutathionylation; Lyase; Metal-binding; Phosphoprotein; Zinc</t>
  </si>
  <si>
    <t>Acetylation; Disulfide bond; Glutathionylation; Phosphoprotein</t>
  </si>
  <si>
    <t>carbohydrate metabolic process {GO:0005975}; glutathione metabolic process {GO:0006749}; methylglyoxal catabolic process to D-lactate via S-lactoyl-glutathione {GO:0019243}; methylglyoxal metabolic process {GO:0009438}; negative regulation of apoptotic process {GO:0043066}; osteoclast differentiation {GO:0030316}; regulation of transcription by RNA polymerase II {GO:0006357}</t>
  </si>
  <si>
    <t>cytosol {GO:0005829}; nucleoplasm {GO:0005654}; plasma membrane {GO:0005886}</t>
  </si>
  <si>
    <t>lactoylglutathione lyase activity {GO:0004462}; zinc ion binding {GO:0008270}</t>
  </si>
  <si>
    <t>Secondary metabolite metabolism; methylglyoxal degradation; (R)-lactate from methylglyoxal: step 1/2.</t>
  </si>
  <si>
    <t>sp|Q91VI7|RINI_MOUSE</t>
  </si>
  <si>
    <t>Ribonuclease inhibitor</t>
  </si>
  <si>
    <t>Ribonuclease/angiogenin inhibitor 1</t>
  </si>
  <si>
    <t>RINI_MOUSE</t>
  </si>
  <si>
    <t>Q91VI7</t>
  </si>
  <si>
    <t>Q924P4</t>
  </si>
  <si>
    <t>Rnh</t>
  </si>
  <si>
    <t>MGI:1195456</t>
  </si>
  <si>
    <t>3D-structure; Acetylation; Cytoplasm; Leucine-rich repeat; Phosphoprotein; Repeat</t>
  </si>
  <si>
    <t>Leucine-rich repeat; Repeat</t>
  </si>
  <si>
    <t>regulation of angiogenesis {GO:0045765}</t>
  </si>
  <si>
    <t>angiogenin-PRI complex {GO:0032311}; cytosol {GO:0005829}; nucleoplasm {GO:0005654}</t>
  </si>
  <si>
    <t>ribonuclease inhibitor activity {GO:0008428}</t>
  </si>
  <si>
    <t>sp|P62827|RAN_MOUSE</t>
  </si>
  <si>
    <t>GTP-binding nuclear protein Ran</t>
  </si>
  <si>
    <t>GTPase Ran; Ras-like protein TC4; Ras-related nuclear protein</t>
  </si>
  <si>
    <t>RAN_MOUSE</t>
  </si>
  <si>
    <t>P62827</t>
  </si>
  <si>
    <t>P17080; P28746; P28747; Q3U954; Q811M2; Q86V08; Q9CSP3; Q9CWI7; Q9CZA2; Q9UDJ5; Q9UEU9</t>
  </si>
  <si>
    <t>Rasl2-8</t>
  </si>
  <si>
    <t>MGI:1333112</t>
  </si>
  <si>
    <t>Acetylation; Cell cycle; Cell division; Cytoplasm; GTP-binding; Hydrolase; Isopeptide bond; Magnesium; Metal-binding; Mitosis; Nucleotide-binding; Nucleus; Phosphoprotein; Protein transport; Transport; Ubl conjugation</t>
  </si>
  <si>
    <t>Cell cycle; Cell division; Mitosis; Protein transport; Transport</t>
  </si>
  <si>
    <t>actin cytoskeleton organization {GO:0030036}; cell division {GO:0051301}; GTP metabolic process {GO:0046039}; mitotic sister chromatid segregation {GO:0000070}; positive regulation of protein binding {GO:0032092}; positive regulation of protein import into nucleus {GO:0042307}; protein export from nucleus {GO:0006611}; protein import into nucleus {GO:0006606}; protein localization {GO:0008104}; protein localization to nucleolus {GO:1902570}; protein-containing complex localization {GO:0031503}; regulation of protein binding {GO:0043393}; ribosomal large subunit export from nucleus {GO:0000055}; ribosomal small subunit export from nucleus {GO:0000056}; ribosomal subunit export from nucleus {GO:0000054}; snRNA import into nucleus {GO:0061015}</t>
  </si>
  <si>
    <t>centriole {GO:0005814}; chromatin {GO:0000785}; cytoplasm {GO:0005737}; cytosol {GO:0005829}; male germ cell nucleus {GO:0001673}; manchette {GO:0002177}; melanosome {GO:0042470}; midbody {GO:0030496}; nuclear envelope {GO:0005635}; nuclear pore {GO:0005643}; nucleolus {GO:0005730}; nucleoplasm {GO:0005654}; nucleus {GO:0005634}; protein-containing complex {GO:0032991}; recycling endosome {GO:0055037}; RNA nuclear export complex {GO:0042565}; sperm flagellum {GO:0036126}</t>
  </si>
  <si>
    <t>dynein intermediate chain binding {GO:0045505}; GDP binding {GO:0019003}; GTP binding {GO:0005525}; GTPase activity {GO:0003924}; importin-alpha family protein binding {GO:0061676}; magnesium ion binding {GO:0000287}; pre-miRNA binding {GO:0070883}; protein domain specific binding {GO:0019904}; protein heterodimerization activity {GO:0046982}; protein-containing complex binding {GO:0044877}</t>
  </si>
  <si>
    <t>Regulation of cholesterol biosynthesis by SREBP (SREBF) {R-MMU-1655829}; Transcriptional regulation by small RNAs {R-MMU-5578749}; Postmitotic nuclear pore complex (NPC) reformation {R-MMU-9615933}</t>
  </si>
  <si>
    <t>sp|O55142|RL35A_MOUSE</t>
  </si>
  <si>
    <t>60S ribosomal protein L35a</t>
  </si>
  <si>
    <t>RL35A_MOUSE</t>
  </si>
  <si>
    <t>O55142</t>
  </si>
  <si>
    <t>MGI:1928894</t>
  </si>
  <si>
    <t>cytoplasm {GO:0005737}; cytosol {GO:0005829}; cytosolic large ribosomal subunit {GO:0022625}; cytosolic ribosome {GO:0022626}; mitochondrion {GO:0005739}</t>
  </si>
  <si>
    <t>sp|P28658|ATX10_MOUSE</t>
  </si>
  <si>
    <t>Ataxin-10</t>
  </si>
  <si>
    <t>Brain protein E46; Spinocerebellar ataxia type 10 protein homolog</t>
  </si>
  <si>
    <t>ATX10_MOUSE</t>
  </si>
  <si>
    <t>P28658</t>
  </si>
  <si>
    <t>Q543S3; Q99LP5; Q9D1I1</t>
  </si>
  <si>
    <t>Sca10</t>
  </si>
  <si>
    <t>MGI:1859293</t>
  </si>
  <si>
    <t>Cytoplasm; Methylation; Phosphoprotein</t>
  </si>
  <si>
    <t>Methylation; Phosphoprotein</t>
  </si>
  <si>
    <t>cilium assembly {GO:0060271}; nervous system development {GO:0007399}; neuron projection development {GO:0031175}</t>
  </si>
  <si>
    <t>cytoplasm {GO:0005737}; cytosol {GO:0005829}; dendrite {GO:0030425}; neuronal cell body {GO:0043025}; perinuclear region of cytoplasm {GO:0048471}; plasma membrane {GO:0005886}</t>
  </si>
  <si>
    <t>enzyme binding {GO:0019899}; identical protein binding {GO:0042802}</t>
  </si>
  <si>
    <t>sp|Q93092|TALDO_MOUSE</t>
  </si>
  <si>
    <t>Transaldolase</t>
  </si>
  <si>
    <t>TALDO_MOUSE</t>
  </si>
  <si>
    <t>Q93092</t>
  </si>
  <si>
    <t>P70358; P70703; Q52KM4</t>
  </si>
  <si>
    <t>Tal; Taldo</t>
  </si>
  <si>
    <t>MGI:1274789</t>
  </si>
  <si>
    <t>3D-structure; Acetylation; Alternative initiation; Cytoplasm; Nucleus; Pentose shunt; Phosphoprotein; Schiff base; Transferase</t>
  </si>
  <si>
    <t>Pentose shunt</t>
  </si>
  <si>
    <t>carbohydrate metabolic process {GO:0005975}; fructose 6-phosphate metabolic process {GO:0006002}; glyceraldehyde-3-phosphate metabolic process {GO:0019682}; pentose-phosphate shunt {GO:0006098}; pentose-phosphate shunt, non-oxidative branch {GO:0009052}</t>
  </si>
  <si>
    <t>cytoplasm {GO:0005737}; cytosol {GO:0005829}; intracellular membrane-bounded organelle {GO:0043231}; nucleus {GO:0005634}</t>
  </si>
  <si>
    <t>carbohydrate binding {GO:0030246}; identical protein binding {GO:0042802}; monosaccharide binding {GO:0048029}; transaldolase activity {GO:0004801}</t>
  </si>
  <si>
    <t>Carbohydrate degradation; pentose phosphate pathway; D- glyceraldehyde 3-phosphate and beta-D-fructose 6-phosphate from D- ribose 5-phosphate and D-xylulose 5-phosphate (non-oxidative stage): step 2/3..</t>
  </si>
  <si>
    <t>sp|P99024|TBB5_MOUSE</t>
  </si>
  <si>
    <t>Tubulin beta-5 chain</t>
  </si>
  <si>
    <t>TBB5_MOUSE</t>
  </si>
  <si>
    <t>P99024</t>
  </si>
  <si>
    <t>B1B178; P05218; Q3TFB6; Q3THH9; Q3TIL1; Q3UAV4; Q3UF52; Q8WUC1; Q9CY33</t>
  </si>
  <si>
    <t>MGI:107812</t>
  </si>
  <si>
    <t>Acetylation; Cytoplasm; Cytoskeleton; GTP-binding; Isopeptide bond; Magnesium; Metal-binding; Methylation; Microtubule; Nucleotide-binding; Phosphoprotein; Ubl conjugation</t>
  </si>
  <si>
    <t>microtubule cytoskeleton organization {GO:0000226}; microtubule-based process {GO:0007017}; mitotic cell cycle {GO:0000278}; odontoblast differentiation {GO:0071895}; regulation of synapse organization {GO:0050807}; spindle assembly {GO:0051225}</t>
  </si>
  <si>
    <t>cell body {GO:0044297}; cytoplasm {GO:0005737}; cytoplasmic ribonucleoprotein granule {GO:0036464}; cytosol {GO:0005829}; intercellular bridge {GO:0045171}; membrane raft {GO:0045121}; microtubule {GO:0005874}; microtubule cytoskeleton {GO:0015630}; mitotic spindle {GO:0072686}; nuclear envelope lumen {GO:0005641}; nucleus {GO:0005634}; protein-containing complex {GO:0032991}; tubulin complex {GO:0045298}</t>
  </si>
  <si>
    <t>GTP binding {GO:0005525}; GTPase activating protein binding {GO:0032794}; GTPase activity {GO:0003924}; MHC class I protein binding {GO:0042288}; protein domain specific binding {GO:0019904}; protein-containing complex binding {GO:0044877}; structural constituent of cytoskeleton {GO:0005200}; ubiquitin protein ligase binding {GO:0031625}</t>
  </si>
  <si>
    <t>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Neutrophil degranulation {R-MMU-6798695}; AURKA Activation by TPX2 {R-MMU-8854518}</t>
  </si>
  <si>
    <t>sp|P62196|PRS8_MOUSE</t>
  </si>
  <si>
    <t>26S proteasome regulatory subunit 8</t>
  </si>
  <si>
    <t>26S proteasome AAA-ATPase subunit RPT6; Proteasome 26S subunit ATPase 5; Proteasome subunit p45; p45/SUG (mSUG1)</t>
  </si>
  <si>
    <t>PRS8_MOUSE</t>
  </si>
  <si>
    <t>P62196</t>
  </si>
  <si>
    <t>O35051; P47210; P52915; P52916; Q3UL51; Q9CWN5</t>
  </si>
  <si>
    <t>Sug1</t>
  </si>
  <si>
    <t>MGI:105047</t>
  </si>
  <si>
    <t>Acetylation; ATP-binding; Cytoplasm; Nucleotide-binding; Nucleus; Phosphoprotein; Proteasome</t>
  </si>
  <si>
    <t>modulation of chemical synaptic transmission {GO:0050804}; negative regulation of DNA-templated transcription {GO:0045892}; positive regulation of inclusion body assembly {GO:0090261}; proteasome-mediated ubiquitin-dependent protein catabolic process {GO:0043161}; regulation of transcription by RNA polymerase II {GO:0006357}</t>
  </si>
  <si>
    <t>cytoplasm {GO:0005737}; cytoplasmic vesicle {GO:0031410}; cytosolic proteasome complex {GO:0031597}; inclusion body {GO:0016234}; nuclear proteasome complex {GO:0031595}; nucleus {GO:0005634}; postsynapse {GO:0098794}; proteasome accessory complex {GO:0022624}; proteasome complex {GO:0000502}; proteasome regulatory particle {GO:0005838}; proteasome regulatory particle, base subcomplex {GO:0008540}; transcription factor TFIIH holo complex {GO:0005675}</t>
  </si>
  <si>
    <t>ATP binding {GO:0005524}; ATP hydrolysis activity {GO:0016887}; DNA-binding transcription factor binding {GO:0140297}; general transcription initiation factor binding {GO:0140296}; proteasome-activating activity {GO:0036402}; signaling receptor binding {GO:0005102}; TBP-class protein binding {GO:0017025}; thyrotropin-releasing hormone receptor binding {GO:0031531}</t>
  </si>
  <si>
    <t>Activation of NF-kappaB in B cells {R-MMU-1169091}; Oxygen-dependent proline hydroxylation of Hypoxia-inducible Factor Alpha {R-MMU-1234176}; Cross-presentation of soluble exogenous antigens (endosomes) {R-MMU-1236978}; Autodegradation of Cdh1 by Cdh1:APC/C {R-MMU-174084}; APC/C:Cdc20 mediated degradation of Securin {R-MMU-174154}; APC/C:Cdh1 mediated degradation of Cdc20 and other APC/C:Cdh1 targeted proteins in late mitosis/early G1 {R-MMU-174178}; Cdc20:Phospho-APC/C mediated degradation of Cyclin A {R-MMU-174184}; SCF(Skp2)-mediated degradation of p27/p21 {R-MMU-187577}; Degradation of beta-catenin by the destruction complex {R-MMU-195253}; Downstream TCR signaling {R-MMU-202424}; Separation of Sister Chromatids {R-MMU-2467813}; FCERI mediated NF-kB activation {R-MMU-2871837}; Autodegradation of the E3 ubiquitin ligase COP1 {R-MMU-349425}; Regulation of ornithine decarboxylase (ODC) {R-MMU-350562}; ABC-family proteins mediated transport {R-MMU-382556}; AUF1 (hnRNP D0) binds and destabilizes mRNA {R-MMU-450408}; Asymmetric localization of PCP proteins {R-MMU-4608870}; Degradation of AXIN {R-MMU-4641257}; Degradation of DVL {R-MMU-4641258}; Hedgehog ligand biogenesis {R-MMU-5358346}; Dectin-1 mediated noncanonical NF-kB signaling {R-MMU-5607761}; CLEC7A (Dectin-1) signaling {R-MMU-5607764}; Degradation of GLI1 by the proteasome {R-MMU-5610780}; GLI3 is processed to GLI3R by the proteasome {R-MMU-5610785}; Hedgehog 'on' state {R-MMU-5632684}; Regulation of RAS by GAPs {R-MMU-5658442}; TNFR2 non-canonical NF-kB pathway {R-MMU-5668541}; NIK--&gt;noncanonical NF-kB signaling {R-MMU-5676590}; MAPK6/MAPK4 signaling {R-MMU-5687128}; UCH proteinases {R-MMU-5689603}; Ub-specific processing proteases {R-MMU-5689880}; Assembly of the pre-replicative complex {R-MMU-68867}; Orc1 removal from chromatin {R-MMU-68949}; CDK-mediated phosphorylation and removal of Cdc6 {R-MMU-69017}; G2/M Checkpoints {R-MMU-69481}; Ubiquitin Mediated Degradation of Phosphorylated Cdc25A {R-MMU-69601}; Ubiquitin-dependent degradation of Cyclin D {R-MMU-75815}; The role of GTSE1 in G2/M progression after G2 checkpoint {R-MMU-8852276}; FBXL7 down-regulates AURKA during mitotic entry and in early mitosis {R-MMU-8854050}; RUNX1 regulates transcription of genes involved in differentiation of HSCs {R-MMU-8939236}; Regulation of RUNX2 expression and activity {R-MMU-8939902}; Regulation of RUNX3 expression and activity {R-MMU-8941858}; Regulation of PTEN stability and activity {R-MMU-8948751}; Neddylation {R-MMU-8951664}; Interleukin-1 signaling {R-MMU-9020702}; KEAP1-NFE2L2 pathway {R-MMU-9755511}; GSK3B and BTRC:CUL1-mediated-degradation of NFE2L2 {R-MMU-9762114}; Antigen processing: Ubiquitination &amp; Proteasome degradation {R-MMU-983168}</t>
  </si>
  <si>
    <t>sp|P10493|NID1_MOUSE</t>
  </si>
  <si>
    <t>Nidogen-1 (NID-1)</t>
  </si>
  <si>
    <t>Entactin</t>
  </si>
  <si>
    <t>NID1_MOUSE</t>
  </si>
  <si>
    <t>P10493</t>
  </si>
  <si>
    <t>Q3TKX9; Q8BQI3; Q8C3U8; Q8C9P6</t>
  </si>
  <si>
    <t>Ent</t>
  </si>
  <si>
    <t>MGI:97342</t>
  </si>
  <si>
    <t>3D-structure; Basement membrane; Calcium; Cell adhesion; Disulfide bond; EGF-like domain; Extracellular matrix; Glycoprotein; Repeat; Secreted; Signal; Sulfation</t>
  </si>
  <si>
    <t>Cell adhesion</t>
  </si>
  <si>
    <t>Basement membrane; Extracellular matrix; Secreted</t>
  </si>
  <si>
    <t>EGF-like domain; Repeat; Signal</t>
  </si>
  <si>
    <t>Disulfide bond; Glycoprotein; Sulfation</t>
  </si>
  <si>
    <t>cell-matrix adhesion {GO:0007160}; extracellular matrix organization {GO:0030198}; glomerular basement membrane development {GO:0032836}; positive regulation of cell adhesion {GO:0045785}; positive regulation of cell-substrate adhesion {GO:0010811}; positive regulation of integrin-mediated signaling pathway {GO:2001046}; positive regulation of muscle cell differentiation {GO:0051149}; regulation of basement membrane organization {GO:0110011}</t>
  </si>
  <si>
    <t>basement membrane {GO:0005604}; cell periphery {GO:0071944}; collagen-containing extracellular matrix {GO:0062023}; extracellular matrix {GO:0031012}; extracellular region {GO:0005576}; plasma membrane {GO:0005886}; protein complex involved in cell-matrix adhesion {GO:0098637}</t>
  </si>
  <si>
    <t>calcium ion binding {GO:0005509}; collagen binding {GO:0005518}; extracellular matrix binding {GO:0050840}; laminin binding {GO:0043236}; laminin-1 binding {GO:0043237}; proteoglycan binding {GO:0043394}</t>
  </si>
  <si>
    <t>Degradation of the extracellular matrix {R-MMU-1474228}; Laminin interactions {R-MMU-3000157}</t>
  </si>
  <si>
    <t>sp|P26039|TLN1_MOUSE</t>
  </si>
  <si>
    <t>Talin-1</t>
  </si>
  <si>
    <t>TLN1_MOUSE</t>
  </si>
  <si>
    <t>P26039</t>
  </si>
  <si>
    <t>A2AIM8; Q8VEF0</t>
  </si>
  <si>
    <t>Tln</t>
  </si>
  <si>
    <t>MGI:1099832</t>
  </si>
  <si>
    <t>3D-structure; Acetylation; Cell junction; Cell membrane; Cell projection; Cytoplasm; Cytoskeleton; Membrane; Phosphoprotein</t>
  </si>
  <si>
    <t>Cell junction; Cell membrane; Cell projection; Cytoplasm; Cytoskeleton; Membrane</t>
  </si>
  <si>
    <t>cell-cell adhesion {GO:0098609}; cell-substrate junction assembly {GO:0007044}; cortical actin cytoskeleton organization {GO:0030866}; integrin activation {GO:0033622}; integrin-mediated signaling pathway {GO:0007229}</t>
  </si>
  <si>
    <t>adherens junction {GO:0005912}; cell surface {GO:0009986}; cytoplasm {GO:0005737}; cytoskeleton {GO:0005856}; focal adhesion {GO:0005925}; plasma membrane {GO:0005886}; ruffle {GO:0001726}; ruffle membrane {GO:0032587}</t>
  </si>
  <si>
    <t>actin filament binding {GO:0051015}; integrin binding {GO:0005178}; LIM domain binding {GO:0030274}; phosphatidylinositol binding {GO:0035091}; phosphatidylserine binding {GO:0001786}; structural constituent of cytoskeleton {GO:0005200}; vinculin binding {GO:0017166}</t>
  </si>
  <si>
    <t>Platelet degranulation {R-MMU-114608}; Integrin signaling {R-MMU-354192}; GRB2:SOS provides linkage to MAPK signaling for Integrins {R-MMU-354194}; p130Cas linkage to MAPK signaling for integrins {R-MMU-372708}; SEMA3A-Plexin repulsion signaling by inhibiting Integrin adhesion {R-MMU-399955}; Smooth Muscle Contraction {R-MMU-445355}; MAP2K and MAPK activation {R-MMU-5674135}</t>
  </si>
  <si>
    <t>sp|P14115|RL27A_MOUSE</t>
  </si>
  <si>
    <t>60S ribosomal protein L27a</t>
  </si>
  <si>
    <t>L29</t>
  </si>
  <si>
    <t>RL27A_MOUSE</t>
  </si>
  <si>
    <t>P14115</t>
  </si>
  <si>
    <t>Q9CQ16; Q9R1X6</t>
  </si>
  <si>
    <t>MGI:1347076</t>
  </si>
  <si>
    <t>3D-structure; Acetylation; Cytoplasm; Hydroxylation; Phosphoprotein; Ribonucleoprotein; Ribosomal protein</t>
  </si>
  <si>
    <t>cytoplasm {GO:0005737}; cytosol {GO:0005829}; cytosolic large ribosomal subunit {GO:0022625}; cytosolic ribosome {GO:0022626}; endoplasmic reticulum {GO:0005783}</t>
  </si>
  <si>
    <t>sp|Q60598|SRC8_MOUSE</t>
  </si>
  <si>
    <t>Src substrate cortactin</t>
  </si>
  <si>
    <t>SRC8_MOUSE</t>
  </si>
  <si>
    <t>Q60598</t>
  </si>
  <si>
    <t>Q3UGC2</t>
  </si>
  <si>
    <t>Ems1</t>
  </si>
  <si>
    <t>MGI:99695</t>
  </si>
  <si>
    <t>3D-structure; Acetylation; Cell junction; Cell membrane; Cell projection; Coated pit; Coiled coil; Cytoplasm; Cytoskeleton; Endocytosis; Endoplasmic reticulum; Isopeptide bond; Membrane; Methylation; Phosphoprotein; Repeat; SH3 domain; Synapse; Ubl conjugation</t>
  </si>
  <si>
    <t>Endocytosis</t>
  </si>
  <si>
    <t>Cell junction; Cell membrane; Cell projection; Coated pit; Cytoplasm; Cytoskeleton; Endoplasmic reticulum; Membrane; Synapse</t>
  </si>
  <si>
    <t>actin cytoskeleton reorganization {GO:0031532}; actin filament polymerization {GO:0030041}; cell motility {GO:0048870}; dendritic spine maintenance {GO:0097062}; extrinsic apoptotic signaling pathway {GO:0097191}; focal adhesion assembly {GO:0048041}; intracellular protein transport {GO:0006886}; lamellipodium organization {GO:0097581}; modification of postsynaptic actin cytoskeleton {GO:0098885}; negative regulation of extrinsic apoptotic signaling pathway {GO:2001237}; neuron projection morphogenesis {GO:0048812}; positive regulation of actin filament polymerization {GO:0030838}; positive regulation of chemotaxis {GO:0050921}; positive regulation of smooth muscle contraction {GO:0045987}; receptor-mediated endocytosis {GO:0006898}; regulation of actin filament polymerization {GO:0030833}; regulation of autophagy of mitochondrion {GO:1903146}; regulation of axon extension {GO:0030516}; regulation of cell projection assembly {GO:0060491}; substrate-dependent cell migration, cell extension {GO:0006930}</t>
  </si>
  <si>
    <t>actin filament {GO:0005884}; cell cortex {GO:0005938}; cell junction {GO:0030054}; clathrin-coated pit {GO:0005905}; cortical actin cytoskeleton {GO:0030864}; cortical cytoskeleton {GO:0030863}; cytoplasm {GO:0005737}; cytosol {GO:0005829}; dendritic spine {GO:0043197}; focal adhesion {GO:0005925}; glutamatergic synapse {GO:0098978}; Golgi apparatus {GO:0005794}; growth cone {GO:0030426}; intracellular membrane-bounded organelle {GO:0043231}; lamellipodium {GO:0030027}; mitotic spindle midzone {GO:1990023}; plasma membrane {GO:0005886}; podosome {GO:0002102}; postsynaptic actin cytoskeleton {GO:0098871}; ruffle {GO:0001726}; site of polarized growth {GO:0030427}; voltage-gated potassium channel complex {GO:0008076}</t>
  </si>
  <si>
    <t>actin filament binding {GO:0051015}; Arp2/3 complex binding {GO:0071933}; profilin binding {GO:0005522}; proline-rich region binding {GO:0070064}</t>
  </si>
  <si>
    <t>sp|P46935|NEDD4_MOUSE</t>
  </si>
  <si>
    <t>E3 ubiquitin-protein ligase NEDD4</t>
  </si>
  <si>
    <t>HECT-type E3 ubiquitin transferase NEDD4; Neural precursor cell expressed developmentally down-regulated protein 4 (NEDD-4)</t>
  </si>
  <si>
    <t>NEDD4_MOUSE</t>
  </si>
  <si>
    <t>P46935</t>
  </si>
  <si>
    <t>O08758; Q3UZI2; Q8BGB3</t>
  </si>
  <si>
    <t>MGI:97297</t>
  </si>
  <si>
    <t>3D-structure; Cell membrane; Cytoplasm; Membrane; Neurogenesis; Nucleus; Phosphoprotein; Repeat; Transferase; Ubl conjugation; Ubl conjugation pathway</t>
  </si>
  <si>
    <t>Neurogenesis; Ubl conjugation pathway</t>
  </si>
  <si>
    <t>Phosphoprotein; Ubl conjugation</t>
  </si>
  <si>
    <t>adaptive immune response {GO:0002250}; blood vessel morphogenesis {GO:0048514}; cellular response to UV {GO:0034644}; endocardial cushion development {GO:0003197}; establishment of localization in cell {GO:0051649}; formation of structure involved in a symbiotic process {GO:0044111}; glucocorticoid receptor signaling pathway {GO:0042921}; lysosomal transport {GO:0007041}; negative regulation of sodium ion transmembrane transporter activity {GO:2000650}; negative regulation of sodium ion transport {GO:0010766}; negative regulation of transcription by RNA polymerase II {GO:0000122}; negative regulation of transcription from RNA polymerase II promoter in response to UV-induced DNA damage {GO:0010768}; negative regulation of vascular endothelial growth factor receptor signaling pathway {GO:0030948}; neuromuscular junction development {GO:0007528}; neuron projection development {GO:0031175}; outflow tract morphogenesis {GO:0003151}; positive regulation of nucleocytoplasmic transport {GO:0046824}; positive regulation of phosphatidylinositol 3-kinase signaling {GO:0014068}; positive regulation of protein catabolic process {GO:0045732}; progesterone receptor signaling pathway {GO:0050847}; proteasome-mediated ubiquitin-dependent protein catabolic process {GO:0043161}; protein K63-linked ubiquitination {GO:0070534}; protein monoubiquitination {GO:0006513}; protein polyubiquitination {GO:0000209}; protein targeting to lysosome {GO:0006622}; protein ubiquitination {GO:0016567}; receptor catabolic process {GO:0032801}; receptor internalization {GO:0031623}; regulation of dendrite morphogenesis {GO:0048814}; regulation of ion transmembrane transport {GO:0034765}; regulation of membrane potential {GO:0042391}; regulation of postsynaptic neurotransmitter receptor internalization {GO:0099149}; regulation of potassium ion transmembrane transporter activity {GO:1901016}; regulation of protein catabolic process at postsynapse, modulating synaptic transmission {GO:0099576}; regulation of synapse organization {GO:0050807}; sodium ion transport {GO:0006814}; T cell activation {GO:0042110}; ubiquitin-dependent protein catabolic process {GO:0006511}; ubiquitin-dependent protein catabolic process via the multivesicular body sorting pathway {GO:0043162}; viral budding {GO:0046755}</t>
  </si>
  <si>
    <t>cell cortex {GO:0005938}; chromatin {GO:0000785}; cytoplasm {GO:0005737}; cytosol {GO:0005829}; dendritic spine {GO:0043197}; glutamatergic synapse {GO:0098978}; Golgi apparatus {GO:0005794}; membrane {GO:0016020}; membrane raft {GO:0045121}; microvillus {GO:0005902}; nucleus {GO:0005634}; perinuclear region of cytoplasm {GO:0048471}; plasma membrane {GO:0005886}; postsynaptic cytosol {GO:0099524}; protein-containing complex {GO:0032991}; ubiquitin ligase complex {GO:0000151}</t>
  </si>
  <si>
    <t>beta-2 adrenergic receptor binding {GO:0031698}; enzyme binding {GO:0019899}; ionotropic glutamate receptor binding {GO:0035255}; phosphoserine residue binding {GO:0050815}; phosphothreonine residue binding {GO:0050816}; proline-rich region binding {GO:0070064}; protein C-terminus binding {GO:0008022}; protein domain specific binding {GO:0019904}; RNA polymerase binding {GO:0070063}; sodium channel inhibitor activity {GO:0019871}; ubiquitin binding {GO:0043130}; ubiquitin protein ligase activity {GO:0061630}; ubiquitin-protein transferase activity {GO:0004842}</t>
  </si>
  <si>
    <t>ISG15 antiviral mechanism {R-MMU-1169408}; Downregulation of ERBB4 signaling {R-MMU-1253288}; Regulation of PTEN localization {R-MMU-8948747}; Regulation of PTEN stability and activity {R-MMU-8948751}; Antigen processing: Ubiquitination &amp; Proteasome degradation {R-MMU-983168}</t>
  </si>
  <si>
    <t>sp|Q6ZQ38|CAND1_MOUSE</t>
  </si>
  <si>
    <t>Cullin-associated NEDD8-dissociated protein 1</t>
  </si>
  <si>
    <t>Cullin-associated and neddylation-dissociated protein 1; p120 CAND1</t>
  </si>
  <si>
    <t>CAND1_MOUSE</t>
  </si>
  <si>
    <t>Q6ZQ38</t>
  </si>
  <si>
    <t>Q6PFR0; Q9CV45</t>
  </si>
  <si>
    <t>D10Ertd516e; Kiaa0829</t>
  </si>
  <si>
    <t>MGI:1261820</t>
  </si>
  <si>
    <t>Acetylation; Cytoplasm; Nucleus; Phosphoprotein; Repeat; Ubl conjugation pathway</t>
  </si>
  <si>
    <t>cell differentiation {GO:0030154}; negative regulation of catalytic activity {GO:0043086}; positive regulation of DNA-templated transcription {GO:0045893}; positive regulation of RNA polymerase II transcription preinitiation complex assembly {GO:0045899}; protein ubiquitination {GO:0016567}; SCF complex assembly {GO:0010265}</t>
  </si>
  <si>
    <t>cullin-RING ubiquitin ligase complex {GO:0031461}; cytoplasm {GO:0005737}; cytosol {GO:0005829}; Golgi apparatus {GO:0005794}; nucleoplasm {GO:0005654}; nucleus {GO:0005634}; ubiquitin ligase complex {GO:0000151}</t>
  </si>
  <si>
    <t>TBP-class protein binding {GO:0017025}</t>
  </si>
  <si>
    <t>Neutrophil degranulation {R-MMU-6798695}; Neddylation {R-MMU-8951664}; Iron uptake and transport {R-MMU-917937}</t>
  </si>
  <si>
    <t>sp|Q810U4|NRCAM_MOUSE</t>
  </si>
  <si>
    <t>Neuronal cell adhesion molecule (Nr-CAM)</t>
  </si>
  <si>
    <t>Neuronal surface protein Bravo (mBravo); NgCAM-related cell adhesion molecule (Ng-CAM-related)</t>
  </si>
  <si>
    <t>NRCAM_MOUSE</t>
  </si>
  <si>
    <t>Q810U4</t>
  </si>
  <si>
    <t>Q80U33; Q8BLG8; Q8BX92; Q8BYJ8</t>
  </si>
  <si>
    <t>Kiaa0343</t>
  </si>
  <si>
    <t>MGI:104750</t>
  </si>
  <si>
    <t>Alternative splicing; Cell adhesion; Cell membrane; Cell projection; Disulfide bond; Glycoprotein; Immunoglobulin domain; Membrane; Phosphoprotein; Repeat; Secreted; Signal; Transmembrane; Transmembrane helix</t>
  </si>
  <si>
    <t>Cell membrane; Cell projection; Membrane; Secreted</t>
  </si>
  <si>
    <t>Immunoglobulin domain; Repeat; Signal; Transmembrane; Transmembrane helix</t>
  </si>
  <si>
    <t>Disulfide bond; Glycoprotein; Phosphoprotein</t>
  </si>
  <si>
    <t>angiogenesis {GO:0001525}; axon guidance {GO:0007411}; cell-cell adhesion {GO:0098609}; central nervous system development {GO:0007417}; clustering of voltage-gated sodium channels {GO:0045162}; dendrite self-avoidance {GO:0070593}; homophilic cell adhesion via plasma membrane adhesion molecules {GO:0007156}; neuronal action potential propagation {GO:0019227}; protein localization {GO:0008104}; regulation of neuron projection development {GO:0010975}; regulation of postsynapse organization {GO:0099175}; retinal ganglion cell axon guidance {GO:0031290}</t>
  </si>
  <si>
    <t>axon {GO:0030424}; axon initial segment {GO:0043194}; extracellular region {GO:0005576}; glutamatergic synapse {GO:0098978}; integral component of postsynaptic density membrane {GO:0099061}; integral component of postsynaptic membrane {GO:0099055}; node of Ranvier {GO:0033268}; plasma membrane {GO:0005886}; synapse {GO:0045202}</t>
  </si>
  <si>
    <t>ankyrin binding {GO:0030506}; cell-cell adhesion mediator activity {GO:0098632}; protein binding involved in heterotypic cell-cell adhesion {GO:0086080}</t>
  </si>
  <si>
    <t>sp|Q8VIJ6|SFPQ_MOUSE</t>
  </si>
  <si>
    <t>Splicing factor, proline- and glutamine-rich</t>
  </si>
  <si>
    <t>DNA-binding p52/p100 complex, 100 kDa subunit; Polypyrimidine tract-binding protein-associated-splicing factor (PSF; PTB-associated-splicing factor)</t>
  </si>
  <si>
    <t>SFPQ_MOUSE</t>
  </si>
  <si>
    <t>Q8VIJ6</t>
  </si>
  <si>
    <t>A2A7U6; Q9ERW2</t>
  </si>
  <si>
    <t>Psf</t>
  </si>
  <si>
    <t>MGI:1918764</t>
  </si>
  <si>
    <t>Acetylation; Activator; Biological rhythms; Coiled coil; Cytoplasm; DNA damage; DNA repair; DNA-binding; Immunity; Innate immunity; Isopeptide bond; Methylation; mRNA processing; mRNA splicing; Nucleus; Phosphoprotein; Repeat; Repressor; RNA-binding; Transcription; Transcription regulation; Ubl conjugation</t>
  </si>
  <si>
    <t>Biological rhythms; DNA damage; DNA repair; Immunity; Innate immunity; Transcription; Transcription regulation; mRNA processing; mRNA splicing</t>
  </si>
  <si>
    <t>activation of innate immune response {GO:0002218}; alternative mRNA splicing, via spliceosome {GO:0000380}; cellular response to DNA damage stimulus {GO:0006974}; chromosome organization {GO:0051276}; dendritic transport of messenger ribonucleoprotein complex {GO:0098963}; double-strand break repair via homologous recombination {GO:0000724}; histone H3 deacetylation {GO:0070932}; innate immune response {GO:0045087}; negative regulation of circadian rhythm {GO:0042754}; negative regulation of DNA-templated transcription {GO:0045892}; negative regulation of transcription by RNA polymerase II {GO:0000122}; positive regulation of oxidative stress-induced intrinsic apoptotic signaling pathway {GO:1902177}; positive regulation of sister chromatid cohesion {GO:0045876}; positive regulation of transcription by RNA polymerase II {GO:0045944}; regulation of cell cycle {GO:0051726}; regulation of circadian rhythm {GO:0042752}; regulation of DNA-templated transcription {GO:0006355}; rhythmic process {GO:0048511}</t>
  </si>
  <si>
    <t>chromatin {GO:0000785}; dendrite cytoplasm {GO:0032839}; nuclear matrix {GO:0016363}; nuclear speck {GO:0016607}; nucleoplasm {GO:0005654}; nucleus {GO:0005634}; paraspeckles {GO:0042382}; RNA polymerase II transcription regulator complex {GO:0090575}</t>
  </si>
  <si>
    <t>chromatin binding {GO:0003682}; DNA binding {GO:0003677}; histone deacetylase binding {GO:0042826}; protein homodimerization activity {GO:0042803}; RNA binding {GO:0003723}; transcription cis-regulatory region binding {GO:0000976}</t>
  </si>
  <si>
    <t>PTK6 Regulates Proteins Involved in RNA Processing {R-MMU-8849468}</t>
  </si>
  <si>
    <t>sp|P26043|RADI_MOUSE</t>
  </si>
  <si>
    <t>Radixin</t>
  </si>
  <si>
    <t>ESP10</t>
  </si>
  <si>
    <t>RADI_MOUSE</t>
  </si>
  <si>
    <t>P26043</t>
  </si>
  <si>
    <t>Q3TS85; Q9QW27</t>
  </si>
  <si>
    <t>MGI:97887</t>
  </si>
  <si>
    <t>3D-structure; Actin capping; Actin-binding; Cell membrane; Cell projection; Cytoplasm; Cytoskeleton; Membrane; Phosphoprotein</t>
  </si>
  <si>
    <t>apical protein localization {GO:0045176}; barbed-end actin filament capping {GO:0051016}; cellular response to thyroid hormone stimulus {GO:0097067}; establishment of endothelial barrier {GO:0061028}; establishment of protein localization {GO:0045184}; establishment of protein localization to plasma membrane {GO:0061951}; microvillus assembly {GO:0030033}; negative regulation of adherens junction organization {GO:1903392}; negative regulation of cell size {GO:0045792}; negative regulation of GTPase activity {GO:0034260}; negative regulation of homotypic cell-cell adhesion {GO:0034111}; positive regulation of cell migration {GO:0030335}; positive regulation of early endosome to late endosome transport {GO:2000643}; positive regulation of G1/S transition of mitotic cell cycle {GO:1900087}; positive regulation of gene expression {GO:0010628}; positive regulation of protein catabolic process {GO:0045732}; positive regulation of protein localization to early endosome {GO:1902966}; protein kinase A signaling {GO:0010737}; protein localization to plasma membrane {GO:0072659}; regulation of actin filament bundle assembly {GO:0032231}; regulation of cell shape {GO:0008360}; regulation of cell size {GO:0008361}; regulation of GTPase activity {GO:0043087}; regulation of organelle assembly {GO:1902115}; regulation of Rap protein signal transduction {GO:0032487}; regulation of ruffle assembly {GO:1900027}</t>
  </si>
  <si>
    <t>adherens junction {GO:0005912}; apical part of cell {GO:0045177}; apical plasma membrane {GO:0016324}; cell periphery {GO:0071944}; cell tip {GO:0051286}; cleavage furrow {GO:0032154}; cortical actin cytoskeleton {GO:0030864}; cytosol {GO:0005829}; filopodium {GO:0030175}; focal adhesion {GO:0005925}; lamellipodium {GO:0030027}; microvillus {GO:0005902}; midbody {GO:0030496}; myelin sheath {GO:0043209}; plasma membrane {GO:0005886}; ruffle {GO:0001726}; stereocilium {GO:0032420}; T-tubule {GO:0030315}</t>
  </si>
  <si>
    <t>actin binding {GO:0003779}; ATPase binding {GO:0051117}; cell adhesion molecule binding {GO:0050839}; protein domain specific binding {GO:0019904}; protein kinase A binding {GO:0051018}</t>
  </si>
  <si>
    <t>Recycling pathway of L1 {R-MMU-437239}</t>
  </si>
  <si>
    <t>sp|Q61553|FSCN1_MOUSE</t>
  </si>
  <si>
    <t>Fascin</t>
  </si>
  <si>
    <t>Singed-like protein</t>
  </si>
  <si>
    <t>FSCN1_MOUSE</t>
  </si>
  <si>
    <t>Q61553</t>
  </si>
  <si>
    <t>O09099; O09156; Q05DK3; Q7TN32; Q80V75</t>
  </si>
  <si>
    <t>Fan1; Snl</t>
  </si>
  <si>
    <t>MGI:1352745</t>
  </si>
  <si>
    <t>Acetylation; Actin-binding; Cell junction; Cell projection; Cytoplasm; Cytoskeleton; Isopeptide bond; Phosphoprotein; Ubl conjugation</t>
  </si>
  <si>
    <t>actin cytoskeleton organization {GO:0030036}; actin filament bundle assembly {GO:0051017}; cell migration {GO:0016477}; cell motility {GO:0048870}; cell-cell junction assembly {GO:0007043}; establishment of apical/basal cell polarity {GO:0035089}; establishment or maintenance of cell polarity {GO:0007163}; microspike assembly {GO:0030035}; parallel actin filament bundle assembly {GO:0030046}; positive regulation of extracellular matrix disassembly {GO:0090091}; positive regulation of filopodium assembly {GO:0051491}; positive regulation of lamellipodium assembly {GO:0010592}; positive regulation of podosome assembly {GO:0071803}; regulation of actin cytoskeleton organization {GO:0032956}; regulation of microvillus assembly {GO:0032534}</t>
  </si>
  <si>
    <t>actin cytoskeleton {GO:0015629}; cell cortex {GO:0005938}; cell projection membrane {GO:0031253}; cell-cell junction {GO:0005911}; cytoplasm {GO:0005737}; cytoskeleton {GO:0005856}; cytosol {GO:0005829}; dendrite {GO:0030425}; filopodium {GO:0030175}; growth cone {GO:0030426}; lamellipodium {GO:0030027}; microspike {GO:0044393}; microvillus {GO:0005902}; myelin sheath {GO:0043209}; plasma membrane {GO:0005886}; podosome {GO:0002102}; ruffle {GO:0001726}; stress fiber {GO:0001725}</t>
  </si>
  <si>
    <t>actin binding {GO:0003779}; actin filament binding {GO:0051015}; protein-macromolecule adaptor activity {GO:0030674}</t>
  </si>
  <si>
    <t>sp|Q3UPL0|SC31A_MOUSE</t>
  </si>
  <si>
    <t>Protein transport protein Sec31A</t>
  </si>
  <si>
    <t>SEC31-like protein 1; SEC31-related protein A</t>
  </si>
  <si>
    <t>SC31A_MOUSE</t>
  </si>
  <si>
    <t>Q3UPL0</t>
  </si>
  <si>
    <t>Q3UYH3; Q6IQZ3; Q7TQJ7; Q811J4</t>
  </si>
  <si>
    <t>Sec31l1</t>
  </si>
  <si>
    <t>MGI:1916412</t>
  </si>
  <si>
    <t>Alternative splicing; Cytoplasm; Cytoplasmic vesicle; Endoplasmic reticulum; ER-Golgi transport; Isopeptide bond; Membrane; Methylation; Phosphoprotein; Protein transport; Repeat; Transport; Ubl conjugation; WD repeat</t>
  </si>
  <si>
    <t>ER-Golgi transport; Protein transport; Transport</t>
  </si>
  <si>
    <t>Cytoplasm; Cytoplasmic vesicle; Endoplasmic reticulum; Membrane</t>
  </si>
  <si>
    <t>COPII-coated vesicle cargo loading {GO:0090110}; endoplasmic reticulum organization {GO:0007029}; intracellular protein transport {GO:0006886}; response to calcium ion {GO:0051592}</t>
  </si>
  <si>
    <t>COPII vesicle coat {GO:0030127}; COPII-coated ER to Golgi transport vesicle {GO:0030134}; cytoplasm {GO:0005737}; cytosol {GO:0005829}; endoplasmic reticulum {GO:0005783}; endoplasmic reticulum exit site {GO:0070971}; endoplasmic reticulum membrane {GO:0005789}; endosome {GO:0005768}; intracellular membrane-bounded organelle {GO:0043231}; perinuclear region of cytoplasm {GO:0048471}; vesicle coat {GO:0030120}</t>
  </si>
  <si>
    <t>calcium-dependent protein binding {GO:0048306}; structural molecule activity {GO:0005198}</t>
  </si>
  <si>
    <t>COPII-mediated vesicle transport {R-MMU-204005}; MHC class II antigen presentation {R-MMU-2132295}; Antigen Presentation: Folding, assembly and peptide loading of class I MHC {R-MMU-983170}</t>
  </si>
  <si>
    <t>sp|Q3U1J4|DDB1_MOUSE</t>
  </si>
  <si>
    <t>DNA damage-binding protein 1</t>
  </si>
  <si>
    <t>DDB p127 subunit; Damage-specific DNA-binding protein 1; UV-damaged DNA-binding factor</t>
  </si>
  <si>
    <t>DDB1_MOUSE</t>
  </si>
  <si>
    <t>Q3U1J4</t>
  </si>
  <si>
    <t>Q3U4D0; Q3U8G3; Q3UJC4; Q99LV3; Q9QYK0; Q9WV39</t>
  </si>
  <si>
    <t>MGI:1202384</t>
  </si>
  <si>
    <t>Acetylation; Biological rhythms; Cytoplasm; DNA damage; DNA repair; DNA-binding; Isopeptide bond; Nucleus; Phosphoprotein; Repeat; Ubl conjugation; Ubl conjugation pathway</t>
  </si>
  <si>
    <t>Biological rhythms; DNA damage; DNA repair; Ubl conjugation pathway</t>
  </si>
  <si>
    <t>apoptotic process {GO:0006915}; biological process involved in interaction with symbiont {GO:0051702}; cellular response to DNA damage stimulus {GO:0006974}; cellular response to UV {GO:0034644}; DNA repair {GO:0006281}; ectopic germ cell programmed cell death {GO:0035234}; histone H2A monoubiquitination {GO:0035518}; negative regulation of apoptotic process {GO:0043066}; negative regulation of developmental process {GO:0051093}; negative regulation of reproductive process {GO:2000242}; positive regulation by virus of viral protein levels in host cell {GO:0046726}; positive regulation of gluconeogenesis {GO:0045722}; positive regulation of protein catabolic process {GO:0045732}; positive regulation of viral genome replication {GO:0045070}; proteasomal protein catabolic process {GO:0010498}; proteasome-mediated ubiquitin-dependent protein catabolic process {GO:0043161}; protein ubiquitination {GO:0016567}; regulation of circadian rhythm {GO:0042752}; regulation of mitotic cell cycle phase transition {GO:1901990}; rhythmic process {GO:0048511}; ubiquitin-dependent protein catabolic process {GO:0006511}; UV-damage excision repair {GO:0070914}; viral release from host cell {GO:0019076}; Wnt signaling pathway {GO:0016055}</t>
  </si>
  <si>
    <t>Cul4-RING E3 ubiquitin ligase complex {GO:0080008}; Cul4A-RING E3 ubiquitin ligase complex {GO:0031464}; Cul4B-RING E3 ubiquitin ligase complex {GO:0031465}; cytoplasm {GO:0005737}; nucleoplasm {GO:0005654}; nucleus {GO:0005634}; protein-containing complex {GO:0032991}; site of double-strand break {GO:0035861}</t>
  </si>
  <si>
    <t>cullin family protein binding {GO:0097602}; damaged DNA binding {GO:0003684}; protein-containing complex binding {GO:0044877}; protein-macromolecule adaptor activity {GO:0030674}; WD40-repeat domain binding {GO:0071987}</t>
  </si>
  <si>
    <t>Recognition of DNA damage by PCNA-containing replication complex {R-MMU-110314}; DNA Damage Recognition in GG-NER {R-MMU-5696394}; Formation of Incision Complex in GG-NER {R-MMU-5696395}; Dual Incision in GG-NER {R-MMU-5696400}; Formation of TC-NER Pre-Incision Complex {R-MMU-6781823}; Dual incision in TC-NER {R-MMU-6782135}; Gap-filling DNA repair synthesis and ligation in TC-NER {R-MMU-6782210}; Neddylation {R-MMU-8951664}</t>
  </si>
  <si>
    <t>sp|Q91XV3|BASP1_MOUSE</t>
  </si>
  <si>
    <t>Brain acid soluble protein 1</t>
  </si>
  <si>
    <t>22 kDa neuronal tissue-enriched acidic protein; Neuronal axonal membrane protein NAP-22</t>
  </si>
  <si>
    <t>BASP1_MOUSE</t>
  </si>
  <si>
    <t>Q91XV3</t>
  </si>
  <si>
    <t>Nap22</t>
  </si>
  <si>
    <t>MGI:1917600</t>
  </si>
  <si>
    <t>Cell membrane; Cell projection; Isopeptide bond; Lipoprotein; Membrane; Myristate; Phosphoprotein; Ubl conjugation</t>
  </si>
  <si>
    <t>Cell membrane; Cell projection; Membrane</t>
  </si>
  <si>
    <t>Isopeptide bond; Lipoprotein; Myristate; Phosphoprotein; Ubl conjugation</t>
  </si>
  <si>
    <t>negative regulation of DNA-templated transcription {GO:0045892}; podocyte differentiation {GO:0072112}</t>
  </si>
  <si>
    <t>cell junction {GO:0030054}; chromatin {GO:0000785}; COP9 signalosome {GO:0008180}; cytoplasm {GO:0005737}; growth cone {GO:0030426}; nuclear matrix {GO:0016363}; nuclear speck {GO:0016607}; nucleus {GO:0005634}; plasma membrane {GO:0005886}; PML body {GO:0016605}</t>
  </si>
  <si>
    <t>protein domain specific binding {GO:0019904}; transcription cis-regulatory region binding {GO:0000976}; transcription corepressor activity {GO:0003714}</t>
  </si>
  <si>
    <t>RHOF GTPase cycle {R-MMU-9035034}</t>
  </si>
  <si>
    <t>sp|Q9D819|IPYR_MOUSE</t>
  </si>
  <si>
    <t>Inorganic pyrophosphatase</t>
  </si>
  <si>
    <t>Pyrophosphate phospho-hydrolase (PPase)</t>
  </si>
  <si>
    <t>IPYR_MOUSE</t>
  </si>
  <si>
    <t>Q9D819</t>
  </si>
  <si>
    <t>Pp; Pyp</t>
  </si>
  <si>
    <t>MGI:97831</t>
  </si>
  <si>
    <t>Acetylation; Cytoplasm; Hydrolase; Magnesium; Metal-binding; Phosphoprotein</t>
  </si>
  <si>
    <t>phosphate-containing compound metabolic process {GO:0006796}</t>
  </si>
  <si>
    <t>inorganic diphosphate phosphatase activity {GO:0004427}; magnesium ion binding {GO:0000287}; pyrophosphatase activity {GO:0016462}</t>
  </si>
  <si>
    <t>Cytosolic tRNA aminoacylation {R-MMU-379716}; Pyrophosphate hydrolysis {R-MMU-71737}</t>
  </si>
  <si>
    <t>sp|O35685|NUDC_MOUSE</t>
  </si>
  <si>
    <t>Nuclear migration protein nudC</t>
  </si>
  <si>
    <t>Nuclear distribution protein C homolog; Silica-induced gene 92 protein (SIG-92)</t>
  </si>
  <si>
    <t>NUDC_MOUSE</t>
  </si>
  <si>
    <t>O35685</t>
  </si>
  <si>
    <t>Q3UJS7</t>
  </si>
  <si>
    <t>MGI:106014</t>
  </si>
  <si>
    <t>3D-structure; Acetylation; Cell cycle; Cell division; Coiled coil; Cytoplasm; Cytoskeleton; Microtubule; Mitosis; Nucleus; Phosphoprotein</t>
  </si>
  <si>
    <t>Cell cycle; Cell division; Mitosis</t>
  </si>
  <si>
    <t>Cytoplasm; Cytoskeleton; Microtubule; Nucleus</t>
  </si>
  <si>
    <t>cell division {GO:0051301}; mitotic metaphase plate congression {GO:0007080}; mitotic spindle organization {GO:0007052}; nuclear migration {GO:0007097}; protein folding {GO:0006457}; response to peptide hormone {GO:0043434}</t>
  </si>
  <si>
    <t>cytoplasm {GO:0005737}; cytosol {GO:0005829}; Golgi apparatus {GO:0005794}; microtubule {GO:0005874}; midbody {GO:0030496}; mitotic spindle {GO:0072686}; nucleus {GO:0005634}</t>
  </si>
  <si>
    <t>unfolded protein binding {GO:0051082}</t>
  </si>
  <si>
    <t>Amplification of signal from unattached kinetochores via a MAD2 inhibitory signal {R-MMU-141444}; Separation of Sister Chromatids {R-MMU-2467813}; Resolution of Sister Chromatid Cohesion {R-MMU-2500257}; RHO GTPases Activate Formins {R-MMU-5663220}; Mitotic Prometaphase {R-MMU-68877}; EML4 and NUDC in mitotic spindle formation {R-MMU-9648025}; RND2 GTPase cycle {R-MMU-9696270}</t>
  </si>
  <si>
    <t>sp|Q922B2|SYDC_MOUSE</t>
  </si>
  <si>
    <t>Aspartate--tRNA ligase, cytoplasmic</t>
  </si>
  <si>
    <t>Aspartyl-tRNA synthetase (AspRS)</t>
  </si>
  <si>
    <t>SYDC_MOUSE</t>
  </si>
  <si>
    <t>Q922B2</t>
  </si>
  <si>
    <t>Q3U987</t>
  </si>
  <si>
    <t>Dars</t>
  </si>
  <si>
    <t>MGI:2442544</t>
  </si>
  <si>
    <t>Acetylation; Aminoacyl-tRNA synthetase; ATP-binding; Cytoplasm; Ligase; Nucleotide-binding; Phosphoprotein; Protein biosynthesis</t>
  </si>
  <si>
    <t>Aminoacyl-tRNA synthetase; Ligase</t>
  </si>
  <si>
    <t>aspartyl-tRNA aminoacylation {GO:0006422}</t>
  </si>
  <si>
    <t>aminoacyl-tRNA synthetase multienzyme complex {GO:0017101}; cytoplasm {GO:0005737}; cytosol {GO:0005829}; synapse {GO:0045202}</t>
  </si>
  <si>
    <t>aspartate-tRNA ligase activity {GO:0004815}; ATP binding {GO:0005524}; RNA binding {GO:0003723}</t>
  </si>
  <si>
    <t>sp|P62334|PRS10_MOUSE</t>
  </si>
  <si>
    <t>26S proteasome regulatory subunit 10B</t>
  </si>
  <si>
    <t>26S proteasome AAA-ATPase subunit RPT4; Proteasome 26S subunit ATPase 6; Proteasome subunit p42</t>
  </si>
  <si>
    <t>PRS10_MOUSE</t>
  </si>
  <si>
    <t>P62334</t>
  </si>
  <si>
    <t>P49719; Q3TKK1; Q810A6; Q92524; Q9CXH9</t>
  </si>
  <si>
    <t>Sug2</t>
  </si>
  <si>
    <t>MGI:1914339</t>
  </si>
  <si>
    <t>positive regulation of inclusion body assembly {GO:0090261}; positive regulation of RNA polymerase II transcription preinitiation complex assembly {GO:0045899}; proteasome-mediated ubiquitin-dependent protein catabolic process {GO:0043161}; ubiquitin-dependent ERAD pathway {GO:0030433}</t>
  </si>
  <si>
    <t>cytosolic proteasome complex {GO:0031597}; inclusion body {GO:0016234}; nucleus {GO:0005634}; proteasome accessory complex {GO:0022624}; proteasome complex {GO:0000502}; proteasome regulatory particle, base subcomplex {GO:0008540}</t>
  </si>
  <si>
    <t>sp|Q9CX86|ROA0_MOUSE</t>
  </si>
  <si>
    <t>Heterogeneous nuclear ribonucleoprotein A0 (hnRNP A0)</t>
  </si>
  <si>
    <t>ROA0_MOUSE</t>
  </si>
  <si>
    <t>Q9CX86</t>
  </si>
  <si>
    <t>Hnrpa0</t>
  </si>
  <si>
    <t>MGI:1924384</t>
  </si>
  <si>
    <t>Acetylation; Isopeptide bond; Methylation; Nucleus; Phosphoprotein; Repeat; Ribonucleoprotein; RNA-binding; Ubl conjugation</t>
  </si>
  <si>
    <t>3'-UTR-mediated mRNA stabilization {GO:0070935}; inflammatory response {GO:0006954}; response to lipopolysaccharide {GO:0032496}</t>
  </si>
  <si>
    <t>nucleoplasm {GO:0005654}; nucleus {GO:0005634}; ribonucleoprotein complex {GO:1990904}</t>
  </si>
  <si>
    <t>mRNA 3'-UTR AU-rich region binding {GO:0035925}; mRNA 3'-UTR binding {GO:0003730}; protein kinase binding {GO:0019901}</t>
  </si>
  <si>
    <t>sp|P26231|CTNA1_MOUSE</t>
  </si>
  <si>
    <t>Catenin alpha-1</t>
  </si>
  <si>
    <t>102 kDa cadherin-associated protein; Alpha E-catenin; CAP102</t>
  </si>
  <si>
    <t>CTNA1_MOUSE</t>
  </si>
  <si>
    <t>P26231</t>
  </si>
  <si>
    <t>Catna1</t>
  </si>
  <si>
    <t>MGI:88274</t>
  </si>
  <si>
    <t>3D-structure; Acetylation; Cell adhesion; Cell junction; Cell membrane; Cytoplasm; Cytoskeleton; Isopeptide bond; Membrane; Phosphoprotein; Ubl conjugation</t>
  </si>
  <si>
    <t>Cell junction; Cell membrane; Cytoplasm; Cytoskeleton; Membrane</t>
  </si>
  <si>
    <t>actin filament organization {GO:0007015}; aging {GO:0007568}; apical junction assembly {GO:0043297}; apoptotic process {GO:0006915}; axon regeneration {GO:0031103}; cell migration {GO:0016477}; cell motility {GO:0048870}; cell-cell adhesion {GO:0098609}; cellular response to indole-3-methanol {GO:0071681}; epithelial cell-cell adhesion {GO:0090136}; establishment or maintenance of cell polarity {GO:0007163}; extrinsic apoptotic signaling pathway in absence of ligand {GO:0097192}; gap junction assembly {GO:0016264}; integrin-mediated signaling pathway {GO:0007229}; male gonad development {GO:0008584}; negative regulation of apoptotic process {GO:0043066}; negative regulation of cell motility {GO:2000146}; negative regulation of extrinsic apoptotic signaling pathway in absence of ligand {GO:2001240}; negative regulation of integrin-mediated signaling pathway {GO:2001045}; negative regulation of neuroblast proliferation {GO:0007406}; negative regulation of protein localization to nucleus {GO:1900181}; neuroblast proliferation {GO:0007405}; odontogenesis of dentin-containing tooth {GO:0042475}; ovarian follicle development {GO:0001541}; positive regulation of extrinsic apoptotic signaling pathway in absence of ligand {GO:2001241}; positive regulation of smoothened signaling pathway {GO:0045880}; protein localization {GO:0008104}; regulation of cell population proliferation {GO:0042127}; response to estrogen {GO:0043627}; smoothened signaling pathway {GO:0007224}</t>
  </si>
  <si>
    <t>acrosomal vesicle {GO:0001669}; actin cytoskeleton {GO:0015629}; adherens junction {GO:0005912}; catenin complex {GO:0016342}; cell junction {GO:0030054}; cell-cell junction {GO:0005911}; cytoplasm {GO:0005737}; cytosol {GO:0005829}; flotillin complex {GO:0016600}; intercalated disc {GO:0014704}; intracellular membrane-bounded organelle {GO:0043231}; lamellipodium {GO:0030027}; plasma membrane {GO:0005886}; zonula adherens {GO:0005915}</t>
  </si>
  <si>
    <t>actin filament binding {GO:0051015}; beta-catenin binding {GO:0008013}; cadherin binding {GO:0045296}; gamma-catenin binding {GO:0045295}; identical protein binding {GO:0042802}; protein-containing complex binding {GO:0044877}; structural molecule activity {GO:0005198}; vinculin binding {GO:0017166}</t>
  </si>
  <si>
    <t>Adherens junctions interactions {R-MMU-418990}; VEGFR2 mediated vascular permeability {R-MMU-5218920}; Myogenesis {R-MMU-525793}; RHO GTPases activate IQGAPs {R-MMU-5626467}</t>
  </si>
  <si>
    <t>sp|P14824|ANXA6_MOUSE</t>
  </si>
  <si>
    <t>Annexin A6</t>
  </si>
  <si>
    <t>67 kDa calelectrin; Annexin VI; Annexin-6; Calphobindin-II (CPB-II); Chromobindin-20; Lipocortin VI; Protein III; p68; p70</t>
  </si>
  <si>
    <t>ANXA6_MOUSE</t>
  </si>
  <si>
    <t>P14824</t>
  </si>
  <si>
    <t>Q8BSS4</t>
  </si>
  <si>
    <t>Anx6</t>
  </si>
  <si>
    <t>MGI:88255</t>
  </si>
  <si>
    <t>Acetylation; Annexin; Calcium; Calcium/phospholipid-binding; Cytoplasm; Phosphoprotein; Repeat</t>
  </si>
  <si>
    <t>Annexin; Repeat</t>
  </si>
  <si>
    <t>Calcium; Calcium/phospholipid-binding</t>
  </si>
  <si>
    <t>apoptotic signaling pathway {GO:0097190}; calcium ion transport {GO:0006816}; growth plate cartilage chondrocyte differentiation {GO:0003418}; ion transmembrane transport {GO:0034220}; mitochondrial calcium ion homeostasis {GO:0051560}; negative regulation of sequestering of calcium ion {GO:0051283}; neural crest cell migration {GO:0001755}; plasma membrane repair {GO:0001778}; regulation of muscle contraction {GO:0006937}</t>
  </si>
  <si>
    <t>apical plasma membrane {GO:0016324}; collagen-containing extracellular matrix {GO:0062023}; cytoplasm {GO:0005737}; cytosol {GO:0005829}; focal adhesion {GO:0005925}; intercalated disc {GO:0014704}; late endosome membrane {GO:0031902}; lysosomal membrane {GO:0005765}; melanosome {GO:0042470}; membrane {GO:0016020}; mitochondrion {GO:0005739}; nucleus {GO:0005634}; perinuclear region of cytoplasm {GO:0048471}; protein-containing complex {GO:0032991}; sarcolemma {GO:0042383}</t>
  </si>
  <si>
    <t>actin filament binding {GO:0051015}; calcium channel activity {GO:0005262}; calcium ion binding {GO:0005509}; calcium-dependent phospholipid binding {GO:0005544}; calcium-dependent protein binding {GO:0048306}; cholesterol binding {GO:0015485}; chondroitin sulfate binding {GO:0035374}; GTP binding {GO:0005525}; identical protein binding {GO:0042802}; ligand-gated ion channel activity {GO:0015276}; lipid binding {GO:0008289}; phosphatidylserine binding {GO:0001786}; protein-containing complex binding {GO:0044877}</t>
  </si>
  <si>
    <t>tr|E9Q616|E9Q616_MOUSE</t>
  </si>
  <si>
    <t>sp|Q9QXZ0|MACF1_MOUSE</t>
  </si>
  <si>
    <t>Microtubule-actin cross-linking factor 1, isoforms 1/2/3/4</t>
  </si>
  <si>
    <t>Actin cross-linking family 7</t>
  </si>
  <si>
    <t>MACF1_MOUSE</t>
  </si>
  <si>
    <t>Q9QXZ0</t>
  </si>
  <si>
    <t>B1ARU3; P97394; P97395; P97396; Q4PLL5</t>
  </si>
  <si>
    <t>MGI:108559</t>
  </si>
  <si>
    <t>Acetylation; Actin-binding; Alternative splicing; Calcium; Cell membrane; Cell projection; Cytoplasm; Cytoskeleton; Golgi apparatus; Leucine-rich repeat; Membrane; Metal-binding; Microtubule; Phosphoprotein; Repeat; SH3 domain; Wnt signaling pathway</t>
  </si>
  <si>
    <t>Wnt signaling pathway</t>
  </si>
  <si>
    <t>Cell membrane; Cell projection; Cytoplasm; Cytoskeleton; Golgi apparatus; Membrane; Microtubule</t>
  </si>
  <si>
    <t>Leucine-rich repeat; Repeat; SH3 domain</t>
  </si>
  <si>
    <t>establishment or maintenance of cell polarity {GO:0007163}; Golgi to plasma membrane protein transport {GO:0043001}; intermediate filament cytoskeleton organization {GO:0045104}; mesoderm formation {GO:0001707}; positive regulation of axon extension {GO:0045773}; positive regulation of Wnt signaling pathway {GO:0030177}; post-translational protein targeting to endoplasmic reticulum membrane {GO:0006620}; protein localization {GO:0008104}; regulation of cell migration {GO:0030334}; regulation of epithelial cell migration {GO:0010632}; regulation of focal adhesion assembly {GO:0051893}; regulation of microtubule-based process {GO:0032886}; regulation of neuron projection arborization {GO:0150011}; Wnt signaling pathway {GO:0016055}; wound healing {GO:0042060}</t>
  </si>
  <si>
    <t>actin cytoskeleton {GO:0015629}; cell cortex {GO:0005938}; cytoplasm {GO:0005737}; Golgi apparatus {GO:0005794}; membrane {GO:0016020}; microtubule {GO:0005874}; microtubule cytoskeleton {GO:0015630}; plasma membrane {GO:0005886}; postsynaptic density {GO:0014069}; ruffle membrane {GO:0032587}</t>
  </si>
  <si>
    <t>actin binding {GO:0003779}; actin filament binding {GO:0051015}; ATP hydrolysis activity {GO:0016887}; calcium ion binding {GO:0005509}; microtubule binding {GO:0008017}; microtubule minus-end binding {GO:0051011}; structural molecule activity {GO:0005198}</t>
  </si>
  <si>
    <t>sp|P61514|RL37A_MOUSE</t>
  </si>
  <si>
    <t>60S ribosomal protein L37a</t>
  </si>
  <si>
    <t>RL37A_MOUSE</t>
  </si>
  <si>
    <t>P61514</t>
  </si>
  <si>
    <t>P12751</t>
  </si>
  <si>
    <t>MGI:98068</t>
  </si>
  <si>
    <t>3D-structure; Cytoplasm; Metal-binding; Ribonucleoprotein; Ribosomal protein; Zinc; Zinc-finger</t>
  </si>
  <si>
    <t>cytoplasm {GO:0005737}; cytosol {GO:0005829}; cytosolic large ribosomal subunit {GO:0022625}; cytosolic ribosome {GO:0022626}</t>
  </si>
  <si>
    <t>metal ion binding {GO:0046872}; structural constituent of ribosome {GO:0003735}</t>
  </si>
  <si>
    <t>sp|P57780|ACTN4_MOUSE</t>
  </si>
  <si>
    <t>Alpha-actinin-4</t>
  </si>
  <si>
    <t>Non-muscle alpha-actinin 4</t>
  </si>
  <si>
    <t>ACTN4_MOUSE</t>
  </si>
  <si>
    <t>P57780</t>
  </si>
  <si>
    <t>MGI:1890773</t>
  </si>
  <si>
    <t>Acetylation; Actin-binding; Calcium; Cell junction; Cytoplasm; Cytoskeleton; Metal-binding; Nucleus; Phosphoprotein; Protein transport; Repeat; Transport</t>
  </si>
  <si>
    <t>Cell junction; Cytoplasm; Cytoskeleton; Nucleus</t>
  </si>
  <si>
    <t>actin cytoskeleton organization {GO:0030036}; actin filament bundle assembly {GO:0051017}; bicellular tight junction assembly {GO:0070830}; glomerulus development {GO:0032835}; muscle cell development {GO:0055001}; negative regulation of substrate adhesion-dependent cell spreading {GO:1900025}; peroxisome proliferator activated receptor signaling pathway {GO:0035357}; podocyte cell migration {GO:0090521}; positive regulation of cell migration {GO:0030335}; positive regulation of NIK/NF-kappaB signaling {GO:1901224}; positive regulation of pinocytosis {GO:0048549}; protein localization to bicellular tight junction {GO:1902396}; protein transport {GO:0015031}; regulation of apoptotic process {GO:0042981}; regulation of nucleic acid-templated transcription {GO:1903506}; retinoic acid receptor signaling pathway {GO:0048384}; tumor necrosis factor-mediated signaling pathway {GO:0033209}; vesicle transport along actin filament {GO:0030050}</t>
  </si>
  <si>
    <t>actin cytoskeleton {GO:0015629}; cell junction {GO:0030054}; cell projection {GO:0042995}; cell-cell junction {GO:0005911}; cortical actin cytoskeleton {GO:0030864}; cortical cytoskeleton {GO:0030863}; cytoplasm {GO:0005737}; cytosol {GO:0005829}; focal adhesion {GO:0005925}; neuron projection {GO:0043005}; nuclear body {GO:0016604}; nucleus {GO:0005634}; perinuclear region of cytoplasm {GO:0048471}; plasma membrane {GO:0005886}; protein-containing complex {GO:0032991}; pseudopodium {GO:0031143}; ribonucleoprotein complex {GO:1990904}; stress fiber {GO:0001725}; Z disc {GO:0030018}</t>
  </si>
  <si>
    <t>actin filament binding {GO:0051015}; calcium ion binding {GO:0005509}; chromatin DNA binding {GO:0031490}; nuclear receptor binding {GO:0016922}; nuclear receptor coactivator activity {GO:0030374}; nuclear retinoic acid receptor binding {GO:0042974}; nucleoside binding {GO:0001882}; protein homodimerization activity {GO:0042803}; protein N-terminus binding {GO:0047485}; protein-containing complex binding {GO:0044877}; RNA polymerase II transcription regulatory region sequence-specific DNA binding {GO:0000977}; structural constituent of cytoskeleton {GO:0005200}; transcription coactivator activity {GO:0003713}; transmembrane transporter binding {GO:0044325}</t>
  </si>
  <si>
    <t>sp|Q8BMK4|CKAP4_MOUSE</t>
  </si>
  <si>
    <t>Cytoskeleton-associated protein 4</t>
  </si>
  <si>
    <t>63-kDa cytoskeleton-linking membrane protein (Climp-63; p63)</t>
  </si>
  <si>
    <t>CKAP4_MOUSE</t>
  </si>
  <si>
    <t>Q8BMK4</t>
  </si>
  <si>
    <t>B2RRB4; Q8BTK8; Q8R3F2</t>
  </si>
  <si>
    <t>MGI:2444926</t>
  </si>
  <si>
    <t>Acetylation; Cell membrane; Coiled coil; Cytoplasm; Cytoskeleton; Endoplasmic reticulum; Lipoprotein; Membrane; Palmitate; Phosphoprotein; Signal-anchor; Transmembrane; Transmembrane helix</t>
  </si>
  <si>
    <t>Cell membrane; Cytoplasm; Cytoskeleton; Endoplasmic reticulum; Membrane</t>
  </si>
  <si>
    <t>Coiled coil; Signal-anchor; Transmembrane; Transmembrane helix</t>
  </si>
  <si>
    <t>Acetylation; Lipoprotein; Palmitate; Phosphoprotein</t>
  </si>
  <si>
    <t>cell surface {GO:0009986}; cytoskeleton {GO:0005856}; endoplasmic reticulum {GO:0005783}; endoplasmic reticulum membrane {GO:0005789}; integral component of membrane {GO:0016021}; lipid droplet {GO:0005811}; perinuclear region of cytoplasm {GO:0048471}; plasma membrane {GO:0005886}; rough endoplasmic reticulum {GO:0005791}</t>
  </si>
  <si>
    <t>Regulation of Insulin-like Growth Factor (IGF) transport and uptake by Insulin-like Growth Factor Binding Proteins (IGFBPs) {R-MMU-381426}; Surfactant metabolism {R-MMU-5683826}; Neutrophil degranulation {R-MMU-6798695}; Post-translational protein phosphorylation {R-MMU-8957275}; RND3 GTPase cycle {R-MMU-9696264}; RND2 GTPase cycle {R-MMU-9696270}</t>
  </si>
  <si>
    <t>sp|O70250|PGAM2_MOUSE</t>
  </si>
  <si>
    <t>Phosphoglycerate mutase 2</t>
  </si>
  <si>
    <t>BPG-dependent PGAM 2; Muscle-specific phosphoglycerate mutase; Phosphoglycerate mutase isozyme M (PGAM-M)</t>
  </si>
  <si>
    <t>PGAM2_MOUSE</t>
  </si>
  <si>
    <t>O70250</t>
  </si>
  <si>
    <t>MGI:1933118</t>
  </si>
  <si>
    <t>Glycolysis; Hydrolase; Isomerase; Phosphoprotein</t>
  </si>
  <si>
    <t>canonical glycolysis {GO:0061621}; gluconeogenesis {GO:0006094}; glycolytic process {GO:0006096}; Notch signaling pathway {GO:0007219}; response to inorganic substance {GO:0010035}; response to mercury ion {GO:0046689}; spermatogenesis {GO:0007283}; striated muscle contraction {GO:0006941}</t>
  </si>
  <si>
    <t>2,3-bisphosphoglycerate-dependent phosphoglycerate mutase activity {GO:0046538}; bisphosphoglycerate mutase activity {GO:0004082}; hydrolase activity {GO:0016787}; identical protein binding {GO:0042802}; phosphoglycerate mutase activity {GO:0004619}</t>
  </si>
  <si>
    <t>sp|Q8BR92|PALM2_MOUSE</t>
  </si>
  <si>
    <t>Paralemmin-2</t>
  </si>
  <si>
    <t>PALM2_MOUSE</t>
  </si>
  <si>
    <t>Q8BR92</t>
  </si>
  <si>
    <t>MGI:1934601</t>
  </si>
  <si>
    <t>Cell membrane; Coiled coil; Lipoprotein; Membrane; Methylation; Palmitate; Phosphoprotein; Prenylation</t>
  </si>
  <si>
    <t>Lipoprotein; Methylation; Palmitate; Phosphoprotein; Prenylation</t>
  </si>
  <si>
    <t>regulation of cell shape {GO:0008360}</t>
  </si>
  <si>
    <t>plasma membrane {GO:0005886}</t>
  </si>
  <si>
    <t>sp|P24369|PPIB_MOUSE</t>
  </si>
  <si>
    <t>Peptidyl-prolyl cis-trans isomerase B (PPIase B)</t>
  </si>
  <si>
    <t>CYP-S1; Cyclophilin B; Rotamase B; S-cyclophilin (SCYLP)</t>
  </si>
  <si>
    <t>PPIB_MOUSE</t>
  </si>
  <si>
    <t>P24369</t>
  </si>
  <si>
    <t>MGI:97750</t>
  </si>
  <si>
    <t>Acetylation; Endoplasmic reticulum; Isomerase; Rotamase; Signal</t>
  </si>
  <si>
    <t>bone development {GO:0060348}; chaperone-mediated protein folding {GO:0061077}; neutrophil chemotaxis {GO:0030593}; positive regulation by host of viral genome replication {GO:0044829}; positive regulation by host of viral process {GO:0044794}; positive regulation of multicellular organism growth {GO:0040018}; protein folding {GO:0006457}; protein peptidyl-prolyl isomerization {GO:0000413}; protein stabilization {GO:0050821}</t>
  </si>
  <si>
    <t>cytoplasm {GO:0005737}; endoplasmic reticulum {GO:0005783}; endoplasmic reticulum chaperone complex {GO:0034663}; endoplasmic reticulum lumen {GO:0005788}; intracellular membrane-bounded organelle {GO:0043231}; melanosome {GO:0042470}; nucleoplasm {GO:0005654}; perinuclear region of cytoplasm {GO:0048471}; protein-containing complex {GO:0032991}; smooth endoplasmic reticulum {GO:0005790}</t>
  </si>
  <si>
    <t>cyclosporin A binding {GO:0016018}; peptidyl-prolyl cis-trans isomerase activity {GO:0003755}; RNA polymerase binding {GO:0070063}</t>
  </si>
  <si>
    <t>sp|P10649|GSTM1_MOUSE</t>
  </si>
  <si>
    <t>Glutathione S-transferase Mu 1</t>
  </si>
  <si>
    <t>GST 1-1; GST class-mu 1; Glutathione S-transferase GT8.7; pmGT10</t>
  </si>
  <si>
    <t>GSTM1_MOUSE</t>
  </si>
  <si>
    <t>P10649</t>
  </si>
  <si>
    <t>A2AE90; Q58ET5</t>
  </si>
  <si>
    <t>MGI:95860</t>
  </si>
  <si>
    <t>Cytoplasm; Lipid metabolism; Phosphoprotein; Transferase</t>
  </si>
  <si>
    <t>cellular response to xenobiotic stimulus {GO:0071466}; glutathione derivative biosynthetic process {GO:1901687}; glutathione metabolic process {GO:0006749}; hepoxilin biosynthetic process {GO:0051122}; prostaglandin metabolic process {GO:0006693}; xenobiotic catabolic process {GO:0042178}</t>
  </si>
  <si>
    <t>cytoplasm {GO:0005737}; cytosol {GO:0005829}; extracellular region {GO:0005576}; intercellular bridge {GO:0045171}; myelin sheath {GO:0043209}; protein-containing complex {GO:0032991}</t>
  </si>
  <si>
    <t>enzyme binding {GO:0019899}; glutathione binding {GO:0043295}; glutathione transferase activity {GO:0004364}; identical protein binding {GO:0042802}; nickel cation binding {GO:0016151}; protein homodimerization activity {GO:0042803}; protein kinase binding {GO:0019901}; steroid binding {GO:0005496}</t>
  </si>
  <si>
    <t>Glutathione conjugation {R-MMU-156590}</t>
  </si>
  <si>
    <t>sp|P27546|MAP4_MOUSE</t>
  </si>
  <si>
    <t>Microtubule-associated protein 4 (MAP-4)</t>
  </si>
  <si>
    <t>MAP4_MOUSE</t>
  </si>
  <si>
    <t>P27546</t>
  </si>
  <si>
    <t>Q05BJ2; Q3UIS2; Q3UUH5; Q3UY36; Q7TPC6; Q7TPD4; Q80YQ5; Q8CFP5</t>
  </si>
  <si>
    <t>Mtap4</t>
  </si>
  <si>
    <t>MGI:97178</t>
  </si>
  <si>
    <t>Acetylation; Alternative splicing; Cytoplasm; Cytoskeleton; Isopeptide bond; Microtubule; Phosphoprotein; Repeat; Ubl conjugation</t>
  </si>
  <si>
    <t>cell division {GO:0051301}; establishment of spindle orientation {GO:0051294}; microtubule cytoskeleton organization {GO:0000226}; microtubule sliding {GO:0051012}; mitotic spindle organization {GO:0007052}; negative regulation of non-motile cilium assembly {GO:1902856}; neuron projection development {GO:0031175}</t>
  </si>
  <si>
    <t>axon {GO:0030424}; axoneme {GO:0005930}; microtubule {GO:0005874}; microtubule organizing center {GO:0005815}; mitotic spindle {GO:0072686}; neuron projection {GO:0043005}; postsynaptic density {GO:0014069}</t>
  </si>
  <si>
    <t>microtubule binding {GO:0008017}</t>
  </si>
  <si>
    <t>sp|Q9R1P0|PSA4_MOUSE</t>
  </si>
  <si>
    <t>Proteasome subunit alpha type-4</t>
  </si>
  <si>
    <t>Macropain subunit C9; Multicatalytic endopeptidase complex subunit C9; Proteasome component C9; Proteasome subunit L</t>
  </si>
  <si>
    <t>PSA4_MOUSE</t>
  </si>
  <si>
    <t>Q9R1P0</t>
  </si>
  <si>
    <t>Q3THT1</t>
  </si>
  <si>
    <t>MGI:1347060</t>
  </si>
  <si>
    <t>3D-structure; Acetylation; Cytoplasm; Nucleus; Phosphoprotein; Proteasome</t>
  </si>
  <si>
    <t>proteasomal protein catabolic process {GO:0010498}; ubiquitin-dependent protein catabolic process {GO:0006511}</t>
  </si>
  <si>
    <t>cytoplasm {GO:0005737}; cytosol {GO:0005829}; intracellular membrane-bounded organelle {GO:0043231}; nucleoplasm {GO:0005654}; nucleus {GO:0005634}; P-body {GO:0000932}; proteasome complex {GO:0000502}; proteasome core complex {GO:0005839}; proteasome core complex, alpha-subunit complex {GO:0019773}</t>
  </si>
  <si>
    <t>sp|P63242|IF5A1_MOUSE</t>
  </si>
  <si>
    <t>Eukaryotic translation initiation factor 5A-1 (eIF-5A-1; eIF-5A1)</t>
  </si>
  <si>
    <t>Eukaryotic initiation factor 5A isoform 1 (eIF-5A); eIF-4D</t>
  </si>
  <si>
    <t>IF5A1_MOUSE</t>
  </si>
  <si>
    <t>P63242</t>
  </si>
  <si>
    <t>P10159; Q16182; Q5NCX0; Q78NR3; Q9D0G2</t>
  </si>
  <si>
    <t>MGI:106248</t>
  </si>
  <si>
    <t>Acetylation; Cytoplasm; Elongation factor; Endoplasmic reticulum; Hypusine; Membrane; Nucleus; Protein biosynthesis; RNA-binding</t>
  </si>
  <si>
    <t>Cytoplasm; Endoplasmic reticulum; Membrane; Nucleus</t>
  </si>
  <si>
    <t>Elongation factor; RNA-binding</t>
  </si>
  <si>
    <t>Acetylation; Hypusine</t>
  </si>
  <si>
    <t>negative regulation of apoptotic process {GO:0043066}; positive regulation of apoptotic process {GO:0043065}; positive regulation of cardiac muscle cell apoptotic process {GO:0010666}; positive regulation of cytosolic calcium ion concentration {GO:0007204}; positive regulation of muscle cell differentiation {GO:0051149}; positive regulation of reactive oxygen species metabolic process {GO:2000379}; positive regulation of translational elongation {GO:0045901}; positive regulation of translational termination {GO:0045905}</t>
  </si>
  <si>
    <t>annulate lamellae {GO:0005642}; cytoplasm {GO:0005737}; dendrite {GO:0030425}; endoplasmic reticulum membrane {GO:0005789}; neuronal cell body {GO:0043025}; nuclear pore {GO:0005643}; nucleus {GO:0005634}; synapse {GO:0045202}</t>
  </si>
  <si>
    <t>protein N-terminus binding {GO:0047485}; ribosome binding {GO:0043022}; RNA binding {GO:0003723}; translation elongation factor activity {GO:0003746}; U6 snRNA binding {GO:0017070}</t>
  </si>
  <si>
    <t>Hypusine synthesis from eIF5A-lysine {R-MMU-204626}</t>
  </si>
  <si>
    <t>sp|O55029|COPB2_MOUSE</t>
  </si>
  <si>
    <t>Coatomer subunit beta'</t>
  </si>
  <si>
    <t>Beta'-coat protein (Beta'-COP); p102</t>
  </si>
  <si>
    <t>COPB2_MOUSE</t>
  </si>
  <si>
    <t>O55029</t>
  </si>
  <si>
    <t>Q3U5Z9</t>
  </si>
  <si>
    <t>MGI:1354962</t>
  </si>
  <si>
    <t>3D-structure; Acetylation; Coiled coil; Cytoplasm; Cytoplasmic vesicle; ER-Golgi transport; Golgi apparatus; Membrane; Phosphoprotein; Protein transport; Repeat; Transport; WD repeat</t>
  </si>
  <si>
    <t>Cytoplasm; Cytoplasmic vesicle; Golgi apparatus; Membrane</t>
  </si>
  <si>
    <t>Coiled coil; Repeat; WD repeat</t>
  </si>
  <si>
    <t>endoplasmic reticulum to Golgi vesicle-mediated transport {GO:0006888}; intra-Golgi vesicle-mediated transport {GO:0006891}; intracellular protein transport {GO:0006886}; retrograde vesicle-mediated transport, Golgi to endoplasmic reticulum {GO:0006890}; toxin transport {GO:1901998}</t>
  </si>
  <si>
    <t>COPI vesicle coat {GO:0030126}; cytosol {GO:0005829}; Golgi apparatus {GO:0005794}; Golgi membrane {GO:0000139}</t>
  </si>
  <si>
    <t>protein kinase C binding {GO:0005080}; structural molecule activity {GO:0005198}</t>
  </si>
  <si>
    <t>COPI-mediated anterograde transport {R-MMU-6807878}; COPI-dependent Golgi-to-ER retrograde traffic {R-MMU-6811434}</t>
  </si>
  <si>
    <t>sp|Q9Z204|HNRPC_MOUSE</t>
  </si>
  <si>
    <t>Heterogeneous nuclear ribonucleoproteins C1/C2 (hnRNP C1/C2)</t>
  </si>
  <si>
    <t>HNRPC_MOUSE</t>
  </si>
  <si>
    <t>Q9Z204</t>
  </si>
  <si>
    <t>Q3TLB5; Q501Q3; Q8C2G5; Q99KE2; Q9CQT3; Q9CY83</t>
  </si>
  <si>
    <t>Hnrpc</t>
  </si>
  <si>
    <t>MGI:107795</t>
  </si>
  <si>
    <t>Acetylation; Alternative splicing; Coiled coil; Isopeptide bond; mRNA processing; mRNA splicing; Nucleus; Phosphoprotein; Ribonucleoprotein; RNA-binding; Spliceosome; Ubl conjugation</t>
  </si>
  <si>
    <t>3'-UTR-mediated mRNA stabilization {GO:0070935}; mRNA splicing, via spliceosome {GO:0000398}; negative regulation of mRNA modification {GO:0090367}; negative regulation of telomere maintenance via telomerase {GO:0032211}</t>
  </si>
  <si>
    <t>actin cytoskeleton {GO:0015629}; catalytic step 2 spliceosome {GO:0071013}; cytosol {GO:0005829}; nucleoplasm {GO:0005654}; nucleoplasmic periphery of the nuclear pore complex {GO:1990826}; nucleus {GO:0005634}; pronucleus {GO:0045120}; protein-containing complex {GO:0032991}; spliceosomal complex {GO:0005681}; telomerase holoenzyme complex {GO:0005697}</t>
  </si>
  <si>
    <t>deaminase binding {GO:1990827}; enzyme inhibitor activity {GO:0004857}; identical protein binding {GO:0042802}; mRNA 3'-UTR binding {GO:0003730}; mRNA binding {GO:0003729}; N6-methyladenosine-containing RNA binding {GO:1990247}; poly(U) RNA binding {GO:0008266}; protein domain specific binding {GO:0019904}; ribonucleoprotein complex binding {GO:0043021}; RNA binding {GO:0003723}; telomerase RNA binding {GO:0070034}</t>
  </si>
  <si>
    <t>SUMOylation of RNA binding proteins {R-MMU-4570464}; mRNA Splicing - Major Pathway {R-MMU-72163}; RHOBTB2 GTPase cycle {R-MMU-9013418}; RHOBTB1 GTPase cycle {R-MMU-9013422}</t>
  </si>
  <si>
    <t>sp|Q8JZQ9|EIF3B_MOUSE</t>
  </si>
  <si>
    <t>Eukaryotic translation initiation factor 3 subunit B (eIF3b)</t>
  </si>
  <si>
    <t>Eukaryotic translation initiation factor 3 subunit 9; eIF-3-eta; eIF3 p116</t>
  </si>
  <si>
    <t>EIF3B_MOUSE</t>
  </si>
  <si>
    <t>Q8JZQ9</t>
  </si>
  <si>
    <t>Q922K2</t>
  </si>
  <si>
    <t>Eif3s9</t>
  </si>
  <si>
    <t>MGI:106478</t>
  </si>
  <si>
    <t>Acetylation; Cytoplasm; Initiation factor; Phosphoprotein; Protein biosynthesis; Repeat; RNA-binding; WD repeat</t>
  </si>
  <si>
    <t>formation of cytoplasmic translation initiation complex {GO:0001732}; IRES-dependent viral translational initiation {GO:0075522}; regulation of translational initiation {GO:0006446}; translational initiation {GO:0006413}; viral translational termination-reinitiation {GO:0075525}</t>
  </si>
  <si>
    <t>cytoplasmic stress granule {GO:0010494}; eukaryotic 43S preinitiation complex {GO:0016282}; eukaryotic 48S preinitiation complex {GO:0033290}; eukaryotic translation initiation factor 3 complex {GO:0005852}; eukaryotic translation initiation factor 3 complex, eIF3m {GO:0071541}; synapse {GO:0045202}</t>
  </si>
  <si>
    <t>RNA binding {GO:0003723}; translation initiation factor activity {GO:0003743}; translation initiation factor binding {GO:0031369}</t>
  </si>
  <si>
    <t>sp|P45376|ALDR_MOUSE</t>
  </si>
  <si>
    <t>Aldo-keto reductase family 1 member B1</t>
  </si>
  <si>
    <t>Aldehyde reductase; Aldo-keto reductase family 1 member B3; Aldose reductase (AR)</t>
  </si>
  <si>
    <t>ALDR_MOUSE</t>
  </si>
  <si>
    <t>P45376</t>
  </si>
  <si>
    <t>O70130; Q99KC9</t>
  </si>
  <si>
    <t>MGI:1353494</t>
  </si>
  <si>
    <t>Acetylation; Cytoplasm; Lipid metabolism; NADP; Oxidoreductase; Phosphoprotein</t>
  </si>
  <si>
    <t>NADP</t>
  </si>
  <si>
    <t>cellular hyperosmotic salinity response {GO:0071475}; cellular response to hydrogen peroxide {GO:0070301}; cellular response to methylglyoxal {GO:0097238}; daunorubicin metabolic process {GO:0044597}; doxorubicin metabolic process {GO:0044598}; epithelial cell maturation {GO:0002070}; fructose biosynthetic process {GO:0046370}; inner medullary collecting duct development {GO:0072061}; metanephric collecting duct development {GO:0072205}; monosaccharide metabolic process {GO:0005996}; negative regulation of apoptotic process {GO:0043066}; norepinephrine metabolic process {GO:0042415}; organic cyclic compound metabolic process {GO:1901360}; positive regulation of receptor signaling pathway via JAK-STAT {GO:0046427}; positive regulation of smooth muscle cell proliferation {GO:0048661}; regulation of urine volume {GO:0035809}; renal water homeostasis {GO:0003091}; response to organic substance {GO:0010033}; response to water deprivation {GO:0009414}; retinoid metabolic process {GO:0001523}; sorbitol biosynthetic process {GO:0006061}; stress-activated protein kinase signaling cascade {GO:0031098}; tissue homeostasis {GO:0001894}</t>
  </si>
  <si>
    <t>cytosol {GO:0005829}; extracellular space {GO:0005615}; mast cell granule {GO:0042629}; nucleoplasm {GO:0005654}; paranodal junction {GO:0033010}; perinuclear region of cytoplasm {GO:0048471}; plasma membrane bounded cell projection cytoplasm {GO:0032838}; Schmidt-Lanterman incisure {GO:0043220}; Schwann cell microvillus {GO:0097454}</t>
  </si>
  <si>
    <t>alditol:NADP+ 1-oxidoreductase activity {GO:0004032}; allyl-alcohol dehydrogenase activity {GO:0047655}; cis-1,2-dihydro-1,2-dihydroxynaphthalene dehydrogenase activity {GO:0018505}; glyceraldehyde oxidoreductase activity {GO:0043795}; glycerol dehydrogenase [NADP+] activity {GO:0047956}; NADP-retinol dehydrogenase activity {GO:0052650}; prostaglandin H2 endoperoxidase reductase activity {GO:0036130}; retinal dehydrogenase activity {GO:0001758}</t>
  </si>
  <si>
    <t>Pregnenolone biosynthesis {R-MMU-196108}; Fructose biosynthesis {R-MMU-5652227}</t>
  </si>
  <si>
    <t>sp|P61255|RL26_MOUSE</t>
  </si>
  <si>
    <t>60S ribosomal protein L26</t>
  </si>
  <si>
    <t>Silica-induced gene 20 protein (SIG-20)</t>
  </si>
  <si>
    <t>RL26_MOUSE</t>
  </si>
  <si>
    <t>P61255</t>
  </si>
  <si>
    <t>Q02877</t>
  </si>
  <si>
    <t>MGI:106022</t>
  </si>
  <si>
    <t>cellular response to gamma radiation {GO:0071480}; cellular response to ionizing radiation {GO:0071479}; cellular response to UV {GO:0034644}; cytoplasmic translation {GO:0002181}; DNA damage response, signal transduction by p53 class mediator resulting in cell cycle arrest {GO:0006977}; positive regulation of DNA damage response, signal transduction by p53 class mediator resulting in transcription of p21 class mediator {GO:1902164}; positive regulation of intrinsic apoptotic signaling pathway in response to DNA damage by p53 class mediator {GO:1902167}; positive regulation of translation {GO:0045727}; regulation of translation involved in cellular response to UV {GO:1904803}; ribosomal large subunit biogenesis {GO:0042273}; rRNA processing {GO:0006364}</t>
  </si>
  <si>
    <t>cytoplasm {GO:0005737}; cytosol {GO:0005829}; cytosolic large ribosomal subunit {GO:0022625}; cytosolic ribosome {GO:0022626}; nucleolus {GO:0005730}; nucleoplasm {GO:0005654}; ribonucleoprotein complex {GO:1990904}; terminal bouton {GO:0043195}</t>
  </si>
  <si>
    <t>mRNA 5'-UTR binding {GO:0048027}; RNA binding {GO:0003723}; structural constituent of ribosome {GO:0003735}</t>
  </si>
  <si>
    <t>sp|P02469|LAMB1_MOUSE</t>
  </si>
  <si>
    <t>Laminin subunit beta-1</t>
  </si>
  <si>
    <t>Laminin B1 chain; Laminin-1 subunit beta; Laminin-10 subunit beta; Laminin-12 subunit beta; Laminin-2 subunit beta; Laminin-6 subunit beta; Laminin-8 subunit beta</t>
  </si>
  <si>
    <t>LAMB1_MOUSE</t>
  </si>
  <si>
    <t>P02469</t>
  </si>
  <si>
    <t>E9PXZ9</t>
  </si>
  <si>
    <t>Lamb-1; Lamb1-1</t>
  </si>
  <si>
    <t>MGI:96743</t>
  </si>
  <si>
    <t>3D-structure; Basement membrane; Cell adhesion; Coiled coil; Disulfide bond; Extracellular matrix; Glycoprotein; Laminin EGF-like domain; Phosphoprotein; Repeat; Secreted; Signal</t>
  </si>
  <si>
    <t>Coiled coil; Laminin EGF-like domain; Repeat; Signal</t>
  </si>
  <si>
    <t>animal organ morphogenesis {GO:0009887}; basement membrane assembly {GO:0070831}; cell migration {GO:0016477}; embryo implantation {GO:0007566}; learning or memory {GO:0007611}; negative regulation of cell adhesion {GO:0007162}; neuron projection development {GO:0031175}; neuronal-glial interaction involved in cerebral cortex radial glia guided migration {GO:0021812}; odontogenesis {GO:0042476}; positive regulation of cell adhesion {GO:0045785}; positive regulation of cell migration {GO:0030335}; positive regulation of integrin-mediated signaling pathway {GO:2001046}; positive regulation of muscle cell differentiation {GO:0051149}; regulation of basement membrane organization {GO:0110011}; substrate adhesion-dependent cell spreading {GO:0034446}; tissue development {GO:0009888}</t>
  </si>
  <si>
    <t>basement membrane {GO:0005604}; collagen-containing extracellular matrix {GO:0062023}; extracellular matrix {GO:0031012}; extracellular region {GO:0005576}; extracellular space {GO:0005615}; laminin complex {GO:0043256}; laminin-1 complex {GO:0005606}; laminin-10 complex {GO:0043259}; laminin-2 complex {GO:0005607}; laminin-8 complex {GO:0043257}; nucleus {GO:0005634}; perinuclear region of cytoplasm {GO:0048471}; protein complex involved in cell-matrix adhesion {GO:0098637}</t>
  </si>
  <si>
    <t>enzyme binding {GO:0019899}; extracellular matrix structural constituent {GO:0005201}; glycosphingolipid binding {GO:0043208}; integrin binding {GO:0005178}</t>
  </si>
  <si>
    <t>sp|Q3UGC7|EI3JA_MOUSE</t>
  </si>
  <si>
    <t>Eukaryotic translation initiation factor 3 subunit J-A (eIF3j-A)</t>
  </si>
  <si>
    <t>Eukaryotic translation initiation factor 3 subunit 1-A; eIF-3-alpha-A; eIF3 p35</t>
  </si>
  <si>
    <t>EI3JA_MOUSE</t>
  </si>
  <si>
    <t>Q3UGC7</t>
  </si>
  <si>
    <t>Eif3s1-1</t>
  </si>
  <si>
    <t>MGI:1925905</t>
  </si>
  <si>
    <t>Coiled coil; Cytoplasm; Initiation factor; Isopeptide bond; Phosphoprotein; Protein biosynthesis; Ubl conjugation</t>
  </si>
  <si>
    <t>formation of cytoplasmic translation initiation complex {GO:0001732}</t>
  </si>
  <si>
    <t>cytosol {GO:0005829}; eukaryotic 43S preinitiation complex {GO:0016282}; eukaryotic 48S preinitiation complex {GO:0033290}; eukaryotic translation initiation factor 3 complex {GO:0005852}</t>
  </si>
  <si>
    <t>identical protein binding {GO:0042802}; translation initiation factor activity {GO:0003743}</t>
  </si>
  <si>
    <t>sp|Q8R081|HNRPL_MOUSE</t>
  </si>
  <si>
    <t>Heterogeneous nuclear ribonucleoprotein L (hnRNP L)</t>
  </si>
  <si>
    <t>HNRPL_MOUSE</t>
  </si>
  <si>
    <t>Q8R081</t>
  </si>
  <si>
    <t>O54789; Q499X2; Q8K0S7</t>
  </si>
  <si>
    <t>Hnrpl</t>
  </si>
  <si>
    <t>MGI:104816</t>
  </si>
  <si>
    <t>3D-structure; Acetylation; Cytoplasm; Isopeptide bond; Methylation; Nucleus; Phosphoprotein; Repeat; Ribonucleoprotein; RNA-binding; Ubl conjugation</t>
  </si>
  <si>
    <t>mRNA processing {GO:0006397}; negative regulation of DNA-templated transcription {GO:0045892}; regulation of alternative mRNA splicing, via spliceosome {GO:0000381}; regulation of RNA splicing {GO:0043484}</t>
  </si>
  <si>
    <t>chromatin {GO:0000785}; cytoplasm {GO:0005737}; cytosol {GO:0005829}; nucleoplasm {GO:0005654}; nucleus {GO:0005634}; perinuclear region of cytoplasm {GO:0048471}; pronucleus {GO:0045120}; ribonucleoprotein complex {GO:1990904}; ribonucleoprotein granule {GO:0035770}</t>
  </si>
  <si>
    <t>mRNA 3'-UTR binding {GO:0003730}; mRNA binding {GO:0003729}; mRNA CDS binding {GO:1990715}; pre-mRNA intronic binding {GO:0097157}; RNA binding {GO:0003723}; transcription cis-regulatory region binding {GO:0000976}</t>
  </si>
  <si>
    <t>sp|Q61879|MYH10_MOUSE</t>
  </si>
  <si>
    <t>Myosin-10</t>
  </si>
  <si>
    <t>Cellular myosin heavy chain, type B; Myosin heavy chain 10; Myosin heavy chain, non-muscle IIb; Non-muscle myosin heavy chain B (NMMHC-B); Non-muscle myosin heavy chain IIb (NMMHC II-b; NMMHC-IIB)</t>
  </si>
  <si>
    <t>MYH10_MOUSE</t>
  </si>
  <si>
    <t>Q61879</t>
  </si>
  <si>
    <t>Q5SV63</t>
  </si>
  <si>
    <t>MGI:1930780</t>
  </si>
  <si>
    <t>Acetylation; Actin-binding; ATP-binding; Calmodulin-binding; Cell adhesion; Cell projection; Cell shape; Coiled coil; Methylation; Motor protein; Myosin; Nucleotide-binding; Phosphoprotein</t>
  </si>
  <si>
    <t>Cell projection</t>
  </si>
  <si>
    <t>actin cytoskeleton organization {GO:0030036}; actin filament bundle assembly {GO:0051017}; actin filament bundle distribution {GO:0070650}; actin filament-based movement {GO:0030048}; actomyosin structure organization {GO:0031032}; adult heart development {GO:0007512}; aorta development {GO:0035904}; axon guidance {GO:0007411}; axonogenesis {GO:0007409}; brain development {GO:0007420}; cardiac muscle cell proliferation {GO:0060038}; cardiac myofibril assembly {GO:0055003}; cardiac septum development {GO:0003279}; cell adhesion {GO:0007155}; cerebellar Purkinje cell layer development {GO:0021680}; coronary vasculature development {GO:0060976}; exocytosis {GO:0006887}; fourth ventricle development {GO:0021592}; heart development {GO:0007507}; in utero embryonic development {GO:0001701}; lateral ventricle development {GO:0021670}; mitotic cytokinesis {GO:0000281}; modification of postsynaptic actin cytoskeleton {GO:0098885}; myofibril assembly {GO:0030239}; neuromuscular process controlling balance {GO:0050885}; neuron migration {GO:0001764}; neuron projection development {GO:0031175}; nuclear migration {GO:0007097}; plasma membrane repair {GO:0001778}; positive regulation of protein secretion {GO:0050714}; postsynaptic actin cytoskeleton organization {GO:0098974}; regulation of cell shape {GO:0008360}; regulation of modification of postsynaptic actin cytoskeleton {GO:1905274}; retina development in camera-type eye {GO:0060041}; substrate-dependent cell migration, cell extension {GO:0006930}; third ventricle development {GO:0021678}; ventricular cardiac muscle cell development {GO:0055015}</t>
  </si>
  <si>
    <t>actomyosin {GO:0042641}; axon {GO:0030424}; brush border {GO:0005903}; cell cortex {GO:0005938}; cleavage furrow {GO:0032154}; cytoplasm {GO:0005737}; cytoplasmic side of plasma membrane {GO:0009898}; cytosol {GO:0005829}; dendritic spine {GO:0043197}; glutamatergic synapse {GO:0098978}; growth cone {GO:0030426}; lamellipodium {GO:0030027}; midbody {GO:0030496}; myosin complex {GO:0016459}; myosin filament {GO:0032982}; myosin II complex {GO:0016460}; myosin II filament {GO:0097513}; neuromuscular junction {GO:0031594}; neuron projection {GO:0043005}; neuronal cell body {GO:0043025}; polysome {GO:0005844}; postsynaptic actin cytoskeleton {GO:0098871}; sarcoplasm {GO:0016528}; spindle {GO:0005819}; stress fiber {GO:0001725}</t>
  </si>
  <si>
    <t>actin filament binding {GO:0051015}; ADP binding {GO:0043531}; ATP binding {GO:0005524}; calmodulin binding {GO:0005516}; identical protein binding {GO:0042802}; microfilament motor activity {GO:0000146}; mRNA 5'-UTR binding {GO:0048027}; RNA stem-loop binding {GO:0035613}</t>
  </si>
  <si>
    <t>RHO GTPases activate PAKs {R-MMU-5627123}</t>
  </si>
  <si>
    <t>sp|O88477|IF2B1_MOUSE</t>
  </si>
  <si>
    <t>Insulin-like growth factor 2 mRNA-binding protein 1 (IGF2 mRNA-binding protein 1; IMP-1)</t>
  </si>
  <si>
    <t>Coding region determinant-binding protein (CRD-BP); IGF-II mRNA-binding protein 1; VICKZ family member 1; Zipcode-binding protein 1 (ZBP-1)</t>
  </si>
  <si>
    <t>IF2B1_MOUSE</t>
  </si>
  <si>
    <t>O88477</t>
  </si>
  <si>
    <t>Q80US9; Q8BRH1</t>
  </si>
  <si>
    <t>Vickz1</t>
  </si>
  <si>
    <t>MGI:1890357</t>
  </si>
  <si>
    <t>Cell projection; Cytoplasm; mRNA transport; Nucleus; Phosphoprotein; Repeat; RNA-binding; Synapse; Translation regulation; Transport</t>
  </si>
  <si>
    <t>Translation regulation; Transport; mRNA transport</t>
  </si>
  <si>
    <t>Cell projection; Cytoplasm; Nucleus; Synapse</t>
  </si>
  <si>
    <t>CRD-mediated mRNA stabilization {GO:0070934}; dendrite arborization {GO:0140059}; mRNA transport {GO:0051028}; negative regulation of nuclear-transcribed mRNA catabolic process, deadenylation-dependent decay {GO:1900152}; negative regulation of translation {GO:0017148}; nervous system development {GO:0007399}; neuronal stem cell population maintenance {GO:0097150}; pallium cell proliferation in forebrain {GO:0022013}; positive regulation of cytoplasmic translation {GO:2000767}; regulation of gene expression {GO:0010468}; regulation of mRNA stability involved in response to stress {GO:0010610}; regulation of RNA metabolic process {GO:0051252}; RNA localization {GO:0006403}</t>
  </si>
  <si>
    <t>anchoring junction {GO:0070161}; axon {GO:0030424}; CRD-mediated mRNA stability complex {GO:0070937}; cytoplasm {GO:0005737}; cytoplasmic stress granule {GO:0010494}; cytosol {GO:0005829}; dendrite {GO:0030425}; dendritic spine {GO:0043197}; filopodium {GO:0030175}; growth cone {GO:0030426}; lamellipodium {GO:0030027}; neuronal cell body {GO:0043025}; nucleoplasm {GO:0005654}; nucleus {GO:0005634}; P-body {GO:0000932}; perinuclear region of cytoplasm {GO:0048471}; ribonucleoprotein complex {GO:1990904}</t>
  </si>
  <si>
    <t>mRNA 3'-UTR binding {GO:0003730}; mRNA 5'-UTR binding {GO:0048027}; mRNA binding {GO:0003729}; N6-methyladenosine-containing RNA binding {GO:1990247}; translation regulator activity {GO:0045182}</t>
  </si>
  <si>
    <t>sp|P05063|ALDOC_MOUSE</t>
  </si>
  <si>
    <t>Fructose-bisphosphate aldolase C</t>
  </si>
  <si>
    <t>Aldolase 3; Brain-type aldolase; Scrapie-responsive protein 2; Zebrin II</t>
  </si>
  <si>
    <t>ALDOC_MOUSE</t>
  </si>
  <si>
    <t>P05063</t>
  </si>
  <si>
    <t>Q64011; Q8CA91; Q99K96; Q9DBA4; Q9JK32</t>
  </si>
  <si>
    <t>Aldo3; Scrg2</t>
  </si>
  <si>
    <t>MGI:101863</t>
  </si>
  <si>
    <t>Acetylation; Glycolysis; Lyase; Phosphoprotein; Schiff base</t>
  </si>
  <si>
    <t>aging {GO:0007568}; apoptotic process {GO:0006915}; epithelial cell differentiation {GO:0030855}; fructose 1,6-bisphosphate metabolic process {GO:0030388}; gluconeogenesis {GO:0006094}; glycolytic process {GO:0006096}</t>
  </si>
  <si>
    <t>axon {GO:0030424}; cytoplasm {GO:0005737}; cytosol {GO:0005829}; mitochondrion {GO:0005739}; postsynaptic cytosol {GO:0099524}</t>
  </si>
  <si>
    <t>cytoskeletal protein binding {GO:0008092}; fructose-bisphosphate aldolase activity {GO:0004332}; identical protein binding {GO:0042802}; protein-containing complex binding {GO:0044877}</t>
  </si>
  <si>
    <t>sp|Q9EQU5|SET_MOUSE</t>
  </si>
  <si>
    <t>Protein SET</t>
  </si>
  <si>
    <t>Phosphatase 2A inhibitor I2PP2A (I-2PP2A); Template-activating factor I (TAF-I)</t>
  </si>
  <si>
    <t>SET_MOUSE</t>
  </si>
  <si>
    <t>Q9EQU5</t>
  </si>
  <si>
    <t>A2BE95; Q9CY82; Q9D0A9; Q9Z181</t>
  </si>
  <si>
    <t>MGI:1860267</t>
  </si>
  <si>
    <t>Acetylation; Alternative splicing; Chaperone; Cytoplasm; DNA-binding; Endoplasmic reticulum; Isopeptide bond; Methylation; Nucleus; Phosphoprotein; Ubl conjugation</t>
  </si>
  <si>
    <t>Chaperone; DNA-binding</t>
  </si>
  <si>
    <t>negative regulation of neuron apoptotic process {GO:0043524}; nucleosome assembly {GO:0006334}</t>
  </si>
  <si>
    <t>chromatin {GO:0000785}; cytoplasm {GO:0005737}; cytosol {GO:0005829}; endoplasmic reticulum {GO:0005783}; lipid droplet {GO:0005811}; nucleoplasm {GO:0005654}; nucleus {GO:0005634}; perinuclear region of cytoplasm {GO:0048471}; protein-containing complex {GO:0032991}</t>
  </si>
  <si>
    <t>chromatin binding {GO:0003682}; DNA binding {GO:0003677}; histone binding {GO:0042393}</t>
  </si>
  <si>
    <t>Condensation of Prophase Chromosomes {R-MMU-2299718}; HuR (ELAVL1) binds and stabilizes mRNA {R-MMU-450520}</t>
  </si>
  <si>
    <t>sp|P35979|RL12_MOUSE</t>
  </si>
  <si>
    <t>60S ribosomal protein L12</t>
  </si>
  <si>
    <t>RL12_MOUSE</t>
  </si>
  <si>
    <t>P35979</t>
  </si>
  <si>
    <t>Q9CQK4</t>
  </si>
  <si>
    <t>MGI:98002</t>
  </si>
  <si>
    <t>3D-structure; Acetylation; Isopeptide bond; Phosphoprotein; Ribonucleoprotein; Ribosomal protein; RNA-binding; Ubl conjugation</t>
  </si>
  <si>
    <t>cytoplasm {GO:0005737}; cytosol {GO:0005829}; cytosolic large ribosomal subunit {GO:0022625}; cytosolic ribosome {GO:0022626}; large ribosomal subunit {GO:0015934}; nucleolus {GO:0005730}; nucleus {GO:0005634}; postsynaptic density {GO:0014069}</t>
  </si>
  <si>
    <t>sp|Q6ZWV3|RL10_MOUSE</t>
  </si>
  <si>
    <t>60S ribosomal protein L10</t>
  </si>
  <si>
    <t>Protein QM homolog; Ribosomal protein L10</t>
  </si>
  <si>
    <t>RL10_MOUSE</t>
  </si>
  <si>
    <t>Q6ZWV3</t>
  </si>
  <si>
    <t>P45634; Q569M8; Q5M9K8</t>
  </si>
  <si>
    <t>Qm</t>
  </si>
  <si>
    <t>MGI:105943</t>
  </si>
  <si>
    <t>3D-structure; Citrullination; Developmental protein; Isopeptide bond; Ribonucleoprotein; Ribosomal protein; Translation regulation; Ubl conjugation</t>
  </si>
  <si>
    <t>Citrullination; Isopeptide bond; Ubl conjugation</t>
  </si>
  <si>
    <t>embryonic brain development {GO:1990403}; negative regulation of apoptotic process {GO:0043066}; negative regulation of transcription by RNA polymerase II {GO:0000122}; regulation of translation {GO:0006417}; ribosomal large subunit assembly {GO:0000027}; translation {GO:0006412}</t>
  </si>
  <si>
    <t>cytoplasm {GO:0005737}; cytosol {GO:0005829}; cytosolic large ribosomal subunit {GO:0022625}; cytosolic ribosome {GO:0022626}; endoplasmic reticulum {GO:0005783}; nucleus {GO:0005634}; protein-containing complex {GO:0032991}; smooth endoplasmic reticulum {GO:0005790}; synapse {GO:0045202}</t>
  </si>
  <si>
    <t>structural constituent of ribosome {GO:0003735}; translation regulator activity {GO:0045182}</t>
  </si>
  <si>
    <t>sp|P21550|ENOB_MOUSE</t>
  </si>
  <si>
    <t>Beta-enolase</t>
  </si>
  <si>
    <t>2-phospho-D-glycerate hydro-lyase; Enolase 3; Muscle-specific enolase (MSE); Skeletal muscle enolase</t>
  </si>
  <si>
    <t>ENOB_MOUSE</t>
  </si>
  <si>
    <t>P21550</t>
  </si>
  <si>
    <t>Eno-3</t>
  </si>
  <si>
    <t>MGI:95395</t>
  </si>
  <si>
    <t>Acetylation; Cytoplasm; Glycolysis; Lyase; Magnesium; Metal-binding; Phosphoprotein</t>
  </si>
  <si>
    <t>canonical glycolysis {GO:0061621}; glycolytic process {GO:0006096}</t>
  </si>
  <si>
    <t>cytosol {GO:0005829}; membrane {GO:0016020}; phosphopyruvate hydratase complex {GO:0000015}; plasma membrane {GO:0005886}</t>
  </si>
  <si>
    <t>identical protein binding {GO:0042802}; magnesium ion binding {GO:0000287}; phosphopyruvate hydratase activity {GO:0004634}; protein-containing complex binding {GO:0044877}</t>
  </si>
  <si>
    <t>Carbohydrate degradation; glycolysis; pyruvate from D- glyceraldehyde 3-phosphate: step 4/5..</t>
  </si>
  <si>
    <t>sp|P62192|PRS4_MOUSE</t>
  </si>
  <si>
    <t>26S proteasome regulatory subunit 4 (P26s4)</t>
  </si>
  <si>
    <t>26S proteasome AAA-ATPase subunit RPT2; Proteasome 26S subunit ATPase 1</t>
  </si>
  <si>
    <t>PRS4_MOUSE</t>
  </si>
  <si>
    <t>P62192</t>
  </si>
  <si>
    <t>P49014; Q03527; Q96AZ3</t>
  </si>
  <si>
    <t>MGI:106054</t>
  </si>
  <si>
    <t>Acetylation; ATP-binding; Cytoplasm; Isopeptide bond; Lipoprotein; Membrane; Myristate; Nucleotide-binding; Nucleus; Phosphoprotein; Proteasome; Ubl conjugation</t>
  </si>
  <si>
    <t>Cytoplasm; Membrane; Nucleus; Proteasome</t>
  </si>
  <si>
    <t>negative regulation of neuron death {GO:1901215}; proteasome-mediated ubiquitin-dependent protein catabolic process {GO:0043161}</t>
  </si>
  <si>
    <t>cytosol {GO:0005829}; membrane {GO:0016020}; nucleoplasm {GO:0005654}; nucleus {GO:0005634}; proteasome accessory complex {GO:0022624}; proteasome complex {GO:0000502}; proteasome regulatory particle {GO:0005838}; proteasome regulatory particle, base subcomplex {GO:0008540}</t>
  </si>
  <si>
    <t>ATP binding {GO:0005524}; ATP hydrolysis activity {GO:0016887}; proteasome-activating activity {GO:0036402}; TBP-class protein binding {GO:0017025}</t>
  </si>
  <si>
    <t>Activation of NF-kappaB in B cells {R-MMU-1169091}; Oxygen-dependent proline hydroxylation of Hypoxia-inducible Factor Alpha {R-MMU-1234176}; Cross-presentation of soluble exogenous antigens (endosomes) {R-MMU-1236978}; Autodegradation of Cdh1 by Cdh1:APC/C {R-MMU-174084}; APC/C:Cdc20 mediated degradation of Securin {R-MMU-174154}; APC/C:Cdh1 mediated degradation of Cdc20 and other APC/C:Cdh1 targeted proteins in late mitosis/early G1 {R-MMU-174178}; Cdc20:Phospho-APC/C mediated degradation of Cyclin A {R-MMU-174184}; SCF(Skp2)-mediated degradation of p27/p21 {R-MMU-187577}; Degradation of beta-catenin by the destruction complex {R-MMU-195253}; Downstream TCR signaling {R-MMU-202424}; Separation of Sister Chromatids {R-MMU-2467813}; FCERI mediated NF-kB activation {R-MMU-2871837}; Autodegradation of the E3 ubiquitin ligase COP1 {R-MMU-349425}; Regulation of ornithine decarboxylase (ODC) {R-MMU-350562}; ABC-family proteins mediated transport {R-MMU-382556}; AUF1 (hnRNP D0) binds and destabilizes mRNA {R-MMU-450408}; Asymmetric localization of PCP proteins {R-MMU-4608870}; Degradation of AXIN {R-MMU-4641257}; Degradation of DVL {R-MMU-4641258}; N-glycan trimming in the ER and Calnexin/Calreticulin cycle {R-MMU-532668}; Hedgehog ligand biogenesis {R-MMU-5358346}; Dectin-1 mediated noncanonical NF-kB signaling {R-MMU-5607761}; CLEC7A (Dectin-1) signaling {R-MMU-5607764}; Degradation of GLI1 by the proteasome {R-MMU-5610780}; GLI3 is processed to GLI3R by the proteasome {R-MMU-5610785}; Hedgehog 'on' state {R-MMU-5632684}; Regulation of RAS by GAPs {R-MMU-5658442}; TNFR2 non-canonical NF-kB pathway {R-MMU-5668541}; NIK--&gt;noncanonical NF-kB signaling {R-MMU-5676590}; MAPK6/MAPK4 signaling {R-MMU-5687128}; UCH proteinases {R-MMU-5689603}; Ub-specific processing proteases {R-MMU-5689880}; Assembly of the pre-replicative complex {R-MMU-68867}; Orc1 removal from chromatin {R-MMU-68949}; CDK-mediated phosphorylation and removal of Cdc6 {R-MMU-69017}; G2/M Checkpoints {R-MMU-69481}; Ubiquitin Mediated Degradation of Phosphorylated Cdc25A {R-MMU-69601}; Ubiquitin-dependent degradation of Cyclin D {R-MMU-75815}; The role of GTSE1 in G2/M progression after G2 checkpoint {R-MMU-8852276}; FBXL7 down-regulates AURKA during mitotic entry and in early mitosis {R-MMU-8854050}; RUNX1 regulates transcription of genes involved in differentiation of HSCs {R-MMU-8939236}; Regulation of RUNX2 expression and activity {R-MMU-8939902}; Regulation of RUNX3 expression and activity {R-MMU-8941858}; Regulation of PTEN stability and activity {R-MMU-8948751}; Neddylation {R-MMU-8951664}; Interleukin-1 signaling {R-MMU-9020702}; KEAP1-NFE2L2 pathway {R-MMU-9755511}; GSK3B and BTRC:CUL1-mediated-degradation of NFE2L2 {R-MMU-9762114}; Antigen processing: Ubiquitination &amp; Proteasome degradation {R-MMU-983168}</t>
  </si>
  <si>
    <t>sp|Q91WQ3|SYYC_MOUSE</t>
  </si>
  <si>
    <t>Tyrosine--tRNA ligase, cytoplasmic, N-terminally processed</t>
  </si>
  <si>
    <t>Tyrosyl-tRNA synthetase (TyrRS)</t>
  </si>
  <si>
    <t>SYYC_MOUSE</t>
  </si>
  <si>
    <t>Q91WQ3</t>
  </si>
  <si>
    <t>Q3TEC8; Q3U9A1; Q3UTA7; Q8BVT2; Q8C183</t>
  </si>
  <si>
    <t>Yars</t>
  </si>
  <si>
    <t>MGI:2147627</t>
  </si>
  <si>
    <t>Acetylation; Aminoacyl-tRNA synthetase; ATP-binding; Cytoplasm; Ligase; Nucleotide-binding; Nucleus; Phosphoprotein; Protein biosynthesis; RNA-binding; tRNA-binding</t>
  </si>
  <si>
    <t>Aminoacyl-tRNA synthetase; Ligase; RNA-binding; tRNA-binding</t>
  </si>
  <si>
    <t>tyrosyl-tRNA aminoacylation {GO:0006437}</t>
  </si>
  <si>
    <t>cytosol {GO:0005829}; nuclear body {GO:0016604}; nucleus {GO:0005634}</t>
  </si>
  <si>
    <t>ATP binding {GO:0005524}; small molecule binding {GO:0036094}; tRNA binding {GO:0000049}; tyrosine-tRNA ligase activity {GO:0004831}</t>
  </si>
  <si>
    <t>sp|Q99K85|SERC_MOUSE</t>
  </si>
  <si>
    <t>Phosphoserine aminotransferase (PSAT)</t>
  </si>
  <si>
    <t>Endometrial progesterone-induced protein (EPIP); Phosphohydroxythreonine aminotransferase</t>
  </si>
  <si>
    <t>SERC_MOUSE</t>
  </si>
  <si>
    <t>Q99K85</t>
  </si>
  <si>
    <t>Psa; Psat</t>
  </si>
  <si>
    <t>MGI:2183441</t>
  </si>
  <si>
    <t>Acetylation; Amino-acid biosynthesis; Aminotransferase; Phosphoprotein; Pyridoxal phosphate; Serine biosynthesis; Transferase</t>
  </si>
  <si>
    <t>Pyridoxal phosphate</t>
  </si>
  <si>
    <t>Aminotransferase; Transferase</t>
  </si>
  <si>
    <t>L-serine biosynthetic process {GO:0006564}</t>
  </si>
  <si>
    <t>identical protein binding {GO:0042802}; O-phospho-L-serine:2-oxoglutarate aminotransferase activity {GO:0004648}; pyridoxal phosphate binding {GO:0030170}</t>
  </si>
  <si>
    <t>Cofactor biosynthesis; pyridoxine 5'-phosphate biosynthesis; pyridoxine 5'-phosphate from D-erythrose 4-phosphate: step 3/5.</t>
  </si>
  <si>
    <t>sp|Q99KI0|ACON_MOUSE</t>
  </si>
  <si>
    <t>Aconitate hydratase, mitochondrial (Aconitase)</t>
  </si>
  <si>
    <t>Citrate hydro-lyase</t>
  </si>
  <si>
    <t>ACON_MOUSE</t>
  </si>
  <si>
    <t>Q99KI0</t>
  </si>
  <si>
    <t>Q3UDK9; Q3ULG9; Q3UNH7; Q505P4</t>
  </si>
  <si>
    <t>MGI:87880</t>
  </si>
  <si>
    <t>4Fe-4S; Acetylation; Iron; Iron-sulfur; Lyase; Metal-binding; Mitochondrion; Phosphoprotein; Transit peptide; Tricarboxylic acid cycle</t>
  </si>
  <si>
    <t>4Fe-4S; Iron; Iron-sulfur; Metal-binding</t>
  </si>
  <si>
    <t>citrate metabolic process {GO:0006101}; isocitrate metabolic process {GO:0006102}; liver development {GO:0001889}; response to isolation stress {GO:0035900}; tricarboxylic acid cycle {GO:0006099}</t>
  </si>
  <si>
    <t>3 iron, 4 sulfur cluster binding {GO:0051538}; 4 iron, 4 sulfur cluster binding {GO:0051539}; aconitate hydratase activity {GO:0003994}; citrate dehydratase activity {GO:0047780}; iron ion binding {GO:0005506}</t>
  </si>
  <si>
    <t>Carbohydrate metabolism; tricarboxylic acid cycle; isocitrate from oxaloacetate: step 2/2.</t>
  </si>
  <si>
    <t>Citric acid cycle (TCA cycle) {R-MMU-71403}</t>
  </si>
  <si>
    <t>sp|P61089|UBE2N_MOUSE</t>
  </si>
  <si>
    <t>Ubiquitin-conjugating enzyme E2 N</t>
  </si>
  <si>
    <t>Bendless-like ubiquitin-conjugating enzyme; E2 ubiquitin-conjugating enzyme N; Ubc13; Ubiquitin carrier protein N; Ubiquitin-protein ligase N</t>
  </si>
  <si>
    <t>UBE2N_MOUSE</t>
  </si>
  <si>
    <t>P61089</t>
  </si>
  <si>
    <t>Q16781; Q3TSL6; Q6ZWZ0; Q9DAJ6</t>
  </si>
  <si>
    <t>Blu</t>
  </si>
  <si>
    <t>MGI:1934835</t>
  </si>
  <si>
    <t>Acetylation; ATP-binding; Cytoplasm; DNA damage; DNA repair; Isopeptide bond; Nucleotide-binding; Nucleus; Transferase; Ubl conjugation; Ubl conjugation pathway</t>
  </si>
  <si>
    <t>DNA damage; DNA repair; Ubl conjugation pathway</t>
  </si>
  <si>
    <t>DNA double-strand break processing {GO:0000729}; double-strand break repair via homologous recombination {GO:0000724}; histone ubiquitination {GO:0016574}; positive regulation of DNA repair {GO:0045739}; positive regulation of double-strand break repair {GO:2000781}; positive regulation of histone modification {GO:0031058}; positive regulation of I-kappaB kinase/NF-kappaB signaling {GO:0043123}; positive regulation of intracellular signal transduction {GO:1902533}; positive regulation of NF-kappaB transcription factor activity {GO:0051092}; positive regulation of protein K63-linked ubiquitination {GO:1902523}; positive regulation of ubiquitin-protein transferase activity {GO:0051443}; postreplication repair {GO:0006301}; protein K63-linked ubiquitination {GO:0070534}; protein polyubiquitination {GO:0000209}; protein ubiquitination {GO:0016567}; regulation of histone ubiquitination {GO:0033182}; T cell receptor signaling pathway {GO:0050852}; ubiquitin-dependent protein catabolic process {GO:0006511}</t>
  </si>
  <si>
    <t>cytoplasm {GO:0005737}; cytosol {GO:0005829}; fibrillar center {GO:0001650}; nucleoplasm {GO:0005654}; nucleus {GO:0005634}; protein-containing complex {GO:0032991}; UBC13-MMS2 complex {GO:0031372}; UBC13-UEV1A complex {GO:0035370}; ubiquitin ligase complex {GO:0000151}</t>
  </si>
  <si>
    <t>ATP binding {GO:0005524}; ubiquitin binding {GO:0043130}; ubiquitin conjugating enzyme activity {GO:0061631}; ubiquitin protein ligase binding {GO:0031625}; ubiquitin-protein transferase activity {GO:0004842}</t>
  </si>
  <si>
    <t>ISG15 antiviral mechanism {R-MMU-1169408}; NOD1/2 Signaling Pathway {R-MMU-168638}; Downstream TCR signaling {R-MMU-202424}; FCERI mediated NF-kB activation {R-MMU-2871837}; TAK1-dependent IKK and NF-kappa-B activation {R-MMU-445989}; activated TAK1 mediates p38 MAPK activation {R-MMU-450302}; JNK (c-Jun kinases) phosphorylation and activation mediated by activated human TAK1 {R-MMU-450321}; CLEC7A (Dectin-1) signaling {R-MMU-5607764}; Recruitment and ATM-mediated phosphorylation of repair and signaling proteins at DNA double strand breaks {R-MMU-5693565}; Nonhomologous End-Joining (NHEJ) {R-MMU-5693571}; Processing of DNA double-strand break ends {R-MMU-5693607}; Formation of Incision Complex in GG-NER {R-MMU-5696395}; G2/M DNA damage checkpoint {R-MMU-69473}; E3 ubiquitin ligases ubiquitinate target proteins {R-MMU-8866654}; Interleukin-1 signaling {R-MMU-9020702}; IRAK1 recruits IKK complex {R-MMU-937039}; IKK complex recruitment mediated by RIP1 {R-MMU-937041}; Aggrephagy {R-MMU-9646399}; IRAK1 recruits IKK complex upon TLR7/8 or 9 stimulation {R-MMU-975144}; Antigen processing: Ubiquitination &amp; Proteasome degradation {R-MMU-983168}</t>
  </si>
  <si>
    <t>sp|P10107|ANXA1_MOUSE</t>
  </si>
  <si>
    <t>Annexin Ac2-26</t>
  </si>
  <si>
    <t>Annexin I; Annexin-1; Calpactin II; Calpactin-2; Chromobindin-9; Lipocortin I; Phospholipase A2 inhibitory protein; p35</t>
  </si>
  <si>
    <t>ANXA1_MOUSE</t>
  </si>
  <si>
    <t>P10107</t>
  </si>
  <si>
    <t>Anx1; Lpc-1; Lpc1</t>
  </si>
  <si>
    <t>MGI:96819</t>
  </si>
  <si>
    <t>Acetylation; Adaptive immunity; Annexin; Calcium; Calcium/phospholipid-binding; Cell membrane; Cell projection; Cilium; Cytoplasm; Cytoplasmic vesicle; Disulfide bond; Endosome; Immunity; Inflammatory response; Innate immunity; Isopeptide bond; Membrane; Metal-binding; Nucleus; Phospholipase A2 inhibitor; Phosphoprotein; Repeat; Secreted; Ubl conjugation</t>
  </si>
  <si>
    <t>Adaptive immunity; Immunity; Inflammatory response; Innate immunity</t>
  </si>
  <si>
    <t>Cell membrane; Cell projection; Cilium; Cytoplasm; Cytoplasmic vesicle; Endosome; Membrane; Nucleus; Secreted</t>
  </si>
  <si>
    <t>Calcium; Calcium/phospholipid-binding; Metal-binding</t>
  </si>
  <si>
    <t>Phospholipase A2 inhibitor</t>
  </si>
  <si>
    <t>actin cytoskeleton reorganization {GO:0031532}; adaptive immune response {GO:0002250}; alpha-beta T cell differentiation {GO:0046632}; arachidonic acid secretion {GO:0050482}; cell surface receptor signaling pathway {GO:0007166}; cellular response to glucocorticoid stimulus {GO:0071385}; cellular response to hydrogen peroxide {GO:0070301}; cellular response to vascular endothelial growth factor stimulus {GO:0035924}; DNA duplex unwinding {GO:0032508}; endocrine pancreas development {GO:0031018}; estrous cycle {GO:0044849}; G protein-coupled receptor signaling pathway, coupled to cyclic nucleotide second messenger {GO:0007187}; gliogenesis {GO:0042063}; granulocyte chemotaxis {GO:0071621}; hepatocyte differentiation {GO:0070365}; inflammatory response {GO:0006954}; innate immune response {GO:0045087}; insulin secretion {GO:0030073}; keratinocyte differentiation {GO:0030216}; monocyte chemotaxis {GO:0002548}; myoblast migration involved in skeletal muscle regeneration {GO:0014839}; negative regulation of exocytosis {GO:0045920}; negative regulation of interleukin-8 production {GO:0032717}; negative regulation of phospholipase A2 activity {GO:1900138}; negative regulation of protein secretion {GO:0050709}; negative regulation of T-helper 2 cell differentiation {GO:0045629}; neutrophil activation {GO:0042119}; neutrophil clearance {GO:0097350}; neutrophil homeostasis {GO:0001780}; peptide cross-linking {GO:0018149}; phagocytosis {GO:0006909}; positive regulation of apoptotic process {GO:0043065}; positive regulation of cell migration involved in sprouting angiogenesis {GO:0090050}; positive regulation of G1/S transition of mitotic cell cycle {GO:1900087}; positive regulation of interleukin-2 production {GO:0032743}; positive regulation of neutrophil apoptotic process {GO:0033031}; positive regulation of prostaglandin biosynthetic process {GO:0031394}; positive regulation of T cell proliferation {GO:0042102}; positive regulation of T-helper 1 cell differentiation {GO:0045627}; positive regulation of vesicle fusion {GO:0031340}; positive regulation of wound healing {GO:0090303}; prolactin secretion {GO:0070459}; prostate gland development {GO:0030850}; regulation of cell population proliferation {GO:0042127}; regulation of cell shape {GO:0008360}; regulation of hormone secretion {GO:0046883}; regulation of inflammatory response {GO:0050727}; regulation of interleukin-1 production {GO:0032652}; regulation of leukocyte migration {GO:0002685}; response to estradiol {GO:0032355}; response to interleukin-1 {GO:0070555}; response to peptide hormone {GO:0043434}; response to X-ray {GO:0010165}; signal transduction {GO:0007165}</t>
  </si>
  <si>
    <t>actin filament {GO:0005884}; apical plasma membrane {GO:0016324}; basolateral plasma membrane {GO:0016323}; cell surface {GO:0009986}; collagen-containing extracellular matrix {GO:0062023}; cornified envelope {GO:0001533}; cytoplasm {GO:0005737}; cytosol {GO:0005829}; early endosome membrane {GO:0031901}; endosome {GO:0005768}; extracellular exosome {GO:0070062}; extracellular space {GO:0005615}; extrinsic component of endosome membrane {GO:0031313}; extrinsic component of external side of plasma membrane {GO:0031232}; extrinsic component of membrane {GO:0019898}; lateral plasma membrane {GO:0016328}; mast cell granule {GO:0042629}; mitochondrial membrane {GO:0031966}; motile cilium {GO:0031514}; nucleoplasm {GO:0005654}; nucleus {GO:0005634}; phagocytic cup {GO:0001891}; plasma membrane {GO:0005886}; protein-containing complex {GO:0032991}; sarcolemma {GO:0042383}; synaptic membrane {GO:0097060}</t>
  </si>
  <si>
    <t>calcium ion binding {GO:0005509}; calcium-dependent phospholipid binding {GO:0005544}; calcium-dependent protein binding {GO:0048306}; DNA/DNA annealing activity {GO:1990814}; double-stranded DNA helicase activity {GO:0036121}; identical protein binding {GO:0042802}; phospholipase A2 inhibitor activity {GO:0019834}; phospholipid binding {GO:0005543}; single-stranded DNA binding {GO:0003697}; single-stranded RNA binding {GO:0003727}</t>
  </si>
  <si>
    <t>G alpha (q) signalling events {R-MMU-416476}; G alpha (i) signalling events {R-MMU-418594}; Formyl peptide receptors bind formyl peptides and many other ligands {R-MMU-444473}</t>
  </si>
  <si>
    <t>sp|Q62167|DDX3X_MOUSE</t>
  </si>
  <si>
    <t>ATP-dependent RNA helicase DDX3X</t>
  </si>
  <si>
    <t>D1Pas1-related sequence 2; DEAD box RNA helicase DEAD3 (mDEAD3); DEAD box protein 3, X-chromosomal; Embryonic RNA helicase</t>
  </si>
  <si>
    <t>DDX3X_MOUSE</t>
  </si>
  <si>
    <t>Q62167</t>
  </si>
  <si>
    <t>O09060; O09143</t>
  </si>
  <si>
    <t>MGI:103064</t>
  </si>
  <si>
    <t>Acetylation; Apoptosis; ATP-binding; Cell membrane; Cell projection; Chromosome partition; Cytoplasm; DNA-binding; Helicase; Hydrolase; Immunity; Inflammasome; Inflammatory response; Innate immunity; Isopeptide bond; Membrane; Methylation; Nucleotide-binding; Nucleus; Phosphoprotein; Ribosome biogenesis; RNA-binding; Transcription; Transcription regulation; Translation regulation; Ubl conjugation</t>
  </si>
  <si>
    <t>Apoptosis; Chromosome partition; Immunity; Inflammatory response; Innate immunity; Ribosome biogenesis; Transcription; Transcription regulation; Translation regulation</t>
  </si>
  <si>
    <t>Cell membrane; Cell projection; Cytoplasm; Inflammasome; Membrane; Nucleus</t>
  </si>
  <si>
    <t>DNA-binding; Helicase; Hydrolase; RNA-binding</t>
  </si>
  <si>
    <t>cell differentiation {GO:0030154}; cellular response to arsenic-containing substance {GO:0071243}; cellular response to osmotic stress {GO:0071470}; cellular response to virus {GO:0098586}; chromosome segregation {GO:0007059}; extrinsic apoptotic signaling pathway via death domain receptors {GO:0008625}; gamete generation {GO:0007276}; inflammatory response {GO:0006954}; innate immune response {GO:0045087}; intracellular signal transduction {GO:0035556}; intrinsic apoptotic signaling pathway {GO:0097193}; lipid homeostasis {GO:0055088}; mature ribosome assembly {GO:0042256}; negative regulation of apoptotic process {GO:0043066}; negative regulation of cell growth {GO:0030308}; negative regulation of cysteine-type endopeptidase activity involved in apoptotic process {GO:0043154}; negative regulation of extrinsic apoptotic signaling pathway via death domain receptors {GO:1902042}; negative regulation of intrinsic apoptotic signaling pathway {GO:2001243}; negative regulation of NIK/NF-kappaB signaling {GO:1901223}; negative regulation of protein-containing complex assembly {GO:0031333}; negative regulation of translation {GO:0017148}; positive regulation of apoptotic process {GO:0043065}; positive regulation of canonical Wnt signaling pathway {GO:0090263}; positive regulation of cell growth {GO:0030307}; positive regulation of cysteine-type endopeptidase activity involved in apoptotic process {GO:0043280}; positive regulation of G1/S transition of mitotic cell cycle {GO:1900087}; positive regulation of gene expression {GO:0010628}; positive regulation of interferon-alpha production {GO:0032727}; positive regulation of interferon-beta production {GO:0032728}; positive regulation of NIK/NF-kappaB signaling {GO:1901224}; positive regulation of NLRP3 inflammasome complex assembly {GO:1900227}; positive regulation of protein acetylation {GO:1901985}; positive regulation of protein autophosphorylation {GO:0031954}; positive regulation of protein K63-linked ubiquitination {GO:1902523}; positive regulation of protein serine/threonine kinase activity {GO:0071902}; positive regulation of toll-like receptor 7 signaling pathway {GO:0034157}; positive regulation of toll-like receptor 8 signaling pathway {GO:0034161}; positive regulation of transcription by RNA polymerase II {GO:0045944}; positive regulation of translation {GO:0045727}; positive regulation of translation in response to endoplasmic reticulum stress {GO:0036493}; positive regulation of translational initiation {GO:0045948}; positive regulation of viral genome replication {GO:0045070}; primary miRNA processing {GO:0031053}; protein localization to cytoplasmic stress granule {GO:1903608}; response to virus {GO:0009615}; RNA secondary structure unwinding {GO:0010501}; stress granule assembly {GO:0034063}; translational initiation {GO:0006413}; Wnt signaling pathway {GO:0016055}</t>
  </si>
  <si>
    <t>cell leading edge {GO:0031252}; centrosome {GO:0005813}; cytoplasm {GO:0005737}; cytoplasmic stress granule {GO:0010494}; cytosol {GO:0005829}; cytosolic small ribosomal subunit {GO:0022627}; eukaryotic translation initiation factor 3 complex {GO:0005852}; lamellipodium {GO:0030027}; NLRP3 inflammasome complex {GO:0072559}; nucleoplasm {GO:0005654}; nucleus {GO:0005634}; P granule {GO:0043186}; plasma membrane {GO:0005886}</t>
  </si>
  <si>
    <t>ATP binding {GO:0005524}; ATP hydrolysis activity {GO:0016887}; CTPase activity {GO:0043273}; DNA binding {GO:0003677}; DNA helicase activity {GO:0003678}; eukaryotic initiation factor 4E binding {GO:0008190}; gamma-tubulin binding {GO:0043015}; GTPase activity {GO:0003924}; mRNA 5'-UTR binding {GO:0048027}; mRNA binding {GO:0003729}; poly(A) binding {GO:0008143}; primary miRNA binding {GO:0070878}; protein serine/threonine kinase activator activity {GO:0043539}; ribonucleoside triphosphate phosphatase activity {GO:0017111}; ribosomal small subunit binding {GO:0043024}; RNA binding {GO:0003723}; RNA helicase activity {GO:0003724}; RNA stem-loop binding {GO:0035613}; RNA strand annealing activity {GO:0033592}; transcription factor binding {GO:0008134}; translation initiation factor binding {GO:0031369}</t>
  </si>
  <si>
    <t>sp|P34884|MIF_MOUSE</t>
  </si>
  <si>
    <t>Macrophage migration inhibitory factor (MIF)</t>
  </si>
  <si>
    <t>Delayed early response protein 6 (DER6); Glycosylation-inhibiting factor (GIF); L-dopachrome isomerase; L-dopachrome tautomerase; Phenylpyruvate tautomerase</t>
  </si>
  <si>
    <t>MIF_MOUSE</t>
  </si>
  <si>
    <t>P34884</t>
  </si>
  <si>
    <t>MGI:96982</t>
  </si>
  <si>
    <t>3D-structure; Acetylation; Cytokine; Cytoplasm; Immunity; Inflammatory response; Innate immunity; Isomerase; Secreted</t>
  </si>
  <si>
    <t>Immunity; Inflammatory response; Innate immunity</t>
  </si>
  <si>
    <t>Cytokine; Isomerase</t>
  </si>
  <si>
    <t>carboxylic acid metabolic process {GO:0019752}; cell surface receptor signaling pathway {GO:0007166}; cellular senescence {GO:0090398}; DNA damage response, signal transduction by p53 class mediator {GO:0030330}; inflammatory response {GO:0006954}; innate immune response {GO:0045087}; negative regulation of apoptotic process {GO:0043066}; negative regulation of cell migration {GO:0030336}; negative regulation of cellular senescence {GO:2000773}; negative regulation of DNA damage response, signal transduction by p53 class mediator {GO:0043518}; negative regulation of gene expression {GO:0010629}; negative regulation of intrinsic apoptotic signaling pathway in response to DNA damage by p53 class mediator {GO:1902166}; negative regulation of macrophage chemotaxis {GO:0010760}; negative regulation of mature B cell apoptotic process {GO:0002906}; negative regulation of myeloid cell apoptotic process {GO:0033033}; negative regulation of protein metabolic process {GO:0051248}; positive regulation of adaptive immune response {GO:0002821}; positive regulation of arachidonic acid secretion {GO:0090238}; positive regulation of B cell proliferation {GO:0030890}; positive regulation of cell population proliferation {GO:0008284}; positive regulation of chemokine (C-X-C motif) ligand 2 production {GO:2000343}; positive regulation of cytokine production {GO:0001819}; positive regulation of ERK1 and ERK2 cascade {GO:0070374}; positive regulation of fibroblast proliferation {GO:0048146}; positive regulation of lipopolysaccharide-mediated signaling pathway {GO:0031666}; positive regulation of MAP kinase activity {GO:0043406}; positive regulation of myeloid leukocyte cytokine production involved in immune response {GO:0061081}; positive regulation of peptidyl-serine phosphorylation {GO:0033138}; positive regulation of peptidyl-tyrosine phosphorylation {GO:0050731}; positive regulation of phosphorylation {GO:0042327}; positive regulation of prostaglandin secretion involved in immune response {GO:0061078}; positive regulation of protein kinase A signaling {GO:0010739}; positive regulation of protein phosphorylation {GO:0001934}; positive regulation of tumor necrosis factor production {GO:0032760}; prostaglandin biosynthetic process {GO:0001516}; protein homotrimerization {GO:0070207}; regulation of cell population proliferation {GO:0042127}</t>
  </si>
  <si>
    <t>cell surface {GO:0009986}; cytoplasm {GO:0005737}; cytosol {GO:0005829}; extracellular region {GO:0005576}; extracellular space {GO:0005615}; myelin sheath {GO:0043209}; nucleoplasm {GO:0005654}; nucleus {GO:0005634}; plasma membrane {GO:0005886}</t>
  </si>
  <si>
    <t>chemoattractant activity {GO:0042056}; cytokine activity {GO:0005125}; cytokine receptor binding {GO:0005126}; dopachrome isomerase activity {GO:0004167}; identical protein binding {GO:0042802}; phenylpyruvate tautomerase activity {GO:0050178}; protease binding {GO:0002020}; protein-containing complex binding {GO:0044877}</t>
  </si>
  <si>
    <t>Cell surface interactions at the vascular wall {R-MMU-202733}; Neutrophil degranulation {R-MMU-6798695}</t>
  </si>
  <si>
    <t>sp|Q8BP48|MAP11_MOUSE</t>
  </si>
  <si>
    <t>Methionine aminopeptidase 1 (MAP 1; MetAP 1)</t>
  </si>
  <si>
    <t>Peptidase M 1</t>
  </si>
  <si>
    <t>MAP11_MOUSE</t>
  </si>
  <si>
    <t>Q8BP48</t>
  </si>
  <si>
    <t>MGI:1922874</t>
  </si>
  <si>
    <t>3D-structure; Acetylation; Aminopeptidase; Cytoplasm; Hydrolase; Metal-binding; Protease; Zinc; Zinc-finger</t>
  </si>
  <si>
    <t>Aminopeptidase; Hydrolase; Protease</t>
  </si>
  <si>
    <t>protein initiator methionine removal involved in protein maturation {GO:0035551}</t>
  </si>
  <si>
    <t>metal ion binding {GO:0046872}; metalloaminopeptidase activity {GO:0070006}</t>
  </si>
  <si>
    <t>Inactivation, recovery and regulation of the phototransduction cascade {R-MMU-2514859}</t>
  </si>
  <si>
    <t>sp|Q9QZD9|EIF3I_MOUSE</t>
  </si>
  <si>
    <t>Eukaryotic translation initiation factor 3 subunit I (eIF3i)</t>
  </si>
  <si>
    <t>Eukaryotic translation initiation factor 3 subunit 2; TGF-beta receptor-interacting protein 1 (TRIP-1); eIF-3-beta; eIF3 p36</t>
  </si>
  <si>
    <t>EIF3I_MOUSE</t>
  </si>
  <si>
    <t>Q9QZD9</t>
  </si>
  <si>
    <t>Eif3s2; Trip1</t>
  </si>
  <si>
    <t>MGI:1860763</t>
  </si>
  <si>
    <t>Acetylation; Cytoplasm; Initiation factor; Isopeptide bond; Phosphoprotein; Protein biosynthesis; Repeat; Ubl conjugation; WD repeat</t>
  </si>
  <si>
    <t>cytoplasmic translational initiation {GO:0002183}; formation of cytoplasmic translation initiation complex {GO:0001732}; translational initiation {GO:0006413}</t>
  </si>
  <si>
    <t>enzyme binding {GO:0019899}; RNA binding {GO:0003723}; translation initiation factor activity {GO:0003743}</t>
  </si>
  <si>
    <t>sp|O70435|PSA3_MOUSE</t>
  </si>
  <si>
    <t>Proteasome subunit alpha type-3</t>
  </si>
  <si>
    <t>Macropain subunit C8; Multicatalytic endopeptidase complex subunit C8; Proteasome component C8; Proteasome subunit K</t>
  </si>
  <si>
    <t>PSA3_MOUSE</t>
  </si>
  <si>
    <t>O70435</t>
  </si>
  <si>
    <t>MGI:104883</t>
  </si>
  <si>
    <t>proteasomal protein catabolic process {GO:0010498}; regulation of endopeptidase activity {GO:0052548}; ubiquitin-dependent protein catabolic process {GO:0006511}</t>
  </si>
  <si>
    <t>cytoplasm {GO:0005737}; cytosol {GO:0005829}; nucleoplasm {GO:0005654}; nucleus {GO:0005634}; proteasome complex {GO:0000502}; proteasome core complex {GO:0005839}; proteasome core complex, alpha-subunit complex {GO:0019773}; synapse {GO:0045202}</t>
  </si>
  <si>
    <t>ubiquitin protein ligase binding {GO:0031625}</t>
  </si>
  <si>
    <t>sp|Q05D44|IF2P_MOUSE</t>
  </si>
  <si>
    <t>Eukaryotic translation initiation factor 5B (eIF-5B)</t>
  </si>
  <si>
    <t>Translation initiation factor IF-2</t>
  </si>
  <si>
    <t>IF2P_MOUSE</t>
  </si>
  <si>
    <t>Q05D44</t>
  </si>
  <si>
    <t>Q3SYI4; Q3TQJ8; Q3UL37; Q3UM39; Q6PAI0; Q8CFF4; Q8CGD6</t>
  </si>
  <si>
    <t>If2</t>
  </si>
  <si>
    <t>MGI:2441772</t>
  </si>
  <si>
    <t>Cytoplasm; GTP-binding; Hydrolase; Initiation factor; Metal-binding; Nucleotide-binding; Phosphoprotein; Protein biosynthesis</t>
  </si>
  <si>
    <t>GTP-binding; Metal-binding; Nucleotide-binding</t>
  </si>
  <si>
    <t>Hydrolase; Initiation factor</t>
  </si>
  <si>
    <t>regulation of translational initiation {GO:0006446}; translational initiation {GO:0006413}</t>
  </si>
  <si>
    <t>cytoplasm {GO:0005737}; mitochondrion {GO:0005739}</t>
  </si>
  <si>
    <t>GTP binding {GO:0005525}; GTPase activity {GO:0003924}; metal ion binding {GO:0046872}; translation initiation factor activity {GO:0003743}</t>
  </si>
  <si>
    <t>GTP hydrolysis and joining of the 60S ribosomal subunit {R-MMU-72706}</t>
  </si>
  <si>
    <t>sp|Q9CXW4|RL11_MOUSE</t>
  </si>
  <si>
    <t>60S ribosomal protein L11</t>
  </si>
  <si>
    <t>RL11_MOUSE</t>
  </si>
  <si>
    <t>Q9CXW4</t>
  </si>
  <si>
    <t>Q3TPE3; Q6ZWY0</t>
  </si>
  <si>
    <t>MGI:1914275</t>
  </si>
  <si>
    <t>cytoplasmic translation {GO:0002181}; negative regulation of DNA-binding transcription factor activity {GO:0043433}; negative regulation of proteasomal ubiquitin-dependent protein catabolic process {GO:0032435}; negative regulation of protein neddylation {GO:2000435}; negative regulation of ubiquitin protein ligase activity {GO:1904667}; negative regulation of ubiquitin-dependent protein catabolic process {GO:2000059}; positive regulation of gene expression {GO:0010628}; positive regulation of intrinsic apoptotic signaling pathway by p53 class mediator {GO:1902255}; positive regulation of protein binding {GO:0032092}; positive regulation of signal transduction by p53 class mediator {GO:1901798}; protein localization to nucleus {GO:0034504}; protein stabilization {GO:0050821}; protein targeting {GO:0006605}; regulation of signal transduction by p53 class mediator {GO:1901796}; ribosomal large subunit assembly {GO:0000027}; ribosomal large subunit biogenesis {GO:0042273}; rRNA processing {GO:0006364}</t>
  </si>
  <si>
    <t>cytoplasm {GO:0005737}; cytosol {GO:0005829}; cytosolic large ribosomal subunit {GO:0022625}; cytosolic ribosome {GO:0022626}; nucleolus {GO:0005730}; nucleoplasm {GO:0005654}; polysomal ribosome {GO:0042788}; protein-containing complex {GO:0032991}; synapse {GO:0045202}</t>
  </si>
  <si>
    <t>5S rRNA binding {GO:0008097}; peroxisome proliferator activated receptor binding {GO:0042975}; RNA binding {GO:0003723}; structural constituent of ribosome {GO:0003735}; ubiquitin ligase inhibitor activity {GO:1990948}; ubiquitin protein ligase binding {GO:0031625}</t>
  </si>
  <si>
    <t>sp|P84099|RL19_MOUSE</t>
  </si>
  <si>
    <t>60S ribosomal protein L19</t>
  </si>
  <si>
    <t>RL19_MOUSE</t>
  </si>
  <si>
    <t>P84099</t>
  </si>
  <si>
    <t>P14118; P22908</t>
  </si>
  <si>
    <t>MGI:98020</t>
  </si>
  <si>
    <t>3D-structure; Citrullination; Cytoplasm; Isopeptide bond; Phosphoprotein; Ribonucleoprotein; Ribosomal protein; Ubl conjugation</t>
  </si>
  <si>
    <t>Citrullination; Isopeptide bond; Phosphoprotein; Ubl conjugation</t>
  </si>
  <si>
    <t>cytoplasm {GO:0005737}; cytosol {GO:0005829}; cytosolic large ribosomal subunit {GO:0022625}; cytosolic ribosome {GO:0022626}; nucleolus {GO:0005730}; polysomal ribosome {GO:0042788}; synapse {GO:0045202}</t>
  </si>
  <si>
    <t>5.8S rRNA binding {GO:1990932}; large ribosomal subunit rRNA binding {GO:0070180}; RNA binding {GO:0003723}; structural constituent of ribosome {GO:0003735}</t>
  </si>
  <si>
    <t>sp|Q9CZM2|RL15_MOUSE</t>
  </si>
  <si>
    <t>60S ribosomal protein L15</t>
  </si>
  <si>
    <t>RL15_MOUSE</t>
  </si>
  <si>
    <t>Q9CZM2</t>
  </si>
  <si>
    <t>Q9CWI5</t>
  </si>
  <si>
    <t>MGI:1913730</t>
  </si>
  <si>
    <t>3D-structure; Cytoplasm; Isopeptide bond; Lipoprotein; Myristate; Phosphoprotein; Ribonucleoprotein; Ribosomal protein; Ubl conjugation</t>
  </si>
  <si>
    <t>cytoplasmic translation {GO:0002181}; response to ethanol {GO:0045471}</t>
  </si>
  <si>
    <t>A band {GO:0031672}; cytoplasm {GO:0005737}; cytosol {GO:0005829}; cytosolic large ribosomal subunit {GO:0022625}; cytosolic ribosome {GO:0022626}; membrane {GO:0016020}; nucleus {GO:0005634}</t>
  </si>
  <si>
    <t>sp|Q8BU30|SYIC_MOUSE</t>
  </si>
  <si>
    <t>Isoleucine--tRNA ligase, cytoplasmic</t>
  </si>
  <si>
    <t>Isoleucyl-tRNA synthetase (IRS; IleRS)</t>
  </si>
  <si>
    <t>SYIC_MOUSE</t>
  </si>
  <si>
    <t>Q8BU30</t>
  </si>
  <si>
    <t>Q6NXK4</t>
  </si>
  <si>
    <t>Iars</t>
  </si>
  <si>
    <t>MGI:2145219</t>
  </si>
  <si>
    <t>isoleucyl-tRNA aminoacylation {GO:0006428}</t>
  </si>
  <si>
    <t>aminoacyl-tRNA synthetase multienzyme complex {GO:0017101}; cytoplasm {GO:0005737}; cytosol {GO:0005829}; nucleoplasm {GO:0005654}</t>
  </si>
  <si>
    <t>aminoacyl-tRNA editing activity {GO:0002161}; ATP binding {GO:0005524}; GTPase binding {GO:0051020}; isoleucine-tRNA ligase activity {GO:0004822}; tRNA binding {GO:0000049}</t>
  </si>
  <si>
    <t>sp|Q70IV5|SYNEM_MOUSE</t>
  </si>
  <si>
    <t>Synemin</t>
  </si>
  <si>
    <t>Desmuslin</t>
  </si>
  <si>
    <t>SYNEM_MOUSE</t>
  </si>
  <si>
    <t>Q70IV5</t>
  </si>
  <si>
    <t>Q3UPZ4; Q6A081; Q70IV3; Q70IV4</t>
  </si>
  <si>
    <t>MGI:2661187</t>
  </si>
  <si>
    <t>Alternative splicing; Cell junction; Coiled coil; Cytoplasm; Cytoskeleton; Intermediate filament; Methylation; Phosphoprotein</t>
  </si>
  <si>
    <t>Cell junction; Cytoplasm; Cytoskeleton; Intermediate filament</t>
  </si>
  <si>
    <t>fast-twitch skeletal muscle fiber contraction {GO:0031443}; intermediate filament cytoskeleton organization {GO:0045104}</t>
  </si>
  <si>
    <t>adherens junction {GO:0005912}; costamere {GO:0043034}; intermediate filament {GO:0005882}; intermediate filament cytoskeleton {GO:0045111}; membrane {GO:0016020}; neurofilament cytoskeleton {GO:0060053}; sarcolemma {GO:0042383}; Z disc {GO:0030018}</t>
  </si>
  <si>
    <t>intermediate filament binding {GO:0019215}; protein-macromolecule adaptor activity {GO:0030674}; structural constituent of cytoskeleton {GO:0005200}; structural constituent of muscle {GO:0008307}; vinculin binding {GO:0017166}</t>
  </si>
  <si>
    <t>sp|Q9D0F9|PGM1_MOUSE</t>
  </si>
  <si>
    <t>Phosphoglucomutase-1 (PGM 1)</t>
  </si>
  <si>
    <t>Glucose phosphomutase 1; Phosphoglucomutase-2</t>
  </si>
  <si>
    <t>PGM1_MOUSE</t>
  </si>
  <si>
    <t>Q9D0F9</t>
  </si>
  <si>
    <t>Q3UGE3; Q922D6</t>
  </si>
  <si>
    <t>Pgm2</t>
  </si>
  <si>
    <t>MGI:97565</t>
  </si>
  <si>
    <t>Acetylation; Carbohydrate metabolism; Cytoplasm; Glucose metabolism; Isomerase; Magnesium; Metal-binding; Phosphoprotein</t>
  </si>
  <si>
    <t>Carbohydrate metabolism; Glucose metabolism</t>
  </si>
  <si>
    <t>carbohydrate metabolic process {GO:0005975}; glucose metabolic process {GO:0006006}; glycogen catabolic process {GO:0005980}</t>
  </si>
  <si>
    <t>cytoplasm {GO:0005737}; cytosol {GO:0005829}; Z disc {GO:0030018}</t>
  </si>
  <si>
    <t>magnesium ion binding {GO:0000287}; phosphoglucomutase activity {GO:0004614}</t>
  </si>
  <si>
    <t>Glycogen synthesis {R-MMU-3322077}; Neutrophil degranulation {R-MMU-6798695}; Glycogen breakdown (glycogenolysis) {R-MMU-70221}; Galactose catabolism {R-MMU-70370}</t>
  </si>
  <si>
    <t>sp|Q8VDM4|PSMD2_MOUSE</t>
  </si>
  <si>
    <t>26S proteasome non-ATPase regulatory subunit 2</t>
  </si>
  <si>
    <t>26S proteasome regulatory subunit RPN1; 26S proteasome regulatory subunit S2; 26S proteasome subunit p97</t>
  </si>
  <si>
    <t>PSMD2_MOUSE</t>
  </si>
  <si>
    <t>Q8VDM4</t>
  </si>
  <si>
    <t>MGI:1096584</t>
  </si>
  <si>
    <t>Acetylation; Phosphoprotein; Proteasome; Repeat</t>
  </si>
  <si>
    <t>Proteasome</t>
  </si>
  <si>
    <t>proteasome-mediated ubiquitin-dependent protein catabolic process {GO:0043161}; regulation of protein catabolic process {GO:0042176}</t>
  </si>
  <si>
    <t>nucleus {GO:0005634}; proteasome accessory complex {GO:0022624}; proteasome complex {GO:0000502}; proteasome regulatory particle {GO:0005838}; proteasome regulatory particle, base subcomplex {GO:0008540}; proteasome storage granule {GO:0034515}</t>
  </si>
  <si>
    <t>enzyme regulator activity {GO:0030234}</t>
  </si>
  <si>
    <t>sp|Q9Z0S1|BPNT1_MOUSE</t>
  </si>
  <si>
    <t>3'(2'),5'-bisphosphate nucleotidase 1</t>
  </si>
  <si>
    <t>Bisphosphate 3'-nucleotidase 1; PAP-inositol 1,4-phosphatase (PIP)</t>
  </si>
  <si>
    <t>BPNT1_MOUSE</t>
  </si>
  <si>
    <t>Q9Z0S1</t>
  </si>
  <si>
    <t>Q3U8Z5; Q91XB9; Q9D7Y0</t>
  </si>
  <si>
    <t>MGI:1338800</t>
  </si>
  <si>
    <t>Acetylation; Hydrolase; Lithium; Magnesium; Metal-binding; Phosphoprotein</t>
  </si>
  <si>
    <t>Lithium; Magnesium; Metal-binding</t>
  </si>
  <si>
    <t>inositol phosphate dephosphorylation {GO:0046855}; phosphatidylinositol phosphate biosynthetic process {GO:0046854}</t>
  </si>
  <si>
    <t>3'(2'),5'-bisphosphate nucleotidase activity {GO:0008441}; inositol-1,4-bisphosphate 1-phosphatase activity {GO:0004441}; magnesium ion binding {GO:0000287}</t>
  </si>
  <si>
    <t>Cytosolic sulfonation of small molecules {R-MMU-156584}</t>
  </si>
  <si>
    <t>sp|P63168|DYL1_MOUSE</t>
  </si>
  <si>
    <t>Dynein light chain 1, cytoplasmic</t>
  </si>
  <si>
    <t>8 kDa dynein light chain (DLC8); Dynein light chain LC8-type 1; Protein inhibitor of neuronal nitric oxide synthase (PIN; mPIN)</t>
  </si>
  <si>
    <t>DYL1_MOUSE</t>
  </si>
  <si>
    <t>P63168</t>
  </si>
  <si>
    <t>Q15701; Q3UGE7</t>
  </si>
  <si>
    <t>Dlc1; Dncl1; Dnclc1</t>
  </si>
  <si>
    <t>MGI:1861457</t>
  </si>
  <si>
    <t>Acetylation; Activator; Apoptosis; Cytoplasm; Cytoskeleton; Dynein; Isopeptide bond; Microtubule; Mitochondrion; Motor protein; Nucleus; Phosphoprotein; Transcription; Transcription regulation; Transport; Ubl conjugation</t>
  </si>
  <si>
    <t>Apoptosis; Transcription; Transcription regulation; Transport</t>
  </si>
  <si>
    <t>Cytoplasm; Cytoskeleton; Dynein; Microtubule; Mitochondrion; Nucleus</t>
  </si>
  <si>
    <t>Activator; Motor protein</t>
  </si>
  <si>
    <t>apoptotic process {GO:0006915}; intraciliary retrograde transport {GO:0035721}; motile cilium assembly {GO:0044458}; negative regulation of nitric oxide biosynthetic process {GO:0045019}; negative regulation of phosphorylation {GO:0042326}; positive regulation of insulin secretion involved in cellular response to glucose stimulus {GO:0035774}; positive regulation of non-motile cilium assembly {GO:1902857}; spermatid development {GO:0007286}</t>
  </si>
  <si>
    <t>axon cytoplasm {GO:1904115}; centrosome {GO:0005813}; cilium {GO:0005929}; COP9 signalosome {GO:0008180}; cytoplasm {GO:0005737}; cytoplasmic dynein complex {GO:0005868}; cytoskeleton {GO:0005856}; cytosol {GO:0005829}; dynein complex {GO:0030286}; kinetochore {GO:0000776}; membrane {GO:0016020}; microtubule {GO:0005874}; mitochondrion {GO:0005739}; mitotic spindle {GO:0072686}; nucleus {GO:0005634}; secretory granule {GO:0030141}</t>
  </si>
  <si>
    <t>dynein intermediate chain binding {GO:0045505}; enzyme binding {GO:0019899}; enzyme inhibitor activity {GO:0004857}; identical protein binding {GO:0042802}; nitric-oxide synthase regulator activity {GO:0030235}; protein C-terminus binding {GO:0008022}; protein domain specific binding {GO:0019904}; protein-containing complex binding {GO:0044877}; scaffold protein binding {GO:0097110}</t>
  </si>
  <si>
    <t>Activation of BIM and translocation to mitochondria {R-MMU-111446}; Amplification of signal from unattached kinetochores via a MAD2 inhibitory signal {R-MMU-141444}; Macroautophagy {R-MMU-1632852}; MHC class II antigen presentation {R-MMU-2132295}; Separation of Sister Chromatids {R-MMU-2467813}; Resolution of Sister Chromatid Cohesion {R-MMU-2500257}; Regulation of PLK1 Activity at G2/M Transition {R-MMU-2565942}; HSP90 chaperone cycle for steroid hormone receptors (SHR) in the presence of ligand {R-MMU-3371497};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Intraflagellar transport {R-MMU-5620924}; RHO GTPases Activate Formins {R-MMU-5663220}; Neutrophil degranulation {R-MMU-6798695}; COPI-mediated anterograde transport {R-MMU-6807878}; COPI-independent Golgi-to-ER retrograde traffic {R-MMU-6811436}; Mitotic Prometaphase {R-MMU-68877}; AURKA Activation by TPX2 {R-MMU-8854518}; Aggrephagy {R-MMU-9646399}; EML4 and NUDC in mitotic spindle formation {R-MMU-9648025}</t>
  </si>
  <si>
    <t>sp|Q62446|FKBP3_MOUSE</t>
  </si>
  <si>
    <t>Peptidyl-prolyl cis-trans isomerase FKBP3 (PPIase FKBP3)</t>
  </si>
  <si>
    <t>25 kDa FK506-binding protein (25 kDa FKBP; FKBP-25); FK506-binding protein 3 (FKBP-3); Immunophilin FKBP25; Rapamycin-selective 25 kDa immunophilin; Rotamase</t>
  </si>
  <si>
    <t>FKBP3_MOUSE</t>
  </si>
  <si>
    <t>Q62446</t>
  </si>
  <si>
    <t>Q9WTJ7</t>
  </si>
  <si>
    <t>Fkbp25</t>
  </si>
  <si>
    <t>MGI:1353460</t>
  </si>
  <si>
    <t>3D-structure; Acetylation; Isomerase; Nucleus; Phosphoprotein; Rotamase</t>
  </si>
  <si>
    <t>nucleus {GO:0005634}</t>
  </si>
  <si>
    <t>peptidyl-prolyl cis-trans isomerase activity {GO:0003755}</t>
  </si>
  <si>
    <t>sp|Q9D0I9|SYRC_MOUSE</t>
  </si>
  <si>
    <t>Arginine--tRNA ligase, cytoplasmic</t>
  </si>
  <si>
    <t>Arginyl-tRNA synthetase (ArgRS)</t>
  </si>
  <si>
    <t>SYRC_MOUSE</t>
  </si>
  <si>
    <t>Q9D0I9</t>
  </si>
  <si>
    <t>Q3THP2; Q3TM73; Q3U8R2; Q3U930; Q5SXA8; Q8VDW1</t>
  </si>
  <si>
    <t>Rars</t>
  </si>
  <si>
    <t>MGI:1914297</t>
  </si>
  <si>
    <t>Acetylation; Aminoacyl-tRNA synthetase; ATP-binding; Cytoplasm; Ligase; Nucleotide-binding; Protein biosynthesis</t>
  </si>
  <si>
    <t>arginyl-tRNA aminoacylation {GO:0006420}</t>
  </si>
  <si>
    <t>aminoacyl-tRNA synthetase multienzyme complex {GO:0017101}; cytoplasm {GO:0005737}; cytosol {GO:0005829}; mitochondrion {GO:0005739}; nucleolus {GO:0005730}; nucleoplasm {GO:0005654}; nucleus {GO:0005634}</t>
  </si>
  <si>
    <t>arginine binding {GO:0034618}; arginine-tRNA ligase activity {GO:0004814}; ATP binding {GO:0005524}; tRNA binding {GO:0000049}</t>
  </si>
  <si>
    <t>sp|P14873|MAP1B_MOUSE</t>
  </si>
  <si>
    <t>MAP1 light chain LC1</t>
  </si>
  <si>
    <t>MAP1(X); MAP1.2</t>
  </si>
  <si>
    <t>MAP1B_MOUSE</t>
  </si>
  <si>
    <t>P14873</t>
  </si>
  <si>
    <t>E9QM11</t>
  </si>
  <si>
    <t>Mtap1b; Mtap5</t>
  </si>
  <si>
    <t>MGI:1306778</t>
  </si>
  <si>
    <t>Acetylation; Cell projection; Cytoplasm; Cytoskeleton; Methylation; Microtubule; Phosphoprotein; Repeat; S-nitrosylation; Synapse</t>
  </si>
  <si>
    <t>Cell projection; Cytoplasm; Cytoskeleton; Microtubule; Synapse</t>
  </si>
  <si>
    <t>Acetylation; Methylation; Phosphoprotein; S-nitrosylation</t>
  </si>
  <si>
    <t>axon extension {GO:0048675}; axonogenesis {GO:0007409}; cellular response to growth factor stimulus {GO:0071363}; cellular response to peptide hormone stimulus {GO:0071375}; dendrite development {GO:0016358}; developmental maturation {GO:0021700}; establishment of monopolar cell polarity {GO:0061162}; induction of synaptic plasticity by chemical substance {GO:0051915}; intracellular transport {GO:0046907}; microtubule bundle formation {GO:0001578}; microtubule cytoskeleton organization {GO:0000226}; microtubule-based process {GO:0007017}; mitochondrion transport along microtubule {GO:0047497}; negative regulation of intracellular transport {GO:0032387}; negative regulation of microtubule depolymerization {GO:0007026}; odontoblast differentiation {GO:0071895}; peripheral nervous system axon regeneration {GO:0014012}; positive regulation of axon extension {GO:0045773}; positive regulation of microtubule polymerization {GO:0031116}; positive regulation of neuron differentiation {GO:0045666}; regulation of microtubule depolymerization {GO:0031114}; response to carbohydrate {GO:0009743}; response to estradiol {GO:0032355}; response to inorganic substance {GO:0010035}; response to insecticide {GO:0017085}; response to mechanical stimulus {GO:0009612}; response to vitamin A {GO:0033189}; response to xenobiotic stimulus {GO:0009410}; synapse assembly {GO:0007416}</t>
  </si>
  <si>
    <t>anchoring junction {GO:0070161}; apical dendrite {GO:0097440}; axon {GO:0030424}; basal dendrite {GO:0097441}; cytoskeleton {GO:0005856}; cytosol {GO:0005829}; dendrite {GO:0030425}; dendritic spine {GO:0043197}; growth cone {GO:0030426}; hippocampal mossy fiber {GO:0097457}; microtubule {GO:0005874}; microtubule associated complex {GO:0005875}; neuronal cell body {GO:0043025}; perikaryon {GO:0043204}; perinuclear region of cytoplasm {GO:0048471}; photoreceptor outer segment {GO:0001750}; plasma membrane {GO:0005886}; postsynaptic density {GO:0014069}; somatodendritic compartment {GO:0036477}; synapse {GO:0045202}; varicosity {GO:0043196}</t>
  </si>
  <si>
    <t>actin binding {GO:0003779}; cytoskeletal regulatory protein binding {GO:0005519}; microtubule binding {GO:0008017}; phospholipid binding {GO:0005543}; protein-containing complex binding {GO:0044877}</t>
  </si>
  <si>
    <t>sp|Q9DBF1|AL7A1_MOUSE</t>
  </si>
  <si>
    <t>sp|P54775|PRS6B_MOUSE</t>
  </si>
  <si>
    <t>26S proteasome regulatory subunit 6B</t>
  </si>
  <si>
    <t>26S proteasome AAA-ATPase subunit RPT3; CIP21; MB67-interacting protein; MIP224; Proteasome 26S subunit ATPase 4; Tat-binding protein 7 (TBP-7)</t>
  </si>
  <si>
    <t>PRS6B_MOUSE</t>
  </si>
  <si>
    <t>P54775</t>
  </si>
  <si>
    <t>Q6ZWN9</t>
  </si>
  <si>
    <t>Tbp7</t>
  </si>
  <si>
    <t>MGI:1346093</t>
  </si>
  <si>
    <t>3D-structure; Acetylation; ATP-binding; Cytoplasm; Nucleotide-binding; Nucleus; Phosphoprotein; Proteasome</t>
  </si>
  <si>
    <t>blastocyst development {GO:0001824}; proteasome-mediated ubiquitin-dependent protein catabolic process {GO:0043161}</t>
  </si>
  <si>
    <t>cytosol {GO:0005829}; cytosolic proteasome complex {GO:0031597}; inclusion body {GO:0016234}; nucleoplasm {GO:0005654}; proteasome accessory complex {GO:0022624}; proteasome complex {GO:0000502}; proteasome regulatory particle, base subcomplex {GO:0008540}; synapse {GO:0045202}</t>
  </si>
  <si>
    <t>ATP binding {GO:0005524}; ATP hydrolysis activity {GO:0016887}; proteasome-activating activity {GO:0036402}</t>
  </si>
  <si>
    <t>sp|Q8VDN2|AT1A1_MOUSE</t>
  </si>
  <si>
    <t>Sodium/potassium-transporting ATPase subunit alpha-1 (Na(+)/K(+) ATPase alpha-1 subunit)</t>
  </si>
  <si>
    <t>Sodium pump subunit alpha-1</t>
  </si>
  <si>
    <t>AT1A1_MOUSE</t>
  </si>
  <si>
    <t>Q8VDN2</t>
  </si>
  <si>
    <t>Q91Z09</t>
  </si>
  <si>
    <t>MGI:88105</t>
  </si>
  <si>
    <t>Acetylation; ATP-binding; Cell membrane; Cell projection; Ion transport; Magnesium; Membrane; Metal-binding; Nucleotide-binding; Phosphoprotein; Potassium; Potassium transport; Sodium; Sodium transport; Sodium/potassium transport; Translocase; Transmembrane; Transmembrane helix; Transport</t>
  </si>
  <si>
    <t>Ion transport; Potassium transport; Sodium transport; Sodium/potassium transport; Transport</t>
  </si>
  <si>
    <t>ATP-binding; Magnesium; Metal-binding; Nucleotide-binding; Potassium; Sodium</t>
  </si>
  <si>
    <t>cellular potassium ion homeostasis {GO:0030007}; cellular response to mechanical stimulus {GO:0071260}; cellular response to steroid hormone stimulus {GO:0071383}; cellular sodium ion homeostasis {GO:0006883}; establishment or maintenance of transmembrane electrochemical gradient {GO:0010248}; heart contraction {GO:0060047}; membrane hyperpolarization {GO:0060081}; membrane repolarization {GO:0086009}; negative regulation of glucocorticoid biosynthetic process {GO:0031947}; negative regulation of heart contraction {GO:0045822}; positive regulation of heart contraction {GO:0045823}; positive regulation of striated muscle contraction {GO:0045989}; potassium ion import across plasma membrane {GO:1990573}; potassium ion transport {GO:0006813}; proton transmembrane transport {GO:1902600}; regulation of blood pressure {GO:0008217}; regulation of cardiac muscle cell contraction {GO:0086004}; regulation of sodium ion transport {GO:0002028}; regulation of the force of heart contraction {GO:0002026}; response to xenobiotic stimulus {GO:0009410}; sodium ion export across plasma membrane {GO:0036376}; sodium ion transport {GO:0006814}; transmembrane transport {GO:0055085}</t>
  </si>
  <si>
    <t>apical plasma membrane {GO:0016324}; axon {GO:0030424}; basolateral plasma membrane {GO:0016323}; caveola {GO:0005901}; endoplasmic reticulum {GO:0005783}; endosome {GO:0005768}; Golgi apparatus {GO:0005794}; integral component of membrane {GO:0016021}; intercalated disc {GO:0014704}; lateral plasma membrane {GO:0016328}; melanosome {GO:0042470}; membrane {GO:0016020}; membrane raft {GO:0045121}; myelin sheath {GO:0043209}; organelle membrane {GO:0031090}; plasma membrane {GO:0005886}; postsynaptic density {GO:0014069}; protein-containing complex {GO:0032991}; sarcolemma {GO:0042383}; sodium:potassium-exchanging ATPase complex {GO:0005890}; sperm flagellum {GO:0036126}; T-tubule {GO:0030315}</t>
  </si>
  <si>
    <t>ADP binding {GO:0043531}; ankyrin binding {GO:0030506}; ATP binding {GO:0005524}; ATP hydrolysis activity {GO:0016887}; ATPase-coupled cation transmembrane transporter activity {GO:0019829}; chaperone binding {GO:0051087}; P-type sodium:potassium-exchanging transporter activity {GO:0005391}; phosphatase activity {GO:0016791}; phosphatidylinositol 3-kinase binding {GO:0043548}; potassium ion binding {GO:0030955}; protein domain specific binding {GO:0019904}; protein heterodimerization activity {GO:0046982}; protein kinase binding {GO:0019901}; sodium ion binding {GO:0031402}; steroid hormone binding {GO:1990239}</t>
  </si>
  <si>
    <t>Ion homeostasis {R-MMU-5578775}; Ion transport by P-type ATPases {R-MMU-936837}</t>
  </si>
  <si>
    <t>sp|Q9CZD3|GARS_MOUSE</t>
  </si>
  <si>
    <t>Glycine--tRNA ligase</t>
  </si>
  <si>
    <t>Diadenosine tetraphosphate synthetase (Ap4A synthetase); Glycyl-tRNA synthetase 1 (GlyRS)</t>
  </si>
  <si>
    <t>GARS_MOUSE</t>
  </si>
  <si>
    <t>Q9CZD3</t>
  </si>
  <si>
    <t>Q3TMM4; Q3UK01; Q8VC67</t>
  </si>
  <si>
    <t>Gars</t>
  </si>
  <si>
    <t>MGI:2449057</t>
  </si>
  <si>
    <t>Acetylation; Aminoacyl-tRNA synthetase; ATP-binding; Cell projection; Cytoplasm; Disease variant; Hydrolase; Ligase; Mitochondrion; Nucleotide-binding; Phosphoprotein; Protein biosynthesis; Secreted; Transferase; Transit peptide</t>
  </si>
  <si>
    <t>Cell projection; Cytoplasm; Mitochondrion; Secreted</t>
  </si>
  <si>
    <t>Aminoacyl-tRNA synthetase; Hydrolase; Ligase; Transferase</t>
  </si>
  <si>
    <t>diadenosine tetraphosphate biosynthetic process {GO:0015966}; glycyl-tRNA aminoacylation {GO:0006426}; mitochondrial glycyl-tRNA aminoacylation {GO:0070150}; tRNA aminoacylation for protein translation {GO:0006418}</t>
  </si>
  <si>
    <t>axon {GO:0030424}; cytoplasm {GO:0005737}; cytosol {GO:0005829}; extracellular exosome {GO:0070062}; mitochondrion {GO:0005739}; secretory granule {GO:0030141}</t>
  </si>
  <si>
    <t>ATP binding {GO:0005524}; bis(5'-nucleosyl)-tetraphosphatase (asymmetrical) activity {GO:0004081}; glycine-tRNA ligase activity {GO:0004820}; identical protein binding {GO:0042802}; protein dimerization activity {GO:0046983}; transferase activity {GO:0016740}</t>
  </si>
  <si>
    <t>sp|Q9DAK9|PHP14_MOUSE</t>
  </si>
  <si>
    <t>14 kDa phosphohistidine phosphatase</t>
  </si>
  <si>
    <t>Phosphohistidine phosphatase 1 (PHPT1); Protein histidine phosphatase (PHP)</t>
  </si>
  <si>
    <t>PHP14_MOUSE</t>
  </si>
  <si>
    <t>Q9DAK9</t>
  </si>
  <si>
    <t>Php14</t>
  </si>
  <si>
    <t>MGI:1922704</t>
  </si>
  <si>
    <t>Cytoplasm; Hydrolase; Protein phosphatase</t>
  </si>
  <si>
    <t>Hydrolase; Protein phosphatase</t>
  </si>
  <si>
    <t>negative regulation of ATP citrate synthase activity {GO:2000984}; negative regulation of lyase activity {GO:0051350}; negative regulation of T cell receptor signaling pathway {GO:0050860}; peptidyl-histidine dephosphorylation {GO:0035971}; positive regulation of cell motility {GO:2000147}; protein dephosphorylation {GO:0006470}; regulation of actin cytoskeleton reorganization {GO:2000249}</t>
  </si>
  <si>
    <t>cytosol {GO:0005829}; nuclear body {GO:0016604}; nucleoplasm {GO:0005654}; plasma membrane {GO:0005886}</t>
  </si>
  <si>
    <t>calcium channel inhibitor activity {GO:0019855}; protein histidine phosphatase activity {GO:0101006}; transmembrane transporter binding {GO:0044325}</t>
  </si>
  <si>
    <t>sp|Q9Z1Z2|STRAP_MOUSE</t>
  </si>
  <si>
    <t>Serine-threonine kinase receptor-associated protein</t>
  </si>
  <si>
    <t>UNR-interacting protein</t>
  </si>
  <si>
    <t>STRAP_MOUSE</t>
  </si>
  <si>
    <t>Q9Z1Z2</t>
  </si>
  <si>
    <t>Q8BP89; Q8C6F6</t>
  </si>
  <si>
    <t>Unrip</t>
  </si>
  <si>
    <t>MGI:1329037</t>
  </si>
  <si>
    <t>Cytoplasm; mRNA processing; mRNA splicing; Nucleus; Phosphoprotein; Repeat; WD repeat</t>
  </si>
  <si>
    <t>alternative mRNA splicing, via spliceosome {GO:0000380}; anatomical structure development {GO:0048856}; maintenance of gastrointestinal epithelium {GO:0030277}; negative regulation of transcription by RNA polymerase II {GO:0000122}; negative regulation of transforming growth factor beta receptor signaling pathway {GO:0030512}; neuron differentiation {GO:0030182}; ribonucleoprotein complex assembly {GO:0022618}; spliceosomal snRNP assembly {GO:0000387}</t>
  </si>
  <si>
    <t>cytoplasm {GO:0005737}; cytosol {GO:0005829}; nucleus {GO:0005634}; SMN complex {GO:0032797}; SMN-Sm protein complex {GO:0034719}</t>
  </si>
  <si>
    <t>mRNA binding {GO:0003729}; RNA binding {GO:0003723}; signaling receptor binding {GO:0005102}; U2 snRNP binding {GO:1990447}</t>
  </si>
  <si>
    <t>Downregulation of TGF-beta receptor signaling {R-MMU-2173788}</t>
  </si>
  <si>
    <t>sp|P63001|RAC1_MOUSE</t>
  </si>
  <si>
    <t>Ras-related C3 botulinum toxin substrate 1</t>
  </si>
  <si>
    <t>p21-Rac1</t>
  </si>
  <si>
    <t>RAC1_MOUSE</t>
  </si>
  <si>
    <t>P63001</t>
  </si>
  <si>
    <t>O95501; P15154; Q9BTB4</t>
  </si>
  <si>
    <t>MGI:97845</t>
  </si>
  <si>
    <t>Cell membrane; Cell projection; Cytoplasm; GTP-binding; Hydrolase; Isopeptide bond; Lipoprotein; Membrane; Methylation; Nucleotide-binding; Nucleus; Prenylation; Synapse; Ubl conjugation</t>
  </si>
  <si>
    <t>Cell membrane; Cell projection; Cytoplasm; Membrane; Nucleus; Synapse</t>
  </si>
  <si>
    <t>Isopeptide bond; Lipoprotein; Methylation; Prenylation; Ubl conjugation</t>
  </si>
  <si>
    <t>actin cytoskeleton organization {GO:0030036}; actin filament organization {GO:0007015}; actin filament polymerization {GO:0030041}; anatomical structure arrangement {GO:0048532}; angiotensin-activated signaling pathway involved in heart process {GO:0086098}; auditory receptor cell morphogenesis {GO:0002093}; axon guidance {GO:0007411}; bone resorption {GO:0045453}; cell adhesion {GO:0007155}; cell migration {GO:0016477}; cell motility {GO:0048870}; cell population proliferation {GO:0008283}; cell projection assembly {GO:0030031}; cell-cell junction organization {GO:0045216}; cellular response to mechanical stimulus {GO:0071260}; cerebral cortex GABAergic interneuron development {GO:0021894}; cerebral cortex radially oriented cell migration {GO:0021799}; chemotaxis {GO:0006935}; cochlea morphogenesis {GO:0090103}; cortical cytoskeleton organization {GO:0030865}; cytoskeleton organization {GO:0007010}; dendrite development {GO:0016358}; dendrite morphogenesis {GO:0048813}; dopaminergic neuron differentiation {GO:0071542}; embryonic olfactory bulb interneuron precursor migration {GO:0021831}; endocytosis {GO:0006897}; engulfment of apoptotic cell {GO:0043652}; epithelial cell morphogenesis {GO:0003382}; establishment or maintenance of cell polarity {GO:0007163}; forebrain development {GO:0030900}; G protein-coupled receptor signaling pathway {GO:0007186}; hepatocyte growth factor receptor signaling pathway {GO:0048012}; homeostasis of number of cells within a tissue {GO:0048873}; hyperosmotic response {GO:0006972}; interneuron migration {GO:1904936}; lamellipodium assembly {GO:0030032}; localization within membrane {GO:0051668}; mast cell chemotaxis {GO:0002551}; midbrain dopaminergic neuron differentiation {GO:1904948}; motor neuron axon guidance {GO:0008045}; negative regulation of fibroblast migration {GO:0010764}; negative regulation of interleukin-23 production {GO:0032707}; neuron migration {GO:0001764}; neuron projection morphogenesis {GO:0048812}; non-canonical Wnt signaling pathway {GO:0035567}; phagocytosis, engulfment {GO:0006911}; positive regulation of actin filament polymerization {GO:0030838}; positive regulation of cell-substrate adhesion {GO:0010811}; positive regulation of dendritic spine development {GO:0060999}; positive regulation of DNA replication {GO:0045740}; positive regulation of endothelial cell migration {GO:0010595}; positive regulation of focal adhesion assembly {GO:0051894}; positive regulation of insulin secretion involved in cellular response to glucose stimulus {GO:0035774}; positive regulation of lamellipodium assembly {GO:0010592}; positive regulation of microtubule polymerization {GO:0031116}; positive regulation of neutrophil chemotaxis {GO:0090023}; positive regulation of ovarian follicle development {GO:2000386}; positive regulation of phosphatidylinositol 3-kinase activity {GO:0043552}; positive regulation of protein phosphorylation {GO:0001934}; positive regulation of stress fiber assembly {GO:0051496}; positive regulation of substrate adhesion-dependent cell spreading {GO:1900026}; protein localization to plasma membrane {GO:0072659}; Rac protein signal transduction {GO:0016601}; regulation of actin cytoskeleton organization {GO:0032956}; regulation of cell adhesion involved in heart morphogenesis {GO:0061344}; regulation of cell migration {GO:0030334}; regulation of cell morphogenesis {GO:0022604}; regulation of cell shape {GO:0008360}; regulation of cell size {GO:0008361}; regulation of ERK5 cascade {GO:0070376}; regulation of fibroblast migration {GO:0010762}; regulation of lamellipodium assembly {GO:0010591}; regulation of neuron maturation {GO:0014041}; regulation of neuron migration {GO:2001222}; regulation of neuronal synaptic plasticity {GO:0048168}; regulation of neutrophil migration {GO:1902622}; regulation of nitric oxide biosynthetic process {GO:0045428}; regulation of receptor signaling pathway via JAK-STAT {GO:0046425}; regulation of respiratory burst {GO:0060263}; regulation of stress fiber assembly {GO:0051492}; ruffle assembly {GO:0097178}; ruffle organization {GO:0031529}; semaphorin-plexin signaling pathway {GO:0071526}; small GTPase mediated signal transduction {GO:0007264}; sphingosine-1-phosphate receptor signaling pathway {GO:0003376}; substrate adhesion-dependent cell spreading {GO:0034446}; synaptic transmission, GABAergic {GO:0051932}; Wnt signaling pathway, planar cell polarity pathway {GO:0060071}</t>
  </si>
  <si>
    <t>actin filament {GO:0005884}; anchoring junction {GO:0070161}; cell cortex {GO:0005938}; cell projection {GO:0042995}; cytoplasm {GO:0005737}; cytoplasmic ribonucleoprotein granule {GO:0036464}; cytoplasmic vesicle {GO:0031410}; cytoskeleton {GO:0005856}; cytosol {GO:0005829}; dendritic spine {GO:0043197}; early endosome membrane {GO:0031901}; extrinsic component of cytoplasmic side of plasma membrane {GO:0031234}; extrinsic component of plasma membrane {GO:0019897}; glutamatergic synapse {GO:0098978}; Golgi membrane {GO:0000139}; kinocilium {GO:0060091}; lamellipodium {GO:0030027}; melanosome {GO:0042470}; membrane {GO:0016020}; nucleus {GO:0005634}; pericentriolar material {GO:0000242}; phagocytic cup {GO:0001891}; plasma membrane {GO:0005886}; postsynapse {GO:0098794}; recycling endosome membrane {GO:0055038}; ruffle membrane {GO:0032587}; trans-Golgi network {GO:0005802}</t>
  </si>
  <si>
    <t>ATPase binding {GO:0051117}; enzyme binding {GO:0019899}; G protein activity {GO:0003925}; GTP binding {GO:0005525}; GTP-dependent protein binding {GO:0030742}; GTPase activity {GO:0003924}; histone deacetylase binding {GO:0042826}; protein kinase binding {GO:0019901}; protein-containing complex binding {GO:0044877}; Rho GDP-dissociation inhibitor binding {GO:0051022}; small GTPase binding {GO:0031267}; thioesterase binding {GO:0031996}</t>
  </si>
  <si>
    <t>GPVI-mediated activation cascade {R-MMU-114604}; PIP3 activates AKT signaling {R-MMU-1257604}; Signaling by SCF-KIT {R-MMU-1433557}; NRAGE signals death through JNK {R-MMU-193648}; Regulation of actin dynamics for phagocytic cup formation {R-MMU-2029482}; DAP12 signaling {R-MMU-2424491}; FCERI mediated MAPK activation {R-MMU-2871796}; DSCAM interactions {R-MMU-376172}; CD28 dependent Vav1 pathway {R-MMU-389359}; EPHB-mediated forward signaling {R-MMU-3928662}; Ephrin signaling {R-MMU-3928664}; EPH-ephrin mediated repulsion of cells {R-MMU-3928665}; Sema3A PAK dependent Axon repulsion {R-MMU-399954}; PCP/CE pathway {R-MMU-4086400}; Sema4D mediated inhibition of cell attachment and migration {R-MMU-416550}; DCC mediated attractive signaling {R-MMU-418885}; VEGFA-VEGFR2 Pathway {R-MMU-4420097}; Signal transduction by L1 {R-MMU-445144}; VEGFR2 mediated vascular permeability {R-MMU-5218920}; RHO GTPases activate PKNs {R-MMU-5625740}; RHO GTPases activate CIT {R-MMU-5625900}; RHO GTPases activate KTN1 {R-MMU-5625970}; RHO GTPases activate IQGAPs {R-MMU-5626467}; RHO GTPases activate PAKs {R-MMU-5627123}; RHO GTPases Activate WASPs and WAVEs {R-MMU-5663213}; RHO GTPases Activate Formins {R-MMU-5663220}; RHO GTPases Activate NADPH Oxidases {R-MMU-5668599}; MAPK6/MAPK4 signaling {R-MMU-5687128}; Neutrophil degranulation {R-MMU-6798695}; PI5P, PP2A and IER3 Regulate PI3K/AKT Signaling {R-MMU-6811558}; PTK6 Regulates RHO GTPases, RAS GTPase and MAP kinases {R-MMU-8849471}; MET activates RAP1 and RAC1 {R-MMU-8875555}; RAC1 GTPase cycle {R-MMU-9013149}; NTRK2 activates RAC1 {R-MMU-9032759}; Azathioprine ADME {R-MMU-9748787}; Factors involved in megakaryocyte development and platelet production {R-MMU-983231}</t>
  </si>
  <si>
    <t>sp|Q9CPV4|GLOD4_MOUSE</t>
  </si>
  <si>
    <t>Glyoxalase domain-containing protein 4</t>
  </si>
  <si>
    <t>GLOD4_MOUSE</t>
  </si>
  <si>
    <t>Q9CPV4</t>
  </si>
  <si>
    <t>Q3UUS8; Q9CY26; Q9D9F5</t>
  </si>
  <si>
    <t>MGI:1914451</t>
  </si>
  <si>
    <t>Alternative splicing; Mitochondrion; Phosphoprotein; Repeat</t>
  </si>
  <si>
    <t>mitochondrion {GO:0005739}</t>
  </si>
  <si>
    <t>sp|Q60715|P4HA1_MOUSE</t>
  </si>
  <si>
    <t>Prolyl 4-hydroxylase subunit alpha-1 (4-PH alpha-1)</t>
  </si>
  <si>
    <t>Procollagen-proline,2-oxoglutarate-4-dioxygenase subunit alpha-1</t>
  </si>
  <si>
    <t>P4HA1_MOUSE</t>
  </si>
  <si>
    <t>Q60715</t>
  </si>
  <si>
    <t>Q3TEB7; Q80T05; Q91VJ7</t>
  </si>
  <si>
    <t>MGI:97463</t>
  </si>
  <si>
    <t>Alternative splicing; Dioxygenase; Endoplasmic reticulum; Glycoprotein; Iron; Metal-binding; Oxidoreductase; Signal; TPR repeat; Vitamin C</t>
  </si>
  <si>
    <t>Signal; TPR repeat</t>
  </si>
  <si>
    <t>Iron; Metal-binding; Vitamin C</t>
  </si>
  <si>
    <t>Dioxygenase; Oxidoreductase</t>
  </si>
  <si>
    <t>Glycoprotein</t>
  </si>
  <si>
    <t>collagen fibril organization {GO:0030199}; peptidyl-proline hydroxylation to 4-hydroxy-L-proline {GO:0018401}</t>
  </si>
  <si>
    <t>endoplasmic reticulum {GO:0005783}; endoplasmic reticulum lumen {GO:0005788}; intracellular membrane-bounded organelle {GO:0043231}; mitochondrion {GO:0005739}; procollagen-proline 4-dioxygenase complex {GO:0016222}</t>
  </si>
  <si>
    <t>identical protein binding {GO:0042802}; iron ion binding {GO:0005506}; L-ascorbic acid binding {GO:0031418}; procollagen-proline 4-dioxygenase activity {GO:0004656}</t>
  </si>
  <si>
    <t>sp|P60766|CDC42_MOUSE</t>
  </si>
  <si>
    <t>Cell division control protein 42 homolog</t>
  </si>
  <si>
    <t>G25K GTP-binding protein</t>
  </si>
  <si>
    <t>CDC42_MOUSE</t>
  </si>
  <si>
    <t>P60766</t>
  </si>
  <si>
    <t>A2A9U6; P21181; P25763; Q3THZ7; Q3TJK6; Q545V0; Q6P201; Q8BQ51</t>
  </si>
  <si>
    <t>MGI:106211</t>
  </si>
  <si>
    <t>3D-structure; Alternative splicing; Cell membrane; Cell projection; Cytoplasm; Cytoskeleton; Differentiation; GTP-binding; Hydrolase; Lipoprotein; Membrane; Methylation; Neurogenesis; Nucleotide-binding; Phosphoprotein; Prenylation</t>
  </si>
  <si>
    <t>Lipoprotein; Methylation; Phosphoprotein; Prenylation</t>
  </si>
  <si>
    <t>actin cytoskeleton organization {GO:0030036}; actin filament branching {GO:0090135}; actin filament organization {GO:0007015}; adherens junction organization {GO:0034332}; cardiac conduction system development {GO:0003161}; cardiac neural crest cell migration involved in outflow tract morphogenesis {GO:0003253}; Cdc42 protein signal transduction {GO:0032488}; cell junction assembly {GO:0034329}; cell-cell adhesion {GO:0098609}; cellular response to interferon-gamma {GO:0071346}; dendritic cell migration {GO:0036336}; dendritic spine morphogenesis {GO:0060997}; embryonic heart tube development {GO:0035050}; endocytosis {GO:0006897}; endosomal transport {GO:0016197}; endothelin receptor signaling pathway involved in heart process {GO:0086101}; establishment of epithelial cell apical/basal polarity {GO:0045198}; establishment of Golgi localization {GO:0051683}; establishment of localization in cell {GO:0051649}; establishment or maintenance of apical/basal cell polarity {GO:0035088}; establishment or maintenance of cell polarity {GO:0007163}; filopodium assembly {GO:0046847}; Golgi organization {GO:0007030}; heart contraction {GO:0060047}; integrin-mediated signaling pathway {GO:0007229}; modification of synaptic structure {GO:0099563}; modulation by host of viral process {GO:0044788}; negative regulation of protein-containing complex assembly {GO:0031333}; neuron fate determination {GO:0048664}; neuropilin signaling pathway {GO:0038189}; nuclear migration {GO:0007097}; nucleus localization {GO:0051647}; organelle transport along microtubule {GO:0072384}; phagocytosis, engulfment {GO:0006911}; positive regulation of actin cytoskeleton reorganization {GO:2000251}; positive regulation of catalytic activity {GO:0043085}; positive regulation of cell growth {GO:0030307}; positive regulation of cytokinesis {GO:0032467}; positive regulation of DNA replication {GO:0045740}; positive regulation of epithelial cell proliferation involved in lung morphogenesis {GO:0060501}; positive regulation of filopodium assembly {GO:0051491}; positive regulation of intracellular protein transport {GO:0090316}; positive regulation of JNK cascade {GO:0046330}; positive regulation of lamellipodium assembly {GO:0010592}; positive regulation of MAPK cascade {GO:0043410}; positive regulation of neuron apoptotic process {GO:0043525}; positive regulation of phosphatidylinositol 3-kinase activity {GO:0043552}; positive regulation of pinocytosis {GO:0048549}; positive regulation of pseudopodium assembly {GO:0031274}; positive regulation of stress fiber assembly {GO:0051496}; positive regulation of substrate adhesion-dependent cell spreading {GO:1900026}; positive regulation of synapse structural plasticity {GO:0051835}; protein localization {GO:0008104}; protein phosphorylation {GO:0006468}; regulation of attachment of spindle microtubules to kinetochore {GO:0051988}; regulation of filopodium assembly {GO:0051489}; regulation of lamellipodium assembly {GO:0010591}; regulation of mitotic nuclear division {GO:0007088}; regulation of modification of postsynaptic structure {GO:0099159}; regulation of protein binding {GO:0043393}; regulation of stress fiber assembly {GO:0051492}; Rho protein signal transduction {GO:0007266}; sprouting angiogenesis {GO:0002040}; submandibular salivary gland formation {GO:0060661}</t>
  </si>
  <si>
    <t>apical part of cell {GO:0045177}; cell leading edge {GO:0031252}; cell periphery {GO:0071944}; cell projection {GO:0042995}; cell-cell junction {GO:0005911}; centrosome {GO:0005813}; cytoplasm {GO:0005737}; cytoplasmic ribonucleoprotein granule {GO:0036464}; cytosol {GO:0005829}; dendritic spine {GO:0043197}; filopodium {GO:0030175}; Golgi membrane {GO:0000139}; Golgi transport complex {GO:0017119}; lamellipodium membrane {GO:0031258}; leading edge membrane {GO:0031256}; membrane {GO:0016020}; midbody {GO:0030496}; mitotic spindle {GO:0072686}; myelin sheath {GO:0043209}; neuron projection {GO:0043005}; neuronal cell body {GO:0043025}; phagocytic vesicle {GO:0045335}; plasma membrane {GO:0005886}; protein-containing complex {GO:0032991}; Schaffer collateral - CA1 synapse {GO:0098685}; secretory granule {GO:0030141}; spindle midzone {GO:0051233}; storage vacuole {GO:0000322}</t>
  </si>
  <si>
    <t>apolipoprotein A-I receptor binding {GO:0034191}; G protein activity {GO:0003925}; GBD domain binding {GO:0032427}; GTP binding {GO:0005525}; GTP-dependent protein binding {GO:0030742}; GTPase activity {GO:0003924}; identical protein binding {GO:0042802}; mitogen-activated protein kinase kinase kinase binding {GO:0031435}; protein kinase binding {GO:0019901}; thioesterase binding {GO:0031996}; ubiquitin protein ligase activity {GO:0061630}</t>
  </si>
  <si>
    <t>GPVI-mediated activation cascade {R-MMU-114604}; EGFR downregulation {R-MMU-182971}; Regulation of actin dynamics for phagocytic cup formation {R-MMU-2029482}; CD28 dependent Vav1 pathway {R-MMU-389359}; EPHB-mediated forward signaling {R-MMU-3928662}; DCC mediated attractive signaling {R-MMU-418885}; VEGFA-VEGFR2 Pathway {R-MMU-4420097}; Myogenesis {R-MMU-525793}; RHO GTPases activate KTN1 {R-MMU-5625970}; RHO GTPases activate IQGAPs {R-MMU-5626467}; RHO GTPases activate PAKs {R-MMU-5627123}; RHO GTPases Activate WASPs and WAVEs {R-MMU-5663213}; RHO GTPases Activate Formins {R-MMU-5663220}; MAPK6/MAPK4 signaling {R-MMU-5687128}; G beta:gamma signalling through CDC42 {R-MMU-8964616}; CDC42 GTPase cycle {R-MMU-9013148}; RAC1 GTPase cycle {R-MMU-9013149}; RAC2 GTPase cycle {R-MMU-9013404}; RHOQ GTPase cycle {R-MMU-9013406}; RHOG GTPase cycle {R-MMU-9013408}; RHOU GTPase cycle {R-MMU-9013420}; RAC3 GTPase cycle {R-MMU-9013423}; RHOV GTPase cycle {R-MMU-9013424}; Factors involved in megakaryocyte development and platelet production {R-MMU-983231}</t>
  </si>
  <si>
    <t>sp|P62264|RS14_MOUSE</t>
  </si>
  <si>
    <t>40S ribosomal protein S14</t>
  </si>
  <si>
    <t>RS14_MOUSE</t>
  </si>
  <si>
    <t>P62264</t>
  </si>
  <si>
    <t>P06366; Q544W4</t>
  </si>
  <si>
    <t>MGI:98107</t>
  </si>
  <si>
    <t>cytoplasmic translation {GO:0002181}; erythrocyte differentiation {GO:0030218}; maturation of SSU-rRNA {GO:0030490}; maturation of SSU-rRNA from tricistronic rRNA transcript (SSU-rRNA, 5.8S rRNA, LSU-rRNA) {GO:0000462}; negative regulation of transcription by RNA polymerase II {GO:0000122}; ribosomal small subunit assembly {GO:0000028}; translation {GO:0006412}</t>
  </si>
  <si>
    <t>cytoplasm {GO:0005737}; cytosol {GO:0005829}; cytosolic ribosome {GO:0022626}; cytosolic small ribosomal subunit {GO:0022627}; mitochondrion {GO:0005739}; nucleolus {GO:0005730}; postsynaptic density {GO:0014069}</t>
  </si>
  <si>
    <t>mRNA 5'-UTR binding {GO:0048027}; RNA binding {GO:0003723}; small ribosomal subunit rRNA binding {GO:0070181}; structural constituent of ribosome {GO:0003735}; translation regulator activity {GO:0045182}</t>
  </si>
  <si>
    <t>sp|P14685|PSMD3_MOUSE</t>
  </si>
  <si>
    <t>26S proteasome non-ATPase regulatory subunit 3</t>
  </si>
  <si>
    <t>26S proteasome regulatory subunit RPN3; 26S proteasome regulatory subunit S3; Proteasome subunit p58; Transplantation antigen P91A; Tum-P91A antigen</t>
  </si>
  <si>
    <t>PSMD3_MOUSE</t>
  </si>
  <si>
    <t>P14685</t>
  </si>
  <si>
    <t>Q3TP95; Q99LL7</t>
  </si>
  <si>
    <t>P91a; Tstap91a</t>
  </si>
  <si>
    <t>MGI:98858</t>
  </si>
  <si>
    <t>Isopeptide bond; Phosphoprotein; Proteasome; Tumor antigen; Ubl conjugation</t>
  </si>
  <si>
    <t>Tumor antigen</t>
  </si>
  <si>
    <t>regulation of protein catabolic process {GO:0042176}; ubiquitin-dependent protein catabolic process {GO:0006511}</t>
  </si>
  <si>
    <t>proteasome accessory complex {GO:0022624}; proteasome complex {GO:0000502}; proteasome regulatory particle {GO:0005838}; proteasome regulatory particle, lid subcomplex {GO:0008541}</t>
  </si>
  <si>
    <t>sp|P62843|RS15_MOUSE</t>
  </si>
  <si>
    <t>40S ribosomal protein S15</t>
  </si>
  <si>
    <t>RIG protein</t>
  </si>
  <si>
    <t>RS15_MOUSE</t>
  </si>
  <si>
    <t>P62843</t>
  </si>
  <si>
    <t>P11174; Q52KC9</t>
  </si>
  <si>
    <t>Rig</t>
  </si>
  <si>
    <t>MGI:98117</t>
  </si>
  <si>
    <t>3D-structure; Acetylation; Isopeptide bond; Ribonucleoprotein; Ribosomal protein; Ubl conjugation</t>
  </si>
  <si>
    <t>cytoplasmic translation {GO:0002181}; positive regulation of signal transduction by p53 class mediator {GO:1901798}; ribosomal small subunit assembly {GO:0000028}; ribosomal small subunit biogenesis {GO:0042274}; ribosomal small subunit export from nucleus {GO:0000056}; rRNA processing {GO:0006364}</t>
  </si>
  <si>
    <t>cytoplasm {GO:0005737}; cytosol {GO:0005829}; cytosolic ribosome {GO:0022626}; cytosolic small ribosomal subunit {GO:0022627}; nucleoplasm {GO:0005654}; synapse {GO:0045202}</t>
  </si>
  <si>
    <t>MDM2/MDM4 family protein binding {GO:0097371}; RNA binding {GO:0003723}; structural constituent of ribosome {GO:0003735}; ubiquitin ligase inhibitor activity {GO:1990948}</t>
  </si>
  <si>
    <t>sp|P56399|UBP5_MOUSE</t>
  </si>
  <si>
    <t>Ubiquitin carboxyl-terminal hydrolase 5</t>
  </si>
  <si>
    <t>Deubiquitinating enzyme 5; Isopeptidase T; Ubiquitin thioesterase 5; Ubiquitin-specific-processing protease 5</t>
  </si>
  <si>
    <t>UBP5_MOUSE</t>
  </si>
  <si>
    <t>P56399</t>
  </si>
  <si>
    <t>Isot</t>
  </si>
  <si>
    <t>MGI:1347343</t>
  </si>
  <si>
    <t>Acetylation; Disulfide bond; Hydrolase; Metal-binding; Phosphoprotein; Protease; Repeat; Thiol protease; Ubl conjugation pathway; Zinc; Zinc-finger</t>
  </si>
  <si>
    <t>Repeat; Zinc-finger</t>
  </si>
  <si>
    <t>positive regulation of proteasomal ubiquitin-dependent protein catabolic process {GO:0032436}; protein deubiquitination {GO:0016579}; protein K48-linked deubiquitination {GO:0071108}; ubiquitin-dependent protein catabolic process {GO:0006511}</t>
  </si>
  <si>
    <t>cysteine-type deubiquitinase activity {GO:0004843}; cysteine-type endopeptidase activity {GO:0004197}; ubiquitin binding {GO:0043130}; zinc ion binding {GO:0008270}</t>
  </si>
  <si>
    <t>Ub-specific processing proteases {R-MMU-5689880}; Synthesis of active ubiquitin: roles of E1 and E2 enzymes {R-MMU-8866652}</t>
  </si>
  <si>
    <t>sp|Q8QZY1|EIF3L_MOUSE</t>
  </si>
  <si>
    <t>Eukaryotic translation initiation factor 3 subunit L (eIF3l)</t>
  </si>
  <si>
    <t>66 kDa tyrosine-rich heat shock protein; 67 kDa polymerase-associated factor; Eukaryotic translation initiation factor 3 subunit 6-interacting protein; Eukaryotic translation initiation factor 3 subunit E-interacting protein; HSP-66Y; PAF67</t>
  </si>
  <si>
    <t>EIF3L_MOUSE</t>
  </si>
  <si>
    <t>Q8QZY1</t>
  </si>
  <si>
    <t>Q3THF8; Q3TJ04; Q91YE4</t>
  </si>
  <si>
    <t>Eif3eip; Eif3s6ip; Paf67</t>
  </si>
  <si>
    <t>MGI:2386251</t>
  </si>
  <si>
    <t>Acetylation; Cytoplasm; Initiation factor; Protein biosynthesis</t>
  </si>
  <si>
    <t>formation of cytoplasmic translation initiation complex {GO:0001732}; translational initiation {GO:0006413}; viral translational termination-reinitiation {GO:0075525}</t>
  </si>
  <si>
    <t>eukaryotic 43S preinitiation complex {GO:0016282}; eukaryotic 48S preinitiation complex {GO:0033290}; eukaryotic translation initiation factor 3 complex {GO:0005852}; fibrillar center {GO:0001650}; nucleolus {GO:0005730}; nucleoplasm {GO:0005654}</t>
  </si>
  <si>
    <t>translation initiation factor activity {GO:0003743}</t>
  </si>
  <si>
    <t>sp|Q3TXS7|PSMD1_MOUSE</t>
  </si>
  <si>
    <t>26S proteasome non-ATPase regulatory subunit 1</t>
  </si>
  <si>
    <t>26S proteasome regulatory subunit RPN2; 26S proteasome regulatory subunit S1</t>
  </si>
  <si>
    <t>PSMD1_MOUSE</t>
  </si>
  <si>
    <t>Q3TXS7</t>
  </si>
  <si>
    <t>B2RRP8</t>
  </si>
  <si>
    <t>MGI:1917497</t>
  </si>
  <si>
    <t>nucleus {GO:0005634}; proteasome accessory complex {GO:0022624}; proteasome complex {GO:0000502}; proteasome regulatory particle, base subcomplex {GO:0008540}; proteasome storage granule {GO:0034515}</t>
  </si>
  <si>
    <t>enzyme regulator activity {GO:0030234}; ubiquitin protein ligase binding {GO:0031625}</t>
  </si>
  <si>
    <t>sp|P54227|STMN1_MOUSE</t>
  </si>
  <si>
    <t>Stathmin</t>
  </si>
  <si>
    <t>Leukemia-associated gene protein; Leukemia-associated phosphoprotein p18; Metablastin; Oncoprotein 18 (Op18); Phosphoprotein p19 (pp19); Prosolin; Protein Pr22; pp17</t>
  </si>
  <si>
    <t>STMN1_MOUSE</t>
  </si>
  <si>
    <t>P54227</t>
  </si>
  <si>
    <t>Lag; Lap18; Pr22</t>
  </si>
  <si>
    <t>MGI:96739</t>
  </si>
  <si>
    <t>Acetylation; Coiled coil; Cytoplasm; Cytoskeleton; Developmental protein; Differentiation; Methylation; Microtubule; Neurogenesis; Phosphoprotein</t>
  </si>
  <si>
    <t>axonogenesis {GO:0007409}; establishment of skin barrier {GO:0061436}; hepatocyte growth factor receptor signaling pathway {GO:0048012}; microtubule depolymerization {GO:0007019}; mitotic cytokinesis {GO:0000281}; mitotic spindle organization {GO:0007052}; negative regulation of guanyl-nucleotide exchange factor activity {GO:1905098}; negative regulation of microtubule polymerization {GO:0031115}; negative regulation of Rho protein signal transduction {GO:0035024}; negative regulation of stress fiber assembly {GO:0051497}; negative regulation of thrombin-activated receptor signaling pathway {GO:0070495}; neuron projection development {GO:0031175}; regulation of microtubule polymerization or depolymerization {GO:0031110}; response to virus {GO:0009615}</t>
  </si>
  <si>
    <t>cytoplasm {GO:0005737}; cytosol {GO:0005829}; membrane {GO:0016020}; microtubule {GO:0005874}; neuron projection {GO:0043005}</t>
  </si>
  <si>
    <t>tubulin binding {GO:0015631}</t>
  </si>
  <si>
    <t>sp|Q9R1P4|PSA1_MOUSE</t>
  </si>
  <si>
    <t>Proteasome subunit alpha type-1</t>
  </si>
  <si>
    <t>Macropain subunit C2; Multicatalytic endopeptidase complex subunit C2; Proteasome component C2; Proteasome nu chain</t>
  </si>
  <si>
    <t>PSA1_MOUSE</t>
  </si>
  <si>
    <t>Q9R1P4</t>
  </si>
  <si>
    <t>MGI:1347005</t>
  </si>
  <si>
    <t>3D-structure; Acetylation; Cytoplasm; Glycoprotein; Immunity; Isopeptide bond; Nucleus; Phosphoprotein; Proteasome; Ubl conjugation</t>
  </si>
  <si>
    <t>Immunity</t>
  </si>
  <si>
    <t>immune system process {GO:0002376}; negative regulation of inflammatory response to antigenic stimulus {GO:0002862}; proteasomal protein catabolic process {GO:0010498}; ubiquitin-dependent protein catabolic process {GO:0006511}</t>
  </si>
  <si>
    <t>centrosome {GO:0005813}; cytoplasm {GO:0005737}; cytosol {GO:0005829}; nucleoplasm {GO:0005654}; nucleus {GO:0005634}; proteasome complex {GO:0000502}; proteasome core complex {GO:0005839}; proteasome core complex, alpha-subunit complex {GO:0019773}</t>
  </si>
  <si>
    <t>lipopolysaccharide binding {GO:0001530}</t>
  </si>
  <si>
    <t>sp|P46735|MYO1B_MOUSE</t>
  </si>
  <si>
    <t>Unconventional myosin-Ib</t>
  </si>
  <si>
    <t>MIH-L; Myosin I alpha (MMI-alpha; MMIa)</t>
  </si>
  <si>
    <t>MYO1B_MOUSE</t>
  </si>
  <si>
    <t>P46735</t>
  </si>
  <si>
    <t>P70244; Q80VD8</t>
  </si>
  <si>
    <t>MGI:107752</t>
  </si>
  <si>
    <t>Actin-binding; Alternative splicing; ATP-binding; Calmodulin-binding; Isopeptide bond; Motor protein; Myosin; Nucleotide-binding; Phosphoprotein; Repeat; Ubl conjugation</t>
  </si>
  <si>
    <t>actin filament bundle assembly {GO:0051017}; actin filament organization {GO:0007015}; actin filament-based movement {GO:0030048}; post-Golgi vesicle-mediated transport {GO:0006892}; transferrin transport {GO:0033572}; vesicle transport along actin filament {GO:0030050}</t>
  </si>
  <si>
    <t>actin cytoskeleton {GO:0015629}; actin filament {GO:0005884}; apical part of cell {GO:0045177}; brush border {GO:0005903}; cell periphery {GO:0071944}; cytoplasm {GO:0005737}; early endosome {GO:0005769}; endosome membrane {GO:0010008}; filopodium {GO:0030175}; microvillus {GO:0005902}; myosin complex {GO:0016459}; perinuclear region of cytoplasm {GO:0048471}; plasma membrane {GO:0005886}; trans-Golgi network membrane {GO:0032588}</t>
  </si>
  <si>
    <t>actin binding {GO:0003779}; actin filament binding {GO:0051015}; ATP binding {GO:0005524}; calmodulin binding {GO:0005516}; cytoskeletal motor activity {GO:0003774}; microfilament motor activity {GO:0000146}; phosphatidylinositol-3,4,5-trisphosphate binding {GO:0005547}; phosphatidylinositol-4,5-bisphosphate binding {GO:0005546}</t>
  </si>
  <si>
    <t>sp|P19783|COX41_MOUSE</t>
  </si>
  <si>
    <t>Cytochrome c oxidase subunit 4 isoform 1, mitochondrial</t>
  </si>
  <si>
    <t>Cytochrome c oxidase polypeptide IV; Cytochrome c oxidase subunit IV isoform 1 (COX IV-1)</t>
  </si>
  <si>
    <t>COX41_MOUSE</t>
  </si>
  <si>
    <t>P19783</t>
  </si>
  <si>
    <t>Q545A9</t>
  </si>
  <si>
    <t>Cox4; Cox4a</t>
  </si>
  <si>
    <t>MGI:88473</t>
  </si>
  <si>
    <t>3D-structure; Acetylation; Membrane; Mitochondrion; Mitochondrion inner membrane; Phosphoprotein; Transit peptide; Transmembrane; Transmembrane helix</t>
  </si>
  <si>
    <t>Membrane; Mitochondrion; Mitochondrion inner membrane</t>
  </si>
  <si>
    <t>Transit peptide; Transmembrane; Transmembrane helix</t>
  </si>
  <si>
    <t>mitochondrial electron transport, cytochrome c to oxygen {GO:0006123}</t>
  </si>
  <si>
    <t>cytosol {GO:0005829}; integral component of membrane {GO:0016021}; mitochondrial inner membrane {GO:0005743}; mitochondrial membrane {GO:0031966}; mitochondrial respiratory chain complex IV {GO:0005751}; mitochondrion {GO:0005739}; nucleoplasm {GO:0005654}</t>
  </si>
  <si>
    <t>Energy metabolism; oxidative phosphorylation.</t>
  </si>
  <si>
    <t>TP53 Regulates Metabolic Genes {R-MMU-5628897}; Respiratory electron transport {R-MMU-611105}; Cytoprotection by HMOX1 {R-MMU-9707564}</t>
  </si>
  <si>
    <t>sp|P70398|USP9X_MOUSE</t>
  </si>
  <si>
    <t>Probable ubiquitin carboxyl-terminal hydrolase FAF-X</t>
  </si>
  <si>
    <t>Deubiquitinating enzyme FAF-X; Fat facets homolog; Fat facets protein-related, X-linked; Ubiquitin carboxyl-terminal hydrolase FAM; Ubiquitin thioesterase FAF-X; Ubiquitin-specific protease 9, X chromosome; Ubiquitin-specific-processing protease FAF-X</t>
  </si>
  <si>
    <t>USP9X_MOUSE</t>
  </si>
  <si>
    <t>P70398</t>
  </si>
  <si>
    <t>E9QLY0; Q62497</t>
  </si>
  <si>
    <t>MGI:894681</t>
  </si>
  <si>
    <t>Biological rhythms; Cell cycle; Cell division; Cell projection; Chromosome partition; Cytoplasm; Cytoskeleton; Hydrolase; Mitosis; Phosphoprotein; Protease; Thiol protease; Ubl conjugation pathway</t>
  </si>
  <si>
    <t>Biological rhythms; Cell cycle; Cell division; Chromosome partition; Mitosis; Ubl conjugation pathway</t>
  </si>
  <si>
    <t>axon extension {GO:0048675}; BMP signaling pathway {GO:0030509}; cell cycle {GO:0007049}; cell division {GO:0051301}; cell migration {GO:0016477}; cellular response to transforming growth factor beta stimulus {GO:0071560}; cerebellar cortex structural organization {GO:0021698}; chromosome segregation {GO:0007059}; hippocampus development {GO:0021766}; in utero embryonic development {GO:0001701}; negative regulation of proteasomal ubiquitin-dependent protein catabolic process {GO:0032435}; neuron migration {GO:0001764}; neuron projection extension {GO:1990138}; positive regulation of DNA demethylation {GO:1901537}; positive regulation of protein binding {GO:0032092}; positive regulation of TORC2 signaling {GO:1904515}; post-embryonic development {GO:0009791}; protein deubiquitination {GO:0016579}; protein deubiquitination involved in ubiquitin-dependent protein catabolic process {GO:0071947}; protein K63-linked deubiquitination {GO:0070536}; protein stabilization {GO:0050821}; regulation of circadian rhythm {GO:0042752}; regulation of T cell receptor signaling pathway {GO:0050856}; rhythmic process {GO:0048511}; transforming growth factor beta receptor signaling pathway {GO:0007179}</t>
  </si>
  <si>
    <t>apical part of cell {GO:0045177}; cilium {GO:0005929}; cytoplasm {GO:0005737}; cytoskeleton {GO:0005856}; cytosol {GO:0005829}; growth cone {GO:0030426}; nucleus {GO:0005634}</t>
  </si>
  <si>
    <t>co-SMAD binding {GO:0070410}; cysteine-type deubiquitinase activity {GO:0004843}; cysteine-type endopeptidase activity {GO:0004197}; deubiquitinase activity {GO:0101005}; Lys48-specific deubiquitinase activity {GO:1990380}; Lys63-specific deubiquitinase activity {GO:0061578}; ubiquitin protein ligase binding {GO:0031625}</t>
  </si>
  <si>
    <t>Downregulation of SMAD2/3:SMAD4 transcriptional activity {R-MMU-2173795}; Ub-specific processing proteases {R-MMU-5689880}; Synthesis of active ubiquitin: roles of E1 and E2 enzymes {R-MMU-8866652}; RHOU GTPase cycle {R-MMU-9013420}; RHOV GTPase cycle {R-MMU-9013424}; Peroxisomal protein import {R-MMU-9033241}</t>
  </si>
  <si>
    <t>sp|P63005|LIS1_MOUSE</t>
  </si>
  <si>
    <t>Platelet-activating factor acetylhydrolase IB subunit beta</t>
  </si>
  <si>
    <t>Lissencephaly-1 protein (LIS-1); PAF acetylhydrolase 45 kDa subunit (PAF-AH 45 kDa subunit); PAF-AH alpha (PAFAH alpha)</t>
  </si>
  <si>
    <t>LIS1_MOUSE</t>
  </si>
  <si>
    <t>P63005</t>
  </si>
  <si>
    <t>O35592; P43035; P81692; Q9R2A6</t>
  </si>
  <si>
    <t>Lis-1; Lis1; Pafaha</t>
  </si>
  <si>
    <t>MGI:109520</t>
  </si>
  <si>
    <t>3D-structure; Acetylation; Alternative splicing; Cell cycle; Cell division; Coiled coil; Cytoplasm; Cytoskeleton; Developmental protein; Differentiation; Lipid degradation; Lipid metabolism; Membrane; Microtubule; Mitosis; Neurogenesis; Nucleus; Phosphoprotein; Repeat; Transport; WD repeat</t>
  </si>
  <si>
    <t>Cell cycle; Cell division; Differentiation; Lipid degradation; Lipid metabolism; Mitosis; Neurogenesis; Transport</t>
  </si>
  <si>
    <t>Cytoplasm; Cytoskeleton; Membrane; Microtubule; Nucleus</t>
  </si>
  <si>
    <t>acrosome assembly {GO:0001675}; actin cytoskeleton organization {GO:0030036}; adult locomotory behavior {GO:0008344}; ameboidal-type cell migration {GO:0001667}; auditory receptor cell development {GO:0060117}; brain morphogenesis {GO:0048854}; cell migration {GO:0016477}; cerebral cortex development {GO:0021987}; cerebral cortex neuron differentiation {GO:0021895}; chemical synaptic transmission {GO:0007268}; cochlea development {GO:0090102}; corpus callosum morphogenesis {GO:0021540}; cortical microtubule organization {GO:0043622}; establishment of centrosome localization {GO:0051660}; establishment of localization in cell {GO:0051649}; establishment of mitotic spindle orientation {GO:0000132}; establishment of planar polarity of embryonic epithelium {GO:0042249}; germ cell development {GO:0007281}; hippocampus development {GO:0021766}; interneuron migration {GO:1904936}; JNK cascade {GO:0007254}; layer formation in cerebral cortex {GO:0021819}; learning or memory {GO:0007611}; lipid catabolic process {GO:0016042}; maintenance of centrosome location {GO:0051661}; microtubule cytoskeleton organization {GO:0000226}; microtubule cytoskeleton organization involved in establishment of planar polarity {GO:0090176}; microtubule organizing center organization {GO:0031023}; microtubule sliding {GO:0051012}; microtubule-based process {GO:0007017}; myeloid leukocyte migration {GO:0097529}; negative regulation of JNK cascade {GO:0046329}; negative regulation of neuron projection development {GO:0010977}; neuroblast proliferation {GO:0007405}; neuromuscular process controlling balance {GO:0050885}; neuron migration {GO:0001764}; nuclear membrane disassembly {GO:0051081}; nuclear migration {GO:0007097}; osteoclast development {GO:0036035}; positive regulation of axon extension {GO:0045773}; positive regulation of cellular component organization {GO:0051130}; positive regulation of cytokine-mediated signaling pathway {GO:0001961}; positive regulation of dendritic spine morphogenesis {GO:0061003}; positive regulation of embryonic development {GO:0040019}; positive regulation of mitotic cell cycle {GO:0045931}; protein secretion {GO:0009306}; radial glia-guided pyramidal neuron migration {GO:0140650}; reelin-mediated signaling pathway {GO:0038026}; regulation of GTPase activity {GO:0043087}; regulation of microtubule cytoskeleton organization {GO:0070507}; retrograde axonal transport {GO:0008090}; stem cell division {GO:0017145}; transmission of nerve impulse {GO:0019226}; vesicle transport along microtubule {GO:0047496}</t>
  </si>
  <si>
    <t>1-alkyl-2-acetylglycerophosphocholine esterase complex {GO:0008247}; astral microtubule {GO:0000235}; axon {GO:0030424}; axon cytoplasm {GO:1904115}; cell cortex {GO:0005938}; cell leading edge {GO:0031252}; central region of growth cone {GO:0090724}; centrosome {GO:0005813}; cytoplasm {GO:0005737}; cytoplasmic microtubule {GO:0005881}; cytosol {GO:0005829}; growth cone {GO:0030426}; kinesin complex {GO:0005871}; kinetochore {GO:0000776}; microtubule associated complex {GO:0005875}; microtubule cytoskeleton {GO:0015630}; motile cilium {GO:0031514}; neuron projection {GO:0043005}; neuronal cell body {GO:0043025}; nuclear envelope {GO:0005635}; nuclear membrane {GO:0031965}; perinuclear region of cytoplasm {GO:0048471}; stereocilium {GO:0032420}; synapse {GO:0045202}; vesicle {GO:0031982}</t>
  </si>
  <si>
    <t>dynein complex binding {GO:0070840}; dynein intermediate chain binding {GO:0045505}; identical protein binding {GO:0042802}; microtubule binding {GO:0008017}; microtubule plus-end binding {GO:0051010}; phosphoprotein binding {GO:0051219}; protein heterodimerization activity {GO:0046982}; protein-containing complex binding {GO:0044877}</t>
  </si>
  <si>
    <t>Amplification of signal from unattached kinetochores via a MAD2 inhibitory signal {R-MMU-141444}; Separation of Sister Chromatids {R-MMU-2467813}; Resolution of Sister Chromatid Cohesion {R-MMU-2500257}; 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RHO GTPases Activate Formins {R-MMU-5663220}; COPI-independent Golgi-to-ER retrograde traffic {R-MMU-6811436}; Mitotic Prometaphase {R-MMU-68877}; AURKA Activation by TPX2 {R-MMU-8854518}; EML4 and NUDC in mitotic spindle formation {R-MMU-9648025}</t>
  </si>
  <si>
    <t>sp|Q91ZU6|DYST_MOUSE</t>
  </si>
  <si>
    <t>sp|Q8BGQ7|SYAC_MOUSE</t>
  </si>
  <si>
    <t>Alanine--tRNA ligase, cytoplasmic</t>
  </si>
  <si>
    <t>Alanyl-tRNA synthetase (AlaRS); Protein sticky (Sti)</t>
  </si>
  <si>
    <t>SYAC_MOUSE</t>
  </si>
  <si>
    <t>Q8BGQ7</t>
  </si>
  <si>
    <t>Q8BXR0</t>
  </si>
  <si>
    <t>Aars</t>
  </si>
  <si>
    <t>MGI:2384560</t>
  </si>
  <si>
    <t>Acetylation; Aminoacyl-tRNA synthetase; ATP-binding; Cytoplasm; Disease variant; Ligase; Metal-binding; Nucleotide-binding; Phosphoprotein; Protein biosynthesis; RNA-binding; tRNA-binding; Ubl conjugation; Zinc</t>
  </si>
  <si>
    <t>alanyl-tRNA aminoacylation {GO:0006419}; cerebellar Purkinje cell layer development {GO:0021680}; negative regulation of neuron apoptotic process {GO:0043524}; neuromuscular process {GO:0050905}; neuromuscular process controlling balance {GO:0050885}; neuron apoptotic process {GO:0051402}; regulation of cytoplasmic translational fidelity {GO:0140018}; tRNA modification {GO:0006400}</t>
  </si>
  <si>
    <t>cytoplasm {GO:0005737}; cytosol {GO:0005829}; mitochondrion {GO:0005739}</t>
  </si>
  <si>
    <t>alanine-tRNA ligase activity {GO:0004813}; amino acid binding {GO:0016597}; aminoacyl-tRNA editing activity {GO:0002161}; ATP binding {GO:0005524}; Ser-tRNA(Ala) hydrolase activity {GO:0002196}; translation regulator activity {GO:0045182}; tRNA binding {GO:0000049}; zinc ion binding {GO:0008270}</t>
  </si>
  <si>
    <t>sp|P0C0S6|H2AZ_MOUSE</t>
  </si>
  <si>
    <t>Histone H2A.Z (H2A/z)</t>
  </si>
  <si>
    <t>H2AZ_MOUSE</t>
  </si>
  <si>
    <t>P0C0S6</t>
  </si>
  <si>
    <t>B2RXZ3; P17317; Q3UA55; Q3UK43; Q68FD2</t>
  </si>
  <si>
    <t>MGI:1888388</t>
  </si>
  <si>
    <t>3D-structure; Acetylation; Chromosome; Developmental protein; DNA-binding; Isopeptide bond; Methylation; Nucleosome core; Nucleus; Ubl conjugation</t>
  </si>
  <si>
    <t>DNA-binding; Developmental protein</t>
  </si>
  <si>
    <t>cellular response to estradiol stimulus {GO:0071392}; cellular response to insulin stimulus {GO:0032869}; positive regulation of transcription by RNA polymerase II {GO:0045944}</t>
  </si>
  <si>
    <t>euchromatin {GO:0000791}; heterochromatin {GO:0000792}; nucleosome {GO:0000786}; nucleus {GO:0005634}</t>
  </si>
  <si>
    <t>chromatin DNA binding {GO:0031490}; DNA binding {GO:0003677}; nucleosomal DNA binding {GO:0031492}; protein heterodimerization activity {GO:0046982}; RNA polymerase II cis-regulatory region sequence-specific DNA binding {GO:0000978}; RNA polymerase II core promoter sequence-specific DNA binding {GO:0000979}; structural constituent of chromatin {GO:0030527}</t>
  </si>
  <si>
    <t>PRC2 methylates histones and DNA {R-MMU-212300}; Condensation of Prophase Chromosomes {R-MMU-2299718}; Deposition of new CENPA-containing nucleosomes at the centromere {R-MMU-606279}; RUNX1 regulates genes involved in megakaryocyte differentiation and platelet function {R-MMU-8936459}</t>
  </si>
  <si>
    <t>sp|Q76MZ3|2AAA_MOUSE</t>
  </si>
  <si>
    <t>Serine/threonine-protein phosphatase 2A 65 kDa regulatory subunit A alpha isoform</t>
  </si>
  <si>
    <t>PP2A subunit A isoform PR65-alpha; PP2A subunit A isoform R1-alpha</t>
  </si>
  <si>
    <t>2AAA_MOUSE</t>
  </si>
  <si>
    <t>Q76MZ3</t>
  </si>
  <si>
    <t>MGI:1926334</t>
  </si>
  <si>
    <t>3D-structure; Acetylation; Cell membrane; Cell projection; Centromere; Chromosome; Chromosome partition; Cytoplasm; Membrane; Nucleus; Repeat</t>
  </si>
  <si>
    <t>Chromosome partition</t>
  </si>
  <si>
    <t>Cell membrane; Cell projection; Centromere; Chromosome; Cytoplasm; Membrane; Nucleus</t>
  </si>
  <si>
    <t>chromosome segregation {GO:0007059}; female meiotic nuclear division {GO:0007143}; meiotic sister chromatid cohesion, centromeric {GO:0051754}; meiotic spindle elongation {GO:0051232}; mitotic sister chromatid separation {GO:0051306}; peptidyl-serine dephosphorylation {GO:0070262}; positive regulation of extrinsic apoptotic signaling pathway in absence of ligand {GO:2001241}; protein dephosphorylation {GO:0006470}; protein-containing complex assembly {GO:0065003}; regulation of meiotic cell cycle process involved in oocyte maturation {GO:1903538}</t>
  </si>
  <si>
    <t>chromosome, centromeric region {GO:0000775}; cytoplasm {GO:0005737}; cytosol {GO:0005829}; dendrite {GO:0030425}; glutamatergic synapse {GO:0098978}; lateral plasma membrane {GO:0016328}; neuron projection {GO:0043005}; neuronal cell body {GO:0043025}; nucleus {GO:0005634}; protein phosphatase type 2A complex {GO:0000159}; synapse {GO:0045202}</t>
  </si>
  <si>
    <t>protein antigen binding {GO:1990405}; protein heterodimerization activity {GO:0046982}; protein phosphatase regulator activity {GO:0019888}; protein serine/threonine phosphatase activity {GO:0004722}</t>
  </si>
  <si>
    <t>Inhibition of replication initiation of damaged DNA by RB1/E2F1 {R-MMU-113501}; Spry regulation of FGF signaling {R-MMU-1295596}; Amplification of signal from unattached kinetochores via a MAD2 inhibitory signal {R-MMU-141444}; DARPP-32 events {R-MMU-180024}; Degradation of beta-catenin by the destruction complex {R-MMU-195253}; Beta-catenin phosphorylation cascade {R-MMU-196299}; ERK/MAPK targets {R-MMU-198753}; ERKs are inactivated {R-MMU-202670}; Separation of Sister Chromatids {R-MMU-2467813}; Resolution of Sister Chromatid Cohesion {R-MMU-2500257}; Regulation of PLK1 Activity at G2/M Transition {R-MMU-2565942}; Initiation of Nuclear Envelope (NE) Reformation {R-MMU-2995383};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CTLA4 inhibitory signaling {R-MMU-389513}; Platelet sensitization by LDL {R-MMU-432142}; Disassembly of the destruction complex and recruitment of AXIN to the membrane {R-MMU-4641262}; Anchoring of the basal body to the plasma membrane {R-MMU-5620912}; RHO GTPases Activate Formins {R-MMU-5663220}; RAF activation {R-MMU-5673000}; Negative regulation of MAPK pathway {R-MMU-5675221}; Regulation of TP53 Degradation {R-MMU-6804757}; PI5P, PP2A and IER3 Regulate PI3K/AKT Signaling {R-MMU-6811558}; Mitotic Prometaphase {R-MMU-68877}; Cyclin D associated events in G1 {R-MMU-69231}; Cyclin A/B1/B2 associated events during G2/M transition {R-MMU-69273}; AURKA Activation by TPX2 {R-MMU-8854518}; EML4 and NUDC in mitotic spindle formation {R-MMU-9648025}; Nonsense Mediated Decay (NMD) enhanced by the Exon Junction Complex (EJC) {R-MMU-975957}</t>
  </si>
  <si>
    <t>sp|P60335|PCBP1_MOUSE</t>
  </si>
  <si>
    <t>Poly(rC)-binding protein 1</t>
  </si>
  <si>
    <t>Alpha-CP1; Heterogeneous nuclear ribonucleoprotein E1 (hnRNP E1)</t>
  </si>
  <si>
    <t>PCBP1_MOUSE</t>
  </si>
  <si>
    <t>P60335</t>
  </si>
  <si>
    <t>MGI:1345635</t>
  </si>
  <si>
    <t>Acetylation; Cytoplasm; DNA-binding; Isopeptide bond; Nucleus; Phosphoprotein; Repeat; Ribonucleoprotein; RNA-binding; Ubl conjugation</t>
  </si>
  <si>
    <t>mRNA processing {GO:0006397}; positive regulation of transcription by RNA polymerase II {GO:0045944}; regulation of gene expression {GO:0010468}; regulation of RNA metabolic process {GO:0051252}; viral RNA genome replication {GO:0039694}</t>
  </si>
  <si>
    <t>cytoplasm {GO:0005737}; cytoplasmic ribonucleoprotein granule {GO:0036464}; cytosol {GO:0005829}; nuclear speck {GO:0016607}; nucleoplasm {GO:0005654}; nucleus {GO:0005634}; ribonucleoprotein complex {GO:1990904}</t>
  </si>
  <si>
    <t>DNA-binding transcription factor activity, RNA polymerase II-specific {GO:0000981}; mRNA 3'-UTR binding {GO:0003730}; mRNA binding {GO:0003729}; RNA binding {GO:0003723}; sequence-specific single stranded DNA binding {GO:0098847}; single-stranded DNA binding {GO:0003697}; translation activator activity {GO:0008494}</t>
  </si>
  <si>
    <t>sp|Q91YQ5|RPN1_MOUSE</t>
  </si>
  <si>
    <t>Dolichyl-diphosphooligosaccharide--protein glycosyltransferase subunit 1</t>
  </si>
  <si>
    <t>Dolichyl-diphosphooligosaccharide--protein glycosyltransferase 67 kDa subunit; Ribophorin I (RPN-I); Ribophorin-1</t>
  </si>
  <si>
    <t>RPN1_MOUSE</t>
  </si>
  <si>
    <t>Q91YQ5</t>
  </si>
  <si>
    <t>Q3U985</t>
  </si>
  <si>
    <t>MGI:98084</t>
  </si>
  <si>
    <t>Acetylation; Endoplasmic reticulum; Glycoprotein; Isopeptide bond; Membrane; Signal; Transmembrane; Transmembrane helix; Ubl conjugation</t>
  </si>
  <si>
    <t>Signal; Transmembrane; Transmembrane helix</t>
  </si>
  <si>
    <t>Acetylation; Glycoprotein; Isopeptide bond; Ubl conjugation</t>
  </si>
  <si>
    <t>protein N-linked glycosylation {GO:0006487}; protein N-linked glycosylation via asparagine {GO:0018279}</t>
  </si>
  <si>
    <t>cytosol {GO:0005829}; endoplasmic reticulum {GO:0005783}; endoplasmic reticulum membrane {GO:0005789}; integral component of membrane {GO:0016021}; melanosome {GO:0042470}; oligosaccharyltransferase complex {GO:0008250}; rough endoplasmic reticulum {GO:0005791}</t>
  </si>
  <si>
    <t>Protein modification; protein glycosylation.</t>
  </si>
  <si>
    <t>sp|P97461|RS5_MOUSE</t>
  </si>
  <si>
    <t>40S ribosomal protein S5, N-terminally processed</t>
  </si>
  <si>
    <t>RS5_MOUSE</t>
  </si>
  <si>
    <t>P97461</t>
  </si>
  <si>
    <t>O08607</t>
  </si>
  <si>
    <t>MGI:1097682</t>
  </si>
  <si>
    <t>cytoplasmic translation {GO:0002181}; regulation of translational fidelity {GO:0006450}; ribosomal small subunit assembly {GO:0000028}; translation {GO:0006412}</t>
  </si>
  <si>
    <t>cytoplasm {GO:0005737}; cytosol {GO:0005829}; cytosolic ribosome {GO:0022626}; cytosolic small ribosomal subunit {GO:0022627}; ribonucleoprotein complex {GO:1990904}; ribosome {GO:0005840}</t>
  </si>
  <si>
    <t>mRNA binding {GO:0003729}; rRNA binding {GO:0019843}; structural constituent of ribosome {GO:0003735}</t>
  </si>
  <si>
    <t>sp|Q99L45|IF2B_MOUSE</t>
  </si>
  <si>
    <t>Eukaryotic translation initiation factor 2 subunit 2</t>
  </si>
  <si>
    <t>Eukaryotic translation initiation factor 2 subunit beta (eIF-2-beta)</t>
  </si>
  <si>
    <t>IF2B_MOUSE</t>
  </si>
  <si>
    <t>Q99L45</t>
  </si>
  <si>
    <t>Q9CSH6; Q9CT12</t>
  </si>
  <si>
    <t>MGI:1914454</t>
  </si>
  <si>
    <t>Acetylation; Initiation factor; Isopeptide bond; Metal-binding; Phosphoprotein; Protein biosynthesis; Ubl conjugation; Zinc; Zinc-finger</t>
  </si>
  <si>
    <t>formation of cytoplasmic translation initiation complex {GO:0001732}; formation of translation preinitiation complex {GO:0001731}; in utero embryonic development {GO:0001701}; male germ cell proliferation {GO:0002176}; male gonad development {GO:0008584}</t>
  </si>
  <si>
    <t>cytoplasm {GO:0005737}; eukaryotic translation initiation factor 2 complex {GO:0005850}</t>
  </si>
  <si>
    <t>metal ion binding {GO:0046872}; mRNA binding {GO:0003729}; translation initiation factor activity {GO:0003743}; translation initiation factor binding {GO:0031369}</t>
  </si>
  <si>
    <t>sp|Q9D8W5|PSD12_MOUSE</t>
  </si>
  <si>
    <t>26S proteasome non-ATPase regulatory subunit 12</t>
  </si>
  <si>
    <t>26S proteasome regulatory subunit RPN5; 26S proteasome regulatory subunit p55</t>
  </si>
  <si>
    <t>PSD12_MOUSE</t>
  </si>
  <si>
    <t>Q9D8W5</t>
  </si>
  <si>
    <t>Q9CQT4; Q9CYB3</t>
  </si>
  <si>
    <t>MGI:1914247</t>
  </si>
  <si>
    <t>Acetylation; Isopeptide bond; Proteasome; Ubl conjugation</t>
  </si>
  <si>
    <t>cytoplasm {GO:0005737}; nuclear proteasome complex {GO:0031595}; proteasome accessory complex {GO:0022624}; proteasome complex {GO:0000502}; proteasome regulatory particle {GO:0005838}; proteasome regulatory particle, lid subcomplex {GO:0008541}</t>
  </si>
  <si>
    <t>sp|P32067|LA_MOUSE</t>
  </si>
  <si>
    <t>Lupus La protein homolog</t>
  </si>
  <si>
    <t>La autoantigen homolog; La ribonucleoprotein</t>
  </si>
  <si>
    <t>LA_MOUSE</t>
  </si>
  <si>
    <t>P32067</t>
  </si>
  <si>
    <t>Ss-b</t>
  </si>
  <si>
    <t>MGI:98423</t>
  </si>
  <si>
    <t>Acetylation; Nucleus; Phosphoprotein; RNA-binding</t>
  </si>
  <si>
    <t>IRES-dependent viral translational initiation {GO:0075522}; nuclear histone mRNA catabolic process {GO:0071045}; protein localization to cytoplasmic stress granule {GO:1903608}; tRNA 3'-end processing {GO:0042780}; tRNA 5'-leader removal {GO:0001682}; tRNA export from nucleus {GO:0006409}; tRNA processing {GO:0008033}</t>
  </si>
  <si>
    <t>cytoplasm {GO:0005737}; nucleus {GO:0005634}; ribonucleoprotein complex {GO:1990904}</t>
  </si>
  <si>
    <t>DNA binding {GO:0003677}; mRNA binding {GO:0003729}; poly(U) RNA binding {GO:0008266}; RNA binding {GO:0003723}; sequence-specific mRNA binding {GO:1990825}; tRNA binding {GO:0000049}</t>
  </si>
  <si>
    <t>sp|Q9CQC6|5MP2_MOUSE</t>
  </si>
  <si>
    <t>eIF5-mimic protein 2</t>
  </si>
  <si>
    <t>Basic leucine zipper and W2 domain-containing protein 1</t>
  </si>
  <si>
    <t>5MP2_MOUSE</t>
  </si>
  <si>
    <t>Q9CQC6</t>
  </si>
  <si>
    <t>Q3THS5; Q3UZ94</t>
  </si>
  <si>
    <t>5mp2</t>
  </si>
  <si>
    <t>MGI:1914132</t>
  </si>
  <si>
    <t>Acetylation; Activator; Isopeptide bond; Phosphoprotein; Transcription; Transcription regulation; Translation regulation; Ubl conjugation</t>
  </si>
  <si>
    <t>Transcription; Transcription regulation; Translation regulation</t>
  </si>
  <si>
    <t>regulation of translational initiation {GO:0006446}</t>
  </si>
  <si>
    <t>sp|O55234|PSB5_MOUSE</t>
  </si>
  <si>
    <t>Proteasome subunit beta type-5</t>
  </si>
  <si>
    <t>Macropain epsilon chain; Multicatalytic endopeptidase complex epsilon chain; Proteasome chain 6; Proteasome epsilon chain; Proteasome subunit X</t>
  </si>
  <si>
    <t>PSB5_MOUSE</t>
  </si>
  <si>
    <t>O55234</t>
  </si>
  <si>
    <t>Q3UZI1; Q91X53; Q9CWR4; Q9R1P2</t>
  </si>
  <si>
    <t>MGI:1194513</t>
  </si>
  <si>
    <t>3D-structure; Cytoplasm; Hydrolase; Nucleus; Protease; Proteasome; Threonine protease; Zymogen</t>
  </si>
  <si>
    <t>Hydrolase; Protease; Threonine protease</t>
  </si>
  <si>
    <t>Zymogen</t>
  </si>
  <si>
    <t>proteasomal protein catabolic process {GO:0010498}; proteasome-mediated ubiquitin-dependent protein catabolic process {GO:0043161}; proteolysis {GO:0006508}; response to oxidative stress {GO:0006979}</t>
  </si>
  <si>
    <t>centrosome {GO:0005813}; cytoplasm {GO:0005737}; cytosol {GO:0005829}; nucleoplasm {GO:0005654}; nucleus {GO:0005634}; proteasome complex {GO:0000502}; proteasome core complex {GO:0005839}; proteasome core complex, beta-subunit complex {GO:0019774}</t>
  </si>
  <si>
    <t>endopeptidase activity {GO:0004175}; peptidase activity {GO:0008233}; threonine-type endopeptidase activity {GO:0004298}</t>
  </si>
  <si>
    <t>sp|P59325|IF5_MOUSE</t>
  </si>
  <si>
    <t>Eukaryotic translation initiation factor 5 (eIF-5)</t>
  </si>
  <si>
    <t>IF5_MOUSE</t>
  </si>
  <si>
    <t>P59325</t>
  </si>
  <si>
    <t>MGI:95309</t>
  </si>
  <si>
    <t>GTP-binding; Initiation factor; Isopeptide bond; Nucleotide-binding; Phosphoprotein; Protein biosynthesis; Ubl conjugation</t>
  </si>
  <si>
    <t>activation of GTPase activity {GO:0090630}; formation of cytoplasmic translation initiation complex {GO:0001732}; formation of translation preinitiation complex {GO:0001731}; regulation of translational initiation {GO:0006446}</t>
  </si>
  <si>
    <t>cytoplasm {GO:0005737}; cytosol {GO:0005829}; plasma membrane {GO:0005886}</t>
  </si>
  <si>
    <t>eukaryotic initiation factor eIF2 binding {GO:0071074}; GDP-dissociation inhibitor activity {GO:0005092}; GTP binding {GO:0005525}; translation initiation factor activity {GO:0003743}</t>
  </si>
  <si>
    <t>Ribosomal scanning and start codon recognition {R-MMU-72702}; GTP hydrolysis and joining of the 60S ribosomal subunit {R-MMU-72706}</t>
  </si>
  <si>
    <t>sp|Q9CYT6|CAP2_MOUSE</t>
  </si>
  <si>
    <t>Adenylyl cyclase-associated protein 2 (CAP 2)</t>
  </si>
  <si>
    <t>CAP2_MOUSE</t>
  </si>
  <si>
    <t>Q9CYT6</t>
  </si>
  <si>
    <t>Q80YU7; Q9D6L0</t>
  </si>
  <si>
    <t>MGI:1914502</t>
  </si>
  <si>
    <t>Cell membrane; Membrane; Phosphoprotein</t>
  </si>
  <si>
    <t>cAMP-mediated signaling {GO:0019933}; cell morphogenesis {GO:0000902}; cytoskeleton organization {GO:0007010}; regulation of adenylate cyclase activity {GO:0045761}</t>
  </si>
  <si>
    <t>cytoplasm {GO:0005737}; plasma membrane {GO:0005886}; postsynaptic density {GO:0014069}</t>
  </si>
  <si>
    <t>actin binding {GO:0003779}; adenylate cyclase binding {GO:0008179}; identical protein binding {GO:0042802}</t>
  </si>
  <si>
    <t>sp|Q9D1R9|RL34_MOUSE</t>
  </si>
  <si>
    <t>60S ribosomal protein L34</t>
  </si>
  <si>
    <t>RL34_MOUSE</t>
  </si>
  <si>
    <t>Q9D1R9</t>
  </si>
  <si>
    <t>Q497V4</t>
  </si>
  <si>
    <t>MGI:1915686</t>
  </si>
  <si>
    <t>cytoplasm {GO:0005737}; cytosol {GO:0005829}; cytosolic large ribosomal subunit {GO:0022625}; cytosolic ribosome {GO:0022626}; endoplasmic reticulum {GO:0005783}; mitochondrion {GO:0005739}</t>
  </si>
  <si>
    <t>sp|O55143|AT2A2_MOUSE</t>
  </si>
  <si>
    <t>Sarcoplasmic/endoplasmic reticulum calcium ATPase 2 (SERCA2; SR Ca(2+)-ATPase 2)</t>
  </si>
  <si>
    <t>Calcium pump 2; Calcium-transporting ATPase sarcoplasmic reticulum type, slow twitch skeletal muscle isoform; Endoplasmic reticulum class 1/2 Ca(2+) ATPase</t>
  </si>
  <si>
    <t>AT2A2_MOUSE</t>
  </si>
  <si>
    <t>O55143</t>
  </si>
  <si>
    <t>Q9R2A9; Q9WUT5</t>
  </si>
  <si>
    <t>MGI:88110</t>
  </si>
  <si>
    <t>Alternative splicing; ATP-binding; Calcium; Calcium transport; Disulfide bond; Endoplasmic reticulum; Ion transport; Magnesium; Membrane; Metal-binding; Nitration; Nucleotide-binding; Phosphoprotein; Sarcoplasmic reticulum; Translocase; Transmembrane; Transmembrane helix; Transport</t>
  </si>
  <si>
    <t>Calcium transport; Ion transport; Transport</t>
  </si>
  <si>
    <t>Endoplasmic reticulum; Membrane; Sarcoplasmic reticulum</t>
  </si>
  <si>
    <t>ATP-binding; Calcium; Magnesium; Metal-binding; Nucleotide-binding</t>
  </si>
  <si>
    <t>Disulfide bond; Nitration; Phosphoprotein</t>
  </si>
  <si>
    <t>autophagosome assembly {GO:0000045}; autophagosome membrane docking {GO:0016240}; calcium ion import into sarcoplasmic reticulum {GO:1990036}; calcium ion transmembrane transport {GO:0070588}; calcium ion transport {GO:0006816}; calcium ion transport from cytosol to endoplasmic reticulum {GO:1903515}; cardiac muscle hypertrophy in response to stress {GO:0014898}; cellular calcium ion homeostasis {GO:0006874}; cellular response to heat {GO:0034605}; cellular response to oxidative stress {GO:0034599}; endoplasmic reticulum calcium ion homeostasis {GO:0032469}; ER-nucleus signaling pathway {GO:0006984}; ion transmembrane transport {GO:0034220}; mitochondrion-endoplasmic reticulum membrane tethering {GO:1990456}; negative regulation of heart contraction {GO:0045822}; negative regulation of receptor binding {GO:1900121}; neuron cellular homeostasis {GO:0070050}; organelle localization by membrane tethering {GO:0140056}; organelle organization {GO:0006996}; positive regulation of cardiac muscle cell apoptotic process {GO:0010666}; positive regulation of endoplasmic reticulum calcium ion concentration {GO:0032470}; regulation of calcium ion-dependent exocytosis of neurotransmitter {GO:1903233}; regulation of cardiac muscle cell action potential involved in regulation of contraction {GO:0098909}; regulation of cardiac muscle cell membrane potential {GO:0086036}; regulation of cardiac muscle contraction by calcium ion signaling {GO:0010882}; regulation of muscle contraction {GO:0006937}; regulation of the force of heart contraction {GO:0002026}; relaxation of cardiac muscle {GO:0055119}; response to lipopolysaccharide {GO:0032496}; response to peptide hormone {GO:0043434}; sarcoplasmic reticulum calcium ion transport {GO:0070296}; skeletal muscle contraction {GO:0003009}; T-tubule organization {GO:0033292}; transition between fast and slow fiber {GO:0014883}</t>
  </si>
  <si>
    <t>apical ectoplasmic specialization {GO:0061831}; calcium ion-transporting ATPase complex {GO:0090534}; endoplasmic reticulum {GO:0005783}; endoplasmic reticulum membrane {GO:0005789}; extrinsic component of cytoplasmic side of plasma membrane {GO:0031234}; integral component of membrane {GO:0016021}; intercalated disc {GO:0014704}; longitudinal sarcoplasmic reticulum {GO:0014801}; membrane {GO:0016020}; perinuclear region of cytoplasm {GO:0048471}; plasma membrane bounded cell projection {GO:0120025}; protein-containing complex {GO:0032991}; ribbon synapse {GO:0097470}; sarcoplasmic reticulum {GO:0016529}; sarcoplasmic reticulum membrane {GO:0033017}; vesicle membrane {GO:0012506}</t>
  </si>
  <si>
    <t>ATP binding {GO:0005524}; ATP hydrolysis activity {GO:0016887}; calcium ion binding {GO:0005509}; enzyme binding {GO:0019899}; lutropin-choriogonadotropic hormone receptor binding {GO:0031775}; P-type calcium transporter activity {GO:0005388}; P-type calcium transporter activity involved in regulation of cardiac muscle cell membrane potential {GO:0086039}; P-type ion transporter activity {GO:0015662}; protein C-terminus binding {GO:0008022}; S100 protein binding {GO:0044548}; transmembrane transporter binding {GO:0044325}</t>
  </si>
  <si>
    <t>Reduction of cytosolic Ca++ levels {R-MMU-418359}; Ion homeostasis {R-MMU-5578775}; Ion transport by P-type ATPases {R-MMU-936837}</t>
  </si>
  <si>
    <t>sp|Q8BG05|ROA3_MOUSE</t>
  </si>
  <si>
    <t>Heterogeneous nuclear ribonucleoprotein A3 (hnRNP A3)</t>
  </si>
  <si>
    <t>ROA3_MOUSE</t>
  </si>
  <si>
    <t>Q8BG05</t>
  </si>
  <si>
    <t>Q8BHF8</t>
  </si>
  <si>
    <t>Hnrpa3</t>
  </si>
  <si>
    <t>MGI:1917171</t>
  </si>
  <si>
    <t>mRNA splicing, via spliceosome {GO:0000398}; mRNA transport {GO:0051028}</t>
  </si>
  <si>
    <t>catalytic step 2 spliceosome {GO:0071013}; cytoplasm {GO:0005737}; messenger ribonucleoprotein complex {GO:1990124}; neuron projection {GO:0043005}; nucleoplasm {GO:0005654}; nucleus {GO:0005634}; postsynaptic density {GO:0014069}; ribonucleoprotein granule {GO:0035770}</t>
  </si>
  <si>
    <t>mRNA 3'-UTR binding {GO:0003730}; mRNA binding {GO:0003729}; RNA transmembrane transporter activity {GO:0051033}</t>
  </si>
  <si>
    <t>sp|Q6NZJ6|IF4G1_MOUSE</t>
  </si>
  <si>
    <t>Eukaryotic translation initiation factor 4 gamma 1 (eIF-4-gamma 1; eIF-4G 1; eIF-4G1)</t>
  </si>
  <si>
    <t>IF4G1_MOUSE</t>
  </si>
  <si>
    <t>Q6NZJ6</t>
  </si>
  <si>
    <t>Q6NZN8; Q8BW99</t>
  </si>
  <si>
    <t>MGI:2384784</t>
  </si>
  <si>
    <t>Acetylation; Alternative splicing; Cytoplasm; Initiation factor; Methylation; Nucleus; Phosphoprotein; Protein biosynthesis; RNA-binding; Translation regulation</t>
  </si>
  <si>
    <t>behavioral fear response {GO:0001662}; cellular macromolecule biosynthetic process {GO:0034645}; cellular response to nutrient levels {GO:0031669}; energy homeostasis {GO:0097009}; lung development {GO:0030324}; miRNA-mediated gene silencing by inhibition of translation {GO:0035278}; negative regulation of autophagy {GO:0010507}; negative regulation of peptidyl-threonine phosphorylation {GO:0010801}; neuron differentiation {GO:0030182}; positive regulation of cell death {GO:0010942}; positive regulation of cell growth {GO:0030307}; positive regulation of eukaryotic translation initiation factor 4F complex assembly {GO:1905537}; positive regulation of G1/S transition of mitotic cell cycle {GO:1900087}; positive regulation of mRNA cap binding {GO:1905612}; positive regulation of neuron differentiation {GO:0045666}; positive regulation of peptidyl-serine phosphorylation {GO:0033138}; positive regulation of protein metabolic process {GO:0051247}; positive regulation of translation in response to endoplasmic reticulum stress {GO:0036493}; regulation of polysome binding {GO:1905696}; regulation of presynapse assembly {GO:1905606}; regulation of translational initiation {GO:0006446}; response to ethanol {GO:0045471}; translation {GO:0006412}; translational initiation {GO:0006413}</t>
  </si>
  <si>
    <t>cytoplasm {GO:0005737}; cytoplasmic stress granule {GO:0010494}; cytosol {GO:0005829}; eukaryotic translation initiation factor 4F complex {GO:0016281}; nucleus {GO:0005634}; polysome {GO:0005844}; postsynapse {GO:0098794}</t>
  </si>
  <si>
    <t>ATP binding {GO:0005524}; eukaryotic initiation factor 4E binding {GO:0008190}; identical protein binding {GO:0042802}; mRNA binding {GO:0003729}; translation factor activity, RNA binding {GO:0008135}; translation initiation factor activity {GO:0003743}</t>
  </si>
  <si>
    <t>ISG15 antiviral mechanism {R-MMU-1169408}; L13a-mediated translational silencing of Ceruloplasmin expression {R-MMU-156827}; mTORC1-mediated signalling {R-MMU-166208}; Deadenylation of mRNA {R-MMU-429947}; AUF1 (hnRNP D0) binds and destabilizes mRNA {R-MMU-450408}; Translation initiation complex formation {R-MMU-72649}; Activation of the mRNA upon binding of the cap-binding complex and eIFs, and subsequent binding to 43S {R-MMU-72662}; Ribosomal scanning and start codon recognition {R-MMU-72702}; GTP hydrolysis and joining of the 60S ribosomal subunit {R-MMU-72706}; Nonsense Mediated Decay (NMD) independent of the Exon Junction Complex (EJC) {R-MMU-975956}; Nonsense Mediated Decay (NMD) enhanced by the Exon Junction Complex (EJC) {R-MMU-975957}</t>
  </si>
  <si>
    <t>sp|Q8BGD9|IF4B_MOUSE</t>
  </si>
  <si>
    <t>Eukaryotic translation initiation factor 4B (eIF-4B)</t>
  </si>
  <si>
    <t>IF4B_MOUSE</t>
  </si>
  <si>
    <t>Q8BGD9</t>
  </si>
  <si>
    <t>Q3TD64</t>
  </si>
  <si>
    <t>MGI:95304</t>
  </si>
  <si>
    <t>Acetylation; Initiation factor; Isopeptide bond; Phosphoprotein; Protein biosynthesis; RNA-binding; Ubl conjugation</t>
  </si>
  <si>
    <t>eukaryotic translation initiation factor 4F complex assembly {GO:0097010}; formation of translation preinitiation complex {GO:0001731}</t>
  </si>
  <si>
    <t>cytosol {GO:0005829}; dendrite {GO:0030425}; neuronal cell body {GO:0043025}</t>
  </si>
  <si>
    <t>ribosomal small subunit binding {GO:0043024}; RNA strand annealing activity {GO:0033592}; RNA strand-exchange activity {GO:0034057}; translation initiation factor activity {GO:0003743}</t>
  </si>
  <si>
    <t>L13a-mediated translational silencing of Ceruloplasmin expression {R-MMU-156827}; mTORC1-mediated signalling {R-MMU-166208}; Deadenylation of mRNA {R-MMU-429947}; Translation initiation complex formation {R-MMU-72649}; Activation of the mRNA upon binding of the cap-binding complex and eIFs, and subsequent binding to 43S {R-MMU-72662}; Ribosomal scanning and start codon recognition {R-MMU-72702}; GTP hydrolysis and joining of the 60S ribosomal subunit {R-MMU-72706}</t>
  </si>
  <si>
    <t>sp|P46471|PRS7_MOUSE</t>
  </si>
  <si>
    <t>26S proteasome regulatory subunit 7</t>
  </si>
  <si>
    <t>26S proteasome AAA-ATPase subunit RPT1; Proteasome 26S subunit ATPase 2</t>
  </si>
  <si>
    <t>PRS7_MOUSE</t>
  </si>
  <si>
    <t>P46471</t>
  </si>
  <si>
    <t>O08531; Q3TGX5; Q9DBA1</t>
  </si>
  <si>
    <t>Mss1</t>
  </si>
  <si>
    <t>MGI:109555</t>
  </si>
  <si>
    <t>Acetylation; ATP-binding; Cytoplasm; Nucleotide-binding; Proteasome; Ubl conjugation</t>
  </si>
  <si>
    <t>Cytoplasm; Proteasome</t>
  </si>
  <si>
    <t>Acetylation; Ubl conjugation</t>
  </si>
  <si>
    <t>proteasome-mediated ubiquitin-dependent protein catabolic process {GO:0043161}; ubiquitin-dependent protein catabolic process {GO:0006511}</t>
  </si>
  <si>
    <t>cytoplasmic ribonucleoprotein granule {GO:0036464}; cytosol {GO:0005829}; dendritic spine {GO:0043197}; nucleus {GO:0005634}; P-body {GO:0000932}; proteasome accessory complex {GO:0022624}; proteasome complex {GO:0000502}; proteasome regulatory particle, base subcomplex {GO:0008540}</t>
  </si>
  <si>
    <t>ATP binding {GO:0005524}; ATP hydrolysis activity {GO:0016887}; general transcription initiation factor binding {GO:0140296}; proteasome-activating activity {GO:0036402}; TBP-class protein binding {GO:0017025}</t>
  </si>
  <si>
    <t>sp|Q9DCD0|6PGD_MOUSE</t>
  </si>
  <si>
    <t>6-phosphogluconate dehydrogenase, decarboxylating</t>
  </si>
  <si>
    <t>6PGD_MOUSE</t>
  </si>
  <si>
    <t>Q9DCD0</t>
  </si>
  <si>
    <t>Q3UD80</t>
  </si>
  <si>
    <t>MGI:97553</t>
  </si>
  <si>
    <t>Acetylation; Cytoplasm; Gluconate utilization; NADP; Oxidoreductase; Pentose shunt; Phosphoprotein</t>
  </si>
  <si>
    <t>Gluconate utilization; Pentose shunt</t>
  </si>
  <si>
    <t>carbohydrate metabolic process {GO:0005975}; D-gluconate catabolic process {GO:0046177}; D-gluconate metabolic process {GO:0019521}; NADP metabolic process {GO:0006739}; pentose biosynthetic process {GO:0019322}; pentose-phosphate shunt {GO:0006098}; pentose-phosphate shunt, oxidative branch {GO:0009051}</t>
  </si>
  <si>
    <t>cytosol {GO:0005829}; intracellular membrane-bounded organelle {GO:0043231}</t>
  </si>
  <si>
    <t>carbohydrate binding {GO:0030246}; carboxylic acid binding {GO:0031406}; NADP binding {GO:0050661}; phosphogluconate dehydrogenase (decarboxylating) activity {GO:0004616}</t>
  </si>
  <si>
    <t>Carbohydrate degradation; pentose phosphate pathway; D- ribulose 5-phosphate from D-glucose 6-phosphate (oxidative stage): step 3/3.</t>
  </si>
  <si>
    <t>Pentose phosphate pathway {R-MMU-71336}</t>
  </si>
  <si>
    <t>sp|P98203|ARVC_MOUSE</t>
  </si>
  <si>
    <t>Splicing regulator ARVCF</t>
  </si>
  <si>
    <t>Armadillo repeat protein deleted in velo-cardio-facial syndrome homolog</t>
  </si>
  <si>
    <t>ARVC_MOUSE</t>
  </si>
  <si>
    <t>P98203</t>
  </si>
  <si>
    <t>Q6PGJ6; Q8BQ36; Q8BRF2; Q8C3U7; Q924L2; Q924L3; Q924L4; Q924L5</t>
  </si>
  <si>
    <t>MGI:109620</t>
  </si>
  <si>
    <t>Alternative splicing; Cell adhesion; Cell junction; Coiled coil; Cytoplasm; Methylation; mRNA processing; mRNA splicing; Nucleus; Phosphoprotein; Repeat</t>
  </si>
  <si>
    <t>Cell adhesion; mRNA processing; mRNA splicing</t>
  </si>
  <si>
    <t>Cell junction; Cytoplasm; Nucleus</t>
  </si>
  <si>
    <t>calcium-dependent cell-cell adhesion via plasma membrane cell adhesion molecules {GO:0016339}; cell-cell adhesion {GO:0098609}; cell-cell junction assembly {GO:0007043}; RNA splicing {GO:0008380}</t>
  </si>
  <si>
    <t>adherens junction {GO:0005912}; cytoplasm {GO:0005737}; messenger ribonucleoprotein complex {GO:1990124}; nucleus {GO:0005634}; plasma membrane {GO:0005886}</t>
  </si>
  <si>
    <t>cadherin binding {GO:0045296}</t>
  </si>
  <si>
    <t>sp|Q7TQI3|OTUB1_MOUSE</t>
  </si>
  <si>
    <t>Ubiquitin thioesterase OTUB1</t>
  </si>
  <si>
    <t>Deubiquitinating enzyme OTUB1; OTU domain-containing ubiquitin aldehyde-binding protein 1; Otubain-1; Ubiquitin-specific-processing protease OTUB1</t>
  </si>
  <si>
    <t>OTUB1_MOUSE</t>
  </si>
  <si>
    <t>Q7TQI3</t>
  </si>
  <si>
    <t>Q3ULV9; Q3V408; Q8C326; Q8R5F2</t>
  </si>
  <si>
    <t>MGI:2147616</t>
  </si>
  <si>
    <t>Acetylation; Adaptive immunity; Cytoplasm; DNA damage; DNA repair; Hydrolase; Immunity; Phosphoprotein; Protease; Thiol protease; Ubl conjugation pathway</t>
  </si>
  <si>
    <t>Adaptive immunity; DNA damage; DNA repair; Immunity; Ubl conjugation pathway</t>
  </si>
  <si>
    <t>adaptive immune response {GO:0002250}; cellular response to DNA damage stimulus {GO:0006974}; DNA repair {GO:0006281}; negative regulation of double-strand break repair {GO:2000780}; negative regulation of histone H2A K63-linked ubiquitination {GO:1901315}; protein deubiquitination {GO:0016579}; protein K48-linked deubiquitination {GO:0071108}</t>
  </si>
  <si>
    <t>cysteine-type deubiquitinase activity {GO:0004843}; deNEDDylase activity {GO:0019784}; deubiquitinase activity {GO:0101005}; ubiquitin binding {GO:0043130}; ubiquitin protein ligase binding {GO:0031625}</t>
  </si>
  <si>
    <t>Ub-specific processing proteases {R-MMU-5689880}; Ovarian tumor domain proteases {R-MMU-5689896}</t>
  </si>
  <si>
    <t>sp|Q78PY7|SND1_MOUSE</t>
  </si>
  <si>
    <t>Staphylococcal nuclease domain-containing protein 1</t>
  </si>
  <si>
    <t>100 kDa coactivator; p100 co-activator</t>
  </si>
  <si>
    <t>SND1_MOUSE</t>
  </si>
  <si>
    <t>Q78PY7</t>
  </si>
  <si>
    <t>Q3TT46; Q922L5; Q9R0S1</t>
  </si>
  <si>
    <t>MGI:1929266</t>
  </si>
  <si>
    <t>Acetylation; Cytoplasm; Endonuclease; Hydrolase; Isopeptide bond; Nuclease; Nucleus; Phosphoprotein; Repeat; Transcription; Transcription regulation; Ubl conjugation</t>
  </si>
  <si>
    <t>Transcription; Transcription regulation</t>
  </si>
  <si>
    <t>Endonuclease; Hydrolase; Nuclease</t>
  </si>
  <si>
    <t>gene silencing by RNA {GO:0031047}; miRNA catabolic process {GO:0010587}; mRNA catabolic process {GO:0006402}; regulation of cell cycle process {GO:0010564}</t>
  </si>
  <si>
    <t>cytoplasm {GO:0005737}; cytosol {GO:0005829}; dense body {GO:0097433}; melanosome {GO:0042470}; mitochondrion {GO:0005739}; nucleus {GO:0005634}; RISC complex {GO:0016442}</t>
  </si>
  <si>
    <t>endonuclease activity {GO:0004519}; endoribonuclease activity {GO:0004521}; nuclease activity {GO:0004518}; RISC complex binding {GO:1905172}; RNA binding {GO:0003723}</t>
  </si>
  <si>
    <t>sp|Q8VDJ3|VIGLN_MOUSE</t>
  </si>
  <si>
    <t>Vigilin</t>
  </si>
  <si>
    <t>High density lipoprotein-binding protein (HDL-binding protein)</t>
  </si>
  <si>
    <t>VIGLN_MOUSE</t>
  </si>
  <si>
    <t>Q8VDJ3</t>
  </si>
  <si>
    <t>MGI:99256</t>
  </si>
  <si>
    <t>Acetylation; Cholesterol metabolism; Cytoplasm; HDL; Lipid metabolism; Lipid transport; Nucleus; Phosphoprotein; Repeat; RNA-binding; Steroid metabolism; Sterol metabolism; Transport</t>
  </si>
  <si>
    <t>Cholesterol metabolism; Lipid metabolism; Lipid transport; Steroid metabolism; Sterol metabolism; Transport</t>
  </si>
  <si>
    <t>Cytoplasm; HDL; Nucleus</t>
  </si>
  <si>
    <t>cholesterol metabolic process {GO:0008203}; lipid transport {GO:0006869}</t>
  </si>
  <si>
    <t>cytoplasm {GO:0005737}; cytosol {GO:0005829}; high-density lipoprotein particle {GO:0034364}; nucleus {GO:0005634}; polysome {GO:0005844}</t>
  </si>
  <si>
    <t>mRNA binding {GO:0003729}</t>
  </si>
  <si>
    <t>HDL clearance {R-MMU-8964011}</t>
  </si>
  <si>
    <t>sp|O88544|CSN4_MOUSE</t>
  </si>
  <si>
    <t>COP9 signalosome complex subunit 4 (SGN4; Signalosome subunit 4)</t>
  </si>
  <si>
    <t>JAB1-containing signalosome subunit 4</t>
  </si>
  <si>
    <t>CSN4_MOUSE</t>
  </si>
  <si>
    <t>O88544</t>
  </si>
  <si>
    <t>Csn4</t>
  </si>
  <si>
    <t>MGI:1349414</t>
  </si>
  <si>
    <t>3D-structure; Acetylation; Cytoplasm; Cytoplasmic vesicle; Nucleus; Signalosome; Synapse</t>
  </si>
  <si>
    <t>Cytoplasm; Cytoplasmic vesicle; Nucleus; Signalosome; Synapse</t>
  </si>
  <si>
    <t>protein deneddylation {GO:0000338}</t>
  </si>
  <si>
    <t>anchoring junction {GO:0070161}; cell junction {GO:0030054}; COP9 signalosome {GO:0008180}; cytoplasm {GO:0005737}; nuclear speck {GO:0016607}; nucleus {GO:0005634}; synaptic vesicle {GO:0008021}</t>
  </si>
  <si>
    <t>DNA Damage Recognition in GG-NER {R-MMU-5696394}; Formation of TC-NER Pre-Incision Complex {R-MMU-6781823}; Cargo recognition for clathrin-mediated endocytosis {R-MMU-8856825}; Neddylation {R-MMU-8951664}; RHOBTB1 GTPase cycle {R-MMU-9013422}</t>
  </si>
  <si>
    <t>sp|P70195|PSB7_MOUSE</t>
  </si>
  <si>
    <t>Proteasome subunit beta type-7</t>
  </si>
  <si>
    <t>Macropain chain Z; Multicatalytic endopeptidase complex chain Z; Proteasome subunit Z</t>
  </si>
  <si>
    <t>PSB7_MOUSE</t>
  </si>
  <si>
    <t>P70195</t>
  </si>
  <si>
    <t>O09084; Q542F7; Q9CZH4; Q9DCF7</t>
  </si>
  <si>
    <t>Mmc14</t>
  </si>
  <si>
    <t>MGI:107637</t>
  </si>
  <si>
    <t>proteasomal protein catabolic process {GO:0010498}</t>
  </si>
  <si>
    <t>cytoplasm {GO:0005737}; cytosol {GO:0005829}; nuclear body {GO:0016604}; nucleoplasm {GO:0005654}; nucleus {GO:0005634}; proteasome complex {GO:0000502}; proteasome core complex {GO:0005839}; proteasome core complex, beta-subunit complex {GO:0019774}</t>
  </si>
  <si>
    <t>endopeptidase activity {GO:0004175}; threonine-type endopeptidase activity {GO:0004298}</t>
  </si>
  <si>
    <t>sp|Q9CQ65|MTAP_MOUSE</t>
  </si>
  <si>
    <t>S-methyl-5'-thioadenosine phosphorylase</t>
  </si>
  <si>
    <t>5'-methylthioadenosine phosphorylase (MTA phosphorylase; MTAP; MTAPase)</t>
  </si>
  <si>
    <t>MTAP_MOUSE</t>
  </si>
  <si>
    <t>Q9CQ65</t>
  </si>
  <si>
    <t>Q3TJS4</t>
  </si>
  <si>
    <t>MGI:1914152</t>
  </si>
  <si>
    <t>Acetylation; Cytoplasm; Glycosyltransferase; Nucleus; Purine salvage; Transferase</t>
  </si>
  <si>
    <t>L-methionine salvage from methylthioadenosine {GO:0019509}; methylation {GO:0032259}; purine ribonucleoside salvage {GO:0006166}</t>
  </si>
  <si>
    <t>cytosol {GO:0005829}; nucleoplasm {GO:0005654}</t>
  </si>
  <si>
    <t>S-methyl-5-thioadenosine phosphorylase activity {GO:0017061}</t>
  </si>
  <si>
    <t>Amino-acid biosynthesis; L-methionine biosynthesis via salvage pathway; S-methyl-5-thio-alpha-D-ribose 1-phosphate from S-methyl-5'- thioadenosine (phosphorylase route): step 1/1. {ECO:0000255|HAMAP- Rule:MF_03155}.</t>
  </si>
  <si>
    <t>Methionine salvage pathway {R-MMU-1237112}</t>
  </si>
  <si>
    <t>sp|Q11011|PSA_MOUSE</t>
  </si>
  <si>
    <t>Puromycin-sensitive aminopeptidase (PSA)</t>
  </si>
  <si>
    <t>Cytosol alanyl aminopeptidase (AAP-S)</t>
  </si>
  <si>
    <t>PSA_MOUSE</t>
  </si>
  <si>
    <t>Q11011</t>
  </si>
  <si>
    <t>Q3UZE0; Q5PR74; Q91VJ8</t>
  </si>
  <si>
    <t>Psa</t>
  </si>
  <si>
    <t>MGI:1101358</t>
  </si>
  <si>
    <t>Aminopeptidase; Cytoplasm; Hydrolase; Metal-binding; Metalloprotease; Nitration; Nucleus; Protease; Zinc</t>
  </si>
  <si>
    <t>Aminopeptidase; Hydrolase; Metalloprotease; Protease</t>
  </si>
  <si>
    <t>Nitration</t>
  </si>
  <si>
    <t>cellular response to hypoxia {GO:0071456}; peptide catabolic process {GO:0043171}; proteolysis {GO:0006508}</t>
  </si>
  <si>
    <t>cytoplasm {GO:0005737}; cytosol {GO:0005829}; nucleus {GO:0005634}</t>
  </si>
  <si>
    <t>aminopeptidase activity {GO:0004177}; metalloaminopeptidase activity {GO:0070006}; peptide binding {GO:0042277}; zinc ion binding {GO:0008270}</t>
  </si>
  <si>
    <t>Antigen processing: Ubiquitination &amp; Proteasome degradation {R-MMU-983168}</t>
  </si>
  <si>
    <t>sp|Q05793|PGBM_MOUSE</t>
  </si>
  <si>
    <t>LG3 peptide (HSPG)</t>
  </si>
  <si>
    <t>PGBM_MOUSE</t>
  </si>
  <si>
    <t>Q05793</t>
  </si>
  <si>
    <t>MGI:96257</t>
  </si>
  <si>
    <t>3D-structure; Angiogenesis; Basement membrane; Calcium; Disulfide bond; EGF-like domain; Extracellular matrix; Glycoprotein; Heparan sulfate; Immunoglobulin domain; Laminin EGF-like domain; Metal-binding; Proteoglycan; Repeat; Secreted; Signal</t>
  </si>
  <si>
    <t>Angiogenesis</t>
  </si>
  <si>
    <t>EGF-like domain; Immunoglobulin domain; Laminin EGF-like domain; Repeat; Signal</t>
  </si>
  <si>
    <t>Disulfide bond; Glycoprotein; Heparan sulfate; Proteoglycan</t>
  </si>
  <si>
    <t>angiogenesis {GO:0001525}; animal organ morphogenesis {GO:0009887}; brain development {GO:0007420}; cardiac muscle tissue development {GO:0048738}; cartilage development involved in endochondral bone morphogenesis {GO:0060351}; chondrocyte differentiation {GO:0002062}; embryonic skeletal system morphogenesis {GO:0048704}; endochondral ossification {GO:0001958}; extracellular matrix organization {GO:0030198}; negative regulation of amyloid fibril formation {GO:1905907}; negative regulation of cell adhesion {GO:0007162}; negative regulation of cell death {GO:0060548}; negative regulation of cell population proliferation {GO:0008285}; positive regulation of endothelial cell proliferation {GO:0001938}; protein localization {GO:0008104}; receptor-mediated endocytosis {GO:0006898}; smoothened signaling pathway {GO:0007224}; tissue development {GO:0009888}</t>
  </si>
  <si>
    <t>basement membrane {GO:0005604}; collagen-containing extracellular matrix {GO:0062023}; extracellular matrix {GO:0031012}; extracellular region {GO:0005576}; Golgi lumen {GO:0005796}</t>
  </si>
  <si>
    <t>calcium ion binding {GO:0005509}; collagen V binding {GO:0070052}; protease binding {GO:0002020}; protein C-terminus binding {GO:0008022}</t>
  </si>
  <si>
    <t>sp|P10639|THIO_MOUSE</t>
  </si>
  <si>
    <t>Thioredoxin (Trx)</t>
  </si>
  <si>
    <t>ATL-derived factor (ADF)</t>
  </si>
  <si>
    <t>THIO_MOUSE</t>
  </si>
  <si>
    <t>P10639</t>
  </si>
  <si>
    <t>Q52KC4; Q9D8R0</t>
  </si>
  <si>
    <t>Txn1</t>
  </si>
  <si>
    <t>MGI:98874</t>
  </si>
  <si>
    <t>Acetylation; Activator; Cytoplasm; Disulfide bond; Electron transport; Nucleus; Redox-active center; S-nitrosylation; Secreted; Transcription; Transcription regulation; Transport</t>
  </si>
  <si>
    <t>Electron transport; Transcription; Transcription regulation; Transport</t>
  </si>
  <si>
    <t>Acetylation; Disulfide bond; S-nitrosylation</t>
  </si>
  <si>
    <t>cell redox homeostasis {GO:0045454}; negative regulation of hydrogen peroxide-induced cell death {GO:1903206}; negative regulation of protein export from nucleus {GO:0046826}; negative regulation of transcription by RNA polymerase II {GO:0000122}; positive regulation of DNA binding {GO:0043388}; positive regulation of peptidyl-cysteine S-nitrosylation {GO:2000170}; positive regulation of peptidyl-serine phosphorylation {GO:0033138}; response to nitric oxide {GO:0071731}; response to radiation {GO:0009314}</t>
  </si>
  <si>
    <t>axon {GO:0030424}; cytoplasm {GO:0005737}; cytosol {GO:0005829}; dendrite {GO:0030425}; extracellular region {GO:0005576}; mitochondrion {GO:0005739}; neuronal cell body {GO:0043025}; nucleoplasm {GO:0005654}; nucleus {GO:0005634}</t>
  </si>
  <si>
    <t>enzyme binding {GO:0019899}; protein homodimerization activity {GO:0042803}; protein-disulfide reductase (NAD(P)) activity {GO:0047134}; protein-disulfide reductase activity {GO:0015035}</t>
  </si>
  <si>
    <t>Oxidative Stress Induced Senescence {R-MMU-2559580}; Detoxification of Reactive Oxygen Species {R-MMU-3299685}; Interconversion of nucleotide di- and triphosphates {R-MMU-499943}; TP53 Regulates Metabolic Genes {R-MMU-5628897}; Protein repair {R-MMU-5676934}; The NLRP3 inflammasome {R-MMU-844456}</t>
  </si>
  <si>
    <t>sp|Q9DCX2|ATP5H_MOUSE</t>
  </si>
  <si>
    <t>ATP synthase subunit d, mitochondrial (ATPase subunit d)</t>
  </si>
  <si>
    <t>ATP synthase peripheral stalk subunit d</t>
  </si>
  <si>
    <t>ATP5H_MOUSE</t>
  </si>
  <si>
    <t>Q9DCX2</t>
  </si>
  <si>
    <t>B1ASE1; Q542H1; Q7M0I0; Q91YK9</t>
  </si>
  <si>
    <t>Atp5h</t>
  </si>
  <si>
    <t>MGI:1918929</t>
  </si>
  <si>
    <t>Acetylation; CF(0); Hydrogen ion transport; Ion transport; Membrane; Mitochondrion; Mitochondrion inner membrane; Transport</t>
  </si>
  <si>
    <t>Hydrogen ion transport; Ion transport; Transport</t>
  </si>
  <si>
    <t>CF(0); Membrane; Mitochondrion; Mitochondrion inner membrane</t>
  </si>
  <si>
    <t>ATP metabolic process {GO:0046034}; proton motive force-driven ATP synthesis {GO:0015986}; proton motive force-driven mitochondrial ATP synthesis {GO:0042776}</t>
  </si>
  <si>
    <t>mitochondrial inner membrane {GO:0005743}; mitochondrial proton-transporting ATP synthase complex {GO:0005753}; mitochondrial proton-transporting ATP synthase complex, coupling factor F(o) {GO:0000276}; mitochondrial proton-transporting ATP synthase, stator stalk {GO:0000274}; mitochondrion {GO:0005739}; myelin sheath {GO:0043209}</t>
  </si>
  <si>
    <t>protein-containing complex binding {GO:0044877}; proton-transporting ATP synthase activity, rotational mechanism {GO:0046933}</t>
  </si>
  <si>
    <t>sp|Q99PL5|RRBP1_MOUSE</t>
  </si>
  <si>
    <t>Ribosome-binding protein 1</t>
  </si>
  <si>
    <t>Ribosome receptor protein (RRp; mRRp)</t>
  </si>
  <si>
    <t>RRBP1_MOUSE</t>
  </si>
  <si>
    <t>Q99PL5</t>
  </si>
  <si>
    <t>A2AVJ8; Q99PK5; Q99PK6; Q99PK7; Q99PK8; Q99PK9; Q99PL0; Q99PL1; Q99PL2; Q99PL3; Q99PL4; Q9CS20</t>
  </si>
  <si>
    <t>MGI:1932395</t>
  </si>
  <si>
    <t>Acetylation; Alternative splicing; Endoplasmic reticulum; Isopeptide bond; Membrane; Phosphoprotein; Protein transport; Repeat; Translocation; Transmembrane; Transmembrane helix; Transport; Ubl conjugation</t>
  </si>
  <si>
    <t>Protein transport; Translocation; Transport</t>
  </si>
  <si>
    <t>protein transport {GO:0015031}; signal transduction {GO:0007165}</t>
  </si>
  <si>
    <t>endoplasmic reticulum {GO:0005783}; integral component of endoplasmic reticulum membrane {GO:0030176}</t>
  </si>
  <si>
    <t>sp|P26638|SYSC_MOUSE</t>
  </si>
  <si>
    <t>Serine--tRNA ligase, cytoplasmic</t>
  </si>
  <si>
    <t>Seryl-tRNA synthetase (SerRS); Seryl-tRNA(Ser/Sec) synthetase</t>
  </si>
  <si>
    <t>SYSC_MOUSE</t>
  </si>
  <si>
    <t>P26638</t>
  </si>
  <si>
    <t>A2AFR8</t>
  </si>
  <si>
    <t>Sars; Sers</t>
  </si>
  <si>
    <t>MGI:102809</t>
  </si>
  <si>
    <t>Acetylation; Aminoacyl-tRNA synthetase; ATP-binding; Cytoplasm; DNA-binding; Ligase; Nucleotide-binding; Nucleus; Phosphoprotein; Protein biosynthesis</t>
  </si>
  <si>
    <t>Aminoacyl-tRNA synthetase; DNA-binding; Ligase</t>
  </si>
  <si>
    <t>negative regulation of angiogenesis {GO:0016525}; negative regulation of transcription by RNA polymerase II {GO:0000122}; negative regulation of vascular endothelial growth factor production {GO:1904046}; selenocysteinyl-tRNA(Sec) biosynthetic process {GO:0097056}; seryl-tRNA aminoacylation {GO:0006434}</t>
  </si>
  <si>
    <t>ATP binding {GO:0005524}; enzyme binding {GO:0019899}; protein homodimerization activity {GO:0042803}; RNA polymerase II cis-regulatory region sequence-specific DNA binding {GO:0000978}; serine-tRNA ligase activity {GO:0004828}; tRNA binding {GO:0000049}</t>
  </si>
  <si>
    <t>Aminoacyl-tRNA biosynthesis; selenocysteinyl-tRNA(Sec) biosynthesis; L-seryl-tRNA(Sec) from L-serine and tRNA(Sec): step 1/1.</t>
  </si>
  <si>
    <t>sp|Q8BMJ2|SYLC_MOUSE</t>
  </si>
  <si>
    <t>Leucine--tRNA ligase, cytoplasmic</t>
  </si>
  <si>
    <t>Leucyl-tRNA synthetase (LeuRS)</t>
  </si>
  <si>
    <t>SYLC_MOUSE</t>
  </si>
  <si>
    <t>Q8BMJ2</t>
  </si>
  <si>
    <t>Q8BKW9</t>
  </si>
  <si>
    <t>Lars</t>
  </si>
  <si>
    <t>MGI:1913808</t>
  </si>
  <si>
    <t>cellular response to amino acid starvation {GO:0034198}; cellular response to amino acid stimulus {GO:0071230}; cellular response to leucine {GO:0071233}; cellular response to leucine starvation {GO:1990253}; glutaminyl-tRNA aminoacylation {GO:0006425}; leucyl-tRNA aminoacylation {GO:0006429}; positive regulation of GTPase activity {GO:0043547}; positive regulation of TOR signaling {GO:0032008}; positive regulation of TORC1 signaling {GO:1904263}; regulation of cell size {GO:0008361}</t>
  </si>
  <si>
    <t>aminoacyl-tRNA synthetase multienzyme complex {GO:0017101}; cytoplasm {GO:0005737}; cytosol {GO:0005829}; endomembrane system {GO:0012505}; endoplasmic reticulum {GO:0005783}; lysosome {GO:0005764}; nuclear body {GO:0016604}</t>
  </si>
  <si>
    <t>aminoacyl-tRNA editing activity {GO:0002161}; ATP binding {GO:0005524}; glutamine-tRNA ligase activity {GO:0004819}; GTPase activator activity {GO:0005096}; leucine-tRNA ligase activity {GO:0004823}</t>
  </si>
  <si>
    <t>sp|P49722|PSA2_MOUSE</t>
  </si>
  <si>
    <t>Proteasome subunit alpha type-2</t>
  </si>
  <si>
    <t>Macropain subunit C3; Multicatalytic endopeptidase complex subunit C3; Proteasome component C3</t>
  </si>
  <si>
    <t>PSA2_MOUSE</t>
  </si>
  <si>
    <t>P49722</t>
  </si>
  <si>
    <t>E9Q3A4; Q6ZWV8</t>
  </si>
  <si>
    <t>Lmpc3</t>
  </si>
  <si>
    <t>MGI:104885</t>
  </si>
  <si>
    <t>proteasomal protein catabolic process {GO:0010498}; response to virus {GO:0009615}; ubiquitin-dependent protein catabolic process {GO:0006511}</t>
  </si>
  <si>
    <t>cytoplasm {GO:0005737}; cytosol {GO:0005829}; nucleoplasm {GO:0005654}; nucleus {GO:0005634}; P-body {GO:0000932}; proteasome complex {GO:0000502}; proteasome core complex {GO:0005839}; proteasome core complex, alpha-subunit complex {GO:0019773}</t>
  </si>
  <si>
    <t>sp|Q8BHN3|GANAB_MOUSE</t>
  </si>
  <si>
    <t>Neutral alpha-glucosidase AB</t>
  </si>
  <si>
    <t>Alpha-glucosidase 2; Glucosidase II subunit alpha</t>
  </si>
  <si>
    <t>GANAB_MOUSE</t>
  </si>
  <si>
    <t>Q8BHN3</t>
  </si>
  <si>
    <t>O08794; Q149A6; Q80U81; Q9CS53</t>
  </si>
  <si>
    <t>MGI:1097667</t>
  </si>
  <si>
    <t>3D-structure; Alternative splicing; Disulfide bond; Endoplasmic reticulum; Glycoprotein; Glycosidase; Golgi apparatus; Hydrolase; Phosphoprotein; Signal</t>
  </si>
  <si>
    <t>Endoplasmic reticulum; Golgi apparatus</t>
  </si>
  <si>
    <t>Glycosidase; Hydrolase</t>
  </si>
  <si>
    <t>carbohydrate metabolic process {GO:0005975}; N-glycan processing {GO:0006491}</t>
  </si>
  <si>
    <t>endoplasmic reticulum {GO:0005783}; glucosidase II complex {GO:0017177}; Golgi apparatus {GO:0005794}; intracellular membrane-bounded organelle {GO:0043231}; melanosome {GO:0042470}</t>
  </si>
  <si>
    <t>alpha-glucosidase activity {GO:0090599}; carbohydrate binding {GO:0030246}; glucan 1,3-alpha-glucosidase activity {GO:0033919}; glucosidase activity {GO:0015926}; hydrolase activity, hydrolyzing O-glycosyl compounds {GO:0004553}</t>
  </si>
  <si>
    <t>Glycan metabolism; N-glycan metabolism.</t>
  </si>
  <si>
    <t>sp|P02468|LAMC1_MOUSE</t>
  </si>
  <si>
    <t>Laminin subunit gamma-1</t>
  </si>
  <si>
    <t>Laminin B2 chain; Laminin-1 subunit gamma; Laminin-10 subunit gamma; Laminin-11 subunit gamma; Laminin-2 subunit gamma; Laminin-3 subunit gamma; Laminin-4 subunit gamma; Laminin-6 subunit gamma; Laminin-7 subunit gamma; Laminin-8 subunit gamma; Laminin-9 subunit gamma; S-laminin subunit gamma (S-LAM gamma)</t>
  </si>
  <si>
    <t>LAMC1_MOUSE</t>
  </si>
  <si>
    <t>P02468</t>
  </si>
  <si>
    <t>Lamb-2; Lamc-1</t>
  </si>
  <si>
    <t>MGI:99914</t>
  </si>
  <si>
    <t>animal organ morphogenesis {GO:0009887}; cell adhesion {GO:0007155}; cell migration {GO:0016477}; chromatin organization {GO:0006325}; extracellular matrix disassembly {GO:0022617}; gene expression {GO:0010467}; hair cell differentiation {GO:0035315}; hair follicle cell proliferation {GO:0071335}; hair follicle morphogenesis {GO:0031069}; hemidesmosome assembly {GO:0031581}; neuron projection development {GO:0031175}; positive regulation of cell adhesion {GO:0045785}; positive regulation of integrin-mediated signaling pathway {GO:2001046}; positive regulation of muscle cell differentiation {GO:0051149}; protein-containing complex assembly {GO:0065003}; regulation of basement membrane organization {GO:0110011}; substrate adhesion-dependent cell spreading {GO:0034446}; tissue development {GO:0009888}; tissue morphogenesis {GO:0048729}</t>
  </si>
  <si>
    <t>basement membrane {GO:0005604}; collagen-containing extracellular matrix {GO:0062023}; extracellular matrix {GO:0031012}; extracellular region {GO:0005576}; laminin-1 complex {GO:0005606}; laminin-10 complex {GO:0043259}; neuromuscular junction {GO:0031594}; protein complex involved in cell-matrix adhesion {GO:0098637}; synaptic cleft {GO:0043083}</t>
  </si>
  <si>
    <t>extracellular matrix structural constituent {GO:0005201}; glycosphingolipid binding {GO:0043208}</t>
  </si>
  <si>
    <t>sp|P19157|GSTP1_MOUSE</t>
  </si>
  <si>
    <t>Glutathione S-transferase P 1 (Gst P1)</t>
  </si>
  <si>
    <t>GST YF-YF; GST class-pi; GST-piB; Preadipocyte growth factor</t>
  </si>
  <si>
    <t>GSTP1_MOUSE</t>
  </si>
  <si>
    <t>P19157</t>
  </si>
  <si>
    <t>Q8BNY4</t>
  </si>
  <si>
    <t>Gstpib</t>
  </si>
  <si>
    <t>MGI:95865</t>
  </si>
  <si>
    <t>3D-structure; Acetylation; Cytoplasm; Lipid metabolism; Mitochondrion; Nucleus; Phosphoprotein; Transferase</t>
  </si>
  <si>
    <t>animal organ regeneration {GO:0031100}; cellular response to cell-matrix adhesion {GO:0071460}; cellular response to epidermal growth factor stimulus {GO:0071364}; cellular response to glucocorticoid stimulus {GO:0071385}; cellular response to insulin stimulus {GO:0032869}; cellular response to lipopolysaccharide {GO:0071222}; common myeloid progenitor cell proliferation {GO:0035726}; glutathione derivative biosynthetic process {GO:1901687}; glutathione metabolic process {GO:0006749}; hepoxilin biosynthetic process {GO:0051122}; linoleic acid metabolic process {GO:0043651}; negative regulation of acute inflammatory response {GO:0002674}; negative regulation of apoptotic process {GO:0043066}; negative regulation of biosynthetic process {GO:0009890}; negative regulation of ERK1 and ERK2 cascade {GO:0070373}; negative regulation of extrinsic apoptotic signaling pathway {GO:2001237}; negative regulation of fibroblast proliferation {GO:0048147}; negative regulation of I-kappaB kinase/NF-kappaB signaling {GO:0043124}; negative regulation of interleukin-1 beta production {GO:0032691}; negative regulation of JUN kinase activity {GO:0043508}; negative regulation of leukocyte proliferation {GO:0070664}; negative regulation of MAP kinase activity {GO:0043407}; negative regulation of monocyte chemotactic protein-1 production {GO:0071638}; negative regulation of neutrophil aggregation {GO:2000429}; negative regulation of nitric-oxide synthase biosynthetic process {GO:0051771}; negative regulation of peroxidase activity {GO:2000469}; negative regulation of protein kinase activity {GO:0006469}; negative regulation of smooth muscle cell chemotaxis {GO:0071672}; negative regulation of stress-activated MAPK cascade {GO:0032873}; negative regulation of tumor necrosis factor production {GO:0032720}; negative regulation of vascular associated smooth muscle cell proliferation {GO:1904706}; oligodendrocyte development {GO:0014003}; positive regulation of superoxide anion generation {GO:0032930}; prostaglandin metabolic process {GO:0006693}; regulation of ERK1 and ERK2 cascade {GO:0070372}; regulation of stress-activated MAPK cascade {GO:0032872}; response to amino acid {GO:0043200}; response to estradiol {GO:0032355}; response to ethanol {GO:0045471}; response to L-ascorbic acid {GO:0033591}; response to nutrient levels {GO:0031667}; response to reactive oxygen species {GO:0000302}; response to toxic substance {GO:0009636}; xenobiotic metabolic process {GO:0006805}</t>
  </si>
  <si>
    <t>cytoplasm {GO:0005737}; cytosol {GO:0005829}; mitochondrion {GO:0005739}; nucleus {GO:0005634}; plasma membrane {GO:0005886}; protein-containing complex {GO:0032991}; TRAF2-GSTP1 complex {GO:0097057}</t>
  </si>
  <si>
    <t>dinitrosyl-iron complex binding {GO:0035731}; fatty acid binding {GO:0005504}; glutathione peroxidase activity {GO:0004602}; glutathione transferase activity {GO:0004364}; JUN kinase binding {GO:0008432}; kinase regulator activity {GO:0019207}; organic cyclic compound binding {GO:0097159}; protein kinase binding {GO:0019901}; S-nitrosoglutathione binding {GO:0035730}; toxic substance binding {GO:0015643}</t>
  </si>
  <si>
    <t>Glutathione conjugation {R-MMU-156590}; Detoxification of Reactive Oxygen Species {R-MMU-3299685}; Neutrophil degranulation {R-MMU-6798695}; Paracetamol ADME {R-MMU-9753281}</t>
  </si>
  <si>
    <t>sp|Q64737|PUR2_MOUSE</t>
  </si>
  <si>
    <t>Phosphoribosylglycinamide formyltransferase</t>
  </si>
  <si>
    <t>Glycinamide ribonucleotide synthetase (GARS); Phosphoribosylglycinamide synthetase; AIR synthase (AIRS); Phosphoribosyl-aminoimidazole synthetase; 5'-phosphoribosylglycinamide transformylase; GAR transformylase (GART)</t>
  </si>
  <si>
    <t>PUR2_MOUSE</t>
  </si>
  <si>
    <t>Q64737</t>
  </si>
  <si>
    <t>Q3TGI3; Q6NS48</t>
  </si>
  <si>
    <t>MGI:95654</t>
  </si>
  <si>
    <t>Acetylation; Alternative splicing; ATP-binding; Ligase; Magnesium; Manganese; Metal-binding; Multifunctional enzyme; Nucleotide-binding; Phosphoprotein; Purine biosynthesis; Transferase</t>
  </si>
  <si>
    <t>ATP-binding; Magnesium; Manganese; Metal-binding; Nucleotide-binding</t>
  </si>
  <si>
    <t>Ligase; Multifunctional enzyme; Transferase</t>
  </si>
  <si>
    <t>'de novo' AMP biosynthetic process {GO:0044208}; 'de novo' IMP biosynthetic process {GO:0006189}; 'de novo' XMP biosynthetic process {GO:0097294}; adenine biosynthetic process {GO:0046084}; brainstem development {GO:0003360}; cerebellum development {GO:0021549}; cerebral cortex development {GO:0021987}; glycine metabolic process {GO:0006544}; GMP biosynthetic process {GO:0006177}; purine nucleotide biosynthetic process {GO:0006164}; response to inorganic substance {GO:0010035}; response to organic substance {GO:0010033}; ribonucleoside monophosphate biosynthetic process {GO:0009156}; tetrahydrofolate biosynthetic process {GO:0046654}</t>
  </si>
  <si>
    <t>ATP binding {GO:0005524}; metal ion binding {GO:0046872}; phosphoribosylamine-glycine ligase activity {GO:0004637}; phosphoribosylformylglycinamidine cyclo-ligase activity {GO:0004641}; phosphoribosylglycinamide formyltransferase activity {GO:0004644}</t>
  </si>
  <si>
    <t>Purine metabolism; IMP biosynthesis via de novo pathway; N(2)- formyl-N(1)-(5-phospho-D-ribosyl)glycinamide from N(1)-(5-phospho-D- ribosyl)glycinamide (10-formyl THF route): step 1/1.</t>
  </si>
  <si>
    <t>sp|Q9CQE8|RTRAF_MOUSE</t>
  </si>
  <si>
    <t>RNA transcription, translation and transport factor protein</t>
  </si>
  <si>
    <t>RTRAF_MOUSE</t>
  </si>
  <si>
    <t>Q9CQE8</t>
  </si>
  <si>
    <t>MGI:1915295</t>
  </si>
  <si>
    <t>Acetylation; Cytoplasm; Cytoskeleton; Nucleus; RNA-binding; Transcription; Transcription regulation</t>
  </si>
  <si>
    <t>negative regulation of protein kinase activity {GO:0006469}; positive regulation of transcription by RNA polymerase II {GO:0045944}; tRNA splicing, via endonucleolytic cleavage and ligation {GO:0006388}</t>
  </si>
  <si>
    <t>centrosome {GO:0005813}; cytoplasm {GO:0005737}; cytosol {GO:0005829}; mitotic spindle {GO:0072686}; nucleoplasm {GO:0005654}; nucleus {GO:0005634}; perinuclear region of cytoplasm {GO:0048471}; tRNA-splicing ligase complex {GO:0072669}</t>
  </si>
  <si>
    <t>identical protein binding {GO:0042802}; RNA binding {GO:0003723}; RNA polymerase II complex binding {GO:0000993}</t>
  </si>
  <si>
    <t>tr|E9PVZ8|E9PVZ8_MOUSE</t>
  </si>
  <si>
    <t>sp|Q99KC8|VMA5A_MOUSE</t>
  </si>
  <si>
    <t>von Willebrand factor A domain-containing protein 5A</t>
  </si>
  <si>
    <t>Loss of heterozygosity 11 chromosomal region 2 gene A protein homolog</t>
  </si>
  <si>
    <t>VMA5A_MOUSE</t>
  </si>
  <si>
    <t>Q99KC8</t>
  </si>
  <si>
    <t>Q3TTU2; Q3UVU1; Q3V3F2; Q6UN22; Q8BHA8; Q9CTV9</t>
  </si>
  <si>
    <t>Loh11cr2a</t>
  </si>
  <si>
    <t>MGI:1915026</t>
  </si>
  <si>
    <t>Phosphoprotein; Tumor suppressor</t>
  </si>
  <si>
    <t>collagen-containing extracellular matrix {GO:0062023}; nucleoplasm {GO:0005654}</t>
  </si>
  <si>
    <t>sp|Q99LF4|RTCB_MOUSE</t>
  </si>
  <si>
    <t>RNA-splicing ligase RtcB homolog</t>
  </si>
  <si>
    <t>3'-phosphate/5'-hydroxy nucleic acid ligase; Focal adhesion-associated protein (FAAP)</t>
  </si>
  <si>
    <t>RTCB_MOUSE</t>
  </si>
  <si>
    <t>Q99LF4</t>
  </si>
  <si>
    <t>Q3TA04; Q3TI25; Q3UDW6</t>
  </si>
  <si>
    <t>D10Wsu52e</t>
  </si>
  <si>
    <t>MGI:106379</t>
  </si>
  <si>
    <t>Cytoplasm; GTP-binding; Isopeptide bond; Ligase; Manganese; Metal-binding; Nucleotide-binding; Nucleus; Phosphoprotein; tRNA processing; Ubl conjugation</t>
  </si>
  <si>
    <t>tRNA processing</t>
  </si>
  <si>
    <t>GTP-binding; Manganese; Metal-binding; Nucleotide-binding</t>
  </si>
  <si>
    <t>in utero embryonic development {GO:0001701}; placenta development {GO:0001890}; tRNA exon ligation utilizing 2',3' cyclic phosphate of 5'-exon as source of linkage phosphate {GO:0000971}; tRNA splicing, via endonucleolytic cleavage and ligation {GO:0006388}</t>
  </si>
  <si>
    <t>cytoplasm {GO:0005737}; cytosol {GO:0005829}; endoplasmic reticulum membrane {GO:0005789}; intracellular membrane-bounded organelle {GO:0043231}; nuclear envelope {GO:0005635}; nucleoplasm {GO:0005654}; nucleus {GO:0005634}; tRNA-splicing ligase complex {GO:0072669}</t>
  </si>
  <si>
    <t>GTP binding {GO:0005525}; metal ion binding {GO:0046872}; RNA ligase (ATP) activity {GO:0003972}; vinculin binding {GO:0017166}</t>
  </si>
  <si>
    <t>tr|E9QA15|E9QA15_MOUSE</t>
  </si>
  <si>
    <t>sp|P51881|ADT2_MOUSE</t>
  </si>
  <si>
    <t>ADP/ATP translocase 2, N-terminally processed</t>
  </si>
  <si>
    <t>ADP,ATP carrier protein 2; Adenine nucleotide translocator 2 (ANT 2); Solute carrier family 25 member 5</t>
  </si>
  <si>
    <t>ADT2_MOUSE</t>
  </si>
  <si>
    <t>P51881</t>
  </si>
  <si>
    <t>Q61311</t>
  </si>
  <si>
    <t>MGI:1353496</t>
  </si>
  <si>
    <t>Acetylation; Antiport; Chromosome partition; Membrane; Methylation; Mitochondrion; Mitochondrion inner membrane; Phosphoprotein; Repeat; Transmembrane; Transmembrane helix; Transport</t>
  </si>
  <si>
    <t>Antiport; Chromosome partition; Transport</t>
  </si>
  <si>
    <t>adaptive thermogenesis {GO:1990845}; adenine nucleotide transport {GO:0051503}; B cell differentiation {GO:0030183}; cellular response to leukemia inhibitory factor {GO:1990830}; chromosome segregation {GO:0007059}; erythrocyte differentiation {GO:0030218}; mitochondrial ADP transmembrane transport {GO:0140021}; mitochondrial ATP transmembrane transport {GO:1990544}; negative regulation of mitochondrial outer membrane permeabilization involved in apoptotic signaling pathway {GO:1901029}; positive regulation of cell population proliferation {GO:0008284}; positive regulation of mitophagy {GO:1901526}; regulation of mitochondrial membrane permeability {GO:0046902}</t>
  </si>
  <si>
    <t>membrane {GO:0016020}; membrane raft {GO:0045121}; mitochondrial inner membrane {GO:0005743}; mitochondrial nucleoid {GO:0042645}; mitochondrial permeability transition pore complex {GO:0005757}; mitochondrion {GO:0005739}; MMXD complex {GO:0071817}; myelin sheath {GO:0043209}</t>
  </si>
  <si>
    <t>adenine nucleotide transmembrane transporter activity {GO:0000295}; ATP:ADP antiporter activity {GO:0005471}; oxidative phosphorylation uncoupler activity {GO:0017077}; proton transmembrane transporter activity {GO:0015078}; ubiquitin protein ligase binding {GO:0031625}</t>
  </si>
  <si>
    <t>Transport of nucleosides and free purine and pyrimidine bases across the plasma membrane {R-MMU-83936}</t>
  </si>
  <si>
    <t>sp|Q9CQM9|GLRX3_MOUSE</t>
  </si>
  <si>
    <t>Glutaredoxin-3</t>
  </si>
  <si>
    <t>PKC-interacting cousin of thioredoxin (PICOT); PKC-theta-interacting protein (PKCq-interacting protein); Thioredoxin-like protein 2</t>
  </si>
  <si>
    <t>GLRX3_MOUSE</t>
  </si>
  <si>
    <t>Q9CQM9</t>
  </si>
  <si>
    <t>Q5I0V8; Q9JLZ2</t>
  </si>
  <si>
    <t>Picot; Txnl2</t>
  </si>
  <si>
    <t>MGI:1353653</t>
  </si>
  <si>
    <t>3D-structure; Acetylation; Cytoplasm; Iron; Iron-sulfur; Metal-binding; Phosphoprotein; Repeat</t>
  </si>
  <si>
    <t>Iron; Iron-sulfur; Metal-binding</t>
  </si>
  <si>
    <t>[2Fe-2S] cluster assembly {GO:0044571}; cell redox homeostasis {GO:0045454}; cellular iron ion homeostasis {GO:0006879}; iron ion homeostasis {GO:0055072}; iron-sulfur cluster assembly {GO:0016226}; negative regulation of cardiac muscle hypertrophy {GO:0010614}; protein maturation by iron-sulfur cluster transfer {GO:0097428}; regulation of the force of heart contraction {GO:0002026}</t>
  </si>
  <si>
    <t>cell cortex {GO:0005938}; cytosol {GO:0005829}; dendrite {GO:0030425}; iron-sulfur cluster assembly complex {GO:1990229}; nucleus {GO:0005634}; Z disc {GO:0030018}</t>
  </si>
  <si>
    <t>glutathione oxidoreductase activity {GO:0097573}; identical protein binding {GO:0042802}; iron-sulfur cluster binding {GO:0051536}; metal ion binding {GO:0046872}; protein kinase C binding {GO:0005080}</t>
  </si>
  <si>
    <t>sp|P31786|ACBP_MOUSE</t>
  </si>
  <si>
    <t>Acyl-CoA-binding protein (ACBP)</t>
  </si>
  <si>
    <t>Diazepam-binding inhibitor (DBI); Endozepine (EP)</t>
  </si>
  <si>
    <t>ACBP_MOUSE</t>
  </si>
  <si>
    <t>P31786</t>
  </si>
  <si>
    <t>MGI:94865</t>
  </si>
  <si>
    <t>Acetylation; Endoplasmic reticulum; Golgi apparatus; Hydroxylation; Lipid-binding; Phosphoprotein; Transport</t>
  </si>
  <si>
    <t>Transport</t>
  </si>
  <si>
    <t>behavioral fear response {GO:0001662}; fatty acid metabolic process {GO:0006631}; glial cell proliferation {GO:0014009}; hair follicle development {GO:0001942}; lateral ventricle development {GO:0021670}; learning or memory {GO:0007611}; long-term synaptic potentiation {GO:0060291}; negative regulation of fatty acid beta-oxidation {GO:0031999}; negative regulation of protein lipidation {GO:1903060}; phosphatidylcholine acyl-chain remodeling {GO:0036151}; positive regulation of CoA-transferase activity {GO:1905920}; positive regulation of lipid biosynthetic process {GO:0046889}; positive regulation of phospholipid transport {GO:2001140}; positive regulation of release of sequestered calcium ion into cytosol {GO:0051281}; regulation of synaptic transmission, GABAergic {GO:0032228}; skin development {GO:0043588}; triglyceride metabolic process {GO:0006641}</t>
  </si>
  <si>
    <t>contractile fiber {GO:0043292}; cytoplasm {GO:0005737}; endoplasmic reticulum {GO:0005783}; extracellular space {GO:0005615}; Golgi apparatus {GO:0005794}; mitochondrion {GO:0005739}; nucleus {GO:0005634}; perinuclear endoplasmic reticulum {GO:0097038}; plasma membrane {GO:0005886}; protein-lipid complex {GO:0032994}; synaptic vesicle {GO:0008021}</t>
  </si>
  <si>
    <t>benzodiazepine receptor binding {GO:0030156}; fatty-acyl-CoA binding {GO:0000062}; identical protein binding {GO:0042802}; long-chain fatty acyl-CoA binding {GO:0036042}</t>
  </si>
  <si>
    <t>Mitochondrial Fatty Acid Beta-Oxidation {R-MMU-77289}</t>
  </si>
  <si>
    <t>sp|P16045|LEG1_MOUSE</t>
  </si>
  <si>
    <t>Galectin-1 (Gal-1)</t>
  </si>
  <si>
    <t>14 kDa lectin; Beta-galactoside-binding lectin L-14-I; Galaptin; Lactose-binding lectin 1; Lectin galactoside-binding soluble 1; S-Lac lectin 1</t>
  </si>
  <si>
    <t>LEG1_MOUSE</t>
  </si>
  <si>
    <t>P16045</t>
  </si>
  <si>
    <t>P05163; P11946; P17601; Q4FZH4; Q99M27; Q9D0X0</t>
  </si>
  <si>
    <t>Gbp</t>
  </si>
  <si>
    <t>MGI:96777</t>
  </si>
  <si>
    <t>3D-structure; Acetylation; Apoptosis; Cytoplasm; Extracellular matrix; Lectin; Phosphoprotein; Secreted</t>
  </si>
  <si>
    <t>Cytoplasm; Extracellular matrix; Secreted</t>
  </si>
  <si>
    <t>Lectin</t>
  </si>
  <si>
    <t>apoptotic process {GO:0006915}; cell-cell adhesion {GO:0098609}; heterophilic cell-cell adhesion via plasma membrane cell adhesion molecules {GO:0007157}; myoblast differentiation {GO:0045445}; negative regulation of cell-substrate adhesion {GO:0010812}; negative regulation of neuron projection development {GO:0010977}; plasma cell differentiation {GO:0002317}; positive regulation of apoptotic process {GO:0043065}; positive regulation of erythrocyte aggregation {GO:0034120}; positive regulation of inflammatory response {GO:0050729}; positive regulation of viral entry into host cell {GO:0046598}; T cell costimulation {GO:0031295}</t>
  </si>
  <si>
    <t>cell surface {GO:0009986}; collagen-containing extracellular matrix {GO:0062023}; cytoplasm {GO:0005737}; cytosol {GO:0005829}; extracellular region {GO:0005576}; extracellular space {GO:0005615}; galectin complex {GO:1990724}; nucleus {GO:0005634}</t>
  </si>
  <si>
    <t>carbohydrate binding {GO:0030246}; galactose binding {GO:0005534}; identical protein binding {GO:0042802}; lactose binding {GO:0030395}; laminin binding {GO:0043236}</t>
  </si>
  <si>
    <t>sp|Q9D7X8|GGCT_MOUSE</t>
  </si>
  <si>
    <t>Gamma-glutamylcyclotransferase</t>
  </si>
  <si>
    <t>GGCT_MOUSE</t>
  </si>
  <si>
    <t>Q9D7X8</t>
  </si>
  <si>
    <t>Q3URJ2; Q66JQ5</t>
  </si>
  <si>
    <t>MGI:95700</t>
  </si>
  <si>
    <t>Lyase; Phosphoprotein</t>
  </si>
  <si>
    <t>release of cytochrome c from mitochondria {GO:0001836}</t>
  </si>
  <si>
    <t>gamma-glutamylcyclotransferase activity {GO:0003839}; protein homodimerization activity {GO:0042803}</t>
  </si>
  <si>
    <t>sp|Q99MN1|SYK_MOUSE</t>
  </si>
  <si>
    <t>Lysine--tRNA ligase</t>
  </si>
  <si>
    <t>Lysyl-tRNA synthetase (LysRS)</t>
  </si>
  <si>
    <t>SYK_MOUSE</t>
  </si>
  <si>
    <t>Q99MN1</t>
  </si>
  <si>
    <t>MGI:1934754</t>
  </si>
  <si>
    <t>Acetylation; Aminoacyl-tRNA synthetase; ATP-binding; Cell membrane; Cytoplasm; Ligase; Membrane; Nucleotide-binding; Nucleus; Phosphoprotein; Protein biosynthesis; Secreted; Transferase</t>
  </si>
  <si>
    <t>Aminoacyl-tRNA synthetase; Ligase; Transferase</t>
  </si>
  <si>
    <t>basophil activation involved in immune response {GO:0002276}; diadenosine tetraphosphate biosynthetic process {GO:0015966}; ERK1 and ERK2 cascade {GO:0070371}; lysyl-tRNA aminoacylation {GO:0006430}; positive regulation of DNA-templated transcription {GO:0045893}; positive regulation of inflammatory response to antigenic stimulus {GO:0002863}; positive regulation of macrophage activation {GO:0043032}; response to X-ray {GO:0010165}</t>
  </si>
  <si>
    <t>aminoacyl-tRNA synthetase multienzyme complex {GO:0017101}; cytoplasm {GO:0005737}; cytosol {GO:0005829}; extracellular space {GO:0005615}; mitochondrion {GO:0005739}; nucleus {GO:0005634}; plasma membrane {GO:0005886}</t>
  </si>
  <si>
    <t>amino acid binding {GO:0016597}; ATP adenylyltransferase activity {GO:0003877}; ATP binding {GO:0005524}; identical protein binding {GO:0042802}; lysine-tRNA ligase activity {GO:0004824}; protein homodimerization activity {GO:0042803}; scaffold protein binding {GO:0097110}; tRNA binding {GO:0000049}</t>
  </si>
  <si>
    <t>sp|Q9D1U0|GRIFN_MOUSE</t>
  </si>
  <si>
    <t>Grifin</t>
  </si>
  <si>
    <t>Galectin-related inter-fiber protein</t>
  </si>
  <si>
    <t>GRIFN_MOUSE</t>
  </si>
  <si>
    <t>Q9D1U0</t>
  </si>
  <si>
    <t>MGI:1925248</t>
  </si>
  <si>
    <t>Lectin; Phosphoprotein</t>
  </si>
  <si>
    <t>carbohydrate binding {GO:0030246}</t>
  </si>
  <si>
    <t>sp|P48962|ADT1_MOUSE</t>
  </si>
  <si>
    <t>ADP/ATP translocase 1</t>
  </si>
  <si>
    <t>ADP,ATP carrier protein 1; ADP,ATP carrier protein, heart/skeletal muscle isoform T1; Adenine nucleotide translocator 1 (ANT 1); Solute carrier family 25 member 4</t>
  </si>
  <si>
    <t>ADT1_MOUSE</t>
  </si>
  <si>
    <t>P48962</t>
  </si>
  <si>
    <t>Q62164</t>
  </si>
  <si>
    <t>MGI:1353495</t>
  </si>
  <si>
    <t>Acetylation; Antiport; Membrane; Methylation; Mitochondrion; Mitochondrion inner membrane; Phosphoprotein; Repeat; S-nitrosylation; Transmembrane; Transmembrane helix; Transport</t>
  </si>
  <si>
    <t>Antiport; Transport</t>
  </si>
  <si>
    <t>adaptive thermogenesis {GO:1990845}; ADP transport {GO:0015866}; apoptotic mitochondrial changes {GO:0008637}; mitochondrial ADP transmembrane transport {GO:0140021}; mitochondrial ATP transmembrane transport {GO:1990544}; negative regulation of cardiac muscle cell apoptotic process {GO:0010667}; negative regulation of mitochondrial membrane permeability involved in apoptotic process {GO:1902109}; negative regulation of mitochondrial outer membrane permeabilization involved in apoptotic signaling pathway {GO:1901029}; negative regulation of necroptotic process {GO:0060546}; positive regulation of cell growth involved in cardiac muscle cell development {GO:0061051}; positive regulation of mitophagy {GO:1901526}; positive regulation of oxidative phosphorylation uncoupler activity {GO:2000277}; regulation of mitochondrial membrane permeability {GO:0046902}</t>
  </si>
  <si>
    <t>integral component of mitochondrial membrane {GO:0032592}; membrane {GO:0016020}; membrane raft {GO:0045121}; mitochondrial inner membrane {GO:0005743}; mitochondrial outer membrane {GO:0005741}; mitochondrial permeability transition pore complex {GO:0005757}; mitochondrion {GO:0005739}; myelin sheath {GO:0043209}</t>
  </si>
  <si>
    <t>ATP:ADP antiporter activity {GO:0005471}; enzyme binding {GO:0019899}; oxidative phosphorylation uncoupler activity {GO:0017077}; proton transmembrane transporter activity {GO:0015078}</t>
  </si>
  <si>
    <t>sp|Q9QUR6|PPCE_MOUSE</t>
  </si>
  <si>
    <t>Prolyl endopeptidase (PE)</t>
  </si>
  <si>
    <t>Post-proline cleaving enzyme</t>
  </si>
  <si>
    <t>PPCE_MOUSE</t>
  </si>
  <si>
    <t>Q9QUR6</t>
  </si>
  <si>
    <t>Q80YS1</t>
  </si>
  <si>
    <t>Pep</t>
  </si>
  <si>
    <t>MGI:1270863</t>
  </si>
  <si>
    <t>Acetylation; Cytoplasm; Hydrolase; Protease; Serine protease</t>
  </si>
  <si>
    <t>Hydrolase; Protease; Serine protease</t>
  </si>
  <si>
    <t>protein catabolic process {GO:0030163}; protein metabolic process {GO:0019538}; proteolysis {GO:0006508}</t>
  </si>
  <si>
    <t>endopeptidase activity {GO:0004175}; oligopeptidase activity {GO:0070012}; peptide binding {GO:0042277}; serine-type endopeptidase activity {GO:0004252}</t>
  </si>
  <si>
    <t>sp|Q64727|VINC_MOUSE</t>
  </si>
  <si>
    <t>Vinculin</t>
  </si>
  <si>
    <t>Metavinculin</t>
  </si>
  <si>
    <t>VINC_MOUSE</t>
  </si>
  <si>
    <t>Q64727</t>
  </si>
  <si>
    <t>Q8BP32; Q8BS46; Q922C5; Q922D9</t>
  </si>
  <si>
    <t>MGI:98927</t>
  </si>
  <si>
    <t>3D-structure; Acetylation; Actin-binding; Cell adhesion; Cell junction; Cell membrane; Cytoplasm; Cytoskeleton; Lipoprotein; Membrane; Palmitate; Phosphoprotein; Repeat</t>
  </si>
  <si>
    <t>adherens junction assembly {GO:0034333}; apical junction assembly {GO:0043297}; axon extension {GO:0048675}; cell adhesion {GO:0007155}; epithelial cell-cell adhesion {GO:0090136}; lamellipodium assembly {GO:0030032}; morphogenesis of an epithelium {GO:0002009}; protein localization to cell surface {GO:0034394}; regulation of cell migration {GO:0030334}; regulation of establishment of endothelial barrier {GO:1903140}; regulation of focal adhesion assembly {GO:0051893}; regulation of protein localization to adherens junction {GO:1904702}</t>
  </si>
  <si>
    <t>actin cytoskeleton {GO:0015629}; actin filament {GO:0005884}; adherens junction {GO:0005912}; brush border {GO:0005903}; cell-cell contact zone {GO:0044291}; cell-cell junction {GO:0005911}; costamere {GO:0043034}; cytoplasm {GO:0005737}; cytoskeleton {GO:0005856}; fascia adherens {GO:0005916}; focal adhesion {GO:0005925}; inner dense plaque of desmosome {GO:0090637}; intercalated disc {GO:0014704}; membrane raft {GO:0045121}; outer dense plaque of desmosome {GO:0090636}; plasma membrane {GO:0005886}; podosome {GO:0002102}; protein-containing complex {GO:0032991}; sarcolemma {GO:0042383}; stress fiber {GO:0001725}; terminal web {GO:1990357}; Z disc {GO:0030018}; zonula adherens {GO:0005915}</t>
  </si>
  <si>
    <t>actin filament binding {GO:0051015}; alpha-catenin binding {GO:0045294}; beta-catenin binding {GO:0008013}; dystroglycan binding {GO:0002162}; small GTPase binding {GO:0031267}; structural molecule activity {GO:0005198}; ubiquitin protein ligase binding {GO:0031625}</t>
  </si>
  <si>
    <t>Platelet degranulation {R-MMU-114608}; Smooth Muscle Contraction {R-MMU-445355}; MAP2K and MAPK activation {R-MMU-5674135}; Neutrophil degranulation {R-MMU-6798695}</t>
  </si>
  <si>
    <t>sp|Q9Z2U0|PSA7_MOUSE</t>
  </si>
  <si>
    <t>Proteasome subunit alpha type-7</t>
  </si>
  <si>
    <t>Proteasome subunit RC6-1</t>
  </si>
  <si>
    <t>PSA7_MOUSE</t>
  </si>
  <si>
    <t>Q9Z2U0</t>
  </si>
  <si>
    <t>MGI:1347070</t>
  </si>
  <si>
    <t>3D-structure; Acetylation; Cytoplasm; Glycoprotein; Nucleus; Phosphoprotein; Proteasome</t>
  </si>
  <si>
    <t>cytoplasm {GO:0005737}; cytosol {GO:0005829}; nucleoplasm {GO:0005654}; nucleus {GO:0005634}; postsynapse {GO:0098794}; proteasome complex {GO:0000502}; proteasome core complex {GO:0005839}; proteasome core complex, alpha-subunit complex {GO:0019773}</t>
  </si>
  <si>
    <t>identical protein binding {GO:0042802}</t>
  </si>
  <si>
    <t>sp|P19536|COX5B_MOUSE</t>
  </si>
  <si>
    <t>Cytochrome c oxidase subunit 5B, mitochondrial</t>
  </si>
  <si>
    <t>Cytochrome c oxidase polypeptide Vb</t>
  </si>
  <si>
    <t>COX5B_MOUSE</t>
  </si>
  <si>
    <t>P19536</t>
  </si>
  <si>
    <t>MGI:88475</t>
  </si>
  <si>
    <t>3D-structure; Acetylation; Membrane; Metal-binding; Mitochondrion; Mitochondrion inner membrane; Transit peptide; Zinc</t>
  </si>
  <si>
    <t>mitochondrial inner membrane {GO:0005743}; mitochondrial membrane {GO:0031966}; mitochondrial respiratory chain complex IV {GO:0005751}; mitochondrion {GO:0005739}; myelin sheath {GO:0043209}</t>
  </si>
  <si>
    <t>metal ion binding {GO:0046872}</t>
  </si>
  <si>
    <t>sp|P61982|1433G_MOUSE</t>
  </si>
  <si>
    <t>14-3-3 protein gamma, N-terminally processed</t>
  </si>
  <si>
    <t>1433G_MOUSE</t>
  </si>
  <si>
    <t>P61982</t>
  </si>
  <si>
    <t>O70457; P35214; Q3UFD6; Q4FK44; Q9UDP2; Q9UN99</t>
  </si>
  <si>
    <t>MGI:108109</t>
  </si>
  <si>
    <t>Acetylation; Cytoplasm; Phosphoprotein</t>
  </si>
  <si>
    <t>cellular response to insulin stimulus {GO:0032869}; protein localization {GO:0008104}; protein targeting {GO:0006605}; regulation of neuron differentiation {GO:0045664}; regulation of synaptic plasticity {GO:0048167}; signal transduction {GO:0007165}</t>
  </si>
  <si>
    <t>cytoplasm {GO:0005737}; cytosol {GO:0005829}; myelin sheath {GO:0043209}; presynapse {GO:0098793}; synapse {GO:0045202}; vesicle {GO:0031982}</t>
  </si>
  <si>
    <t>actin binding {GO:0003779}; identical protein binding {GO:0042802}; insulin-like growth factor receptor binding {GO:0005159}; protein domain specific binding {GO:0019904}; protein kinase C binding {GO:0005080}; receptor tyrosine kinase binding {GO:0030971}</t>
  </si>
  <si>
    <t>Activation of BAD and translocation to mitochondria {R-MMU-111447}; 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RHO GTPases activate PKNs {R-MMU-5625740}; TP53 Regulates Metabolic Genes {R-MMU-5628897}; Chk1/Chk2(Cds1) mediated inactivation of Cyclin B:Cdk1 complex {R-MMU-75035}; AURKA Activation by TPX2 {R-MMU-8854518}; Regulation of localization of FOXO transcription factors {R-MMU-9614399}</t>
  </si>
  <si>
    <t>sp|P33173|KIF1A_MOUSE</t>
  </si>
  <si>
    <t>Kinesin-like protein KIF1A</t>
  </si>
  <si>
    <t>Axonal transporter of synaptic vesicles</t>
  </si>
  <si>
    <t>KIF1A_MOUSE</t>
  </si>
  <si>
    <t>P33173</t>
  </si>
  <si>
    <t>Q61770</t>
  </si>
  <si>
    <t>Atsv; Kif1</t>
  </si>
  <si>
    <t>MGI:108391</t>
  </si>
  <si>
    <t>3D-structure; ATP-binding; Cell projection; Coiled coil; Cytoplasm; Cytoplasmic vesicle; Cytoskeleton; Membrane; Microtubule; Motor protein; Nucleotide-binding; Phosphoprotein; Synapse</t>
  </si>
  <si>
    <t>Cell projection; Cytoplasm; Cytoplasmic vesicle; Cytoskeleton; Membrane; Microtubule; Synapse</t>
  </si>
  <si>
    <t>anterograde axonal transport {GO:0008089}; anterograde neuronal dense core vesicle transport {GO:1990048}; cytoskeleton-dependent intracellular transport {GO:0030705}; dense core granule cytoskeletal transport {GO:0099519}; interkinetic nuclear migration {GO:0022027}; microtubule-based movement {GO:0007018}; protein transport along microtubule {GO:0098840}; regulation of dendritic spine development {GO:0060998}; regulation of dendritic spine morphogenesis {GO:0061001}; retrograde neuronal dense core vesicle transport {GO:1990049}; vesicle-mediated transport {GO:0016192}</t>
  </si>
  <si>
    <t>anchoring junction {GO:0070161}; axon {GO:0030424}; axon cytoplasm {GO:1904115}; cytosol {GO:0005829}; dendrite {GO:0030425}; extrinsic component of neuronal dense core vesicle membrane {GO:0098674}; kinesin complex {GO:0005871}; microtubule {GO:0005874}; neuron projection {GO:0043005}; neuronal cell body {GO:0043025}; neuronal dense core vesicle {GO:0098992}; perinuclear region of cytoplasm {GO:0048471}; postsynapse {GO:0098794}; presynapse {GO:0098793}; protein-containing complex {GO:0032991}; synaptic vesicle {GO:0008021}</t>
  </si>
  <si>
    <t>ATP binding {GO:0005524}; ATP hydrolysis activity {GO:0016887}; identical protein binding {GO:0042802}; microtubule binding {GO:0008017}; microtubule motor activity {GO:0003777}; plus-end-directed microtubule motor activity {GO:0008574}</t>
  </si>
  <si>
    <t>COPI-dependent Golgi-to-ER retrograde traffic {R-MMU-6811434}; Kinesins {R-MMU-983189}</t>
  </si>
  <si>
    <t>sp|Q99MD9|NASP_MOUSE</t>
  </si>
  <si>
    <t>Nuclear autoantigenic sperm protein (NASP)</t>
  </si>
  <si>
    <t>NASP_MOUSE</t>
  </si>
  <si>
    <t>Q99MD9</t>
  </si>
  <si>
    <t>O35499; O88993; Q3V150; Q99KE9</t>
  </si>
  <si>
    <t>MGI:1355328</t>
  </si>
  <si>
    <t>Acetylation; Alternative splicing; Cell cycle; Coiled coil; Cytoplasm; DNA replication; Isopeptide bond; Nucleus; Phosphoprotein; Protein transport; Repeat; TPR repeat; Transport; Ubl conjugation</t>
  </si>
  <si>
    <t>Cell cycle; DNA replication; Protein transport; Transport</t>
  </si>
  <si>
    <t>Coiled coil; Repeat; TPR repeat</t>
  </si>
  <si>
    <t>blastocyst development {GO:0001824}; CENP-A containing chromatin assembly {GO:0034080}; DNA replication {GO:0006260}; DNA replication-dependent chromatin assembly {GO:0006335}; DNA replication-independent chromatin assembly {GO:0006336}; G1/S transition of mitotic cell cycle {GO:0000082}; histone exchange {GO:0043486}; nucleosome assembly {GO:0006334}; protein transport {GO:0015031}</t>
  </si>
  <si>
    <t>chromatin {GO:0000785}; cytoplasm {GO:0005737}; nucleoplasm {GO:0005654}; nucleus {GO:0005634}; protein-containing complex {GO:0032991}</t>
  </si>
  <si>
    <t>histone binding {GO:0042393}; protein-containing complex binding {GO:0044877}</t>
  </si>
  <si>
    <t>sp|Q8BFR5|EFTU_MOUSE</t>
  </si>
  <si>
    <t>Elongation factor Tu, mitochondrial</t>
  </si>
  <si>
    <t>EFTU_MOUSE</t>
  </si>
  <si>
    <t>Q8BFR5</t>
  </si>
  <si>
    <t>Q497E7; Q6P919</t>
  </si>
  <si>
    <t>MGI:1923686</t>
  </si>
  <si>
    <t>Acetylation; Alternative splicing; Elongation factor; GTP-binding; Mitochondrion; Nucleotide-binding; Phosphoprotein; Protein biosynthesis; Transit peptide</t>
  </si>
  <si>
    <t>mitochondrial translational elongation {GO:0070125}; response to ethanol {GO:0045471}; translational elongation {GO:0006414}</t>
  </si>
  <si>
    <t>mitochondrial inner membrane {GO:0005743}; mitochondrial nucleoid {GO:0042645}; mitochondrion {GO:0005739}; myelin sheath {GO:0043209}; synapse {GO:0045202}</t>
  </si>
  <si>
    <t>GTP binding {GO:0005525}; GTPase activity {GO:0003924}; translation elongation factor activity {GO:0003746}</t>
  </si>
  <si>
    <t>sp|Q7TNG5|EMAL2_MOUSE</t>
  </si>
  <si>
    <t>Echinoderm microtubule-associated protein-like 2 (EMAP-2)</t>
  </si>
  <si>
    <t>EMAL2_MOUSE</t>
  </si>
  <si>
    <t>Q7TNG5</t>
  </si>
  <si>
    <t>E9QK48; Q9DAS8</t>
  </si>
  <si>
    <t>MGI:1919455</t>
  </si>
  <si>
    <t>Alternative splicing; Coiled coil; Cytoplasm; Cytoskeleton; Microtubule; Repeat; WD repeat</t>
  </si>
  <si>
    <t>microtubule cytoskeleton organization {GO:0000226}; negative regulation of microtubule polymerization {GO:0031115}; regulation of microtubule nucleation {GO:0010968}</t>
  </si>
  <si>
    <t>cytoplasm {GO:0005737}; microtubule {GO:0005874}; mitotic spindle {GO:0072686}</t>
  </si>
  <si>
    <t>microtubule binding {GO:0008017}; protein C-terminus binding {GO:0008022}; protein self-association {GO:0043621}; signaling receptor binding {GO:0005102}; tubulin binding {GO:0015631}</t>
  </si>
  <si>
    <t>sp|Q8BG32|PSD11_MOUSE</t>
  </si>
  <si>
    <t>26S proteasome non-ATPase regulatory subunit 11</t>
  </si>
  <si>
    <t>26S proteasome regulatory subunit RPN6; 26S proteasome regulatory subunit S9; 26S proteasome regulatory subunit p44.5</t>
  </si>
  <si>
    <t>PSD11_MOUSE</t>
  </si>
  <si>
    <t>Q8BG32</t>
  </si>
  <si>
    <t>MGI:1916327</t>
  </si>
  <si>
    <t>Acetylation; Isopeptide bond; Phosphoprotein; Proteasome; Ubl conjugation</t>
  </si>
  <si>
    <t>proteasome assembly {GO:0043248}; stem cell differentiation {GO:0048863}; ubiquitin-dependent protein catabolic process {GO:0006511}</t>
  </si>
  <si>
    <t>structural molecule activity {GO:0005198}</t>
  </si>
  <si>
    <t>sp|Q99LC5|ETFA_MOUSE</t>
  </si>
  <si>
    <t>Electron transfer flavoprotein subunit alpha, mitochondrial (Alpha-ETF)</t>
  </si>
  <si>
    <t>ETFA_MOUSE</t>
  </si>
  <si>
    <t>Q99LC5</t>
  </si>
  <si>
    <t>Q3THD7; Q3V000; Q4V9X5; Q8BMD3; Q8BMU7</t>
  </si>
  <si>
    <t>MGI:106092</t>
  </si>
  <si>
    <t>Acetylation; Electron transport; FAD; Flavoprotein; Mitochondrion; Phosphoprotein; Transit peptide; Transport</t>
  </si>
  <si>
    <t>Electron transport; Transport</t>
  </si>
  <si>
    <t>FAD; Flavoprotein</t>
  </si>
  <si>
    <t>cellular amino acid catabolic process {GO:0009063}; fatty acid beta-oxidation using acyl-CoA dehydrogenase {GO:0033539}; respiratory electron transport chain {GO:0022904}</t>
  </si>
  <si>
    <t>electron transfer flavoprotein complex {GO:0045251}; mitochondrial electron transfer flavoprotein complex {GO:0017133}; mitochondrial matrix {GO:0005759}; mitochondrion {GO:0005739}</t>
  </si>
  <si>
    <t>electron transfer activity {GO:0009055}; flavin adenine dinucleotide binding {GO:0050660}; oxidoreductase activity {GO:0016491}</t>
  </si>
  <si>
    <t>Respiratory electron transport {R-MMU-611105}</t>
  </si>
  <si>
    <t>sp|Q9CPY7|AMPL_MOUSE</t>
  </si>
  <si>
    <t>Cytosol aminopeptidase</t>
  </si>
  <si>
    <t>Cysteinylglycine-S-conjugate dipeptidase; Leucine aminopeptidase 3 (LAP-3); Leucyl aminopeptidase; Peptidase S; Proline aminopeptidase; Prolyl aminopeptidase</t>
  </si>
  <si>
    <t>AMPL_MOUSE</t>
  </si>
  <si>
    <t>Q9CPY7</t>
  </si>
  <si>
    <t>Q3TFS5; Q4FJV1; Q4FK15; Q99P44; Q9CWN8</t>
  </si>
  <si>
    <t>Lapep</t>
  </si>
  <si>
    <t>MGI:1914238</t>
  </si>
  <si>
    <t>Acetylation; Alternative initiation; Aminopeptidase; Cytoplasm; Hydrolase; Magnesium; Manganese; Metal-binding; Phosphoprotein; Protease; Zinc</t>
  </si>
  <si>
    <t>Magnesium; Manganese; Metal-binding; Zinc</t>
  </si>
  <si>
    <t>proteolysis {GO:0006508}</t>
  </si>
  <si>
    <t>cytoplasm {GO:0005737}; cytosol {GO:0005829}; midbody {GO:0030496}; mitochondrion {GO:0005739}; nucleoplasm {GO:0005654}; trans-Golgi network {GO:0005802}</t>
  </si>
  <si>
    <t>carboxypeptidase activity {GO:0004180}; manganese ion binding {GO:0030145}; metalloaminopeptidase activity {GO:0070006}; peptidase activity {GO:0008233}</t>
  </si>
  <si>
    <t>sp|Q8K1M6|DNM1L_MOUSE</t>
  </si>
  <si>
    <t>Dynamin-1-like protein</t>
  </si>
  <si>
    <t>Dynamin family member proline-rich carboxyl-terminal domain less (Dymple); Dynamin-related protein 1</t>
  </si>
  <si>
    <t>DNM1L_MOUSE</t>
  </si>
  <si>
    <t>Q8K1M6</t>
  </si>
  <si>
    <t>Q8BNQ5; Q8BQ64; Q8CGD0; Q8K1A1</t>
  </si>
  <si>
    <t>Drp1</t>
  </si>
  <si>
    <t>MGI:1921256</t>
  </si>
  <si>
    <t>Acetylation; Alternative splicing; Biological rhythms; Coated pit; Cytoplasm; Cytoplasmic vesicle; Endocytosis; Glycoprotein; Golgi apparatus; GTP-binding; Hydrolase; Isopeptide bond; Lipid-binding; Membrane; Mitochondrion; Mitochondrion outer membrane; Necrosis; Nucleotide-binding; Peroxisome; Phosphoprotein; S-nitrosylation; Synapse; Ubl conjugation</t>
  </si>
  <si>
    <t>Biological rhythms; Endocytosis; Necrosis</t>
  </si>
  <si>
    <t>Coated pit; Cytoplasm; Cytoplasmic vesicle; Golgi apparatus; Membrane; Mitochondrion; Mitochondrion outer membrane; Peroxisome; Synapse</t>
  </si>
  <si>
    <t>GTP-binding; Lipid-binding; Nucleotide-binding</t>
  </si>
  <si>
    <t>calcium ion transport {GO:0006816}; cellular response to oxygen-glucose deprivation {GO:0090650}; cellular response to thapsigargin {GO:1904579}; dynamin family protein polymerization involved in mitochondrial fission {GO:0003374}; heart contraction {GO:0060047}; intracellular distribution of mitochondria {GO:0048312}; membrane fusion {GO:0061025}; mitochondrial fission {GO:0000266}; mitochondrial fragmentation involved in apoptotic process {GO:0043653}; mitochondrial membrane fission {GO:0090149}; mitochondrion morphogenesis {GO:0070584}; mitochondrion organization {GO:0007005}; necroptotic process {GO:0070266}; negative regulation of mitochondrial fusion {GO:0010637}; peroxisome fission {GO:0016559}; positive regulation of apoptotic process {GO:0043065}; positive regulation of dendritic spine morphogenesis {GO:0061003}; positive regulation of intrinsic apoptotic signaling pathway {GO:2001244}; positive regulation of mitochondrial fission {GO:0090141}; positive regulation of neutrophil chemotaxis {GO:0090023}; positive regulation of protein secretion {GO:0050714}; positive regulation of release of cytochrome c from mitochondria {GO:0090200}; positive regulation of synaptic vesicle endocytosis {GO:1900244}; positive regulation of synaptic vesicle exocytosis {GO:2000302}; protein complex oligomerization {GO:0051259}; protein localization to mitochondrion {GO:0070585}; protein-containing complex assembly {GO:0065003}; regulation of ATP metabolic process {GO:1903578}; regulation of autophagy of mitochondrion {GO:1903146}; regulation of gene expression {GO:0010468}; regulation of mitochondrion organization {GO:0010821}; regulation of peroxisome organization {GO:1900063}; regulation of ubiquitin protein ligase activity {GO:1904666}; release of cytochrome c from mitochondria {GO:0001836}; response to flavonoid {GO:1905395}; response to hypobaric hypoxia {GO:1990910}; rhythmic process {GO:0048511}; synaptic vesicle endocytosis {GO:0048488}; synaptic vesicle recycling via endosome {GO:0036466}</t>
  </si>
  <si>
    <t>anchoring junction {GO:0070161}; brush border {GO:0005903}; clathrin-coated pit {GO:0005905}; cytoplasm {GO:0005737}; cytosol {GO:0005829}; endoplasmic reticulum {GO:0005783}; Golgi apparatus {GO:0005794}; Golgi membrane {GO:0000139}; intracellular membrane-bounded organelle {GO:0043231}; membrane {GO:0016020}; microtubule {GO:0005874}; mitochondrial membrane {GO:0031966}; mitochondrial outer membrane {GO:0005741}; mitochondrion {GO:0005739}; mitochondrion-derived vesicle {GO:0099073}; perinuclear region of cytoplasm {GO:0048471}; peroxisome {GO:0005777}; presynaptic endocytic zone membrane {GO:0098835}; protein-containing complex {GO:0032991}; secretory vesicle {GO:0099503}; synaptic vesicle membrane {GO:0030672}</t>
  </si>
  <si>
    <t>BH2 domain binding {GO:0051433}; clathrin binding {GO:0030276}; GTP binding {GO:0005525}; GTP-dependent protein binding {GO:0030742}; GTPase activity {GO:0003924}; identical protein binding {GO:0042802}; lipid binding {GO:0008289}; microtubule binding {GO:0008017}; protein homodimerization activity {GO:0042803}; protein-containing complex binding {GO:0044877}; small GTPase binding {GO:0031267}; ubiquitin protein ligase binding {GO:0031625}</t>
  </si>
  <si>
    <t>Apoptotic execution phase {R-MMU-75153}</t>
  </si>
  <si>
    <t>sp|Q9CWJ9|PUR9_MOUSE</t>
  </si>
  <si>
    <t>IMP cyclohydrolase</t>
  </si>
  <si>
    <t>AICAR transformylase/inosine monophosphate cyclohydrolase (ATIC); 5-aminoimidazole-4-carboxamide ribonucleotide formyltransferase (AICAR formyltransferase); AICAR transformylase; IMP synthase; Inosinicase</t>
  </si>
  <si>
    <t>PUR9_MOUSE</t>
  </si>
  <si>
    <t>Q9CWJ9</t>
  </si>
  <si>
    <t>Q3UTQ3; Q80UH0; Q8BPF0; Q8BQV9; Q9CRI1; Q9CZW9</t>
  </si>
  <si>
    <t>Purh</t>
  </si>
  <si>
    <t>MGI:1351352</t>
  </si>
  <si>
    <t>Acetylation; Hydrolase; Multifunctional enzyme; Purine biosynthesis; Transferase</t>
  </si>
  <si>
    <t>Hydrolase; Multifunctional enzyme; Transferase</t>
  </si>
  <si>
    <t>'de novo' AMP biosynthetic process {GO:0044208}; 'de novo' IMP biosynthetic process {GO:0006189}; 'de novo' XMP biosynthetic process {GO:0097294}; animal organ regeneration {GO:0031100}; brainstem development {GO:0003360}; cellular response to interleukin-7 {GO:0098761}; cerebellum development {GO:0021549}; cerebral cortex development {GO:0021987}; dihydrofolate metabolic process {GO:0046452}; GMP biosynthetic process {GO:0006177}; nucleoside metabolic process {GO:0009116}; response to inorganic substance {GO:0010035}; ribonucleotide metabolic process {GO:0009259}; tetrahydrofolate biosynthetic process {GO:0046654}</t>
  </si>
  <si>
    <t>cytosol {GO:0005829}; mitochondrion {GO:0005739}; plasma membrane {GO:0005886}</t>
  </si>
  <si>
    <t>IMP cyclohydrolase activity {GO:0003937}; phosphoribosylaminoimidazolecarboxamide formyltransferase activity {GO:0004643}; protein homodimerization activity {GO:0042803}</t>
  </si>
  <si>
    <t>Purine metabolism; IMP biosynthesis via de novo pathway; IMP from 5-formamido-1-(5-phospho-D-ribosyl)imidazole-4-carboxamide: step 1/1..</t>
  </si>
  <si>
    <t>sp|Q9ER72|SYCC_MOUSE</t>
  </si>
  <si>
    <t>Cysteine--tRNA ligase, cytoplasmic</t>
  </si>
  <si>
    <t>Cysteinyl-tRNA synthetase (CysRS)</t>
  </si>
  <si>
    <t>SYCC_MOUSE</t>
  </si>
  <si>
    <t>Q9ER72</t>
  </si>
  <si>
    <t>O88303; Q8BP81; Q8CAY7; Q8CCE3; Q8K0S4; Q9ER68</t>
  </si>
  <si>
    <t>Cars</t>
  </si>
  <si>
    <t>MGI:1351477</t>
  </si>
  <si>
    <t>Acetylation; Alternative splicing; Aminoacyl-tRNA synthetase; ATP-binding; Cytoplasm; Ligase; Metal-binding; Nucleotide-binding; Phosphoprotein; Protein biosynthesis; Zinc</t>
  </si>
  <si>
    <t>cysteinyl-tRNA aminoacylation {GO:0006423}</t>
  </si>
  <si>
    <t>ATP binding {GO:0005524}; cysteine-tRNA ligase activity {GO:0004817}; identical protein binding {GO:0042802}; metal ion binding {GO:0046872}; protein homodimerization activity {GO:0042803}; tRNA binding {GO:0000049}</t>
  </si>
  <si>
    <t>sp|P68254|1433T_MOUSE</t>
  </si>
  <si>
    <t>14-3-3 protein theta</t>
  </si>
  <si>
    <t>14-3-3 protein tau</t>
  </si>
  <si>
    <t>1433T_MOUSE</t>
  </si>
  <si>
    <t>P68254</t>
  </si>
  <si>
    <t>P35216; Q3TW69; Q3UJN5; Q5SP76; Q5U423; Q66JR6</t>
  </si>
  <si>
    <t>MGI:891963</t>
  </si>
  <si>
    <t>Acetylation; Alternative splicing; Cytoplasm; Isopeptide bond; Nitration; Phosphoprotein; Ubl conjugation</t>
  </si>
  <si>
    <t>Acetylation; Isopeptide bond; Nitration; Phosphoprotein; Ubl conjugation</t>
  </si>
  <si>
    <t>negative regulation of DNA-templated transcription {GO:0045892}; negative regulation of ion transmembrane transport {GO:0034766}; protein localization {GO:0008104}; protein targeting {GO:0006605}; signal transduction {GO:0007165}; small GTPase mediated signal transduction {GO:0007264}</t>
  </si>
  <si>
    <t>cytoplasm {GO:0005737}; cytosol {GO:0005829}; protein-containing complex {GO:0032991}; synapse {GO:0045202}</t>
  </si>
  <si>
    <t>14-3-3 protein binding {GO:0071889}; identical protein binding {GO:0042802}; protein C-terminus binding {GO:0008022}; protein domain specific binding {GO:0019904}; protein N-terminus binding {GO:0047485}; transmembrane transporter binding {GO:0044325}</t>
  </si>
  <si>
    <t>Activation of BAD and translocation to mitochondria {R-MMU-111447}; RHO GTPases activate PKNs {R-MMU-5625740}; TP53 Regulates Metabolic Genes {R-MMU-5628897}; Chk1/Chk2(Cds1) mediated inactivation of Cyclin B:Cdk1 complex {R-MMU-75035}; Regulation of localization of FOXO transcription factors {R-MMU-9614399}</t>
  </si>
  <si>
    <t>sp|F6ZDS4|TPR_MOUSE</t>
  </si>
  <si>
    <t>Nucleoprotein TPR</t>
  </si>
  <si>
    <t>NPC-associated intranuclear protein; Translocated promoter region and nuclear basket protein</t>
  </si>
  <si>
    <t>TPR_MOUSE</t>
  </si>
  <si>
    <t>F6ZDS4</t>
  </si>
  <si>
    <t>Q8R4A0; Q921B9</t>
  </si>
  <si>
    <t>MGI:1922066</t>
  </si>
  <si>
    <t>Acetylation; Cell cycle; Cell division; Centromere; Chromosome; Coiled coil; Cytoplasm; Cytoskeleton; Kinetochore; Membrane; Methylation; Mitosis; mRNA transport; Nuclear pore complex; Nucleus; Phosphoprotein; Protein transport; Proto-oncogene; Translocation; Transport</t>
  </si>
  <si>
    <t>Cell cycle; Cell division; Mitosis; Protein transport; Translocation; Transport; mRNA transport</t>
  </si>
  <si>
    <t>Centromere; Chromosome; Cytoplasm; Cytoskeleton; Kinetochore; Membrane; Nuclear pore complex; Nucleus</t>
  </si>
  <si>
    <t>Proto-oncogene</t>
  </si>
  <si>
    <t>cell division {GO:0051301}; cellular response to heat {GO:0034605}; cellular response to interferon-alpha {GO:0035457}; mitotic spindle assembly checkpoint signaling {GO:0007094}; mRNA export from nucleus {GO:0006406}; mRNA export from nucleus in response to heat stress {GO:0031990}; negative regulation of RNA export from nucleus {GO:0046832}; negative regulation of transcription by RNA polymerase II {GO:0000122}; negative regulation of translational initiation {GO:0045947}; nuclear pore organization {GO:0006999}; nucleocytoplasmic transport {GO:0006913}; positive regulation of heterochromatin assembly {GO:0031453}; positive regulation of intracellular protein transport {GO:0090316}; positive regulation of mitotic cell cycle spindle assembly checkpoint {GO:0090267}; positive regulation of protein export from nucleus {GO:0046827}; positive regulation of protein import into nucleus {GO:0042307}; protein export from nucleus {GO:0006611}; protein import into nucleus {GO:0006606}; regulation of mitotic sister chromatid separation {GO:0010965}; regulation of mitotic spindle assembly {GO:1901673}; regulation of protein localization {GO:0032880}; response to epidermal growth factor {GO:0070849}; RNA export from nucleus {GO:0006405}; RNA import into nucleus {GO:0006404}</t>
  </si>
  <si>
    <t>cytoplasm {GO:0005737}; cytoplasmic dynein complex {GO:0005868}; extrinsic component of membrane {GO:0019898}; kinetochore {GO:0000776}; mitotic spindle {GO:0072686}; nuclear envelope {GO:0005635}; nuclear inclusion body {GO:0042405}; nuclear membrane {GO:0031965}; nuclear periphery {GO:0034399}; nuclear pore {GO:0005643}; nuclear pore nuclear basket {GO:0044615}; nucleus {GO:0005634}</t>
  </si>
  <si>
    <t>chromatin binding {GO:0003682}; dynein complex binding {GO:0070840}; heat shock protein binding {GO:0031072}; mitogen-activated protein kinase binding {GO:0051019}; mRNA binding {GO:0003729}; protein homodimerization activity {GO:0042803}; structural constituent of nuclear pore {GO:0017056}; tubulin binding {GO:0015631}</t>
  </si>
  <si>
    <t>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{R-MMU-159236}; Regulation of Glucokinase by Glucokinase Regulatory Protein {R-MMU-170822}; snRNP Assembly {R-MMU-191859}; SUMOylation of DNA damage response and repair proteins {R-MMU-3108214}; SUMOylation of ubiquitinylation proteins {R-MMU-3232142}; Nuclear Pore Complex (NPC) Disassembly {R-MMU-3301854}; Regulation of HSF1-mediated heat shock response {R-MMU-3371453}; SUMOylation of SUMOylation proteins {R-MMU-4085377}; SUMOylation of chromatin organization proteins {R-MMU-4551638}; SUMOylation of RNA binding proteins {R-MMU-4570464}; SUMOylation of DNA replication proteins {R-MMU-4615885}; Transcriptional regulation by small RNAs {R-MMU-5578749}</t>
  </si>
  <si>
    <t>sp|Q8CIE6|COPA_MOUSE</t>
  </si>
  <si>
    <t>Proxenin</t>
  </si>
  <si>
    <t>Alpha-coat protein (Alpha-COP); Xenopsin-related peptide</t>
  </si>
  <si>
    <t>COPA_MOUSE</t>
  </si>
  <si>
    <t>Q8CIE6</t>
  </si>
  <si>
    <t>E9Q075</t>
  </si>
  <si>
    <t>MGI:1334462</t>
  </si>
  <si>
    <t>3D-structure; Cytoplasm; Cytoplasmic vesicle; ER-Golgi transport; Golgi apparatus; Hormone; Membrane; Methylation; Phosphoprotein; Protein transport; Repeat; Secreted; Transport; WD repeat</t>
  </si>
  <si>
    <t>Cytoplasm; Cytoplasmic vesicle; Golgi apparatus; Membrane; Secreted</t>
  </si>
  <si>
    <t>Hormone</t>
  </si>
  <si>
    <t>endoplasmic reticulum to Golgi vesicle-mediated transport {GO:0006888}; intra-Golgi vesicle-mediated transport {GO:0006891}; intracellular protein transport {GO:0006886}; pancreatic juice secretion {GO:0030157}; protein localization to axon {GO:0099612}; protein localization to cell leading edge {GO:1902463}; retrograde vesicle-mediated transport, Golgi to endoplasmic reticulum {GO:0006890}</t>
  </si>
  <si>
    <t>axon {GO:0030424}; COPI vesicle coat {GO:0030126}; COPI-coated vesicle {GO:0030137}; cytoplasm {GO:0005737}; extracellular space {GO:0005615}; Golgi apparatus {GO:0005794}; Golgi membrane {GO:0000139}; growth cone {GO:0030426}; neuronal cell body {GO:0043025}</t>
  </si>
  <si>
    <t>hormone activity {GO:0005179}; mRNA binding {GO:0003729}; structural molecule activity {GO:0005198}</t>
  </si>
  <si>
    <t>sp|Q60865|CAPR1_MOUSE</t>
  </si>
  <si>
    <t>Caprin-1</t>
  </si>
  <si>
    <t>Cytoplasmic activation- and proliferation-associated protein 1; GPI-anchored membrane protein 1; GPI-anchored protein p137 (GPI-p137; p137GPI); Membrane component chromosome 11 surface marker 1; RNA granule protein 105</t>
  </si>
  <si>
    <t>CAPR1_MOUSE</t>
  </si>
  <si>
    <t>Q60865</t>
  </si>
  <si>
    <t>Q60758; Q61620; Q6IMN3; Q7TT26</t>
  </si>
  <si>
    <t>Gpiap; Gpiap1; Gpip137; M11s1; Rng105</t>
  </si>
  <si>
    <t>MGI:1858234</t>
  </si>
  <si>
    <t>Acetylation; Cell projection; Coiled coil; Cytoplasm; Differentiation; Glycoprotein; Methylation; Phosphoprotein; Protein synthesis inhibitor; RNA-binding</t>
  </si>
  <si>
    <t>cell differentiation {GO:0030154}; negative regulation of translation {GO:0017148}; positive regulation of dendrite morphogenesis {GO:0050775}; positive regulation of dendritic spine morphogenesis {GO:0061003}</t>
  </si>
  <si>
    <t>cell leading edge {GO:0031252}; cytoplasm {GO:0005737}; cytoplasmic stress granule {GO:0010494}; cytosol {GO:0005829}; dendrite {GO:0030425}; glutamatergic synapse {GO:0098978}; lamellipodium {GO:0030027}; P-body {GO:0000932}; postsynapse {GO:0098794}; synapse {GO:0045202}</t>
  </si>
  <si>
    <t>RNA binding {GO:0003723}</t>
  </si>
  <si>
    <t>sp|Q05186|RCN1_MOUSE</t>
  </si>
  <si>
    <t>Reticulocalbin-1</t>
  </si>
  <si>
    <t>RCN1_MOUSE</t>
  </si>
  <si>
    <t>Q05186</t>
  </si>
  <si>
    <t>Q3TVU3</t>
  </si>
  <si>
    <t>Rca1; Rcn</t>
  </si>
  <si>
    <t>MGI:104559</t>
  </si>
  <si>
    <t>Calcium; Endoplasmic reticulum; Glycoprotein; Metal-binding; Phosphoprotein; Repeat; Signal</t>
  </si>
  <si>
    <t>Glycoprotein; Phosphoprotein</t>
  </si>
  <si>
    <t>camera-type eye development {GO:0043010}; in utero embryonic development {GO:0001701}</t>
  </si>
  <si>
    <t>endoplasmic reticulum {GO:0005783}; endoplasmic reticulum lumen {GO:0005788}</t>
  </si>
  <si>
    <t>calcium ion binding {GO:0005509}</t>
  </si>
  <si>
    <t>sp|Q9WU78|PDC6I_MOUSE</t>
  </si>
  <si>
    <t>Programmed cell death 6-interacting protein</t>
  </si>
  <si>
    <t>ALG-2-interacting protein 1; ALG-2-interacting protein X; E2F1-inducible protein; Eig2</t>
  </si>
  <si>
    <t>PDC6I_MOUSE</t>
  </si>
  <si>
    <t>Q9WU78</t>
  </si>
  <si>
    <t>O88695; O89014; Q3TED2; Q8BSL8; Q8R0H5; Q99LR3; Q9QZN8</t>
  </si>
  <si>
    <t>Aip1; Alix</t>
  </si>
  <si>
    <t>MGI:1333753</t>
  </si>
  <si>
    <t>Acetylation; Alternative splicing; Apoptosis; Cell cycle; Cell division; Cell junction; Cytoplasm; Cytoskeleton; Methylation; Phosphoprotein; Protein transport; Secreted; Tight junction; Transport</t>
  </si>
  <si>
    <t>Apoptosis; Cell cycle; Cell division; Protein transport; Transport</t>
  </si>
  <si>
    <t>Cell junction; Cytoplasm; Cytoskeleton; Secreted; Tight junction</t>
  </si>
  <si>
    <t>actomyosin contractile ring assembly {GO:0000915}; apoptotic process {GO:0006915}; bicellular tight junction assembly {GO:0070830}; maintenance of epithelial cell apical/basal polarity {GO:0045199}; midbody abscission {GO:0061952}; mitotic cytokinesis {GO:0000281}; multivesicular body sorting pathway {GO:0071985}; positive regulation of exosomal secretion {GO:1903543}; positive regulation of extracellular exosome assembly {GO:1903553}; protein homooligomerization {GO:0051260}; protein transport {GO:0015031}; regulation of centrosome duplication {GO:0010824}; regulation of extracellular exosome assembly {GO:1903551}; regulation of membrane permeability {GO:0090559}; ubiquitin-independent protein catabolic process via the multivesicular body sorting pathway {GO:0090611}; viral budding {GO:0046755}; viral budding via host ESCRT complex {GO:0039702}</t>
  </si>
  <si>
    <t>actomyosin {GO:0042641}; bicellular tight junction {GO:0005923}; cytoplasm {GO:0005737}; cytosol {GO:0005829}; endoplasmic reticulum exit site {GO:0070971}; endosome {GO:0005768}; extracellular exosome {GO:0070062}; Flemming body {GO:0090543}; immunological synapse {GO:0001772}; melanosome {GO:0042470}; microtubule organizing center {GO:0005815}; myelin sheath {GO:0043209}</t>
  </si>
  <si>
    <t>calcium-dependent protein binding {GO:0048306}; identical protein binding {GO:0042802}; protein dimerization activity {GO:0046983}; protein homodimerization activity {GO:0042803}; proteinase activated receptor binding {GO:0031871}; SH3 domain binding {GO:0017124}</t>
  </si>
  <si>
    <t>RIPK1-mediated regulated necrosis {R-MMU-5213460}; Regulation of necroptotic cell death {R-MMU-5675482}</t>
  </si>
  <si>
    <t>sp|P46638|RB11B_MOUSE</t>
  </si>
  <si>
    <t>Ras-related protein Rab-11B</t>
  </si>
  <si>
    <t>RB11B_MOUSE</t>
  </si>
  <si>
    <t>P46638</t>
  </si>
  <si>
    <t>MGI:99425</t>
  </si>
  <si>
    <t>Acetylation; Citrullination; Cytoplasmic vesicle; Endosome; GTP-binding; Hydrolase; Lipoprotein; Membrane; Methylation; Nucleotide-binding; Prenylation; Protein transport; Synapse; Transport</t>
  </si>
  <si>
    <t>Cytoplasmic vesicle; Endosome; Membrane; Synapse</t>
  </si>
  <si>
    <t>Acetylation; Citrullination; Lipoprotein; Methylation; Prenylation</t>
  </si>
  <si>
    <t>amyloid-beta clearance by transcytosis {GO:0150093}; cellular response to acidic pH {GO:0071468}; constitutive secretory pathway {GO:0045054}; endocytic recycling {GO:0032456}; establishment of protein localization to membrane {GO:0090150}; exocytosis {GO:0006887}; insulin secretion involved in cellular response to glucose stimulus {GO:0035773}; melanosome transport {GO:0032402}; receptor recycling {GO:0001881}; regulated exocytosis {GO:0045055}; regulation of anion transport {GO:0044070}; regulation of endocytic recycling {GO:2001135}; regulation of protein localization to cell surface {GO:2000008}; transferrin transport {GO:0033572}; vesicle-mediated transport {GO:0016192}</t>
  </si>
  <si>
    <t>anchored component of synaptic vesicle membrane {GO:0098993}; anchoring junction {GO:0070161}; cytoplasm {GO:0005737}; cytoplasmic vesicle {GO:0031410}; endosome {GO:0005768}; Golgi apparatus {GO:0005794}; mitochondrion {GO:0005739}; phagocytic vesicle {GO:0045335}; phagocytic vesicle membrane {GO:0030670}; recycling endosome {GO:0055037}; recycling endosome membrane {GO:0055038}; synaptic vesicle {GO:0008021}</t>
  </si>
  <si>
    <t>G protein activity {GO:0003925}; GDP binding {GO:0019003}; GTP binding {GO:0005525}; GTPase activity {GO:0003924}; myosin V binding {GO:0031489}</t>
  </si>
  <si>
    <t>TBC/RABGAPs {R-MMU-8854214}; RAB geranylgeranylation {R-MMU-8873719}</t>
  </si>
  <si>
    <t>sp|Q99PT1|GDIR1_MOUSE</t>
  </si>
  <si>
    <t>Rho GDP-dissociation inhibitor 1 (Rho GDI 1)</t>
  </si>
  <si>
    <t>GDI-1; Rho-GDI alpha</t>
  </si>
  <si>
    <t>GDIR1_MOUSE</t>
  </si>
  <si>
    <t>Q99PT1</t>
  </si>
  <si>
    <t>Q5M9P6; Q8BPI0; Q99KC4</t>
  </si>
  <si>
    <t>C87222; Gdi1</t>
  </si>
  <si>
    <t>MGI:2178103</t>
  </si>
  <si>
    <t>3D-structure; Acetylation; Cytoplasm; GTPase activation; Isopeptide bond; Phosphoprotein; Ubl conjugation</t>
  </si>
  <si>
    <t>cellular response to mechanical stimulus {GO:0071260}; negative regulation of cell migration {GO:0030336}; regulation of actin cytoskeleton reorganization {GO:2000249}; regulation of cell shape {GO:0008360}; regulation of protein localization {GO:0032880}; regulation of Rho protein signal transduction {GO:0035023}; Rho protein signal transduction {GO:0007266}; semaphorin-plexin signaling pathway {GO:0071526}</t>
  </si>
  <si>
    <t>cytosol {GO:0005829}; extracellular space {GO:0005615}; immunological synapse {GO:0001772}; membrane {GO:0016020}; nucleus {GO:0005634}; synapse {GO:0045202}</t>
  </si>
  <si>
    <t>fatty acid binding {GO:0005504}; GTPase activator activity {GO:0005096}; Hsp90 protein binding {GO:0051879}; protein kinase binding {GO:0019901}; Rho GDP-dissociation inhibitor activity {GO:0005094}; small GTPase binding {GO:0031267}</t>
  </si>
  <si>
    <t>Axonal growth inhibition (RHOA activation) {R-MMU-193634}; Axonal growth stimulation {R-MMU-209563}; RHOA GTPase cycle {R-MMU-8980692}; RHOC GTPase cycle {R-MMU-9013106}; CDC42 GTPase cycle {R-MMU-9013148}; RAC1 GTPase cycle {R-MMU-9013149}; RAC2 GTPase cycle {R-MMU-9013404}; RHOH GTPase cycle {R-MMU-9013407}; RHOG GTPase cycle {R-MMU-9013408}</t>
  </si>
  <si>
    <t>sp|Q8R016|BLMH_MOUSE</t>
  </si>
  <si>
    <t>Bleomycin hydrolase (BH; BLM hydrolase; BMH)</t>
  </si>
  <si>
    <t>BLMH_MOUSE</t>
  </si>
  <si>
    <t>Q8R016</t>
  </si>
  <si>
    <t>Q3TJR8; Q8BLZ4; Q8BZH9; Q8C111; Q8CID9</t>
  </si>
  <si>
    <t>MGI:1345186</t>
  </si>
  <si>
    <t>Acetylation; Cytoplasm; Hydrolase; Protease; Thiol protease</t>
  </si>
  <si>
    <t>homocysteine catabolic process {GO:0043418}; proteolysis {GO:0006508}; response to toxic substance {GO:0009636}; response to xenobiotic stimulus {GO:0009410}</t>
  </si>
  <si>
    <t>aminopeptidase activity {GO:0004177}; cysteine-type endopeptidase activity {GO:0004197}; cysteine-type peptidase activity {GO:0008234}; identical protein binding {GO:0042802}; peptidase activity {GO:0008233}</t>
  </si>
  <si>
    <t>sp|Q91WS0|CISD1_MOUSE</t>
  </si>
  <si>
    <t>CDGSH iron-sulfur domain-containing protein 1</t>
  </si>
  <si>
    <t>MitoNEET</t>
  </si>
  <si>
    <t>CISD1_MOUSE</t>
  </si>
  <si>
    <t>Q91WS0</t>
  </si>
  <si>
    <t>Q3V2I3; Q8WUQ5</t>
  </si>
  <si>
    <t>D10Ertd214e; Zcd1</t>
  </si>
  <si>
    <t>MGI:1261855</t>
  </si>
  <si>
    <t>2Fe-2S; Acetylation; Iron; Iron-sulfur; Isopeptide bond; Membrane; Metal-binding; Mitochondrion; Mitochondrion outer membrane; Signal-anchor; Transmembrane; Transmembrane helix; Ubl conjugation</t>
  </si>
  <si>
    <t>Membrane; Mitochondrion; Mitochondrion outer membrane</t>
  </si>
  <si>
    <t>2Fe-2S; Iron; Iron-sulfur; Metal-binding</t>
  </si>
  <si>
    <t>regulation of autophagy {GO:0010506}; regulation of cellular respiration {GO:0043457}</t>
  </si>
  <si>
    <t>cytoplasmic side of mitochondrial outer membrane {GO:0032473}; integral component of membrane {GO:0016021}; mitochondrial outer membrane {GO:0005741}; mitochondrion {GO:0005739}</t>
  </si>
  <si>
    <t>2 iron, 2 sulfur cluster binding {GO:0051537}; identical protein binding {GO:0042802}; iron ion binding {GO:0005506}</t>
  </si>
  <si>
    <t>sp|Q80UM3|NAA15_MOUSE</t>
  </si>
  <si>
    <t>N-alpha-acetyltransferase 15, NatA auxiliary subunit</t>
  </si>
  <si>
    <t>N-terminal acetyltransferase 1; NMDA receptor-regulated protein 1; Protein tubedown-1</t>
  </si>
  <si>
    <t>NAA15_MOUSE</t>
  </si>
  <si>
    <t>Q80UM3</t>
  </si>
  <si>
    <t>Q811Z9; Q9JID5</t>
  </si>
  <si>
    <t>Narg1; Nat1; Tbdn-1; Tubedown</t>
  </si>
  <si>
    <t>MGI:1922088</t>
  </si>
  <si>
    <t>Acetylation; Angiogenesis; Cytoplasm; Developmental protein; Differentiation; Nucleus; Phosphoprotein; Repeat; TPR repeat; Transcription; Transcription regulation</t>
  </si>
  <si>
    <t>Angiogenesis; Differentiation; Transcription; Transcription regulation</t>
  </si>
  <si>
    <t>angiogenesis {GO:0001525}; cell differentiation {GO:0030154}; N-terminal peptidyl-methionine acetylation {GO:0017196}; N-terminal protein amino acid acetylation {GO:0006474}; negative regulation of apoptotic process {GO:0043066}; positive regulation of DNA-templated transcription {GO:0045893}; protein stabilization {GO:0050821}</t>
  </si>
  <si>
    <t>cytoplasm {GO:0005737}; cytosol {GO:0005829}; intracellular membrane-bounded organelle {GO:0043231}; NatA complex {GO:0031415}; nuclear body {GO:0016604}; nucleus {GO:0005634}; perinuclear region of cytoplasm {GO:0048471}; transcription regulator complex {GO:0005667}</t>
  </si>
  <si>
    <t>acetyltransferase activity {GO:0016407}; N-acetyltransferase activity {GO:0008080}; ribosome binding {GO:0043022}</t>
  </si>
  <si>
    <t>sp|O08709|PRDX6_MOUSE</t>
  </si>
  <si>
    <t>Peroxiredoxin-6</t>
  </si>
  <si>
    <t>1-Cys peroxiredoxin (1-Cys PRX); Acidic calcium-independent phospholipase A2 (aiPLA2); Antioxidant protein 2; Glutathione-dependent peroxiredoxin; Lysophosphatidylcholine acyltransferase 5 (LPC acyltransferase 5; LPCAT-5; Lyso-PC acyltransferase 5); Non-selenium glutathione peroxidase (NSGPx)</t>
  </si>
  <si>
    <t>PRDX6_MOUSE</t>
  </si>
  <si>
    <t>O08709</t>
  </si>
  <si>
    <t>Q91WT2; Q9QWP4; Q9QWW0</t>
  </si>
  <si>
    <t>Aop2; Ltw4; Prdx5</t>
  </si>
  <si>
    <t>MGI:894320</t>
  </si>
  <si>
    <t>Acetylation; Antioxidant; Cytoplasm; Hydrolase; Lipid degradation; Lipid metabolism; Lysosome; Multifunctional enzyme; Oxidoreductase; Peroxidase; Phosphoprotein; Redox-active center; Transferase</t>
  </si>
  <si>
    <t>Lipid degradation; Lipid metabolism</t>
  </si>
  <si>
    <t>Cytoplasm; Lysosome</t>
  </si>
  <si>
    <t>Antioxidant; Hydrolase; Multifunctional enzyme; Oxidoreductase; Peroxidase; Transferase</t>
  </si>
  <si>
    <t>bleb assembly {GO:0032060}; cell redox homeostasis {GO:0045454}; cellular oxidant detoxification {GO:0098869}; glycerophospholipid catabolic process {GO:0046475}; hydrogen peroxide catabolic process {GO:0042744}; positive regulation of mRNA splicing, via spliceosome {GO:0048026}; response to oxidative stress {GO:0006979}; response to reactive oxygen species {GO:0000302}</t>
  </si>
  <si>
    <t>cytoplasm {GO:0005737}; cytosol {GO:0005829}; lysosome {GO:0005764}; mitochondrion {GO:0005739}; nucleus {GO:0005634}; perinuclear region of cytoplasm {GO:0048471}</t>
  </si>
  <si>
    <t>1-acylglycerophosphocholine O-acyltransferase activity {GO:0047184}; calcium-independent phospholipase A2 activity {GO:0047499}; glutathione peroxidase activity {GO:0004602}; identical protein binding {GO:0042802}; peroxidase activity {GO:0004601}; peroxiredoxin activity {GO:0051920}; phospholipase A2 activity {GO:0004623}; thioredoxin peroxidase activity {GO:0008379}; ubiquitin protein ligase binding {GO:0031625}</t>
  </si>
  <si>
    <t>Detoxification of Reactive Oxygen Species {R-MMU-3299685}; Neutrophil degranulation {R-MMU-6798695}</t>
  </si>
  <si>
    <t>sp|P97371|PSME1_MOUSE</t>
  </si>
  <si>
    <t>Proteasome activator complex subunit 1</t>
  </si>
  <si>
    <t>11S regulator complex subunit alpha (REG-alpha); Activator of multicatalytic protease subunit 1; Proteasome activator 28 subunit alpha (PA28a; PA28alpha)</t>
  </si>
  <si>
    <t>PSME1_MOUSE</t>
  </si>
  <si>
    <t>P97371</t>
  </si>
  <si>
    <t>O35561; Q9D841</t>
  </si>
  <si>
    <t>MGI:1096367</t>
  </si>
  <si>
    <t>3D-structure; Proteasome</t>
  </si>
  <si>
    <t>antigen processing and presentation of exogenous antigen {GO:0019884}; positive regulation of endopeptidase activity {GO:0010950}; regulation of G1/S transition of mitotic cell cycle {GO:2000045}; regulation of proteasomal protein catabolic process {GO:0061136}</t>
  </si>
  <si>
    <t>cytoplasm {GO:0005737}; nucleoplasm {GO:0005654}; proteasome activator complex {GO:0008537}</t>
  </si>
  <si>
    <t>endopeptidase activator activity {GO:0061133}</t>
  </si>
  <si>
    <t>sp|P48428|TBCA_MOUSE</t>
  </si>
  <si>
    <t>Tubulin-specific chaperone A</t>
  </si>
  <si>
    <t>TCP1-chaperonin cofactor A; Tubulin-folding cofactor A (CFA)</t>
  </si>
  <si>
    <t>TBCA_MOUSE</t>
  </si>
  <si>
    <t>P48428</t>
  </si>
  <si>
    <t>MGI:107549</t>
  </si>
  <si>
    <t>Acetylation; Chaperone; Cytoplasm; Cytoskeleton; Microtubule</t>
  </si>
  <si>
    <t>post-chaperonin tubulin folding pathway {GO:0007023}; protein folding {GO:0006457}; tubulin complex assembly {GO:0007021}</t>
  </si>
  <si>
    <t>cytoplasm {GO:0005737}; microtubule {GO:0005874}; microtubule cytoskeleton {GO:0015630}; nucleolus {GO:0005730}</t>
  </si>
  <si>
    <t>beta-tubulin binding {GO:0048487}; tubulin binding {GO:0015631}</t>
  </si>
  <si>
    <t>sp|Q64448|CXA3_MOUSE</t>
  </si>
  <si>
    <t>Gap junction alpha-3 protein</t>
  </si>
  <si>
    <t>Connexin-46 (Cx46)</t>
  </si>
  <si>
    <t>CXA3_MOUSE</t>
  </si>
  <si>
    <t>Q64448</t>
  </si>
  <si>
    <t>B2RRM1</t>
  </si>
  <si>
    <t>MGI:95714</t>
  </si>
  <si>
    <t>cell-cell signaling {GO:0007267}; gap junction-mediated intercellular transport {GO:1990349}; response to hydrogen peroxide {GO:0042542}; response to pH {GO:0009268}; visual perception {GO:0007601}</t>
  </si>
  <si>
    <t>connexin complex {GO:0005922}; gap junction {GO:0005921}; integral component of plasma membrane {GO:0005887}; membrane raft {GO:0045121}; plasma membrane {GO:0005886}</t>
  </si>
  <si>
    <t>gap junction channel activity {GO:0005243}; gap junction hemi-channel activity {GO:0055077}; identical protein binding {GO:0042802}</t>
  </si>
  <si>
    <t>sp|Q7TQF7|AMPH_MOUSE</t>
  </si>
  <si>
    <t>Amphiphysin</t>
  </si>
  <si>
    <t>AMPH_MOUSE</t>
  </si>
  <si>
    <t>Q7TQF7</t>
  </si>
  <si>
    <t>Q8R1C4</t>
  </si>
  <si>
    <t>Amph1</t>
  </si>
  <si>
    <t>MGI:103574</t>
  </si>
  <si>
    <t>Coiled coil; Cytoplasm; Cytoplasmic vesicle; Cytoskeleton; Membrane; Phosphoprotein; SH3 domain; Synapse</t>
  </si>
  <si>
    <t>Cytoplasm; Cytoplasmic vesicle; Cytoskeleton; Membrane; Synapse</t>
  </si>
  <si>
    <t>learning {GO:0007612}; positive regulation of endocytosis {GO:0045807}; positive regulation of GTPase activity {GO:0043547}; synaptic vesicle endocytosis {GO:0048488}</t>
  </si>
  <si>
    <t>anchoring junction {GO:0070161}; axon terminus {GO:0043679}; cytoskeleton {GO:0005856}; extrinsic component of synaptic vesicle membrane {GO:0098850}; glutamatergic synapse {GO:0098978}; leading edge membrane {GO:0031256}; photoreceptor ribbon synapse {GO:0098684}; plasma membrane {GO:0005886}; presynapse {GO:0098793}; presynaptic endocytic zone {GO:0098833}; synaptic vesicle {GO:0008021}</t>
  </si>
  <si>
    <t>phospholipid binding {GO:0005543}; protein C-terminus binding {GO:0008022}; protein-containing complex binding {GO:0044877}</t>
  </si>
  <si>
    <t>Clathrin-mediated endocytosis {R-MMU-8856828}</t>
  </si>
  <si>
    <t>sp|P28659|CELF1_MOUSE</t>
  </si>
  <si>
    <t>CUGBP Elav-like family member 1 (CELF-1)</t>
  </si>
  <si>
    <t>50 kDa nuclear polyadenylated RNA-binding protein; Brain protein F41; Bruno-like protein 2; CUG triplet repeat RNA-binding protein 1 (CUG-BP1); CUG-BP- and ETR-3-like factor 1; Deadenylation factor CUG-BP; Deadenylation factor EDEN-BP; Embryo deadenylation element-binding protein homolog (EDEN-BP homolog); RNA-binding protein BRUNOL-2</t>
  </si>
  <si>
    <t>CELF1_MOUSE</t>
  </si>
  <si>
    <t>P28659</t>
  </si>
  <si>
    <t>A2AFW9; A2AFX0; A2AFX1; A2AFX2; Q3U0N2; Q3UP93; Q3UY22; Q8R532; Q99PE1; Q9CXE5; Q9EPJ8; Q9JI37</t>
  </si>
  <si>
    <t>Brunol2; Cugbp; Cugbp1</t>
  </si>
  <si>
    <t>MGI:1342295</t>
  </si>
  <si>
    <t>Acetylation; Activator; Alternative splicing; Cytoplasm; Isopeptide bond; mRNA processing; mRNA splicing; Nucleus; Phosphoprotein; Repeat; RNA-binding; Ubl conjugation</t>
  </si>
  <si>
    <t>Activator; RNA-binding</t>
  </si>
  <si>
    <t>cerebral cortex development {GO:0021987}; mRNA destabilization {GO:0061157}; mRNA splice site selection {GO:0006376}; negative regulation of cell population proliferation {GO:0008285}; negative regulation of epithelial cell proliferation {GO:0050680}; negative regulation of gene expression {GO:0010629}; positive regulation of cell death {GO:0010942}; positive regulation of gene expression {GO:0010628}; positive regulation of multicellular organism growth {GO:0040018}; post-transcriptional gene silencing {GO:0016441}; regulation of alternative mRNA splicing, via spliceosome {GO:0000381}; regulation of cell cycle {GO:0051726}; regulation of inflammatory response {GO:0050727}; regulation of RNA splicing {GO:0043484}; spermatid development {GO:0007286}</t>
  </si>
  <si>
    <t>cytoplasm {GO:0005737}; cytoplasmic stress granule {GO:0010494}; male germ cell nucleus {GO:0001673}; nucleoplasm {GO:0005654}; nucleus {GO:0005634}; perinucleolar compartment {GO:0097356}; ribonucleoprotein complex {GO:1990904}</t>
  </si>
  <si>
    <t>BRE binding {GO:0042835}; lncRNA binding {GO:0106222}; mRNA 3'-UTR binding {GO:0003730}; mRNA binding {GO:0003729}; pre-mRNA binding {GO:0036002}; RNA binding {GO:0003723}; translation initiation factor binding {GO:0031369}</t>
  </si>
  <si>
    <t>sp|P24527|LKHA4_MOUSE</t>
  </si>
  <si>
    <t>Leukotriene A-4 hydrolase (LTA-4 hydrolase)</t>
  </si>
  <si>
    <t>Leukotriene A(4) hydrolase; Tripeptide aminopeptidase LTA4H</t>
  </si>
  <si>
    <t>LKHA4_MOUSE</t>
  </si>
  <si>
    <t>P24527</t>
  </si>
  <si>
    <t>Q3UY71; Q8VDR8</t>
  </si>
  <si>
    <t>MGI:96836</t>
  </si>
  <si>
    <t>Acetylation; Cytoplasm; Hydrolase; Leukotriene biosynthesis; Metal-binding; Metalloprotease; Phosphoprotein; Protease; Zinc</t>
  </si>
  <si>
    <t>Leukotriene biosynthesis</t>
  </si>
  <si>
    <t>Hydrolase; Metalloprotease; Protease</t>
  </si>
  <si>
    <t>leukotriene biosynthetic process {GO:0019370}; leukotriene metabolic process {GO:0006691}; peptide catabolic process {GO:0043171}; protein metabolic process {GO:0019538}; proteolysis {GO:0006508}; response to peptide hormone {GO:0043434}; response to zinc ion {GO:0010043}; type I pneumocyte differentiation {GO:0060509}</t>
  </si>
  <si>
    <t>cytoplasm {GO:0005737}; cytosol {GO:0005829}; nucleoplasm {GO:0005654}; nucleus {GO:0005634}</t>
  </si>
  <si>
    <t>aminopeptidase activity {GO:0004177}; epoxide hydrolase activity {GO:0004301}; leukotriene-A4 hydrolase activity {GO:0004463}; metalloaminopeptidase activity {GO:0070006}; tripeptide aminopeptidase activity {GO:0045148}; zinc ion binding {GO:0008270}</t>
  </si>
  <si>
    <t>Lipid metabolism; leukotriene B4 biosynthesis.</t>
  </si>
  <si>
    <t>Synthesis of Leukotrienes (LT) and Eoxins (EX) {R-MMU-2142691}; Neutrophil degranulation {R-MMU-6798695}; Biosynthesis of D-series resolvins {R-MMU-9018676}; Biosynthesis of protectins {R-MMU-9018681}; Biosynthesis of E-series 18(S)-resolvins {R-MMU-9018896}; Biosynthesis of aspirin-triggered D-series resolvins {R-MMU-9020265}; Biosynthesis of E-series 18(R)-resolvins {R-MMU-9023661}</t>
  </si>
  <si>
    <t>sp|Q9Z1D1|EIF3G_MOUSE</t>
  </si>
  <si>
    <t>Eukaryotic translation initiation factor 3 subunit G (eIF3g)</t>
  </si>
  <si>
    <t>Eukaryotic translation initiation factor 3 RNA-binding subunit (eIF-3 RNA-binding subunit); Eukaryotic translation initiation factor 3 subunit 4; eIF-3-delta; eIF3 p42; eIF3 p44</t>
  </si>
  <si>
    <t>EIF3G_MOUSE</t>
  </si>
  <si>
    <t>Q9Z1D1</t>
  </si>
  <si>
    <t>Q9R079</t>
  </si>
  <si>
    <t>Eif3p42; Eif3s4</t>
  </si>
  <si>
    <t>MGI:1858258</t>
  </si>
  <si>
    <t>Cytoplasm; Initiation factor; Nucleus; Phosphoprotein; Protein biosynthesis; RNA-binding</t>
  </si>
  <si>
    <t>cytoplasm {GO:0005737}; cytosol {GO:0005829}; eukaryotic 43S preinitiation complex {GO:0016282}; eukaryotic 48S preinitiation complex {GO:0033290}; eukaryotic translation initiation factor 3 complex {GO:0005852}; nucleus {GO:0005634}; perinuclear region of cytoplasm {GO:0048471}</t>
  </si>
  <si>
    <t>RNA binding {GO:0003723}; translation initiation factor activity {GO:0003743}</t>
  </si>
  <si>
    <t>sp|Q9DB05|SNAA_MOUSE</t>
  </si>
  <si>
    <t>Alpha-soluble NSF attachment protein (SNAP-alpha)</t>
  </si>
  <si>
    <t>N-ethylmaleimide-sensitive factor attachment protein alpha</t>
  </si>
  <si>
    <t>SNAA_MOUSE</t>
  </si>
  <si>
    <t>Q9DB05</t>
  </si>
  <si>
    <t>Q543I3</t>
  </si>
  <si>
    <t>Snapa</t>
  </si>
  <si>
    <t>MGI:104563</t>
  </si>
  <si>
    <t>Acetylation; Cell membrane; ER-Golgi transport; Membrane; Phosphoprotein; Protein transport; Transport</t>
  </si>
  <si>
    <t>apical protein localization {GO:0045176}; brain development {GO:0007420}; intracellular protein transport {GO:0006886}; neuron differentiation {GO:0030182}; positive regulation of ATP-dependent activity {GO:0032781}; protein-containing complex disassembly {GO:0032984}; regulation of synaptic vesicle priming {GO:0010807}; SNARE complex disassembly {GO:0035494}; synaptic transmission, glutamatergic {GO:0035249}; synaptic vesicle priming {GO:0016082}</t>
  </si>
  <si>
    <t>glutamatergic synapse {GO:0098978}; myelin sheath {GO:0043209}; plasma membrane {GO:0005886}; postsynapse {GO:0098794}; presynapse {GO:0098793}; SNARE complex {GO:0031201}; synaptobrevin 2-SNAP-25-syntaxin-1a complex {GO:0070044}</t>
  </si>
  <si>
    <t>protein-containing complex binding {GO:0044877}; SNARE binding {GO:0000149}; soluble NSF attachment protein activity {GO:0005483}; syntaxin binding {GO:0019905}</t>
  </si>
  <si>
    <t>COPII-mediated vesicle transport {R-MMU-204005}; Golgi Associated Vesicle Biogenesis {R-MMU-432722}; COPI-mediated anterograde transport {R-MMU-6807878}; COPI-dependent Golgi-to-ER retrograde traffic {R-MMU-6811434}; Intra-Golgi traffic {R-MMU-6811438}; Retrograde transport at the Trans-Golgi-Network {R-MMU-6811440}</t>
  </si>
  <si>
    <t>sp|A2AGT5|CKAP5_MOUSE</t>
  </si>
  <si>
    <t>Cytoskeleton-associated protein 5</t>
  </si>
  <si>
    <t>CKAP5_MOUSE</t>
  </si>
  <si>
    <t>A2AGT5</t>
  </si>
  <si>
    <t>A0PJ77; A2AGT6; B2RRC4; Q0VGR0; Q3TML9; Q3UDY6; Q4VAE7; Q9CUN0</t>
  </si>
  <si>
    <t>MGI:1923036</t>
  </si>
  <si>
    <t>Acetylation; Alternative splicing; Cell cycle; Cell division; Centromere; Chromosome; Cytoplasm; Cytoskeleton; Kinetochore; Mitosis; Phosphoprotein; Repeat</t>
  </si>
  <si>
    <t>Centromere; Chromosome; Cytoplasm; Cytoskeleton; Kinetochore</t>
  </si>
  <si>
    <t>cell division {GO:0051301}; central nervous system myelin formation {GO:0032289}; centrosome cycle {GO:0007098}; centrosome duplication {GO:0051298}; cytoplasmic translation {GO:0002181}; dendritic spine maintenance {GO:0097062}; establishment or maintenance of microtubule cytoskeleton polarity {GO:0030951}; excitatory postsynaptic potential {GO:0060079}; habituation {GO:0046959}; locomotory behavior {GO:0007626}; long-term synaptic potentiation {GO:0060291}; microtubule polymerization {GO:0046785}; mitotic spindle organization {GO:0007052}; mRNA localization resulting in post-transcriptional regulation of gene expression {GO:0010609}; positive regulation of endocytosis {GO:0045807}; positive regulation of microtubule nucleation {GO:0090063}; ribonucleoprotein complex assembly {GO:0022618}; RNA transport {GO:0050658}; spindle organization {GO:0007051}; visual learning {GO:0008542}</t>
  </si>
  <si>
    <t>centrosome {GO:0005813}; cytoplasm {GO:0005737}; dendrite {GO:0030425}; kinetochore {GO:0000776}; microtubule plus-end {GO:0035371}; neuronal ribonucleoprotein granule {GO:0071598}; nucleolus {GO:0005730}; perikaryon {GO:0043204}; plasma membrane {GO:0005886}; postsynapse {GO:0098794}; protein-containing complex {GO:0032991}; spindle pole {GO:0000922}</t>
  </si>
  <si>
    <t>microtubule binding {GO:0008017}; microtubule plus end polymerase {GO:0061863}; microtubule plus-end binding {GO:0051010}; ribonucleoprotein complex binding {GO:0043021}</t>
  </si>
  <si>
    <t>Amplification of signal from unattached kinetochores via a MAD2 inhibitory signal {R-MMU-141444}; Separation of Sister Chromatids {R-MMU-2467813}; Resolution of Sister Chromatid Cohesion {R-MMU-2500257}; 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RHO GTPases Activate Formins {R-MMU-5663220}; Mitotic Prometaphase {R-MMU-68877}; AURKA Activation by TPX2 {R-MMU-8854518}; EML4 and NUDC in mitotic spindle formation {R-MMU-9648025}</t>
  </si>
  <si>
    <t>sp|Q9JHR7|IDE_MOUSE</t>
  </si>
  <si>
    <t>Insulin-degrading enzyme</t>
  </si>
  <si>
    <t>Insulin protease (Insulinase); Insulysin</t>
  </si>
  <si>
    <t>IDE_MOUSE</t>
  </si>
  <si>
    <t>Q9JHR7</t>
  </si>
  <si>
    <t>MGI:96412</t>
  </si>
  <si>
    <t>Allosteric enzyme; ATP-binding; Cell membrane; Cytoplasm; Hydrolase; Membrane; Metal-binding; Metalloprotease; Nucleotide-binding; Protease; Secreted; Zinc</t>
  </si>
  <si>
    <t>Cell membrane; Cytoplasm; Membrane; Secreted</t>
  </si>
  <si>
    <t>Allosteric enzyme; Hydrolase; Metalloprotease; Protease</t>
  </si>
  <si>
    <t>amyloid-beta clearance {GO:0097242}; amyloid-beta clearance by cellular catabolic process {GO:0150094}; amyloid-beta metabolic process {GO:0050435}; antigen processing and presentation of endogenous peptide antigen via MHC class I {GO:0019885}; bradykinin catabolic process {GO:0010815}; determination of adult lifespan {GO:0008340}; hormone catabolic process {GO:0042447}; insulin catabolic process {GO:1901143}; insulin metabolic process {GO:1901142}; negative regulation of proteolysis {GO:0045861}; peptide catabolic process {GO:0043171}; positive regulation of protein binding {GO:0032092}; protein catabolic process {GO:0030163}; proteolysis {GO:0006508}; proteolysis involved in protein catabolic process {GO:0051603}; regulation of aerobic respiration {GO:1903715}; response to oxidative stress {GO:0006979}; ubiquitin recycling {GO:0010992}</t>
  </si>
  <si>
    <t>basolateral plasma membrane {GO:0016323}; cell surface {GO:0009986}; cytoplasm {GO:0005737}; cytosol {GO:0005829}; cytosolic proteasome complex {GO:0031597}; external side of plasma membrane {GO:0009897}; extracellular exosome {GO:0070062}; extracellular space {GO:0005615}; mitochondrion {GO:0005739}; nucleus {GO:0005634}; peroxisomal matrix {GO:0005782}; peroxisome {GO:0005777}</t>
  </si>
  <si>
    <t>amyloid-beta binding {GO:0001540}; ATP binding {GO:0005524}; ATP hydrolysis activity {GO:0016887}; beta-endorphin binding {GO:0031626}; endopeptidase activity {GO:0004175}; identical protein binding {GO:0042802}; insulin binding {GO:0043559}; metalloendopeptidase activity {GO:0004222}; peptide binding {GO:0042277}; peptide hormone binding {GO:0017046}; protein homodimerization activity {GO:0042803}; protein-containing complex binding {GO:0044877}; ubiquitin-dependent protein binding {GO:0140036}; zinc ion binding {GO:0008270}</t>
  </si>
  <si>
    <t>Ub-specific processing proteases {R-MMU-5689880}; Peroxisomal protein import {R-MMU-9033241}</t>
  </si>
  <si>
    <t>sp|O35945|AL1A7_MOUSE</t>
  </si>
  <si>
    <t>Aldehyde dehydrogenase, cytosolic 1</t>
  </si>
  <si>
    <t>ALDH class 1; ALDH-E1; ALHDII; Aldehyde dehydrogenase family 1 member A7; Aldehyde dehydrogenase phenobarbital-inducible</t>
  </si>
  <si>
    <t>AL1A7_MOUSE</t>
  </si>
  <si>
    <t>O35945</t>
  </si>
  <si>
    <t>Q80ZX7</t>
  </si>
  <si>
    <t>Aldh-pb</t>
  </si>
  <si>
    <t>MGI:1347050</t>
  </si>
  <si>
    <t>Acetylation; Cytoplasm; NAD; Oxidoreductase; Phosphoprotein</t>
  </si>
  <si>
    <t>cellular detoxification of aldehyde {GO:0110095}; ethanol catabolic process {GO:0006068}; fructosamine catabolic process {GO:0030392}; fructose catabolic process {GO:0006001}</t>
  </si>
  <si>
    <t>3-chloroallyl aldehyde dehydrogenase activity {GO:0004028}; 3-deoxyglucosone dehydrogenase activity {GO:0106373}; aldehyde dehydrogenase (NAD+) activity {GO:0004029}; benzaldehyde dehydrogenase (NAD+) activity {GO:0018479}; glyceraldehyde-3-phosphate dehydrogenase (NAD+) (non-phosphorylating) activity {GO:0043878}; identical protein binding {GO:0042802}</t>
  </si>
  <si>
    <t>Alcohol metabolism; ethanol degradation; acetate from ethanol: step 2/2.</t>
  </si>
  <si>
    <t>sp|Q9Z2U1|PSA5_MOUSE</t>
  </si>
  <si>
    <t>Proteasome subunit alpha type-5</t>
  </si>
  <si>
    <t>Macropain zeta chain; Multicatalytic endopeptidase complex zeta chain; Proteasome zeta chain</t>
  </si>
  <si>
    <t>PSA5_MOUSE</t>
  </si>
  <si>
    <t>Q9Z2U1</t>
  </si>
  <si>
    <t>MGI:1347009</t>
  </si>
  <si>
    <t>proteasomal protein catabolic process {GO:0010498}; proteasome-mediated ubiquitin-dependent protein catabolic process {GO:0043161}</t>
  </si>
  <si>
    <t>cytoplasm {GO:0005737}; cytosol {GO:0005829}; nucleoplasm {GO:0005654}; nucleus {GO:0005634}; proteasome complex {GO:0000502}; proteasome core complex {GO:0005839}; proteasome core complex, alpha-subunit complex {GO:0019773}</t>
  </si>
  <si>
    <t>sp|Q9CZ44|NSF1C_MOUSE</t>
  </si>
  <si>
    <t>NSFL1 cofactor p47</t>
  </si>
  <si>
    <t>p97 cofactor p47</t>
  </si>
  <si>
    <t>NSF1C_MOUSE</t>
  </si>
  <si>
    <t>Q9CZ44</t>
  </si>
  <si>
    <t>A2AT03; Q80Y15; Q8BYL3</t>
  </si>
  <si>
    <t>MGI:3042273</t>
  </si>
  <si>
    <t>Alternative splicing; Chromosome; Cytoplasm; Cytoskeleton; Golgi apparatus; Lipid-binding; Nucleus; Phosphoprotein</t>
  </si>
  <si>
    <t>Chromosome; Cytoplasm; Cytoskeleton; Golgi apparatus; Nucleus</t>
  </si>
  <si>
    <t>autophagosome assembly {GO:0000045}; establishment of mitotic spindle orientation {GO:0000132}; Golgi organization {GO:0007030}; membrane fusion {GO:0061025}; negative regulation of protein localization to centrosome {GO:1904780}; nuclear membrane reassembly {GO:0031468}; positive regulation of mitotic centrosome separation {GO:0046604}; proteasome-mediated ubiquitin-dependent protein catabolic process {GO:0043161}</t>
  </si>
  <si>
    <t>chromosome {GO:0005694}; cytoplasm {GO:0005737}; cytosol {GO:0005829}; Golgi stack {GO:0005795}; nucleus {GO:0005634}; spindle pole centrosome {GO:0031616}; VCP-NSFL1C complex {GO:1990730}</t>
  </si>
  <si>
    <t>ATPase binding {GO:0051117}; phospholipid binding {GO:0005543}; ubiquitin binding {GO:0043130}</t>
  </si>
  <si>
    <t>RHOH GTPase cycle {R-MMU-9013407}</t>
  </si>
  <si>
    <t>sp|P60229|EIF3E_MOUSE</t>
  </si>
  <si>
    <t>Eukaryotic translation initiation factor 3 subunit E (eIF3e)</t>
  </si>
  <si>
    <t>Eukaryotic translation initiation factor 3 subunit 6; MMTV integration site 6; Mammary tumor-associated protein INT-6; Viral integration site protein INT-6; eIF-3 p48</t>
  </si>
  <si>
    <t>EIF3E_MOUSE</t>
  </si>
  <si>
    <t>P60229</t>
  </si>
  <si>
    <t>O43902; Q64058; Q64059; Q64252</t>
  </si>
  <si>
    <t>Eif3s6; Int6</t>
  </si>
  <si>
    <t>MGI:99257</t>
  </si>
  <si>
    <t>Acetylation; Cytoplasm; Initiation factor; Nucleus; Phosphoprotein; Protein biosynthesis</t>
  </si>
  <si>
    <t>cellular calcium ion homeostasis {GO:0006874}; formation of cytoplasmic translation initiation complex {GO:0001732}; nuclear-transcribed mRNA catabolic process, nonsense-mediated decay {GO:0000184}; positive regulation of intracellular protein transport {GO:0090316}; positive regulation of mRNA binding {GO:1902416}; positive regulation of translation {GO:0045727}; translational initiation {GO:0006413}</t>
  </si>
  <si>
    <t>cytoplasm {GO:0005737}; cytosol {GO:0005829}; eukaryotic 43S preinitiation complex {GO:0016282}; eukaryotic 48S preinitiation complex {GO:0033290}; eukaryotic translation initiation factor 3 complex {GO:0005852}; eukaryotic translation initiation factor 3 complex, eIF3e {GO:0071540}; nucleus {GO:0005634}; PML body {GO:0016605}</t>
  </si>
  <si>
    <t>protein N-terminus binding {GO:0047485}; translation initiation factor activity {GO:0003743}; transmembrane transporter binding {GO:0044325}</t>
  </si>
  <si>
    <t>sp|Q9CR86|CHSP1_MOUSE</t>
  </si>
  <si>
    <t>Calcium-regulated heat stable protein 1</t>
  </si>
  <si>
    <t>Calcium-regulated heat-stable protein of 24 kDa (CRHSP-24)</t>
  </si>
  <si>
    <t>CHSP1_MOUSE</t>
  </si>
  <si>
    <t>Q9CR86</t>
  </si>
  <si>
    <t>MGI:1196368</t>
  </si>
  <si>
    <t>Acetylation; Cytoplasm; Phosphoprotein; RNA-binding</t>
  </si>
  <si>
    <t>regulation of mRNA stability {GO:0043488}</t>
  </si>
  <si>
    <t>cytoplasm {GO:0005737}; cytosol {GO:0005829}; P granule {GO:0043186}; P-body {GO:0000932}</t>
  </si>
  <si>
    <t>mRNA 3'-UTR binding {GO:0003730}</t>
  </si>
  <si>
    <t>sp|Q8BFX1|RN187_MOUSE</t>
  </si>
  <si>
    <t>E3 ubiquitin-protein ligase RNF187</t>
  </si>
  <si>
    <t>RING domain AP1 coactivator 1 (RACO-1); RING finger protein 187; RING-type E3 ubiquitin transferase RNF187</t>
  </si>
  <si>
    <t>RN187_MOUSE</t>
  </si>
  <si>
    <t>Q8BFX1</t>
  </si>
  <si>
    <t>Q4VA64; Q8C2B0; Q8CAS0; Q9JMF6</t>
  </si>
  <si>
    <t>MGI:1914224</t>
  </si>
  <si>
    <t>Cytoplasm; Isopeptide bond; Metal-binding; Methylation; Nucleus; Phosphoprotein; Transferase; Ubl conjugation; Ubl conjugation pathway; Zinc; Zinc-finger</t>
  </si>
  <si>
    <t>innate immune response {GO:0045087}; positive regulation of cell population proliferation {GO:0008284}; positive regulation of DNA-templated transcription {GO:0045893}; proteasome-mediated ubiquitin-dependent protein catabolic process {GO:0043161}; protein autoubiquitination {GO:0051865}; protein K48-linked ubiquitination {GO:0070936}; protein ubiquitination {GO:0016567}; regulation of gene expression {GO:0010468}</t>
  </si>
  <si>
    <t>metal ion binding {GO:0046872}; ubiquitin protein ligase activity {GO:0061630}; ubiquitin-protein transferase activity {GO:0004842}</t>
  </si>
  <si>
    <t>sp|Q8BK67|RCC2_MOUSE</t>
  </si>
  <si>
    <t>Protein RCC2</t>
  </si>
  <si>
    <t>RCC2_MOUSE</t>
  </si>
  <si>
    <t>Q8BK67</t>
  </si>
  <si>
    <t>A2AWQ3; Q6ZPQ0</t>
  </si>
  <si>
    <t>Kiaa1470</t>
  </si>
  <si>
    <t>MGI:1919784</t>
  </si>
  <si>
    <t>Acetylation; Cell cycle; Cell division; Cell membrane; Centromere; Chromosome; Cytoplasm; Cytoskeleton; Guanine-nucleotide releasing factor; Membrane; Microtubule; Mitosis; Nucleus; Phosphoprotein; Repeat</t>
  </si>
  <si>
    <t>Cell membrane; Centromere; Chromosome; Cytoplasm; Cytoskeleton; Membrane; Microtubule; Nucleus</t>
  </si>
  <si>
    <t>Guanine-nucleotide releasing factor</t>
  </si>
  <si>
    <t>activation of GTPase activity {GO:0090630}; cell cycle {GO:0007049}; cell division {GO:0051301}; chromosome passenger complex localization to kinetochore {GO:0072356}; establishment of protein localization {GO:0045184}; focal adhesion assembly {GO:0048041}; integrin-mediated signaling pathway {GO:0007229}; negative regulation of focal adhesion assembly {GO:0051895}; negative regulation of GTPase activity {GO:0034260}; negative regulation of substrate adhesion-dependent cell spreading {GO:1900025}; positive regulation of attachment of spindle microtubules to kinetochore {GO:0051987}; positive regulation of G2/M transition of mitotic cell cycle {GO:0010971}; regulation of cell migration {GO:0030334}; regulation of fibroblast migration {GO:0010762}; regulation of ruffle assembly {GO:1900027}</t>
  </si>
  <si>
    <t>chromosome, centromeric core domain {GO:0034506}; early endosome membrane {GO:0031901}; membrane {GO:0016020}; microtubule {GO:0005874}; midbody {GO:0030496}; mitotic spindle midzone {GO:1990023}; nucleolus {GO:0005730}; nucleus {GO:0005634}; plasma membrane {GO:0005886}</t>
  </si>
  <si>
    <t>guanyl-nucleotide exchange factor activity {GO:0005085}; microtubule binding {GO:0008017}; protein domain specific binding {GO:0019904}; protein kinase binding {GO:0019901}; small GTPase binding {GO:0031267}</t>
  </si>
  <si>
    <t>Amplification of signal from unattached kinetochores via a MAD2 inhibitory signal {R-MMU-141444}; Separation of Sister Chromatids {R-MMU-2467813}; Resolution of Sister Chromatid Cohesion {R-MMU-2500257}; RHO GTPases Activate Formins {R-MMU-5663220}; Mitotic Prometaphase {R-MMU-68877}; EML4 and NUDC in mitotic spindle formation {R-MMU-9648025}</t>
  </si>
  <si>
    <t>sp|Q6ZPJ3|UBE2O_MOUSE</t>
  </si>
  <si>
    <t>(E3-independent) E2 ubiquitin-conjugating enzyme UBE2O</t>
  </si>
  <si>
    <t>E2/E3 hybrid ubiquitin-protein ligase UBE2O; Ubiquitin carrier protein O; Ubiquitin-conjugating enzyme E2 O; Ubiquitin-conjugating enzyme E2 of 230 kDa (Ubiquitin-conjugating enzyme E2-230K); Ubiquitin-protein ligase O</t>
  </si>
  <si>
    <t>UBE2O_MOUSE</t>
  </si>
  <si>
    <t>Q6ZPJ3</t>
  </si>
  <si>
    <t>A2A7X3; Q60800; Q6PCR9; Q7TPN2; Q8BLE8</t>
  </si>
  <si>
    <t>Kiaa1734</t>
  </si>
  <si>
    <t>MGI:2444266</t>
  </si>
  <si>
    <t>ATP-binding; Coiled coil; Cytoplasm; Nucleotide-binding; Nucleus; Phosphoprotein; Transferase; Ubl conjugation; Ubl conjugation pathway</t>
  </si>
  <si>
    <t>negative regulation of apoptotic process {GO:0043066}; positive regulation of BMP signaling pathway {GO:0030513}; protein K63-linked ubiquitination {GO:0070534}; protein monoubiquitination {GO:0006513}; retrograde transport, endosome to Golgi {GO:0042147}</t>
  </si>
  <si>
    <t>cytoplasm {GO:0005737}; cytosol {GO:0005829}; nuclear body {GO:0016604}; nucleoplasm {GO:0005654}; nucleus {GO:0005634}</t>
  </si>
  <si>
    <t>ATP binding {GO:0005524}; cysteine-type endopeptidase inhibitor activity {GO:0004869}; ubiquitin conjugating enzyme activity {GO:0061631}; ubiquitin protein ligase activity {GO:0061630}; ubiquitin-protein transferase activity {GO:0004842}</t>
  </si>
  <si>
    <t>sp|Q61699|HS105_MOUSE</t>
  </si>
  <si>
    <t>Heat shock protein 105 kDa</t>
  </si>
  <si>
    <t>42 degrees C-HSP; Heat shock 110 kDa protein; Heat shock-related 100 kDa protein E7I (HSP-E7I)</t>
  </si>
  <si>
    <t>HS105_MOUSE</t>
  </si>
  <si>
    <t>Q61699</t>
  </si>
  <si>
    <t>Q3TNS2; Q3UIY8; Q62578; Q62579; Q6A0A5; Q8C430; Q8VCW6</t>
  </si>
  <si>
    <t>Hsp105; Hsp110; Kiaa0201</t>
  </si>
  <si>
    <t>MGI:105053</t>
  </si>
  <si>
    <t>Acetylation; Alternative splicing; ATP-binding; Cytoplasm; Nucleotide-binding; Nucleus; Phosphoprotein; Stress response</t>
  </si>
  <si>
    <t>chaperone cofactor-dependent protein refolding {GO:0051085}; negative regulation of neuron apoptotic process {GO:0043524}; positive regulation of MHC class I biosynthetic process {GO:0045345}; positive regulation of NK T cell activation {GO:0051135}; protein folding {GO:0006457}; regulation of microtubule cytoskeleton organization {GO:0070507}; response to unfolded protein {GO:0006986}</t>
  </si>
  <si>
    <t>cytoplasm {GO:0005737}; cytosol {GO:0005829}; extracellular region {GO:0005576}; nucleoplasm {GO:0005654}; nucleus {GO:0005634}; protein-containing complex {GO:0032991}</t>
  </si>
  <si>
    <t>adenyl-nucleotide exchange factor activity {GO:0000774}; alpha-tubulin binding {GO:0043014}; ATP binding {GO:0005524}; ATP-dependent protein folding chaperone {GO:0140662}</t>
  </si>
  <si>
    <t>sp|Q61656|DDX5_MOUSE</t>
  </si>
  <si>
    <t>Probable ATP-dependent RNA helicase DDX5</t>
  </si>
  <si>
    <t>DEAD box RNA helicase DEAD1 (mDEAD1); DEAD box protein 5; RNA helicase p68</t>
  </si>
  <si>
    <t>DDX5_MOUSE</t>
  </si>
  <si>
    <t>Q61656</t>
  </si>
  <si>
    <t>E9Q105</t>
  </si>
  <si>
    <t>Tnz2</t>
  </si>
  <si>
    <t>MGI:105037</t>
  </si>
  <si>
    <t>Acetylation; ATP-binding; Biological rhythms; Cytoplasm; Helicase; Hydrolase; Isopeptide bond; Methylation; mRNA processing; mRNA splicing; Nucleotide-binding; Nucleus; Phosphoprotein; RNA-binding; Spliceosome; Transcription; Transcription regulation; Ubl conjugation</t>
  </si>
  <si>
    <t>Biological rhythms; Transcription; Transcription regulation; mRNA processing; mRNA splicing</t>
  </si>
  <si>
    <t>Helicase; Hydrolase; RNA-binding</t>
  </si>
  <si>
    <t>alternative mRNA splicing, via spliceosome {GO:0000380}; androgen receptor signaling pathway {GO:0030521}; BMP signaling pathway {GO:0030509}; circadian rhythm {GO:0007623}; epithelial to mesenchymal transition {GO:0001837}; intracellular estrogen receptor signaling pathway {GO:0030520}; intrinsic apoptotic signaling pathway by p53 class mediator {GO:0072332}; miRNA transcription {GO:0061614}; mRNA transcription {GO:0009299}; myoblast differentiation {GO:0045445}; negative regulation of transcription by RNA polymerase II {GO:0000122}; nuclear-transcribed mRNA catabolic process {GO:0000956}; positive regulation of DNA damage response, signal transduction by p53 class mediator {GO:0043517}; positive regulation of DNA-templated transcription {GO:0045893}; positive regulation of miRNA maturation {GO:1903800}; protein import into nucleus {GO:0006606}; regulation of alternative mRNA splicing, via spliceosome {GO:0000381}; regulation of androgen receptor signaling pathway {GO:0060765}; regulation of osteoblast differentiation {GO:0045667}; regulation of skeletal muscle cell differentiation {GO:2001014}; regulation of transcription by RNA polymerase II {GO:0006357}; regulation of viral genome replication {GO:0045069}</t>
  </si>
  <si>
    <t>catalytic step 2 spliceosome {GO:0071013}; cytoplasm {GO:0005737}; nuclear speck {GO:0016607}; nucleolus {GO:0005730}; nucleoplasm {GO:0005654}; nucleus {GO:0005634}; ribonucleoprotein complex {GO:1990904}</t>
  </si>
  <si>
    <t>ATP binding {GO:0005524}; ATP hydrolysis activity {GO:0016887}; calcium-dependent protein binding {GO:0048306}; calmodulin binding {GO:0005516}; enzyme binding {GO:0019899}; MH2 domain binding {GO:0035500}; mRNA 3'-UTR binding {GO:0003730}; nuclear androgen receptor binding {GO:0050681}; pre-mRNA binding {GO:0036002}; primary miRNA binding {GO:0070878}; promoter-specific chromatin binding {GO:1990841}; R-SMAD binding {GO:0070412}; ribonucleoprotein complex binding {GO:0043021}; RNA binding {GO:0003723}; RNA helicase activity {GO:0003724}; SMAD binding {GO:0046332}; transcription coregulator activity {GO:0003712}</t>
  </si>
  <si>
    <t>SUMOylation of transcription cofactors {R-MMU-3899300}; mRNA Splicing - Major Pathway {R-MMU-72163}; Estrogen-dependent gene expression {R-MMU-9018519}</t>
  </si>
  <si>
    <t>sp|Q99LD8|DDAH2_MOUSE</t>
  </si>
  <si>
    <t>N(G),N(G)-dimethylarginine dimethylaminohydrolase 2 (DDAH-2; Dimethylarginine dimethylaminohydrolase 2)</t>
  </si>
  <si>
    <t>DDAHII; Dimethylargininase-2</t>
  </si>
  <si>
    <t>DDAH2_MOUSE</t>
  </si>
  <si>
    <t>Q99LD8</t>
  </si>
  <si>
    <t>MGI:1859016</t>
  </si>
  <si>
    <t>Cytoplasm; Hydrolase; Mitochondrion</t>
  </si>
  <si>
    <t>arginine catabolic process {GO:0006527}; arginine metabolic process {GO:0006525}; citrulline metabolic process {GO:0000052}; positive regulation of nitric oxide biosynthetic process {GO:0045429}</t>
  </si>
  <si>
    <t>amino acid binding {GO:0016597}; dimethylargininase activity {GO:0016403}</t>
  </si>
  <si>
    <t>eNOS activation {R-MMU-203615}</t>
  </si>
  <si>
    <t>sp|P62849|RS24_MOUSE</t>
  </si>
  <si>
    <t>40S ribosomal protein S24</t>
  </si>
  <si>
    <t>RS24_MOUSE</t>
  </si>
  <si>
    <t>P62849</t>
  </si>
  <si>
    <t>P16632; Q642L0; Q6PDB5</t>
  </si>
  <si>
    <t>MGI:98147</t>
  </si>
  <si>
    <t>3D-structure; Acetylation; Alternative splicing; Isopeptide bond; Phosphoprotein; Ribonucleoprotein; Ribosomal protein; Ubl conjugation</t>
  </si>
  <si>
    <t>cytoplasm {GO:0005737}; cytosol {GO:0005829}; cytosolic ribosome {GO:0022626}; cytosolic small ribosomal subunit {GO:0022627}; endoplasmic reticulum {GO:0005783}; small ribosomal subunit {GO:0015935}</t>
  </si>
  <si>
    <t>structural constituent of ribosome {GO:0003735}; translation initiation factor binding {GO:0031369}</t>
  </si>
  <si>
    <t>sp|Q99KK7|DPP3_MOUSE</t>
  </si>
  <si>
    <t>Dipeptidyl peptidase 3</t>
  </si>
  <si>
    <t>Dipeptidyl aminopeptidase III; Dipeptidyl arylamidase III; Dipeptidyl peptidase III (DPP III); Enkephalinase B</t>
  </si>
  <si>
    <t>DPP3_MOUSE</t>
  </si>
  <si>
    <t>Q99KK7</t>
  </si>
  <si>
    <t>Q8C0I6</t>
  </si>
  <si>
    <t>MGI:1922471</t>
  </si>
  <si>
    <t>Acetylation; Aminopeptidase; Cytoplasm; Hydrolase; Metal-binding; Metalloprotease; Protease; Zinc</t>
  </si>
  <si>
    <t>protein catabolic process {GO:0030163}; proteolysis {GO:0006508}</t>
  </si>
  <si>
    <t>aminopeptidase activity {GO:0004177}; dipeptidyl-peptidase activity {GO:0008239}; metalloexopeptidase activity {GO:0008235}; zinc ion binding {GO:0008270}</t>
  </si>
  <si>
    <t>sp|P07356|ANXA2_MOUSE</t>
  </si>
  <si>
    <t>Annexin A2</t>
  </si>
  <si>
    <t>Annexin II; Annexin-2; Calpactin I heavy chain; Calpactin-1 heavy chain; Chromobindin-8; Lipocortin II; Placental anticoagulant protein IV (PAP-IV); Protein I; p36</t>
  </si>
  <si>
    <t>ANXA2_MOUSE</t>
  </si>
  <si>
    <t>P07356</t>
  </si>
  <si>
    <t>Anx2; Cal1h</t>
  </si>
  <si>
    <t>MGI:88246</t>
  </si>
  <si>
    <t>3D-structure; Acetylation; Annexin; Basement membrane; Calcium; Calcium/phospholipid-binding; Extracellular matrix; Isopeptide bond; Phosphoprotein; Repeat; Secreted; Ubl conjugation</t>
  </si>
  <si>
    <t>angiogenesis {GO:0001525}; body fluid secretion {GO:0007589}; collagen fibril organization {GO:0030199}; fibrinolysis {GO:0042730}; membrane raft assembly {GO:0001765}; mRNA transcription by RNA polymerase II {GO:0042789}; negative regulation of low-density lipoprotein particle receptor catabolic process {GO:0032804}; negative regulation of receptor internalization {GO:0002091}; osteoclast development {GO:0036035}; positive regulation of binding {GO:0051099}; positive regulation of exocytosis {GO:0045921}; positive regulation of fibroblast proliferation {GO:0048146}; positive regulation of low-density lipoprotein particle clearance {GO:1905581}; positive regulation of low-density lipoprotein particle receptor binding {GO:1905597}; positive regulation of low-density lipoprotein receptor activity {GO:1905599}; positive regulation of plasma membrane repair {GO:1905686}; positive regulation of plasminogen activation {GO:0010756}; positive regulation of protein phosphorylation {GO:0001934}; positive regulation of receptor recycling {GO:0001921}; positive regulation of receptor-mediated endocytosis involved in cholesterol transport {GO:1905602}; positive regulation of transcription by RNA polymerase II {GO:0045944}; positive regulation of vacuole organization {GO:0044090}; positive regulation of vesicle fusion {GO:0031340}; protein localization to plasma membrane {GO:0072659}; regulation of neurogenesis {GO:0050767}; vesicle budding from membrane {GO:0006900}</t>
  </si>
  <si>
    <t>AnxA2-p11 complex {GO:1990665}; basement membrane {GO:0005604}; basolateral plasma membrane {GO:0016323}; cell cortex {GO:0005938}; cell surface {GO:0009986}; collagen-containing extracellular matrix {GO:0062023}; cornified envelope {GO:0001533}; cytoplasm {GO:0005737}; cytosol {GO:0005829}; early endosome {GO:0005769}; endosome {GO:0005768}; extracellular exosome {GO:0070062}; extracellular space {GO:0005615}; extrinsic component of plasma membrane {GO:0019897}; late endosome membrane {GO:0031902}; lipid droplet {GO:0005811}; lysosomal membrane {GO:0005765}; macropinosome {GO:0044354}; melanosome {GO:0042470}; membrane {GO:0016020}; membrane raft {GO:0045121}; midbody {GO:0030496}; myelin sheath adaxonal region {GO:0035749}; nuclear matrix {GO:0016363}; nucleus {GO:0005634}; PCSK9-AnxA2 complex {GO:1990667}; perinuclear region of cytoplasm {GO:0048471}; plasma membrane {GO:0005886}; plasma membrane protein complex {GO:0098797}; protein-containing complex {GO:0032991}; RNA polymerase II transcription regulator complex {GO:0090575}; ruffle {GO:0001726}; sarcolemma {GO:0042383}; Schmidt-Lanterman incisure {GO:0043220}; vesicle {GO:0031982}</t>
  </si>
  <si>
    <t>bone sialoprotein binding {GO:0044730}; calcium channel activity {GO:0005262}; calcium ion binding {GO:0005509}; calcium-dependent phospholipid binding {GO:0005544}; calcium-dependent protein binding {GO:0048306}; cytoskeletal protein binding {GO:0008092}; identical protein binding {GO:0042802}; phosphatidylinositol-4,5-bisphosphate binding {GO:0005546}; phosphatidylserine binding {GO:0001786}; phospholipase A2 inhibitor activity {GO:0019834}; protease binding {GO:0002020}; S100 protein binding {GO:0044548}; serine-type endopeptidase inhibitor activity {GO:0004867}; small GTPase binding {GO:0031267}; virion binding {GO:0046790}</t>
  </si>
  <si>
    <t>Neutrophil degranulation {R-MMU-6798695}; Dissolution of Fibrin Clot {R-MMU-75205}</t>
  </si>
  <si>
    <t>sp|Q62417|SRBS1_MOUSE</t>
  </si>
  <si>
    <t>Sorbin and SH3 domain-containing protein 1</t>
  </si>
  <si>
    <t>Ponsin; SH3 domain protein 5; SH3P12; c-Cbl-associated protein (CAP)</t>
  </si>
  <si>
    <t>SRBS1_MOUSE</t>
  </si>
  <si>
    <t>Q62417</t>
  </si>
  <si>
    <t>Q80TF8; Q8BZI3; Q8K3Y2; Q921F8; Q9Z0Z8; Q9Z0Z9</t>
  </si>
  <si>
    <t>MGI:700014</t>
  </si>
  <si>
    <t>Alternative splicing; Cell junction; Cell membrane; Cytoplasm; Cytoskeleton; Glycoprotein; Membrane; Nucleus; Phosphoprotein; Repeat; SH3 domain; Transport</t>
  </si>
  <si>
    <t>Cell junction; Cell membrane; Cytoplasm; Cytoskeleton; Membrane; Nucleus</t>
  </si>
  <si>
    <t>acetylcholine receptor signaling pathway {GO:0095500}; cell-substrate adhesion {GO:0031589}; cellular response to insulin stimulus {GO:0032869}; focal adhesion assembly {GO:0048041}; insulin receptor signaling pathway {GO:0008286}; positive regulation of glucose import {GO:0046326}; positive regulation of glycogen biosynthetic process {GO:0045725}; positive regulation of insulin receptor signaling pathway {GO:0046628}; positive regulation of lipid biosynthetic process {GO:0046889}; positive regulation of protein localization to plasma membrane {GO:1903078}; regulation of skeletal muscle acetylcholine-gated channel clustering {GO:1904393}; stress fiber assembly {GO:0043149}</t>
  </si>
  <si>
    <t>adherens junction {GO:0005912}; cell-substrate junction {GO:0030055}; centrosome {GO:0005813}; cytoplasm {GO:0005737}; cytoskeleton {GO:0005856}; cytosol {GO:0005829}; flotillin complex {GO:0016600}; focal adhesion {GO:0005925}; membrane {GO:0016020}; membrane raft {GO:0045121}; nuclear matrix {GO:0016363}; nucleus {GO:0005634}; plasma membrane {GO:0005886}; stress fiber {GO:0001725}; synapse {GO:0045202}</t>
  </si>
  <si>
    <t>insulin receptor binding {GO:0005158}; protein kinase binding {GO:0019901}; signaling receptor complex adaptor activity {GO:0030159}; ubiquitin protein ligase binding {GO:0031625}</t>
  </si>
  <si>
    <t>Smooth Muscle Contraction {R-MMU-445355}</t>
  </si>
  <si>
    <t>sp|Q64152|BTF3_MOUSE</t>
  </si>
  <si>
    <t>Transcription factor BTF3</t>
  </si>
  <si>
    <t>Nascent polypeptide-associated complex subunit beta (NAC-beta); RNA polymerase B transcription factor 3</t>
  </si>
  <si>
    <t>BTF3_MOUSE</t>
  </si>
  <si>
    <t>Q64152</t>
  </si>
  <si>
    <t>Q64153; Q6GU63; Q6P3F3</t>
  </si>
  <si>
    <t>MGI:1202875</t>
  </si>
  <si>
    <t>Alternative splicing; Chaperone; Cytoplasm; Methylation; Nucleus; Phosphoprotein; Protein transport; Transcription; Transcription regulation; Transport</t>
  </si>
  <si>
    <t>Protein transport; Transcription; Transcription regulation; Transport</t>
  </si>
  <si>
    <t>in utero embryonic development {GO:0001701}; negative regulation of protein localization to endoplasmic reticulum {GO:1905551}; protein transport {GO:0015031}</t>
  </si>
  <si>
    <t>cytoplasm {GO:0005737}; cytosol {GO:0005829}; nascent polypeptide-associated complex {GO:0005854}; nucleus {GO:0005634}; polysomal ribosome {GO:0042788}</t>
  </si>
  <si>
    <t>sp|O70133|DHX9_MOUSE</t>
  </si>
  <si>
    <t>ATP-dependent RNA helicase A</t>
  </si>
  <si>
    <t>DEAH box protein 9 (mHEL-5); Nuclear DNA helicase II (NDH II); RNA helicase A (RHA)</t>
  </si>
  <si>
    <t>DHX9_MOUSE</t>
  </si>
  <si>
    <t>O70133</t>
  </si>
  <si>
    <t>O35931; O54703; Q5FWY1; Q6R5F7; Q9CSA2</t>
  </si>
  <si>
    <t>MGI:108177</t>
  </si>
  <si>
    <t>3D-structure; Acetylation; Activator; Alternative splicing; ATP-binding; Biological rhythms; Cytoplasm; Cytoskeleton; DNA-binding; Helicase; Hydrolase; Immunity; Inflammatory response; Innate immunity; Isopeptide bond; Manganese; Metal-binding; Methylation; mRNA processing; mRNA splicing; mRNA transport; Nucleotide-binding; Nucleus; Phosphoprotein; Repeat; RNA-binding; RNA-mediated gene silencing; Transcription; Transcription regulation; Transcription termination; Translation regulation; Transport; Ubl conjugation</t>
  </si>
  <si>
    <t>Biological rhythms; Immunity; Inflammatory response; Innate immunity; RNA-mediated gene silencing; Transcription; Transcription regulation; Transcription termination; Translation regulation; Transport; mRNA processing; mRNA splicing; mRNA transport</t>
  </si>
  <si>
    <t>ATP-binding; Manganese; Metal-binding; Nucleotide-binding</t>
  </si>
  <si>
    <t>Activator; DNA-binding; Helicase; Hydrolase; RNA-binding</t>
  </si>
  <si>
    <t>alternative mRNA splicing, via spliceosome {GO:0000380}; cellular response to exogenous dsRNA {GO:0071360}; cellular response to heat {GO:0034605}; cellular response to tumor necrosis factor {GO:0071356}; circadian rhythm {GO:0007623}; CRD-mediated mRNA stabilization {GO:0070934}; DNA duplex unwinding {GO:0032508}; DNA-templated transcription termination {GO:0006353}; DNA-templated viral transcription {GO:0039695}; G-quadruplex DNA unwinding {GO:0044806}; global gene silencing by mRNA cleavage {GO:0098795}; inflammatory response {GO:0006954}; innate immune response {GO:0045087}; mRNA transport {GO:0051028}; negative regulation of nuclear-transcribed mRNA catabolic process, deadenylation-dependent decay {GO:1900152}; positive regulation of cytoplasmic translation {GO:2000767}; positive regulation of DNA repair {GO:0045739}; positive regulation of DNA replication {GO:0045740}; positive regulation of DNA topoisomerase (ATP-hydrolyzing) activity {GO:2000373}; positive regulation of fibroblast proliferation {GO:0048146}; positive regulation of inflammatory response {GO:0050729}; positive regulation of innate immune response {GO:0045089}; positive regulation of interferon-alpha production {GO:0032727}; positive regulation of interferon-beta production {GO:0032728}; positive regulation of interleukin-18 production {GO:0032741}; positive regulation of interleukin-6 production {GO:0032755}; positive regulation of miRNA-mediated gene silencing {GO:2000637}; positive regulation of NF-kappaB transcription factor activity {GO:0051092}; positive regulation of polysome binding {GO:1905698}; positive regulation of response to cytokine stimulus {GO:0060760}; positive regulation of RNA export from nucleus {GO:0046833}; positive regulation of transcription by RNA polymerase II {GO:0045944}; positive regulation of tumor necrosis factor production {GO:0032760}; positive regulation of viral transcription {GO:0050434}; positive regulation of viral translation {GO:1904973}; protein localization to cytoplasmic stress granule {GO:1903608}; protein-containing complex assembly {GO:0065003}; pyroptosis {GO:0070269}; regulation of cytoplasmic translation {GO:2000765}; regulation of defense response to virus by host {GO:0050691}; regulation of mRNA processing {GO:0050684}; regulation of transcription by RNA polymerase II {GO:0006357}; RISC complex assembly {GO:0070922}; RNA secondary structure unwinding {GO:0010501}</t>
  </si>
  <si>
    <t>actin cytoskeleton {GO:0015629}; centrosome {GO:0005813}; CRD-mediated mRNA stability complex {GO:0070937}; cytoplasm {GO:0005737}; cytoplasmic ribonucleoprotein granule {GO:0036464}; cytosol {GO:0005829}; nuclear body {GO:0016604}; nuclear stress granule {GO:0097165}; nucleolus {GO:0005730}; nucleoplasm {GO:0005654}; nucleus {GO:0005634}; perichromatin fibrils {GO:0005726}; polysomal ribosome {GO:0042788}; polysome {GO:0005844}; protein-containing complex {GO:0032991}; ribonucleoprotein complex {GO:1990904}; RISC complex {GO:0016442}; RISC-loading complex {GO:0070578}</t>
  </si>
  <si>
    <t>3'-5' DNA helicase activity {GO:0043138}; 3'-5' DNA/RNA helicase activity {GO:0033679}; 3'-5' RNA helicase activity {GO:0034458}; ATP binding {GO:0005524}; ATP hydrolysis activity {GO:0016887}; chromatin DNA binding {GO:0031490}; DNA binding {GO:0003677}; DNA helicase activity {GO:0003678}; DNA replication origin binding {GO:0003688}; double-stranded DNA binding {GO:0003690}; double-stranded RNA binding {GO:0003725}; importin-alpha family protein binding {GO:0061676}; metal ion binding {GO:0046872}; mRNA binding {GO:0003729}; nucleoside triphosphate diphosphatase activity {GO:0047429}; polysome binding {GO:1905538}; promoter-specific chromatin binding {GO:1990841}; regulatory region RNA binding {GO:0001069}; ribonucleoside triphosphate phosphatase activity {GO:0017111}; RISC complex binding {GO:1905172}; RNA binding {GO:0003723}; RNA helicase activity {GO:0003724}; RNA polymerase binding {GO:0070063}; RNA polymerase II cis-regulatory region sequence-specific DNA binding {GO:0000978}; RNA polymerase II complex binding {GO:0000993}; RNA polymerase II-specific DNA-binding transcription factor binding {GO:0061629}; RNA stem-loop binding {GO:0035613}; sequence-specific mRNA binding {GO:1990825}; single-stranded 3'-5' DNA helicase activity {GO:1990518}; single-stranded DNA binding {GO:0003697}; single-stranded RNA binding {GO:0003727}; siRNA binding {GO:0035197}; transcription coactivator activity {GO:0003713}; transcription coregulator activity {GO:0003712}; triplex DNA binding {GO:0045142}</t>
  </si>
  <si>
    <t>RIP-mediated NFkB activation via ZBP1 {R-MMU-1810476}; DEx/H-box helicases activate type I IFN and inflammatory cytokines production {R-MMU-3134963}; mRNA Splicing - Major Pathway {R-MMU-72163}</t>
  </si>
  <si>
    <t>sp|Q61205|PA1B3_MOUSE</t>
  </si>
  <si>
    <t>Platelet-activating factor acetylhydrolase IB subunit alpha1</t>
  </si>
  <si>
    <t>PAF acetylhydrolase 29 kDa subunit (PAF-AH 29 kDa subunit); PAF-AH subunit gamma (PAFAH subunit gamma)</t>
  </si>
  <si>
    <t>PA1B3_MOUSE</t>
  </si>
  <si>
    <t>Q61205</t>
  </si>
  <si>
    <t>Pafahg</t>
  </si>
  <si>
    <t>MGI:108414</t>
  </si>
  <si>
    <t>Acetylation; Cytoplasm; Hydrolase; Lipid degradation; Lipid metabolism; Phosphoprotein</t>
  </si>
  <si>
    <t>brain development {GO:0007420}; lipid catabolic process {GO:0016042}; spermatogenesis {GO:0007283}</t>
  </si>
  <si>
    <t>1-alkyl-2-acetylglycerophosphocholine esterase complex {GO:0008247}; cytoplasm {GO:0005737}; cytosol {GO:0005829}</t>
  </si>
  <si>
    <t>1-alkyl-2-acetylglycerophosphocholine esterase activity {GO:0003847}; identical protein binding {GO:0042802}; platelet-activating factor acetyltransferase activity {GO:0047179}; protein heterodimerization activity {GO:0046982}; protein homodimerization activity {GO:0042803}; protein-containing complex binding {GO:0044877}</t>
  </si>
  <si>
    <t>COPI-independent Golgi-to-ER retrograde traffic {R-MMU-6811436}</t>
  </si>
  <si>
    <t>sp|Q9QXS6|DREB_MOUSE</t>
  </si>
  <si>
    <t>Drebrin</t>
  </si>
  <si>
    <t>Developmentally-regulated brain protein</t>
  </si>
  <si>
    <t>DREB_MOUSE</t>
  </si>
  <si>
    <t>Q9QXS6</t>
  </si>
  <si>
    <t>A2CG16; Q3V234; Q922X1; Q9QXS5</t>
  </si>
  <si>
    <t>Drba</t>
  </si>
  <si>
    <t>MGI:1931838</t>
  </si>
  <si>
    <t>Acetylation; Actin-binding; Alternative splicing; Cell junction; Cell projection; Cytoplasm; Developmental protein; Differentiation; Neurogenesis; Phosphoprotein</t>
  </si>
  <si>
    <t>Cell junction; Cell projection; Cytoplasm</t>
  </si>
  <si>
    <t>Actin-binding; Developmental protein</t>
  </si>
  <si>
    <t>actin filament organization {GO:0007015}; cell communication by chemical coupling {GO:0010643}; cell communication by electrical coupling {GO:0010644}; cellular response to transforming growth factor beta stimulus {GO:0071560}; cellular response to tumor necrosis factor {GO:0071356}; cytoplasmic sequestering of protein {GO:0051220}; generation of neurons {GO:0048699}; in utero embryonic development {GO:0001701}; maintenance of protein location in cell {GO:0032507}; modulation of inhibitory postsynaptic potential {GO:0098828}; negative regulation of actin filament bundle assembly {GO:0032232}; negative regulation of locomotion involved in locomotory behavior {GO:0090327}; negative regulation of muscle filament sliding {GO:1904113}; neural precursor cell proliferation {GO:0061351}; neuron projection morphogenesis {GO:0048812}; positive regulation of axon extension {GO:0045773}; positive regulation of cell-substrate adhesion {GO:0010811}; positive regulation of dendritic spine morphogenesis {GO:0061003}; positive regulation of excitatory postsynaptic potential {GO:2000463}; positive regulation of neuron projection development {GO:0010976}; positive regulation of receptor localization to synapse {GO:1902685}; positive regulation of substrate adhesion-dependent cell spreading {GO:1900026}; positive regulation of synaptic plasticity {GO:0031915}; postsynaptic actin cytoskeleton organization {GO:0098974}; prepulse inhibition {GO:0060134}; regulation of actin filament polymerization {GO:0030833}; regulation of filopodium assembly {GO:0051489}; regulation of postsynaptic density protein 95 clustering {GO:1902897}</t>
  </si>
  <si>
    <t>actin cytoskeleton {GO:0015629}; actin filament {GO:0005884}; asymmetric synapse {GO:0032279}; axonal growth cone {GO:0044295}; axonal spine {GO:0044308}; cell-cell junction {GO:0005911}; cortical actin cytoskeleton {GO:0030864}; cytoplasm {GO:0005737}; cytoskeleton {GO:0005856}; dendrite {GO:0030425}; dendritic filopodium {GO:1902737}; dendritic shaft {GO:0043198}; dendritic spine {GO:0043197}; excitatory synapse {GO:0060076}; filopodium {GO:0030175}; gap junction {GO:0005921}; glutamatergic synapse {GO:0098978}; growth cone {GO:0030426}; lamellipodium {GO:0030027}; membrane {GO:0016020}; neuron spine {GO:0044309}; neuronal cell body {GO:0043025}; perinuclear region of cytoplasm {GO:0048471}; plasma membrane {GO:0005886}; postsynaptic actin cytoskeleton {GO:0098871}; postsynaptic cytosol {GO:0099524}; postsynaptic density {GO:0014069}; postsynaptic membrane {GO:0045211}; site of polarized growth {GO:0030427}</t>
  </si>
  <si>
    <t>actin filament binding {GO:0051015}; cytoskeletal motor inhibitor activity {GO:0140661}; cytoskeletal protein binding {GO:0008092}; profilin binding {GO:0005522}</t>
  </si>
  <si>
    <t>sp|P51859|HDGF_MOUSE</t>
  </si>
  <si>
    <t>Hepatoma-derived growth factor (HDGF)</t>
  </si>
  <si>
    <t>HDGF_MOUSE</t>
  </si>
  <si>
    <t>P51859</t>
  </si>
  <si>
    <t>Q8BPG7; Q9CYA4; Q9JK87</t>
  </si>
  <si>
    <t>Tdrm1</t>
  </si>
  <si>
    <t>MGI:1194494</t>
  </si>
  <si>
    <t>Acetylation; Cytoplasm; Disulfide bond; DNA-binding; Growth factor; Heparin-binding; Isopeptide bond; Nucleotide-binding; Nucleus; Phosphoprotein; Repressor; Secreted; Transcription; Transcription regulation; Ubl conjugation</t>
  </si>
  <si>
    <t>Nucleotide-binding</t>
  </si>
  <si>
    <t>DNA-binding; Growth factor; Heparin-binding; Repressor</t>
  </si>
  <si>
    <t>cellular response to interleukin-7 {GO:0098761}; negative regulation of neuron apoptotic process {GO:0043524}; negative regulation of transcription by RNA polymerase II {GO:0000122}; positive regulation of cell division {GO:0051781}; positive regulation of transcription by RNA polymerase II {GO:0045944}; protein localization to nucleus {GO:0034504}; regulation of transcription by RNA polymerase II {GO:0006357}</t>
  </si>
  <si>
    <t>cytoplasm {GO:0005737}; extracellular space {GO:0005615}; nucleoplasm {GO:0005654}; nucleus {GO:0005634}; transcription repressor complex {GO:0017053}</t>
  </si>
  <si>
    <t>actin binding {GO:0003779}; DNA-binding transcription repressor activity, RNA polymerase II-specific {GO:0001227}; double-stranded DNA binding {GO:0003690}; growth factor activity {GO:0008083}; heparin binding {GO:0008201}; nucleotide binding {GO:0000166}; RNA polymerase II cis-regulatory region sequence-specific DNA binding {GO:0000978}; transcription coregulator activity {GO:0003712}; transcription corepressor activity {GO:0003714}; transcription corepressor binding {GO:0001222}; tubulin binding {GO:0015631}</t>
  </si>
  <si>
    <t>sp|Q61655|DD19A_MOUSE</t>
  </si>
  <si>
    <t>ATP-dependent RNA helicase DDX19A</t>
  </si>
  <si>
    <t>DEAD box RNA helicase DEAD5 (mDEAD5); DEAD box protein 19A; Eukaryotic translation initiation factor 4A-related sequence 1</t>
  </si>
  <si>
    <t>DD19A_MOUSE</t>
  </si>
  <si>
    <t>Q61655</t>
  </si>
  <si>
    <t>Q543M2; Q921R0</t>
  </si>
  <si>
    <t>Ddx19; Eif4a-rs1</t>
  </si>
  <si>
    <t>MGI:99526</t>
  </si>
  <si>
    <t>Acetylation; ATP-binding; Cytoplasm; Helicase; Hydrolase; Isopeptide bond; Nucleotide-binding; Nucleus; Phosphoprotein; RNA-binding; Ubl conjugation</t>
  </si>
  <si>
    <t>poly(A)+ mRNA export from nucleus {GO:0016973}; positive regulation of apoptotic process {GO:0043065}; response to zinc ion {GO:0010043}</t>
  </si>
  <si>
    <t>cytoplasmic stress granule {GO:0010494}; nucleoplasm {GO:0005654}; nucleus {GO:0005634}</t>
  </si>
  <si>
    <t>ATP binding {GO:0005524}; ATP hydrolysis activity {GO:0016887}; RNA binding {GO:0003723}; RNA helicase activity {GO:0003724}</t>
  </si>
  <si>
    <t>sp|O35381|AN32A_MOUSE</t>
  </si>
  <si>
    <t>Acidic leucine-rich nuclear phosphoprotein 32 family member A</t>
  </si>
  <si>
    <t>Acidic nuclear phosphoprotein pp32; Leucine-rich acidic nuclear protein (LANP); Potent heat-stable protein phosphatase 2A inhibitor I1PP2A</t>
  </si>
  <si>
    <t>AN32A_MOUSE</t>
  </si>
  <si>
    <t>O35381</t>
  </si>
  <si>
    <t>P97437</t>
  </si>
  <si>
    <t>Anp32; Lanp</t>
  </si>
  <si>
    <t>MGI:108447</t>
  </si>
  <si>
    <t>3D-structure; Cytoplasm; Endoplasmic reticulum; Leucine-rich repeat; Nucleus; Phosphoprotein; Repeat; Repressor; Transcription; Transcription regulation</t>
  </si>
  <si>
    <t>Repressor</t>
  </si>
  <si>
    <t>nucleocytoplasmic transport {GO:0006913}; regulation of apoptotic process {GO:0042981}</t>
  </si>
  <si>
    <t>cytoplasm {GO:0005737}; endoplasmic reticulum {GO:0005783}; nuclear matrix {GO:0016363}; nucleus {GO:0005634}; perinuclear region of cytoplasm {GO:0048471}</t>
  </si>
  <si>
    <t>histone binding {GO:0042393}</t>
  </si>
  <si>
    <t>HuR (ELAVL1) binds and stabilizes mRNA {R-MMU-450520}</t>
  </si>
  <si>
    <t>sp|P23198|CBX3_MOUSE</t>
  </si>
  <si>
    <t>Chromobox protein homolog 3</t>
  </si>
  <si>
    <t>Heterochromatin protein 1 homolog gamma (HP1 gamma); M32; Modifier 2 protein</t>
  </si>
  <si>
    <t>CBX3_MOUSE</t>
  </si>
  <si>
    <t>P23198</t>
  </si>
  <si>
    <t>Q921C4</t>
  </si>
  <si>
    <t>MGI:108515</t>
  </si>
  <si>
    <t>Acetylation; Biological rhythms; Chromatin regulator; Isopeptide bond; Nucleus; Phosphoprotein; Repeat; Repressor; Transcription; Transcription regulation; Ubl conjugation</t>
  </si>
  <si>
    <t>Chromatin regulator; Repressor</t>
  </si>
  <si>
    <t>cellular response to DNA damage stimulus {GO:0006974}; chromatin organization {GO:0006325}; heterochromatin assembly {GO:0031507}; negative regulation of DNA-templated transcription {GO:0045892}; negative regulation of transcription by RNA polymerase II {GO:0000122}; rhythmic process {GO:0048511}</t>
  </si>
  <si>
    <t>chromatin {GO:0000785}; chromatin lock complex {GO:0061793}; chromocenter {GO:0010369}; chromosome, centromeric region {GO:0000775}; condensed chromosome, centromeric region {GO:0000779}; euchromatin {GO:0000791}; heterochromatin {GO:0000792}; nuclear envelope {GO:0005635}; nucleoplasm {GO:0005654}; nucleus {GO:0005634}; pericentric heterochromatin {GO:0005721}; RNA polymerase II transcription regulator complex {GO:0090575}; senescence-associated heterochromatin focus {GO:0035985}; site of DNA damage {GO:0090734}; spindle {GO:0005819}</t>
  </si>
  <si>
    <t>chromatin binding {GO:0003682}; DNA-binding transcription factor binding {GO:0140297}; enzyme binding {GO:0019899}; histone methyltransferase binding {GO:1990226}; identical protein binding {GO:0042802}; methylated histone binding {GO:0035064}; protein domain specific binding {GO:0019904}; transcription cis-regulatory region binding {GO:0000976}; transcription coregulator binding {GO:0001221}</t>
  </si>
  <si>
    <t>Transcriptional Regulation by E2F6 {R-MMU-8953750}</t>
  </si>
  <si>
    <t>sp|Q8R3U1|PLAT3_MOUSE</t>
  </si>
  <si>
    <t>Phospholipase A and acyltransferase 3</t>
  </si>
  <si>
    <t>Adipose-specific phospholipase A2 (AdPLA); Group XVI phospholipase A2; H-rev 107 protein homolog; HRAS-like suppressor 3 (HRSL3)</t>
  </si>
  <si>
    <t>PLAT3_MOUSE</t>
  </si>
  <si>
    <t>Q8R3U1</t>
  </si>
  <si>
    <t>B7X6T3; Q3V3C3; Q8BWF7</t>
  </si>
  <si>
    <t>MGI:2179715</t>
  </si>
  <si>
    <t>Alternative splicing; Cell membrane; Cytoplasm; Endoplasmic reticulum; Hydrolase; Lipid degradation; Lipid metabolism; Lysosome; Membrane; Mitochondrion; Nucleus; Peroxisome; Transferase; Transmembrane; Transmembrane helix</t>
  </si>
  <si>
    <t>Cell membrane; Cytoplasm; Endoplasmic reticulum; Lysosome; Membrane; Mitochondrion; Nucleus; Peroxisome</t>
  </si>
  <si>
    <t>Hydrolase; Transferase</t>
  </si>
  <si>
    <t>ether lipid metabolic process {GO:0046485}; lens fiber cell differentiation {GO:0070306}; lipid catabolic process {GO:0016042}; membrane disassembly {GO:0030397}; N-acylphosphatidylethanolamine metabolic process {GO:0070292}; negative regulation of cell cycle {GO:0045786}; organelle disassembly {GO:1903008}; peroxisome organization {GO:0007031}; phospholipid biosynthetic process {GO:0008654}; phospholipid metabolic process {GO:0006644}; regulation of adipose tissue development {GO:1904177}; response to bacterium {GO:0009617}; triglyceride metabolic process {GO:0006641}</t>
  </si>
  <si>
    <t>cytoplasm {GO:0005737}; cytosol {GO:0005829}; endoplasmic reticulum {GO:0005783}; endoplasmic reticulum membrane {GO:0005789}; integral component of membrane {GO:0016021}; lysosomal membrane {GO:0005765}; lysosome {GO:0005764}; membrane {GO:0016020}; mitochondrial membrane {GO:0031966}; mitochondrion {GO:0005739}; nuclear envelope {GO:0005635}; perinuclear region of cytoplasm {GO:0048471}; peroxisomal membrane {GO:0005778}; peroxisome {GO:0005777}; plasma membrane {GO:0005886}</t>
  </si>
  <si>
    <t>1-acyl-2-lysophosphatidylserine acylhydrolase activity {GO:0052740}; N-acyltransferase activity {GO:0016410}; phosphatidylserine 1-acylhydrolase activity {GO:0052739}; phospholipase A1 activity {GO:0008970}; phospholipase A2 activity {GO:0004623}; phospholipase activity {GO:0004620}</t>
  </si>
  <si>
    <t>Acyl chain remodelling of PC {R-MMU-1482788}; Acyl chain remodelling of PS {R-MMU-1482801}; Acyl chain remodelling of PE {R-MMU-1482839}; Acyl chain remodelling of PI {R-MMU-1482922}</t>
  </si>
  <si>
    <t>sp|Q61595|KTN1_MOUSE</t>
  </si>
  <si>
    <t>Kinectin</t>
  </si>
  <si>
    <t>KTN1_MOUSE</t>
  </si>
  <si>
    <t>Q61595</t>
  </si>
  <si>
    <t>Q8BG49; Q8BHF4; Q8BHM8; Q8C9Y5; Q8CG51; Q8CG52; Q8CG53; Q8CG54; Q8CG55; Q8CG56; Q8CG57; Q8CG58; Q8CG59; Q8CG60; Q8CG61; Q8CG62; Q8CG63</t>
  </si>
  <si>
    <t>MGI:109153</t>
  </si>
  <si>
    <t>Alternative splicing; Coiled coil; Endoplasmic reticulum; Glycoprotein; Membrane; Phosphoprotein; Signal-anchor; Transmembrane; Transmembrane helix</t>
  </si>
  <si>
    <t>microtubule-based movement {GO:0007018}; protein transport {GO:0015031}</t>
  </si>
  <si>
    <t>kinesin binding {GO:0019894}</t>
  </si>
  <si>
    <t>Regulation of Insulin-like Growth Factor (IGF) transport and uptake by Insulin-like Growth Factor Binding Proteins (IGFBPs) {R-MMU-381426}; RHO GTPases activate KTN1 {R-MMU-5625970}; Post-translational protein phosphorylation {R-MMU-8957275}; RHOA GTPase cycle {R-MMU-8980692}; CDC42 GTPase cycle {R-MMU-9013148}; RAC1 GTPase cycle {R-MMU-9013149}; RHOG GTPase cycle {R-MMU-9013408}; RND3 GTPase cycle {R-MMU-9696264}; RND2 GTPase cycle {R-MMU-9696270}</t>
  </si>
  <si>
    <t>sp|P13595|NCAM1_MOUSE</t>
  </si>
  <si>
    <t>Neural cell adhesion molecule 1 (N-CAM-1; NCAM-1)</t>
  </si>
  <si>
    <t>CD_antigen=CD56</t>
  </si>
  <si>
    <t>NCAM1_MOUSE</t>
  </si>
  <si>
    <t>P13595</t>
  </si>
  <si>
    <t>P13594; Q61949; Q61950; Q6LBU8; Q8BQ96; Q8C4B2; Q921P2; Q9R2A7</t>
  </si>
  <si>
    <t>Ncam</t>
  </si>
  <si>
    <t>MGI:97281</t>
  </si>
  <si>
    <t>3D-structure; Alternative splicing; Cell adhesion; Cell membrane; Disulfide bond; Glycoprotein; GPI-anchor; Heparin-binding; Immunoglobulin domain; Lipoprotein; Membrane; Phosphoprotein; Repeat; Signal; Transmembrane; Transmembrane helix</t>
  </si>
  <si>
    <t>Heparin-binding</t>
  </si>
  <si>
    <t>Disulfide bond; GPI-anchor; Glycoprotein; Lipoprotein; Phosphoprotein</t>
  </si>
  <si>
    <t>aging {GO:0007568}; axonal fasciculation {GO:0007413}; calcium-mediated signaling {GO:0019722}; cell surface receptor signaling pathway {GO:0007166}; commissural neuron axon guidance {GO:0071679}; homotypic cell-cell adhesion {GO:0034109}; learning or memory {GO:0007611}; modulation of chemical synaptic transmission {GO:0050804}; multicellular organismal response to stress {GO:0033555}; negative regulation of cell death {GO:0060548}; neuron development {GO:0048666}; neuron projection development {GO:0031175}; positive regulation of calcium-mediated signaling {GO:0050850}; positive regulation of cardiac muscle cell proliferation {GO:0060045}; regulation of exocyst assembly {GO:0001928}; regulation of semaphorin-plexin signaling pathway {GO:2001260}; regulation of sensory perception of pain {GO:0051930}; response to cocaine {GO:0042220}; response to lead ion {GO:0010288}; response to xenobiotic stimulus {GO:0009410}; thalamus development {GO:0021794}</t>
  </si>
  <si>
    <t>anchored component of membrane {GO:0031225}; axon {GO:0030424}; cell surface {GO:0009986}; cell-cell junction {GO:0005911}; cytosol {GO:0005829}; external side of plasma membrane {GO:0009897}; glutamatergic synapse {GO:0098978}; growth cone {GO:0030426}; integral component of postsynaptic membrane {GO:0099055}; integral component of presynaptic membrane {GO:0099056}; myelin sheath {GO:0043209}; neuron projection {GO:0043005}; neuronal cell body {GO:0043025}; plasma membrane {GO:0005886}; Schaffer collateral - CA1 synapse {GO:0098685}</t>
  </si>
  <si>
    <t>heparin binding {GO:0008201}; LRR domain binding {GO:0030275}; phosphatase binding {GO:0019902}</t>
  </si>
  <si>
    <t>NCAM signaling for neurite out-growth {R-MMU-375165}; NCAM1 interactions {R-MMU-419037}; Signal transduction by L1 {R-MMU-445144}; RAF/MAP kinase cascade {R-MMU-5673001}</t>
  </si>
  <si>
    <t>sp|Q60605|MYL6_MOUSE</t>
  </si>
  <si>
    <t>Myosin light polypeptide 6</t>
  </si>
  <si>
    <t>17 kDa myosin light chain (LC17); Myosin light chain 3 (MLC-3); Myosin light chain alkali 3 (Myosin light chain A3); Smooth muscle and nonmuscle myosin light chain alkali 6</t>
  </si>
  <si>
    <t>MYL6_MOUSE</t>
  </si>
  <si>
    <t>Q60605</t>
  </si>
  <si>
    <t>Myln</t>
  </si>
  <si>
    <t>MGI:109318</t>
  </si>
  <si>
    <t>Acetylation; Alternative splicing; Motor protein; Muscle protein; Myosin; Phosphoprotein; Repeat</t>
  </si>
  <si>
    <t>Motor protein; Muscle protein; Myosin</t>
  </si>
  <si>
    <t>muscle contraction {GO:0006936}; muscle filament sliding {GO:0030049}; skeletal muscle tissue development {GO:0007519}</t>
  </si>
  <si>
    <t>brush border {GO:0005903}; myosin complex {GO:0016459}; myosin II complex {GO:0016460}; unconventional myosin complex {GO:0016461}</t>
  </si>
  <si>
    <t>calcium ion binding {GO:0005509}; cytoskeletal motor activity {GO:0003774}; microfilament motor activity {GO:0000146}; structural constituent of muscle {GO:0008307}</t>
  </si>
  <si>
    <t>Smooth Muscle Contraction {R-MMU-445355}; RHO GTPases activate PAKs {R-MMU-5627123}</t>
  </si>
  <si>
    <t>sp|Q61207|SAP_MOUSE</t>
  </si>
  <si>
    <t>Saposin-D</t>
  </si>
  <si>
    <t>Sulfated glycoprotein 1 (SGP-1)</t>
  </si>
  <si>
    <t>SAP_MOUSE</t>
  </si>
  <si>
    <t>Q61207</t>
  </si>
  <si>
    <t>Q60861; Q64006; Q64219</t>
  </si>
  <si>
    <t>Sgp1</t>
  </si>
  <si>
    <t>MGI:97783</t>
  </si>
  <si>
    <t>3D-structure; Disulfide bond; Glycoprotein; Lysosome; Repeat; Secreted; Signal</t>
  </si>
  <si>
    <t>Lysosome; Secreted</t>
  </si>
  <si>
    <t>Disulfide bond; Glycoprotein</t>
  </si>
  <si>
    <t>adenylate cyclase-inhibiting G protein-coupled receptor signaling pathway {GO:0007193}; antigen processing and presentation {GO:0019882}; cellular response to organic substance {GO:0071310}; ceramide metabolic process {GO:0006672}; cerebellar Purkinje cell differentiation {GO:0021702}; cochlea development {GO:0090102}; corneocyte development {GO:0003335}; cornified envelope assembly {GO:1903575}; developmental growth {GO:0048589}; epithelial cell differentiation involved in prostate gland development {GO:0060742}; galactosylceramide catabolic process {GO:0006683}; ganglioside GM1 transport to membrane {GO:1905572}; gene expression {GO:0010467}; glucosylceramide metabolic process {GO:0006678}; glycolipid metabolic process {GO:0006664}; inclusion body assembly {GO:0070841}; intracellular protein transport {GO:0006886}; lysosomal protein catabolic process {GO:1905146}; lysosomal transport {GO:0007041}; membrane lipid metabolic process {GO:0006643}; micturition {GO:0060073}; myelination {GO:0042552}; negative regulation of hydrogen peroxide-induced cell death {GO:1903206}; nervous system process {GO:0050877}; neuromuscular process controlling balance {GO:0050885}; NK T cell differentiation {GO:0001865}; positive regulation of beta-galactosidase activity {GO:1903771}; positive regulation of hydrolase activity {GO:0051345}; positive regulation of MAPK cascade {GO:0043410}; prostate gland growth {GO:0060736}; protein secretion {GO:0009306}; regulation of lipid metabolic process {GO:0019216}; regulation of MAPK cascade {GO:0043408}; sensory perception of sound {GO:0007605}; sphingolipid metabolic process {GO:0006665}; walking behavior {GO:0090659}</t>
  </si>
  <si>
    <t>aggresome {GO:0016235}; cytoplasm {GO:0005737}; extracellular region {GO:0005576}; extracellular space {GO:0005615}; intracellular membrane-bounded organelle {GO:0043231}; late endosome {GO:0005770}; lysosome {GO:0005764}; mitochondrion {GO:0005739}; protein-containing complex {GO:0032991}</t>
  </si>
  <si>
    <t>G protein-coupled receptor binding {GO:0001664}; ganglioside GM1 binding {GO:1905573}; ganglioside GM2 binding {GO:1905574}; ganglioside GM3 binding {GO:1905575}; ganglioside GP1c binding {GO:1905577}; ganglioside GT1b binding {GO:1905576}; identical protein binding {GO:0042802}; lipid antigen binding {GO:0030882}; phospholipid binding {GO:0005543}; protease binding {GO:0002020}; protein homodimerization activity {GO:0042803}; scaffold protein binding {GO:0097110}</t>
  </si>
  <si>
    <t>Platelet degranulation {R-MMU-114608}; Glycosphingolipid metabolism {R-MMU-1660662}; Peptide ligand-binding receptors {R-MMU-375276}; G alpha (i) signalling events {R-MMU-418594}; Neutrophil degranulation {R-MMU-6798695}</t>
  </si>
  <si>
    <t>sp|Q91VR5|DDX1_MOUSE</t>
  </si>
  <si>
    <t>ATP-dependent RNA helicase DDX1</t>
  </si>
  <si>
    <t>DEAD box protein 1</t>
  </si>
  <si>
    <t>DDX1_MOUSE</t>
  </si>
  <si>
    <t>Q91VR5</t>
  </si>
  <si>
    <t>Q3TU41</t>
  </si>
  <si>
    <t>MGI:2144727</t>
  </si>
  <si>
    <t>Acetylation; Activator; Antiviral defense; ATP-binding; Cytoplasm; DNA-binding; Exonuclease; Helicase; Hydrolase; Immunity; Innate immunity; Isopeptide bond; Mitochondrion; mRNA processing; Nuclease; Nucleotide-binding; Nucleus; Phosphoprotein; RNA-binding; Transcription; Transcription regulation; tRNA processing; Ubl conjugation</t>
  </si>
  <si>
    <t>Antiviral defense; Immunity; Innate immunity; Transcription; Transcription regulation; mRNA processing; tRNA processing</t>
  </si>
  <si>
    <t>Activator; DNA-binding; Exonuclease; Helicase; Hydrolase; Nuclease; RNA-binding</t>
  </si>
  <si>
    <t>defense response to virus {GO:0051607}; DNA duplex unwinding {GO:0032508}; double-strand break repair {GO:0006302}; innate immune response {GO:0045087}; mRNA processing {GO:0006397}; nucleic acid phosphodiester bond hydrolysis {GO:0090305}; positive regulation of I-kappaB kinase/NF-kappaB signaling {GO:0043123}; positive regulation of myeloid dendritic cell cytokine production {GO:0002735}; protein localization to cytoplasmic stress granule {GO:1903608}; response to exogenous dsRNA {GO:0043330}; response to virus {GO:0009615}; tRNA splicing, via endonucleolytic cleavage and ligation {GO:0006388}</t>
  </si>
  <si>
    <t>cleavage body {GO:0071920}; cytoplasm {GO:0005737}; cytoplasmic stress granule {GO:0010494}; cytosol {GO:0005829}; mitochondrion {GO:0005739}; nucleoplasm {GO:0005654}; nucleus {GO:0005634}; ribonucleoprotein complex {GO:1990904}; tRNA-splicing ligase complex {GO:0072669}</t>
  </si>
  <si>
    <t>ATP binding {GO:0005524}; ATP hydrolysis activity {GO:0016887}; chromatin binding {GO:0003682}; DNA binding {GO:0003677}; DNA/RNA helicase activity {GO:0033677}; double-stranded RNA binding {GO:0003725}; exonuclease activity {GO:0004527}; nuclease activity {GO:0004518}; poly(A) binding {GO:0008143}; RNA helicase activity {GO:0003724}; transcription coregulator activity {GO:0003712}</t>
  </si>
  <si>
    <t>sp|Q8BP47|SYNC_MOUSE</t>
  </si>
  <si>
    <t>Asparagine--tRNA ligase, cytoplasmic</t>
  </si>
  <si>
    <t>Asparaginyl-tRNA synthetase (AsnRS); Asparaginyl-tRNA synthetase 1</t>
  </si>
  <si>
    <t>SYNC_MOUSE</t>
  </si>
  <si>
    <t>Q8BP47</t>
  </si>
  <si>
    <t>Q3T9A7; Q7TPX0; Q9CRY5</t>
  </si>
  <si>
    <t>Nars</t>
  </si>
  <si>
    <t>MGI:1917473</t>
  </si>
  <si>
    <t>asparaginyl-tRNA aminoacylation {GO:0006421}; cell migration {GO:0016477}; cerebral cortex development {GO:0021987}</t>
  </si>
  <si>
    <t>asparagine-tRNA ligase activity {GO:0004816}; ATP binding {GO:0005524}; CCR3 chemokine receptor binding {GO:0031728}; nucleic acid binding {GO:0003676}; protein dimerization activity {GO:0046983}</t>
  </si>
  <si>
    <t>sp|Q9CX34|SGT1_MOUSE</t>
  </si>
  <si>
    <t>Protein SGT1 homolog</t>
  </si>
  <si>
    <t>Suppressor of G2 allele of SKP1 homolog</t>
  </si>
  <si>
    <t>SGT1_MOUSE</t>
  </si>
  <si>
    <t>Q9CX34</t>
  </si>
  <si>
    <t>Q3UF88; Q9CRE7; Q9D8M6</t>
  </si>
  <si>
    <t>MGI:1915205</t>
  </si>
  <si>
    <t>Acetylation; Cytoplasm; Isopeptide bond; Nucleus; Phosphoprotein; Repeat; TPR repeat; Ubl conjugation; Ubl conjugation pathway</t>
  </si>
  <si>
    <t>protein stabilization {GO:0050821}; regulation of protein stability {GO:0031647}</t>
  </si>
  <si>
    <t>cytoplasm {GO:0005737}; nucleus {GO:0005634}; protein-containing complex {GO:0032991}</t>
  </si>
  <si>
    <t>chaperone binding {GO:0051087}</t>
  </si>
  <si>
    <t>The NLRP3 inflammasome {R-MMU-844456}</t>
  </si>
  <si>
    <t>sp|Q8BML9|SYQ_MOUSE</t>
  </si>
  <si>
    <t>Glutamine--tRNA ligase</t>
  </si>
  <si>
    <t>Glutaminyl-tRNA synthetase (GlnRS)</t>
  </si>
  <si>
    <t>SYQ_MOUSE</t>
  </si>
  <si>
    <t>Q8BML9</t>
  </si>
  <si>
    <t>Q3TN94; Q8BU21</t>
  </si>
  <si>
    <t>Qars</t>
  </si>
  <si>
    <t>MGI:1915851</t>
  </si>
  <si>
    <t>brain development {GO:0007420}; glutaminyl-tRNA aminoacylation {GO:0006425}; negative regulation of apoptotic process {GO:0043066}; negative regulation of apoptotic signaling pathway {GO:2001234}; negative regulation of DNA-templated transcription {GO:0045892}; negative regulation of protein kinase activity {GO:0006469}; negative regulation of stress-activated MAPK cascade {GO:0032873}</t>
  </si>
  <si>
    <t>aminoacyl-tRNA synthetase multienzyme complex {GO:0017101}; cytoplasm {GO:0005737}; cytosol {GO:0005829}; protein-containing complex {GO:0032991}</t>
  </si>
  <si>
    <t>ATP binding {GO:0005524}; glutamine-tRNA ligase activity {GO:0004819}; protein kinase binding {GO:0019901}; protein kinase inhibitor activity {GO:0004860}; RNA binding {GO:0003723}</t>
  </si>
  <si>
    <t>sp|E9PVA8|GCN1_MOUSE</t>
  </si>
  <si>
    <t>sp|Q91V92|ACLY_MOUSE</t>
  </si>
  <si>
    <t>ATP-citrate synthase</t>
  </si>
  <si>
    <t>ATP-citrate (pro-S-)-lyase; Citrate cleavage enzyme</t>
  </si>
  <si>
    <t>ACLY_MOUSE</t>
  </si>
  <si>
    <t>Q91V92</t>
  </si>
  <si>
    <t>MGI:103251</t>
  </si>
  <si>
    <t>Acetylation; ATP-binding; Cytoplasm; Isopeptide bond; Lipid biosynthesis; Lipid metabolism; Magnesium; Metal-binding; Nucleotide-binding; Phosphoprotein; Transferase; Ubl conjugation</t>
  </si>
  <si>
    <t>Lipid biosynthesis; Lipid metabolism</t>
  </si>
  <si>
    <t>acetyl-CoA biosynthetic process {GO:0006085}; acetyl-CoA metabolic process {GO:0006084}; citrate metabolic process {GO:0006101}; fatty acid biosynthetic process {GO:0006633}; lipid biosynthetic process {GO:0008610}; oxaloacetate metabolic process {GO:0006107}</t>
  </si>
  <si>
    <t>cytosol {GO:0005829}; mitochondrion {GO:0005739}; nucleoplasm {GO:0005654}</t>
  </si>
  <si>
    <t>ATP binding {GO:0005524}; ATP citrate synthase activity {GO:0003878}; metal ion binding {GO:0046872}</t>
  </si>
  <si>
    <t>Neutrophil degranulation {R-MMU-6798695}; Fatty acyl-CoA biosynthesis {R-MMU-75105}</t>
  </si>
  <si>
    <t>sp|O35593|PSDE_MOUSE</t>
  </si>
  <si>
    <t>26S proteasome non-ATPase regulatory subunit 14</t>
  </si>
  <si>
    <t>26S proteasome regulatory subunit RPN11; MAD1</t>
  </si>
  <si>
    <t>PSDE_MOUSE</t>
  </si>
  <si>
    <t>O35593</t>
  </si>
  <si>
    <t>Q3UB50; Q9CZY6</t>
  </si>
  <si>
    <t>Pad1</t>
  </si>
  <si>
    <t>MGI:1913284</t>
  </si>
  <si>
    <t>DNA damage; DNA repair; Hydrolase; Metal-binding; Metalloprotease; Phosphoprotein; Protease; Proteasome; Ubl conjugation pathway; Zinc</t>
  </si>
  <si>
    <t>double-strand break repair via homologous recombination {GO:0000724}; double-strand break repair via nonhomologous end joining {GO:0006303}; proteasome-mediated ubiquitin-dependent protein catabolic process {GO:0043161}; protein deubiquitination {GO:0016579}; protein K63-linked deubiquitination {GO:0070536}; regulation of proteasomal protein catabolic process {GO:0061136}; response to ethanol {GO:0045471}</t>
  </si>
  <si>
    <t>cytosolic proteasome complex {GO:0031597}; proteasome accessory complex {GO:0022624}; proteasome complex {GO:0000502}; proteasome regulatory particle, lid subcomplex {GO:0008541}</t>
  </si>
  <si>
    <t>endopeptidase activator activity {GO:0061133}; endopeptidase activity {GO:0004175}; Lys63-specific deubiquitinase activity {GO:0061578}; metal ion binding {GO:0046872}; metal-dependent deubiquitinase activity {GO:0140492}; metallopeptidase activity {GO:0008237}; proteasome binding {GO:0070628}</t>
  </si>
  <si>
    <t>Activation of NF-kappaB in B cells {R-MMU-1169091}; Oxygen-dependent proline hydroxylation of Hypoxia-inducible Factor Alpha {R-MMU-1234176}; Cross-presentation of soluble exogenous antigens (endosomes) {R-MMU-1236978}; Autodegradation of Cdh1 by Cdh1:APC/C {R-MMU-174084}; APC/C:Cdc20 mediated degradation of Securin {R-MMU-174154}; APC/C:Cdh1 mediated degradation of Cdc20 and other APC/C:Cdh1 targeted proteins in late mitosis/early G1 {R-MMU-174178}; Cdc20:Phospho-APC/C mediated degradation of Cyclin A {R-MMU-174184}; SCF(Skp2)-mediated degradation of p27/p21 {R-MMU-187577}; Degradation of beta-catenin by the destruction complex {R-MMU-195253}; Downstream TCR signaling {R-MMU-202424}; Separation of Sister Chromatids {R-MMU-2467813}; FCERI mediated NF-kB activation {R-MMU-2871837}; Autodegradation of the E3 ubiquitin ligase COP1 {R-MMU-349425}; Regulation of ornithine decarboxylase (ODC) {R-MMU-350562}; ABC-family proteins mediated transport {R-MMU-382556}; AUF1 (hnRNP D0) binds and destabilizes mRNA {R-MMU-450408}; Asymmetric localization of PCP proteins {R-MMU-4608870}; Degradation of AXIN {R-MMU-4641257}; Degradation of DVL {R-MMU-4641258}; Hedgehog ligand biogenesis {R-MMU-5358346}; Dectin-1 mediated noncanonical NF-kB signaling {R-MMU-5607761}; CLEC7A (Dectin-1) signaling {R-MMU-5607764}; Degradation of GLI1 by the proteasome {R-MMU-5610780}; GLI3 is processed to GLI3R by the proteasome {R-MMU-5610785}; Hedgehog 'on' state {R-MMU-5632684}; Regulation of RAS by GAPs {R-MMU-5658442}; TNFR2 non-canonical NF-kB pathway {R-MMU-5668541}; NIK--&gt;noncanonical NF-kB signaling {R-MMU-5676590}; MAPK6/MAPK4 signaling {R-MMU-5687128}; UCH proteinases {R-MMU-5689603}; Ub-specific processing proteases {R-MMU-5689880}; Metalloprotease DUBs {R-MMU-5689901}; Neutrophil degranulation {R-MMU-6798695}; Assembly of the pre-replicative complex {R-MMU-68867}; Orc1 removal from chromatin {R-MMU-68949}; CDK-mediated phosphorylation and removal of Cdc6 {R-MMU-69017}; G2/M Checkpoints {R-MMU-69481}; Ubiquitin Mediated Degradation of Phosphorylated Cdc25A {R-MMU-69601}; Ubiquitin-dependent degradation of Cyclin D {R-MMU-75815}; The role of GTSE1 in G2/M progression after G2 checkpoint {R-MMU-8852276}; FBXL7 down-regulates AURKA during mitotic entry and in early mitosis {R-MMU-8854050}; RUNX1 regulates transcription of genes involved in differentiation of HSCs {R-MMU-8939236}; Regulation of RUNX2 expression and activity {R-MMU-8939902}; Regulation of RUNX3 expression and activity {R-MMU-8941858}; Regulation of PTEN stability and activity {R-MMU-8948751}; Neddylation {R-MMU-8951664}; Interleukin-1 signaling {R-MMU-9020702}; KEAP1-NFE2L2 pathway {R-MMU-9755511}; GSK3B and BTRC:CUL1-mediated-degradation of NFE2L2 {R-MMU-9762114}; Antigen processing: Ubiquitination &amp; Proteasome degradation {R-MMU-983168}</t>
  </si>
  <si>
    <t>sp|Q920E5|FPPS_MOUSE</t>
  </si>
  <si>
    <t>Farnesyl pyrophosphate synthase (FPP synthase; FPS)</t>
  </si>
  <si>
    <t>(2E,6E)-farnesyl diphosphate synthase; Cholesterol-regulated 39 kDa protein (CR 39); Dimethylallyltranstransferase; Farnesyl diphosphate synthase; Geranyltranstransferase</t>
  </si>
  <si>
    <t>FPPS_MOUSE</t>
  </si>
  <si>
    <t>Q920E5</t>
  </si>
  <si>
    <t>MGI:104888</t>
  </si>
  <si>
    <t>Acetylation; Cholesterol biosynthesis; Cholesterol metabolism; Cytoplasm; Hydroxylation; Isoprene biosynthesis; Lipid biosynthesis; Lipid metabolism; Magnesium; Metal-binding; Steroid biosynthesis; Steroid metabolism; Sterol biosynthesis; Sterol metabolism; Transferase</t>
  </si>
  <si>
    <t>Cholesterol biosynthesis; Cholesterol metabolism; Isoprene biosynthesis; Lipid biosynthesis; Lipid metabolism; Steroid biosynthesis; Steroid metabolism; Sterol biosynthesis; Sterol metabolism</t>
  </si>
  <si>
    <t>Acetylation; Hydroxylation</t>
  </si>
  <si>
    <t>cholesterol biosynthetic process {GO:0006695}; farnesyl diphosphate biosynthetic process {GO:0045337}; geranyl diphosphate biosynthetic process {GO:0033384}; positive regulation of cell growth involved in cardiac muscle cell development {GO:0061051}; positive regulation of cholesterol biosynthetic process {GO:0045542}</t>
  </si>
  <si>
    <t>cytoplasm {GO:0005737}; cytosol {GO:0005829}; mitochondrial matrix {GO:0005759}; mitochondrion {GO:0005739}; nucleoplasm {GO:0005654}; peroxisome {GO:0005777}</t>
  </si>
  <si>
    <t>dimethylallyltranstransferase activity {GO:0004161}; geranyltranstransferase activity {GO:0004337}; metal ion binding {GO:0046872}</t>
  </si>
  <si>
    <t>Isoprenoid biosynthesis; geranyl diphosphate biosynthesis; geranyl diphosphate from dimethylallyl diphosphate and isopentenyl diphosphate: step 1/1.</t>
  </si>
  <si>
    <t>Cholesterol biosynthesis {R-MMU-191273}</t>
  </si>
  <si>
    <t>sp|Q9CQV8|1433B_MOUSE</t>
  </si>
  <si>
    <t>14-3-3 protein beta/alpha, N-terminally processed</t>
  </si>
  <si>
    <t>Protein kinase C inhibitor protein 1 (KCIP-1)</t>
  </si>
  <si>
    <t>1433B_MOUSE</t>
  </si>
  <si>
    <t>Q9CQV8</t>
  </si>
  <si>
    <t>O70455; Q3TY33; Q3UAN6</t>
  </si>
  <si>
    <t>MGI:1891917</t>
  </si>
  <si>
    <t>3D-structure; Acetylation; Alternative initiation; Cytoplasm; Isopeptide bond; Nitration; Phosphoprotein; Ubl conjugation</t>
  </si>
  <si>
    <t>cytoplasmic sequestering of protein {GO:0051220}; negative regulation of DNA-templated transcription {GO:0045892}; negative regulation of G protein-coupled receptor signaling pathway {GO:0045744}; negative regulation of protein dephosphorylation {GO:0035308}; positive regulation of catalytic activity {GO:0043085}; protein localization {GO:0008104}; protein targeting {GO:0006605}; signal transduction {GO:0007165}</t>
  </si>
  <si>
    <t>cytoplasm {GO:0005737}; cytosol {GO:0005829}; melanosome {GO:0042470}; nucleus {GO:0005634}; perinuclear region of cytoplasm {GO:0048471}; protein-containing complex {GO:0032991}; transcription repressor complex {GO:0017053}</t>
  </si>
  <si>
    <t>enzyme binding {GO:0019899}; histone deacetylase binding {GO:0042826}; identical protein binding {GO:0042802}; phosphoprotein binding {GO:0051219}; phosphoserine residue binding {GO:0050815}; protein C-terminus binding {GO:0008022}; protein domain specific binding {GO:0019904}; protein kinase inhibitor activity {GO:0004860}; protein-containing complex binding {GO:0044877}</t>
  </si>
  <si>
    <t>Activation of BAD and translocation to mitochondria {R-MMU-111447}; MTOR signalling {R-MMU-165159}; mTORC1-mediated signalling {R-MMU-166208}; Frs2-mediated activation {R-MMU-170968}; Signaling by Hippo {R-MMU-2028269}; Rap1 signalling {R-MMU-392517}; Butyrate Response Factor 1 (BRF1) binds and destabilizes mRNA {R-MMU-450385}; Tristetraprolin (TTP, ZFP36) binds and destabilizes mRNA {R-MMU-450513}; RHO GTPases activate PKNs {R-MMU-5625740}; TP53 Regulates Metabolic Genes {R-MMU-5628897}; RAF activation {R-MMU-5673000}; MAP2K and MAPK activation {R-MMU-5674135}; Negative regulation of MAPK pathway {R-MMU-5675221}; Chk1/Chk2(Cds1) mediated inactivation of Cyclin B:Cdk1 complex {R-MMU-75035}; Regulation of localization of FOXO transcription factors {R-MMU-9614399}</t>
  </si>
  <si>
    <t>sp|Q8K274|KT3K_MOUSE</t>
  </si>
  <si>
    <t>Ketosamine-3-kinase</t>
  </si>
  <si>
    <t>Fructosamine-3-kinase-related protein (FN3K-RP; FN3K-related protein); Protein-psicosamine 3-kinase FN3KRP</t>
  </si>
  <si>
    <t>KT3K_MOUSE</t>
  </si>
  <si>
    <t>Q8K274</t>
  </si>
  <si>
    <t>B1ATT5</t>
  </si>
  <si>
    <t>MGI:2679256</t>
  </si>
  <si>
    <t>ATP-binding; Kinase; Nucleotide-binding; Phosphoprotein; Transferase</t>
  </si>
  <si>
    <t>phosphorylation {GO:0016310}</t>
  </si>
  <si>
    <t>ATP binding {GO:0005524}; kinase activity {GO:0016301}; protein-ribulosamine 3-kinase activity {GO:0102193}</t>
  </si>
  <si>
    <t>Gamma carboxylation, hypusine formation and arylsulfatase activation {R-MMU-163841}</t>
  </si>
  <si>
    <t>sp|P62852|RS25_MOUSE</t>
  </si>
  <si>
    <t>40S ribosomal protein S25</t>
  </si>
  <si>
    <t>RS25_MOUSE</t>
  </si>
  <si>
    <t>P62852</t>
  </si>
  <si>
    <t>P25111</t>
  </si>
  <si>
    <t>MGI:1922867</t>
  </si>
  <si>
    <t>3D-structure; Acetylation; Ribonucleoprotein; Ribosomal protein</t>
  </si>
  <si>
    <t>cytoplasmic translation {GO:0002181}; ribosomal small subunit assembly {GO:0000028}; ribosomal small subunit biogenesis {GO:0042274}; rRNA processing {GO:0006364}</t>
  </si>
  <si>
    <t>cytoplasm {GO:0005737}; cytosol {GO:0005829}; cytosolic ribosome {GO:0022626}; cytosolic small ribosomal subunit {GO:0022627}; nucleolus {GO:0005730}; nucleus {GO:0005634}; polysome {GO:0005844}; postsynaptic density {GO:0014069}; ribosome {GO:0005840}; synapse {GO:0045202}</t>
  </si>
  <si>
    <t>sp|P14069|S10A6_MOUSE</t>
  </si>
  <si>
    <t>Protein S100-A6</t>
  </si>
  <si>
    <t>5B10; Calcyclin; Prolactin receptor-associated protein; S100 calcium-binding protein A6</t>
  </si>
  <si>
    <t>S10A6_MOUSE</t>
  </si>
  <si>
    <t>P14069</t>
  </si>
  <si>
    <t>Cacy</t>
  </si>
  <si>
    <t>MGI:1339467</t>
  </si>
  <si>
    <t>3D-structure; Acetylation; Calcium; Cell membrane; Cytoplasm; Membrane; Metal-binding; Nucleus; Phosphoprotein; Repeat</t>
  </si>
  <si>
    <t>collagen-containing extracellular matrix {GO:0062023}; cytoplasm {GO:0005737}; cytosol {GO:0005829}; extrinsic component of cytoplasmic side of plasma membrane {GO:0031234}; nuclear envelope {GO:0005635}; nucleus {GO:0005634}; perinuclear region of cytoplasm {GO:0048471}; plasma membrane {GO:0005886}; ruffle {GO:0001726}</t>
  </si>
  <si>
    <t>calcium ion binding {GO:0005509}; calcium-dependent protein binding {GO:0048306}; ion transmembrane transporter activity {GO:0015075}; protein homodimerization activity {GO:0042803}; S100 protein binding {GO:0044548}; tropomyosin binding {GO:0005523}; zinc ion binding {GO:0008270}</t>
  </si>
  <si>
    <t>sp|P63085|MK01_MOUSE</t>
  </si>
  <si>
    <t>Mitogen-activated protein kinase 1 (MAP kinase 1; MAPK 1)</t>
  </si>
  <si>
    <t>ERT1; Extracellular signal-regulated kinase 2 (ERK-2); MAP kinase isoform p42 (p42-MAPK); Mitogen-activated protein kinase 2 (MAP kinase 2; MAPK 2)</t>
  </si>
  <si>
    <t>MK01_MOUSE</t>
  </si>
  <si>
    <t>P63085</t>
  </si>
  <si>
    <t>P27703; Q3V1U6</t>
  </si>
  <si>
    <t>Erk2; Mapk; Prkm1</t>
  </si>
  <si>
    <t>MGI:1346858</t>
  </si>
  <si>
    <t>Acetylation; Apoptosis; ATP-binding; Cell cycle; Cell junction; Cytoplasm; Cytoskeleton; Kinase; Membrane; Nucleotide-binding; Nucleus; Phosphoprotein; Serine/threonine-protein kinase; Transferase; Ubl conjugation</t>
  </si>
  <si>
    <t>Apoptosis; Cell cycle</t>
  </si>
  <si>
    <t>Cell junction; Cytoplasm; Cytoskeleton; Membrane; Nucleus</t>
  </si>
  <si>
    <t>Kinase; Serine/threonine-protein kinase; Transferase</t>
  </si>
  <si>
    <t>aging {GO:0007568}; animal organ morphogenesis {GO:0009887}; apoptotic process {GO:0006915}; B cell receptor signaling pathway {GO:0050853}; Bergmann glial cell differentiation {GO:0060020}; cardiac neural crest cell development involved in heart development {GO:0061308}; caveolin-mediated endocytosis {GO:0072584}; cell cycle {GO:0007049}; cell surface receptor signaling pathway {GO:0007166}; cellular response to amino acid starvation {GO:0034198}; cellular response to cadmium ion {GO:0071276}; cellular response to DNA damage stimulus {GO:0006974}; cellular response to dopamine {GO:1903351}; cellular response to organic substance {GO:0071310}; cellular response to reactive oxygen species {GO:0034614}; cellular response to tumor necrosis factor {GO:0071356}; cytosine metabolic process {GO:0019858}; decidualization {GO:0046697}; diadenosine tetraphosphate biosynthetic process {GO:0015966}; DNA-templated transcription {GO:0006351}; ERBB signaling pathway {GO:0038127}; ERK1 and ERK2 cascade {GO:0070371}; face development {GO:0060324}; heart development {GO:0007507}; intracellular signal transduction {GO:0035556}; labyrinthine layer blood vessel development {GO:0060716}; lipopolysaccharide-mediated signaling pathway {GO:0031663}; long-term synaptic potentiation {GO:0060291}; lung morphogenesis {GO:0060425}; mammary gland epithelial cell proliferation {GO:0033598}; MAPK cascade {GO:0000165}; negative regulation of cell differentiation {GO:0045596}; neural crest cell development {GO:0014032}; outer ear morphogenesis {GO:0042473}; peptidyl-serine phosphorylation {GO:0018105}; peptidyl-threonine phosphorylation {GO:0018107}; positive regulation of cardiac muscle cell proliferation {GO:0060045}; positive regulation of DNA-templated transcription {GO:0045893}; positive regulation of gene expression {GO:0010628}; positive regulation of macrophage chemotaxis {GO:0010759}; positive regulation of macrophage proliferation {GO:0120041}; positive regulation of peptidyl-threonine phosphorylation {GO:0010800}; positive regulation of protein import into nucleus {GO:0042307}; positive regulation of telomerase activity {GO:0051973}; positive regulation of telomere capping {GO:1904355}; positive regulation of telomere maintenance via telomerase {GO:0032212}; positive regulation of translation {GO:0045727}; protein phosphorylation {GO:0006468}; regulation of cellular pH {GO:0030641}; regulation of cytoskeleton organization {GO:0051493}; regulation of DNA-binding transcription factor activity {GO:0051090}; regulation of early endosome to late endosome transport {GO:2000641}; regulation of Golgi inheritance {GO:0090170}; regulation of ossification {GO:0030278}; regulation of protein stability {GO:0031647}; regulation of stress-activated MAPK cascade {GO:0032872}; response to epidermal growth factor {GO:0070849}; response to estrogen {GO:0043627}; response to exogenous dsRNA {GO:0043330}; response to lipopolysaccharide {GO:0032496}; response to nicotine {GO:0035094}; response to toxic substance {GO:0009636}; sensory perception of pain {GO:0019233}; signal transduction {GO:0007165}; stress-activated MAPK cascade {GO:0051403}; T cell receptor signaling pathway {GO:0050852}; thymus development {GO:0048538}; thyroid gland development {GO:0030878}; trachea formation {GO:0060440}</t>
  </si>
  <si>
    <t>axon {GO:0030424}; caveola {GO:0005901}; cytoplasm {GO:0005737}; cytoskeleton {GO:0005856}; cytosol {GO:0005829}; dendrite cytoplasm {GO:0032839}; early endosome {GO:0005769}; focal adhesion {GO:0005925}; Golgi apparatus {GO:0005794}; late endosome {GO:0005770}; microtubule organizing center {GO:0005815}; mitochondrion {GO:0005739}; mitotic spindle {GO:0072686}; nucleoplasm {GO:0005654}; nucleus {GO:0005634}; perikaryon {GO:0043204}; plasma membrane {GO:0005886}; postsynaptic density {GO:0014069}; protein-containing complex {GO:0032991}; pseudopodium {GO:0031143}</t>
  </si>
  <si>
    <t>ATP binding {GO:0005524}; double-stranded DNA binding {GO:0003690}; identical protein binding {GO:0042802}; kinase activity {GO:0016301}; MAP kinase activity {GO:0004707}; MAP kinase kinase activity {GO:0004708}; mitogen-activated protein kinase kinase kinase binding {GO:0031435}; phosphatase binding {GO:0019902}; phosphotyrosine residue binding {GO:0001784}; protein kinase activity {GO:0004672}; protein kinase binding {GO:0019901}; protein serine kinase activity {GO:0106310}; protein serine/threonine kinase activity {GO:0004674}; RNA polymerase II CTD heptapeptide repeat kinase activity {GO:0008353}</t>
  </si>
  <si>
    <t>phospho-PLA2 pathway {R-MMU-111995}; RAF-independent MAPK1/3 activation {R-MMU-112409}; MAPK1 (ERK2) activation {R-MMU-112411}; Signaling by NODAL {R-MMU-1181150}; Spry regulation of FGF signaling {R-MMU-1295596}; Signaling by Activin {R-MMU-1502540}; Golgi Cisternae Pericentriolar Stack Reorganization {R-MMU-162658}; Frs2-mediated activation {R-MMU-170968}; ERK/MAPK targets {R-MMU-198753}; ERKs are inactivated {R-MMU-202670}; Regulation of actin dynamics for phagocytic cup formation {R-MMU-2029482}; Downregulation of SMAD2/3:SMAD4 transcriptional activity {R-MMU-2173795}; SMAD2/SMAD3:SMAD4 heterotrimer regulates transcription {R-MMU-2173796}; Oxidative Stress Induced Senescence {R-MMU-2559580}; Senescence-Associated Secretory Phenotype (SASP) {R-MMU-2559582}; Oncogene Induced Senescence {R-MMU-2559585}; FCERI mediated MAPK activation {R-MMU-2871796}; Regulation of HSF1-mediated heat shock response {R-MMU-3371453}; NCAM signaling for neurite out-growth {R-MMU-375165}; Recycling pathway of L1 {R-MMU-437239}; Signal transduction by L1 {R-MMU-445144}; Activation of the AP-1 family of transcription factors {R-MMU-450341}; Thrombin signalling through proteinase activated receptors (PARs) {R-MMU-456926}; Negative regulation of FGFR1 signaling {R-MMU-5654726}; Negative regulation of FGFR2 signaling {R-MMU-5654727}; Negative regulation of FGFR3 signaling {R-MMU-5654732}; Negative regulation of FGFR4 signaling {R-MMU-5654733}; RHO GTPases Activate WASPs and WAVEs {R-MMU-5663213}; RHO GTPases Activate NADPH Oxidases {R-MMU-5668599}; RAF/MAP kinase cascade {R-MMU-5673001}; MAP2K and MAPK activation {R-MMU-5674135}; Negative feedback regulation of MAPK pathway {R-MMU-5674499}; Negative regulation of MAPK pathway {R-MMU-5675221}; Neutrophil degranulation {R-MMU-6798695}; PI5P, PP2A and IER3 Regulate PI3K/AKT Signaling {R-MMU-6811558}; Signal attenuation {R-MMU-74749}; Gastrin-CREB signalling pathway via PKC and MAPK {R-MMU-881907}; ESR-mediated signaling {R-MMU-8939211}; Regulation of the apoptosome activity {R-MMU-9627069}; Estrogen-stimulated signaling through PRKCZ {R-MMU-9634635}; Estrogen-dependent nuclear events downstream of ESR-membrane signaling {R-MMU-9634638}; Growth hormone receptor signaling {R-MMU-982772}</t>
  </si>
  <si>
    <t>sp|Q8CAQ8|MIC60_MOUSE</t>
  </si>
  <si>
    <t>MICOS complex subunit Mic60</t>
  </si>
  <si>
    <t>Mitochondrial inner membrane protein; Mitofilin</t>
  </si>
  <si>
    <t>MIC60_MOUSE</t>
  </si>
  <si>
    <t>Q8CAQ8</t>
  </si>
  <si>
    <t>Q66JS4; Q7TNE2; Q8C7V1; Q8CCI0; Q8CDA8; Q9D9F6</t>
  </si>
  <si>
    <t>Mic60</t>
  </si>
  <si>
    <t>MGI:1923864</t>
  </si>
  <si>
    <t>Acetylation; Alternative splicing; Coiled coil; Membrane; Mitochondrion; Mitochondrion inner membrane; Phosphoprotein; Transit peptide; Transmembrane; Transmembrane helix</t>
  </si>
  <si>
    <t>Coiled coil; Transit peptide; Transmembrane; Transmembrane helix</t>
  </si>
  <si>
    <t>cristae formation {GO:0042407}; mitochondrial calcium ion homeostasis {GO:0051560}; neuron cellular homeostasis {GO:0070050}</t>
  </si>
  <si>
    <t>MICOS complex {GO:0061617}; mitochondrial inner membrane {GO:0005743}; mitochondrial intermembrane space {GO:0005758}; mitochondrion {GO:0005739}; myelin sheath {GO:0043209}</t>
  </si>
  <si>
    <t>sp|Q9JII6|AK1A1_MOUSE</t>
  </si>
  <si>
    <t>Aldo-keto reductase family 1 member A1</t>
  </si>
  <si>
    <t>Alcohol dehydrogenase [NADP(+)]; Aldehyde reductase; Glucuronate reductase; Glucuronolactone reductase</t>
  </si>
  <si>
    <t>AK1A1_MOUSE</t>
  </si>
  <si>
    <t>Q9JII6</t>
  </si>
  <si>
    <t>Q9CQI5; Q9CQT8; Q9CT53; Q9D012; Q9D016; Q9D0I7; Q9D0P3</t>
  </si>
  <si>
    <t>Akr1a4</t>
  </si>
  <si>
    <t>MGI:1929955</t>
  </si>
  <si>
    <t>3D-structure; Acetylation; Cell membrane; Cytoplasm; Lipid metabolism; Membrane; NADP; Oxidoreductase; Phosphoprotein</t>
  </si>
  <si>
    <t>aldehyde catabolic process {GO:0046185}; cellular detoxification of aldehyde {GO:0110095}; D-glucuronate catabolic process {GO:0042840}; daunorubicin metabolic process {GO:0044597}; doxorubicin metabolic process {GO:0044598}; glucuronate catabolic process to xylulose 5-phosphate {GO:0019640}; L-ascorbic acid biosynthetic process {GO:0019853}; lipid metabolic process {GO:0006629}</t>
  </si>
  <si>
    <t>apical plasma membrane {GO:0016324}; cytosol {GO:0005829}; synapse {GO:0045202}</t>
  </si>
  <si>
    <t>alcohol dehydrogenase (NADP+) activity {GO:0008106}; alditol:NADP+ 1-oxidoreductase activity {GO:0004032}; allyl-alcohol dehydrogenase activity {GO:0047655}; glucuronolactone reductase activity {GO:0047941}; glycerol dehydrogenase [NADP+] activity {GO:0047956}; L-glucuronate reductase activity {GO:0047939}; methylglyoxal reductase (NADPH-dependent, acetol producing) {GO:1990002}; mevaldate reductase (NADPH) activity {GO:0019726}; oxidoreductase activity, acting on NAD(P)H, nitrogenous group as acceptor {GO:0016657}</t>
  </si>
  <si>
    <t>Glutathione conjugation {R-MMU-156590}; Formation of xylulose-5-phosphate {R-MMU-5661270}</t>
  </si>
  <si>
    <t>sp|Q91W50|CSDE1_MOUSE</t>
  </si>
  <si>
    <t>Cold shock domain-containing protein E1</t>
  </si>
  <si>
    <t>CSDE1_MOUSE</t>
  </si>
  <si>
    <t>Q91W50</t>
  </si>
  <si>
    <t>D3Jfr1</t>
  </si>
  <si>
    <t>MGI:92356</t>
  </si>
  <si>
    <t>Acetylation; Cytoplasm; Isopeptide bond; Phosphoprotein; Repeat; RNA-binding; Ubl conjugation</t>
  </si>
  <si>
    <t>CRD-mediated mRNA stabilization {GO:0070934}; IRES-dependent viral translational initiation {GO:0075522}; negative regulation of nuclear-transcribed mRNA catabolic process, deadenylation-dependent decay {GO:1900152}; nuclear-transcribed mRNA catabolic process, no-go decay {GO:0070966}; positive regulation of cytoplasmic translation {GO:2000767}; stress granule assembly {GO:0034063}</t>
  </si>
  <si>
    <t>CRD-mediated mRNA stability complex {GO:0070937}; cytoplasmic stress granule {GO:0010494}; cytosol {GO:0005829}; Golgi apparatus {GO:0005794}; mCRD-mediated mRNA stability complex {GO:0106002}; mitochondrial inner membrane {GO:0005743}; P-body {GO:0000932}; plasma membrane {GO:0005886}</t>
  </si>
  <si>
    <t>RNA stem-loop binding {GO:0035613}</t>
  </si>
  <si>
    <t>tr|A0A2I3BR81|A0A2I3BR81_MOUSE</t>
  </si>
  <si>
    <t>sp|Q8BP67|RL24_MOUSE</t>
  </si>
  <si>
    <t>60S ribosomal protein L24</t>
  </si>
  <si>
    <t>RL24_MOUSE</t>
  </si>
  <si>
    <t>Q8BP67</t>
  </si>
  <si>
    <t>P38663; Q58EA4</t>
  </si>
  <si>
    <t>MGI:1915443</t>
  </si>
  <si>
    <t>3D-structure; Acetylation; ADP-ribosylation; Cytoplasm; Isopeptide bond; Phosphoprotein; Ribonucleoprotein; Ribosomal protein; Ubl conjugation</t>
  </si>
  <si>
    <t>cytoplasmic translation {GO:0002181}; exit from mitosis {GO:0010458}; optic nerve development {GO:0021554}; retina development in camera-type eye {GO:0060041}; retinal ganglion cell axon guidance {GO:0031290}; ribosomal large subunit assembly {GO:0000027}; translation {GO:0006412}</t>
  </si>
  <si>
    <t>cytoplasm {GO:0005737}; cytosol {GO:0005829}; cytosolic large ribosomal subunit {GO:0022625}; cytosolic ribosome {GO:0022626}; endoplasmic reticulum {GO:0005783}; polysomal ribosome {GO:0042788}; synapse {GO:0045202}</t>
  </si>
  <si>
    <t>sp|Q8K310|MATR3_MOUSE</t>
  </si>
  <si>
    <t>Matrin-3</t>
  </si>
  <si>
    <t>MATR3_MOUSE</t>
  </si>
  <si>
    <t>Q8K310</t>
  </si>
  <si>
    <t>MGI:1298379</t>
  </si>
  <si>
    <t>3D-structure; Acetylation; Immunity; Innate immunity; Isopeptide bond; Metal-binding; Nucleus; Phosphoprotein; Repeat; RNA-binding; Ubl conjugation; Zinc; Zinc-finger</t>
  </si>
  <si>
    <t>Immunity; Innate immunity</t>
  </si>
  <si>
    <t>activation of innate immune response {GO:0002218}; blastocyst formation {GO:0001825}; heart valve development {GO:0003170}; innate immune response {GO:0045087}; post-transcriptional regulation of gene expression {GO:0010608}; ventricular septum development {GO:0003281}</t>
  </si>
  <si>
    <t>cytoplasm {GO:0005737}; nuclear matrix {GO:0016363}; nucleus {GO:0005634}</t>
  </si>
  <si>
    <t>identical protein binding {GO:0042802}; miRNA binding {GO:0035198}; RNA binding {GO:0003723}; zinc ion binding {GO:0008270}</t>
  </si>
  <si>
    <t>sp|Q9WTX5|SKP1_MOUSE</t>
  </si>
  <si>
    <t>S-phase kinase-associated protein 1</t>
  </si>
  <si>
    <t>Cyclin-A/CDK2-associated protein p19; S-phase kinase-associated protein 1A; p19A; p19skp1</t>
  </si>
  <si>
    <t>SKP1_MOUSE</t>
  </si>
  <si>
    <t>Q9WTX5</t>
  </si>
  <si>
    <t>Q8C5H6</t>
  </si>
  <si>
    <t>MGI:103575</t>
  </si>
  <si>
    <t>Isopeptide bond; Phosphoprotein; Ubl conjugation; Ubl conjugation pathway</t>
  </si>
  <si>
    <t>histone H2A monoubiquitination {GO:0035518}; maintenance of protein location in nucleus {GO:0051457}; positive regulation of ubiquitin protein ligase activity {GO:1904668}; protein K48-linked ubiquitination {GO:0070936}; protein monoubiquitination {GO:0006513}; protein polyubiquitination {GO:0000209}; protein ubiquitination {GO:0016567}; SCF-dependent proteasomal ubiquitin-dependent protein catabolic process {GO:0031146}; ubiquitin-dependent protein catabolic process {GO:0006511}</t>
  </si>
  <si>
    <t>centrosome {GO:0005813}; Cul7-RING ubiquitin ligase complex {GO:0031467}; cytoplasm {GO:0005737}; cytosol {GO:0005829}; nucleoplasm {GO:0005654}; nucleus {GO:0005634}; PcG protein complex {GO:0031519}; SCF ubiquitin ligase complex {GO:0019005}</t>
  </si>
  <si>
    <t>beta-catenin binding {GO:0008013}; cullin family protein binding {GO:0097602}; F-box domain binding {GO:1990444}; protein domain specific binding {GO:0019904}; ubiquitin ligase-substrate adaptor activity {GO:1990756}; ubiquitin-protein transferase activity {GO:0004842}</t>
  </si>
  <si>
    <t>Activation of NF-kappaB in B cells {R-MMU-1169091}; Prolactin receptor signaling {R-MMU-1170546}; SCF-beta-TrCP mediated degradation of Emi1 {R-MMU-174113}; SCF(Skp2)-mediated degradation of p27/p21 {R-MMU-187577}; Degradation of beta-catenin by the destruction complex {R-MMU-195253}; Downstream TCR signaling {R-MMU-202424}; Regulation of PLK1 Activity at G2/M Transition {R-MMU-2565942}; FCERI mediated NF-kB activation {R-MMU-2871837}; Dectin-1 mediated noncanonical NF-kB signaling {R-MMU-5607761}; CLEC7A (Dectin-1) signaling {R-MMU-5607764}; Degradation of GLI1 by the proteasome {R-MMU-5610780}; GLI3 is processed to GLI3R by the proteasome {R-MMU-5610785}; NIK--&gt;noncanonical NF-kB signaling {R-MMU-5676590}; MAP3K8 (TPL2)-dependent MAPK1/3 activation {R-MMU-5684264}; Orc1 removal from chromatin {R-MMU-68949}; Cyclin D associated events in G1 {R-MMU-69231}; FBXL7 down-regulates AURKA during mitotic entry and in early mitosis {R-MMU-8854050}; Regulation of RUNX2 expression and activity {R-MMU-8939902}; Neddylation {R-MMU-8951664}; Interleukin-1 signaling {R-MMU-9020702}; Iron uptake and transport {R-MMU-917937}; Regulation of BACH1 activity {R-MMU-9708530}; GSK3B and BTRC:CUL1-mediated-degradation of NFE2L2 {R-MMU-9762114}; Antigen processing: Ubiquitination &amp; Proteasome degradation {R-MMU-983168}</t>
  </si>
  <si>
    <t>sp|P15532|NDKA_MOUSE</t>
  </si>
  <si>
    <t>Nucleoside diphosphate kinase A (NDK A; NDP kinase A)</t>
  </si>
  <si>
    <t>Metastasis inhibition factor NM23; NDPK-A; Tumor metastatic process-associated protein; nm23-M1</t>
  </si>
  <si>
    <t>NDKA_MOUSE</t>
  </si>
  <si>
    <t>P15532</t>
  </si>
  <si>
    <t>Nm23</t>
  </si>
  <si>
    <t>MGI:97355</t>
  </si>
  <si>
    <t>Acetylation; ATP-binding; Cytoplasm; Differentiation; Endocytosis; Isopeptide bond; Kinase; Magnesium; Metal-binding; Neurogenesis; Nucleotide metabolism; Nucleotide-binding; Nucleus; Phosphoprotein; Transferase; Ubl conjugation</t>
  </si>
  <si>
    <t>Differentiation; Endocytosis; Neurogenesis; Nucleotide metabolism</t>
  </si>
  <si>
    <t>cell differentiation {GO:0030154}; CTP biosynthetic process {GO:0006241}; dTMP biosynthetic process {GO:0006231}; endocytosis {GO:0006897}; GTP biosynthetic process {GO:0006183}; lactation {GO:0007595}; mammary gland development {GO:0030879}; negative regulation of gene expression {GO:0010629}; negative regulation of myeloid leukocyte differentiation {GO:0002762}; nervous system development {GO:0007399}; nucleoside diphosphate phosphorylation {GO:0006165}; positive regulation of DNA binding {GO:0043388}; positive regulation of epithelial cell proliferation {GO:0050679}; positive regulation of neuron projection development {GO:0010976}; UTP biosynthetic process {GO:0006228}</t>
  </si>
  <si>
    <t>centrosome {GO:0005813}; cytosol {GO:0005829}; intermediate filament {GO:0005882}; membrane {GO:0016020}; mitochondrial outer membrane {GO:0005741}; mitochondrion {GO:0005739}; myelin sheath {GO:0043209}; nucleus {GO:0005634}; perinuclear region of cytoplasm {GO:0048471}; ruffle membrane {GO:0032587}</t>
  </si>
  <si>
    <t>ATP binding {GO:0005524}; deoxyribonuclease activity {GO:0004536}; enzyme binding {GO:0019899}; gamma-tubulin binding {GO:0043015}; GTP binding {GO:0005525}; identical protein binding {GO:0042802}; intermediate filament binding {GO:0019215}; magnesium ion binding {GO:0000287}; nucleoside diphosphate kinase activity {GO:0004550}; protein kinase binding {GO:0019901}; ribosomal small subunit binding {GO:0043024}; RNA polymerase II transcription regulatory region sequence-specific DNA binding {GO:0000977}; single-stranded DNA binding {GO:0003697}</t>
  </si>
  <si>
    <t>Interconversion of nucleotide di- and triphosphates {R-MMU-499943}; Azathioprine ADME {R-MMU-9748787}</t>
  </si>
  <si>
    <t>sp|P15116|CADH2_MOUSE</t>
  </si>
  <si>
    <t>Cadherin-2</t>
  </si>
  <si>
    <t>Neural cadherin (N-cadherin); CD_antigen=CD325</t>
  </si>
  <si>
    <t>CADH2_MOUSE</t>
  </si>
  <si>
    <t>P15116</t>
  </si>
  <si>
    <t>Q64260; Q6GU11</t>
  </si>
  <si>
    <t>MGI:88355</t>
  </si>
  <si>
    <t>3D-structure; Calcium; Cell adhesion; Cell junction; Cell membrane; Cleavage on pair of basic residues; Glycoprotein; Membrane; Metal-binding; Phosphoprotein; Repeat; Signal; Transmembrane; Transmembrane helix</t>
  </si>
  <si>
    <t>Cell junction; Cell membrane; Membrane</t>
  </si>
  <si>
    <t>Cleavage on pair of basic residues; Glycoprotein; Phosphoprotein</t>
  </si>
  <si>
    <t>blood vessel morphogenesis {GO:0048514}; brain development {GO:0007420}; brain morphogenesis {GO:0048854}; calcium-dependent cell-cell adhesion via plasma membrane cell adhesion molecules {GO:0016339}; cell adhesion {GO:0007155}; cell migration {GO:0016477}; cell-cell adhesion {GO:0098609}; cell-cell adhesion mediated by cadherin {GO:0044331}; cell-cell adhesion via plasma-membrane adhesion molecules {GO:0098742}; cell-cell junction assembly {GO:0007043}; cerebral cortex development {GO:0021987}; glial cell differentiation {GO:0010001}; heterophilic cell-cell adhesion via plasma membrane cell adhesion molecules {GO:0007157}; homeostasis of number of cells {GO:0048872}; homophilic cell adhesion via plasma membrane adhesion molecules {GO:0007156}; mesenchymal cell migration {GO:0090497}; modulation of chemical synaptic transmission {GO:0050804}; negative regulation of canonical Wnt signaling pathway {GO:0090090}; neural crest cell development {GO:0014032}; neuroepithelial cell differentiation {GO:0060563}; neuroligin clustering involved in postsynaptic membrane assembly {GO:0097118}; neuronal stem cell population maintenance {GO:0097150}; positive regulation of MAPK cascade {GO:0043410}; positive regulation of synaptic vesicle clustering {GO:2000809}; protein localization to plasma membrane {GO:0072659}; radial glial cell differentiation {GO:0060019}; regulation of axonogenesis {GO:0050770}; regulation of myelination {GO:0031641}; regulation of oligodendrocyte progenitor proliferation {GO:0070445}; regulation of postsynaptic density protein 95 clustering {GO:1902897}; regulation of protein localization {GO:0032880}; regulation of Rho protein signal transduction {GO:0035023}; regulation of synaptic transmission, glutamatergic {GO:0051966}; striated muscle cell differentiation {GO:0051146}; synapse assembly {GO:0007416}; telencephalon development {GO:0021537}; type B pancreatic cell development {GO:0003323}</t>
  </si>
  <si>
    <t>adherens junction {GO:0005912}; apical part of cell {GO:0045177}; apical plasma membrane {GO:0016324}; apicolateral plasma membrane {GO:0016327}; basolateral plasma membrane {GO:0016323}; catenin complex {GO:0016342}; cell junction {GO:0030054}; cell surface {GO:0009986}; cell-cell junction {GO:0005911}; cortical actin cytoskeleton {GO:0030864}; cytoplasm {GO:0005737}; fascia adherens {GO:0005916}; glutamatergic synapse {GO:0098978}; integral component of plasma membrane {GO:0005887}; integral component of postsynaptic specialization membrane {GO:0099060}; integral component of presynaptic active zone membrane {GO:0099059}; intercalated disc {GO:0014704}; lamellipodium {GO:0030027}; membrane {GO:0016020}; neuron projection {GO:0043005}; plasma membrane {GO:0005886}; plasma membrane raft {GO:0044853}; postsynaptic density {GO:0014069}; protein-containing complex {GO:0032991}; sarcolemma {GO:0042383}; synapse {GO:0045202}; T-tubule {GO:0030315}</t>
  </si>
  <si>
    <t>alpha-catenin binding {GO:0045294}; beta-catenin binding {GO:0008013}; cadherin binding {GO:0045296}; calcium ion binding {GO:0005509}; enzyme binding {GO:0019899}; gamma-catenin binding {GO:0045295}; identical protein binding {GO:0042802}; nitric-oxide synthase binding {GO:0050998}; protein kinase binding {GO:0019901}; protein phosphatase binding {GO:0019903}; protein tyrosine kinase binding {GO:1990782}; protein-containing complex binding {GO:0044877}; RNA binding {GO:0003723}</t>
  </si>
  <si>
    <t>Regulation of Insulin-like Growth Factor (IGF) transport and uptake by Insulin-like Growth Factor Binding Proteins (IGFBPs) {R-MMU-381426}; Adherens junctions interactions {R-MMU-418990}; Myogenesis {R-MMU-525793}; Post-translational protein phosphorylation {R-MMU-8957275}</t>
  </si>
  <si>
    <t>sp|Q64331|MYO6_MOUSE</t>
  </si>
  <si>
    <t>Unconventional myosin-VI</t>
  </si>
  <si>
    <t>Protein twist; Unconventional myosin-6</t>
  </si>
  <si>
    <t>MYO6_MOUSE</t>
  </si>
  <si>
    <t>Q64331</t>
  </si>
  <si>
    <t>Sv</t>
  </si>
  <si>
    <t>MGI:104785</t>
  </si>
  <si>
    <t>3D-structure; Actin-binding; ATP-binding; Calmodulin-binding; Cell membrane; Cell projection; Coated pit; Cytoplasm; Cytoplasmic vesicle; Deafness; Disease variant; Endocytosis; Golgi apparatus; Hearing; Membrane; Motor protein; Myosin; Nucleotide-binding; Nucleus; Phosphoprotein; Protein transport; Transport</t>
  </si>
  <si>
    <t>Endocytosis; Hearing; Protein transport; Transport</t>
  </si>
  <si>
    <t>Cell membrane; Cell projection; Coated pit; Cytoplasm; Cytoplasmic vesicle; Golgi apparatus; Membrane; Nucleus</t>
  </si>
  <si>
    <t>Deafness; Disease variant</t>
  </si>
  <si>
    <t>actin filament organization {GO:0007015}; cellular response to electrical stimulus {GO:0071257}; chemical synaptic transmission {GO:0007268}; dendrite development {GO:0016358}; DNA damage response, signal transduction by p53 class mediator {GO:0030330}; endocytosis {GO:0006897}; glutamate secretion {GO:0014047}; inner ear auditory receptor cell differentiation {GO:0042491}; inner ear development {GO:0048839}; inner ear morphogenesis {GO:0042472}; locomotory behavior {GO:0007626}; positive regulation of transcription by RNA polymerase II {GO:0045944}; postsynaptic neurotransmitter receptor internalization {GO:0098884}; protein targeting {GO:0006605}; regulation of secretion {GO:0051046}; regulation of synaptic plasticity {GO:0048167}; regulation of synaptic vesicle exocytosis {GO:2000300}; response to xenobiotic stimulus {GO:0009410}; sensory perception of sound {GO:0007605}; synapse assembly {GO:0007416}; vesicle transport along actin filament {GO:0030050}</t>
  </si>
  <si>
    <t>actin cytoskeleton {GO:0015629}; apical part of cell {GO:0045177}; axon {GO:0030424}; brush border {GO:0005903}; clathrin-coated endocytic vesicle {GO:0045334}; clathrin-coated pit {GO:0005905}; cochlear hair cell ribbon synapse {GO:0098683}; cytoplasm {GO:0005737}; cytoplasmic vesicle {GO:0031410}; cytosol {GO:0005829}; endocytic vesicle {GO:0030139}; filamentous actin {GO:0031941}; filopodium {GO:0030175}; glutamatergic synapse {GO:0098978}; Golgi apparatus {GO:0005794}; intracellular membrane-bounded organelle {GO:0043231}; membrane {GO:0016020}; microvillus {GO:0005902}; myosin complex {GO:0016459}; neuronal cell body {GO:0043025}; nuclear membrane {GO:0031965}; nucleoplasm {GO:0005654}; nucleus {GO:0005634}; perinuclear region of cytoplasm {GO:0048471}; plasma membrane {GO:0005886}; postsynaptic actin cytoskeleton {GO:0098871}; postsynaptic density {GO:0014069}; presynaptic endocytic zone {GO:0098833}; protein-containing complex {GO:0032991}; RNA polymerase II, holoenzyme {GO:0016591}; ruffle {GO:0001726}; ruffle membrane {GO:0032587}; Schaffer collateral - CA1 synapse {GO:0098685}; synapse {GO:0045202}; vesicle membrane {GO:0012506}</t>
  </si>
  <si>
    <t>actin filament binding {GO:0051015}; ATP binding {GO:0005524}; calmodulin binding {GO:0005516}; identical protein binding {GO:0042802}; microfilament motor activity {GO:0000146}</t>
  </si>
  <si>
    <t>Gap junction degradation {R-MMU-190873}; Trafficking of AMPA receptors {R-MMU-399719}; RHOBTB2 GTPase cycle {R-MMU-9013418}; RHOU GTPase cycle {R-MMU-9013420}; RHOBTB1 GTPase cycle {R-MMU-9013422}</t>
  </si>
  <si>
    <t>sp|O35226|PSMD4_MOUSE</t>
  </si>
  <si>
    <t>26S proteasome non-ATPase regulatory subunit 4</t>
  </si>
  <si>
    <t>26S proteasome regulatory subunit RPN10; 26S proteasome regulatory subunit S5A; Multiubiquitin chain-binding protein</t>
  </si>
  <si>
    <t>PSMD4_MOUSE</t>
  </si>
  <si>
    <t>O35226</t>
  </si>
  <si>
    <t>Q91V59; Q9JJM0; Q9JJM1; Q9JJM2; Q9JJM3</t>
  </si>
  <si>
    <t>Mcb1</t>
  </si>
  <si>
    <t>MGI:1201670</t>
  </si>
  <si>
    <t>Alternative splicing; Isopeptide bond; Phosphoprotein; Proteasome; Repeat; Ubl conjugation</t>
  </si>
  <si>
    <t>proteasome-mediated ubiquitin-dependent protein catabolic process {GO:0043161}</t>
  </si>
  <si>
    <t>cytoplasm {GO:0005737}; cytosol {GO:0005829}; nucleoplasm {GO:0005654}; nucleus {GO:0005634}; proteasome accessory complex {GO:0022624}; proteasome complex {GO:0000502}; proteasome regulatory particle, base subcomplex {GO:0008540}</t>
  </si>
  <si>
    <t>identical protein binding {GO:0042802}; polyubiquitin modification-dependent protein binding {GO:0031593}</t>
  </si>
  <si>
    <t>sp|Q6ZWV7|RL35_MOUSE</t>
  </si>
  <si>
    <t>60S ribosomal protein L35</t>
  </si>
  <si>
    <t>RL35_MOUSE</t>
  </si>
  <si>
    <t>Q6ZWV7</t>
  </si>
  <si>
    <t>MGI:1913739</t>
  </si>
  <si>
    <t>cytoplasmic translation {GO:0002181}; maturation of LSU-rRNA from tricistronic rRNA transcript (SSU-rRNA, 5.8S rRNA, LSU-rRNA) {GO:0000463}</t>
  </si>
  <si>
    <t>mRNA binding {GO:0003729}; ribonucleoprotein complex binding {GO:0043021}; structural constituent of ribosome {GO:0003735}</t>
  </si>
  <si>
    <t>sp|P28667|MRP_MOUSE</t>
  </si>
  <si>
    <t>MARCKS-related protein</t>
  </si>
  <si>
    <t>Brain protein F52; MARCKS-like protein 1; Macrophage myristoylated alanine-rich C kinase substrate (Mac-MARCKS; MacMARCKS)</t>
  </si>
  <si>
    <t>MRP_MOUSE</t>
  </si>
  <si>
    <t>P28667</t>
  </si>
  <si>
    <t>Q3TEZ4; Q91W07</t>
  </si>
  <si>
    <t>Mlp; Mrp</t>
  </si>
  <si>
    <t>MGI:97143</t>
  </si>
  <si>
    <t>Actin-binding; Calmodulin-binding; Cell membrane; Cytoplasm; Cytoskeleton; Lipoprotein; Membrane; Myristate; Phosphoprotein</t>
  </si>
  <si>
    <t>Actin-binding; Calmodulin-binding</t>
  </si>
  <si>
    <t>Lipoprotein; Myristate; Phosphoprotein</t>
  </si>
  <si>
    <t>actin filament organization {GO:0007015}; cell population proliferation {GO:0008283}; central nervous system development {GO:0007417}; positive regulation of cell population proliferation {GO:0008284}</t>
  </si>
  <si>
    <t>anchored component of presynaptic membrane {GO:0099026}; cytoplasm {GO:0005737}; cytoskeleton {GO:0005856}; plasma membrane {GO:0005886}; presynaptic cytosol {GO:0099523}; synaptic vesicle {GO:0008021}</t>
  </si>
  <si>
    <t>actin filament binding {GO:0051015}; calmodulin binding {GO:0005516}; voltage-gated calcium channel activity involved in regulation of presynaptic cytosolic calcium levels {GO:0099626}</t>
  </si>
  <si>
    <t>sp|O70400|PDLI1_MOUSE</t>
  </si>
  <si>
    <t>PDZ and LIM domain protein 1</t>
  </si>
  <si>
    <t>C-terminal LIM domain protein 1; Elfin; LIM domain protein CLP-36</t>
  </si>
  <si>
    <t>PDLI1_MOUSE</t>
  </si>
  <si>
    <t>O70400</t>
  </si>
  <si>
    <t>Q99K93</t>
  </si>
  <si>
    <t>Clim1</t>
  </si>
  <si>
    <t>MGI:1860611</t>
  </si>
  <si>
    <t>Acetylation; Cytoplasm; Cytoskeleton; LIM domain; Metal-binding; Phosphoprotein; Zinc</t>
  </si>
  <si>
    <t>LIM domain</t>
  </si>
  <si>
    <t>actin cytoskeleton organization {GO:0030036}; establishment or maintenance of actin cytoskeleton polarity {GO:0030950}; fibroblast migration {GO:0010761}; heart development {GO:0007507}; maintenance of cell polarity {GO:0030011}; muscle structure development {GO:0061061}; regulation of transcription by RNA polymerase II {GO:0006357}; response to hypoxia {GO:0001666}; stress fiber assembly {GO:0043149}</t>
  </si>
  <si>
    <t>actin cytoskeleton {GO:0015629}; adherens junction {GO:0005912}; cytoplasm {GO:0005737}; cytoskeleton {GO:0005856}; filamentous actin {GO:0031941}; stress fiber {GO:0001725}; transcription regulator complex {GO:0005667}; Z disc {GO:0030018}</t>
  </si>
  <si>
    <t>actin binding {GO:0003779}; metal ion binding {GO:0046872}; muscle alpha-actinin binding {GO:0051371}; transcription coactivator activity {GO:0003713}</t>
  </si>
  <si>
    <t>sp|Q61555|FBN2_MOUSE</t>
  </si>
  <si>
    <t>Placensin</t>
  </si>
  <si>
    <t>FBN2_MOUSE</t>
  </si>
  <si>
    <t>Q61555</t>
  </si>
  <si>
    <t>E9QJZ4; Q63957</t>
  </si>
  <si>
    <t>MGI:95490</t>
  </si>
  <si>
    <t>Calcium; Disulfide bond; EGF-like domain; Extracellular matrix; Glycoprotein; Repeat; Secreted; Signal</t>
  </si>
  <si>
    <t>Extracellular matrix; Secreted</t>
  </si>
  <si>
    <t>anatomical structure morphogenesis {GO:0009653}; bone trabecula formation {GO:0060346}; camera-type eye development {GO:0043010}; embryonic eye morphogenesis {GO:0048048}; embryonic limb morphogenesis {GO:0030326}; glucose homeostasis {GO:0042593}; limb morphogenesis {GO:0035108}; placenta development {GO:0001890}; positive regulation of bone mineralization {GO:0030501}; positive regulation of osteoblast differentiation {GO:0045669}; regulation of trophoblast cell migration {GO:1901163}; sequestering of TGFbeta in extracellular matrix {GO:0035583}</t>
  </si>
  <si>
    <t>collagen-containing extracellular matrix {GO:0062023}; extracellular matrix {GO:0031012}; extracellular region {GO:0005576}; extracellular space {GO:0005615}; microfibril {GO:0001527}</t>
  </si>
  <si>
    <t>calcium ion binding {GO:0005509}; extracellular matrix structural constituent {GO:0005201}; hormone activity {GO:0005179}</t>
  </si>
  <si>
    <t>Degradation of the extracellular matrix {R-MMU-1474228}; Elastic fibre formation {R-MMU-1566948}; Molecules associated with elastic fibres {R-MMU-2129379}</t>
  </si>
  <si>
    <t>sp|P83940|ELOC_MOUSE</t>
  </si>
  <si>
    <t>Elongin-C (EloC)</t>
  </si>
  <si>
    <t>Elongin 15 kDa subunit; RNA polymerase II transcription factor SIII subunit C; SIII p15; Stromal membrane-associated protein SMAP1B homolog; Transcription elongation factor B polypeptide 1</t>
  </si>
  <si>
    <t>ELOC_MOUSE</t>
  </si>
  <si>
    <t>P83940</t>
  </si>
  <si>
    <t>Q63182</t>
  </si>
  <si>
    <t>MGI:1915173</t>
  </si>
  <si>
    <t>3D-structure; Nucleus; Transcription; Transcription regulation; Ubl conjugation; Ubl conjugation pathway</t>
  </si>
  <si>
    <t>Ubl conjugation</t>
  </si>
  <si>
    <t>protein ubiquitination {GO:0016567}; transcription initiation at RNA polymerase II promoter {GO:0006367}; ubiquitin-dependent protein catabolic process {GO:0006511}</t>
  </si>
  <si>
    <t>Cul5-RING ubiquitin ligase complex {GO:0031466}; cytosol {GO:0005829}; elongin complex {GO:0070449}; VCB complex {GO:0030891}</t>
  </si>
  <si>
    <t>protein-containing complex binding {GO:0044877}; protein-macromolecule adaptor activity {GO:0030674}; transcription corepressor binding {GO:0001222}</t>
  </si>
  <si>
    <t>Formation of RNA Pol II elongation complex {R-MMU-112382}; Oxygen-dependent proline hydroxylation of Hypoxia-inducible Factor Alpha {R-MMU-1234176}; RNA Polymerase II Pre-transcription Events {R-MMU-674695}; TP53 Regulates Transcription of DNA Repair Genes {R-MMU-6796648}; RNA Polymerase II Transcription Elongation {R-MMU-75955}; Neddylation {R-MMU-8951664}; Inactivation of CSF3 (G-CSF) signaling {R-MMU-9705462}; Antigen processing: Ubiquitination &amp; Proteasome degradation {R-MMU-983168}</t>
  </si>
  <si>
    <t>sp|P99027|RLA2_MOUSE</t>
  </si>
  <si>
    <t>60S acidic ribosomal protein P2</t>
  </si>
  <si>
    <t>RLA2_MOUSE</t>
  </si>
  <si>
    <t>P99027</t>
  </si>
  <si>
    <t>Q3TKY3; Q9CQ99; Q9CZJ8</t>
  </si>
  <si>
    <t>MGI:1914436</t>
  </si>
  <si>
    <t>Acetylation; Phosphoprotein; Ribonucleoprotein; Ribosomal protein</t>
  </si>
  <si>
    <t>cytoplasmic translation {GO:0002181}; cytoplasmic translational elongation {GO:0002182}</t>
  </si>
  <si>
    <t>cytoplasm {GO:0005737}; cytosol {GO:0005829}; cytosolic large ribosomal subunit {GO:0022625}; synapse {GO:0045202}</t>
  </si>
  <si>
    <t>iron ion binding {GO:0005506}; ribonucleoprotein complex binding {GO:0043021}; structural constituent of ribosome {GO:0003735}</t>
  </si>
  <si>
    <t>sp|P62960|YBOX1_MOUSE</t>
  </si>
  <si>
    <t>Y-box-binding protein 1 (YB-1)</t>
  </si>
  <si>
    <t>CCAAT-binding transcription factor I subunit A (CBF-A); DNA-binding protein B (DBPB); Enhancer factor I subunit A (EFI-A); Nuclease-sensitive element-binding protein 1; Y-box transcription factor</t>
  </si>
  <si>
    <t>YBOX1_MOUSE</t>
  </si>
  <si>
    <t>P62960</t>
  </si>
  <si>
    <t>P22568; P27817; P43482</t>
  </si>
  <si>
    <t>MGI:99146</t>
  </si>
  <si>
    <t>Acetylation; Activator; Cytoplasm; DNA-binding; Isopeptide bond; Mitogen; mRNA processing; mRNA splicing; Nucleus; Phosphoprotein; Repressor; RNA-binding; Secreted; Transcription; Transcription regulation; Ubl conjugation</t>
  </si>
  <si>
    <t>Activator; DNA-binding; Mitogen; RNA-binding; Repressor</t>
  </si>
  <si>
    <t>cellular response to interleukin-7 {GO:0098761}; CRD-mediated mRNA stabilization {GO:0070934}; embryonic morphogenesis {GO:0048598}; epidermis development {GO:0008544}; in utero embryonic development {GO:0001701}; miRNA transport {GO:1990428}; mRNA processing {GO:0006397}; mRNA stabilization {GO:0048255}; negative regulation of cellular senescence {GO:2000773}; negative regulation of nuclear-transcribed mRNA catabolic process, deadenylation-dependent decay {GO:1900152}; negative regulation of striated muscle cell differentiation {GO:0051154}; negative regulation of transcription by RNA polymerase II {GO:0000122}; negative regulation of translation {GO:0017148}; positive regulation of cell division {GO:0051781}; positive regulation of cytoplasmic translation {GO:2000767}; positive regulation of transcription by RNA polymerase II {GO:0045944}; protein localization to cytoplasmic stress granule {GO:1903608}; regulation of DNA-templated transcription {GO:0006355}; regulation of gene expression {GO:0010468}; RNA splicing {GO:0008380}; RNA transport {GO:0050658}; tRNA transport {GO:0051031}</t>
  </si>
  <si>
    <t>CRD-mediated mRNA stability complex {GO:0070937}; cytoplasm {GO:0005737}; cytoplasmic stress granule {GO:0010494}; cytosol {GO:0005829}; dendrite {GO:0030425}; endoplasmic reticulum {GO:0005783}; extracellular exosome {GO:0070062}; histone pre-mRNA 3'end processing complex {GO:0071204}; intracellular membrane-bounded organelle {GO:0043231}; messenger ribonucleoprotein complex {GO:1990124}; neuronal cell body {GO:0043025}; nucleus {GO:0005634}; perinuclear region of cytoplasm {GO:0048471}; plasma membrane {GO:0005886}; ribonucleoprotein complex {GO:1990904}; U12-type spliceosomal complex {GO:0005689}</t>
  </si>
  <si>
    <t>C5-methylcytidine-containing RNA binding {GO:0062153}; chromatin binding {GO:0003682}; GTPase binding {GO:0051020}; miRNA binding {GO:0035198}; mRNA binding {GO:0003729}; nucleic acid binding {GO:0003676}; p53 binding {GO:0002039}; RNA binding {GO:0003723}; sequence-specific DNA binding {GO:0043565}; sequence-specific double-stranded DNA binding {GO:1990837}; single-stranded DNA binding {GO:0003697}</t>
  </si>
  <si>
    <t>mRNA Splicing - Major Pathway {R-MMU-72163}; mRNA Splicing - Minor Pathway {R-MMU-72165}; Noncanonical activation of NOTCH3 {R-MMU-9017802}</t>
  </si>
  <si>
    <t>sp|Q00623|APOA1_MOUSE</t>
  </si>
  <si>
    <t>Truncated apolipoprotein A-I</t>
  </si>
  <si>
    <t>Apolipoprotein A1 (ProapoA-I)</t>
  </si>
  <si>
    <t>APOA1_MOUSE</t>
  </si>
  <si>
    <t>Q00623</t>
  </si>
  <si>
    <t>O08855; O09042; Q8BPD5</t>
  </si>
  <si>
    <t>MGI:88049</t>
  </si>
  <si>
    <t>3D-structure; Cholesterol metabolism; Glycoprotein; HDL; Lipid metabolism; Lipid transport; Lipoprotein; Oxidation; Palmitate; Phosphoprotein; Repeat; Secreted; Signal; Steroid metabolism; Sterol metabolism; Transport</t>
  </si>
  <si>
    <t>HDL; Secreted</t>
  </si>
  <si>
    <t>Glycoprotein; Lipoprotein; Oxidation; Palmitate; Phosphoprotein</t>
  </si>
  <si>
    <t>adrenal gland development {GO:0030325}; animal organ regeneration {GO:0031100}; blood vessel endothelial cell migration {GO:0043534}; cholesterol biosynthetic process {GO:0006695}; cholesterol efflux {GO:0033344}; cholesterol homeostasis {GO:0042632}; cholesterol import {GO:0070508}; cholesterol metabolic process {GO:0008203}; cholesterol transport {GO:0030301}; endothelial cell proliferation {GO:0001935}; G protein-coupled receptor signaling pathway {GO:0007186}; glucocorticoid metabolic process {GO:0008211}; high-density lipoprotein particle assembly {GO:0034380}; high-density lipoprotein particle remodeling {GO:0034375}; integrin-mediated signaling pathway {GO:0007229}; lipid storage {GO:0019915}; lipoprotein biosynthetic process {GO:0042158}; lipoprotein metabolic process {GO:0042157}; negative chemotaxis {GO:0050919}; negative regulation of cell adhesion molecule production {GO:0060354}; negative regulation of cytokine production involved in immune response {GO:0002719}; negative regulation of heterotypic cell-cell adhesion {GO:0034115}; negative regulation of hydrolase activity {GO:0051346}; negative regulation of inflammatory response {GO:0050728}; negative regulation of interleukin-1 beta production {GO:0032691}; negative regulation of lipase activity {GO:0060192}; negative regulation of response to cytokine stimulus {GO:0060761}; negative regulation of tumor necrosis factor-mediated signaling pathway {GO:0010804}; negative regulation of very-low-density lipoprotein particle remodeling {GO:0010903}; peptidyl-methionine modification {GO:0018206}; phosphatidylcholine biosynthetic process {GO:0006656}; phosphatidylcholine metabolic process {GO:0046470}; phospholipid efflux {GO:0033700}; phospholipid homeostasis {GO:0055091}; phospholipid metabolic process {GO:0006644}; phospholipid transport {GO:0015914}; positive regulation of cholesterol efflux {GO:0010875}; positive regulation of cholesterol esterification {GO:0010873}; positive regulation of cholesterol metabolic process {GO:0090205}; positive regulation of CoA-transferase activity {GO:1905920}; positive regulation of fatty acid biosynthetic process {GO:0045723}; positive regulation of hydrolase activity {GO:0051345}; positive regulation of lipid biosynthetic process {GO:0046889}; positive regulation of lipoprotein lipase activity {GO:0051006}; positive regulation of phagocytosis {GO:0050766}; positive regulation of phospholipid efflux {GO:1902995}; positive regulation of Rho protein signal transduction {GO:0035025}; positive regulation of stress fiber assembly {GO:0051496}; positive regulation of substrate adhesion-dependent cell spreading {GO:1900026}; positive regulation of triglyceride catabolic process {GO:0010898}; protein oxidation {GO:0018158}; protein stabilization {GO:0050821}; regulation of Cdc42 protein signal transduction {GO:0032489}; regulation of intestinal cholesterol absorption {GO:0030300}; regulation of protein phosphorylation {GO:0001932}; reverse cholesterol transport {GO:0043691}; triglyceride homeostasis {GO:0070328}; very-low-density lipoprotein particle remodeling {GO:0034372}; vitamin transport {GO:0051180}</t>
  </si>
  <si>
    <t>cell surface {GO:0009986}; chylomicron {GO:0042627}; cytoplasmic vesicle {GO:0031410}; cytosol {GO:0005829}; discoidal high-density lipoprotein particle {GO:0034365}; endocytic vesicle {GO:0030139}; extracellular region {GO:0005576}; extracellular space {GO:0005615}; high-density lipoprotein particle {GO:0034364}; intermediate-density lipoprotein particle {GO:0034363}; low-density lipoprotein particle {GO:0034362}; nucleus {GO:0005634}; spherical high-density lipoprotein particle {GO:0034366}; very-low-density lipoprotein particle {GO:0034361}</t>
  </si>
  <si>
    <t>amyloid-beta binding {GO:0001540}; apolipoprotein A-I receptor binding {GO:0034191}; apolipoprotein receptor binding {GO:0034190}; chemorepellent activity {GO:0045499}; cholesterol binding {GO:0015485}; cholesterol transfer activity {GO:0120020}; enzyme binding {GO:0019899}; heat shock protein binding {GO:0031072}; high-density lipoprotein particle binding {GO:0008035}; high-density lipoprotein particle receptor binding {GO:0070653}; identical protein binding {GO:0042802}; lipase inhibitor activity {GO:0055102}; lipid binding {GO:0008289}; lipid transporter activity {GO:0005319}; lipoprotein particle binding {GO:0071813}; phosphatidylcholine binding {GO:0031210}; phosphatidylcholine-sterol O-acyltransferase activator activity {GO:0060228}; phospholipid binding {GO:0005543}; protein homodimerization activity {GO:0042803}; signaling receptor binding {GO:0005102}</t>
  </si>
  <si>
    <t>Platelet degranulation {R-MMU-114608}; ABC transporters in lipid homeostasis {R-MMU-1369062}; Scavenging of heme from plasma {R-MMU-2168880}; Scavenging by Class B Receptors {R-MMU-3000471}; Scavenging by Class A Receptors {R-MMU-3000480}; Regulation of Insulin-like Growth Factor (IGF) transport and uptake by Insulin-like Growth Factor Binding Proteins (IGFBPs) {R-MMU-381426}; Post-translational protein phosphorylation {R-MMU-8957275}; Chylomicron assembly {R-MMU-8963888}; HDL assembly {R-MMU-8963896}; Chylomicron remodeling {R-MMU-8963901}; HDL clearance {R-MMU-8964011}; HDL remodeling {R-MMU-8964058}; Heme signaling {R-MMU-9707616}; Retinoid metabolism and transport {R-MMU-975634}</t>
  </si>
  <si>
    <t>sp|P12382|PFKAL_MOUSE</t>
  </si>
  <si>
    <t>ATP-dependent 6-phosphofructokinase, liver type (ATP-PFK; PFK-L)</t>
  </si>
  <si>
    <t>6-phosphofructokinase type B; Phosphofructo-1-kinase isozyme B (PFK-B); Phosphohexokinase</t>
  </si>
  <si>
    <t>PFKAL_MOUSE</t>
  </si>
  <si>
    <t>P12382</t>
  </si>
  <si>
    <t>Q8VDX7</t>
  </si>
  <si>
    <t>Pfk-l; Pfkb</t>
  </si>
  <si>
    <t>MGI:97547</t>
  </si>
  <si>
    <t>Acetylation; Allosteric enzyme; ATP-binding; Cytoplasm; Glycolysis; Glycoprotein; Kinase; Magnesium; Metal-binding; Nucleotide-binding; Phosphoprotein; Transferase</t>
  </si>
  <si>
    <t>canonical glycolysis {GO:0061621}; carbohydrate metabolic process {GO:0005975}; fructose 1,6-bisphosphate metabolic process {GO:0030388}; fructose 6-phosphate metabolic process {GO:0006002}; glycolytic process {GO:0006096}; glycolytic process through fructose-6-phosphate {GO:0061615}; negative regulation of insulin secretion {GO:0046676}; response to glucose {GO:0009749}</t>
  </si>
  <si>
    <t>6-phosphofructokinase complex {GO:0005945}; cytosol {GO:0005829}; membrane {GO:0016020}</t>
  </si>
  <si>
    <t>6-phosphofructokinase activity {GO:0003872}; AMP binding {GO:0016208}; ATP binding {GO:0005524}; fructose binding {GO:0070061}; fructose-6-phosphate binding {GO:0070095}; identical protein binding {GO:0042802}; kinase binding {GO:0019900}; metal ion binding {GO:0046872}; monosaccharide binding {GO:0048029}</t>
  </si>
  <si>
    <t>Carbohydrate degradation; glycolysis; D-glyceraldehyde 3- phosphate and glycerone phosphate from D-glucose: step 3/4.</t>
  </si>
  <si>
    <t>sp|P17918|PCNA_MOUSE</t>
  </si>
  <si>
    <t>Proliferating cell nuclear antigen (PCNA)</t>
  </si>
  <si>
    <t>Cyclin</t>
  </si>
  <si>
    <t>PCNA_MOUSE</t>
  </si>
  <si>
    <t>P17918</t>
  </si>
  <si>
    <t>MGI:97503</t>
  </si>
  <si>
    <t>Acetylation; DNA damage; DNA repair; DNA replication; DNA-binding; Isopeptide bond; Methylation; Nucleus; Phosphoprotein; Ubl conjugation</t>
  </si>
  <si>
    <t>DNA damage; DNA repair; DNA replication</t>
  </si>
  <si>
    <t>base-excision repair, gap-filling {GO:0006287}; cellular response to hydrogen peroxide {GO:0070301}; cellular response to UV {GO:0034644}; cellular response to xenobiotic stimulus {GO:0071466}; epithelial cell differentiation {GO:0030855}; estrous cycle {GO:0044849}; heart development {GO:0007507}; leading strand elongation {GO:0006272}; liver regeneration {GO:0097421}; mismatch repair {GO:0006298}; mitotic telomere maintenance via semi-conservative replication {GO:1902990}; negative regulation of transcription by RNA polymerase II {GO:0000122}; positive regulation of deoxyribonuclease activity {GO:0032077}; positive regulation of DNA repair {GO:0045739}; positive regulation of DNA replication {GO:0045740}; positive regulation of DNA-directed DNA polymerase activity {GO:1900264}; replication fork processing {GO:0031297}; response to cadmium ion {GO:0046686}; response to dexamethasone {GO:0071548}; response to estradiol {GO:0032355}; response to L-glutamate {GO:1902065}; response to lipid {GO:0033993}; translesion synthesis {GO:0019985}</t>
  </si>
  <si>
    <t>centrosome {GO:0005813}; chromatin {GO:0000785}; cyclin-dependent protein kinase holoenzyme complex {GO:0000307}; male germ cell nucleus {GO:0001673}; nuclear body {GO:0016604}; nuclear lamina {GO:0005652}; nuclear replication fork {GO:0043596}; nucleoplasm {GO:0005654}; nucleus {GO:0005634}; PCNA complex {GO:0043626}; PCNA-p21 complex {GO:0070557}; replication fork {GO:0005657}</t>
  </si>
  <si>
    <t>chromatin binding {GO:0003682}; damaged DNA binding {GO:0003684}; dinucleotide insertion or deletion binding {GO:0032139}; DNA polymerase binding {GO:0070182}; DNA polymerase processivity factor activity {GO:0030337}; enzyme binding {GO:0019899}; histone acetyltransferase binding {GO:0035035}; identical protein binding {GO:0042802}; MutLalpha complex binding {GO:0032405}; nuclear estrogen receptor binding {GO:0030331}; protein C-terminus binding {GO:0008022}; protein-containing complex binding {GO:0044877}; purine-specific mismatch base pair DNA N-glycosylase activity {GO:0000701}; receptor tyrosine kinase binding {GO:0030971}</t>
  </si>
  <si>
    <t>Translesion synthesis by REV1 {R-MMU-110312}; Recognition of DNA damage by PCNA-containing replication complex {R-MMU-110314}; Translesion Synthesis by POLH {R-MMU-110320}; Polymerase switching on the C-strand of the telomere {R-MMU-174411}; Processive synthesis on the C-strand of the telomere {R-MMU-174414}; Telomere C-strand (Lagging Strand) Synthesis {R-MMU-174417}; Removal of the Flap Intermediate from the C-strand {R-MMU-174437}; SUMOylation of DNA replication proteins {R-MMU-4615885}; Mismatch repair (MMR) directed by MSH2:MSH6 (MutSalpha) {R-MMU-5358565}; PCNA-Dependent Long Patch Base Excision Repair {R-MMU-5651801}; Translesion synthesis by POLK {R-MMU-5655862}; Translesion synthesis by POLI {R-MMU-5656121}; Termination of translesion DNA synthesis {R-MMU-5656169}; HDR through Homologous Recombination (HRR) {R-MMU-5685942}; Gap-filling DNA repair synthesis and ligation in GG-NER {R-MMU-5696397}; Dual Incision in GG-NER {R-MMU-5696400}; Dual incision in TC-NER {R-MMU-6782135}; Gap-filling DNA repair synthesis and ligation in TC-NER {R-MMU-6782210}; TP53 Regulates Transcription of Genes Involved in G2 Cell Cycle Arrest {R-MMU-6804114}; Polymerase switching {R-MMU-69091}; Removal of the Flap Intermediate {R-MMU-69166}; Processive synthesis on the lagging strand {R-MMU-69183}; E3 ubiquitin ligases ubiquitinate target proteins {R-MMU-8866654}</t>
  </si>
  <si>
    <t>sp|Q9Z1Q9|SYVC_MOUSE</t>
  </si>
  <si>
    <t>Valine--tRNA ligase</t>
  </si>
  <si>
    <t>Protein G7a; Valyl-tRNA synthetase (ValRS)</t>
  </si>
  <si>
    <t>SYVC_MOUSE</t>
  </si>
  <si>
    <t>Q9Z1Q9</t>
  </si>
  <si>
    <t>Q9QUN2</t>
  </si>
  <si>
    <t>Bat6; G7a; Vars; Vars2</t>
  </si>
  <si>
    <t>MGI:90675</t>
  </si>
  <si>
    <t>Acetylation; Aminoacyl-tRNA synthetase; ATP-binding; Ligase; Nucleotide-binding; Phosphoprotein; Protein biosynthesis</t>
  </si>
  <si>
    <t>valyl-tRNA aminoacylation {GO:0006438}</t>
  </si>
  <si>
    <t>cytosol {GO:0005829}; mitochondrion {GO:0005739}</t>
  </si>
  <si>
    <t>aminoacyl-tRNA editing activity {GO:0002161}; ATP binding {GO:0005524}; valine-tRNA ligase activity {GO:0004832}</t>
  </si>
  <si>
    <t>sp|P99029|PRDX5_MOUSE</t>
  </si>
  <si>
    <t>Peroxiredoxin-5, mitochondrial</t>
  </si>
  <si>
    <t>Antioxidant enzyme B166 (AOEB166); Liver tissue 2D-page spot 2D-0014IV; PLP; Peroxiredoxin V (Prx-V); Peroxisomal antioxidant enzyme; Thioredoxin peroxidase PMP20; Thioredoxin-dependent peroxiredoxin 5</t>
  </si>
  <si>
    <t>PRDX5_MOUSE</t>
  </si>
  <si>
    <t>P99029</t>
  </si>
  <si>
    <t>Q9QX45; Q9QZ75</t>
  </si>
  <si>
    <t>Prdx6</t>
  </si>
  <si>
    <t>MGI:1859821</t>
  </si>
  <si>
    <t>Acetylation; Alternative initiation; Antioxidant; Cytoplasm; Disulfide bond; Lipoprotein; Mitochondrion; Oxidoreductase; Palmitate; Peroxidase; Peroxisome; Phosphoprotein; Redox-active center; Transit peptide</t>
  </si>
  <si>
    <t>Cytoplasm; Mitochondrion; Peroxisome</t>
  </si>
  <si>
    <t>Redox-active center; Transit peptide</t>
  </si>
  <si>
    <t>cell redox homeostasis {GO:0045454}; cellular response to oxidative stress {GO:0034599}; cellular response to reactive oxygen species {GO:0034614}; hydrogen peroxide catabolic process {GO:0042744}; NADPH oxidation {GO:0070995}; negative regulation of apoptotic process {GO:0043066}; negative regulation of oxidoreductase activity {GO:0051354}; negative regulation of transcription by RNA polymerase III {GO:0016480}; positive regulation of collagen biosynthetic process {GO:0032967}; reactive nitrogen species metabolic process {GO:2001057}; regulation of apoptosis involved in tissue homeostasis {GO:0060785}; response to oxidative stress {GO:0006979}</t>
  </si>
  <si>
    <t>cytoplasm {GO:0005737}; cytoplasmic vesicle {GO:0031410}; cytosol {GO:0005829}; intracellular membrane-bounded organelle {GO:0043231}; mitochondrion {GO:0005739}; nucleus {GO:0005634}; perinuclear region of cytoplasm {GO:0048471}; peroxisomal matrix {GO:0005782}; peroxisome {GO:0005777}</t>
  </si>
  <si>
    <t>antioxidant activity {GO:0016209}; cysteine-type endopeptidase inhibitor activity involved in apoptotic process {GO:0043027}; peroxidase activity {GO:0004601}; peroxiredoxin activity {GO:0051920}; peroxynitrite reductase activity {GO:0072541}; RNA polymerase III transcription regulatory region sequence-specific DNA binding {GO:0001016}; signaling receptor binding {GO:0005102}; thioredoxin peroxidase activity {GO:0008379}; thioredoxin-dependent peroxiredoxin activity {GO:0140824}</t>
  </si>
  <si>
    <t>sp|Q64514|TPP2_MOUSE</t>
  </si>
  <si>
    <t>Tripeptidyl-peptidase 2 (TPP-2)</t>
  </si>
  <si>
    <t>Tripeptidyl aminopeptidase; Tripeptidyl-peptidase II (TPP-II)</t>
  </si>
  <si>
    <t>TPP2_MOUSE</t>
  </si>
  <si>
    <t>Q64514</t>
  </si>
  <si>
    <t>Q5D072</t>
  </si>
  <si>
    <t>MGI:102724</t>
  </si>
  <si>
    <t>Acetylation; Alternative splicing; Aminopeptidase; Cytoplasm; Hydrolase; Nucleus; Phosphoprotein; Protease; Serine protease</t>
  </si>
  <si>
    <t>Aminopeptidase; Hydrolase; Protease; Serine protease</t>
  </si>
  <si>
    <t>amino acid homeostasis {GO:0080144}; protein catabolic process {GO:0030163}; proteolysis {GO:0006508}</t>
  </si>
  <si>
    <t>cytosol {GO:0005829}; endoplasmic reticulum {GO:0005783}; nuclear body {GO:0016604}; nucleoplasm {GO:0005654}</t>
  </si>
  <si>
    <t>aminopeptidase activity {GO:0004177}; identical protein binding {GO:0042802}; peptide binding {GO:0042277}; serine-type endopeptidase activity {GO:0004252}; tripeptidyl-peptidase activity {GO:0008240}</t>
  </si>
  <si>
    <t>sp|Q9QZQ8|H2AY_MOUSE</t>
  </si>
  <si>
    <t>Core histone macro-H2A.1 (Histone macroH2A1; mH2A1)</t>
  </si>
  <si>
    <t>H2A.y; H2A/y</t>
  </si>
  <si>
    <t>H2AY_MOUSE</t>
  </si>
  <si>
    <t>Q9QZQ8</t>
  </si>
  <si>
    <t>Q91VZ2; Q9QZQ7</t>
  </si>
  <si>
    <t>MGI:1349392</t>
  </si>
  <si>
    <t>Acetylation; Alternative splicing; Chromatin regulator; Chromosome; DNA-binding; Isopeptide bond; Methylation; Nucleosome core; Nucleus; Phosphoprotein; Ubl conjugation</t>
  </si>
  <si>
    <t>Chromatin regulator; DNA-binding</t>
  </si>
  <si>
    <t>dosage compensation {GO:0007549}; epigenetic maintenance of chromatin in transcription-competent conformation {GO:0045815}; establishment of protein localization to chromatin {GO:0071169}; negative regulation of cell cycle G2/M phase transition {GO:1902750}; negative regulation of gene expression, epigenetic {GO:0045814}; negative regulation of histone H3-K27 methylation {GO:0061086}; negative regulation of histone H3-K4 methylation {GO:0051572}; negative regulation of protein localization to chromosome, telomeric region {GO:1904815}; negative regulation of protein serine/threonine kinase activity {GO:0071901}; negative regulation of response to oxidative stress {GO:1902883}; negative regulation of transcription by RNA polymerase II {GO:0000122}; negative regulation of transcription of nucleolar large rRNA by RNA polymerase I {GO:1901837}; nucleosome assembly {GO:0006334}; positive regulation of endodermal cell differentiation {GO:1903226}; positive regulation of keratinocyte differentiation {GO:0045618}; positive regulation of maintenance of mitotic sister chromatid cohesion {GO:0034184}; positive regulation of response to oxidative stress {GO:1902884}; regulation of gene expression, epigenetic {GO:0040029}; regulation of lipid metabolic process {GO:0019216}; regulation of NAD metabolic process {GO:1902688}; regulation of response to oxidative stress {GO:1902882}</t>
  </si>
  <si>
    <t>Barr body {GO:0001740}; centrosome {GO:0005813}; chromatin {GO:0000785}; condensed chromosome {GO:0000793}; nuclear chromosome {GO:0000228}; nucleolus {GO:0005730}; nucleoplasm {GO:0005654}; nucleosome {GO:0000786}; nucleus {GO:0005634}; pericentric heterochromatin {GO:0005721}</t>
  </si>
  <si>
    <t>ADP-D-ribose binding {GO:0072570}; ADP-D-ribose modification-dependent protein binding {GO:0160002}; chromatin binding {GO:0003682}; chromatin DNA binding {GO:0031490}; DNA binding {GO:0003677}; double-stranded methylated DNA binding {GO:0010385}; enzyme binding {GO:0019899}; nucleosomal DNA binding {GO:0031492}; promoter-specific chromatin binding {GO:1990841}; protein heterodimerization activity {GO:0046982}; protein kinase binding {GO:0019901}; protein serine/threonine kinase inhibitor activity {GO:0030291}; rDNA binding {GO:0000182}; RNA polymerase II core promoter sequence-specific DNA binding {GO:0000979}; RNA polymerase II transcription regulatory region sequence-specific DNA binding {GO:0000977}; structural constituent of chromatin {GO:0030527}; transcription cis-regulatory region binding {GO:0000976}</t>
  </si>
  <si>
    <t>sp|Q922Q8|LRC59_MOUSE</t>
  </si>
  <si>
    <t>Leucine-rich repeat-containing protein 59, N-terminally processed</t>
  </si>
  <si>
    <t>LRC59_MOUSE</t>
  </si>
  <si>
    <t>Q922Q8</t>
  </si>
  <si>
    <t>Q3TJ35; Q3TLC7; Q3TWT9; Q3TX86</t>
  </si>
  <si>
    <t>MGI:2138133</t>
  </si>
  <si>
    <t>Acetylation; Coiled coil; Endoplasmic reticulum; Leucine-rich repeat; Membrane; Microsome; Nucleus; Phosphoprotein; Repeat; Signal-anchor; Transmembrane; Transmembrane helix</t>
  </si>
  <si>
    <t>Endoplasmic reticulum; Membrane; Microsome; Nucleus</t>
  </si>
  <si>
    <t>Coiled coil; Leucine-rich repeat; Repeat; Signal-anchor; Transmembrane; Transmembrane helix</t>
  </si>
  <si>
    <t>endoplasmic reticulum {GO:0005783}; endoplasmic reticulum membrane {GO:0005789}; integral component of membrane {GO:0016021}; mitochondrial nucleoid {GO:0042645}; nuclear envelope {GO:0005635}</t>
  </si>
  <si>
    <t>sp|Q9Z2X1|HNRPF_MOUSE</t>
  </si>
  <si>
    <t>Heterogeneous nuclear ribonucleoprotein F, N-terminally processed (hnRNP F)</t>
  </si>
  <si>
    <t>HNRPF_MOUSE</t>
  </si>
  <si>
    <t>Q9Z2X1</t>
  </si>
  <si>
    <t>Q5FWK2; Q8BVU8; Q8K2U9; Q8R0E7</t>
  </si>
  <si>
    <t>Hnrpf</t>
  </si>
  <si>
    <t>MGI:2138741</t>
  </si>
  <si>
    <t>3D-structure; Acetylation; Alternative splicing; Isopeptide bond; mRNA processing; mRNA splicing; Nucleus; Phosphoprotein; Repeat; Ribonucleoprotein; RNA-binding; Spliceosome; Ubl conjugation</t>
  </si>
  <si>
    <t>mRNA processing {GO:0006397}; regulation of RNA splicing {GO:0043484}; RNA splicing {GO:0008380}</t>
  </si>
  <si>
    <t>catalytic step 2 spliceosome {GO:0071013}; cytosol {GO:0005829}; nucleoplasm {GO:0005654}; nucleus {GO:0005634}; ribonucleoprotein complex {GO:1990904}</t>
  </si>
  <si>
    <t>RNA binding {GO:0003723}; single-stranded RNA binding {GO:0003727}; TBP-class protein binding {GO:0017025}</t>
  </si>
  <si>
    <t>sp|P58044|IDI1_MOUSE</t>
  </si>
  <si>
    <t>Isopentenyl-diphosphate Delta-isomerase 1</t>
  </si>
  <si>
    <t>Isopentenyl pyrophosphate isomerase 1 (IPP isomerase 1; IPPI1)</t>
  </si>
  <si>
    <t>IDI1_MOUSE</t>
  </si>
  <si>
    <t>P58044</t>
  </si>
  <si>
    <t>Q4FJU2</t>
  </si>
  <si>
    <t>MGI:2442264</t>
  </si>
  <si>
    <t>Acetylation; Cholesterol biosynthesis; Cholesterol metabolism; Isomerase; Isoprene biosynthesis; Lipid biosynthesis; Lipid metabolism; Magnesium; Metal-binding; Peroxisome; Steroid biosynthesis; Steroid metabolism; Sterol biosynthesis; Sterol metabolism</t>
  </si>
  <si>
    <t>Peroxisome</t>
  </si>
  <si>
    <t>cholesterol biosynthetic process {GO:0006695}; dimethylallyl diphosphate biosynthetic process {GO:0050992}; isopentenyl diphosphate biosynthetic process {GO:0009240}; isoprenoid biosynthetic process {GO:0008299}; response to stilbenoid {GO:0035634}</t>
  </si>
  <si>
    <t>cytoplasm {GO:0005737}; mitochondrion {GO:0005739}; peroxisome {GO:0005777}</t>
  </si>
  <si>
    <t>isopentenyl-diphosphate delta-isomerase activity {GO:0004452}; magnesium ion binding {GO:0000287}; manganese ion binding {GO:0030145}</t>
  </si>
  <si>
    <t>Isoprenoid biosynthesis; dimethylallyl diphosphate biosynthesis; dimethylallyl diphosphate from isopentenyl diphosphate: step 1/1..</t>
  </si>
  <si>
    <t>sp|Q99020|ROAA_MOUSE</t>
  </si>
  <si>
    <t>Heterogeneous nuclear ribonucleoprotein A/B (hnRNP A/B)</t>
  </si>
  <si>
    <t>CArG-binding factor-A (CBF-A)</t>
  </si>
  <si>
    <t>ROAA_MOUSE</t>
  </si>
  <si>
    <t>Q99020</t>
  </si>
  <si>
    <t>Q8BPE0</t>
  </si>
  <si>
    <t>Cbf-a; Cgbfa; Hnrpab</t>
  </si>
  <si>
    <t>MGI:1330294</t>
  </si>
  <si>
    <t>Acetylation; Cytoplasm; DNA-binding; Isopeptide bond; Methylation; Nucleus; Phosphoprotein; Repeat; Repressor; RNA-binding; Transcription; Transcription regulation; Ubl conjugation</t>
  </si>
  <si>
    <t>DNA-binding; RNA-binding; Repressor</t>
  </si>
  <si>
    <t>epithelial to mesenchymal transition {GO:0001837}; mRNA modification {GO:0016556}; negative regulation of nuclear-transcribed mRNA catabolic process, nonsense-mediated decay {GO:2000623}; negative regulation of transcription by RNA polymerase II {GO:0000122}; positive regulation of DNA demethylation {GO:1901537}; positive regulation of DNA-templated transcription {GO:0045893}; regulation of cellular localization {GO:0060341}; regulation of gene expression {GO:0010468}; regulation of intracellular mRNA localization {GO:1904580}</t>
  </si>
  <si>
    <t>cytoplasm {GO:0005737}; dendrite {GO:0030425}; messenger ribonucleoprotein complex {GO:1990124}; mRNA editing complex {GO:0045293}; neuronal ribonucleoprotein granule {GO:0071598}; nucleoplasm {GO:0005654}; nucleus {GO:0005634}; presynaptic cytosol {GO:0099523}; ribonucleoprotein complex {GO:1990904}; RNA polymerase II transcription regulator complex {GO:0090575}</t>
  </si>
  <si>
    <t>protein-containing complex binding {GO:0044877}; RNA binding {GO:0003723}; sequence-specific double-stranded DNA binding {GO:1990837}</t>
  </si>
  <si>
    <t>sp|Q91WJ8|FUBP1_MOUSE</t>
  </si>
  <si>
    <t>Far upstream element-binding protein 1 (FBP; FUSE-binding protein 1)</t>
  </si>
  <si>
    <t>FUBP1_MOUSE</t>
  </si>
  <si>
    <t>Q91WJ8</t>
  </si>
  <si>
    <t>Q8C0Y8</t>
  </si>
  <si>
    <t>D3Ertd330e</t>
  </si>
  <si>
    <t>MGI:1196294</t>
  </si>
  <si>
    <t>3D-structure; Acetylation; Alternative splicing; DNA-binding; Methylation; Nucleus; Phosphoprotein; Repeat; Transcription; Transcription regulation; Ubl conjugation</t>
  </si>
  <si>
    <t>developmental cell growth {GO:0048588}; hematopoietic stem cell proliferation {GO:0071425}; positive regulation of gene expression {GO:0010628}; positive regulation of Schwann cell migration {GO:1900149}; regulation of gene expression {GO:0010468}; regulation of transcription by RNA polymerase II {GO:0006357}; somatic stem cell division {GO:0048103}</t>
  </si>
  <si>
    <t>cytoplasm {GO:0005737}; nucleoplasm {GO:0005654}; nucleus {GO:0005634}; synapse {GO:0045202}</t>
  </si>
  <si>
    <t>mRNA binding {GO:0003729}; RNA polymerase II cis-regulatory region sequence-specific DNA binding {GO:0000978}</t>
  </si>
  <si>
    <t>sp|P18242|CATD_MOUSE</t>
  </si>
  <si>
    <t>Cathepsin D</t>
  </si>
  <si>
    <t>CATD_MOUSE</t>
  </si>
  <si>
    <t>P18242</t>
  </si>
  <si>
    <t>MGI:88562</t>
  </si>
  <si>
    <t>Aspartyl protease; Disulfide bond; Glycoprotein; Hydrolase; Lysosome; Protease; Secreted; Signal; Zymogen</t>
  </si>
  <si>
    <t>Aspartyl protease; Hydrolase; Protease</t>
  </si>
  <si>
    <t>Disulfide bond; Glycoprotein; Zymogen</t>
  </si>
  <si>
    <t>autophagosome assembly {GO:0000045}; lipoprotein catabolic process {GO:0042159}; positive regulation of apoptotic process {GO:0043065}; positive regulation of cysteine-type endopeptidase activity involved in apoptotic process {GO:0043280}; protein catabolic process {GO:0030163}; proteolysis {GO:0006508}; regulation of establishment of protein localization {GO:0070201}</t>
  </si>
  <si>
    <t>collagen-containing extracellular matrix {GO:0062023}; endosome membrane {GO:0010008}; extracellular space {GO:0005615}; lysosomal membrane {GO:0005765}; lysosome {GO:0005764}; melanosome {GO:0042470}; membrane raft {GO:0045121}; mitochondrion {GO:0005739}</t>
  </si>
  <si>
    <t>aspartic-type endopeptidase activity {GO:0004190}; aspartic-type peptidase activity {GO:0070001}; endopeptidase activity {GO:0004175}; hydrolase activity {GO:0016787}; peptidase activity {GO:0008233}; peptide binding {GO:0042277}</t>
  </si>
  <si>
    <t>Collagen degradation {R-MMU-1442490}; Metabolism of Angiotensinogen to Angiotensins {R-MMU-2022377}; MHC class II antigen presentation {R-MMU-2132295}; Neutrophil degranulation {R-MMU-6798695}</t>
  </si>
  <si>
    <t>sp|Q9EQQ9|OGA_MOUSE</t>
  </si>
  <si>
    <t>Protein O-GlcNAcase (OGA)</t>
  </si>
  <si>
    <t>Beta-N-acetylhexosaminidase; Beta-hexosaminidase; Bifunctional protein NCOAT; Meningioma-expressed antigen 5; N-acetyl-beta-D-glucosaminidase; N-acetyl-beta-glucosaminidase</t>
  </si>
  <si>
    <t>OGA_MOUSE</t>
  </si>
  <si>
    <t>Q9EQQ9</t>
  </si>
  <si>
    <t>Q3ULY7; Q6ZQ71; Q8BK05; Q8BTT2; Q8CFX2; Q9CSJ4; Q9CUR7</t>
  </si>
  <si>
    <t>Hexc; Kiaa0679; Mgea5</t>
  </si>
  <si>
    <t>MGI:1932139</t>
  </si>
  <si>
    <t>Alternative splicing; Cytoplasm; Glycosidase; Hydrolase; Nucleus; Phosphoprotein</t>
  </si>
  <si>
    <t>dATP metabolic process {GO:0046060}; glycoprotein metabolic process {GO:0009100}; N-acetylglucosamine metabolic process {GO:0006044}; necrotic cell death {GO:0070265}; negative regulation of cardiac muscle adaptation {GO:0010616}; negative regulation of protein glycosylation {GO:0060051}; positive regulation of calcium ion transport {GO:0051928}; positive regulation of calcium ion transport into cytosol {GO:0010524}; positive regulation of cell killing {GO:0031343}; positive regulation of DNA metabolic process {GO:0051054}; positive regulation of glucose import {GO:0046326}; positive regulation of growth hormone secretion {GO:0060124}; positive regulation of insulin secretion {GO:0032024}; positive regulation of mitochondrial depolarization {GO:0051901}; positive regulation of protein-containing complex disassembly {GO:0043243}; positive regulation of proteolysis {GO:0045862}; protein deglycosylation {GO:0006517}; protein targeting to membrane {GO:0006612}</t>
  </si>
  <si>
    <t>cytosol {GO:0005829}; mitochondrion {GO:0005739}; nucleus {GO:0005634}</t>
  </si>
  <si>
    <t>[protein]-3-O-(N-acetyl-D-glucosaminyl)-L-serine O-N-acetyl-alpha-D-glucosaminase activity {GO:0102167}; [protein]-3-O-(N-acetyl-D-glucosaminyl)-L-serine/L-threonine O-N-acetyl-alpha-D-glucosaminase activity {GO:0102571}; [protein]-3-O-(N-acetyl-D-glucosaminyl)-L-threonine O-N-acetyl-alpha-D-glucosaminase activity {GO:0102166}; beta-N-acetylglucosaminidase activity {GO:0016231}; histone acetyltransferase activity {GO:0004402}</t>
  </si>
  <si>
    <t>sp|P62774|MTPN_MOUSE</t>
  </si>
  <si>
    <t>Myotrophin</t>
  </si>
  <si>
    <t>Granule cell differentiation protein; Protein V-1</t>
  </si>
  <si>
    <t>MTPN_MOUSE</t>
  </si>
  <si>
    <t>P62774</t>
  </si>
  <si>
    <t>P80144; Q543M6; Q9DCN8</t>
  </si>
  <si>
    <t>Gcdp</t>
  </si>
  <si>
    <t>MGI:99445</t>
  </si>
  <si>
    <t>3D-structure; Acetylation; ANK repeat; Cytoplasm; Nucleus; Phosphoprotein; Repeat</t>
  </si>
  <si>
    <t>catecholamine metabolic process {GO:0006584}; cellular response to mechanical stimulus {GO:0071260}; cerebellar granule cell differentiation {GO:0021707}; positive regulation of cardiac muscle hypertrophy {GO:0010613}; positive regulation of cell growth {GO:0030307}; positive regulation of macromolecule biosynthetic process {GO:0010557}; positive regulation of NF-kappaB transcription factor activity {GO:0051092}; positive regulation of protein metabolic process {GO:0051247}; regulation of barbed-end actin filament capping {GO:2000812}; regulation of cell size {GO:0008361}; skeletal muscle tissue regeneration {GO:0043403}; striated muscle cell differentiation {GO:0051146}</t>
  </si>
  <si>
    <t>axon {GO:0030424}; cytoplasm {GO:0005737}; cytosol {GO:0005829}; F-actin capping protein complex {GO:0008290}; nucleus {GO:0005634}; perinuclear region of cytoplasm {GO:0048471}</t>
  </si>
  <si>
    <t>sequence-specific DNA binding {GO:0043565}</t>
  </si>
  <si>
    <t>sp|Q9CRB6|TPPP3_MOUSE</t>
  </si>
  <si>
    <t>Tubulin polymerization-promoting protein family member 3</t>
  </si>
  <si>
    <t>TPPP3_MOUSE</t>
  </si>
  <si>
    <t>Q9CRB6</t>
  </si>
  <si>
    <t>Q3TUZ0</t>
  </si>
  <si>
    <t>MGI:1915221</t>
  </si>
  <si>
    <t>3D-structure; Acetylation; Cytoplasm; Cytoskeleton; Microtubule</t>
  </si>
  <si>
    <t>decidualization {GO:0046697}; embryo implantation {GO:0007566}; microtubule bundle formation {GO:0001578}; microtubule polymerization {GO:0046785}; positive regulation of protein polymerization {GO:0032273}</t>
  </si>
  <si>
    <t>microtubule {GO:0005874}; microtubule bundle {GO:0097427}; perinuclear region of cytoplasm {GO:0048471}</t>
  </si>
  <si>
    <t>sp|Q9CVB6|ARPC2_MOUSE</t>
  </si>
  <si>
    <t>Actin-related protein 2/3 complex subunit 2</t>
  </si>
  <si>
    <t>Arp2/3 complex 34 kDa subunit (p34-ARC)</t>
  </si>
  <si>
    <t>ARPC2_MOUSE</t>
  </si>
  <si>
    <t>Q9CVB6</t>
  </si>
  <si>
    <t>Q3U870</t>
  </si>
  <si>
    <t>MGI:1923959</t>
  </si>
  <si>
    <t>3D-structure; Acetylation; Actin-binding; Cell projection; Cytoplasm; Cytoskeleton; Nucleus; Synapse; Synaptosome</t>
  </si>
  <si>
    <t>Cell projection; Cytoplasm; Cytoskeleton; Nucleus; Synapse; Synaptosome</t>
  </si>
  <si>
    <t>actin filament polymerization {GO:0030041}; Arp2/3 complex-mediated actin nucleation {GO:0034314}; cellular response to epidermal growth factor stimulus {GO:0071364}; cellular response to platelet-derived growth factor stimulus {GO:0036120}; cellular response to rapamycin {GO:0072752}; positive regulation of actin cytoskeleton reorganization {GO:2000251}; positive regulation of actin filament polymerization {GO:0030838}; positive regulation of barbed-end actin filament capping {GO:2000814}; positive regulation of filopodium assembly {GO:0051491}; positive regulation of lamellipodium assembly {GO:0010592}; positive regulation of podosome assembly {GO:0071803}; positive regulation of protein targeting to membrane {GO:0090314}; positive regulation of smooth muscle cell migration {GO:0014911}; positive regulation of substrate adhesion-dependent cell spreading {GO:1900026}; protein kinase C signaling {GO:0070528}</t>
  </si>
  <si>
    <t>actin filament branch point {GO:0061834}; apical dendrite {GO:0097440}; Arp2/3 protein complex {GO:0005885}; axon terminus {GO:0043679}; cell leading edge {GO:0031252}; cell surface {GO:0009986}; concave side of sperm head {GO:0061830}; cytoplasm {GO:0005737}; dendritic shaft {GO:0043198}; dendritic spine {GO:0043197}; endosome {GO:0005768}; filamentous actin {GO:0031941}; focal adhesion {GO:0005925}; glutamatergic synapse {GO:0098978}; growth cone {GO:0030426}; lamellipodium {GO:0030027}; muscle cell projection membrane {GO:0036195}; nucleoplasm {GO:0005654}; nucleus {GO:0005634}; perikaryon {GO:0043204}; peripheral region of growth cone {GO:0090725}; plasma membrane {GO:0005886}; podosome core {GO:0061825}; podosome ring {GO:0061826}; ruffle membrane {GO:0032587}; secretory granule {GO:0030141}; site of double-strand break {GO:0035861}; synapse {GO:0045202}; ventral surface of cell {GO:0061835}</t>
  </si>
  <si>
    <t>actin filament binding {GO:0051015}; ATPase binding {GO:0051117}; glutamate receptor binding {GO:0035254}; protein-containing complex binding {GO:0044877}; structural constituent of cytoskeleton {GO:0005200}</t>
  </si>
  <si>
    <t>Regulation of actin dynamics for phagocytic cup formation {R-MMU-2029482}; EPHB-mediated forward signaling {R-MMU-3928662}; RHO GTPases Activate WASPs and WAVEs {R-MMU-5663213}; Clathrin-mediated endocytosis {R-MMU-8856828}</t>
  </si>
  <si>
    <t>sp|P62869|ELOB_MOUSE</t>
  </si>
  <si>
    <t>Elongin-B (EloB)</t>
  </si>
  <si>
    <t>Elongin 18 kDa subunit; RNA polymerase II transcription factor SIII subunit B; SIII p18; Transcription elongation factor B polypeptide 2</t>
  </si>
  <si>
    <t>ELOB_MOUSE</t>
  </si>
  <si>
    <t>P62869</t>
  </si>
  <si>
    <t>Q63529; Q80W20</t>
  </si>
  <si>
    <t>Tceb2</t>
  </si>
  <si>
    <t>MGI:1914923</t>
  </si>
  <si>
    <t>3D-structure; Acetylation; Nucleus; Phosphoprotein; Transcription; Transcription regulation; Ubl conjugation pathway</t>
  </si>
  <si>
    <t>protein ubiquitination {GO:0016567}; transcription elongation by RNA polymerase II promoter {GO:0006368}; transcription initiation at RNA polymerase II promoter {GO:0006367}</t>
  </si>
  <si>
    <t>Cul2-RING ubiquitin ligase complex {GO:0031462}; Cul5-RING ubiquitin ligase complex {GO:0031466}; cytosol {GO:0005829}; elongin complex {GO:0070449}; transcription regulator complex {GO:0005667}; VCB complex {GO:0030891}</t>
  </si>
  <si>
    <t>protein-containing complex binding {GO:0044877}; transcription coactivator activity {GO:0003713}; transcription corepressor binding {GO:0001222}; ubiquitin protein ligase binding {GO:0031625}</t>
  </si>
  <si>
    <t>sp|P60867|RS20_MOUSE</t>
  </si>
  <si>
    <t>40S ribosomal protein S20</t>
  </si>
  <si>
    <t>RS20_MOUSE</t>
  </si>
  <si>
    <t>P60867</t>
  </si>
  <si>
    <t>P17075</t>
  </si>
  <si>
    <t>MGI:1914677</t>
  </si>
  <si>
    <t>cytoplasmic translation {GO:0002181}; positive regulation of signal transduction by p53 class mediator {GO:1901798}</t>
  </si>
  <si>
    <t>cytoplasm {GO:0005737}; cytosol {GO:0005829}; cytosolic ribosome {GO:0022626}; cytosolic small ribosomal subunit {GO:0022627}; small ribosomal subunit {GO:0015935}; synapse {GO:0045202}</t>
  </si>
  <si>
    <t>sp|O08788|DCTN1_MOUSE</t>
  </si>
  <si>
    <t>Dynactin subunit 1</t>
  </si>
  <si>
    <t>150 kDa dynein-associated polypeptide; DAP-150 (DP-150); p150-glued</t>
  </si>
  <si>
    <t>DCTN1_MOUSE</t>
  </si>
  <si>
    <t>O08788</t>
  </si>
  <si>
    <t>E9QLJ1; Q3TZG7</t>
  </si>
  <si>
    <t>MGI:107745</t>
  </si>
  <si>
    <t>Alternative splicing; Cell cycle; Cell division; Coiled coil; Cytoplasm; Cytoskeleton; Dynein; Microtubule; Mitosis; Nucleus; Phosphoprotein; Transport; Ubl conjugation</t>
  </si>
  <si>
    <t>Cytoplasm; Cytoskeleton; Dynein; Microtubule; Nucleus</t>
  </si>
  <si>
    <t>cell division {GO:0051301}; centriole-centriole cohesion {GO:0010457}; cytoplasmic microtubule organization {GO:0031122}; establishment of mitotic spindle orientation {GO:0000132}; melanosome transport {GO:0032402}; microtubule anchoring at centrosome {GO:0034454}; motor behavior {GO:0061744}; neuromuscular junction development {GO:0007528}; neuromuscular process {GO:0050905}; neuron cellular homeostasis {GO:0070050}; neuron projection maintenance {GO:1990535}; non-motile cilium assembly {GO:1905515}; nuclear membrane disassembly {GO:0051081}; nuclear migration {GO:0007097}; positive regulation of intracellular protein transport {GO:0090316}; positive regulation of microtubule nucleation {GO:0090063}; positive regulation of microtubule polymerization {GO:0031116}; positive regulation of neuromuscular junction development {GO:1904398}; regulation of mitotic spindle organization {GO:0060236}; retrograde transport, endosome to Golgi {GO:0042147}; ventral spinal cord development {GO:0021517}</t>
  </si>
  <si>
    <t>axon {GO:0030424}; cell cortex {GO:0005938}; cell cortex region {GO:0099738}; cell leading edge {GO:0031252}; centriolar subdistal appendage {GO:0120103}; centriole {GO:0005814}; centrosome {GO:0005813}; ciliary basal body {GO:0036064}; cytoplasm {GO:0005737}; cytoplasmic dynein complex {GO:0005868}; cytosol {GO:0005829}; intercellular bridge {GO:0045171}; kinetochore {GO:0000776}; microtubule {GO:0005874}; microtubule associated complex {GO:0005875}; microtubule cytoskeleton {GO:0015630}; microtubule plus-end {GO:0035371}; mitotic spindle {GO:0072686}; neuron projection {GO:0043005}; neuronal cell body {GO:0043025}; nuclear envelope {GO:0005635}; nucleus {GO:0005634}; protein-containing complex {GO:0032991}; retromer complex {GO:0030904}; spindle {GO:0005819}; spindle pole {GO:0000922}</t>
  </si>
  <si>
    <t>identical protein binding {GO:0042802}; microtubule binding {GO:0008017}; microtubule plus-end binding {GO:0051010}; protein kinase binding {GO:0019901}; tubulin binding {GO:0015631}</t>
  </si>
  <si>
    <t>MHC class II antigen presentation {R-MMU-2132295}; Regulation of PLK1 Activity at G2/M Transition {R-MMU-2565942}; HSP90 chaperone cycle for steroid hormone receptors (SHR) in the presence of ligand {R-MMU-3371497};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COPI-mediated anterograde transport {R-MMU-6807878}; COPI-independent Golgi-to-ER retrograde traffic {R-MMU-6811436}; AURKA Activation by TPX2 {R-MMU-8854518}</t>
  </si>
  <si>
    <t>sp|P51410|RL9_MOUSE</t>
  </si>
  <si>
    <t>60S ribosomal protein L9</t>
  </si>
  <si>
    <t>RL9_MOUSE</t>
  </si>
  <si>
    <t>P51410</t>
  </si>
  <si>
    <t>Q9JK58</t>
  </si>
  <si>
    <t>MGI:1298373</t>
  </si>
  <si>
    <t>3D-structure; Acetylation; Cytoplasm; Ribonucleoprotein; Ribosomal protein; Tumor antigen</t>
  </si>
  <si>
    <t>cytoplasm {GO:0005737}; cytosol {GO:0005829}; cytosolic large ribosomal subunit {GO:0022625}; cytosolic ribosome {GO:0022626}; synapse {GO:0045202}</t>
  </si>
  <si>
    <t>sp|Q11136|PEPD_MOUSE</t>
  </si>
  <si>
    <t>Xaa-Pro dipeptidase (X-Pro dipeptidase)</t>
  </si>
  <si>
    <t>Imidodipeptidase; Peptidase 4; Peptidase D; Proline dipeptidase (Prolidase)</t>
  </si>
  <si>
    <t>PEPD_MOUSE</t>
  </si>
  <si>
    <t>Q11136</t>
  </si>
  <si>
    <t>P97735; Q3TH86; Q9CWK4</t>
  </si>
  <si>
    <t>Pep4</t>
  </si>
  <si>
    <t>MGI:97542</t>
  </si>
  <si>
    <t>Acetylation; Collagen degradation; Dipeptidase; Hydrolase; Manganese; Metal-binding; Metalloprotease; Phosphoprotein; Protease</t>
  </si>
  <si>
    <t>Collagen degradation</t>
  </si>
  <si>
    <t>Manganese; Metal-binding</t>
  </si>
  <si>
    <t>Dipeptidase; Hydrolase; Metalloprotease; Protease</t>
  </si>
  <si>
    <t>collagen catabolic process {GO:0030574}; proteolysis {GO:0006508}</t>
  </si>
  <si>
    <t>manganese ion binding {GO:0030145}; metalloaminopeptidase activity {GO:0070006}; peptidase activity {GO:0008233}; proline dipeptidase activity {GO:0102009}</t>
  </si>
  <si>
    <t>sp|Q9CR16|PPID_MOUSE</t>
  </si>
  <si>
    <t>Peptidyl-prolyl cis-trans isomerase D (PPIase D)</t>
  </si>
  <si>
    <t>40 kDa peptidyl-prolyl cis-trans isomerase; Cyclophilin-40 (CYP-40); Rotamase D</t>
  </si>
  <si>
    <t>PPID_MOUSE</t>
  </si>
  <si>
    <t>Q9CR16</t>
  </si>
  <si>
    <t>Q543G1</t>
  </si>
  <si>
    <t>MGI:1914988</t>
  </si>
  <si>
    <t>Acetylation; Apoptosis; Chaperone; Cytoplasm; Isomerase; Nucleus; Phosphoprotein; Protein transport; Repeat; Rotamase; TPR repeat; Transport</t>
  </si>
  <si>
    <t>Apoptosis; Protein transport; Transport</t>
  </si>
  <si>
    <t>apoptotic process {GO:0006915}; cellular response to UV-A {GO:0071492}; chaperone-mediated protein folding {GO:0061077}; lipid droplet organization {GO:0034389}; negative regulation of transcription by RNA polymerase II {GO:0000122}; positive regulation of apoptotic process {GO:0043065}; positive regulation of protein secretion {GO:0050714}; positive regulation of viral genome replication {GO:0045070}; protein folding {GO:0006457}; protein peptidyl-prolyl isomerization {GO:0000413}; protein transport {GO:0015031}; protein-containing complex assembly {GO:0065003}</t>
  </si>
  <si>
    <t>cytoplasm {GO:0005737}; cytosol {GO:0005829}; mitochondrion {GO:0005739}; nucleolus {GO:0005730}; nucleoplasm {GO:0005654}; nucleus {GO:0005634}</t>
  </si>
  <si>
    <t>cyclosporin A binding {GO:0016018}; enzyme binding {GO:0019899}; FK506 binding {GO:0005528}; heat shock protein binding {GO:0031072}; Hsp70 protein binding {GO:0030544}; Hsp90 protein binding {GO:0051879}; nuclear estrogen receptor binding {GO:0030331}; peptidyl-prolyl cis-trans isomerase activity {GO:0003755}; transcription factor binding {GO:0008134}</t>
  </si>
  <si>
    <t>ESR-mediated signaling {R-MMU-8939211}</t>
  </si>
  <si>
    <t>sp|Q9QUM9|PSA6_MOUSE</t>
  </si>
  <si>
    <t>Proteasome subunit alpha type-6</t>
  </si>
  <si>
    <t>Macropain iota chain; Multicatalytic endopeptidase complex iota chain; Proteasome iota chain</t>
  </si>
  <si>
    <t>PSA6_MOUSE</t>
  </si>
  <si>
    <t>Q9QUM9</t>
  </si>
  <si>
    <t>Q0VGS3; Q3TT07; Q3U6Y2</t>
  </si>
  <si>
    <t>MGI:1347006</t>
  </si>
  <si>
    <t>positive regulation of NF-kappaB transcription factor activity {GO:0051092}; proteasomal protein catabolic process {GO:0010498}; proteolysis involved in protein catabolic process {GO:0051603}; skeletal muscle tissue development {GO:0007519}; ubiquitin-dependent protein catabolic process {GO:0006511}</t>
  </si>
  <si>
    <t>cytoplasm {GO:0005737}; cytosol {GO:0005829}; myofibril {GO:0030016}; nuclear matrix {GO:0016363}; nucleoplasm {GO:0005654}; nucleus {GO:0005634}; P-body {GO:0000932}; polysome {GO:0005844}; proteasome complex {GO:0000502}; proteasome core complex {GO:0005839}; proteasome core complex, alpha-subunit complex {GO:0019773}; sarcomere {GO:0030017}</t>
  </si>
  <si>
    <t>NF-kappaB binding {GO:0051059}; RNA binding {GO:0003723}</t>
  </si>
  <si>
    <t>sp|Q61166|MARE1_MOUSE</t>
  </si>
  <si>
    <t>Microtubule-associated protein RP/EB family member 1</t>
  </si>
  <si>
    <t>APC-binding protein EB1; End-binding protein 1 (EB1)</t>
  </si>
  <si>
    <t>MARE1_MOUSE</t>
  </si>
  <si>
    <t>Q61166</t>
  </si>
  <si>
    <t>Q7TN34</t>
  </si>
  <si>
    <t>MGI:891995</t>
  </si>
  <si>
    <t>3D-structure; Acetylation; Cell cycle; Cell division; Cytoplasm; Cytoskeleton; Microtubule; Mitosis; Phosphoprotein</t>
  </si>
  <si>
    <t>attachment of mitotic spindle microtubules to kinetochore {GO:0051315}; cell division {GO:0051301}; cell migration {GO:0016477}; establishment of mitotic spindle orientation {GO:0000132}; microtubule bundle formation {GO:0001578}; microtubule polymerization {GO:0046785}; negative regulation of microtubule polymerization {GO:0031115}; non-motile cilium assembly {GO:1905515}; positive regulation of microtubule plus-end binding {GO:1903033}; positive regulation of microtubule polymerization {GO:0031116}; protein localization to astral microtubule {GO:1902888}; protein localization to centrosome {GO:0071539}; protein localization to microtubule {GO:0035372}; protein localization to microtubule plus-end {GO:1904825}; regulation of microtubule polymerization or depolymerization {GO:0031110}; spindle assembly {GO:0051225}</t>
  </si>
  <si>
    <t>cell projection {GO:0042995}; cell projection membrane {GO:0031253}; centrosome {GO:0005813}; ciliary basal body {GO:0036064}; cortical microtubule cytoskeleton {GO:0030981}; cytoplasmic microtubule {GO:0005881}; focal adhesion {GO:0005925}; Golgi apparatus {GO:0005794}; microtubule {GO:0005874}; microtubule cytoskeleton {GO:0015630}; microtubule organizing center {GO:0005815}; microtubule plus-end {GO:0035371}; mitotic spindle astral microtubule end {GO:1905721}; mitotic spindle pole {GO:0097431}; spindle {GO:0005819}; spindle midzone {GO:0051233}</t>
  </si>
  <si>
    <t>identical protein binding {GO:0042802}; microtubule plus-end binding {GO:0051010}; protein kinase binding {GO:0019901}</t>
  </si>
  <si>
    <t>Amplification of signal from unattached kinetochores via a MAD2 inhibitory signal {R-MMU-141444}; Separation of Sister Chromatids {R-MMU-2467813}; Resolution of Sister Chromatid Cohesion {R-MMU-2500257}; 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RHO GTPases Activate Formins {R-MMU-5663220}; Mitotic Prometaphase {R-MMU-68877}; The role of GTSE1 in G2/M progression after G2 checkpoint {R-MMU-8852276}; AURKA Activation by TPX2 {R-MMU-8854518}; EML4 and NUDC in mitotic spindle formation {R-MMU-9648025}</t>
  </si>
  <si>
    <t>sp|Q8BJU0|SGTA_MOUSE</t>
  </si>
  <si>
    <t>Small glutamine-rich tetratricopeptide repeat-containing protein alpha</t>
  </si>
  <si>
    <t>Alpha-SGT</t>
  </si>
  <si>
    <t>SGTA_MOUSE</t>
  </si>
  <si>
    <t>Q8BJU0</t>
  </si>
  <si>
    <t>Q8BGA6; Q99L52</t>
  </si>
  <si>
    <t>Sgt</t>
  </si>
  <si>
    <t>MGI:1098703</t>
  </si>
  <si>
    <t>Acetylation; Alternative splicing; Chaperone; Cytoplasm; Nucleus; Phosphoprotein; Repeat; TPR repeat</t>
  </si>
  <si>
    <t>chaperone-mediated protein folding {GO:0061077}; negative regulation of ER-associated ubiquitin-dependent protein catabolic process {GO:1903070}; negative regulation of ubiquitin-dependent protein catabolic process {GO:2000059}; positive regulation of ER-associated ubiquitin-dependent protein catabolic process {GO:1903071}; post-translational protein targeting to endoplasmic reticulum membrane {GO:0006620}; tail-anchored membrane protein insertion into ER membrane {GO:0071816}; ubiquitin-dependent ERAD pathway {GO:0030433}</t>
  </si>
  <si>
    <t>cytoplasm {GO:0005737}; cytosol {GO:0005829}; extrinsic component of synaptic vesicle membrane {GO:0098850}; membrane {GO:0016020}; nucleus {GO:0005634}; presynapse {GO:0098793}; TRC complex {GO:0072380}</t>
  </si>
  <si>
    <t>BAT3 complex binding {GO:1904288}; identical protein binding {GO:0042802}; molecular adaptor activity {GO:0060090}; protein heterodimerization activity {GO:0046982}; protein homodimerization activity {GO:0042803}; protein self-association {GO:0043621}</t>
  </si>
  <si>
    <t>Insertion of tail-anchored proteins into the endoplasmic reticulum membrane {R-MMU-9609523}</t>
  </si>
  <si>
    <t>sp|Q9WTM5|RUVB2_MOUSE</t>
  </si>
  <si>
    <t>RuvB-like 2</t>
  </si>
  <si>
    <t>p47 protein</t>
  </si>
  <si>
    <t>RUVB2_MOUSE</t>
  </si>
  <si>
    <t>Q9WTM5</t>
  </si>
  <si>
    <t>MGI:1342299</t>
  </si>
  <si>
    <t>Acetylation; Activator; ATP-binding; Chromatin regulator; Cytoplasm; DNA damage; DNA recombination; DNA repair; Helicase; Hydrolase; Isopeptide bond; Membrane; Nucleotide-binding; Nucleus; Phosphoprotein; Transcription; Transcription regulation; Ubl conjugation</t>
  </si>
  <si>
    <t>DNA damage; DNA recombination; DNA repair; Transcription; Transcription regulation</t>
  </si>
  <si>
    <t>Cytoplasm; Membrane; Nucleus</t>
  </si>
  <si>
    <t>Activator; Chromatin regulator; Helicase; Hydrolase</t>
  </si>
  <si>
    <t>box C/D snoRNP assembly {GO:0000492}; cellular response to estradiol stimulus {GO:0071392}; cellular response to UV {GO:0034644}; chromatin remodeling {GO:0006338}; DNA recombination {GO:0006310}; DNA repair {GO:0006281}; establishment of protein localization to chromatin {GO:0071169}; histone acetylation {GO:0016573}; histone exchange {GO:0043486}; histone H2A acetylation {GO:0043968}; histone H4 acetylation {GO:0043967}; negative regulation of canonical Wnt signaling pathway {GO:0090090}; positive regulation of DNA repair {GO:0045739}; positive regulation of DNA-templated transcription {GO:0045893}; positive regulation of double-strand break repair via homologous recombination {GO:1905168}; positive regulation of histone acetylation {GO:0035066}; positive regulation of telomere maintenance in response to DNA damage {GO:1904507}; positive regulation of transcription by RNA polymerase II {GO:0045944}; regulation of apoptotic process {GO:0042981}; regulation of cell cycle {GO:0051726}; regulation of chromosome organization {GO:0033044}; regulation of DNA repair {GO:0006282}; regulation of DNA replication {GO:0006275}; regulation of DNA strand elongation {GO:0060382}; regulation of DNA-templated transcription {GO:0006355}; regulation of double-strand break repair {GO:2000779}; regulation of embryonic development {GO:0045995}; regulation of transcription by RNA polymerase II {GO:0006357}; telomere maintenance {GO:0000723}</t>
  </si>
  <si>
    <t>centrosome {GO:0005813}; chaperone complex {GO:0101031}; cytoplasm {GO:0005737}; cytosol {GO:0005829}; dynein axonemal particle {GO:0120293}; euchromatin {GO:0000791}; Ino80 complex {GO:0031011}; membrane {GO:0016020}; MLL1 complex {GO:0071339}; NuA4 histone acetyltransferase complex {GO:0035267}; nuclear matrix {GO:0016363}; nucleoplasm {GO:0005654}; nucleosome {GO:0000786}; nucleus {GO:0005634}; R2TP complex {GO:0097255}; ribonucleoprotein complex {GO:1990904}; RPAP3/R2TP/prefoldin-like complex {GO:1990062}; Swr1 complex {GO:0000812}</t>
  </si>
  <si>
    <t>ADP binding {GO:0043531}; ATP binding {GO:0005524}; ATP hydrolysis activity {GO:0016887}; ATPase binding {GO:0051117}; beta-catenin binding {GO:0008013}; chromatin DNA binding {GO:0031490}; DNA helicase activity {GO:0003678}; identical protein binding {GO:0042802}; promoter-enhancer loop anchoring activity {GO:0140585}; protein homodimerization activity {GO:0042803}; RNA polymerase II cis-regulatory region sequence-specific DNA binding {GO:0000978}; RNA polymerase II core promoter sequence-specific DNA binding {GO:0000979}; TBP-class protein binding {GO:0017025}; TFIID-class transcription factor complex binding {GO:0001094}; transcription corepressor activity {GO:0003714}</t>
  </si>
  <si>
    <t>sp|P55302|AMRP_MOUSE</t>
  </si>
  <si>
    <t>Alpha-2-macroglobulin receptor-associated protein (Alpha-2-MRAP)</t>
  </si>
  <si>
    <t>Heparin-binding protein 44 (HBP-44); Low density lipoprotein receptor-related protein-associated protein 1 (RAP)</t>
  </si>
  <si>
    <t>AMRP_MOUSE</t>
  </si>
  <si>
    <t>P55302</t>
  </si>
  <si>
    <t>MGI:96829</t>
  </si>
  <si>
    <t>Coiled coil; Endoplasmic reticulum; Endosome; Glycoprotein; Golgi apparatus; Heparin-binding; Phosphoprotein; Signal</t>
  </si>
  <si>
    <t>Endoplasmic reticulum; Endosome; Golgi apparatus</t>
  </si>
  <si>
    <t>Coiled coil; Signal</t>
  </si>
  <si>
    <t>amyloid-beta clearance by transcytosis {GO:0150093}; negative regulation of amyloid-beta clearance {GO:1900222}; negative regulation of cell death {GO:0060548}; negative regulation of protein binding {GO:0032091}; negative regulation of receptor internalization {GO:0002091}; negative regulation of very-low-density lipoprotein particle clearance {GO:0010916}; regulation of receptor-mediated endocytosis {GO:0048259}; signal transduction {GO:0007165}</t>
  </si>
  <si>
    <t>cell surface {GO:0009986}; cis-Golgi network {GO:0005801}; cytoplasm {GO:0005737}; endomembrane system {GO:0012505}; endoplasmic reticulum {GO:0005783}; endoplasmic reticulum-Golgi intermediate compartment {GO:0005793}; endosome {GO:0005768}; endosome lumen {GO:0031904}; Golgi apparatus {GO:0005794}; Golgi lumen {GO:0005796}; plasma membrane {GO:0005886}; rough endoplasmic reticulum {GO:0005791}; rough endoplasmic reticulum lumen {GO:0048237}; vesicle {GO:0031982}</t>
  </si>
  <si>
    <t>heparin binding {GO:0008201}; lipase binding {GO:0035473}; low-density lipoprotein particle receptor binding {GO:0050750}; receptor antagonist activity {GO:0048019}; receptor ligand activity {GO:0048018}; very-low-density lipoprotein particle receptor binding {GO:0070326}</t>
  </si>
  <si>
    <t>sp|Q9ERK4|XPO2_MOUSE</t>
  </si>
  <si>
    <t>Exportin-2 (Exp2)</t>
  </si>
  <si>
    <t>Chromosome segregation 1-like protein; Importin-alpha re-exporter</t>
  </si>
  <si>
    <t>XPO2_MOUSE</t>
  </si>
  <si>
    <t>Q9ERK4</t>
  </si>
  <si>
    <t>Xpo2</t>
  </si>
  <si>
    <t>MGI:1339951</t>
  </si>
  <si>
    <t>Acetylation; Cytoplasm; Nucleus; Phosphoprotein; Protein transport; Transport</t>
  </si>
  <si>
    <t>protein export from nucleus {GO:0006611}; protein import into nucleus {GO:0006606}</t>
  </si>
  <si>
    <t>cytosol {GO:0005829}; nuclear envelope {GO:0005635}; nucleoplasm {GO:0005654}</t>
  </si>
  <si>
    <t>nuclear export signal receptor activity {GO:0005049}; small GTPase binding {GO:0031267}</t>
  </si>
  <si>
    <t>sp|Q9WVJ2|PSD13_MOUSE</t>
  </si>
  <si>
    <t>26S proteasome non-ATPase regulatory subunit 13</t>
  </si>
  <si>
    <t>26S proteasome regulatory subunit RPN9; 26S proteasome regulatory subunit S11; 26S proteasome regulatory subunit p40.5</t>
  </si>
  <si>
    <t>PSD13_MOUSE</t>
  </si>
  <si>
    <t>Q9WVJ2</t>
  </si>
  <si>
    <t>Q3TB19; Q3TR74; Q542R0</t>
  </si>
  <si>
    <t>MGI:1345192</t>
  </si>
  <si>
    <t>Acetylation; Proteasome</t>
  </si>
  <si>
    <t>meiosis I {GO:0007127}; ubiquitin-dependent protein catabolic process {GO:0006511}</t>
  </si>
  <si>
    <t>cytosol {GO:0005829}; nucleus {GO:0005634}; proteasome accessory complex {GO:0022624}; proteasome complex {GO:0000502}; proteasome regulatory particle {GO:0005838}; proteasome regulatory particle, lid subcomplex {GO:0008541}</t>
  </si>
  <si>
    <t>endopeptidase activity {GO:0004175}; structural molecule activity {GO:0005198}</t>
  </si>
  <si>
    <t>sp|Q9QYJ0|DNJA2_MOUSE</t>
  </si>
  <si>
    <t>DnaJ homolog subfamily A member 2</t>
  </si>
  <si>
    <t>mDj3</t>
  </si>
  <si>
    <t>DNJA2_MOUSE</t>
  </si>
  <si>
    <t>Q9QYJ0</t>
  </si>
  <si>
    <t>MGI:1931882</t>
  </si>
  <si>
    <t>Acetylation; Chaperone; Isopeptide bond; Lipoprotein; Membrane; Metal-binding; Methylation; Phosphoprotein; Prenylation; Repeat; Ubl conjugation; Zinc; Zinc-finger</t>
  </si>
  <si>
    <t>Membrane</t>
  </si>
  <si>
    <t>Acetylation; Isopeptide bond; Lipoprotein; Methylation; Phosphoprotein; Prenylation; Ubl conjugation</t>
  </si>
  <si>
    <t>protein refolding {GO:0042026}; response to heat {GO:0009408}</t>
  </si>
  <si>
    <t>cytoplasm {GO:0005737}; cytosol {GO:0005829}; membrane {GO:0016020}; nucleus {GO:0005634}</t>
  </si>
  <si>
    <t>ATP binding {GO:0005524}; ATPase activator activity {GO:0001671}; chaperone binding {GO:0051087}; Hsp70 protein binding {GO:0030544}; metal ion binding {GO:0046872}; unfolded protein binding {GO:0051082}</t>
  </si>
  <si>
    <t>HSP90 chaperone cycle for steroid hormone receptors (SHR) in the presence of ligand {R-MMU-3371497}</t>
  </si>
  <si>
    <t>sp|Q9WUM5|SUCA_MOUSE</t>
  </si>
  <si>
    <t>Succinate--CoA ligase [ADP/GDP-forming] subunit alpha, mitochondrial</t>
  </si>
  <si>
    <t>Succinyl-CoA synthetase subunit alpha (SCS-alpha)</t>
  </si>
  <si>
    <t>SUCA_MOUSE</t>
  </si>
  <si>
    <t>Q9WUM5</t>
  </si>
  <si>
    <t>Q8C2C3; Q9DBA3; Q9DCI8</t>
  </si>
  <si>
    <t>MGI:1927234</t>
  </si>
  <si>
    <t>Acetylation; Ligase; Mitochondrion; Nucleotide-binding; Transit peptide; Tricarboxylic acid cycle</t>
  </si>
  <si>
    <t>succinate metabolic process {GO:0006105}; succinyl-CoA metabolic process {GO:0006104}; tricarboxylic acid cycle {GO:0006099}</t>
  </si>
  <si>
    <t>mitochondrial inner membrane {GO:0005743}; mitochondrion {GO:0005739}; protein-containing complex {GO:0032991}; succinate-CoA ligase complex (ADP-forming) {GO:0009361}; succinate-CoA ligase complex (GDP-forming) {GO:0045244}</t>
  </si>
  <si>
    <t>GDP binding {GO:0019003}; protein-containing complex binding {GO:0044877}; succinate-CoA ligase (ADP-forming) activity {GO:0004775}; succinate-CoA ligase (GDP-forming) activity {GO:0004776}</t>
  </si>
  <si>
    <t>Carbohydrate metabolism; tricarboxylic acid cycle; succinate from succinyl-CoA (ligase route): step 1/1. {ECO:0000255|HAMAP- Rule:MF_03222}.</t>
  </si>
  <si>
    <t>sp|P68372|TBB4B_MOUSE</t>
  </si>
  <si>
    <t>Tubulin beta-4B chain</t>
  </si>
  <si>
    <t>Tubulin beta-2C chain</t>
  </si>
  <si>
    <t>TBB4B_MOUSE</t>
  </si>
  <si>
    <t>P68372</t>
  </si>
  <si>
    <t>P05217; Q3TKF0; Q3UJ73; Q99JZ6</t>
  </si>
  <si>
    <t>Tubb2c</t>
  </si>
  <si>
    <t>MGI:1915472</t>
  </si>
  <si>
    <t>Acetylation; Cytoplasm; Cytoskeleton; GTP-binding; Isopeptide bond; Magnesium; Metal-binding; Microtubule; Nucleotide-binding; Phosphoprotein</t>
  </si>
  <si>
    <t>Acetylation; Isopeptide bond; Phosphoprotein</t>
  </si>
  <si>
    <t>microtubule cytoskeleton organization {GO:0000226}; microtubule-based process {GO:0007017}; mitotic cell cycle {GO:0000278}</t>
  </si>
  <si>
    <t>cytoplasm {GO:0005737}; intercellular bridge {GO:0045171}; microtubule {GO:0005874}; microtubule cytoskeleton {GO:0015630}; mitotic spindle {GO:0072686}; myelin sheath {GO:0043209}; tubulin complex {GO:0045298}</t>
  </si>
  <si>
    <t>double-stranded RNA binding {GO:0003725}; GTP binding {GO:0005525}; GTPase activity {GO:0003924}; structural constituent of cytoskeleton {GO:0005200}</t>
  </si>
  <si>
    <t>Microtubule-dependent trafficking of connexons from Golgi to the plasma membrane {R-MMU-190840}; MHC class II antigen presentation {R-MMU-2132295}; Separation of Sister Chromatids {R-MMU-2467813}; Resolution of Sister Chromatid Cohesion {R-MMU-2500257}; Regulation of PLK1 Activity at G2/M Transition {R-MMU-2565942}; HSP90 chaperone cycle for steroid hormone receptors (SHR) in the presence of ligand {R-MMU-3371497};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Recycling pathway of L1 {R-MMU-437239}; Hedgehog 'off' state {R-MMU-5610787}; Cilium Assembly {R-MMU-5617833}; Anchoring of the basal body to the plasma membrane {R-MMU-5620912}; Intraflagellar transport {R-MMU-5620924}; RHO GTPases activate IQGAPs {R-MMU-5626467}; RHO GTPases Activate Formins {R-MMU-5663220}; Neutrophil degranulation {R-MMU-6798695}; COPI-mediated anterograde transport {R-MMU-6807878}; COPI-dependent Golgi-to-ER retrograde traffic {R-MMU-6811434}; COPI-independent Golgi-to-ER retrograde traffic {R-MMU-6811436}; Mitotic Prometaphase {R-MMU-68877}; The role of GTSE1 in G2/M progression after G2 checkpoint {R-MMU-8852276}; AURKA Activation by TPX2 {R-MMU-8854518}; Carboxyterminal post-translational modifications of tubulin {R-MMU-8955332}; Aggrephagy {R-MMU-9646399}; EML4 and NUDC in mitotic spindle formation {R-MMU-9648025}; Sealing of the nuclear envelope (NE) by ESCRT-III {R-MMU-9668328}; Kinesins {R-MMU-983189}</t>
  </si>
  <si>
    <t>sp|P26041|MOES_MOUSE</t>
  </si>
  <si>
    <t>Moesin</t>
  </si>
  <si>
    <t>Membrane-organizing extension spike protein</t>
  </si>
  <si>
    <t>MOES_MOUSE</t>
  </si>
  <si>
    <t>P26041</t>
  </si>
  <si>
    <t>B1AX70; Q3UL28; Q8BSN4</t>
  </si>
  <si>
    <t>MGI:97167</t>
  </si>
  <si>
    <t>3D-structure; Acetylation; Cell membrane; Cell projection; Cytoplasm; Cytoskeleton; Membrane; Phosphoprotein; S-nitrosylation</t>
  </si>
  <si>
    <t>cellular response to testosterone stimulus {GO:0071394}; establishment of endothelial barrier {GO:0061028}; establishment of epithelial cell apical/basal polarity {GO:0045198}; gland morphogenesis {GO:0022612}; immunological synapse formation {GO:0001771}; membrane to membrane docking {GO:0022614}; positive regulation of early endosome to late endosome transport {GO:2000643}; positive regulation of gene expression {GO:0010628}; positive regulation of podosome assembly {GO:0071803}; positive regulation of protein catabolic process {GO:0045732}; positive regulation of protein localization to early endosome {GO:1902966}; regulation of cell shape {GO:0008360}; regulation of cell size {GO:0008361}; regulation of lymphocyte migration {GO:2000401}; regulation of organelle assembly {GO:1902115}; T cell aggregation {GO:0070489}; T cell migration {GO:0072678}; T cell proliferation {GO:0042098}</t>
  </si>
  <si>
    <t>adherens junction {GO:0005912}; apical part of cell {GO:0045177}; apical plasma membrane {GO:0016324}; basolateral plasma membrane {GO:0016323}; cell periphery {GO:0071944}; cell surface {GO:0009986}; cell tip {GO:0051286}; cytoplasmic side of plasma membrane {GO:0009898}; cytoskeleton {GO:0005856}; cytosol {GO:0005829}; filopodium {GO:0030175}; filopodium membrane {GO:0031527}; focal adhesion {GO:0005925}; microvillus {GO:0005902}; microvillus membrane {GO:0031528}; myelin sheath {GO:0043209}; perinuclear region of cytoplasm {GO:0048471}; plasma membrane {GO:0005886}; pseudopodium {GO:0031143}; secretory granule membrane {GO:0030667}; T-tubule {GO:0030315}; uropod {GO:0001931}</t>
  </si>
  <si>
    <t>actin binding {GO:0003779}; cell adhesion molecule binding {GO:0050839}; double-stranded RNA binding {GO:0003725}; enzyme binding {GO:0019899}; protein kinase binding {GO:0019901}; signaling receptor binding {GO:0005102}</t>
  </si>
  <si>
    <t>sp|Q7TMK9|HNRPQ_MOUSE</t>
  </si>
  <si>
    <t>Heterogeneous nuclear ribonucleoprotein Q (hnRNP Q)</t>
  </si>
  <si>
    <t>Glycine- and tyrosine-rich RNA-binding protein (GRY-RBP); NS1-associated protein 1; Synaptotagmin-binding, cytoplasmic RNA-interacting protein; pp68</t>
  </si>
  <si>
    <t>HNRPQ_MOUSE</t>
  </si>
  <si>
    <t>Q7TMK9</t>
  </si>
  <si>
    <t>O88991; Q2YDV8; Q68ED6; Q80YV6; Q8BGP1; Q8C5K6; Q8CGC2; Q91ZR0; Q99KU9; Q9QYF4</t>
  </si>
  <si>
    <t>Hnrpq; Nsap1; Nsap1l</t>
  </si>
  <si>
    <t>MGI:1891690</t>
  </si>
  <si>
    <t>Acetylation; Alternative splicing; Cytoplasm; Endoplasmic reticulum; Isopeptide bond; Methylation; Microsome; mRNA processing; mRNA splicing; Nucleus; Phosphoprotein; Repeat; Ribonucleoprotein; RNA-binding; Spliceosome; Ubl conjugation</t>
  </si>
  <si>
    <t>Cytoplasm; Endoplasmic reticulum; Microsome; Nucleus; Spliceosome</t>
  </si>
  <si>
    <t>cellular response to interferon-gamma {GO:0071346}; CRD-mediated mRNA stabilization {GO:0070934}; mRNA modification {GO:0016556}; mRNA processing {GO:0006397}; negative regulation of mRNA modification {GO:0090367}; negative regulation of nuclear-transcribed mRNA catabolic process, deadenylation-dependent decay {GO:1900152}; negative regulation of nuclear-transcribed mRNA catabolic process, nonsense-mediated decay {GO:2000623}; negative regulation of translation {GO:0017148}; positive regulation of cytoplasmic translation {GO:2000767}; positive regulation of DNA demethylation {GO:1901537}; positive regulation of translation {GO:0045727}; RNA splicing {GO:0008380}</t>
  </si>
  <si>
    <t>catalytic step 2 spliceosome {GO:0071013}; CRD-mediated mRNA stability complex {GO:0070937}; cytoplasm {GO:0005737}; cytosol {GO:0005829}; endoplasmic reticulum {GO:0005783}; GAIT complex {GO:0097452}; histone pre-mRNA 3'end processing complex {GO:0071204}; mCRD-mediated mRNA stability complex {GO:0106002}; membrane {GO:0016020}; mRNA editing complex {GO:0045293}; neuronal cell body {GO:0043025}; nucleoplasm {GO:0005654}; nucleus {GO:0005634}; proximal dendrite {GO:1990635}; ribonucleoprotein complex {GO:1990904}</t>
  </si>
  <si>
    <t>mRNA 3'-UTR binding {GO:0003730}; mRNA 5'-UTR binding {GO:0048027}; mRNA binding {GO:0003729}; poly(A) binding {GO:0008143}; RNA binding {GO:0003723}</t>
  </si>
  <si>
    <t>sp|P62897|CYC_MOUSE</t>
  </si>
  <si>
    <t>Cytochrome c, somatic</t>
  </si>
  <si>
    <t>CYC_MOUSE</t>
  </si>
  <si>
    <t>P62897</t>
  </si>
  <si>
    <t>P00009; Q8C2S2</t>
  </si>
  <si>
    <t>MGI:88578</t>
  </si>
  <si>
    <t>Acetylation; Apoptosis; Electron transport; Heme; Iron; Metal-binding; Mitochondrion; Phosphoprotein; Respiratory chain; Transport</t>
  </si>
  <si>
    <t>Apoptosis; Electron transport; Respiratory chain; Transport</t>
  </si>
  <si>
    <t>Heme; Iron; Metal-binding</t>
  </si>
  <si>
    <t>activation of cysteine-type endopeptidase activity {GO:0097202}; activation of cysteine-type endopeptidase activity involved in apoptotic process by cytochrome c {GO:0008635}; apoptotic process {GO:0006915}; hydrogen peroxide metabolic process {GO:0042743}; intrinsic apoptotic signaling pathway {GO:0097193}; mitochondrial electron transport, cytochrome c to oxygen {GO:0006123}; mitochondrial electron transport, ubiquinol to cytochrome c {GO:0006122}; positive regulation of cysteine-type endopeptidase activity involved in apoptotic process {GO:0043280}; regulation of protein binding {GO:0043393}</t>
  </si>
  <si>
    <t>apoptosome {GO:0043293}; cytosol {GO:0005829}; mitochondrial intermembrane space {GO:0005758}; mitochondrion {GO:0005739}; myelin sheath {GO:0043209}; nucleus {GO:0005634}; respirasome {GO:0070469}</t>
  </si>
  <si>
    <t>electron transfer activity {GO:0009055}; enzyme binding {GO:0019899}; heme binding {GO:0020037}; metal ion binding {GO:0046872}</t>
  </si>
  <si>
    <t>Release of apoptotic factors from the mitochondria {R-MMU-111457}; Formation of apoptosome {R-MMU-111458}; Activation of caspases through apoptosome-mediated cleavage {R-MMU-111459}; Transcriptional activation of mitochondrial biogenesis {R-MMU-2151201}; Detoxification of Reactive Oxygen Species {R-MMU-3299685}; Pyroptosis {R-MMU-5620971}; TP53 Regulates Metabolic Genes {R-MMU-5628897}; Respiratory electron transport {R-MMU-611105}; Regulation of the apoptosome activity {R-MMU-9627069}; Cytoprotection by HMOX1 {R-MMU-9707564}</t>
  </si>
  <si>
    <t>sp|P61222|ABCE1_MOUSE</t>
  </si>
  <si>
    <t>ATP-binding cassette sub-family E member 1</t>
  </si>
  <si>
    <t>RNase L inhibitor; Ribonuclease 4 inhibitor (RNS4I)</t>
  </si>
  <si>
    <t>ABCE1_MOUSE</t>
  </si>
  <si>
    <t>P61222</t>
  </si>
  <si>
    <t>O88793; Q13181; Q13864; Q96AL0; Q96B10; Q99K66</t>
  </si>
  <si>
    <t>Rli</t>
  </si>
  <si>
    <t>MGI:1195458</t>
  </si>
  <si>
    <t>4Fe-4S; ATP-binding; Chaperone; Cytoplasm; Iron; Iron-sulfur; Metal-binding; Mitochondrion; Nucleotide-binding; Phosphoprotein; Repeat; Translation regulation; Ubl conjugation</t>
  </si>
  <si>
    <t>4Fe-4S; ATP-binding; Iron; Iron-sulfur; Metal-binding; Nucleotide-binding</t>
  </si>
  <si>
    <t>negative regulation of endoribonuclease activity {GO:0060702}; regulation of translation {GO:0006417}; ribosomal subunit export from nucleus {GO:0000054}; translational initiation {GO:0006413}; translational termination {GO:0006415}</t>
  </si>
  <si>
    <t>4 iron, 4 sulfur cluster binding {GO:0051539}; ATP binding {GO:0005524}; endoribonuclease inhibitor activity {GO:0060698}; iron ion binding {GO:0005506}; ribosomal small subunit binding {GO:0043024}</t>
  </si>
  <si>
    <t>OAS antiviral response {R-MMU-8983711}; Interferon alpha/beta signaling {R-MMU-909733}</t>
  </si>
  <si>
    <t>sp|P24547|IMDH2_MOUSE</t>
  </si>
  <si>
    <t>Inosine-5'-monophosphate dehydrogenase 2 (IMP dehydrogenase 2; IMPD 2; IMPDH 2)</t>
  </si>
  <si>
    <t>IMPDH-II</t>
  </si>
  <si>
    <t>IMDH2_MOUSE</t>
  </si>
  <si>
    <t>P24547</t>
  </si>
  <si>
    <t>Q61734; Q91Z11</t>
  </si>
  <si>
    <t>MGI:109367</t>
  </si>
  <si>
    <t>Acetylation; CBS domain; Cytoplasm; DNA-binding; GMP biosynthesis; Isopeptide bond; Metal-binding; NAD; Nucleus; Oxidoreductase; Phosphoprotein; Potassium; Purine biosynthesis; Repeat; RNA-binding; Ubl conjugation</t>
  </si>
  <si>
    <t>GMP biosynthesis; Purine biosynthesis</t>
  </si>
  <si>
    <t>CBS domain; Repeat</t>
  </si>
  <si>
    <t>Metal-binding; NAD; Potassium</t>
  </si>
  <si>
    <t>DNA-binding; Oxidoreductase; RNA-binding</t>
  </si>
  <si>
    <t>'de novo' XMP biosynthetic process {GO:0097294}; cellular response to interleukin-4 {GO:0071353}; circadian rhythm {GO:0007623}; GMP biosynthetic process {GO:0006177}; GMP salvage {GO:0032263}; GTP biosynthetic process {GO:0006183}; lymphocyte proliferation {GO:0046651}; purine nucleotide biosynthetic process {GO:0006164}; retina development in camera-type eye {GO:0060041}</t>
  </si>
  <si>
    <t>DNA binding {GO:0003677}; identical protein binding {GO:0042802}; IMP dehydrogenase activity {GO:0003938}; metal ion binding {GO:0046872}; nucleotide binding {GO:0000166}; RNA binding {GO:0003723}</t>
  </si>
  <si>
    <t>Purine metabolism; XMP biosynthesis via de novo pathway; XMP from IMP: step 1/1..</t>
  </si>
  <si>
    <t>Neutrophil degranulation {R-MMU-6798695}; Purine ribonucleoside monophosphate biosynthesis {R-MMU-73817}; Azathioprine ADME {R-MMU-9748787}</t>
  </si>
  <si>
    <t>sp|P62889|RL30_MOUSE</t>
  </si>
  <si>
    <t>60S ribosomal protein L30</t>
  </si>
  <si>
    <t>RL30_MOUSE</t>
  </si>
  <si>
    <t>P62889</t>
  </si>
  <si>
    <t>P04645</t>
  </si>
  <si>
    <t>MGI:98037</t>
  </si>
  <si>
    <t>antimicrobial humoral immune response mediated by antimicrobial peptide {GO:0061844}; cytoplasmic translation {GO:0002181}; defense response to Gram-negative bacterium {GO:0050829}; killing of cells of another organism {GO:0031640}</t>
  </si>
  <si>
    <t>cytoplasm {GO:0005737}; cytosol {GO:0005829}; cytosolic large ribosomal subunit {GO:0022625}; cytosolic ribosome {GO:0022626}; nucleus {GO:0005634}; polysomal ribosome {GO:0042788}; postsynaptic density {GO:0014069}; ribosome {GO:0005840}</t>
  </si>
  <si>
    <t>RNA binding {GO:0003723}; selenocysteine insertion sequence binding {GO:0035368}; structural constituent of ribosome {GO:0003735}</t>
  </si>
  <si>
    <t>sp|Q7TMM9|TBB2A_MOUSE</t>
  </si>
  <si>
    <t>Tubulin beta-2A chain</t>
  </si>
  <si>
    <t>TBB2A_MOUSE</t>
  </si>
  <si>
    <t>Q7TMM9</t>
  </si>
  <si>
    <t>Tubb2</t>
  </si>
  <si>
    <t>MGI:107861</t>
  </si>
  <si>
    <t>microtubule cytoskeleton organization {GO:0000226}; mitotic cell cycle {GO:0000278}; neuron migration {GO:0001764}</t>
  </si>
  <si>
    <t>cytoplasm {GO:0005737}; intercellular bridge {GO:0045171}; microtubule {GO:0005874}; microtubule cytoskeleton {GO:0015630}; mitotic spindle {GO:0072686}</t>
  </si>
  <si>
    <t>GTP binding {GO:0005525}; GTPase activity {GO:0003924}; structural constituent of cytoskeleton {GO:0005200}</t>
  </si>
  <si>
    <t>Microtubule-dependent trafficking of connexons from Golgi to the plasma membrane {R-MMU-190840}; MHC class II antigen presentation {R-MMU-2132295}; Separation of Sister Chromatids {R-MMU-2467813}; Resolution of Sister Chromatid Cohesion {R-MMU-2500257}; HSP90 chaperone cycle for steroid hormone receptors (SHR) in the presence of ligand {R-MMU-3371497}; Recruitment of NuMA to mitotic centrosomes {R-MMU-380320}; Recycling pathway of L1 {R-MMU-437239}; Hedgehog 'off' state {R-MMU-5610787}; Cilium Assembly {R-MMU-5617833}; Intraflagellar transport {R-MMU-5620924}; RHO GTPases activate IQGAPs {R-MMU-5626467}; RHO GTPases Activate Formins {R-MMU-5663220}; COPI-mediated anterograde transport {R-MMU-6807878}; COPI-dependent Golgi-to-ER retrograde traffic {R-MMU-6811434}; COPI-independent Golgi-to-ER retrograde traffic {R-MMU-6811436}; Mitotic Prometaphase {R-MMU-68877}; The role of GTSE1 in G2/M progression after G2 checkpoint {R-MMU-8852276}; Carboxyterminal post-translational modifications of tubulin {R-MMU-8955332}; Aggrephagy {R-MMU-9646399}; EML4 and NUDC in mitotic spindle formation {R-MMU-9648025}; Sealing of the nuclear envelope (NE) by ESCRT-III {R-MMU-9668328}; Kinesins {R-MMU-983189}</t>
  </si>
  <si>
    <t>sp|P42208|SEPT2_MOUSE</t>
  </si>
  <si>
    <t>Septin-2</t>
  </si>
  <si>
    <t>Neural precursor cell expressed developmentally down-regulated protein 5 (NEDD-5)</t>
  </si>
  <si>
    <t>SEPT2_MOUSE</t>
  </si>
  <si>
    <t>P42208</t>
  </si>
  <si>
    <t>B2RRZ2; Q3U9Y5</t>
  </si>
  <si>
    <t>MGI:97298</t>
  </si>
  <si>
    <t>3D-structure; Acetylation; Cell cycle; Cell division; Cell membrane; Cell projection; Centromere; Chromosome; Cilium; Cytoplasm; Cytoskeleton; Differentiation; Flagellum; GTP-binding; Kinetochore; Membrane; Mitosis; Nucleotide-binding; Phosphoprotein; Spermatogenesis</t>
  </si>
  <si>
    <t>Cell cycle; Cell division; Differentiation; Mitosis; Spermatogenesis</t>
  </si>
  <si>
    <t>Cell membrane; Cell projection; Centromere; Chromosome; Cilium; Cytoplasm; Cytoskeleton; Flagellum; Kinetochore; Membrane</t>
  </si>
  <si>
    <t>cilium assembly {GO:0060271}; cytoskeleton-dependent cytokinesis {GO:0061640}; neuron projection development {GO:0031175}; protein localization {GO:0008104}; protein polymerization {GO:0051258}; regulation of exocytosis {GO:0017157}; regulation of L-glutamate import across plasma membrane {GO:0002036}; regulation of protein localization {GO:0032880}; smoothened signaling pathway {GO:0007224}; spermatogenesis {GO:0007283}</t>
  </si>
  <si>
    <t>actin cytoskeleton {GO:0015629}; actomyosin contractile ring {GO:0005826}; axoneme {GO:0005930}; cell cortex {GO:0005938}; cell division site {GO:0032153}; cell projection {GO:0042995}; cell surface {GO:0009986}; ciliary membrane {GO:0060170}; ciliary transition zone {GO:0035869}; cleavage furrow {GO:0032154}; cytoplasm {GO:0005737}; exocyst {GO:0000145}; intercellular bridge {GO:0045171}; kinetochore {GO:0000776}; microtubule cytoskeleton {GO:0015630}; midbody {GO:0030496}; myelin sheath {GO:0043209}; non-motile cilium {GO:0097730}; nucleoplasm {GO:0005654}; nucleus {GO:0005634}; perinuclear region of cytoplasm {GO:0048471}; photoreceptor connecting cilium {GO:0032391}; plasma membrane {GO:0005886}; septin complex {GO:0031105}; septin ring {GO:0005940}; sperm annulus {GO:0097227}; spindle microtubule {GO:0005876}; synapse {GO:0045202}; synaptic vesicle {GO:0008021}</t>
  </si>
  <si>
    <t>enzyme regulator activity {GO:0030234}; GTP binding {GO:0005525}; GTPase activity {GO:0003924}; identical protein binding {GO:0042802}; molecular adaptor activity {GO:0060090}</t>
  </si>
  <si>
    <t>Anchoring of the basal body to the plasma membrane {R-MMU-5620912}</t>
  </si>
  <si>
    <t>sp|P35980|RL18_MOUSE</t>
  </si>
  <si>
    <t>60S ribosomal protein L18</t>
  </si>
  <si>
    <t>RL18_MOUSE</t>
  </si>
  <si>
    <t>P35980</t>
  </si>
  <si>
    <t>Q9CQF1; Q9D987</t>
  </si>
  <si>
    <t>MGI:98003</t>
  </si>
  <si>
    <t>3D-structure; Cytoplasm; Endoplasmic reticulum; Isopeptide bond; Phosphoprotein; Ribonucleoprotein; Ribosomal protein; Ubl conjugation</t>
  </si>
  <si>
    <t>cytoplasm {GO:0005737}; cytosol {GO:0005829}; cytosolic large ribosomal subunit {GO:0022625}; cytosolic ribosome {GO:0022626}; endoplasmic reticulum {GO:0005783}; nucleolus {GO:0005730}; polysomal ribosome {GO:0042788}; rough endoplasmic reticulum {GO:0005791}; synapse {GO:0045202}</t>
  </si>
  <si>
    <t>sp|Q9WTP6|KAD2_MOUSE</t>
  </si>
  <si>
    <t>Adenylate kinase 2, mitochondrial (AK 2)</t>
  </si>
  <si>
    <t>ATP-AMP transphosphorylase 2; ATP:AMP phosphotransferase; Adenylate monophosphate kinase</t>
  </si>
  <si>
    <t>KAD2_MOUSE</t>
  </si>
  <si>
    <t>Q9WTP6</t>
  </si>
  <si>
    <t>A2A820; Q3THT3; Q3TI11; Q3TKI6; Q8C7I9; Q9CY37</t>
  </si>
  <si>
    <t>MGI:87978</t>
  </si>
  <si>
    <t>Acetylation; Alternative splicing; ATP-binding; Disulfide bond; Kinase; Mitochondrion; Nucleotide-binding; Phosphoprotein; Transferase</t>
  </si>
  <si>
    <t>ADP biosynthetic process {GO:0006172}; AMP metabolic process {GO:0046033}; ATP metabolic process {GO:0046034}; dATP metabolic process {GO:0046060}; phosphorylation {GO:0016310}</t>
  </si>
  <si>
    <t>cytoplasm {GO:0005737}; cytosol {GO:0005829}; mitochondrial inner membrane {GO:0005743}; mitochondrial intermembrane space {GO:0005758}; mitochondrion {GO:0005739}; nucleus {GO:0005634}; sperm flagellum {GO:0036126}; sperm mitochondrial sheath {GO:0097226}</t>
  </si>
  <si>
    <t>adenylate kinase activity {GO:0004017}; ATP binding {GO:0005524}; nucleobase-containing compound kinase activity {GO:0019205}</t>
  </si>
  <si>
    <t>Interconversion of nucleotide di- and triphosphates {R-MMU-499943}</t>
  </si>
  <si>
    <t>sp|Q8R1X6|SPART_MOUSE</t>
  </si>
  <si>
    <t>Spartin</t>
  </si>
  <si>
    <t>SPART_MOUSE</t>
  </si>
  <si>
    <t>Q8R1X6</t>
  </si>
  <si>
    <t>Q6ZQ87; Q8BJD3; Q8BM37; Q8BZ63</t>
  </si>
  <si>
    <t>MGI:2139806</t>
  </si>
  <si>
    <t>Acetylation; Alternative splicing; Cytoplasm; Isopeptide bond; Phosphoprotein; Ubl conjugation</t>
  </si>
  <si>
    <t>abscission {GO:0009838}; adipose tissue development {GO:0060612}; BMP signaling pathway {GO:0030509}; cell division {GO:0051301}; collateral sprouting in absence of injury {GO:0048669}; lipid droplet organization {GO:0034389}; negative regulation of BMP signaling pathway {GO:0030514}; negative regulation of collateral sprouting in absence of injury {GO:0048698}; neuromuscular process {GO:0050905}; regulation of mitochondrial membrane potential {GO:0051881}</t>
  </si>
  <si>
    <t>cytoplasm {GO:0005737}; cytosol {GO:0005829}; lipid droplet {GO:0005811}; midbody {GO:0030496}; mitochondrial outer membrane {GO:0005741}; plasma membrane {GO:0005886}; synapse {GO:0045202}</t>
  </si>
  <si>
    <t>sp|P62855|RS26_MOUSE</t>
  </si>
  <si>
    <t>40S ribosomal protein S26</t>
  </si>
  <si>
    <t>RS26_MOUSE</t>
  </si>
  <si>
    <t>P62855</t>
  </si>
  <si>
    <t>P02383; P70394; Q06722</t>
  </si>
  <si>
    <t>MGI:1351628</t>
  </si>
  <si>
    <t>3D-structure; Cytoplasm; Endoplasmic reticulum; Phosphoprotein; Ribonucleoprotein; Ribosomal protein</t>
  </si>
  <si>
    <t>cytoplasm {GO:0005737}; cytoplasmic side of rough endoplasmic reticulum membrane {GO:0098556}; cytosol {GO:0005829}; cytosolic small ribosomal subunit {GO:0022627}; polysomal ribosome {GO:0042788}</t>
  </si>
  <si>
    <t>sp|Q8VEM8|MPCP_MOUSE</t>
  </si>
  <si>
    <t>Phosphate carrier protein, mitochondrial</t>
  </si>
  <si>
    <t>Phosphate transport protein (PTP); Solute carrier family 25 member 3</t>
  </si>
  <si>
    <t>MPCP_MOUSE</t>
  </si>
  <si>
    <t>Q8VEM8</t>
  </si>
  <si>
    <t>Q542V7</t>
  </si>
  <si>
    <t>MGI:1353498</t>
  </si>
  <si>
    <t>Acetylation; Membrane; Methylation; Mitochondrion; Mitochondrion inner membrane; Phosphoprotein; Repeat; Symport; Transit peptide; Transmembrane; Transmembrane helix; Transport</t>
  </si>
  <si>
    <t>Symport; Transport</t>
  </si>
  <si>
    <t>Repeat; Transit peptide; Transmembrane; Transmembrane helix</t>
  </si>
  <si>
    <t>mitochondrial phosphate ion transmembrane transport {GO:1990547}; phosphate ion transmembrane transport {GO:0035435}</t>
  </si>
  <si>
    <t>integral component of mitochondrial inner membrane {GO:0031305}; mitochondrial inner membrane {GO:0005743}; mitochondrion {GO:0005739}; myelin sheath {GO:0043209}</t>
  </si>
  <si>
    <t>inorganic phosphate transmembrane transporter activity {GO:0005315}; protein-containing complex binding {GO:0044877}; symporter activity {GO:0015293}</t>
  </si>
  <si>
    <t>sp|Q9DAW9|CNN3_MOUSE</t>
  </si>
  <si>
    <t>Calponin-3</t>
  </si>
  <si>
    <t>Calponin, acidic isoform</t>
  </si>
  <si>
    <t>CNN3_MOUSE</t>
  </si>
  <si>
    <t>Q9DAW9</t>
  </si>
  <si>
    <t>Q3TW23</t>
  </si>
  <si>
    <t>MGI:1919244</t>
  </si>
  <si>
    <t>Acetylation; Actin-binding; Calmodulin-binding; Methylation; Repeat</t>
  </si>
  <si>
    <t>actomyosin structure organization {GO:0031032}; epithelial cell differentiation {GO:0030855}; negative regulation of ATP-dependent activity {GO:0032780}</t>
  </si>
  <si>
    <t>actin cytoskeleton {GO:0015629}; cytoskeleton {GO:0005856}; cytosol {GO:0005829}; dendrite {GO:0030425}; dendritic spine {GO:0043197}; neuronal cell body {GO:0043025}; postsynaptic density {GO:0014069}</t>
  </si>
  <si>
    <t>actin binding {GO:0003779}; calmodulin binding {GO:0005516}; microtubule binding {GO:0008017}</t>
  </si>
  <si>
    <t>sp|P07091|S10A4_MOUSE</t>
  </si>
  <si>
    <t>Protein S100-A4</t>
  </si>
  <si>
    <t>Metastasin; Metastatic cell protein; PEL98; Placental calcium-binding protein; Protein 18A2; Protein Mts1; S100 calcium-binding protein A4</t>
  </si>
  <si>
    <t>S10A4_MOUSE</t>
  </si>
  <si>
    <t>P07091</t>
  </si>
  <si>
    <t>P20066</t>
  </si>
  <si>
    <t>Capl; Mts1</t>
  </si>
  <si>
    <t>MGI:1330282</t>
  </si>
  <si>
    <t>Acetylation; Calcium; Cytoplasm; Metal-binding; Nucleus; Repeat; Secreted</t>
  </si>
  <si>
    <t>positive regulation of I-kappaB kinase/NF-kappaB signaling {GO:0043123}</t>
  </si>
  <si>
    <t>extracellular region {GO:0005576}; neuron projection {GO:0043005}; nucleus {GO:0005634}; perinuclear region of cytoplasm {GO:0048471}</t>
  </si>
  <si>
    <t>actin binding {GO:0003779}; calcium ion binding {GO:0005509}; calcium-dependent protein binding {GO:0048306}; identical protein binding {GO:0042802}; RAGE receptor binding {GO:0050786}; transition metal ion binding {GO:0046914}</t>
  </si>
  <si>
    <t>sp|Q9JKR6|HYOU1_MOUSE</t>
  </si>
  <si>
    <t>Hypoxia up-regulated protein 1 (GRP-170)</t>
  </si>
  <si>
    <t>140 kDa Ca(2+)-binding protein (CBP-140)</t>
  </si>
  <si>
    <t>HYOU1_MOUSE</t>
  </si>
  <si>
    <t>Q9JKR6</t>
  </si>
  <si>
    <t>Q3TAL1; Q3TZD0; Q3U1U2; Q64139; Q80X75</t>
  </si>
  <si>
    <t>Grp170</t>
  </si>
  <si>
    <t>MGI:108030</t>
  </si>
  <si>
    <t>Acetylation; ATP-binding; Chaperone; Endoplasmic reticulum; Glycoprotein; Nucleotide-binding; Phosphoprotein; Signal; Stress response</t>
  </si>
  <si>
    <t>cellular response to hypoxia {GO:0071456}; endoplasmic reticulum to Golgi vesicle-mediated transport {GO:0006888}; negative regulation of apoptotic process {GO:0043066}; negative regulation of endoplasmic reticulum stress-induced neuron intrinsic apoptotic signaling pathway {GO:1903382}; negative regulation of hypoxia-induced intrinsic apoptotic signaling pathway {GO:1903298}; response to endoplasmic reticulum stress {GO:0034976}; response to hypoxia {GO:0001666}; response to ischemia {GO:0002931}</t>
  </si>
  <si>
    <t>endoplasmic reticulum chaperone complex {GO:0034663}; endoplasmic reticulum lumen {GO:0005788}; extracellular region {GO:0005576}; smooth endoplasmic reticulum {GO:0005790}</t>
  </si>
  <si>
    <t>ATP binding {GO:0005524}; ATP-dependent protein folding chaperone {GO:0140662}</t>
  </si>
  <si>
    <t>sp|Q61425|HCDH_MOUSE</t>
  </si>
  <si>
    <t>Hydroxyacyl-coenzyme A dehydrogenase, mitochondrial (HCDH)</t>
  </si>
  <si>
    <t>Medium and short-chain L-3-hydroxyacyl-coenzyme A dehydrogenase; Short-chain 3-hydroxyacyl-CoA dehydrogenase</t>
  </si>
  <si>
    <t>HCDH_MOUSE</t>
  </si>
  <si>
    <t>Q61425</t>
  </si>
  <si>
    <t>Q3TF75; Q3THK8; Q3UFI0; Q8K149; Q925U9</t>
  </si>
  <si>
    <t>Hadhsc; Mschad; Schad</t>
  </si>
  <si>
    <t>MGI:96009</t>
  </si>
  <si>
    <t>Acetylation; Fatty acid metabolism; Hydroxylation; Lipid metabolism; Mitochondrion; NAD; Oxidoreductase; Transit peptide</t>
  </si>
  <si>
    <t>Fatty acid metabolism; Lipid metabolism</t>
  </si>
  <si>
    <t>fatty acid beta-oxidation {GO:0006635}; negative regulation of insulin secretion {GO:0046676}; positive regulation of cold-induced thermogenesis {GO:0120162}; regulation of insulin secretion {GO:0050796}; response to activity {GO:0014823}; response to insulin {GO:0032868}; response to xenobiotic stimulus {GO:0009410}</t>
  </si>
  <si>
    <t>cytoplasm {GO:0005737}; mitochondrial inner membrane {GO:0005743}; mitochondrial matrix {GO:0005759}; mitochondrion {GO:0005739}; nucleoplasm {GO:0005654}</t>
  </si>
  <si>
    <t>3-hydroxyacyl-CoA dehydrogenase activity {GO:0003857}; identical protein binding {GO:0042802}; NAD+ binding {GO:0070403}</t>
  </si>
  <si>
    <t>Lipid metabolism; fatty acid beta-oxidation.</t>
  </si>
  <si>
    <t>Beta oxidation of lauroyl-CoA to decanoyl-CoA-CoA {R-MMU-77310}; Beta oxidation of decanoyl-CoA to octanoyl-CoA-CoA {R-MMU-77346}; Beta oxidation of octanoyl-CoA to hexanoyl-CoA {R-MMU-77348}; Beta oxidation of hexanoyl-CoA to butanoyl-CoA {R-MMU-77350}; Beta oxidation of butanoyl-CoA to acetyl-CoA {R-MMU-77352}</t>
  </si>
  <si>
    <t>sp|P61082|UBC12_MOUSE</t>
  </si>
  <si>
    <t>NEDD8-conjugating enzyme Ubc12</t>
  </si>
  <si>
    <t>NEDD8 carrier protein; Ubiquitin-conjugating enzyme E2 M</t>
  </si>
  <si>
    <t>UBC12_MOUSE</t>
  </si>
  <si>
    <t>P61082</t>
  </si>
  <si>
    <t>O76069; Q8VC50</t>
  </si>
  <si>
    <t>Ubc-rs2; Ubc12</t>
  </si>
  <si>
    <t>MGI:108278</t>
  </si>
  <si>
    <t>Acetylation; ATP-binding; Methylation; Nucleotide-binding; Phosphoprotein; Transferase; Ubl conjugation pathway</t>
  </si>
  <si>
    <t>positive regulation of neuron apoptotic process {GO:0043525}; protein modification process {GO:0036211}; protein neddylation {GO:0045116}</t>
  </si>
  <si>
    <t>ATP binding {GO:0005524}; NEDD8 conjugating enzyme activity {GO:0061654}; NEDD8 transferase activity {GO:0019788}; ubiquitin-protein transferase activity {GO:0004842}</t>
  </si>
  <si>
    <t>Protein modification; protein neddylation.</t>
  </si>
  <si>
    <t>TGF-beta receptor signaling activates SMADs {R-MMU-2173789}; Dectin-1 mediated noncanonical NF-kB signaling {R-MMU-5607761}; NIK--&gt;noncanonical NF-kB signaling {R-MMU-5676590}; Neddylation {R-MMU-8951664}; Antigen processing: Ubiquitination &amp; Proteasome degradation {R-MMU-983168}</t>
  </si>
  <si>
    <t>sp|Q8C1A5|THOP1_MOUSE</t>
  </si>
  <si>
    <t>Thimet oligopeptidase</t>
  </si>
  <si>
    <t>THOP1_MOUSE</t>
  </si>
  <si>
    <t>Q8C1A5</t>
  </si>
  <si>
    <t>Q8K0J9; Q8K2D4; Q9EPX1</t>
  </si>
  <si>
    <t>MGI:1354165</t>
  </si>
  <si>
    <t>Acetylation; Cytoplasm; Hydrolase; Metal-binding; Metalloprotease; Phosphoprotein; Protease; Zinc</t>
  </si>
  <si>
    <t>intracellular signal transduction {GO:0035556}; peptide catabolic process {GO:0043171}; peptide metabolic process {GO:0006518}; proteolysis {GO:0006508}</t>
  </si>
  <si>
    <t>mitochondrial intermembrane space {GO:0005758}</t>
  </si>
  <si>
    <t>metal ion binding {GO:0046872}; metalloendopeptidase activity {GO:0004222}; peptidase activity {GO:0008233}; peptide binding {GO:0042277}</t>
  </si>
  <si>
    <t>sp|Q8R5M8|CADM1_MOUSE</t>
  </si>
  <si>
    <t>Cell adhesion molecule 1</t>
  </si>
  <si>
    <t>Immunoglobulin superfamily member 4 (IgSF4); Nectin-like protein 2 (NECL-2); Spermatogenic immunoglobulin superfamily (SgIgSF); Synaptic cell adhesion molecule (SynCAM); Tumor suppressor in lung cancer 1 (TSLC-1)</t>
  </si>
  <si>
    <t>CADM1_MOUSE</t>
  </si>
  <si>
    <t>Q8R5M8</t>
  </si>
  <si>
    <t>Q6F3J3; Q7TNL1; Q80VG4; Q8K3T6; Q8R4L1; Q9QYL5; Q9QYL6; Q9Z2H8</t>
  </si>
  <si>
    <t>MGI:1889272</t>
  </si>
  <si>
    <t>Alternative splicing; Apoptosis; Cell adhesion; Cell membrane; Developmental protein; Differentiation; Disulfide bond; Glycoprotein; Immunity; Immunoglobulin domain; Membrane; Phosphoprotein; Repeat; Signal; Spermatogenesis; Synapse; Transmembrane; Transmembrane helix; Tumor suppressor</t>
  </si>
  <si>
    <t>Apoptosis; Cell adhesion; Differentiation; Immunity; Spermatogenesis</t>
  </si>
  <si>
    <t>Cell membrane; Membrane; Synapse</t>
  </si>
  <si>
    <t>apoptotic process {GO:0006915}; bone development {GO:0060348}; calcium-independent cell-cell adhesion via plasma membrane cell-adhesion molecules {GO:0016338}; cell adhesion {GO:0007155}; cell differentiation {GO:0030154}; cell recognition {GO:0008037}; detection of stimulus {GO:0051606}; heterophilic cell-cell adhesion via plasma membrane cell adhesion molecules {GO:0007157}; homophilic cell adhesion via plasma membrane adhesion molecules {GO:0007156}; liver development {GO:0001889}; lymphocyte migration into lymphoid organs {GO:0097021}; maintenance of postsynaptic specialization structure {GO:0098880}; positive regulation of cytokine production {GO:0001819}; positive regulation of natural killer cell mediated cytotoxicity {GO:0045954}; presynapse assembly {GO:0099054}; retrograde trans-synaptic signaling by trans-synaptic protein complex {GO:0098942}; spermatogenesis {GO:0007283}; susceptibility to natural killer cell mediated cytotoxicity {GO:0042271}; synapse assembly {GO:0007416}; synaptic membrane adhesion {GO:0099560}; unidimensional cell growth {GO:0009826}</t>
  </si>
  <si>
    <t>axon {GO:0030424}; basolateral plasma membrane {GO:0016323}; cell-cell junction {GO:0005911}; dendrite {GO:0030425}; glutamatergic synapse {GO:0098978}; integral component of postsynaptic membrane {GO:0099055}; integral component of presynaptic membrane {GO:0099056}; neuron projection {GO:0043005}; plasma membrane {GO:0005886}; postsynaptic density {GO:0014069}; Schaffer collateral - CA1 synapse {GO:0098685}; synapse {GO:0045202}; synaptic vesicle {GO:0008021}</t>
  </si>
  <si>
    <t>cell adhesion molecule binding {GO:0050839}; PDZ domain binding {GO:0030165}; protein homodimerization activity {GO:0042803}; signaling receptor binding {GO:0005102}</t>
  </si>
  <si>
    <t>Adherens junctions interactions {R-MMU-418990}; Nectin/Necl trans heterodimerization {R-MMU-420597}</t>
  </si>
  <si>
    <t>sp|Q9JJV2|PROF2_MOUSE</t>
  </si>
  <si>
    <t>Profilin-2</t>
  </si>
  <si>
    <t>Profilin II</t>
  </si>
  <si>
    <t>PROF2_MOUSE</t>
  </si>
  <si>
    <t>Q9JJV2</t>
  </si>
  <si>
    <t>Q3TPT7; Q3V171; Q9ES48; Q9ES49; Q9ES50</t>
  </si>
  <si>
    <t>MGI:97550</t>
  </si>
  <si>
    <t>3D-structure; Acetylation; Actin-binding; Alternative splicing; Cytoplasm; Cytoskeleton</t>
  </si>
  <si>
    <t>actin cytoskeleton organization {GO:0030036}; modification of postsynaptic actin cytoskeleton {GO:0098885}; negative regulation of actin filament polymerization {GO:0030837}; negative regulation of epithelial cell migration {GO:0010633}; negative regulation of ruffle assembly {GO:1900028}; positive regulation of actin filament bundle assembly {GO:0032233}; positive regulation of actin filament polymerization {GO:0030838}; positive regulation of ATP-dependent activity {GO:0032781}; positive regulation of peptidyl-serine phosphorylation {GO:0033138}; positive regulation of stress fiber assembly {GO:0051496}; protein stabilization {GO:0050821}; regulation of actin filament polymerization {GO:0030833}; regulation of synaptic vesicle exocytosis {GO:2000300}</t>
  </si>
  <si>
    <t>cytoplasm {GO:0005737}; cytoskeleton {GO:0005856}; cytosol {GO:0005829}; glutamatergic synapse {GO:0098978}; postsynapse {GO:0098794}; presynapse {GO:0098793}; Schaffer collateral - CA1 synapse {GO:0098685}</t>
  </si>
  <si>
    <t>actin binding {GO:0003779}; actin monomer binding {GO:0003785}; ATP hydrolysis activity {GO:0016887}; phosphatidylinositol-4,5-bisphosphate binding {GO:0005546}</t>
  </si>
  <si>
    <t>Signaling by ROBO receptors {R-MMU-376176}; RHO GTPases Activate Formins {R-MMU-5663220}</t>
  </si>
  <si>
    <t>sp|Q9D1E6|TBCB_MOUSE</t>
  </si>
  <si>
    <t>Tubulin-folding cofactor B</t>
  </si>
  <si>
    <t>Cytoskeleton-associated protein 1; Cytoskeleton-associated protein CKAPI; Tubulin-specific chaperone B</t>
  </si>
  <si>
    <t>TBCB_MOUSE</t>
  </si>
  <si>
    <t>Q9D1E6</t>
  </si>
  <si>
    <t>Q9CWR6; Q9DCZ6</t>
  </si>
  <si>
    <t>Ckap1</t>
  </si>
  <si>
    <t>MGI:1913661</t>
  </si>
  <si>
    <t>3D-structure; Acetylation; Chaperone; Cytoplasm; Cytoskeleton; Developmental protein; Differentiation; Microtubule; Neurogenesis; Phosphoprotein; Ubl conjugation</t>
  </si>
  <si>
    <t>Chaperone; Developmental protein</t>
  </si>
  <si>
    <t>cell differentiation {GO:0030154}; nervous system development {GO:0007399}</t>
  </si>
  <si>
    <t>cytoplasm {GO:0005737}; cytosol {GO:0005829}; microtubule {GO:0005874}</t>
  </si>
  <si>
    <t>sp|Q61768|KINH_MOUSE</t>
  </si>
  <si>
    <t>Kinesin-1 heavy chain</t>
  </si>
  <si>
    <t>Conventional kinesin heavy chain; Ubiquitous kinesin heavy chain (UKHC)</t>
  </si>
  <si>
    <t>KINH_MOUSE</t>
  </si>
  <si>
    <t>Q61768</t>
  </si>
  <si>
    <t>O08711; Q5BL10; Q61580</t>
  </si>
  <si>
    <t>Khcs; Kns1</t>
  </si>
  <si>
    <t>MGI:1098268</t>
  </si>
  <si>
    <t>3D-structure; Acetylation; ATP-binding; Coiled coil; Cytoplasm; Cytoskeleton; Isopeptide bond; Lysosome; Membrane; Methylation; Microtubule; Motor protein; Nucleotide-binding; Phosphoprotein; Ubl conjugation</t>
  </si>
  <si>
    <t>Cytoplasm; Cytoskeleton; Lysosome; Membrane; Microtubule</t>
  </si>
  <si>
    <t>anterograde axonal protein transport {GO:0099641}; anterograde dendritic transport of neurotransmitter receptor complex {GO:0098971}; axon guidance {GO:0007411}; cellular response to interferon-gamma {GO:0071346}; centrosome localization {GO:0051642}; cytoplasm organization {GO:0007028}; cytoskeleton-dependent intracellular transport {GO:0030705}; hippocampus development {GO:0021766}; lysosome localization {GO:0032418}; microtubule-based movement {GO:0007018}; microtubule-based process {GO:0007017}; mitochondrial transport {GO:0006839}; natural killer cell mediated cytotoxicity {GO:0042267}; plus-end-directed vesicle transport along microtubule {GO:0072383}; positive regulation of insulin secretion involved in cellular response to glucose stimulus {GO:0035774}; positive regulation of intracellular protein transport {GO:0090316}; positive regulation of potassium ion transport {GO:0043268}; positive regulation of protein localization to plasma membrane {GO:1903078}; positive regulation of synaptic transmission, GABAergic {GO:0032230}; positive regulation of vesicle fusion {GO:0031340}; positive regulation of voltage-gated sodium channel activity {GO:1905152}; regulation of membrane potential {GO:0042391}; retrograde neuronal dense core vesicle transport {GO:1990049}; stress granule disassembly {GO:0035617}; synaptic vesicle transport {GO:0048489}; vesicle transport along microtubule {GO:0047496}</t>
  </si>
  <si>
    <t>axon cytoplasm {GO:1904115}; axonal growth cone {GO:0044295}; centriolar satellite {GO:0034451}; ciliary rootlet {GO:0035253}; cytoplasm {GO:0005737}; cytosol {GO:0005829}; dendrite cytoplasm {GO:0032839}; endocytic vesicle {GO:0030139}; kinesin complex {GO:0005871}; lysosomal membrane {GO:0005765}; membrane-bounded organelle {GO:0043227}; microtubule {GO:0005874}; microtubule cytoskeleton {GO:0015630}; neuron projection {GO:0043005}; perinuclear region of cytoplasm {GO:0048471}; phagocytic vesicle {GO:0045335}; vesicle {GO:0031982}</t>
  </si>
  <si>
    <t>ATP binding {GO:0005524}; ATP hydrolysis activity {GO:0016887}; identical protein binding {GO:0042802}; JUN kinase binding {GO:0008432}; microtubule binding {GO:0008017}; microtubule lateral binding {GO:0099609}; microtubule motor activity {GO:0003777}; plus-end-directed microtubule motor activity {GO:0008574}; protein-containing complex binding {GO:0044877}</t>
  </si>
  <si>
    <t>MHC class II antigen presentation {R-MMU-2132295}; RHO GTPases activate KTN1 {R-MMU-5625970}; COPI-dependent Golgi-to-ER retrograde traffic {R-MMU-6811434}; Kinesins {R-MMU-983189}</t>
  </si>
  <si>
    <t>sp|Q6P8X1|SNX6_MOUSE</t>
  </si>
  <si>
    <t>Sorting nexin-6, N-terminally processed</t>
  </si>
  <si>
    <t>SNX6_MOUSE</t>
  </si>
  <si>
    <t>Q6P8X1</t>
  </si>
  <si>
    <t>Q9CZ03</t>
  </si>
  <si>
    <t>MGI:1919433</t>
  </si>
  <si>
    <t>Acetylation; Cytoplasm; Cytoplasmic vesicle; Endosome; Lipid-binding; Membrane; Nucleus; Phosphoprotein; Protein transport; Transport</t>
  </si>
  <si>
    <t>Cytoplasm; Cytoplasmic vesicle; Endosome; Membrane; Nucleus</t>
  </si>
  <si>
    <t>cellular response to amyloid-beta {GO:1904646}; cellular response to epidermal growth factor stimulus {GO:0071364}; intracellular protein transport {GO:0006886}; negative regulation of DNA-templated transcription {GO:0045892}; negative regulation of neuron apoptotic process {GO:0043524}; negative regulation of transforming growth factor beta receptor signaling pathway {GO:0030512}; retrograde transport, endosome to Golgi {GO:0042147}</t>
  </si>
  <si>
    <t>cytoplasm {GO:0005737}; cytosol {GO:0005829}; early endosome membrane {GO:0031901}; endosome {GO:0005768}; lysosome {GO:0005764}; nucleus {GO:0005634}; retromer complex {GO:0030904}; tubular endosome {GO:0097422}</t>
  </si>
  <si>
    <t>dynactin binding {GO:0034452}; phosphatidylinositol binding {GO:0035091}; protein homodimerization activity {GO:0042803}; type I transforming growth factor beta receptor binding {GO:0034713}</t>
  </si>
  <si>
    <t>sp|O70194|EIF3D_MOUSE</t>
  </si>
  <si>
    <t>Eukaryotic translation initiation factor 3 subunit D (eIF3d)</t>
  </si>
  <si>
    <t>Eukaryotic translation initiation factor 3 subunit 7; eIF-3-zeta; eIF3 p66</t>
  </si>
  <si>
    <t>EIF3D_MOUSE</t>
  </si>
  <si>
    <t>O70194</t>
  </si>
  <si>
    <t>Q8BLH0; Q8BWW1</t>
  </si>
  <si>
    <t>Eif3s7</t>
  </si>
  <si>
    <t>MGI:1933181</t>
  </si>
  <si>
    <t>Acetylation; Cytoplasm; Initiation factor; Phosphoprotein; Protein biosynthesis; RNA-binding</t>
  </si>
  <si>
    <t>cap-dependent translational initiation {GO:0002191}; formation of cytoplasmic translation initiation complex {GO:0001732}; IRES-dependent viral translational initiation {GO:0075522}; positive regulation of mRNA binding {GO:1902416}; positive regulation of translation {GO:0045727}; translational initiation {GO:0006413}; viral translational termination-reinitiation {GO:0075525}</t>
  </si>
  <si>
    <t>mRNA cap binding {GO:0098808}; RNA binding {GO:0003723}; translation initiation factor activity {GO:0003743}</t>
  </si>
  <si>
    <t>sp|Q60930|VDAC2_MOUSE</t>
  </si>
  <si>
    <t>Voltage-dependent anion-selective channel protein 2 (VDAC-2; mVDAC2)</t>
  </si>
  <si>
    <t>Outer mitochondrial membrane protein porin 2; Voltage-dependent anion-selective channel protein 6 (VDAC-6; mVDAC6)</t>
  </si>
  <si>
    <t>VDAC2_MOUSE</t>
  </si>
  <si>
    <t>Q60930</t>
  </si>
  <si>
    <t>Q78MH6; Q99L98</t>
  </si>
  <si>
    <t>Vdac6</t>
  </si>
  <si>
    <t>MGI:106915</t>
  </si>
  <si>
    <t>Acetylation; Ion transport; Isopeptide bond; Lipid-binding; Membrane; Mitochondrion; Mitochondrion outer membrane; NAD; Nucleotide-binding; Phosphoprotein; Porin; Transmembrane; Transmembrane beta strand; Transport; Ubl conjugation</t>
  </si>
  <si>
    <t>Ion transport; Transport</t>
  </si>
  <si>
    <t>Transmembrane; Transmembrane beta strand</t>
  </si>
  <si>
    <t>Lipid-binding; NAD; Nucleotide-binding</t>
  </si>
  <si>
    <t>Porin</t>
  </si>
  <si>
    <t>anion transport {GO:0006820}; binding of sperm to zona pellucida {GO:0007339}; mitochondrial outer membrane permeabilization {GO:0097345}; negative regulation of intrinsic apoptotic signaling pathway {GO:2001243}; negative regulation of protein polymerization {GO:0032272}</t>
  </si>
  <si>
    <t>acrosomal vesicle {GO:0001669}; membrane {GO:0016020}; membrane raft {GO:0045121}; mitochondrial inner membrane {GO:0005743}; mitochondrial membrane {GO:0031966}; mitochondrial nucleoid {GO:0042645}; mitochondrial outer membrane {GO:0005741}; mitochondrion {GO:0005739}; myelin sheath {GO:0043209}; pore complex {GO:0046930}; sperm midpiece {GO:0097225}; synaptic vesicle {GO:0008021}</t>
  </si>
  <si>
    <t>ceramide binding {GO:0097001}; cholesterol binding {GO:0015485}; nucleotide binding {GO:0000166}; phosphatidylcholine binding {GO:0031210}; porin activity {GO:0015288}; voltage-gated anion channel activity {GO:0008308}</t>
  </si>
  <si>
    <t>Ub-specific processing proteases {R-MMU-5689880}</t>
  </si>
  <si>
    <t>sp|Q9QYJ3|DNJB1_MOUSE</t>
  </si>
  <si>
    <t>DnaJ homolog subfamily B member 1</t>
  </si>
  <si>
    <t>Heat shock 40 kDa protein 1 (HSP40; Heat shock protein 40)</t>
  </si>
  <si>
    <t>DNJB1_MOUSE</t>
  </si>
  <si>
    <t>Q9QYJ3</t>
  </si>
  <si>
    <t>Hsp40; Hspf1</t>
  </si>
  <si>
    <t>MGI:1931874</t>
  </si>
  <si>
    <t>Chaperone; Cytoplasm; Nucleus; Phosphoprotein; Stress response</t>
  </si>
  <si>
    <t>cellular response to heat {GO:0034605}; chaperone cofactor-dependent protein refolding {GO:0051085}; negative regulation of inclusion body assembly {GO:0090084}; negative regulation of transcription by RNA polymerase II {GO:0000122}; negative regulation of transcription from RNA polymerase II promoter in response to stress {GO:0097201}; positive regulation of ATP-dependent activity {GO:0032781}; protein folding {GO:0006457}</t>
  </si>
  <si>
    <t>cytoplasm {GO:0005737}; cytosol {GO:0005829}; dendritic spine {GO:0043197}; glutamatergic synapse {GO:0098978}; neuronal cell body {GO:0043025}; nucleolus {GO:0005730}; nucleoplasm {GO:0005654}; postsynapse {GO:0098794}; postsynaptic density {GO:0014069}; sperm head {GO:0061827}</t>
  </si>
  <si>
    <t>ATPase activator activity {GO:0001671}; ATPase binding {GO:0051117}; chaperone binding {GO:0051087}; Hsp70 protein binding {GO:0030544}; protein folding chaperone {GO:0044183}; transcription corepressor activity {GO:0003714}; transcription regulator inhibitor activity {GO:0140416}; unfolded protein binding {GO:0051082}</t>
  </si>
  <si>
    <t>Regulation of HSF1-mediated heat shock response {R-MMU-3371453}; HSP90 chaperone cycle for steroid hormone receptors (SHR) in the presence of ligand {R-MMU-3371497}; Attenuation phase {R-MMU-3371568}; HSF1-dependent transactivation {R-MMU-3371571}; MAPK6/MAPK4 signaling {R-MMU-5687128}</t>
  </si>
  <si>
    <t>sp|Q921M7|CYRIB_MOUSE</t>
  </si>
  <si>
    <t>CYFIP-related Rac1 interactor B</t>
  </si>
  <si>
    <t>Protein FAM49B</t>
  </si>
  <si>
    <t>CYRIB_MOUSE</t>
  </si>
  <si>
    <t>Q921M7</t>
  </si>
  <si>
    <t>Cyri; Fam49b</t>
  </si>
  <si>
    <t>MGI:1923520</t>
  </si>
  <si>
    <t>3D-structure; Isopeptide bond; Lipoprotein; Membrane; Mitochondrion; Myristate; Ubl conjugation</t>
  </si>
  <si>
    <t>Membrane; Mitochondrion</t>
  </si>
  <si>
    <t>Isopeptide bond; Lipoprotein; Myristate; Ubl conjugation</t>
  </si>
  <si>
    <t>cellular response to molecule of bacterial origin {GO:0071219}; negative regulation of actin filament polymerization {GO:0030837}; negative regulation of small GTPase mediated signal transduction {GO:0051058}; positive regulation of interferon-gamma production {GO:0032729}; positive regulation of memory T cell activation {GO:2000568}; positive regulation of T cell activation {GO:0050870}; positive regulation of T cell mediated cytotoxicity {GO:0001916}; regulation of cell migration {GO:0030334}; regulation of chemotaxis {GO:0050920}; regulation of establishment of cell polarity {GO:2000114}; regulation of mitochondrial fission {GO:0090140}</t>
  </si>
  <si>
    <t>cilium {GO:0005929}; membrane {GO:0016020}; mitochondrion {GO:0005739}</t>
  </si>
  <si>
    <t>MHC class Ib protein binding, via antigen binding groove {GO:0023030}; small GTPase binding {GO:0031267}</t>
  </si>
  <si>
    <t>sp|P05202|AATM_MOUSE</t>
  </si>
  <si>
    <t>Aspartate aminotransferase, mitochondrial (mAspAT)</t>
  </si>
  <si>
    <t>Fatty acid-binding protein (FABP-1); Glutamate oxaloacetate transaminase 2; Kynurenine aminotransferase 4; Kynurenine aminotransferase IV; Kynurenine--oxoglutarate transaminase 4; Kynurenine--oxoglutarate transaminase IV; Plasma membrane-associated fatty acid-binding protein (FABPpm); Transaminase A</t>
  </si>
  <si>
    <t>AATM_MOUSE</t>
  </si>
  <si>
    <t>P05202</t>
  </si>
  <si>
    <t>O09188; Q3TIP6; Q3UD91; Q5HZH5</t>
  </si>
  <si>
    <t>Got-2</t>
  </si>
  <si>
    <t>MGI:95792</t>
  </si>
  <si>
    <t>3D-structure; Acetylation; Aminotransferase; Cell membrane; Lipid transport; Membrane; Methylation; Mitochondrion; Nitration; Phosphoprotein; Pyridoxal phosphate; Transferase; Transit peptide; Transport</t>
  </si>
  <si>
    <t>Cell membrane; Membrane; Mitochondrion</t>
  </si>
  <si>
    <t>2-oxoglutarate metabolic process {GO:0006103}; aspartate biosynthetic process {GO:0006532}; aspartate catabolic process {GO:0006533}; aspartate metabolic process {GO:0006531}; cellular amino acid metabolic process {GO:0006520}; dicarboxylic acid metabolic process {GO:0043648}; fatty acid transport {GO:0015908}; glutamate catabolic process to 2-oxoglutarate {GO:0019551}; glutamate catabolic process to aspartate {GO:0019550}; glutamate metabolic process {GO:0006536}; oxaloacetate metabolic process {GO:0006107}; response to ethanol {GO:0045471}</t>
  </si>
  <si>
    <t>cell surface {GO:0009986}; mitochondrial inner membrane {GO:0005743}; mitochondrial matrix {GO:0005759}; mitochondrion {GO:0005739}; myelin sheath {GO:0043209}; perikaryon {GO:0043204}; plasma membrane {GO:0005886}; protein-containing complex {GO:0032991}; sarcolemma {GO:0042383}; T-tubule {GO:0030315}</t>
  </si>
  <si>
    <t>amino acid binding {GO:0016597}; carboxylic acid binding {GO:0031406}; enzyme binding {GO:0019899}; identical protein binding {GO:0042802}; kynurenine-oxoglutarate transaminase activity {GO:0016212}; L-aspartate:2-oxoglutarate aminotransferase activity {GO:0004069}; phospholipid binding {GO:0005543}; pyridoxal phosphate binding {GO:0030170}</t>
  </si>
  <si>
    <t>Glyoxylate metabolism and glycine degradation {R-MMU-389661}; Gluconeogenesis {R-MMU-70263}; Aspartate and asparagine metabolism {R-MMU-8963693}; Glutamate and glutamine metabolism {R-MMU-8964539}</t>
  </si>
  <si>
    <t>sp|Q9CZU6|CISY_MOUSE</t>
  </si>
  <si>
    <t>Citrate synthase, mitochondrial</t>
  </si>
  <si>
    <t>Citrate (Si)-synthase</t>
  </si>
  <si>
    <t>CISY_MOUSE</t>
  </si>
  <si>
    <t>Q9CZU6</t>
  </si>
  <si>
    <t>Q3UDP3</t>
  </si>
  <si>
    <t>MGI:88529</t>
  </si>
  <si>
    <t>3D-structure; Acetylation; Methylation; Mitochondrion; Phosphoprotein; Transferase; Transit peptide; Tricarboxylic acid cycle</t>
  </si>
  <si>
    <t>acetyl-CoA metabolic process {GO:0006084}; carbohydrate metabolic process {GO:0005975}; citrate metabolic process {GO:0006101}; oxaloacetate metabolic process {GO:0006107}; tricarboxylic acid cycle {GO:0006099}</t>
  </si>
  <si>
    <t>acyltransferase activity, acyl groups converted into alkyl on transfer {GO:0046912}; citrate (Si)-synthase activity {GO:0004108}</t>
  </si>
  <si>
    <t>Carbohydrate metabolism; tricarboxylic acid cycle; isocitrate from oxaloacetate: step 1/2.</t>
  </si>
  <si>
    <t>sp|P83882|RL36A_MOUSE</t>
  </si>
  <si>
    <t>60S ribosomal protein L36a</t>
  </si>
  <si>
    <t>60S ribosomal protein L44</t>
  </si>
  <si>
    <t>RL36A_MOUSE</t>
  </si>
  <si>
    <t>P83882</t>
  </si>
  <si>
    <t>P09896; P10661</t>
  </si>
  <si>
    <t>Rpl44</t>
  </si>
  <si>
    <t>MGI:1201789</t>
  </si>
  <si>
    <t>cytoplasm {GO:0005737}; cytosol {GO:0005829}; cytosolic large ribosomal subunit {GO:0022625}; cytosolic ribosome {GO:0022626}; endoplasmic reticulum {GO:0005783}; plasma membrane {GO:0005886}; polysomal ribosome {GO:0042788}</t>
  </si>
  <si>
    <t>sp|Q9JJT0|RCL1_MOUSE</t>
  </si>
  <si>
    <t>RNA 3'-terminal phosphate cyclase-like protein</t>
  </si>
  <si>
    <t>RCL1_MOUSE</t>
  </si>
  <si>
    <t>Q9JJT0</t>
  </si>
  <si>
    <t>Rnac</t>
  </si>
  <si>
    <t>MGI:1913275</t>
  </si>
  <si>
    <t>Nucleus; Ribosome biogenesis</t>
  </si>
  <si>
    <t>Ribosome biogenesis</t>
  </si>
  <si>
    <t>endonucleolytic cleavage in 5'-ETS of tricistronic rRNA transcript (SSU-rRNA, 5.8S rRNA, LSU-rRNA) {GO:0000480}; endonucleolytic cleavage in ITS1 to separate SSU-rRNA from 5.8S rRNA and LSU-rRNA from tricistronic rRNA transcript (SSU-rRNA, 5.8S rRNA, LSU-rRNA) {GO:0000447}; endonucleolytic cleavage of tricistronic rRNA transcript (SSU-rRNA, 5.8S rRNA, LSU-rRNA) {GO:0000479}; rRNA processing {GO:0006364}</t>
  </si>
  <si>
    <t>nucleolus {GO:0005730}</t>
  </si>
  <si>
    <t>endoribonuclease activity {GO:0004521}</t>
  </si>
  <si>
    <t>sp|Q9QYI3|DNJC7_MOUSE</t>
  </si>
  <si>
    <t>DnaJ homolog subfamily C member 7</t>
  </si>
  <si>
    <t>Cytoplasmic CAR retention protein (CCRP); MDj11; Tetratricopeptide repeat protein 2 (TPR repeat protein 2)</t>
  </si>
  <si>
    <t>DNJC7_MOUSE</t>
  </si>
  <si>
    <t>Q9QYI3</t>
  </si>
  <si>
    <t>Q3TKR1; Q6VVW6; Q8BPG3; Q8CIL2; Q9CT29; Q9D026</t>
  </si>
  <si>
    <t>Ttc2</t>
  </si>
  <si>
    <t>MGI:1928373</t>
  </si>
  <si>
    <t>Acetylation; Chaperone; Cytoplasm; Cytoskeleton; Nucleus; Phosphoprotein; Repeat; TPR repeat</t>
  </si>
  <si>
    <t>chaperone cofactor-dependent protein refolding {GO:0051085}; protein folding {GO:0006457}</t>
  </si>
  <si>
    <t>cytoplasm {GO:0005737}; cytoskeleton {GO:0005856}; cytosol {GO:0005829}; nucleoplasm {GO:0005654}</t>
  </si>
  <si>
    <t>heat shock protein binding {GO:0031072}</t>
  </si>
  <si>
    <t>sp|P61971|NTF2_MOUSE</t>
  </si>
  <si>
    <t>Nuclear transport factor 2 (NTF-2)</t>
  </si>
  <si>
    <t>NTF2_MOUSE</t>
  </si>
  <si>
    <t>P61971</t>
  </si>
  <si>
    <t>P13662; Q3TI35</t>
  </si>
  <si>
    <t>MGI:1915301</t>
  </si>
  <si>
    <t>Acetylation; Cytoplasm; Membrane; mRNA transport; Nuclear pore complex; Nucleus; Protein transport; Translocation; Transport</t>
  </si>
  <si>
    <t>Protein transport; Translocation; Transport; mRNA transport</t>
  </si>
  <si>
    <t>Cytoplasm; Membrane; Nuclear pore complex; Nucleus</t>
  </si>
  <si>
    <t>mRNA transport {GO:0051028}; negative regulation of vascular endothelial growth factor production {GO:1904046}; nucleocytoplasmic transport {GO:0006913}; positive regulation of protein import into nucleus {GO:0042307}; protein export from nucleus {GO:0006611}; protein import into nucleus {GO:0006606}; protein localization to nuclear pore {GO:0090204}</t>
  </si>
  <si>
    <t>cytosol {GO:0005829}; nuclear inner membrane {GO:0005637}; nuclear membrane {GO:0031965}; nuclear outer membrane {GO:0005640}; nuclear pore central transport channel {GO:0044613}; nucleoplasm {GO:0005654}</t>
  </si>
  <si>
    <t>identical protein binding {GO:0042802}; nuclear import signal receptor activity {GO:0061608}; small GTPase binding {GO:0031267}; structural constituent of nuclear pore {GO:0017056}</t>
  </si>
  <si>
    <t>sp|P34022|RANG_MOUSE</t>
  </si>
  <si>
    <t>Ran-specific GTPase-activating protein</t>
  </si>
  <si>
    <t>HpaII tiny fragments locus 9a protein; Ran-binding protein 1 (RANBP1)</t>
  </si>
  <si>
    <t>RANG_MOUSE</t>
  </si>
  <si>
    <t>P34022</t>
  </si>
  <si>
    <t>P34023; Q3TL81; Q9D894; Q9DCA3</t>
  </si>
  <si>
    <t>Htf9-a; Htf9a</t>
  </si>
  <si>
    <t>MGI:96269</t>
  </si>
  <si>
    <t>Acetylation; GTPase activation; Phosphoprotein</t>
  </si>
  <si>
    <t>cellular response to leptomycin B {GO:0072750}; nucleocytoplasmic transport {GO:0006913}; positive regulation of mitotic centrosome separation {GO:0046604}; positive regulation of neuron projection development {GO:0010976}; spindle organization {GO:0007051}</t>
  </si>
  <si>
    <t>axon cytoplasm {GO:1904115}; centrosome {GO:0005813}; cytoplasm {GO:0005737}; cytosol {GO:0005829}; nuclear pore {GO:0005643}; nucleus {GO:0005634}; plasma membrane bounded cell projection cytoplasm {GO:0032838}</t>
  </si>
  <si>
    <t>GDP-dissociation inhibitor activity {GO:0005092}; GTPase activator activity {GO:0005096}</t>
  </si>
  <si>
    <t>sp|Q62433|NDRG1_MOUSE</t>
  </si>
  <si>
    <t>Protein NDRG1</t>
  </si>
  <si>
    <t>N-myc downstream-regulated gene 1 protein (Protein Ndr1)</t>
  </si>
  <si>
    <t>NDRG1_MOUSE</t>
  </si>
  <si>
    <t>Q62433</t>
  </si>
  <si>
    <t>P97862</t>
  </si>
  <si>
    <t>Ndr1; Ndrl; Tdd5</t>
  </si>
  <si>
    <t>MGI:1341799</t>
  </si>
  <si>
    <t>Acetylation; Cell membrane; Cytoplasm; Cytoskeleton; Membrane; Microtubule; Nucleus; Phosphoprotein; Repeat</t>
  </si>
  <si>
    <t>Cell membrane; Cytoplasm; Cytoskeleton; Membrane; Microtubule; Nucleus</t>
  </si>
  <si>
    <t>cellular response to hypoxia {GO:0071456}; DNA damage response, signal transduction by p53 class mediator {GO:0030330}; mast cell activation {GO:0045576}; negative regulation of cell population proliferation {GO:0008285}; peripheral nervous system myelin maintenance {GO:0032287}; postsynapse organization {GO:0099173}; signal transduction {GO:0007165}</t>
  </si>
  <si>
    <t>adherens junction {GO:0005912}; centrosome {GO:0005813}; cytoplasm {GO:0005737}; cytosol {GO:0005829}; glutamatergic synapse {GO:0098978}; microtubule {GO:0005874}; microtubule cytoskeleton {GO:0015630}; myelin sheath {GO:0043209}; nucleus {GO:0005634}; perinuclear region of cytoplasm {GO:0048471}; plasma membrane {GO:0005886}; recycling endosome membrane {GO:0055038}</t>
  </si>
  <si>
    <t>cadherin binding {GO:0045296}; gamma-tubulin binding {GO:0043015}; microtubule binding {GO:0008017}; small GTPase binding {GO:0031267}</t>
  </si>
  <si>
    <t>sp|Q8K2B3|SDHA_MOUSE</t>
  </si>
  <si>
    <t>Succinate dehydrogenase [ubiquinone] flavoprotein subunit, mitochondrial</t>
  </si>
  <si>
    <t>Flavoprotein subunit of complex II (Fp)</t>
  </si>
  <si>
    <t>SDHA_MOUSE</t>
  </si>
  <si>
    <t>Q8K2B3</t>
  </si>
  <si>
    <t>Q0QF19; Q3UH25; Q3UKP7; Q3V4B1; Q921P5; Q9Z1Z4</t>
  </si>
  <si>
    <t>MGI:1914195</t>
  </si>
  <si>
    <t>Acetylation; Electron transport; FAD; Flavoprotein; Membrane; Mitochondrion; Mitochondrion inner membrane; Oxidoreductase; Phosphoprotein; Transit peptide; Transport; Tricarboxylic acid cycle; Tumor suppressor</t>
  </si>
  <si>
    <t>Electron transport; Transport; Tricarboxylic acid cycle</t>
  </si>
  <si>
    <t>mitochondrial electron transport, succinate to ubiquinone {GO:0006121}; nervous system development {GO:0007399}; proton motive force-driven mitochondrial ATP synthesis {GO:0042776}; respiratory electron transport chain {GO:0022904}; succinate metabolic process {GO:0006105}; tricarboxylic acid cycle {GO:0006099}</t>
  </si>
  <si>
    <t>mitochondrial inner membrane {GO:0005743}; mitochondrial respiratory chain complex II, succinate dehydrogenase complex (ubiquinone) {GO:0005749}; mitochondrion {GO:0005739}; myelin sheath {GO:0043209}; nucleolus {GO:0005730}</t>
  </si>
  <si>
    <t>electron transfer activity {GO:0009055}; flavin adenine dinucleotide binding {GO:0050660}; succinate dehydrogenase (ubiquinone) activity {GO:0008177}; succinate dehydrogenase activity {GO:0000104}</t>
  </si>
  <si>
    <t>Carbohydrate metabolism; tricarboxylic acid cycle; fumarate from succinate (eukaryal route): step 1/1.</t>
  </si>
  <si>
    <t>sp|Q00612|G6PD1_MOUSE</t>
  </si>
  <si>
    <t>Glucose-6-phosphate 1-dehydrogenase X (G6PD)</t>
  </si>
  <si>
    <t>G6PD1_MOUSE</t>
  </si>
  <si>
    <t>Q00612</t>
  </si>
  <si>
    <t>G6pd; G6pd-1</t>
  </si>
  <si>
    <t>MGI:105979</t>
  </si>
  <si>
    <t>Acetylation; Carbohydrate metabolism; Cytoplasm; Glucose metabolism; Membrane; NADP; Oxidoreductase; Phosphoprotein</t>
  </si>
  <si>
    <t>angiotensin-mediated vasoconstriction involved in regulation of systemic arterial blood pressure {GO:0001998}; angiotensin-mediated vasodilation involved in regulation of systemic arterial blood pressure {GO:0002033}; cellular response to oxidative stress {GO:0034599}; cholesterol biosynthetic process {GO:0006695}; erythrocyte development {GO:0048821}; erythrocyte maturation {GO:0043249}; glucose 6-phosphate metabolic process {GO:0051156}; glucose metabolic process {GO:0006006}; glutathione metabolic process {GO:0006749}; NADP biosynthetic process {GO:0006741}; NADP metabolic process {GO:0006739}; NADPH regeneration {GO:0006740}; negative regulation of cell growth involved in cardiac muscle cell development {GO:0061052}; negative regulation of protein glutathionylation {GO:0010734}; negative regulation of reactive oxygen species metabolic process {GO:2000378}; pentose biosynthetic process {GO:0019322}; pentose-phosphate shunt {GO:0006098}; pentose-phosphate shunt, oxidative branch {GO:0009051}; positive regulation of calcium ion transmembrane transport via high voltage-gated calcium channel {GO:1904879}; regulation of multicellular organism growth {GO:0040014}; regulation of neuron apoptotic process {GO:0043523}; response to ethanol {GO:0045471}; response to oxidative stress {GO:0006979}; ribose phosphate biosynthetic process {GO:0046390}</t>
  </si>
  <si>
    <t>centriolar satellite {GO:0034451}; cytoplasm {GO:0005737}; cytoplasmic side of plasma membrane {GO:0009898}; cytosol {GO:0005829}; intracellular membrane-bounded organelle {GO:0043231}; nucleus {GO:0005634}</t>
  </si>
  <si>
    <t>carbohydrate binding {GO:0030246}; glucose binding {GO:0005536}; glucose-6-phosphate dehydrogenase activity {GO:0004345}; identical protein binding {GO:0042802}; NADP binding {GO:0050661}; protein homodimerization activity {GO:0042803}</t>
  </si>
  <si>
    <t>Carbohydrate degradation; pentose phosphate pathway; D- ribulose 5-phosphate from D-glucose 6-phosphate (oxidative stage): step 1/3..</t>
  </si>
  <si>
    <t>TP53 Regulates Metabolic Genes {R-MMU-5628897}; Pentose phosphate pathway {R-MMU-71336}</t>
  </si>
  <si>
    <t>sp|P70349|HINT1_MOUSE</t>
  </si>
  <si>
    <t>Adenosine 5'-monophosphoramidase HINT1</t>
  </si>
  <si>
    <t>Desumoylating isopeptidase HINT1; Histidine triad nucleotide-binding protein 1; Protein kinase C inhibitor 1; Protein kinase C-interacting protein 1 (PKCI-1)</t>
  </si>
  <si>
    <t>HINT1_MOUSE</t>
  </si>
  <si>
    <t>P70349</t>
  </si>
  <si>
    <t>Hint; Pkci; Pkci1; Prkcnh1</t>
  </si>
  <si>
    <t>MGI:1321133</t>
  </si>
  <si>
    <t>Acetylation; Apoptosis; Cytoplasm; Hydrolase; Nucleotide-binding; Nucleus; Phosphoprotein; Protease; Thiol protease; Transcription; Transcription regulation; Ubl conjugation pathway</t>
  </si>
  <si>
    <t>Apoptosis; Transcription; Transcription regulation; Ubl conjugation pathway</t>
  </si>
  <si>
    <t>intrinsic apoptotic signaling pathway by p53 class mediator {GO:0072332}; positive regulation of calcium-mediated signaling {GO:0050850}; protein desumoylation {GO:0016926}; purine ribonucleotide catabolic process {GO:0009154}; regulation of DNA-templated transcription {GO:0006355}</t>
  </si>
  <si>
    <t>cytoplasm {GO:0005737}; cytosol {GO:0005829}; histone deacetylase complex {GO:0000118}; nucleoplasm {GO:0005654}; nucleus {GO:0005634}; plasma membrane {GO:0005886}</t>
  </si>
  <si>
    <t>adenosine 5'-monophosphoramidase activity {GO:0043530}; deSUMOylase activity {GO:0016929}; hydrolase activity {GO:0016787}; nucleotide binding {GO:0000166}</t>
  </si>
  <si>
    <t>sp|Q9WV55|VAPA_MOUSE</t>
  </si>
  <si>
    <t>Vesicle-associated membrane protein-associated protein A (VAMP-A; VAMP-associated protein A; VAP-A)</t>
  </si>
  <si>
    <t>33 kDa VAMP-associated protein (VAP-33)</t>
  </si>
  <si>
    <t>VAPA_MOUSE</t>
  </si>
  <si>
    <t>Q9WV55</t>
  </si>
  <si>
    <t>Q3TJM1; Q9QY77</t>
  </si>
  <si>
    <t>Vap33</t>
  </si>
  <si>
    <t>MGI:1353561</t>
  </si>
  <si>
    <t>3D-structure; Acetylation; Cell junction; Cell membrane; Coiled coil; Endoplasmic reticulum; Membrane; Nucleus; Phosphoprotein; Tight junction; Transmembrane; Transmembrane helix</t>
  </si>
  <si>
    <t>Cell junction; Cell membrane; Endoplasmic reticulum; Membrane; Nucleus; Tight junction</t>
  </si>
  <si>
    <t>Coiled coil; Transmembrane; Transmembrane helix</t>
  </si>
  <si>
    <t>cell death {GO:0008219}; ceramide transport {GO:0035627}; COPII-coated vesicle budding {GO:0090114}; endoplasmic reticulum to Golgi vesicle-mediated transport {GO:0006888}; negative regulation by host of viral genome replication {GO:0044828}; neuron projection development {GO:0031175}; phospholipid transport {GO:0015914}; positive regulation by host of viral genome replication {GO:0044829}; protein localization to endoplasmic reticulum {GO:0070972}; sphingomyelin biosynthetic process {GO:0006686}; sterol transport {GO:0015918}; viral release from host cell {GO:0019076}</t>
  </si>
  <si>
    <t>bicellular tight junction {GO:0005923}; endoplasmic reticulum {GO:0005783}; endoplasmic reticulum membrane {GO:0005789}; Golgi membrane {GO:0000139}; integral component of membrane {GO:0016021}; membrane {GO:0016020}; microtubule cytoskeleton {GO:0015630}; nuclear membrane {GO:0031965}; perinuclear region of cytoplasm {GO:0048471}; plasma membrane {GO:0005886}; vesicle {GO:0031982}</t>
  </si>
  <si>
    <t>FFAT motif binding {GO:0033149}; identical protein binding {GO:0042802}; microtubule binding {GO:0008017}; protein domain specific binding {GO:0019904}; protein heterodimerization activity {GO:0046982}; protein-containing complex binding {GO:0044877}</t>
  </si>
  <si>
    <t>Neutrophil degranulation {R-MMU-6798695}; Insertion of tail-anchored proteins into the endoplasmic reticulum membrane {R-MMU-9609523}</t>
  </si>
  <si>
    <t>sp|Q8VD75|HIP1_MOUSE</t>
  </si>
  <si>
    <t>Huntingtin-interacting protein 1 (HIP-1)</t>
  </si>
  <si>
    <t>Huntingtin-interacting protein I (HIP-I)</t>
  </si>
  <si>
    <t>HIP1_MOUSE</t>
  </si>
  <si>
    <t>Q8VD75</t>
  </si>
  <si>
    <t>Q3TLS2; Q571K7</t>
  </si>
  <si>
    <t>MGI:1099804</t>
  </si>
  <si>
    <t>Actin-binding; Activator; Apoptosis; Coiled coil; Cytoplasm; Cytoplasmic vesicle; Differentiation; Endocytosis; Membrane; Neurodegeneration; Nucleus; Phosphoprotein; Transcription; Transcription regulation</t>
  </si>
  <si>
    <t>Apoptosis; Differentiation; Endocytosis; Transcription; Transcription regulation</t>
  </si>
  <si>
    <t>Cytoplasm; Cytoplasmic vesicle; Membrane; Nucleus</t>
  </si>
  <si>
    <t>Neurodegeneration</t>
  </si>
  <si>
    <t>Actin-binding; Activator</t>
  </si>
  <si>
    <t>actin filament organization {GO:0007015}; activation of cysteine-type endopeptidase activity involved in apoptotic process {GO:0006919}; apoptotic process {GO:0006915}; apoptotic signaling pathway {GO:0097190}; cell differentiation {GO:0030154}; clathrin coat assembly {GO:0048268}; clathrin-dependent endocytosis {GO:0072583}; endocytosis {GO:0006897}; positive regulation of epidermal growth factor receptor signaling pathway {GO:0045742}; positive regulation of platelet-derived growth factor receptor-beta signaling pathway {GO:2000588}; positive regulation of receptor-mediated endocytosis {GO:0048260}; protein stabilization {GO:0050821}; regulation of apoptotic process {GO:0042981}</t>
  </si>
  <si>
    <t>clathrin-coated vesicle {GO:0030136}; clathrin-coated vesicle membrane {GO:0030665}; cytoplasm {GO:0005737}; extrinsic component of cytoplasmic side of plasma membrane {GO:0031234}; extrinsic component of postsynaptic membrane {GO:0098890}; extrinsic component of presynaptic membrane {GO:0098888}; glutamatergic synapse {GO:0098978}; Golgi apparatus {GO:0005794}; intracellular membrane-bounded organelle {GO:0043231}; nucleus {GO:0005634}; postsynapse {GO:0098794}; postsynaptic membrane {GO:0045211}; presynapse {GO:0098793}</t>
  </si>
  <si>
    <t>actin filament binding {GO:0051015}; AP-2 adaptor complex binding {GO:0035612}; clathrin adaptor activity {GO:0035615}; clathrin binding {GO:0030276}; clathrin light chain binding {GO:0032051}; phosphatidylinositol binding {GO:0035091}; phosphatidylinositol-3,4-bisphosphate binding {GO:0043325}; phosphatidylinositol-3,5-bisphosphate binding {GO:0080025}; phosphatidylinositol-3-phosphate binding {GO:0032266}; protein heterodimerization activity {GO:0046982}; protein homodimerization activity {GO:0042803}</t>
  </si>
  <si>
    <t>sp|Q921F2|TADBP_MOUSE</t>
  </si>
  <si>
    <t>TAR DNA-binding protein 43 (TDP-43)</t>
  </si>
  <si>
    <t>TADBP_MOUSE</t>
  </si>
  <si>
    <t>Q921F2</t>
  </si>
  <si>
    <t>Q3U591; Q3V0E7</t>
  </si>
  <si>
    <t>Tdp43</t>
  </si>
  <si>
    <t>MGI:2387629</t>
  </si>
  <si>
    <t>3D-structure; Biological rhythms; Cytoplasm; DNA-binding; Isopeptide bond; Methylation; Mitochondrion; mRNA processing; mRNA splicing; Nucleus; Phosphoprotein; Repeat; Repressor; RNA-binding; Transcription; Transcription regulation; Ubl conjugation</t>
  </si>
  <si>
    <t>3'-UTR-mediated mRNA destabilization {GO:0061158}; 3'-UTR-mediated mRNA stabilization {GO:0070935}; amyloid fibril formation {GO:1990000}; gene expression {GO:0010467}; mRNA processing {GO:0006397}; negative regulation by host of viral transcription {GO:0043922}; negative regulation of gene expression {GO:0010629}; negative regulation of protein phosphorylation {GO:0001933}; nuclear inner membrane organization {GO:0071765}; positive regulation of insulin secretion {GO:0032024}; positive regulation of protein import into nucleus {GO:0042307}; regulation of apoptotic process {GO:0042981}; regulation of cell cycle {GO:0051726}; regulation of circadian rhythm {GO:0042752}; regulation of gene expression {GO:0010468}; regulation of protein stability {GO:0031647}; rhythmic process {GO:0048511}; RNA splicing {GO:0008380}</t>
  </si>
  <si>
    <t>cytoplasm {GO:0005737}; cytoplasmic stress granule {GO:0010494}; interchromatin granule {GO:0035061}; mitochondrion {GO:0005739}; nuclear speck {GO:0016607}; nucleoplasm {GO:0005654}; nucleus {GO:0005634}; perichromatin fibrils {GO:0005726}</t>
  </si>
  <si>
    <t>double-stranded DNA binding {GO:0003690}; identical protein binding {GO:0042802}; molecular condensate scaffold activity {GO:0140693}; mRNA 3'-UTR binding {GO:0003730}; pre-mRNA intronic binding {GO:0097157}; RNA binding {GO:0003723}; RNA polymerase II cis-regulatory region sequence-specific DNA binding {GO:0000978}</t>
  </si>
  <si>
    <t>sp|Q9CQR2|RS21_MOUSE</t>
  </si>
  <si>
    <t>40S ribosomal protein S21</t>
  </si>
  <si>
    <t>RS21_MOUSE</t>
  </si>
  <si>
    <t>Q9CQR2</t>
  </si>
  <si>
    <t>Q5M9L3</t>
  </si>
  <si>
    <t>MGI:1913731</t>
  </si>
  <si>
    <t>cytoplasmic translation {GO:0002181}; endonucleolytic cleavage in ITS1 to separate SSU-rRNA from 5.8S rRNA and LSU-rRNA from tricistronic rRNA transcript (SSU-rRNA, 5.8S rRNA, LSU-rRNA) {GO:0000447}; endonucleolytic cleavage to generate mature 3'-end of SSU-rRNA from (SSU-rRNA, 5.8S rRNA, LSU-rRNA) {GO:0000461}</t>
  </si>
  <si>
    <t>cytoplasm {GO:0005737}; cytosol {GO:0005829}; cytosolic ribosome {GO:0022626}; cytosolic small ribosomal subunit {GO:0022627}; polysomal ribosome {GO:0042788}; rough endoplasmic reticulum {GO:0005791}; synapse {GO:0045202}</t>
  </si>
  <si>
    <t>protein N-terminus binding {GO:0047485}; ribosome binding {GO:0043022}; structural constituent of ribosome {GO:0003735}</t>
  </si>
  <si>
    <t>sp|Q9ET01|PYGL_MOUSE</t>
  </si>
  <si>
    <t>Glycogen phosphorylase, liver form</t>
  </si>
  <si>
    <t>PYGL_MOUSE</t>
  </si>
  <si>
    <t>Q9ET01</t>
  </si>
  <si>
    <t>Q3UKJ0</t>
  </si>
  <si>
    <t>MGI:97829</t>
  </si>
  <si>
    <t>Acetylation; Allosteric enzyme; Carbohydrate metabolism; Cytoplasm; Glycogen metabolism; Glycosyltransferase; Nucleotide-binding; Phosphoprotein; Pyridoxal phosphate; Transferase</t>
  </si>
  <si>
    <t>5-phosphoribose 1-diphosphate biosynthetic process {GO:0006015}; glucose homeostasis {GO:0042593}; glycogen catabolic process {GO:0005980}; glycogen metabolic process {GO:0005977}; necroptotic process {GO:0070266}; response to bacterium {GO:0009617}</t>
  </si>
  <si>
    <t>AMP binding {GO:0016208}; ATP binding {GO:0005524}; bile acid binding {GO:0032052}; carbohydrate binding {GO:0030246}; glucose binding {GO:0005536}; glycogen phosphorylase activity {GO:0008184}; identical protein binding {GO:0042802}; linear malto-oligosaccharide phosphorylase activity {GO:0102250}; purine nucleobase binding {GO:0002060}; pyridoxal phosphate binding {GO:0030170}; SHG alpha-glucan phosphorylase activity {GO:0102499}; vitamin binding {GO:0019842}</t>
  </si>
  <si>
    <t>Neutrophil degranulation {R-MMU-6798695}; Glycogen breakdown (glycogenolysis) {R-MMU-70221}</t>
  </si>
  <si>
    <t>sp|Q9QZ88|VPS29_MOUSE</t>
  </si>
  <si>
    <t>Vacuolar protein sorting-associated protein 29</t>
  </si>
  <si>
    <t>Vesicle protein sorting 29</t>
  </si>
  <si>
    <t>VPS29_MOUSE</t>
  </si>
  <si>
    <t>Q9QZ88</t>
  </si>
  <si>
    <t>Q3UCZ0; Q9D107</t>
  </si>
  <si>
    <t>MGI:1928344</t>
  </si>
  <si>
    <t>3D-structure; Acetylation; Alternative splicing; Cytoplasm; Endosome; Membrane; Metal-binding; Protein transport; Transport; Zinc</t>
  </si>
  <si>
    <t>Cytoplasm; Endosome; Membrane</t>
  </si>
  <si>
    <t>endocytic recycling {GO:0032456}; Golgi to vacuole transport {GO:0006896}; intracellular protein transport {GO:0006886}; retrograde transport, endosome to Golgi {GO:0042147}</t>
  </si>
  <si>
    <t>cytosol {GO:0005829}; endosome {GO:0005768}; endosome membrane {GO:0010008}; intracellular membrane-bounded organelle {GO:0043231}; retromer complex {GO:0030904}; retromer, cargo-selective complex {GO:0030906}</t>
  </si>
  <si>
    <t>WNT ligand biogenesis and trafficking {R-MMU-3238698}</t>
  </si>
  <si>
    <t>sp|Q8BK64|AHSA1_MOUSE</t>
  </si>
  <si>
    <t>sp|P54923|ADPRH_MOUSE</t>
  </si>
  <si>
    <t>ADP-ribosylhydrolase ARH1</t>
  </si>
  <si>
    <t>ADP-ribose-L-arginine cleaving enzyme; [Protein ADP-ribosylarginine] hydrolase (ADP-ribosylarginine hydrolase)</t>
  </si>
  <si>
    <t>ADPRH_MOUSE</t>
  </si>
  <si>
    <t>P54923</t>
  </si>
  <si>
    <t>Arh1</t>
  </si>
  <si>
    <t>MGI:1098234</t>
  </si>
  <si>
    <t>Hydrolase; Magnesium; Metal-binding</t>
  </si>
  <si>
    <t>protein de-ADP-ribosylation {GO:0051725}; protein modification process {GO:0036211}</t>
  </si>
  <si>
    <t>cytosol {GO:0005829}; extracellular space {GO:0005615}</t>
  </si>
  <si>
    <t>ADP-ribosylarginine hydrolase activity {GO:0003875}; magnesium ion binding {GO:0000287}; potassium ion binding {GO:0030955}</t>
  </si>
  <si>
    <t>sp|Q6PAV2|HERC4_MOUSE</t>
  </si>
  <si>
    <t>Probable E3 ubiquitin-protein ligase HERC4</t>
  </si>
  <si>
    <t>HECT domain and RCC1-like domain-containing protein 4; HECT-type E3 ubiquitin transferase HERC4</t>
  </si>
  <si>
    <t>HERC4_MOUSE</t>
  </si>
  <si>
    <t>Q6PAV2</t>
  </si>
  <si>
    <t>Q3UL34; Q3UPX2; Q810A0; Q811C9; Q8R315; Q9D797</t>
  </si>
  <si>
    <t>MGI:1914595</t>
  </si>
  <si>
    <t>Alternative splicing; Cytoplasm; Differentiation; Repeat; Spermatogenesis; Transferase; Ubl conjugation pathway</t>
  </si>
  <si>
    <t>Differentiation; Spermatogenesis; Ubl conjugation pathway</t>
  </si>
  <si>
    <t>cell differentiation {GO:0030154}; negative regulation of smoothened signaling pathway {GO:0045879}; protein ubiquitination {GO:0016567}; spermatogenesis {GO:0007283}; ubiquitin-dependent protein catabolic process {GO:0006511}</t>
  </si>
  <si>
    <t>cytoplasm {GO:0005737}; cytosol {GO:0005829}; fibrillar center {GO:0001650}</t>
  </si>
  <si>
    <t>ubiquitin protein ligase activity {GO:0061630}; ubiquitin-protein transferase activity {GO:0004842}</t>
  </si>
  <si>
    <t>sp|Q6PB66|LPPRC_MOUSE</t>
  </si>
  <si>
    <t>Leucine-rich PPR motif-containing protein, mitochondrial</t>
  </si>
  <si>
    <t>130 kDa leucine-rich protein (LRP 130; mLRP130)</t>
  </si>
  <si>
    <t>LPPRC_MOUSE</t>
  </si>
  <si>
    <t>Q6PB66</t>
  </si>
  <si>
    <t>Q8K4V0; Q9CRX4</t>
  </si>
  <si>
    <t>Lrp130</t>
  </si>
  <si>
    <t>MGI:1919666</t>
  </si>
  <si>
    <t>Acetylation; DNA-binding; Membrane; Mitochondrion; mRNA transport; Nucleus; Phosphoprotein; Repeat; RNA-binding; Transcription; Transcription regulation; Transit peptide; Transport</t>
  </si>
  <si>
    <t>Transcription; Transcription regulation; Transport; mRNA transport</t>
  </si>
  <si>
    <t>Membrane; Mitochondrion; Nucleus</t>
  </si>
  <si>
    <t>Repeat; Transit peptide</t>
  </si>
  <si>
    <t>mitochondrial RNA catabolic process {GO:0000957}; mRNA transport {GO:0051028}; negative regulation of mitochondrial RNA catabolic process {GO:0000961}; regulation of mitochondrial translation {GO:0070129}</t>
  </si>
  <si>
    <t>condensed nuclear chromosome {GO:0000794}; cytoplasm {GO:0005737}; cytoskeleton {GO:0005856}; microtubule {GO:0005874}; mitochondrial nucleoid {GO:0042645}; mitochondrion {GO:0005739}; nuclear inner membrane {GO:0005637}; nuclear outer membrane {GO:0005640}; nucleoplasm {GO:0005654}; nucleus {GO:0005634}; perinuclear region of cytoplasm {GO:0048471}; ribonucleoprotein complex {GO:1990904}</t>
  </si>
  <si>
    <t>beta-tubulin binding {GO:0048487}; mRNA 3'-UTR binding {GO:0003730}; RNA binding {GO:0003723}; single-stranded DNA binding {GO:0003697}; ubiquitin protein ligase binding {GO:0031625}</t>
  </si>
  <si>
    <t>sp|P30681|HMGB2_MOUSE</t>
  </si>
  <si>
    <t>High mobility group protein B2</t>
  </si>
  <si>
    <t>High mobility group protein 2 (HMG-2)</t>
  </si>
  <si>
    <t>HMGB2_MOUSE</t>
  </si>
  <si>
    <t>P30681</t>
  </si>
  <si>
    <t>Q3UXT1; Q9EQD5</t>
  </si>
  <si>
    <t>Hmg2</t>
  </si>
  <si>
    <t>MGI:96157</t>
  </si>
  <si>
    <t>Acetylation; Chemotaxis; Chromosome; Cytoplasm; Disulfide bond; DNA recombination; DNA-binding; Immunity; Inflammatory response; Innate immunity; Nucleus; Oxidation; Phosphoprotein; Repeat; Secreted; Transcription; Transcription regulation</t>
  </si>
  <si>
    <t>Chemotaxis; DNA recombination; Immunity; Inflammatory response; Innate immunity; Transcription; Transcription regulation</t>
  </si>
  <si>
    <t>Chromosome; Cytoplasm; Nucleus; Secreted</t>
  </si>
  <si>
    <t>Acetylation; Disulfide bond; Oxidation; Phosphoprotein</t>
  </si>
  <si>
    <t>cell chemotaxis {GO:0060326}; cellular response to lipopolysaccharide {GO:0071222}; defense response to Gram-negative bacterium {GO:0050829}; defense response to Gram-positive bacterium {GO:0050830}; DNA recombination {GO:0006310}; DNA topological change {GO:0006265}; extrinsic apoptotic signaling pathway via death domain receptors {GO:0008625}; inflammatory response to antigenic stimulus {GO:0002437}; innate immune response {GO:0045087}; male gonad development {GO:0008584}; negative regulation of DNA-templated transcription {GO:0045892}; negative regulation of extrinsic apoptotic signaling pathway via death domain receptors {GO:1902042}; negative regulation of gene expression {GO:0010629}; negative regulation of transcription by RNA polymerase II {GO:0000122}; positive regulation of DNA binding {GO:0043388}; positive regulation of DNA-templated transcription {GO:0045893}; positive regulation of endothelial cell proliferation {GO:0001938}; positive regulation of erythrocyte differentiation {GO:0045648}; positive regulation of gene expression {GO:0010628}; positive regulation of innate immune response {GO:0045089}; positive regulation of interferon-beta production {GO:0032728}; positive regulation of megakaryocyte differentiation {GO:0045654}; positive regulation of nuclease activity {GO:0032075}; positive regulation of transcription by RNA polymerase II {GO:0045944}; regulation of neurogenesis {GO:0050767}; regulation of stem cell proliferation {GO:0072091}; regulation of transcription by RNA polymerase II {GO:0006357}; response to lipopolysaccharide {GO:0032496}; response to steroid hormone {GO:0048545}; spermatid nucleus differentiation {GO:0007289}; spermatogenesis {GO:0007283}</t>
  </si>
  <si>
    <t>chromatin {GO:0000785}; condensed chromosome {GO:0000793}; cytoplasm {GO:0005737}; extracellular space {GO:0005615}; nucleolus {GO:0005730}; nucleoplasm {GO:0005654}; nucleus {GO:0005634}; perinuclear region of cytoplasm {GO:0048471}; protein-containing complex {GO:0032991}</t>
  </si>
  <si>
    <t>chemoattractant activity {GO:0042056}; cis-regulatory region sequence-specific DNA binding {GO:0000987}; damaged DNA binding {GO:0003684}; DNA binding {GO:0003677}; DNA binding, bending {GO:0008301}; DNA-binding transcription factor binding {GO:0140297}; double-stranded DNA binding {GO:0003690}; lipid binding {GO:0008289}; non-sequence-specific DNA binding, bending {GO:0044378}; protein domain specific binding {GO:0019904}; RAGE receptor binding {GO:0050786}; supercoiled DNA binding {GO:0097100}; transcription cis-regulatory region binding {GO:0000976}; transcription coactivator activity {GO:0003713}; transcription factor binding {GO:0008134}</t>
  </si>
  <si>
    <t>Apoptosis induced DNA fragmentation {R-MMU-140342}</t>
  </si>
  <si>
    <t>sp|Q62448|IF4G2_MOUSE</t>
  </si>
  <si>
    <t>Eukaryotic translation initiation factor 4 gamma 2 (eIF-4-gamma 2; eIF-4G 2; eIF4G 2)</t>
  </si>
  <si>
    <t>Novel APOBEC-1 target 1; Translation repressor NAT1; p97</t>
  </si>
  <si>
    <t>IF4G2_MOUSE</t>
  </si>
  <si>
    <t>Q62448</t>
  </si>
  <si>
    <t>P97867; Q0VGZ3; Q3UNC1; Q5XKD8; Q6P1Z0; Q921U3</t>
  </si>
  <si>
    <t>MGI:109207</t>
  </si>
  <si>
    <t>Acetylation; Alternative splicing; Initiation factor; Isopeptide bond; Methylation; Phosphoprotein; Protein biosynthesis; Repressor; Translation regulation; Ubl conjugation</t>
  </si>
  <si>
    <t>Initiation factor; Repressor</t>
  </si>
  <si>
    <t>cellular macromolecule biosynthetic process {GO:0034645}; negative regulation of autophagy {GO:0010507}; positive regulation of axon extension {GO:0045773}; positive regulation of cell growth {GO:0030307}; positive regulation of dendritic spine development {GO:0060999}; positive regulation of translation {GO:0045727}; regulation of translational initiation {GO:0006446}</t>
  </si>
  <si>
    <t>axon {GO:0030424}; cytoplasm {GO:0005737}; cytosol {GO:0005829}; eukaryotic translation initiation factor 4F complex {GO:0016281}; postsynaptic density {GO:0014069}</t>
  </si>
  <si>
    <t>mRNA binding {GO:0003729}; translation factor activity, RNA binding {GO:0008135}; translation initiation factor activity {GO:0003743}</t>
  </si>
  <si>
    <t>sp|Q8CIN4|PAK2_MOUSE</t>
  </si>
  <si>
    <t>PAK-2p34</t>
  </si>
  <si>
    <t>Gamma-PAK; p21-activated kinase 2 (PAK-2)</t>
  </si>
  <si>
    <t>PAK2_MOUSE</t>
  </si>
  <si>
    <t>Q8CIN4</t>
  </si>
  <si>
    <t>MGI:1339984</t>
  </si>
  <si>
    <t>Acetylation; Allosteric enzyme; Apoptosis; ATP-binding; Cytoplasm; Growth regulation; Kinase; Lipoprotein; Membrane; Nucleotide-binding; Nucleus; Phosphoprotein; Serine/threonine-protein kinase; Transferase; Ubl conjugation</t>
  </si>
  <si>
    <t>Apoptosis; Growth regulation</t>
  </si>
  <si>
    <t>Allosteric enzyme; Kinase; Serine/threonine-protein kinase; Transferase</t>
  </si>
  <si>
    <t>Acetylation; Lipoprotein; Phosphoprotein; Ubl conjugation</t>
  </si>
  <si>
    <t>adherens junction assembly {GO:0034333}; apoptotic process {GO:0006915}; bicellular tight junction assembly {GO:0070830}; cardiac muscle hypertrophy {GO:0003300}; cellular response to organic cyclic compound {GO:0071407}; cellular response to transforming growth factor beta stimulus {GO:0071560}; dendritic spine development {GO:0060996}; intracellular signal transduction {GO:0035556}; negative regulation of apoptotic process {GO:0043066}; negative regulation of cysteine-type endopeptidase activity involved in execution phase of apoptosis {GO:2001271}; negative regulation of stress fiber assembly {GO:0051497}; peptidyl-serine phosphorylation {GO:0018105}; phosphorylation {GO:0016310}; positive regulation of extrinsic apoptotic signaling pathway {GO:2001238}; positive regulation of peptidyl-tyrosine phosphorylation {GO:0050731}; protein autophosphorylation {GO:0046777}; protein localization to cell-cell junction {GO:0150105}; protein phosphorylation {GO:0006468}; regulation of axonogenesis {GO:0050770}; regulation of cytoskeleton organization {GO:0051493}; regulation of MAPK cascade {GO:0043408}</t>
  </si>
  <si>
    <t>cell-cell junction {GO:0005911}; cytoplasm {GO:0005737}; cytosol {GO:0005829}; glutamatergic synapse {GO:0098978}; membrane {GO:0016020}; nucleus {GO:0005634}; perinuclear region of cytoplasm {GO:0048471}; postsynaptic density {GO:0014069}; secretory granule {GO:0030141}</t>
  </si>
  <si>
    <t>ATP binding {GO:0005524}; identical protein binding {GO:0042802}; protein kinase activity {GO:0004672}; protein kinase binding {GO:0019901}; protein serine kinase activity {GO:0106310}; protein serine/threonine kinase activity {GO:0004674}; protein tyrosine kinase activator activity {GO:0030296}; small GTPase binding {GO:0031267}</t>
  </si>
  <si>
    <t>Generation of second messenger molecules {R-MMU-202433}; FCERI mediated MAPK activation {R-MMU-2871796}; CD28 dependent Vav1 pathway {R-MMU-389359}; Ephrin signaling {R-MMU-3928664}; Sema3A PAK dependent Axon repulsion {R-MMU-399954}; VEGFA-VEGFR2 Pathway {R-MMU-4420097}; Smooth Muscle Contraction {R-MMU-445355}; VEGFR2 mediated vascular permeability {R-MMU-5218920}; CD209 (DC-SIGN) signaling {R-MMU-5621575}; RHO GTPases activate PAKs {R-MMU-5627123}; MAPK6/MAPK4 signaling {R-MMU-5687128}; RAC1 GTPase cycle {R-MMU-9013149}; RAC2 GTPase cycle {R-MMU-9013404}; RHOQ GTPase cycle {R-MMU-9013406}; RHOH GTPase cycle {R-MMU-9013407}; RHOG GTPase cycle {R-MMU-9013408}; RHOU GTPase cycle {R-MMU-9013420}; RAC3 GTPase cycle {R-MMU-9013423}; RHOV GTPase cycle {R-MMU-9013424}</t>
  </si>
  <si>
    <t>sp|Q9CQQ7|AT5F1_MOUSE</t>
  </si>
  <si>
    <t>ATP synthase F(0) complex subunit B1, mitochondrial</t>
  </si>
  <si>
    <t>ATP synthase peripheral stalk-membrane subunit b; ATP synthase subunit b (ATPase subunit b)</t>
  </si>
  <si>
    <t>AT5F1_MOUSE</t>
  </si>
  <si>
    <t>Q9CQQ7</t>
  </si>
  <si>
    <t>Atp5f1</t>
  </si>
  <si>
    <t>MGI:1100495</t>
  </si>
  <si>
    <t>Acetylation; CF(0); Hydrogen ion transport; Ion transport; Membrane; Mitochondrion; Mitochondrion inner membrane; Transit peptide; Transport</t>
  </si>
  <si>
    <t>mitochondrial inner membrane {GO:0005743}; mitochondrial proton-transporting ATP synthase complex {GO:0005753}; mitochondrial proton-transporting ATP synthase complex, coupling factor F(o) {GO:0000276}; mitochondrion {GO:0005739}; myelin sheath {GO:0043209}</t>
  </si>
  <si>
    <t>ATP hydrolysis activity {GO:0016887}; protein-containing complex binding {GO:0044877}; proton-transporting ATP synthase activity, rotational mechanism {GO:0046933}</t>
  </si>
  <si>
    <t>sp|Q9WUL7|ARL3_MOUSE</t>
  </si>
  <si>
    <t>ADP-ribosylation factor-like protein 3</t>
  </si>
  <si>
    <t>ARL3_MOUSE</t>
  </si>
  <si>
    <t>Q9WUL7</t>
  </si>
  <si>
    <t>MGI:1929699</t>
  </si>
  <si>
    <t>3D-structure; Cell cycle; Cell division; Cell projection; Cytoplasm; Cytoskeleton; Golgi apparatus; GTP-binding; Lipoprotein; Magnesium; Membrane; Metal-binding; Myristate; Nucleotide-binding; Nucleus; Phosphoprotein; Protein transport; Transport</t>
  </si>
  <si>
    <t>Cell cycle; Cell division; Protein transport; Transport</t>
  </si>
  <si>
    <t>Cell projection; Cytoplasm; Cytoskeleton; Golgi apparatus; Membrane; Nucleus</t>
  </si>
  <si>
    <t>cilium assembly {GO:0060271}; Golgi to plasma membrane transport {GO:0006893}; intraciliary transport {GO:0042073}; kidney development {GO:0001822}; mitotic cytokinesis {GO:0000281}; photoreceptor cell development {GO:0042461}; post-Golgi vesicle-mediated transport {GO:0006892}; protein localization to ciliary membrane {GO:1903441}; protein localization to cilium {GO:0061512}; protein transport {GO:0015031}; small GTPase mediated signal transduction {GO:0007264}; smoothened signaling pathway {GO:0007224}</t>
  </si>
  <si>
    <t>axoneme {GO:0005930}; centrosome {GO:0005813}; ciliary basal body {GO:0036064}; ciliary transition zone {GO:0035869}; cilium {GO:0005929}; cytoplasm {GO:0005737}; cytoplasmic microtubule {GO:0005881}; Golgi apparatus {GO:0005794}; Golgi membrane {GO:0000139}; microtubule cytoskeleton {GO:0015630}; midbody {GO:0030496}; nucleoplasm {GO:0005654}; nucleus {GO:0005634}; photoreceptor connecting cilium {GO:0032391}; spindle microtubule {GO:0005876}</t>
  </si>
  <si>
    <t>GDP binding {GO:0019003}; GTP binding {GO:0005525}; GTPase activating protein binding {GO:0032794}; GTPase activity {GO:0003924}; magnesium ion binding {GO:0000287}; microtubule binding {GO:0008017}</t>
  </si>
  <si>
    <t>Trafficking of myristoylated proteins to the cilium {R-MMU-5624138}</t>
  </si>
  <si>
    <t>sp|P97864|CASP7_MOUSE</t>
  </si>
  <si>
    <t>Caspase-7 subunit p11</t>
  </si>
  <si>
    <t>Apoptotic protease Mch-3; Cysteine protease LICE2</t>
  </si>
  <si>
    <t>CASP7_MOUSE</t>
  </si>
  <si>
    <t>P97864</t>
  </si>
  <si>
    <t>O08669</t>
  </si>
  <si>
    <t>MGI:109383</t>
  </si>
  <si>
    <t>Acetylation; Allosteric enzyme; Apoptosis; Cytoplasm; Hydrolase; Nucleus; Phosphoprotein; Protease; RNA-binding; Secreted; Thiol protease; Zymogen</t>
  </si>
  <si>
    <t>Allosteric enzyme; Hydrolase; Protease; RNA-binding; Thiol protease</t>
  </si>
  <si>
    <t>Acetylation; Phosphoprotein; Zymogen</t>
  </si>
  <si>
    <t>apoptotic process {GO:0006915}; cellular response to staurosporine {GO:0072734}; execution phase of apoptosis {GO:0097194}; extrinsic apoptotic signaling pathway {GO:0097191}; fibroblast apoptotic process {GO:0044346}; heart development {GO:0007507}; inflammatory response {GO:0006954}; intrinsic apoptotic signaling pathway {GO:0097193}; neuron apoptotic process {GO:0051402}; positive regulation of apoptotic process {GO:0043065}; protein catabolic process {GO:0030163}; protein processing {GO:0016485}; proteolysis {GO:0006508}; response to UV {GO:0009411}</t>
  </si>
  <si>
    <t>caspase complex {GO:0008303}; cytoplasm {GO:0005737}; cytosol {GO:0005829}; intracellular membrane-bounded organelle {GO:0043231}; nucleus {GO:0005634}</t>
  </si>
  <si>
    <t>aspartic-type endopeptidase activity {GO:0004190}; cysteine-type endopeptidase activity {GO:0004197}; cysteine-type endopeptidase activity involved in apoptotic process {GO:0097153}; cysteine-type endopeptidase activity involved in execution phase of apoptosis {GO:0097200}; cysteine-type peptidase activity {GO:0008234}; peptidase activity {GO:0008233}</t>
  </si>
  <si>
    <t>Activation of caspases through apoptosome-mediated cleavage {R-MMU-111459}; SMAC (DIABLO) binds to IAPs {R-MMU-111463}; SMAC(DIABLO)-mediated dissociation of IAP:caspase complexes {R-MMU-111464}; Apoptotic cleavage of cellular proteins {R-MMU-111465}; SMAC, XIAP-regulated apoptotic response {R-MMU-111469}; Caspase-mediated cleavage of cytoskeletal proteins {R-MMU-264870}</t>
  </si>
  <si>
    <t>sp|Q9JJC6|RIPL1_MOUSE</t>
  </si>
  <si>
    <t>RILP-like protein 1</t>
  </si>
  <si>
    <t>Rab-interacting lysosomal-like protein 1</t>
  </si>
  <si>
    <t>RIPL1_MOUSE</t>
  </si>
  <si>
    <t>Q9JJC6</t>
  </si>
  <si>
    <t>Q80WV8</t>
  </si>
  <si>
    <t>MGI:1922945</t>
  </si>
  <si>
    <t>Cell projection; Cilium; Coiled coil; Cytoplasm; Cytoskeleton; Phosphoprotein; Protein transport; S-nitrosylation; Transport</t>
  </si>
  <si>
    <t>Phosphoprotein; S-nitrosylation</t>
  </si>
  <si>
    <t>cilium assembly {GO:0060271}; epithelial cell morphogenesis {GO:0003382}; protein transport from ciliary membrane to plasma membrane {GO:1903445}; regulation of neuron death {GO:1901214}</t>
  </si>
  <si>
    <t>centriole {GO:0005814}; centrosome {GO:0005813}; ciliary basal body {GO:0036064}; cilium {GO:0005929}; cytoplasm {GO:0005737}; cytosol {GO:0005829}; nucleoplasm {GO:0005654}; plasma membrane {GO:0005886}</t>
  </si>
  <si>
    <t>protein dimerization activity {GO:0046983}</t>
  </si>
  <si>
    <t>sp|Q5XJY5|COPD_MOUSE</t>
  </si>
  <si>
    <t>Coatomer subunit delta</t>
  </si>
  <si>
    <t>Archain; Delta-coat protein (Delta-COP)</t>
  </si>
  <si>
    <t>COPD_MOUSE</t>
  </si>
  <si>
    <t>Q5XJY5</t>
  </si>
  <si>
    <t>Q91W48</t>
  </si>
  <si>
    <t>Copd</t>
  </si>
  <si>
    <t>MGI:2387591</t>
  </si>
  <si>
    <t>3D-structure; Acetylation; Cytoplasm; Cytoplasmic vesicle; ER-Golgi transport; Golgi apparatus; Membrane; Phosphoprotein; Protein transport; Transport</t>
  </si>
  <si>
    <t>adult locomotory behavior {GO:0008344}; cerebellar Purkinje cell layer maturation {GO:0021691}; endoplasmic reticulum to Golgi vesicle-mediated transport {GO:0006888}; establishment of localization in cell {GO:0051649}; Golgi localization {GO:0051645}; Golgi vesicle transport {GO:0048193}; pigmentation {GO:0043473}; protein transport {GO:0015031}; retrograde vesicle-mediated transport, Golgi to endoplasmic reticulum {GO:0006890}</t>
  </si>
  <si>
    <t>COPI vesicle coat {GO:0030126}; COPI-coated vesicle {GO:0030137}; endoplasmic reticulum {GO:0005783}; Golgi apparatus {GO:0005794}; Golgi membrane {GO:0000139}</t>
  </si>
  <si>
    <t>sp|P48774|GSTM5_MOUSE</t>
  </si>
  <si>
    <t>Glutathione S-transferase Mu 5</t>
  </si>
  <si>
    <t>Fibrous sheath component 2 (Fsc2); GST class-mu 5</t>
  </si>
  <si>
    <t>GSTM5_MOUSE</t>
  </si>
  <si>
    <t>P48774</t>
  </si>
  <si>
    <t>Q545W5</t>
  </si>
  <si>
    <t>Fsc2; Gstm3</t>
  </si>
  <si>
    <t>MGI:1309466</t>
  </si>
  <si>
    <t>Cytoplasm; Phosphoprotein; Transferase</t>
  </si>
  <si>
    <t>cellular detoxification of nitrogen compound {GO:0070458}; glutathione metabolic process {GO:0006749}; nitrobenzene metabolic process {GO:0018916}; response to estrogen {GO:0043627}; xenobiotic catabolic process {GO:0042178}</t>
  </si>
  <si>
    <t>cytoplasm {GO:0005737}; cytosol {GO:0005829}; intercellular bridge {GO:0045171}; sperm fibrous sheath {GO:0035686}</t>
  </si>
  <si>
    <t>enzyme binding {GO:0019899}; glutathione binding {GO:0043295}; glutathione transferase activity {GO:0004364}; identical protein binding {GO:0042802}; protein homodimerization activity {GO:0042803}</t>
  </si>
  <si>
    <t>sp|Q91W90|TXND5_MOUSE</t>
  </si>
  <si>
    <t>Thioredoxin domain-containing protein 5</t>
  </si>
  <si>
    <t>Endoplasmic reticulum resident protein 46 (ER protein 46; ERp46); Plasma cell-specific thioredoxin-related protein (PC-TRP); Thioredoxin-like protein p46</t>
  </si>
  <si>
    <t>TXND5_MOUSE</t>
  </si>
  <si>
    <t>Q91W90</t>
  </si>
  <si>
    <t>Q8R1I6</t>
  </si>
  <si>
    <t>Tlp46</t>
  </si>
  <si>
    <t>MGI:2145316</t>
  </si>
  <si>
    <t>Disulfide bond; Endoplasmic reticulum; Isomerase; Oxidoreductase; Redox-active center; Repeat; Signal</t>
  </si>
  <si>
    <t>Isomerase; Oxidoreductase</t>
  </si>
  <si>
    <t>protein folding {GO:0006457}</t>
  </si>
  <si>
    <t>Lysosome Vesicle Biogenesis {R-MMU-432720}; Golgi Associated Vesicle Biogenesis {R-MMU-432722}; Neutrophil degranulation {R-MMU-6798695}</t>
  </si>
  <si>
    <t>sp|Q7TPV4|MBB1A_MOUSE</t>
  </si>
  <si>
    <t>Myb-binding protein 1A</t>
  </si>
  <si>
    <t>Myb-binding protein of 160 kDa</t>
  </si>
  <si>
    <t>MBB1A_MOUSE</t>
  </si>
  <si>
    <t>Q7TPV4</t>
  </si>
  <si>
    <t>O35851; Q80Y66; Q8R4X2; Q99KP0</t>
  </si>
  <si>
    <t>P160</t>
  </si>
  <si>
    <t>MGI:106181</t>
  </si>
  <si>
    <t>Acetylation; Activator; Biological rhythms; Citrullination; Cytoplasm; Isopeptide bond; Nucleus; Phosphoprotein; Repressor; Ribosome biogenesis; Transcription; Transcription regulation; Ubl conjugation</t>
  </si>
  <si>
    <t>Biological rhythms; Ribosome biogenesis; Transcription; Transcription regulation</t>
  </si>
  <si>
    <t>Activator; Repressor</t>
  </si>
  <si>
    <t>cellular response to glucose starvation {GO:0042149}; chromatin remodeling {GO:0006338}; circadian regulation of gene expression {GO:0032922}; intrinsic apoptotic signaling pathway by p53 class mediator {GO:0072332}; negative regulation of DNA-templated transcription {GO:0045892}; positive regulation of anoikis {GO:2000210}; positive regulation of histone acetylation {GO:0035066}; positive regulation of transcription by RNA polymerase I {GO:0045943}; positive regulation of transcription by RNA polymerase II {GO:0045944}; positive regulation of transcription by RNA polymerase III {GO:0045945}; regulation of G1 to G0 transition {GO:1903450}; respiratory electron transport chain {GO:0022904}; ribosome biogenesis {GO:0042254}</t>
  </si>
  <si>
    <t>B-WICH complex {GO:0110016}; cytoplasm {GO:0005737}; intracellular membrane-bounded organelle {GO:0043231}; NLS-dependent protein nuclear import complex {GO:0042564}; nucleolus {GO:0005730}; nucleus {GO:0005634}</t>
  </si>
  <si>
    <t>E-box binding {GO:0070888}; sequence-specific DNA binding {GO:0043565}; transcription corepressor activity {GO:0003714}; zinc ion binding {GO:0008270}</t>
  </si>
  <si>
    <t>B-WICH complex positively regulates rRNA expression {R-MMU-5250924}</t>
  </si>
  <si>
    <t>sp|Q60692|PSB6_MOUSE</t>
  </si>
  <si>
    <t>Proteasome subunit beta type-6</t>
  </si>
  <si>
    <t>Low molecular mass protein 19; Macropain delta chain; Multicatalytic endopeptidase complex delta chain; Proteasome delta chain; Proteasome subunit Y</t>
  </si>
  <si>
    <t>PSB6_MOUSE</t>
  </si>
  <si>
    <t>Q60692</t>
  </si>
  <si>
    <t>Q3V240; Q60693; Q8BJX9; Q91VH5</t>
  </si>
  <si>
    <t>Lmp19</t>
  </si>
  <si>
    <t>MGI:104880</t>
  </si>
  <si>
    <t>3D-structure; Acetylation; Cytoplasm; Hydrolase; Nucleus; Phosphoprotein; Protease; Proteasome; Threonine protease; Zymogen</t>
  </si>
  <si>
    <t>cytoplasm {GO:0005737}; cytosol {GO:0005829}; nucleoplasm {GO:0005654}; nucleus {GO:0005634}; proteasome complex {GO:0000502}; proteasome core complex {GO:0005839}; proteasome core complex, beta-subunit complex {GO:0019774}</t>
  </si>
  <si>
    <t>sp|P48036|ANXA5_MOUSE</t>
  </si>
  <si>
    <t>Annexin A5</t>
  </si>
  <si>
    <t>Anchorin CII; Annexin V; Annexin-5; Calphobindin I (CPB-I); Endonexin II; Lipocortin V; Placental anticoagulant protein 4 (PP4); Placental anticoagulant protein I (PAP-I); Thromboplastin inhibitor; Vascular anticoagulant-alpha (VAC-alpha)</t>
  </si>
  <si>
    <t>ANXA5_MOUSE</t>
  </si>
  <si>
    <t>P48036</t>
  </si>
  <si>
    <t>Q3U5Q1; Q3U5X4; Q3U8K1; Q3UGV0; Q99LA1</t>
  </si>
  <si>
    <t>Anx5</t>
  </si>
  <si>
    <t>MGI:106008</t>
  </si>
  <si>
    <t>Acetylation; Annexin; Blood coagulation; Calcium; Calcium/phospholipid-binding; Hemostasis; Isopeptide bond; Phosphoprotein; Repeat; S-nitrosylation; Ubl conjugation</t>
  </si>
  <si>
    <t>Blood coagulation; Hemostasis</t>
  </si>
  <si>
    <t>Acetylation; Isopeptide bond; Phosphoprotein; S-nitrosylation; Ubl conjugation</t>
  </si>
  <si>
    <t>blood coagulation {GO:0007596}; cellular response to gonadotropin-releasing hormone {GO:0097211}; negative regulation of blood coagulation {GO:0030195}; negative regulation of prolactin secretion {GO:1902721}; positive regulation of apoptotic process {GO:0043065}; regulation of flagellated sperm motility {GO:1901317}; response to calcium ion {GO:0051592}; response to organic substance {GO:0010033}</t>
  </si>
  <si>
    <t>axon terminus {GO:0043679}; cell projection {GO:0042995}; collagen-containing extracellular matrix {GO:0062023}; cytoplasm {GO:0005737}; cytosol {GO:0005829}; dendrite {GO:0030425}; endoplasmic reticulum {GO:0005783}; endothelial microparticle {GO:0072563}; external side of plasma membrane {GO:0009897}; extracellular space {GO:0005615}; intercalated disc {GO:0014704}; neuronal cell body {GO:0043025}; nucleus {GO:0005634}; perikaryon {GO:0043204}; plasma membrane {GO:0005886}; sarcolemma {GO:0042383}; synaptic vesicle {GO:0008021}; Z disc {GO:0030018}</t>
  </si>
  <si>
    <t>calcium ion binding {GO:0005509}; calcium-dependent phospholipid binding {GO:0005544}; identical protein binding {GO:0042802}; P-type calcium transporter activity {GO:0005388}; peptide hormone binding {GO:0017046}; receptor tyrosine kinase binding {GO:0030971}</t>
  </si>
  <si>
    <t>sp|O88447|KLC1_MOUSE</t>
  </si>
  <si>
    <t>Kinesin light chain 1 (KLC 1)</t>
  </si>
  <si>
    <t>KLC1_MOUSE</t>
  </si>
  <si>
    <t>O88447</t>
  </si>
  <si>
    <t>Kns2</t>
  </si>
  <si>
    <t>MGI:107978</t>
  </si>
  <si>
    <t>3D-structure; Cell projection; Coiled coil; Cytoplasm; Cytoplasmic vesicle; Cytoskeleton; Microtubule; Motor protein; Phosphoprotein; Repeat; TPR repeat</t>
  </si>
  <si>
    <t>Cell projection; Cytoplasm; Cytoplasmic vesicle; Cytoskeleton; Microtubule</t>
  </si>
  <si>
    <t>axo-dendritic transport {GO:0008088}; intracellular protein transport {GO:0006886}; microtubule-based movement {GO:0007018}; protein localization to synapse {GO:0035418}; stress granule disassembly {GO:0035617}</t>
  </si>
  <si>
    <t>axon {GO:0030424}; ciliary rootlet {GO:0035253}; cytoplasm {GO:0005737}; cytoplasmic vesicle {GO:0031410}; cytosol {GO:0005829}; growth cone {GO:0030426}; kinesin complex {GO:0005871}; membrane {GO:0016020}; membrane-bounded organelle {GO:0043227}; microtubule {GO:0005874}; neuron projection {GO:0043005}; neuronal cell body {GO:0043025}; vesicle {GO:0031982}</t>
  </si>
  <si>
    <t>kinesin binding {GO:0019894}; tubulin binding {GO:0015631}</t>
  </si>
  <si>
    <t>sp|P97379|G3BP2_MOUSE</t>
  </si>
  <si>
    <t>Ras GTPase-activating protein-binding protein 2 (G3BP-2)</t>
  </si>
  <si>
    <t>GAP SH3 domain-binding protein 2</t>
  </si>
  <si>
    <t>G3BP2_MOUSE</t>
  </si>
  <si>
    <t>P97379</t>
  </si>
  <si>
    <t>Q3UL55; Q9R1B8</t>
  </si>
  <si>
    <t>MGI:2442040</t>
  </si>
  <si>
    <t>Alternative splicing; Cytoplasm; Immunity; Innate immunity; Isopeptide bond; Methylation; mRNA transport; Phosphoprotein; RNA-binding; Transport; Ubl conjugation</t>
  </si>
  <si>
    <t>Immunity; Innate immunity; Transport; mRNA transport</t>
  </si>
  <si>
    <t>innate immune response {GO:0045087}; mRNA transport {GO:0051028}; positive regulation of stress granule assembly {GO:0062029}; protein homooligomerization {GO:0051260}; small GTPase mediated signal transduction {GO:0007264}; stress granule assembly {GO:0034063}</t>
  </si>
  <si>
    <t>cytoplasmic stress granule {GO:0010494}; cytosol {GO:0005829}; ribonucleoprotein complex {GO:1990904}</t>
  </si>
  <si>
    <t>sp|P60122|RUVB1_MOUSE</t>
  </si>
  <si>
    <t>RuvB-like 1</t>
  </si>
  <si>
    <t>49 kDa TATA box-binding protein-interacting protein (49 kDa TBP-interacting protein); DNA helicase p50; Pontin 52; TIP49a</t>
  </si>
  <si>
    <t>RUVB1_MOUSE</t>
  </si>
  <si>
    <t>P60122</t>
  </si>
  <si>
    <t>O35753</t>
  </si>
  <si>
    <t>Tip49; Tip49a</t>
  </si>
  <si>
    <t>MGI:1928760</t>
  </si>
  <si>
    <t>Acetylation; Activator; ATP-binding; Cell cycle; Cell division; Chromatin regulator; Cytoplasm; Cytoskeleton; DNA damage; DNA recombination; DNA repair; Growth regulation; Helicase; Hydrolase; Isopeptide bond; Membrane; Mitosis; Nucleotide-binding; Nucleus; Transcription; Transcription regulation; Ubl conjugation</t>
  </si>
  <si>
    <t>Cell cycle; Cell division; DNA damage; DNA recombination; DNA repair; Growth regulation; Mitosis; Transcription; Transcription regulation</t>
  </si>
  <si>
    <t>Cytoplasm; Cytoskeleton; Membrane; Nucleus</t>
  </si>
  <si>
    <t>box C/D snoRNP assembly {GO:0000492}; cell cycle {GO:0007049}; cell division {GO:0051301}; chromatin remodeling {GO:0006338}; DNA recombination {GO:0006310}; DNA repair {GO:0006281}; histone acetylation {GO:0016573}; histone exchange {GO:0043486}; histone H2A acetylation {GO:0043968}; histone H4 acetylation {GO:0043967}; positive regulation of canonical Wnt signaling pathway {GO:0090263}; positive regulation of DNA repair {GO:0045739}; positive regulation of DNA-templated transcription {GO:0045893}; positive regulation of double-strand break repair via homologous recombination {GO:1905168}; positive regulation of telomere maintenance in response to DNA damage {GO:1904507}; regulation of apoptotic process {GO:0042981}; regulation of cell cycle {GO:0051726}; regulation of chromosome organization {GO:0033044}; regulation of DNA repair {GO:0006282}; regulation of DNA replication {GO:0006275}; regulation of DNA strand elongation {GO:0060382}; regulation of DNA-templated transcription {GO:0006355}; regulation of double-strand break repair {GO:2000779}; regulation of embryonic development {GO:0045995}; regulation of transcription by RNA polymerase II {GO:0006357}; telomere maintenance {GO:0000723}</t>
  </si>
  <si>
    <t>chaperone complex {GO:0101031}; cytosol {GO:0005829}; dynein axonemal particle {GO:0120293}; Ino80 complex {GO:0031011}; membrane {GO:0016020}; microtubule organizing center {GO:0005815}; MLL1 complex {GO:0071339}; NuA4 histone acetyltransferase complex {GO:0035267}; nuclear matrix {GO:0016363}; nucleoplasm {GO:0005654}; nucleosome {GO:0000786}; nucleus {GO:0005634}; protein-containing complex {GO:0032991}; R2TP complex {GO:0097255}; ribonucleoprotein complex {GO:1990904}; RPAP3/R2TP/prefoldin-like complex {GO:1990062}; Swr1 complex {GO:0000812}</t>
  </si>
  <si>
    <t>3'-5' DNA helicase activity {GO:0043138}; ADP binding {GO:0043531}; ATP binding {GO:0005524}; ATP hydrolysis activity {GO:0016887}; ATPase binding {GO:0051117}; DNA helicase activity {GO:0003678}; TBP-class protein binding {GO:0017025}; TFIID-class transcription factor complex binding {GO:0001094}; transcription coactivator activity {GO:0003713}</t>
  </si>
  <si>
    <t>UCH proteinases {R-MMU-5689603}; Ub-specific processing proteases {R-MMU-5689880}; DNA Damage Recognition in GG-NER {R-MMU-5696394}; Deposition of new CENPA-containing nucleosomes at the centromere {R-MMU-606279}</t>
  </si>
  <si>
    <t>tr|Q8VHM5|Q8VHM5_MOUSE</t>
  </si>
  <si>
    <t>sp|P67778|PHB1_MOUSE</t>
  </si>
  <si>
    <t>Prohibitin 1</t>
  </si>
  <si>
    <t>B-cell receptor-associated protein 32 (BAP 32)</t>
  </si>
  <si>
    <t>PHB1_MOUSE</t>
  </si>
  <si>
    <t>P67778</t>
  </si>
  <si>
    <t>P24142; Q3UB75; Q5SQG4</t>
  </si>
  <si>
    <t>Phb</t>
  </si>
  <si>
    <t>MGI:97572</t>
  </si>
  <si>
    <t>Acetylation; Cell membrane; Coiled coil; Cytoplasm; DNA synthesis; Membrane; Mitochondrion; Mitochondrion inner membrane; Nucleus; Phosphoprotein</t>
  </si>
  <si>
    <t>DNA synthesis</t>
  </si>
  <si>
    <t>Cell membrane; Cytoplasm; Membrane; Mitochondrion; Mitochondrion inner membrane; Nucleus</t>
  </si>
  <si>
    <t>activation of phospholipase C activity {GO:0007202}; activation of protein kinase C activity {GO:1990051}; animal organ regeneration {GO:0031100}; antiviral innate immune response {GO:0140374}; B cell activation {GO:0042113}; CD40 signaling pathway {GO:0023035}; cellular response to interleukin-6 {GO:0071354}; DNA biosynthetic process {GO:0071897}; histone deacetylation {GO:0016575}; mitochondrion organization {GO:0007005}; modulation by host of viral RNA genome replication {GO:0044830}; negative regulation of androgen receptor signaling pathway {GO:0060766}; negative regulation of apoptotic process {GO:0043066}; negative regulation of cell growth {GO:0030308}; negative regulation of cell population proliferation {GO:0008285}; negative regulation of DNA-templated transcription {GO:0045892}; negative regulation of ERK1 and ERK2 cascade {GO:0070373}; negative regulation of glucocorticoid receptor signaling pathway {GO:2000323}; negative regulation of protein catabolic process {GO:0042177}; negative regulation of transcription by competitive promoter binding {GO:0010944}; negative regulation of transcription by RNA polymerase II {GO:0000122}; ovarian follicle atresia {GO:0001552}; ovarian follicle development {GO:0001541}; positive regulation of cell death {GO:0010942}; positive regulation of complement activation {GO:0045917}; positive regulation of DNA-templated transcription {GO:0045893}; positive regulation of ERK1 and ERK2 cascade {GO:0070374}; positive regulation of G protein-coupled receptor signaling pathway {GO:0045745}; positive regulation of gene expression {GO:0010628}; positive regulation of immunoglobulin production {GO:0002639}; positive regulation of interleukin-17 production {GO:0032740}; positive regulation of NIK/NF-kappaB signaling {GO:1901224}; positive regulation of protein kinase B signaling {GO:0051897}; positive regulation of smooth muscle cell proliferation {GO:0048661}; progesterone receptor signaling pathway {GO:0050847}; protein stabilization {GO:0050821}; regulation of DNA-templated transcription {GO:0006355}; response to ethanol {GO:0045471}; response to immobilization stress {GO:0035902}; response to peptide hormone {GO:0043434}; response to xenobiotic stimulus {GO:0009410}; RIG-I signaling pathway {GO:0039529}; T-helper 17 type immune response {GO:0072538}; viral entry into host cell {GO:0046718}</t>
  </si>
  <si>
    <t>cell surface {GO:0009986}; cytoplasm {GO:0005737}; early endosome {GO:0005769}; extrinsic component of mitochondrial outer membrane {GO:0031315}; extrinsic component of presynaptic active zone membrane {GO:0098891}; GABA-ergic synapse {GO:0098982}; glutamatergic synapse {GO:0098978}; integral component of plasma membrane {GO:0005887}; mitochondrial crista {GO:0030061}; mitochondrial inner membrane {GO:0005743}; mitochondrial prohibitin complex {GO:0035632}; mitochondrion {GO:0005739}; myelin sheath {GO:0043209}; nucleoplasm {GO:0005654}; nucleus {GO:0005634}; plasma membrane {GO:0005886}; postsynaptic density {GO:0014069}</t>
  </si>
  <si>
    <t>complement component C3a binding {GO:0001850}; complement component C3b binding {GO:0001851}; enzyme binding {GO:0019899}; histone deacetylase binding {GO:0042826}; protein C-terminus binding {GO:0008022}; protein heterodimerization activity {GO:0046982}; proteinase activated receptor binding {GO:0031871}; transcription corepressor activity {GO:0003714}</t>
  </si>
  <si>
    <t>RAF activation {R-MMU-5673000}; Processing of SMDT1 {R-MMU-8949664}</t>
  </si>
  <si>
    <t>sp|O35887|CALU_MOUSE</t>
  </si>
  <si>
    <t>Calumenin</t>
  </si>
  <si>
    <t>Crocalbin</t>
  </si>
  <si>
    <t>CALU_MOUSE</t>
  </si>
  <si>
    <t>O35887</t>
  </si>
  <si>
    <t>MGI:1097158</t>
  </si>
  <si>
    <t>Acetylation; Calcium; Endoplasmic reticulum; Glycoprotein; Golgi apparatus; Membrane; Metal-binding; Phosphoprotein; Repeat; Sarcoplasmic reticulum; Secreted; Signal</t>
  </si>
  <si>
    <t>Endoplasmic reticulum; Golgi apparatus; Membrane; Sarcoplasmic reticulum; Secreted</t>
  </si>
  <si>
    <t>endoplasmic reticulum {GO:0005783}; endoplasmic reticulum lumen {GO:0005788}; endoplasmic reticulum membrane {GO:0005789}; extracellular region {GO:0005576}; Golgi apparatus {GO:0005794}; intracellular membrane-bounded organelle {GO:0043231}; melanosome {GO:0042470}; sarcoplasmic reticulum lumen {GO:0033018}</t>
  </si>
  <si>
    <t>calcium ion binding {GO:0005509}; enzyme binding {GO:0019899}; enzyme inhibitor activity {GO:0004857}</t>
  </si>
  <si>
    <t>sp|Q3UHX2|HAP28_MOUSE</t>
  </si>
  <si>
    <t>28 kDa heat- and acid-stable phosphoprotein</t>
  </si>
  <si>
    <t>PDGF-associated protein (PAP); PDGFA-associated protein 1 (PAP1)</t>
  </si>
  <si>
    <t>HAP28_MOUSE</t>
  </si>
  <si>
    <t>Q3UHX2</t>
  </si>
  <si>
    <t>A0JLS1; Q3KQJ5</t>
  </si>
  <si>
    <t>MGI:2448536</t>
  </si>
  <si>
    <t>platelet-derived growth factor receptor signaling pathway {GO:0048008}</t>
  </si>
  <si>
    <t>cytosol {GO:0005829}; extracellular space {GO:0005615}; plasma membrane {GO:0005886}</t>
  </si>
  <si>
    <t>platelet-derived growth factor binding {GO:0048407}</t>
  </si>
  <si>
    <t>sp|B2RQC6|PYR1_MOUSE</t>
  </si>
  <si>
    <t>Dihydroorotase</t>
  </si>
  <si>
    <t>PYR1_MOUSE</t>
  </si>
  <si>
    <t>B2RQC6</t>
  </si>
  <si>
    <t>B7ZN27</t>
  </si>
  <si>
    <t>MGI:1916969</t>
  </si>
  <si>
    <t>Acetylation; Allosteric enzyme; Alternative splicing; ATP-binding; Cytoplasm; Glutamine amidotransferase; Hydrolase; Ligase; Magnesium; Manganese; Metal-binding; Multifunctional enzyme; Nucleotide-binding; Nucleus; Phosphoprotein; Pyrimidine biosynthesis; Repeat; Transferase; Zinc</t>
  </si>
  <si>
    <t>Pyrimidine biosynthesis</t>
  </si>
  <si>
    <t>Glutamine amidotransferase; Repeat</t>
  </si>
  <si>
    <t>ATP-binding; Magnesium; Manganese; Metal-binding; Nucleotide-binding; Zinc</t>
  </si>
  <si>
    <t>Allosteric enzyme; Hydrolase; Ligase; Multifunctional enzyme; Transferase</t>
  </si>
  <si>
    <t>'de novo' pyrimidine nucleobase biosynthetic process {GO:0006207}; 'de novo' UMP biosynthetic process {GO:0044205}; citrulline biosynthetic process {GO:0019240}; glutamine metabolic process {GO:0006541}; nitrogen compound metabolic process {GO:0006807}; peptidyl-threonine phosphorylation {GO:0018107}; protein autophosphorylation {GO:0046777}; response to insulin {GO:0032868}; response to starvation {GO:0042594}; UDP biosynthetic process {GO:0006225}; UTP biosynthetic process {GO:0006228}; xenobiotic metabolic process {GO:0006805}</t>
  </si>
  <si>
    <t>cell projection {GO:0042995}; cytoplasm {GO:0005737}; cytosol {GO:0005829}; neuronal cell body {GO:0043025}; nuclear matrix {GO:0016363}; nucleus {GO:0005634}; protein-containing complex {GO:0032991}; terminal bouton {GO:0043195}</t>
  </si>
  <si>
    <t>amino acid binding {GO:0016597}; aspartate carbamoyltransferase activity {GO:0004070}; ATP binding {GO:0005524}; carbamoyl-phosphate synthase (glutamine-hydrolyzing) activity {GO:0004088}; dihydroorotase activity {GO:0004151}; enzyme binding {GO:0019899}; identical protein binding {GO:0042802}; protein kinase activity {GO:0004672}; UTP binding {GO:0002134}; zinc ion binding {GO:0008270}</t>
  </si>
  <si>
    <t>Pyrimidine metabolism; UMP biosynthesis via de novo pathway; (S)-dihydroorotate from bicarbonate: step 3/3.</t>
  </si>
  <si>
    <t>Pyrimidine biosynthesis {R-MMU-500753}</t>
  </si>
  <si>
    <t>sp|P48758|CBR1_MOUSE</t>
  </si>
  <si>
    <t>Carbonyl reductase [NADPH] 1</t>
  </si>
  <si>
    <t>15-hydroxyprostaglandin dehydrogenase [NADP(+)]; 20-beta-hydroxysteroid dehydrogenase; Alcohol dehydrogenase [NAD(P)+] CBR1; NADPH-dependent carbonyl reductase 1; Prostaglandin 9-ketoreductase (PG-9-KR); Prostaglandin-E(2) 9-reductase</t>
  </si>
  <si>
    <t>CBR1_MOUSE</t>
  </si>
  <si>
    <t>P48758</t>
  </si>
  <si>
    <t>Q91X28</t>
  </si>
  <si>
    <t>MGI:88284</t>
  </si>
  <si>
    <t>glucocorticoid metabolic process {GO:0008211}; positive regulation of reactive oxygen species metabolic process {GO:2000379}; vitamin K metabolic process {GO:0042373}; xenobiotic metabolic process {GO:0006805}</t>
  </si>
  <si>
    <t>cytoplasm {GO:0005737}; intracellular membrane-bounded organelle {GO:0043231}; microvillus {GO:0005902}; nucleus {GO:0005634}; plasma membrane {GO:0005886}; subapical complex {GO:0035003}</t>
  </si>
  <si>
    <t>15-hydroxyprostaglandin dehydrogenase (NADP+) activity {GO:0047021}; 15-hydroxyprostaglandin-D dehydrogenase (NADP+) activity {GO:0047020}; alcohol dehydrogenase (NADP+) activity {GO:0008106}; carbonyl reductase (NADPH) activity {GO:0004090}; oxidoreductase activity {GO:0016491}; oxidoreductase activity, acting on NAD(P)H, quinone or similar compound as acceptor {GO:0016655}; oxidoreductase activity, acting on the CH-OH group of donors, NAD or NADP as acceptor {GO:0016616}; prostaglandin-E2 9-reductase activity {GO:0050221}</t>
  </si>
  <si>
    <t>Synthesis of Prostaglandins (PG) and Thromboxanes (TX) {R-MMU-2162123}</t>
  </si>
  <si>
    <t>sp|E9Q7G0|NUMA1_MOUSE</t>
  </si>
  <si>
    <t>Nuclear mitotic apparatus protein 1</t>
  </si>
  <si>
    <t>Nuclear mitotic apparatus protein (NuMA protein)</t>
  </si>
  <si>
    <t>NUMA1_MOUSE</t>
  </si>
  <si>
    <t>E9Q7G0</t>
  </si>
  <si>
    <t>Q80Y35</t>
  </si>
  <si>
    <t>MGI:2443665</t>
  </si>
  <si>
    <t>Acetylation; ADP-ribosylation; Cell cycle; Cell division; Cell membrane; Chromosome; Chromosome partition; Coiled coil; Cytoplasm; Cytoskeleton; Glycoprotein; Isopeptide bond; Lipid-binding; Lipoprotein; Membrane; Microtubule; Mitosis; Nucleus; Phosphoprotein; Ubl conjugation</t>
  </si>
  <si>
    <t>Cell cycle; Cell division; Chromosome partition; Mitosis</t>
  </si>
  <si>
    <t>Cell membrane; Chromosome; Cytoplasm; Cytoskeleton; Membrane; Microtubule; Nucleus</t>
  </si>
  <si>
    <t>ADP-ribosylation; Acetylation; Glycoprotein; Isopeptide bond; Lipoprotein; Phosphoprotein; Ubl conjugation</t>
  </si>
  <si>
    <t>anastral spindle assembly {GO:0055048}; astral microtubule organization {GO:0030953}; cell division {GO:0051301}; chromosome segregation {GO:0007059}; establishment of mitotic spindle orientation {GO:0000132}; meiotic cell cycle {GO:0051321}; microtubule bundle formation {GO:0001578}; positive regulation of BMP signaling pathway {GO:0030513}; positive regulation of chromosome segregation {GO:0051984}; positive regulation of chromosome separation {GO:1905820}; positive regulation of hair follicle development {GO:0051798}; positive regulation of intracellular transport {GO:0032388}; positive regulation of keratinocyte differentiation {GO:0045618}; positive regulation of microtubule polymerization {GO:0031116}; positive regulation of mitotic spindle elongation {GO:1902846}; positive regulation of protein localization to cell cortex {GO:1904778}; positive regulation of protein localization to spindle pole body {GO:1902365}; positive regulation of spindle assembly {GO:1905832}; regulation of metaphase plate congression {GO:0090235}; regulation of mitotic spindle organization {GO:0060236}</t>
  </si>
  <si>
    <t>cell cortex {GO:0005938}; cell cortex region {GO:0099738}; centrosome {GO:0005813}; chromosome {GO:0005694}; cortical microtubule {GO:0055028}; cytoplasmic microtubule bundle {GO:1905720}; cytosol {GO:0005829}; dendrite {GO:0030425}; extrinsic component of plasma membrane {GO:0019897}; Golgi membrane {GO:0000139}; lateral cell cortex {GO:0097575}; lateral plasma membrane {GO:0016328}; microtubule bundle {GO:0097427}; microtubule minus-end {GO:0036449}; microtubule plus-end {GO:0035371}; mitotic spindle {GO:0072686}; mitotic spindle astral microtubule {GO:0061673}; mitotic spindle midzone {GO:1990023}; mitotic spindle pole {GO:0097431}; neuronal cell body {GO:0043025}; nuclear matrix {GO:0016363}; nucleoplasm {GO:0005654}; nucleus {GO:0005634}; protein-containing complex {GO:0032991}; spindle microtubule {GO:0005876}; spindle pole {GO:0000922}; spindle pole centrosome {GO:0031616}</t>
  </si>
  <si>
    <t>disordered domain specific binding {GO:0097718}; dynein complex binding {GO:0070840}; microtubule binding {GO:0008017}; microtubule minus-end binding {GO:0051011}; microtubule plus-end binding {GO:0051010}; phosphatidylinositol binding {GO:0035091}; protein C-terminus binding {GO:0008022}; protein domain specific binding {GO:0019904}; protein-containing complex binding {GO:0044877}; tubulin binding {GO:0015631}</t>
  </si>
  <si>
    <t>Recruitment of NuMA to mitotic centrosomes {R-MMU-380320}; Mitotic Prophase {R-MMU-68875}</t>
  </si>
  <si>
    <t>sp|Q9DB77|QCR2_MOUSE</t>
  </si>
  <si>
    <t>Cytochrome b-c1 complex subunit 2, mitochondrial</t>
  </si>
  <si>
    <t>Complex III subunit 2; Core protein II; Ubiquinol-cytochrome-c reductase complex core protein 2</t>
  </si>
  <si>
    <t>QCR2_MOUSE</t>
  </si>
  <si>
    <t>Q9DB77</t>
  </si>
  <si>
    <t>Q8BK11; Q9CVK7</t>
  </si>
  <si>
    <t>MGI:1914253</t>
  </si>
  <si>
    <t>3D-structure; Acetylation; Electron transport; Membrane; Mitochondrion; Mitochondrion inner membrane; Phosphoprotein; Respiratory chain; Transit peptide; Transport</t>
  </si>
  <si>
    <t>Electron transport; Respiratory chain; Transport</t>
  </si>
  <si>
    <t>cellular respiration {GO:0045333}; mitochondrial electron transport, ubiquinol to cytochrome c {GO:0006122}; proteolysis {GO:0006508}; response to xenobiotic stimulus {GO:0009410}</t>
  </si>
  <si>
    <t>mitochondrial inner membrane {GO:0005743}; mitochondrial respiratory chain complex III {GO:0005750}; mitochondrial respiratory chain complex IV {GO:0005751}; mitochondrion {GO:0005739}; myelin sheath {GO:0043209}; nucleoplasm {GO:0005654}</t>
  </si>
  <si>
    <t>metal ion binding {GO:0046872}; metalloendopeptidase activity {GO:0004222}; protein-containing complex binding {GO:0044877}</t>
  </si>
  <si>
    <t>sp|Q69ZR2|HECD1_MOUSE</t>
  </si>
  <si>
    <t>E3 ubiquitin-protein ligase HECTD1</t>
  </si>
  <si>
    <t>HECT domain-containing protein 1; HECT-type E3 ubiquitin transferase HECTD1; Protein open mind</t>
  </si>
  <si>
    <t>HECD1_MOUSE</t>
  </si>
  <si>
    <t>Q69ZR2</t>
  </si>
  <si>
    <t>Kiaa1131; Opm</t>
  </si>
  <si>
    <t>MGI:2384768</t>
  </si>
  <si>
    <t>ANK repeat; Phosphoprotein; Repeat; Transferase; Ubl conjugation pathway</t>
  </si>
  <si>
    <t>anatomical structure development {GO:0048856}; aorta development {GO:0035904}; embryonic placenta development {GO:0001892}; heart valve development {GO:0003170}; natural killer cell differentiation {GO:0001779}; negative regulation of protein localization to plasma membrane {GO:1903077}; neural tube closure {GO:0001843}; proteasome-mediated ubiquitin-dependent protein catabolic process {GO:0043161}; protein autoubiquitination {GO:0051865}; protein K63-linked ubiquitination {GO:0070534}; protein localization to plasma membrane {GO:0072659}; protein polyubiquitination {GO:0000209}; spongiotrophoblast differentiation {GO:0060708}; trophoblast giant cell differentiation {GO:0060707}; ventricular septum development {GO:0003281}</t>
  </si>
  <si>
    <t>nuclear speck {GO:0016607}</t>
  </si>
  <si>
    <t>metal ion binding {GO:0046872}; ubiquitin protein ligase activity {GO:0061630}</t>
  </si>
  <si>
    <t>sp|Q9CZ30|OLA1_MOUSE</t>
  </si>
  <si>
    <t>Obg-like ATPase 1</t>
  </si>
  <si>
    <t>GTP-binding protein 9</t>
  </si>
  <si>
    <t>OLA1_MOUSE</t>
  </si>
  <si>
    <t>Q9CZ30</t>
  </si>
  <si>
    <t>B1AYJ8; B1AYK0; Q9CWE2; Q9CX91; Q9CYC9; Q9CZ56</t>
  </si>
  <si>
    <t>Gtpbp9</t>
  </si>
  <si>
    <t>MGI:1914309</t>
  </si>
  <si>
    <t>Acetylation; Alternative splicing; ATP-binding; Cytoplasm; Hydrolase; Magnesium; Metal-binding; Nucleotide-binding; Nucleus</t>
  </si>
  <si>
    <t>ATP metabolic process {GO:0046034}</t>
  </si>
  <si>
    <t>centrosome {GO:0005813}; cytoplasm {GO:0005737}; cytosol {GO:0005829}; nucleolus {GO:0005730}</t>
  </si>
  <si>
    <t>ATP binding {GO:0005524}; ATP hydrolysis activity {GO:0016887}; GTP binding {GO:0005525}; metal ion binding {GO:0046872}; ribosomal large subunit binding {GO:0043023}; ribosome binding {GO:0043022}</t>
  </si>
  <si>
    <t>sp|Q7TPR4|ACTN1_MOUSE</t>
  </si>
  <si>
    <t>Alpha-actinin-1</t>
  </si>
  <si>
    <t>Alpha-actinin cytoskeletal isoform; F-actin cross-linking protein; Non-muscle alpha-actinin-1</t>
  </si>
  <si>
    <t>ACTN1_MOUSE</t>
  </si>
  <si>
    <t>Q7TPR4</t>
  </si>
  <si>
    <t>MGI:2137706</t>
  </si>
  <si>
    <t>3D-structure; Acetylation; Actin-binding; Calcium; Cell junction; Cell membrane; Cell projection; Cytoplasm; Cytoskeleton; Membrane; Metal-binding; Phosphoprotein; Repeat</t>
  </si>
  <si>
    <t>actin cytoskeleton organization {GO:0030036}; actin filament bundle assembly {GO:0051017}; actin filament network formation {GO:0051639}; actin filament organization {GO:0007015}; cortical cytoskeleton organization {GO:0030865}; focal adhesion assembly {GO:0048041}; muscle cell development {GO:0055001}; platelet formation {GO:0030220}; platelet morphogenesis {GO:0036344}</t>
  </si>
  <si>
    <t>actin filament {GO:0005884}; brush border {GO:0005903}; cell junction {GO:0030054}; cell projection {GO:0042995}; cell-cell junction {GO:0005911}; cortical actin cytoskeleton {GO:0030864}; cortical cytoskeleton {GO:0030863}; cytoplasm {GO:0005737}; cytoskeleton {GO:0005856}; dendritic spine {GO:0043197}; dense core granule membrane {GO:0032127}; fascia adherens {GO:0005916}; focal adhesion {GO:0005925}; glutamatergic synapse {GO:0098978}; nucleus {GO:0005634}; plasma membrane {GO:0005886}; ruffle {GO:0001726}; sarcomere {GO:0030017}; secretory granule {GO:0030141}; stress fiber {GO:0001725}; Z disc {GO:0030018}</t>
  </si>
  <si>
    <t>actin filament binding {GO:0051015}; calcium ion binding {GO:0005509}; cytoskeletal regulatory protein binding {GO:0005519}; double-stranded RNA binding {GO:0003725}; integrin binding {GO:0005178}; nuclear receptor coactivator activity {GO:0030374}; protein domain specific binding {GO:0019904}; protein homodimerization activity {GO:0042803}; structural constituent of postsynapse {GO:0099186}; transmembrane transporter binding {GO:0044325}; vinculin binding {GO:0017166}</t>
  </si>
  <si>
    <t>Platelet degranulation {R-MMU-114608}; Regulation of cytoskeletal remodeling and cell spreading by IPP complex components {R-MMU-446388}; RHOD GTPase cycle {R-MMU-9013405}; RHOBTB2 GTPase cycle {R-MMU-9013418}; RHOF GTPase cycle {R-MMU-9035034}</t>
  </si>
  <si>
    <t>sp|Q9CPN8|IF2B3_MOUSE</t>
  </si>
  <si>
    <t>Insulin-like growth factor 2 mRNA-binding protein 3 (IGF2 mRNA-binding protein 3; IMP-3; mIMP-3)</t>
  </si>
  <si>
    <t>IGF-II mRNA-binding protein 3; VICKZ family member 3</t>
  </si>
  <si>
    <t>IF2B3_MOUSE</t>
  </si>
  <si>
    <t>Q9CPN8</t>
  </si>
  <si>
    <t>Q3UHZ6; Q8C2J9</t>
  </si>
  <si>
    <t>Vickz3</t>
  </si>
  <si>
    <t>MGI:1890359</t>
  </si>
  <si>
    <t>Cytoplasm; Isopeptide bond; mRNA transport; Nucleus; Phosphoprotein; Repeat; RNA-binding; Translation regulation; Transport; Ubl conjugation</t>
  </si>
  <si>
    <t>CRD-mediated mRNA stabilization {GO:0070934}; mRNA transport {GO:0051028}; nervous system development {GO:0007399}; regulation of gene expression {GO:0010468}; regulation of RNA metabolic process {GO:0051252}; regulation of translation {GO:0006417}</t>
  </si>
  <si>
    <t>cytoplasm {GO:0005737}; cytoplasmic stress granule {GO:0010494}; cytosol {GO:0005829}; nucleus {GO:0005634}; P-body {GO:0000932}</t>
  </si>
  <si>
    <t>mRNA 3'-UTR binding {GO:0003730}; mRNA 5'-UTR binding {GO:0048027}; mRNA binding {GO:0003729}; N6-methyladenosine-containing RNA binding {GO:1990247}</t>
  </si>
  <si>
    <t>sp|Q9DBG6|RPN2_MOUSE</t>
  </si>
  <si>
    <t>Dolichyl-diphosphooligosaccharide--protein glycosyltransferase subunit 2</t>
  </si>
  <si>
    <t>Dolichyl-diphosphooligosaccharide--protein glycosyltransferase 63 kDa subunit; Ribophorin II (RPN-II); Ribophorin-2</t>
  </si>
  <si>
    <t>RPN2_MOUSE</t>
  </si>
  <si>
    <t>Q9DBG6</t>
  </si>
  <si>
    <t>A2ACG6; Q3TKY0; Q91XH0</t>
  </si>
  <si>
    <t>MGI:98085</t>
  </si>
  <si>
    <t>3D-structure; Endoplasmic reticulum; Glycoprotein; Isopeptide bond; Membrane; Signal; Transmembrane; Transmembrane helix; Ubl conjugation</t>
  </si>
  <si>
    <t>Glycoprotein; Isopeptide bond; Ubl conjugation</t>
  </si>
  <si>
    <t>aging {GO:0007568}; protein N-linked glycosylation {GO:0006487}; response to xenobiotic stimulus {GO:0009410}</t>
  </si>
  <si>
    <t>autophagosome membrane {GO:0000421}; endoplasmic reticulum {GO:0005783}; endoplasmic reticulum membrane {GO:0005789}; integral component of membrane {GO:0016021}; nuclear body {GO:0016604}; oligosaccharyltransferase complex {GO:0008250}; rough endoplasmic reticulum {GO:0005791}</t>
  </si>
  <si>
    <t>ribosome binding {GO:0043022}</t>
  </si>
  <si>
    <t>sp|P62814|VATB2_MOUSE</t>
  </si>
  <si>
    <t>V-type proton ATPase subunit B, brain isoform (V-ATPase subunit B 2)</t>
  </si>
  <si>
    <t>Endomembrane proton pump 58 kDa subunit; Vacuolar proton pump subunit B 2</t>
  </si>
  <si>
    <t>VATB2_MOUSE</t>
  </si>
  <si>
    <t>P62814</t>
  </si>
  <si>
    <t>O09045; P50517; Q3TG74; Q3TL62; Q3TVK6; Q3TWR0; Q3U791; Q3U7C8; Q3U9Z0; Q3UAW7</t>
  </si>
  <si>
    <t>Atp6b2; Vat2</t>
  </si>
  <si>
    <t>MGI:109618</t>
  </si>
  <si>
    <t>ATP-binding; Cell membrane; Cytoplasm; Cytoplasmic vesicle; Hydrogen ion transport; Ion transport; Membrane; Nucleotide-binding; Synapse; Transport</t>
  </si>
  <si>
    <t>Cell membrane; Cytoplasm; Cytoplasmic vesicle; Membrane; Synapse</t>
  </si>
  <si>
    <t>ATP metabolic process {GO:0046034}; vacuolar acidification {GO:0007035}</t>
  </si>
  <si>
    <t>anchoring junction {GO:0070161}; apical plasma membrane {GO:0016324}; clathrin-coated vesicle membrane {GO:0030665}; cytoplasm {GO:0005737}; cytosol {GO:0005829}; integral component of membrane {GO:0016021}; intracellular membrane-bounded organelle {GO:0043231}; melanosome {GO:0042470}; microvillus {GO:0005902}; myelin sheath {GO:0043209}; plasma membrane {GO:0005886}; ruffle {GO:0001726}; synaptic vesicle membrane {GO:0030672}; vacuolar proton-transporting V-type ATPase, V1 domain {GO:0000221}</t>
  </si>
  <si>
    <t>ATP binding {GO:0005524}; proton-transporting ATPase activity, rotational mechanism {GO:0046961}</t>
  </si>
  <si>
    <t>ROS and RNS production in phagocytes {R-MMU-1222556}; Insulin receptor recycling {R-MMU-77387}; Transferrin endocytosis and recycling {R-MMU-917977}; Amino acids regulate mTORC1 {R-MMU-9639288}; Ion channel transport {R-MMU-983712}</t>
  </si>
  <si>
    <t>sp|Q9EPL8|IPO7_MOUSE</t>
  </si>
  <si>
    <t>Importin-7 (Imp7)</t>
  </si>
  <si>
    <t>Ran-binding protein 7 (RanBP7)</t>
  </si>
  <si>
    <t>IPO7_MOUSE</t>
  </si>
  <si>
    <t>Q9EPL8</t>
  </si>
  <si>
    <t>Q7TN09; Q7TQ63; Q8BKD8; Q8BYI0</t>
  </si>
  <si>
    <t>Ranbp7</t>
  </si>
  <si>
    <t>MGI:2152414</t>
  </si>
  <si>
    <t>innate immune response {GO:0045087}; protein import into nucleus {GO:0006606}</t>
  </si>
  <si>
    <t>histone binding {GO:0042393}; SMAD binding {GO:0046332}; small GTPase binding {GO:0031267}</t>
  </si>
  <si>
    <t>sp|Q07113|MPRI_MOUSE</t>
  </si>
  <si>
    <t>Cation-independent mannose-6-phosphate receptor (CI Man-6-P receptor; CI-MPR; M6PR)</t>
  </si>
  <si>
    <t>300 kDa mannose 6-phosphate receptor (MPR 300); Insulin-like growth factor 2 receptor; Insulin-like growth factor II receptor (IGF-II receptor); M6P/IGF2 receptor (M6P/IGF2R); CD_antigen=CD222</t>
  </si>
  <si>
    <t>MPRI_MOUSE</t>
  </si>
  <si>
    <t>Q07113</t>
  </si>
  <si>
    <t>Q61822; Q6LED1</t>
  </si>
  <si>
    <t>MGI:96435</t>
  </si>
  <si>
    <t>Acetylation; Disulfide bond; Endosome; Glycoprotein; Golgi apparatus; Lipoprotein; Membrane; Methylation; Palmitate; Phosphoprotein; Receptor; Repeat; Signal; Transmembrane; Transmembrane helix; Transport</t>
  </si>
  <si>
    <t>Endosome; Golgi apparatus; Membrane</t>
  </si>
  <si>
    <t>Receptor</t>
  </si>
  <si>
    <t>Acetylation; Disulfide bond; Glycoprotein; Lipoprotein; Methylation; Palmitate; Phosphoprotein</t>
  </si>
  <si>
    <t>animal organ regeneration {GO:0031100}; G protein-coupled receptor signaling pathway {GO:0007186}; liver development {GO:0001889}; lysosomal transport {GO:0007041}; positive regulation by host of viral process {GO:0044794}; positive regulation of apoptotic process {GO:0043065}; post-embryonic development {GO:0009791}; regulation of apoptotic process {GO:0042981}; response to retinoic acid {GO:0032526}; response to tetrachloromethane {GO:1904772}; spermatogenesis {GO:0007283}</t>
  </si>
  <si>
    <t>cell surface {GO:0009986}; clathrin coat {GO:0030118}; early endosome {GO:0005769}; endocytic vesicle {GO:0030139}; endosome {GO:0005768}; endosome membrane {GO:0010008}; extracellular space {GO:0005615}; Golgi apparatus {GO:0005794}; Golgi membrane {GO:0000139}; integral component of membrane {GO:0016021}; late endosome {GO:0005770}; membrane {GO:0016020}; nuclear envelope lumen {GO:0005641}; nucleus {GO:0005634}; perinuclear region of cytoplasm {GO:0048471}; plasma membrane {GO:0005886}; trans-Golgi network {GO:0005802}; trans-Golgi network transport vesicle {GO:0030140}</t>
  </si>
  <si>
    <t>enzyme binding {GO:0019899}; G-protein alpha-subunit binding {GO:0001965}; identical protein binding {GO:0042802}; insulin-like growth factor binding {GO:0005520}; insulin-like growth factor II binding {GO:0031995}; mannose binding {GO:0005537}; phosphoprotein binding {GO:0051219}; retinoic acid binding {GO:0001972}; retromer complex binding {GO:1905394}; signaling receptor activity {GO:0038023}</t>
  </si>
  <si>
    <t>Golgi Associated Vesicle Biogenesis {R-MMU-432722}; Neutrophil degranulation {R-MMU-6798695}; Retrograde transport at the Trans-Golgi-Network {R-MMU-6811440}; Cargo recognition for clathrin-mediated endocytosis {R-MMU-8856825}; Clathrin-mediated endocytosis {R-MMU-8856828}</t>
  </si>
  <si>
    <t>sp|Q9R1T2|SAE1_MOUSE</t>
  </si>
  <si>
    <t>SUMO-activating enzyme subunit 1, N-terminally processed</t>
  </si>
  <si>
    <t>Ubiquitin-like 1-activating enzyme E1A</t>
  </si>
  <si>
    <t>SAE1_MOUSE</t>
  </si>
  <si>
    <t>Q9R1T2</t>
  </si>
  <si>
    <t>Q3TRG9; Q3TWJ0; Q9CSW9</t>
  </si>
  <si>
    <t>Aos1; Sua1; Ubl1a1; Uble1a</t>
  </si>
  <si>
    <t>MGI:1929264</t>
  </si>
  <si>
    <t>Acetylation; Alternative splicing; Ligase; Nucleus; Phosphoprotein; Ubl conjugation pathway</t>
  </si>
  <si>
    <t>positive regulation of protein sumoylation {GO:0033235}; protein modification by small protein conjugation {GO:0032446}; protein sumoylation {GO:0016925}; protein ubiquitination {GO:0016567}</t>
  </si>
  <si>
    <t>cytoplasm {GO:0005737}; nucleoplasm {GO:0005654}; SUMO activating enzyme complex {GO:0031510}</t>
  </si>
  <si>
    <t>ATP-dependent protein binding {GO:0043008}; protein C-terminus binding {GO:0008022}; protein heterodimerization activity {GO:0046982}; small protein activating enzyme binding {GO:0044388}; SUMO activating enzyme activity {GO:0019948}</t>
  </si>
  <si>
    <t>SUMO is conjugated to E1 (UBA2:SAE1) {R-MMU-3065676}; SUMO is transferred from E1 to E2 (UBE2I, UBC9) {R-MMU-3065678}</t>
  </si>
  <si>
    <t>sp|Q9WV92|E41L3_MOUSE</t>
  </si>
  <si>
    <t>Band 4.1-like protein 3, N-terminally processed</t>
  </si>
  <si>
    <t>4.1B; Differentially expressed in adenocarcinoma of the lung protein 1 (DAL-1; DAL1P; mDAL-1); Erythrocyte membrane protein band 4.1-like 3</t>
  </si>
  <si>
    <t>E41L3_MOUSE</t>
  </si>
  <si>
    <t>Q9WV92</t>
  </si>
  <si>
    <t>Q69ZT8; Q9R102</t>
  </si>
  <si>
    <t>MGI:103008</t>
  </si>
  <si>
    <t>Acetylation; Actin-binding; Alternative splicing; Apoptosis; Cell junction; Cell membrane; Cytoplasm; Cytoskeleton; Membrane; Phosphoprotein; Tumor suppressor</t>
  </si>
  <si>
    <t>actomyosin structure organization {GO:0031032}; apoptotic process {GO:0006915}; axon development {GO:0061564}; cortical actin cytoskeleton organization {GO:0030866}; cortical cytoskeleton organization {GO:0030865}; myelin maintenance {GO:0043217}; neuron projection morphogenesis {GO:0048812}; paranodal junction assembly {GO:0030913}; paranodal junction maintenance {GO:1990227}; protein localization to juxtaparanode region of axon {GO:0071205}; protein localization to paranode region of axon {GO:0002175}; protein localization to plasma membrane {GO:0072659}; regulation of cell growth {GO:0001558}; regulation of cell shape {GO:0008360}</t>
  </si>
  <si>
    <t>cell junction {GO:0030054}; cell-cell junction {GO:0005911}; cytoskeleton {GO:0005856}; cytosol {GO:0005829}; juxtaparanode region of axon {GO:0044224}; paranode region of axon {GO:0033270}; plasma membrane {GO:0005886}; postsynaptic density {GO:0014069}</t>
  </si>
  <si>
    <t>actin binding {GO:0003779}; cytoskeletal protein-membrane anchor activity {GO:0106006}; structural constituent of cytoskeleton {GO:0005200}</t>
  </si>
  <si>
    <t>sp|Q9DBG3|AP2B1_MOUSE</t>
  </si>
  <si>
    <t>AP-2 complex subunit beta</t>
  </si>
  <si>
    <t>AP105B; Adaptor protein complex AP-2 subunit beta; Adaptor-related protein complex 2 subunit beta; Beta-2-adaptin; Beta-adaptin; Clathrin assembly protein complex 2 beta large chain; Plasma membrane adaptor HA2/AP2 adaptin beta subunit</t>
  </si>
  <si>
    <t>AP2B1_MOUSE</t>
  </si>
  <si>
    <t>Q9DBG3</t>
  </si>
  <si>
    <t>Q80XJ4</t>
  </si>
  <si>
    <t>Clapb1</t>
  </si>
  <si>
    <t>MGI:1919020</t>
  </si>
  <si>
    <t>3D-structure; Acetylation; Alternative splicing; Cell membrane; Coated pit; Endocytosis; Membrane; Phosphoprotein; Protein transport; Transport</t>
  </si>
  <si>
    <t>Cell membrane; Coated pit; Membrane</t>
  </si>
  <si>
    <t>aorta development {GO:0035904}; cardiac septum development {GO:0003279}; clathrin coat assembly {GO:0048268}; clathrin-dependent endocytosis {GO:0072583}; coronary vasculature development {GO:0060976}; heart development {GO:0007507}; intracellular protein transport {GO:0006886}; kidney development {GO:0001822}; negative regulation of neuron death {GO:1901215}; neurotransmitter receptor internalization {GO:0099590}; positive regulation of endocytosis {GO:0045807}; positive regulation of protein localization to membrane {GO:1905477}; postsynaptic neurotransmitter receptor internalization {GO:0098884}; synaptic vesicle endocytosis {GO:0048488}; ventricular septum development {GO:0003281}; vesicle-mediated transport {GO:0016192}</t>
  </si>
  <si>
    <t>AP-2 adaptor complex {GO:0030122}; clathrin adaptor complex {GO:0030131}; clathrin coat {GO:0030118}; cytoplasmic side of plasma membrane {GO:0009898}; glutamatergic synapse {GO:0098978}; postsynapse {GO:0098794}; presynapse {GO:0098793}</t>
  </si>
  <si>
    <t>clathrin binding {GO:0030276}; protein-containing complex binding {GO:0044877}</t>
  </si>
  <si>
    <t>Retrograde neurotrophin signalling {R-MMU-177504}; MHC class II antigen presentation {R-MMU-2132295}; Trafficking of GluR2-containing AMPA receptors {R-MMU-416993}; Recycling pathway of L1 {R-MMU-437239}; WNT5A-dependent internalization of FZD4 {R-MMU-5099900}; WNT5A-dependent internalization of FZD2, FZD5 and ROR2 {R-MMU-5140745}; Cargo recognition for clathrin-mediated endocytosis {R-MMU-8856825}; Clathrin-mediated endocytosis {R-MMU-8856828}; VLDLR internalisation and degradation {R-MMU-8866427}; LDL clearance {R-MMU-8964038}</t>
  </si>
  <si>
    <t>sp|Q9CZ13|QCR1_MOUSE</t>
  </si>
  <si>
    <t>Cytochrome b-c1 complex subunit 1, mitochondrial</t>
  </si>
  <si>
    <t>Complex III subunit 1; Core protein I; Ubiquinol-cytochrome-c reductase complex core protein 1</t>
  </si>
  <si>
    <t>QCR1_MOUSE</t>
  </si>
  <si>
    <t>Q9CZ13</t>
  </si>
  <si>
    <t>Q3TV75; Q9CWL6</t>
  </si>
  <si>
    <t>MGI:107876</t>
  </si>
  <si>
    <t>cellular respiration {GO:0045333}; mitochondrial electron transport, ubiquinol to cytochrome c {GO:0006122}; mitochondrial respiratory chain complex III assembly {GO:0034551}; response to activity {GO:0014823}; response to alkaloid {GO:0043279}</t>
  </si>
  <si>
    <t>mitochondrial inner membrane {GO:0005743}; mitochondrial respiratory chain complex III {GO:0005750}; mitochondrion {GO:0005739}; myelin sheath {GO:0043209}</t>
  </si>
  <si>
    <t>metal ion binding {GO:0046872}; protein-containing complex binding {GO:0044877}; ubiquitin protein ligase binding {GO:0031625}</t>
  </si>
  <si>
    <t>sp|P53996|CNBP_MOUSE</t>
  </si>
  <si>
    <t>CCHC-type zinc finger nucleic acid binding protein</t>
  </si>
  <si>
    <t>Cellular nucleic acid-binding protein (CNBP); Zinc finger protein 9</t>
  </si>
  <si>
    <t>CNBP_MOUSE</t>
  </si>
  <si>
    <t>P53996</t>
  </si>
  <si>
    <t>Q80Y06; Q8BP23</t>
  </si>
  <si>
    <t>Cnbp1; Znf9</t>
  </si>
  <si>
    <t>MGI:88431</t>
  </si>
  <si>
    <t>Acetylation; Alternative splicing; Cytoplasm; DNA-binding; Endoplasmic reticulum; Metal-binding; Methylation; Nucleus; Phosphoprotein; Repeat; Repressor; Transcription; Transcription regulation; Zinc; Zinc-finger</t>
  </si>
  <si>
    <t>DNA-binding; Repressor</t>
  </si>
  <si>
    <t>G-quadruplex DNA formation {GO:0071919}; negative regulation of transcription by RNA polymerase II {GO:0000122}; positive regulation of cell population proliferation {GO:0008284}; positive regulation of cytoplasmic translation {GO:2000767}; positive regulation of DNA-templated transcription {GO:0045893}; positive regulation of transcription by RNA polymerase II {GO:0045944}</t>
  </si>
  <si>
    <t>cytoplasm {GO:0005737}; cytosol {GO:0005829}; endoplasmic reticulum {GO:0005783}; nucleus {GO:0005634}</t>
  </si>
  <si>
    <t>G-quadruplex DNA binding {GO:0051880}; mRNA binding {GO:0003729}; single-stranded DNA binding {GO:0003697}; single-stranded RNA binding {GO:0003727}; translation regulator activity {GO:0045182}; zinc ion binding {GO:0008270}</t>
  </si>
  <si>
    <t>sp|Q91VC3|IF4A3_MOUSE</t>
  </si>
  <si>
    <t>Eukaryotic initiation factor 4A-III, N-terminally processed</t>
  </si>
  <si>
    <t>ATP-dependent RNA helicase DDX48; ATP-dependent RNA helicase eIF4A-3; DEAD box protein 48; Eukaryotic translation initiation factor 4A isoform 3</t>
  </si>
  <si>
    <t>IF4A3_MOUSE</t>
  </si>
  <si>
    <t>Q91VC3</t>
  </si>
  <si>
    <t>B2RY38; Q3TEZ8; Q3UD29; Q8BVY3</t>
  </si>
  <si>
    <t>Ddx48</t>
  </si>
  <si>
    <t>MGI:1923731</t>
  </si>
  <si>
    <t>Acetylation; ATP-binding; Cytoplasm; Helicase; Hydrolase; Isopeptide bond; mRNA processing; mRNA splicing; mRNA transport; Nonsense-mediated mRNA decay; Nucleotide-binding; Nucleus; Phosphoprotein; RNA-binding; rRNA processing; Spliceosome; Translation regulation; Transport; Ubl conjugation</t>
  </si>
  <si>
    <t>Nonsense-mediated mRNA decay; Translation regulation; Transport; mRNA processing; mRNA splicing; mRNA transport; rRNA processing</t>
  </si>
  <si>
    <t>embryonic cranial skeleton morphogenesis {GO:0048701}; mRNA export from nucleus {GO:0006406}; mRNA splicing, via spliceosome {GO:0000398}; negative regulation of excitatory postsynaptic potential {GO:0090394}; negative regulation of gene expression {GO:0010629}; negative regulation of selenocysteine incorporation {GO:1904570}; negative regulation of selenocysteine insertion sequence binding {GO:1904574}; negative regulation of translation {GO:0017148}; nuclear-transcribed mRNA catabolic process, nonsense-mediated decay {GO:0000184}; positive regulation of mRNA splicing, via spliceosome {GO:0048026}; positive regulation of transcription by RNA polymerase II {GO:0045944}; positive regulation of translation {GO:0045727}; regulation of alternative mRNA splicing, via spliceosome {GO:0000381}; regulation of mRNA binding {GO:1902415}; regulation of nuclear-transcribed mRNA catabolic process, nonsense-mediated decay {GO:2000622}; regulation of translation at postsynapse, modulating synaptic transmission {GO:0099578}; rRNA processing {GO:0006364}</t>
  </si>
  <si>
    <t>catalytic step 2 spliceosome {GO:0071013}; cytoplasm {GO:0005737}; dendrite {GO:0030425}; exon-exon junction complex {GO:0035145}; glutamatergic synapse {GO:0098978}; neuronal cell body {GO:0043025}; nuclear speck {GO:0016607}; nucleolus {GO:0005730}; nucleoplasm {GO:0005654}; nucleus {GO:0005634}; postsynaptic cytosol {GO:0099524}; ribonucleoprotein complex {GO:1990904}; U2-type catalytic step 1 spliceosome {GO:0071006}</t>
  </si>
  <si>
    <t>ATP binding {GO:0005524}; ATP hydrolysis activity {GO:0016887}; mRNA binding {GO:0003729}; poly(A) binding {GO:0008143}; ribonucleoprotein complex binding {GO:0043021}; RNA binding {GO:0003723}; RNA helicase activity {GO:0003724}; RNA stem-loop binding {GO:0035613}; selenocysteine insertion sequence binding {GO:0035368}; translation regulator activity {GO:0045182}</t>
  </si>
  <si>
    <t>ISG15 antiviral mechanism {R-MMU-1169408}; Transport of Mature mRNA derived from an Intron-Containing Transcript {R-MMU-159236}; Deadenylation of mRNA {R-MMU-429947}; mRNA Splicing - Major Pathway {R-MMU-72163}; mRNA 3'-end processing {R-MMU-72187}; RNA Polymerase II Transcription Termination {R-MMU-73856}; Nonsense Mediated Decay (NMD) enhanced by the Exon Junction Complex (EJC) {R-MMU-975957}</t>
  </si>
  <si>
    <t>sp|P52479|UBP10_MOUSE</t>
  </si>
  <si>
    <t>Ubiquitin carboxyl-terminal hydrolase 10</t>
  </si>
  <si>
    <t>Deubiquitinating enzyme 10; Ubiquitin thioesterase 10; Ubiquitin-specific-processing protease 10</t>
  </si>
  <si>
    <t>UBP10_MOUSE</t>
  </si>
  <si>
    <t>P52479</t>
  </si>
  <si>
    <t>Q3T9L4; Q3TNN5; Q3TZB8; Q3U5E0; Q6ZQG9; Q91VY7</t>
  </si>
  <si>
    <t>Kiaa0190; Ode-1; Uchrp</t>
  </si>
  <si>
    <t>MGI:894652</t>
  </si>
  <si>
    <t>Acetylation; Alternative splicing; Autophagy; Cytoplasm; DNA damage; DNA repair; Endosome; Hydrolase; Nucleus; Phosphoprotein; Protease; Thiol protease; Ubl conjugation; Ubl conjugation pathway</t>
  </si>
  <si>
    <t>Autophagy; DNA damage; DNA repair; Ubl conjugation pathway</t>
  </si>
  <si>
    <t>Cytoplasm; Endosome; Nucleus</t>
  </si>
  <si>
    <t>autophagy {GO:0006914}; cellular response to DNA damage stimulus {GO:0006974}; cellular response to interleukin-1 {GO:0071347}; DNA damage response, signal transduction by p53 class mediator {GO:0030330}; DNA repair {GO:0006281}; negative regulation of I-kappaB kinase/NF-kappaB signaling {GO:0043124}; protein deubiquitination {GO:0016579}; regulation of autophagy {GO:0010506}; ubiquitin-dependent protein catabolic process {GO:0006511}</t>
  </si>
  <si>
    <t>cytoplasm {GO:0005737}; cytosol {GO:0005829}; early endosome {GO:0005769}; intermediate filament cytoskeleton {GO:0045111}; nucleoplasm {GO:0005654}; nucleus {GO:0005634}; protein-containing complex {GO:0032991}</t>
  </si>
  <si>
    <t>cysteine-type deubiquitinase activity {GO:0004843}; cysteine-type endopeptidase activity {GO:0004197}; p53 binding {GO:0002039}; transmembrane transporter binding {GO:0044325}</t>
  </si>
  <si>
    <t>Termination of translesion DNA synthesis {R-MMU-5656169}; Ub-specific processing proteases {R-MMU-5689880}</t>
  </si>
  <si>
    <t>sp|Q61543|GSLG1_MOUSE</t>
  </si>
  <si>
    <t>Golgi apparatus protein 1</t>
  </si>
  <si>
    <t>E-selectin ligand 1 (ESL-1; Selel); Golgi sialoglycoprotein MG-160</t>
  </si>
  <si>
    <t>GSLG1_MOUSE</t>
  </si>
  <si>
    <t>Q61543</t>
  </si>
  <si>
    <t>Q9QZ40</t>
  </si>
  <si>
    <t>Esl1; Mg160; Selel</t>
  </si>
  <si>
    <t>MGI:104967</t>
  </si>
  <si>
    <t>Cell membrane; Cytoplasm; Cytoskeleton; Glycoprotein; Golgi apparatus; Membrane; Phosphoprotein; Repeat; Sialic acid; Signal; Transmembrane; Transmembrane helix</t>
  </si>
  <si>
    <t>Cell membrane; Cytoplasm; Cytoskeleton; Golgi apparatus; Membrane</t>
  </si>
  <si>
    <t>Sialic acid</t>
  </si>
  <si>
    <t>bone morphogenesis {GO:0060349}; negative regulation of protein processing {GO:0010955}; negative regulation of transforming growth factor beta receptor signaling pathway {GO:0030512}; protein processing {GO:0016485}; regulation of chondrocyte differentiation {GO:0032330}; transforming growth factor beta receptor signaling pathway {GO:0007179}</t>
  </si>
  <si>
    <t>cytoskeleton {GO:0005856}; extracellular matrix {GO:0031012}; Golgi apparatus {GO:0005794}; Golgi medial cisterna {GO:0005797}; Golgi membrane {GO:0000139}; integral component of membrane {GO:0016021}; intracellular membrane-bounded organelle {GO:0043231}; plasma membrane {GO:0005886}</t>
  </si>
  <si>
    <t>fibroblast growth factor binding {GO:0017134}</t>
  </si>
  <si>
    <t>Cell surface interactions at the vascular wall {R-MMU-202733}</t>
  </si>
  <si>
    <t>sp|Q99JI4|PSMD6_MOUSE</t>
  </si>
  <si>
    <t>26S proteasome non-ATPase regulatory subunit 6</t>
  </si>
  <si>
    <t>26S proteasome regulatory subunit RPN7; 26S proteasome regulatory subunit S10; p42A</t>
  </si>
  <si>
    <t>PSMD6_MOUSE</t>
  </si>
  <si>
    <t>Q99JI4</t>
  </si>
  <si>
    <t>Q9CWZ1</t>
  </si>
  <si>
    <t>MGI:1913663</t>
  </si>
  <si>
    <t>proteasome accessory complex {GO:0022624}; proteasome complex {GO:0000502}; proteasome regulatory particle {GO:0005838}</t>
  </si>
  <si>
    <t>sp|P97855|G3BP1_MOUSE</t>
  </si>
  <si>
    <t>Ras GTPase-activating protein-binding protein 1 (G3BP-1)</t>
  </si>
  <si>
    <t>ATP-dependent DNA helicase VIII; GAP SH3 domain-binding protein 1; HDH-VIII</t>
  </si>
  <si>
    <t>G3BP1_MOUSE</t>
  </si>
  <si>
    <t>P97855</t>
  </si>
  <si>
    <t>G3bp</t>
  </si>
  <si>
    <t>MGI:1351465</t>
  </si>
  <si>
    <t>Acetylation; ATP-binding; Cytoplasm; DNA-binding; Endonuclease; Helicase; Hydrolase; Immunity; Innate immunity; Isopeptide bond; Methylation; Nuclease; Nucleotide-binding; Nucleus; Phosphoprotein; RNA-binding; Transport; Ubl conjugation</t>
  </si>
  <si>
    <t>Immunity; Innate immunity; Transport</t>
  </si>
  <si>
    <t>DNA-binding; Endonuclease; Helicase; Hydrolase; Nuclease; RNA-binding</t>
  </si>
  <si>
    <t>defense response to virus {GO:0051607}; innate immune response {GO:0045087}; negative regulation of canonical Wnt signaling pathway {GO:0090090}; positive regulation of stress granule assembly {GO:0062029}; positive regulation of type I interferon production {GO:0032481}; stress granule assembly {GO:0034063}</t>
  </si>
  <si>
    <t>cytoplasm {GO:0005737}; cytoplasmic stress granule {GO:0010494}; cytosol {GO:0005829}; nucleus {GO:0005634}; perikaryon {GO:0043204}; ribonucleoprotein complex {GO:1990904}</t>
  </si>
  <si>
    <t>ATP binding {GO:0005524}; ATP hydrolysis activity {GO:0016887}; DNA binding {GO:0003677}; DNA helicase activity {GO:0003678}; DNA/RNA helicase activity {GO:0033677}; endonuclease activity {GO:0004519}; mRNA binding {GO:0003729}; RNA helicase activity {GO:0003724}</t>
  </si>
  <si>
    <t>sp|Q9D892|ITPA_MOUSE</t>
  </si>
  <si>
    <t>Inosine triphosphate pyrophosphatase (ITPase; Inosine triphosphatase)</t>
  </si>
  <si>
    <t>Non-canonical purine NTP pyrophosphatase; Non-standard purine NTP pyrophosphatase; Nucleoside-triphosphate diphosphatase; Nucleoside-triphosphate pyrophosphatase (NTPase)</t>
  </si>
  <si>
    <t>ITPA_MOUSE</t>
  </si>
  <si>
    <t>Q9D892</t>
  </si>
  <si>
    <t>Q8R0Q8</t>
  </si>
  <si>
    <t>MGI:96622</t>
  </si>
  <si>
    <t>Acetylation; Cytoplasm; Hydrolase; Magnesium; Manganese; Metal-binding; Nucleotide metabolism; Nucleotide-binding; Phosphoprotein</t>
  </si>
  <si>
    <t>Nucleotide metabolism</t>
  </si>
  <si>
    <t>Magnesium; Manganese; Metal-binding; Nucleotide-binding</t>
  </si>
  <si>
    <t>chromosome organization {GO:0051276}; deoxyribonucleoside triphosphate catabolic process {GO:0009204}; ITP catabolic process {GO:0006193}; nucleoside triphosphate catabolic process {GO:0009143}</t>
  </si>
  <si>
    <t>cytoplasm {GO:0005737}; cytosol {GO:0005829}; intracellular membrane-bounded organelle {GO:0043231}; nucleoplasm {GO:0005654}</t>
  </si>
  <si>
    <t>dITP diphosphatase activity {GO:0035870}; identical protein binding {GO:0042802}; ITP diphosphatase activity {GO:0036220}; metal ion binding {GO:0046872}; nucleoside triphosphate diphosphatase activity {GO:0047429}; nucleotide binding {GO:0000166}; XTP diphosphatase activity {GO:0036222}</t>
  </si>
  <si>
    <t>Purine catabolism {R-MMU-74259}</t>
  </si>
  <si>
    <t>sp|Q9JIF7|COPB_MOUSE</t>
  </si>
  <si>
    <t>Coatomer subunit beta</t>
  </si>
  <si>
    <t>Beta-coat protein (Beta-COP)</t>
  </si>
  <si>
    <t>COPB_MOUSE</t>
  </si>
  <si>
    <t>Q9JIF7</t>
  </si>
  <si>
    <t>Q3T9Y4; Q3TT72; Q3U8G9; Q3UE02</t>
  </si>
  <si>
    <t>Copb</t>
  </si>
  <si>
    <t>MGI:1917599</t>
  </si>
  <si>
    <t>3D-structure; Acetylation; Cell membrane; Cytoplasm; Cytoplasmic vesicle; ER-Golgi transport; Golgi apparatus; Membrane; Protein transport; Repeat; Transport</t>
  </si>
  <si>
    <t>Cell membrane; Cytoplasm; Cytoplasmic vesicle; Golgi apparatus; Membrane</t>
  </si>
  <si>
    <t>endoplasmic reticulum to Golgi vesicle-mediated transport {GO:0006888}; intra-Golgi vesicle-mediated transport {GO:0006891}; intracellular protein transport {GO:0006886}</t>
  </si>
  <si>
    <t>COPI vesicle coat {GO:0030126}; COPI-coated vesicle {GO:0030137}; cytosol {GO:0005829}; endoplasmic reticulum-Golgi intermediate compartment {GO:0005793}; Golgi apparatus {GO:0005794}; Golgi membrane {GO:0000139}; Golgi-associated vesicle {GO:0005798}; intracellular membrane-bounded organelle {GO:0043231}; plasma membrane {GO:0005886}</t>
  </si>
  <si>
    <t>Neutrophil degranulation {R-MMU-6798695}; COPI-mediated anterograde transport {R-MMU-6807878}; COPI-dependent Golgi-to-ER retrograde traffic {R-MMU-6811434}</t>
  </si>
  <si>
    <t>sp|Q9WUA2|SYFB_MOUSE</t>
  </si>
  <si>
    <t>Phenylalanine--tRNA ligase beta subunit</t>
  </si>
  <si>
    <t>Phenylalanyl-tRNA synthetase beta subunit (PheRS)</t>
  </si>
  <si>
    <t>SYFB_MOUSE</t>
  </si>
  <si>
    <t>Q9WUA2</t>
  </si>
  <si>
    <t>Q9CWZ8</t>
  </si>
  <si>
    <t>Farsl; Farslb; Frsb</t>
  </si>
  <si>
    <t>MGI:1346035</t>
  </si>
  <si>
    <t>Aminoacyl-tRNA synthetase; ATP-binding; Cytoplasm; Ligase; Magnesium; Metal-binding; Nucleotide-binding; Protein biosynthesis</t>
  </si>
  <si>
    <t>phenylalanyl-tRNA aminoacylation {GO:0006432}; protein heterotetramerization {GO:0051290}</t>
  </si>
  <si>
    <t>phenylalanine-tRNA ligase complex {GO:0009328}</t>
  </si>
  <si>
    <t>ATP binding {GO:0005524}; magnesium ion binding {GO:0000287}; phenylalanine-tRNA ligase activity {GO:0004826}; RNA binding {GO:0003723}</t>
  </si>
  <si>
    <t>sp|Q6P4T2|U520_MOUSE</t>
  </si>
  <si>
    <t>U5 small nuclear ribonucleoprotein 200 kDa helicase</t>
  </si>
  <si>
    <t>BRR2 homolog; U5 snRNP-specific 200 kDa protein (U5-200KD)</t>
  </si>
  <si>
    <t>U520_MOUSE</t>
  </si>
  <si>
    <t>Q6P4T2</t>
  </si>
  <si>
    <t>Q69ZZ3</t>
  </si>
  <si>
    <t>Kiaa0788</t>
  </si>
  <si>
    <t>MGI:2444401</t>
  </si>
  <si>
    <t>Acetylation; ATP-binding; Coiled coil; Helicase; Hydrolase; Isopeptide bond; mRNA processing; mRNA splicing; Nucleotide-binding; Nucleus; Phosphoprotein; Repeat; Ribonucleoprotein; Spliceosome; Ubl conjugation</t>
  </si>
  <si>
    <t>Helicase; Hydrolase; Ribonucleoprotein</t>
  </si>
  <si>
    <t>mRNA splicing, via spliceosome {GO:0000398}; spliceosome conformational change to release U4 (or U4atac) and U1 (or U11) {GO:0000388}</t>
  </si>
  <si>
    <t>catalytic step 2 spliceosome {GO:0071013}; nucleoplasm {GO:0005654}; nucleus {GO:0005634}; spliceosomal complex {GO:0005681}; U2-type catalytic step 1 spliceosome {GO:0071006}; U2-type precatalytic spliceosome {GO:0071005}; U4/U6 x U5 tri-snRNP complex {GO:0046540}; U5 snRNP {GO:0005682}</t>
  </si>
  <si>
    <t>ATP binding {GO:0005524}; ATP hydrolysis activity {GO:0016887}; helicase activity {GO:0004386}; identical protein binding {GO:0042802}; nucleic acid binding {GO:0003676}; RNA helicase activity {GO:0003724}</t>
  </si>
  <si>
    <t>mRNA Splicing - Major Pathway {R-MMU-72163}; mRNA Splicing - Minor Pathway {R-MMU-72165}</t>
  </si>
  <si>
    <t>sp|P61759|PFD3_MOUSE</t>
  </si>
  <si>
    <t>Prefoldin subunit 3</t>
  </si>
  <si>
    <t>von Hippel-Lindau-binding protein 1 (VBP-1; VHL-binding protein 1)</t>
  </si>
  <si>
    <t>PFD3_MOUSE</t>
  </si>
  <si>
    <t>P61759</t>
  </si>
  <si>
    <t>O55228; Q15765; Q3U6M9; Q9CPZ0</t>
  </si>
  <si>
    <t>Pfdn3</t>
  </si>
  <si>
    <t>MGI:1333804</t>
  </si>
  <si>
    <t>Acetylation; Chaperone; Cytoplasm; Nucleus</t>
  </si>
  <si>
    <t>microtubule-based process {GO:0007017}; negative regulation of amyloid fibril formation {GO:1905907}; protein folding {GO:0006457}; tubulin complex assembly {GO:0007021}</t>
  </si>
  <si>
    <t>cytoplasm {GO:0005737}; cytosol {GO:0005829}; intracellular membrane-bounded organelle {GO:0043231}; nucleus {GO:0005634}; polysome {GO:0005844}; prefoldin complex {GO:0016272}</t>
  </si>
  <si>
    <t>amyloid-beta binding {GO:0001540}; tubulin binding {GO:0015631}; unfolded protein binding {GO:0051082}</t>
  </si>
  <si>
    <t>sp|Q6ZQ73|CAND2_MOUSE</t>
  </si>
  <si>
    <t>Cullin-associated NEDD8-dissociated protein 2</t>
  </si>
  <si>
    <t>Cullin-associated and neddylation-dissociated protein 2; TBP-interacting protein of 120 kDa B (TBP-interacting protein 120B); p120 CAND2</t>
  </si>
  <si>
    <t>CAND2_MOUSE</t>
  </si>
  <si>
    <t>Q6ZQ73</t>
  </si>
  <si>
    <t>Q6PHT7</t>
  </si>
  <si>
    <t>Kiaa0667; Tip120b</t>
  </si>
  <si>
    <t>MGI:1914338</t>
  </si>
  <si>
    <t>Acetylation; Nucleus; Repeat; Ubl conjugation; Ubl conjugation pathway</t>
  </si>
  <si>
    <t>protein ubiquitination {GO:0016567}; SCF complex assembly {GO:0010265}</t>
  </si>
  <si>
    <t>sp|Q3V3R1|C1TM_MOUSE</t>
  </si>
  <si>
    <t>Monofunctional C1-tetrahydrofolate synthase, mitochondrial</t>
  </si>
  <si>
    <t>Formyltetrahydrofolate synthetase</t>
  </si>
  <si>
    <t>C1TM_MOUSE</t>
  </si>
  <si>
    <t>Q3V3R1</t>
  </si>
  <si>
    <t>Q3TVQ0; Q3V402; Q80V98; Q8CAL0; Q8K2N5</t>
  </si>
  <si>
    <t>Fthfsdc1</t>
  </si>
  <si>
    <t>MGI:1924836</t>
  </si>
  <si>
    <t>3D-structure; Acetylation; ATP-binding; Ligase; Mitochondrion; Nucleotide-binding; One-carbon metabolism; Phosphoprotein; Transit peptide</t>
  </si>
  <si>
    <t>10-formyltetrahydrofolate biosynthetic process {GO:0009257}; embryonic neurocranium morphogenesis {GO:0048702}; embryonic viscerocranium morphogenesis {GO:0048703}; folic acid-containing compound metabolic process {GO:0006760}; formate metabolic process {GO:0015942}; neural tube closure {GO:0001843}; tetrahydrofolate interconversion {GO:0035999}</t>
  </si>
  <si>
    <t>ATP binding {GO:0005524}; formate-tetrahydrofolate ligase activity {GO:0004329}; methylenetetrahydrofolate dehydrogenase (NADP+) activity {GO:0004488}; protein homodimerization activity {GO:0042803}</t>
  </si>
  <si>
    <t>One-carbon metabolism; tetrahydrofolate interconversion.</t>
  </si>
  <si>
    <t>Metabolism of folate and pterines {R-MMU-196757}</t>
  </si>
  <si>
    <t>sp|Q9D1P4|CHRD1_MOUSE</t>
  </si>
  <si>
    <t>Cysteine and histidine-rich domain-containing protein 1</t>
  </si>
  <si>
    <t>CHORD domain-containing protein 1 (CHORD-containing protein 1; Chp-1); Protein morgana</t>
  </si>
  <si>
    <t>CHRD1_MOUSE</t>
  </si>
  <si>
    <t>Q9D1P4</t>
  </si>
  <si>
    <t>Q9CSI5</t>
  </si>
  <si>
    <t>Chp1; Morgana</t>
  </si>
  <si>
    <t>MGI:1914167</t>
  </si>
  <si>
    <t>Acetylation; Chaperone; Metal-binding; Phosphoprotein; Repeat; Stress response; Zinc</t>
  </si>
  <si>
    <t>centrosome duplication {GO:0051298}; chaperone-mediated protein folding {GO:0061077}; negative regulation of Rho-dependent protein serine/threonine kinase activity {GO:2000299}; regulation of cellular response to heat {GO:1900034}; regulation of centrosome duplication {GO:0010824}</t>
  </si>
  <si>
    <t>ADP binding {GO:0043531}; ATP binding {GO:0005524}; Hsp90 protein binding {GO:0051879}; zinc ion binding {GO:0008270}</t>
  </si>
  <si>
    <t>sp|P47757|CAPZB_MOUSE</t>
  </si>
  <si>
    <t>F-actin-capping protein subunit beta</t>
  </si>
  <si>
    <t>CapZ beta</t>
  </si>
  <si>
    <t>CAPZB_MOUSE</t>
  </si>
  <si>
    <t>P47757</t>
  </si>
  <si>
    <t>A2AMV7</t>
  </si>
  <si>
    <t>Cappb1</t>
  </si>
  <si>
    <t>MGI:104652</t>
  </si>
  <si>
    <t>3D-structure; Acetylation; Actin capping; Actin-binding; Alternative splicing; Cytoplasm; Cytoskeleton; Phosphoprotein</t>
  </si>
  <si>
    <t>actin polymerization or depolymerization {GO:0008154}; barbed-end actin filament capping {GO:0051016}; cell morphogenesis {GO:0000902}; cell projection organization {GO:0030030}; cytoskeleton organization {GO:0007010}; lamellipodium assembly {GO:0030032}; negative regulation of filopodium assembly {GO:0051490}; regulation of cell morphogenesis {GO:0022604}; regulation of lamellipodium assembly {GO:0010591}</t>
  </si>
  <si>
    <t>asymmetric synapse {GO:0032279}; brush border {GO:0005903}; cortical cytoskeleton {GO:0030863}; cytoskeletal calyx {GO:0033150}; cytosol {GO:0005829}; dendritic spine {GO:0043197}; F-actin capping protein complex {GO:0008290}; hippocampal mossy fiber to CA3 synapse {GO:0098686}; lamellipodium {GO:0030027}; membrane {GO:0016020}; neuronal cell body {GO:0043025}; postsynaptic density {GO:0014069}; Schaffer collateral - CA1 synapse {GO:0098685}; sperm connecting piece {GO:0097224}; WASH complex {GO:0071203}; Z disc {GO:0030018}</t>
  </si>
  <si>
    <t>actin binding {GO:0003779}</t>
  </si>
  <si>
    <t>MHC class II antigen presentation {R-MMU-2132295}; HSP90 chaperone cycle for steroid hormone receptors (SHR) in the presence of ligand {R-MMU-3371497}; COPI-mediated anterograde transport {R-MMU-6807878}; COPI-independent Golgi-to-ER retrograde traffic {R-MMU-6811436}; RHOD GTPase cycle {R-MMU-9013405}; RHOF GTPase cycle {R-MMU-9035034}; Factors involved in megakaryocyte development and platelet production {R-MMU-983231}</t>
  </si>
  <si>
    <t>sp|P53810|PIPNA_MOUSE</t>
  </si>
  <si>
    <t>Phosphatidylinositol transfer protein alpha isoform (PI-TP-alpha; PtdIns transfer protein alpha; PtdInsTP alpha)</t>
  </si>
  <si>
    <t>PIPNA_MOUSE</t>
  </si>
  <si>
    <t>P53810</t>
  </si>
  <si>
    <t>Pitpn</t>
  </si>
  <si>
    <t>MGI:99887</t>
  </si>
  <si>
    <t>3D-structure; Acetylation; Cytoplasm; Lipid transport; Lipid-binding; Nucleus; Transport</t>
  </si>
  <si>
    <t>axonogenesis {GO:0007409}; phospholipid transport {GO:0015914}</t>
  </si>
  <si>
    <t>cytoplasm {GO:0005737}; cytosol {GO:0005829}; integral component of membrane {GO:0016021}; myelin sheath {GO:0043209}; nucleus {GO:0005634}</t>
  </si>
  <si>
    <t>fatty-acyl-CoA binding {GO:0000062}; lipid binding {GO:0008289}; phosphatidylcholine binding {GO:0031210}; phosphatidylcholine transfer activity {GO:0120019}; phosphatidylcholine transporter activity {GO:0008525}; phosphatidylinositol binding {GO:0035091}; phosphatidylinositol transfer activity {GO:0008526}; phospholipid binding {GO:0005543}; stearic acid binding {GO:0070540}</t>
  </si>
  <si>
    <t>sp|P97807|FUMH_MOUSE</t>
  </si>
  <si>
    <t>Fumarate hydratase, mitochondrial (Fumarase)</t>
  </si>
  <si>
    <t>EF-3</t>
  </si>
  <si>
    <t>FUMH_MOUSE</t>
  </si>
  <si>
    <t>P97807</t>
  </si>
  <si>
    <t>Q3UIA9; Q99JL0; Q9DCX0</t>
  </si>
  <si>
    <t>MGI:95530</t>
  </si>
  <si>
    <t>Acetylation; Alternative initiation; Chromosome; Cytoplasm; DNA damage; DNA repair; Lyase; Mitochondrion; Nucleus; Phosphoprotein; Transit peptide; Tricarboxylic acid cycle</t>
  </si>
  <si>
    <t>DNA damage; DNA repair; Tricarboxylic acid cycle</t>
  </si>
  <si>
    <t>Chromosome; Cytoplasm; Mitochondrion; Nucleus</t>
  </si>
  <si>
    <t>cellular response to DNA damage stimulus {GO:0006974}; DNA repair {GO:0006281}; fumarate metabolic process {GO:0006106}; homeostasis of number of cells within a tissue {GO:0048873}; malate metabolic process {GO:0006108}; negative regulation of histone H3-K36 methylation {GO:0000415}; positive regulation of cold-induced thermogenesis {GO:0120162}; positive regulation of double-strand break repair via nonhomologous end joining {GO:2001034}; regulation of arginine metabolic process {GO:0000821}; tricarboxylic acid cycle {GO:0006099}; urea cycle {GO:0000050}</t>
  </si>
  <si>
    <t>cytoplasm {GO:0005737}; cytosol {GO:0005829}; mitochondrion {GO:0005739}; nucleus {GO:0005634}; site of double-strand break {GO:0035861}; tricarboxylic acid cycle enzyme complex {GO:0045239}</t>
  </si>
  <si>
    <t>fumarate hydratase activity {GO:0004333}; histone binding {GO:0042393}</t>
  </si>
  <si>
    <t>Carbohydrate metabolism; tricarboxylic acid cycle; (S)-malate from fumarate: step 1/1..</t>
  </si>
  <si>
    <t>sp|O35648|CETN3_MOUSE</t>
  </si>
  <si>
    <t>Centrin-3</t>
  </si>
  <si>
    <t>CETN3_MOUSE</t>
  </si>
  <si>
    <t>O35648</t>
  </si>
  <si>
    <t>Cen3</t>
  </si>
  <si>
    <t>MGI:1097706</t>
  </si>
  <si>
    <t>Calcium; Cell cycle; Cell division; Cytoplasm; Cytoskeleton; Metal-binding; Mitosis; mRNA transport; Nuclear pore complex; Nucleus; Phosphoprotein; Protein transport; Repeat; Translocation; Transport</t>
  </si>
  <si>
    <t>Cytoplasm; Cytoskeleton; Nuclear pore complex; Nucleus</t>
  </si>
  <si>
    <t>cell cycle {GO:0007049}; cell division {GO:0051301}; mRNA transport {GO:0051028}; protein transport {GO:0015031}</t>
  </si>
  <si>
    <t>centriole {GO:0005814}; centrosome {GO:0005813}; ciliary basal body {GO:0036064}; ciliary transition zone {GO:0035869}; cytoplasm {GO:0005737}; microtubule organizing center {GO:0005815}; nuclear pore nuclear basket {GO:0044615}; nucleolus {GO:0005730}; photoreceptor connecting cilium {GO:0032391}; transcription export complex 2 {GO:0070390}</t>
  </si>
  <si>
    <t>calcium ion binding {GO:0005509}; G-protein beta/gamma-subunit complex binding {GO:0031683}; microtubule binding {GO:0008017}</t>
  </si>
  <si>
    <t>sp|P99026|PSB4_MOUSE</t>
  </si>
  <si>
    <t>Proteasome subunit beta type-4</t>
  </si>
  <si>
    <t>Low molecular mass protein 3; Macropain beta chain; Multicatalytic endopeptidase complex beta chain; Proteasome beta chain; Proteasome chain 3</t>
  </si>
  <si>
    <t>PSB4_MOUSE</t>
  </si>
  <si>
    <t>P99026</t>
  </si>
  <si>
    <t>Q3THC0; Q3THI3; Q3U0S0; Q3UVQ4; Q62008; Q8BK27; Q91VV7</t>
  </si>
  <si>
    <t>Lmp3</t>
  </si>
  <si>
    <t>MGI:1098257</t>
  </si>
  <si>
    <t>negative regulation of inflammatory response to antigenic stimulus {GO:0002862}; proteasomal protein catabolic process {GO:0010498}</t>
  </si>
  <si>
    <t>ciliary basal body {GO:0036064}; cytoplasm {GO:0005737}; cytosol {GO:0005829}; mitochondrion {GO:0005739}; nucleoplasm {GO:0005654}; nucleus {GO:0005634}; proteasome complex {GO:0000502}; proteasome core complex {GO:0005839}; proteasome core complex, beta-subunit complex {GO:0019774}</t>
  </si>
  <si>
    <t>sp|Q8BWY3|ERF1_MOUSE</t>
  </si>
  <si>
    <t>Eukaryotic peptide chain release factor subunit 1 (Eukaryotic release factor 1; eRF1)</t>
  </si>
  <si>
    <t>ERF1_MOUSE</t>
  </si>
  <si>
    <t>Q8BWY3</t>
  </si>
  <si>
    <t>Q3TPZ6; Q91VH9</t>
  </si>
  <si>
    <t>MGI:2385071</t>
  </si>
  <si>
    <t>3D-structure; Acetylation; Cytoplasm; Host-virus interaction; Hydroxylation; Isopeptide bond; Methylation; Nonsense-mediated mRNA decay; Phosphoprotein; Protein biosynthesis; Ubl conjugation</t>
  </si>
  <si>
    <t>Host-virus interaction; Nonsense-mediated mRNA decay; Protein biosynthesis</t>
  </si>
  <si>
    <t>cytoplasmic translational termination {GO:0002184}; nuclear-transcribed mRNA catabolic process, nonsense-mediated decay {GO:0000184}; protein methylation {GO:0006479}; regulation of translational termination {GO:0006449}; translational termination {GO:0006415}</t>
  </si>
  <si>
    <t>cytoplasm {GO:0005737}; cytosol {GO:0005829}; translation release factor complex {GO:0018444}</t>
  </si>
  <si>
    <t>sequence-specific mRNA binding {GO:1990825}; translation release factor activity {GO:0003747}; translation release factor activity, codon specific {GO:0016149}; translation termination factor activity {GO:0008079}</t>
  </si>
  <si>
    <t>Eukaryotic Translation Termination {R-MMU-72764}; Nonsense Mediated Decay (NMD) independent of the Exon Junction Complex (EJC) {R-MMU-975956}; Nonsense Mediated Decay (NMD) enhanced by the Exon Junction Complex (EJC) {R-MMU-975957}</t>
  </si>
  <si>
    <t>sp|Q5SF07|IF2B2_MOUSE</t>
  </si>
  <si>
    <t>Insulin-like growth factor 2 mRNA-binding protein 2 (IGF2 mRNA-binding protein 2; IMP-2)</t>
  </si>
  <si>
    <t>IGF-II mRNA-binding protein 2; VICKZ family member 2</t>
  </si>
  <si>
    <t>IF2B2_MOUSE</t>
  </si>
  <si>
    <t>Q5SF07</t>
  </si>
  <si>
    <t>A6X8Z4; Q3TCU4; Q7TQF9</t>
  </si>
  <si>
    <t>Imp2; Vickz2</t>
  </si>
  <si>
    <t>MGI:1890358</t>
  </si>
  <si>
    <t>Alternative splicing; Cytoplasm; mRNA transport; Nucleus; Phosphoprotein; Repeat; RNA-binding; Translation regulation; Transport</t>
  </si>
  <si>
    <t>cytoplasm {GO:0005737}; cytoplasmic stress granule {GO:0010494}; cytoskeleton {GO:0005856}; cytosol {GO:0005829}; nucleus {GO:0005634}; P-body {GO:0000932}</t>
  </si>
  <si>
    <t>sp|P52825|CPT2_MOUSE</t>
  </si>
  <si>
    <t>Carnitine O-palmitoyltransferase 2, mitochondrial</t>
  </si>
  <si>
    <t>Carnitine palmitoyltransferase II (CPT II)</t>
  </si>
  <si>
    <t>CPT2_MOUSE</t>
  </si>
  <si>
    <t>P52825</t>
  </si>
  <si>
    <t>Q3TFS0</t>
  </si>
  <si>
    <t>Cpt-2</t>
  </si>
  <si>
    <t>MGI:109176</t>
  </si>
  <si>
    <t>Acetylation; Acyltransferase; Fatty acid metabolism; Lipid metabolism; Membrane; Mitochondrion; Mitochondrion inner membrane; Transferase; Transit peptide; Transport</t>
  </si>
  <si>
    <t>Fatty acid metabolism; Lipid metabolism; Transport</t>
  </si>
  <si>
    <t>Acyltransferase; Transferase</t>
  </si>
  <si>
    <t>carnitine metabolic process {GO:0009437}; fatty acid beta-oxidation {GO:0006635}; in utero embryonic development {GO:0001701}; long-chain fatty acid metabolic process {GO:0001676}; positive regulation of cold-induced thermogenesis {GO:0120162}</t>
  </si>
  <si>
    <t>mitochondrial inner membrane {GO:0005743}; mitochondrion {GO:0005739}; nucleolus {GO:0005730}; nucleoplasm {GO:0005654}</t>
  </si>
  <si>
    <t>acyltransferase activity {GO:0016746}; carnitine O-octanoyltransferase activity {GO:0008458}; carnitine O-palmitoyltransferase activity {GO:0004095}</t>
  </si>
  <si>
    <t>Carnitine metabolism {R-MMU-200425}</t>
  </si>
  <si>
    <t>sp|Q00PI9|HNRL2_MOUSE</t>
  </si>
  <si>
    <t>Heterogeneous nuclear ribonucleoprotein U-like protein 2</t>
  </si>
  <si>
    <t>MLF1-associated nuclear protein</t>
  </si>
  <si>
    <t>HNRL2_MOUSE</t>
  </si>
  <si>
    <t>Q00PI9</t>
  </si>
  <si>
    <t>F8VPM4</t>
  </si>
  <si>
    <t>Hnrpul2; Manp</t>
  </si>
  <si>
    <t>MGI:1915943</t>
  </si>
  <si>
    <t>Methylation; Nucleus; Phosphoprotein</t>
  </si>
  <si>
    <t>nucleoplasm {GO:0005654}; nucleus {GO:0005634}</t>
  </si>
  <si>
    <t>sp|P48193|EPB41_MOUSE</t>
  </si>
  <si>
    <t>Protein 4.1 (P4.1)</t>
  </si>
  <si>
    <t>4.1R; Band 4.1; Erythrocyte membrane protein band 4.1</t>
  </si>
  <si>
    <t>EPB41_MOUSE</t>
  </si>
  <si>
    <t>P48193</t>
  </si>
  <si>
    <t>A2A843; Q5DTQ8; Q68FF1; Q6NVF5</t>
  </si>
  <si>
    <t>MGI:95401</t>
  </si>
  <si>
    <t>Actin-binding; Alternative splicing; Calmodulin-binding; Cell cycle; Cell division; Cytoplasm; Cytoskeleton; Glycoprotein; Mitosis; Nucleus; Phosphoprotein; Transport</t>
  </si>
  <si>
    <t>actin cytoskeleton organization {GO:0030036}; actomyosin structure organization {GO:0031032}; cell cycle {GO:0007049}; cell division {GO:0051301}; cortical actin cytoskeleton organization {GO:0030866}; positive regulation of protein binding {GO:0032092}; positive regulation of protein localization to cell cortex {GO:1904778}; protein-containing complex assembly {GO:0065003}; regulation of calcium ion transport {GO:0051924}; regulation of cell shape {GO:0008360}; regulation of intestinal absorption {GO:1904478}</t>
  </si>
  <si>
    <t>actin cytoskeleton {GO:0015629}; basolateral plasma membrane {GO:0016323}; cell cortex {GO:0005938}; cell junction {GO:0030054}; cortical cytoskeleton {GO:0030863}; cytoplasm {GO:0005737}; cytoplasmic side of plasma membrane {GO:0009898}; cytoskeleton {GO:0005856}; cytosol {GO:0005829}; intercellular bridge {GO:0045171}; membrane {GO:0016020}; mitotic spindle {GO:0072686}; nuclear body {GO:0016604}; plasma membrane {GO:0005886}; postsynaptic density {GO:0014069}; protein-containing complex {GO:0032991}</t>
  </si>
  <si>
    <t>1-phosphatidylinositol binding {GO:0005545}; actin binding {GO:0003779}; calmodulin binding {GO:0005516}; phosphoprotein binding {GO:0051219}; protein C-terminus binding {GO:0008022}; protein N-terminus binding {GO:0047485}; spectrin binding {GO:0030507}; structural molecule activity {GO:0005198}</t>
  </si>
  <si>
    <t>sp|Q8BMS1|ECHA_MOUSE</t>
  </si>
  <si>
    <t>Long chain 3-hydroxyacyl-CoA dehydrogenase</t>
  </si>
  <si>
    <t>Monolysocardiolipin acyltransferase; TP-alpha</t>
  </si>
  <si>
    <t>ECHA_MOUSE</t>
  </si>
  <si>
    <t>Q8BMS1</t>
  </si>
  <si>
    <t>Q3TCY3; Q5U5Y5; Q8QZU4</t>
  </si>
  <si>
    <t>MGI:2135593</t>
  </si>
  <si>
    <t>Acetylation; Fatty acid metabolism; Lipid metabolism; Lyase; Membrane; Methylation; Mitochondrion; Mitochondrion inner membrane; Multifunctional enzyme; NAD; Oxidoreductase; Phosphoprotein; Transferase; Transit peptide</t>
  </si>
  <si>
    <t>Lyase; Multifunctional enzyme; Oxidoreductase; Transferase</t>
  </si>
  <si>
    <t>cardiolipin acyl-chain remodeling {GO:0035965}; fatty acid beta-oxidation {GO:0006635}; response to insulin {GO:0032868}; response to xenobiotic stimulus {GO:0009410}</t>
  </si>
  <si>
    <t>mitochondrial fatty acid beta-oxidation multienzyme complex {GO:0016507}; mitochondrial inner membrane {GO:0005743}; mitochondrial nucleoid {GO:0042645}; mitochondrion {GO:0005739}</t>
  </si>
  <si>
    <t>3-hydroxyacyl-CoA dehydrogenase activity {GO:0003857}; acetyl-CoA C-acyltransferase activity {GO:0003988}; enoyl-CoA hydratase activity {GO:0004300}; fatty-acyl-CoA binding {GO:0000062}; long-chain-3-hydroxyacyl-CoA dehydrogenase activity {GO:0016509}; long-chain-enoyl-CoA hydratase activity {GO:0016508}; NAD binding {GO:0051287}; NAD+ binding {GO:0070403}; protein-containing complex binding {GO:0044877}</t>
  </si>
  <si>
    <t>Acyl chain remodeling of CL {R-MMU-1482798}; Beta oxidation of myristoyl-CoA to lauroyl-CoA {R-MMU-77285}; Beta oxidation of palmitoyl-CoA to myristoyl-CoA {R-MMU-77305}; Beta oxidation of lauroyl-CoA to decanoyl-CoA-CoA {R-MMU-77310}; Beta oxidation of decanoyl-CoA to octanoyl-CoA-CoA {R-MMU-77346}; Beta oxidation of octanoyl-CoA to hexanoyl-CoA {R-MMU-77348}; Beta oxidation of hexanoyl-CoA to butanoyl-CoA {R-MMU-77350}</t>
  </si>
  <si>
    <t>sp|Q61584|FXR1_MOUSE</t>
  </si>
  <si>
    <t>RNA-binding protein FXR1</t>
  </si>
  <si>
    <t>mFxr1p</t>
  </si>
  <si>
    <t>FXR1_MOUSE</t>
  </si>
  <si>
    <t>Q61584</t>
  </si>
  <si>
    <t>Q8VCU4; Q9R1E2; Q9R1E3; Q9R1E4; Q9R1E5; Q9WUA7; Q9WUA8; Q9WUA9</t>
  </si>
  <si>
    <t>Fxr1h</t>
  </si>
  <si>
    <t>MGI:104860</t>
  </si>
  <si>
    <t>Acetylation; Alternative splicing; Cytoplasm; Developmental protein; Differentiation; Isopeptide bond; Methylation; Myogenesis; Phosphoprotein; Repeat; RNA-binding; Ubl conjugation</t>
  </si>
  <si>
    <t>Differentiation; Myogenesis</t>
  </si>
  <si>
    <t>cell differentiation {GO:0030154}; muscle organ development {GO:0007517}; negative regulation of translation {GO:0017148}; positive regulation of miRNA-mediated gene silencing {GO:2000637}; positive regulation of protein phosphorylation {GO:0001934}; positive regulation of response to DNA damage stimulus {GO:2001022}; positive regulation of translation {GO:0045727}; regulation of alternative mRNA splicing, via spliceosome {GO:0000381}; regulation of filopodium assembly {GO:0051489}; regulation of mRNA stability {GO:0043488}; skeletal muscle organ development {GO:0060538}</t>
  </si>
  <si>
    <t>axon {GO:0030424}; costamere {GO:0043034}; cytoplasm {GO:0005737}; cytoplasmic ribonucleoprotein granule {GO:0036464}; cytosol {GO:0005829}; dendrite {GO:0030425}; dendritic filopodium {GO:1902737}; dendritic spine {GO:0043197}; dendritic spine neck {GO:0044326}; glutamatergic synapse {GO:0098978}; growth cone {GO:0030426}; membrane {GO:0016020}; neuronal cell body {GO:0043025}; nucleus {GO:0005634}; perinuclear region of cytoplasm {GO:0048471}; polysome {GO:0005844}; postsynapse {GO:0098794}; postsynaptic density {GO:0014069}; presynapse {GO:0098793}; ribonucleoprotein granule {GO:0035770}</t>
  </si>
  <si>
    <t>mRNA 3'-UTR binding {GO:0003730}; protein heterodimerization activity {GO:0046982}; protein homodimerization activity {GO:0042803}; RNA strand annealing activity {GO:0033592}; translation regulator activity {GO:0045182}</t>
  </si>
  <si>
    <t>sp|Q99KJ8|DCTN2_MOUSE</t>
  </si>
  <si>
    <t>Dynactin subunit 2</t>
  </si>
  <si>
    <t>50 kDa dynein-associated polypeptide; Dynactin complex 50 kDa subunit (DCTN-50); Growth cone membrane protein 23-48K (GMP23-48K); p50 dynamitin</t>
  </si>
  <si>
    <t>DCTN2_MOUSE</t>
  </si>
  <si>
    <t>Q99KJ8</t>
  </si>
  <si>
    <t>MGI:107733</t>
  </si>
  <si>
    <t>Acetylation; Coiled coil; Cytoplasm; Cytoskeleton; Dynein; Membrane; Microtubule; Phosphoprotein</t>
  </si>
  <si>
    <t>Cytoplasm; Cytoskeleton; Dynein; Membrane; Microtubule</t>
  </si>
  <si>
    <t>melanosome transport {GO:0032402}; mitotic cell cycle {GO:0000278}; mitotic metaphase plate congression {GO:0007080}; mitotic spindle organization {GO:0007052}; protein localization to centrosome {GO:0071539}</t>
  </si>
  <si>
    <t>centrosome {GO:0005813}; cytoplasm {GO:0005737}; cytosol {GO:0005829}; dynactin complex {GO:0005869}; dynein complex {GO:0030286}; growth cone {GO:0030426}; kinetochore {GO:0000776}; membrane {GO:0016020}; microtubule {GO:0005874}; vesicle {GO:0031982}</t>
  </si>
  <si>
    <t>identical protein binding {GO:0042802}; protein kinase binding {GO:0019901}; spectrin binding {GO:0030507}</t>
  </si>
  <si>
    <t>sp|Q6P1B1|XPP1_MOUSE</t>
  </si>
  <si>
    <t>Xaa-Pro aminopeptidase 1</t>
  </si>
  <si>
    <t>Aminoacylproline aminopeptidase; Cytosolic aminopeptidase P; Soluble aminopeptidase P (sAmp); X-Pro aminopeptidase 1; X-prolyl aminopeptidase 1, soluble</t>
  </si>
  <si>
    <t>XPP1_MOUSE</t>
  </si>
  <si>
    <t>Q6P1B1</t>
  </si>
  <si>
    <t>Q91Y37</t>
  </si>
  <si>
    <t>MGI:2180003</t>
  </si>
  <si>
    <t>Acetylation; Aminopeptidase; Cytoplasm; Hydrolase; Manganese; Metal-binding; Metalloprotease; Protease</t>
  </si>
  <si>
    <t>bradykinin catabolic process {GO:0010815}; proteolysis {GO:0006508}</t>
  </si>
  <si>
    <t>aminopeptidase activity {GO:0004177}; manganese ion binding {GO:0030145}; metalloaminopeptidase activity {GO:0070006}; protein homodimerization activity {GO:0042803}</t>
  </si>
  <si>
    <t>sp|O08529|CAN2_MOUSE</t>
  </si>
  <si>
    <t>Calpain-2 catalytic subunit</t>
  </si>
  <si>
    <t>80 kDa M-calpain subunit (CALP80); Calcium-activated neutral proteinase 2 (CANP 2); Calpain M-type; Calpain-2 large subunit; Millimolar-calpain (M-calpain)</t>
  </si>
  <si>
    <t>CAN2_MOUSE</t>
  </si>
  <si>
    <t>O08529</t>
  </si>
  <si>
    <t>O35518; O54843</t>
  </si>
  <si>
    <t>MGI:88264</t>
  </si>
  <si>
    <t>Acetylation; Calcium; Cell membrane; Cytoplasm; Hydrolase; Membrane; Metal-binding; Protease; Repeat; Thiol protease</t>
  </si>
  <si>
    <t>behavioral response to pain {GO:0048266}; blastocyst development {GO:0001824}; cellular response to amino acid stimulus {GO:0071230}; cellular response to interferon-beta {GO:0035458}; cellular response to lipopolysaccharide {GO:0071222}; female pregnancy {GO:0007565}; myoblast fusion {GO:0007520}; positive regulation of cardiac muscle cell apoptotic process {GO:0010666}; positive regulation of myoblast fusion {GO:1901741}; positive regulation of neuron death {GO:1901216}; positive regulation of phosphatidylcholine biosynthetic process {GO:2001247}; protein autoprocessing {GO:0016540}; protein catabolic process {GO:0030163}; proteolysis {GO:0006508}; proteolysis involved in protein catabolic process {GO:0051603}; regulation of cytoskeleton organization {GO:0051493}; regulation of interleukin-6 production {GO:0032675}; response to hydrogen peroxide {GO:0042542}; response to hypoxia {GO:0001666}; response to mechanical stimulus {GO:0009612}</t>
  </si>
  <si>
    <t>calpain complex {GO:0110158}; cell projection {GO:0042995}; chromatin {GO:0000785}; cytoplasm {GO:0005737}; cytosol {GO:0005829}; dendrite {GO:0030425}; endoplasmic reticulum {GO:0005783}; external side of plasma membrane {GO:0009897}; focal adhesion {GO:0005925}; Golgi apparatus {GO:0005794}; lysosome {GO:0005764}; membrane {GO:0016020}; membrane raft {GO:0045121}; mitochondrial intermembrane space {GO:0005758}; neuronal cell body {GO:0043025}; nucleus {GO:0005634}; perinuclear endoplasmic reticulum {GO:0097038}; plasma membrane {GO:0005886}; pseudopodium {GO:0031143}</t>
  </si>
  <si>
    <t>calcium ion binding {GO:0005509}; calcium-dependent cysteine-type endopeptidase activity {GO:0004198}; cytoskeletal protein binding {GO:0008092}; enzyme binding {GO:0019899}; peptidase activity {GO:0008233}; protein-containing complex binding {GO:0044877}</t>
  </si>
  <si>
    <t>sp|Q61686|CBX5_MOUSE</t>
  </si>
  <si>
    <t>Chromobox protein homolog 5</t>
  </si>
  <si>
    <t>Heterochromatin protein 1 homolog alpha (HP1 alpha)</t>
  </si>
  <si>
    <t>CBX5_MOUSE</t>
  </si>
  <si>
    <t>Q61686</t>
  </si>
  <si>
    <t>Q9CS35; Q9CXD1</t>
  </si>
  <si>
    <t>Hp1a</t>
  </si>
  <si>
    <t>MGI:109372</t>
  </si>
  <si>
    <t>3D-structure; Acetylation; Centromere; Chromosome; Isopeptide bond; Nucleus; Phosphoprotein; Repeat; Ubl conjugation</t>
  </si>
  <si>
    <t>Centromere; Chromosome; Nucleus</t>
  </si>
  <si>
    <t>cellular response to DNA damage stimulus {GO:0006974}; chromatin organization {GO:0006325}; negative regulation of DNA-templated transcription {GO:0045892}; negative regulation of transcription by RNA polymerase II {GO:0000122}</t>
  </si>
  <si>
    <t>chromocenter {GO:0010369}; chromosome, telomeric region {GO:0000781}; heterochromatin {GO:0000792}; histone deacetylase complex {GO:0000118}; histone methyltransferase complex {GO:0035097}; kinetochore {GO:0000776}; nucleolus {GO:0005730}; nucleoplasm {GO:0005654}; nucleus {GO:0005634}; pericentric heterochromatin {GO:0005721}; PML body {GO:0016605}; protein-containing complex {GO:0032991}; ribonucleoprotein complex {GO:1990904}; site of DNA damage {GO:0090734}; transcription repressor complex {GO:0017053}</t>
  </si>
  <si>
    <t>chromatin binding {GO:0003682}; DNA-binding transcription factor binding {GO:0140297}; histone deacetylase binding {GO:0042826}; identical protein binding {GO:0042802}; methylated histone binding {GO:0035064}; protein-containing complex binding {GO:0044877}; protein-macromolecule adaptor activity {GO:0030674}; ribonucleoprotein complex binding {GO:0043021}</t>
  </si>
  <si>
    <t>Factors involved in megakaryocyte development and platelet production {R-MMU-983231}</t>
  </si>
  <si>
    <t>sp|P61202|CSN2_MOUSE</t>
  </si>
  <si>
    <t>COP9 signalosome complex subunit 2 (SGN2; Signalosome subunit 2)</t>
  </si>
  <si>
    <t>Alien homolog; JAB1-containing signalosome subunit 2; Thyroid receptor-interacting protein 15 (TR-interacting protein 15; TRIP-15)</t>
  </si>
  <si>
    <t>CSN2_MOUSE</t>
  </si>
  <si>
    <t>P61202</t>
  </si>
  <si>
    <t>O88950; Q15647; Q3V1W6; Q8R5B0; Q9CWU1; Q9R249; Q9UNQ5</t>
  </si>
  <si>
    <t>Csn2; Trip15</t>
  </si>
  <si>
    <t>MGI:1330276</t>
  </si>
  <si>
    <t>Alternative splicing; Cytoplasm; Nucleus; Phosphoprotein; Signalosome</t>
  </si>
  <si>
    <t>Cytoplasm; Nucleus; Signalosome</t>
  </si>
  <si>
    <t>inner cell mass cell proliferation {GO:0001833}; negative regulation of DNA-templated transcription {GO:0045892}; negative regulation of nucleic acid-templated transcription {GO:1903507}; negative regulation of transcription by RNA polymerase II {GO:0000122}; neuron differentiation {GO:0030182}; protein deneddylation {GO:0000338}; protein phosphorylation {GO:0006468}; skeletal muscle cell differentiation {GO:0035914}; trophectodermal cell proliferation {GO:0001834}</t>
  </si>
  <si>
    <t>COP9 signalosome {GO:0008180}; cytoplasm {GO:0005737}; nucleus {GO:0005634}</t>
  </si>
  <si>
    <t>transcription corepressor activity {GO:0003714}</t>
  </si>
  <si>
    <t>sp|Q8R050|ERF3A_MOUSE</t>
  </si>
  <si>
    <t>Eukaryotic peptide chain release factor GTP-binding subunit ERF3A (Eukaryotic peptide chain release factor subunit 3a; eRF3a)</t>
  </si>
  <si>
    <t>G1 to S phase transition protein 1 homolog</t>
  </si>
  <si>
    <t>ERF3A_MOUSE</t>
  </si>
  <si>
    <t>Q8R050</t>
  </si>
  <si>
    <t>E9QK49; G3UWC0; O88179; Q8K2E1</t>
  </si>
  <si>
    <t>Erf3a</t>
  </si>
  <si>
    <t>MGI:1316728</t>
  </si>
  <si>
    <t>3D-structure; Alternative splicing; GTP-binding; Nonsense-mediated mRNA decay; Nucleotide-binding; Protein biosynthesis</t>
  </si>
  <si>
    <t>Nonsense-mediated mRNA decay; Protein biosynthesis</t>
  </si>
  <si>
    <t>nuclear-transcribed mRNA catabolic process, nonsense-mediated decay {GO:0000184}; protein methylation {GO:0006479}; regulation of translational termination {GO:0006449}; translation {GO:0006412}; translational termination {GO:0006415}</t>
  </si>
  <si>
    <t>cytoplasm {GO:0005737}; translation release factor complex {GO:0018444}</t>
  </si>
  <si>
    <t>GTP binding {GO:0005525}; GTPase activity {GO:0003924}; translation release factor activity {GO:0003747}</t>
  </si>
  <si>
    <t>sp|P31230|AIMP1_MOUSE</t>
  </si>
  <si>
    <t>Endothelial monocyte-activating polypeptide 2</t>
  </si>
  <si>
    <t>Multisynthase complex auxiliary component p43 (EMAP-2); Endothelial monocyte-activating polypeptide II (EMAP-II); Small inducible cytokine subfamily E member 1</t>
  </si>
  <si>
    <t>AIMP1_MOUSE</t>
  </si>
  <si>
    <t>P31230</t>
  </si>
  <si>
    <t>Q60659</t>
  </si>
  <si>
    <t>Emap2; Scye1</t>
  </si>
  <si>
    <t>MGI:102774</t>
  </si>
  <si>
    <t>Acetylation; Angiogenesis; Apoptosis; Cytokine; Cytoplasm; Endoplasmic reticulum; Golgi apparatus; Inflammatory response; Nucleus; Phosphoprotein; Protein biosynthesis; RNA-binding; Secreted; tRNA-binding</t>
  </si>
  <si>
    <t>Angiogenesis; Apoptosis; Inflammatory response; Protein biosynthesis</t>
  </si>
  <si>
    <t>Cytoplasm; Endoplasmic reticulum; Golgi apparatus; Nucleus; Secreted</t>
  </si>
  <si>
    <t>Cytokine; RNA-binding; tRNA-binding</t>
  </si>
  <si>
    <t>angiogenesis {GO:0001525}; apoptotic process {GO:0006915}; cell-cell signaling {GO:0007267}; inflammatory response {GO:0006954}; leukocyte migration {GO:0050900}; negative regulation of endothelial cell proliferation {GO:0001937}; positive regulation of glucagon secretion {GO:0070094}; translation {GO:0006412}</t>
  </si>
  <si>
    <t>aminoacyl-tRNA synthetase multienzyme complex {GO:0017101}; cell surface {GO:0009986}; cytosol {GO:0005829}; endoplasmic reticulum {GO:0005783}; extracellular space {GO:0005615}; Golgi apparatus {GO:0005794}; nucleus {GO:0005634}</t>
  </si>
  <si>
    <t>cytokine activity {GO:0005125}; GTPase binding {GO:0051020}; protein homodimerization activity {GO:0042803}; tRNA binding {GO:0000049}</t>
  </si>
  <si>
    <t>sp|Q9CQ60|6PGL_MOUSE</t>
  </si>
  <si>
    <t>6-phosphogluconolactonase (6PGL)</t>
  </si>
  <si>
    <t>6PGL_MOUSE</t>
  </si>
  <si>
    <t>Q9CQ60</t>
  </si>
  <si>
    <t>Q3TA62</t>
  </si>
  <si>
    <t>MGI:1913421</t>
  </si>
  <si>
    <t>Acetylation; Cytoplasm; Hydrolase; Phosphoprotein</t>
  </si>
  <si>
    <t>carbohydrate metabolic process {GO:0005975}; pentose-phosphate shunt {GO:0006098}; pentose-phosphate shunt, oxidative branch {GO:0009051}</t>
  </si>
  <si>
    <t>6-phosphogluconolactonase activity {GO:0017057}; monosaccharide binding {GO:0048029}</t>
  </si>
  <si>
    <t>Carbohydrate degradation; pentose phosphate pathway; D- ribulose 5-phosphate from D-glucose 6-phosphate (oxidative stage): step 2/3.</t>
  </si>
  <si>
    <t>sp|Q9R0Q7|TEBP_MOUSE</t>
  </si>
  <si>
    <t>Prostaglandin E synthase 3</t>
  </si>
  <si>
    <t>Cytosolic prostaglandin E2 synthase (cPGES); Hsp90 co-chaperone; Progesterone receptor complex p23; Sid 3177; Telomerase-binding protein p23</t>
  </si>
  <si>
    <t>TEBP_MOUSE</t>
  </si>
  <si>
    <t>Q9R0Q7</t>
  </si>
  <si>
    <t>Q542V4; Q9D7V0; Q9WV83</t>
  </si>
  <si>
    <t>Sid3177; Tebp</t>
  </si>
  <si>
    <t>MGI:1929282</t>
  </si>
  <si>
    <t>Acetylation; Cytoplasm; Fatty acid biosynthesis; Fatty acid metabolism; Isomerase; Isopeptide bond; Lipid biosynthesis; Lipid metabolism; Phosphoprotein; Prostaglandin biosynthesis; Prostaglandin metabolism; Ubl conjugation</t>
  </si>
  <si>
    <t>Fatty acid biosynthesis; Fatty acid metabolism; Lipid biosynthesis; Lipid metabolism; Prostaglandin biosynthesis; Prostaglandin metabolism</t>
  </si>
  <si>
    <t>chaperone cofactor-dependent protein refolding {GO:0051085}; chaperone-mediated protein complex assembly {GO:0051131}; fibroblast proliferation {GO:0048144}; glucocorticoid receptor signaling pathway {GO:0042921}; glycogen biosynthetic process {GO:0005978}; lung saccule development {GO:0060430}; negative regulation of cell death {GO:0060548}; positive regulation of gene expression {GO:0010628}; positive regulation of phosphorylation {GO:0042327}; positive regulation of telomerase activity {GO:0051973}; prostaglandin biosynthetic process {GO:0001516}; prostaglandin metabolic process {GO:0006693}; protein folding {GO:0006457}; protein stabilization {GO:0050821}; sensory perception of pain {GO:0019233}; skin development {GO:0043588}; telomerase holoenzyme complex assembly {GO:1905323}; telomere maintenance via telomerase {GO:0007004}</t>
  </si>
  <si>
    <t>actin filament {GO:0005884}; chaperone complex {GO:0101031}; cytosol {GO:0005829}; intracellular membrane-bounded organelle {GO:0043231}; neuron projection {GO:0043005}; neuronal cell body {GO:0043025}; nucleus {GO:0005634}; perinuclear region of cytoplasm {GO:0048471}; protein-containing complex {GO:0032991}; telomerase holoenzyme complex {GO:0005697}</t>
  </si>
  <si>
    <t>chaperone binding {GO:0051087}; DNA polymerase binding {GO:0070182}; enzyme binding {GO:0019899}; Hsp90 protein binding {GO:0051879}; p53 binding {GO:0002039}; prostaglandin-E synthase activity {GO:0050220}; telomerase activity {GO:0003720}; unfolded protein binding {GO:0051082}</t>
  </si>
  <si>
    <t>Lipid metabolism; prostaglandin biosynthesis.</t>
  </si>
  <si>
    <t>Synthesis of Prostaglandins (PG) and Thromboxanes (TX) {R-MMU-2162123}; HSP90 chaperone cycle for steroid hormone receptors (SHR) in the presence of ligand {R-MMU-3371497}; HSF1 activation {R-MMU-3371511}; Attenuation phase {R-MMU-3371568}; Aryl hydrocarbon receptor signalling {R-MMU-8937144}; ESR-mediated signaling {R-MMU-8939211}; Estrogen-dependent gene expression {R-MMU-9018519}</t>
  </si>
  <si>
    <t>sp|Q7TT37|ELP1_MOUSE</t>
  </si>
  <si>
    <t>Elongator complex protein 1 (ELP1)</t>
  </si>
  <si>
    <t>IkappaB kinase complex-associated protein (IKK complex-associated protein)</t>
  </si>
  <si>
    <t>ELP1_MOUSE</t>
  </si>
  <si>
    <t>Q7TT37</t>
  </si>
  <si>
    <t>Q3UHY6; Q7TQH1; Q8C6B3; Q8CBI3; Q8CH82; Q8VHU5; Q8VHV9; Q9CT81</t>
  </si>
  <si>
    <t>Ikap; Ikbkap</t>
  </si>
  <si>
    <t>MGI:1914544</t>
  </si>
  <si>
    <t>Cytoplasm; Nucleus; Phosphoprotein; tRNA processing</t>
  </si>
  <si>
    <t>I-kappaB phosphorylation {GO:0007252}; tRNA wobble base 5-methoxycarbonylmethyl-2-thiouridinylation {GO:0002926}; tRNA wobble uridine modification {GO:0002098}</t>
  </si>
  <si>
    <t>cytoplasm {GO:0005737}; cytosol {GO:0005829}; elongator holoenzyme complex {GO:0033588}; nucleus {GO:0005634}</t>
  </si>
  <si>
    <t>ATP binding {GO:0005524}; protein kinase activity {GO:0004672}; protein self-association {GO:0043621}; tRNA binding {GO:0000049}</t>
  </si>
  <si>
    <t>tRNA modification; 5-methoxycarbonylmethyl-2-thiouridine-tRNA biosynthesis..</t>
  </si>
  <si>
    <t>sp|Q91ZJ5|UGPA_MOUSE</t>
  </si>
  <si>
    <t>UTP--glucose-1-phosphate uridylyltransferase</t>
  </si>
  <si>
    <t>UDP-glucose pyrophosphorylase (UDPGP; UGPase)</t>
  </si>
  <si>
    <t>UGPA_MOUSE</t>
  </si>
  <si>
    <t>Q91ZJ5</t>
  </si>
  <si>
    <t>Q8R3D2</t>
  </si>
  <si>
    <t>MGI:2183447</t>
  </si>
  <si>
    <t>Acetylation; Alternative splicing; Cytoplasm; Magnesium; Metal-binding; Nucleotidyltransferase; Phosphoprotein; Transferase</t>
  </si>
  <si>
    <t>Nucleotidyltransferase; Transferase</t>
  </si>
  <si>
    <t>brain development {GO:0007420}; glucose 1-phosphate metabolic process {GO:0019255}; glycogen biosynthetic process {GO:0005978}; glycogen metabolic process {GO:0005977}; UDP-glucose metabolic process {GO:0006011}</t>
  </si>
  <si>
    <t>glucose binding {GO:0005536}; identical protein binding {GO:0042802}; metal ion binding {GO:0046872}; pyrimidine ribonucleotide binding {GO:0032557}; UTP:glucose-1-phosphate uridylyltransferase activity {GO:0003983}</t>
  </si>
  <si>
    <t>Glycan biosynthesis; glycogen biosynthesis.</t>
  </si>
  <si>
    <t>Formation of the active cofactor, UDP-glucuronate {R-MMU-173599}; Glycogen synthesis {R-MMU-3322077}</t>
  </si>
  <si>
    <t>sp|Q6P5F9|XPO1_MOUSE</t>
  </si>
  <si>
    <t>Exportin-1 (Exp1)</t>
  </si>
  <si>
    <t>Chromosome region maintenance 1 protein homolog</t>
  </si>
  <si>
    <t>XPO1_MOUSE</t>
  </si>
  <si>
    <t>Q6P5F9</t>
  </si>
  <si>
    <t>Crm1</t>
  </si>
  <si>
    <t>MGI:2144013</t>
  </si>
  <si>
    <t>3D-structure; Acetylation; Cytoplasm; mRNA transport; Nucleus; Phosphoprotein; Protein transport; Repeat; RNA-binding; Transport</t>
  </si>
  <si>
    <t>Protein transport; Transport; mRNA transport</t>
  </si>
  <si>
    <t>mRNA transport {GO:0051028}; negative regulation of transcription by RNA polymerase II {GO:0000122}; nucleocytoplasmic transport {GO:0006913}; protein export from nucleus {GO:0006611}; protein localization to nucleus {GO:0034504}; regulation of centrosome duplication {GO:0010824}; regulation of proteasomal ubiquitin-dependent protein catabolic process {GO:0032434}; regulation of protein catabolic process {GO:0042176}; regulation of protein export from nucleus {GO:0046825}; ribosomal large subunit export from nucleus {GO:0000055}; ribosomal small subunit export from nucleus {GO:0000056}; ribosomal subunit export from nucleus {GO:0000054}; ribosome biogenesis {GO:0042254}</t>
  </si>
  <si>
    <t>annulate lamellae {GO:0005642}; Cajal body {GO:0015030}; cytoplasm {GO:0005737}; cytosol {GO:0005829}; intracellular membrane-bounded organelle {GO:0043231}; kinetochore {GO:0000776}; nuclear membrane {GO:0031965}; nucleolus {GO:0005730}; nucleoplasm {GO:0005654}; nucleus {GO:0005634}; protein-containing complex {GO:0032991}; ribonucleoprotein complex {GO:1990904}</t>
  </si>
  <si>
    <t>DNA-binding transcription factor binding {GO:0140297}; nuclear export signal receptor activity {GO:0005049}; protein domain specific binding {GO:0019904}; RNA binding {GO:0003723}; small GTPase binding {GO:0031267}</t>
  </si>
  <si>
    <t>Amplification of signal from unattached kinetochores via a MAD2 inhibitory signal {R-MMU-141444}; Separation of Sister Chromatids {R-MMU-2467813}; Resolution of Sister Chromatid Cohesion {R-MMU-2500257}; Deactivation of the beta-catenin transactivating complex {R-MMU-3769402}; HuR (ELAVL1) binds and stabilizes mRNA {R-MMU-450520}; RHO GTPases Activate Formins {R-MMU-5663220}; MAPK6/MAPK4 signaling {R-MMU-5687128}; Mitotic Prometaphase {R-MMU-68877}; Cyclin A/B1/B2 associated events during G2/M transition {R-MMU-69273}; Estrogen-dependent nuclear events downstream of ESR-membrane signaling {R-MMU-9634638}; EML4 and NUDC in mitotic spindle formation {R-MMU-9648025}; Heme signaling {R-MMU-9707616}</t>
  </si>
  <si>
    <t>sp|Q9R1P3|PSB2_MOUSE</t>
  </si>
  <si>
    <t>Proteasome subunit beta type-2</t>
  </si>
  <si>
    <t>Macropain subunit C7-I; Multicatalytic endopeptidase complex subunit C7-I; Proteasome component C7-I</t>
  </si>
  <si>
    <t>PSB2_MOUSE</t>
  </si>
  <si>
    <t>Q9R1P3</t>
  </si>
  <si>
    <t>MGI:1347045</t>
  </si>
  <si>
    <t>3D-structure; Acetylation; Cytoplasm; Nucleus; Proteasome</t>
  </si>
  <si>
    <t>proteasomal protein catabolic process {GO:0010498}; response to organic cyclic compound {GO:0014070}; response to organonitrogen compound {GO:0010243}</t>
  </si>
  <si>
    <t>sp|Q99PV0|PRP8_MOUSE</t>
  </si>
  <si>
    <t>Pre-mRNA-processing-splicing factor 8</t>
  </si>
  <si>
    <t>Splicing factor Prp8</t>
  </si>
  <si>
    <t>PRP8_MOUSE</t>
  </si>
  <si>
    <t>Q99PV0</t>
  </si>
  <si>
    <t>A5D6Q4; Q5ND30; Q5ND31; Q7TQK2; Q8BRZ5; Q8K001</t>
  </si>
  <si>
    <t>Prp8</t>
  </si>
  <si>
    <t>MGI:2179381</t>
  </si>
  <si>
    <t>Acetylation; Methylation; mRNA processing; mRNA splicing; Nucleus; Phosphoprotein; Ribonucleoprotein; RNA-binding; Spliceosome</t>
  </si>
  <si>
    <t>cellular response to lipopolysaccharide {GO:0071222}; cellular response to tumor necrosis factor {GO:0071356}; mRNA splicing, via spliceosome {GO:0000398}; spliceosomal tri-snRNP complex assembly {GO:0000244}</t>
  </si>
  <si>
    <t>catalytic step 2 spliceosome {GO:0071013}; nuclear speck {GO:0016607}; nucleus {GO:0005634}; small nuclear ribonucleoprotein complex {GO:0030532}; U2-type catalytic step 1 spliceosome {GO:0071006}; U2-type catalytic step 2 spliceosome {GO:0071007}; U2-type precatalytic spliceosome {GO:0071005}; U4/U6 x U5 tri-snRNP complex {GO:0046540}; U5 snRNP {GO:0005682}</t>
  </si>
  <si>
    <t>K63-linked polyubiquitin modification-dependent protein binding {GO:0070530}; metallopeptidase activity {GO:0008237}; pre-mRNA intronic binding {GO:0097157}; U1 snRNA binding {GO:0030619}; U2 snRNA binding {GO:0030620}; U5 snRNA binding {GO:0030623}; U6 snRNA binding {GO:0017070}</t>
  </si>
  <si>
    <t>sp|P57759|ERP29_MOUSE</t>
  </si>
  <si>
    <t>Endoplasmic reticulum resident protein 29 (ERp29)</t>
  </si>
  <si>
    <t>ERP29_MOUSE</t>
  </si>
  <si>
    <t>P57759</t>
  </si>
  <si>
    <t>Q3THW3; Q9CQ42</t>
  </si>
  <si>
    <t>MGI:1914647</t>
  </si>
  <si>
    <t>Endoplasmic reticulum; Phosphoprotein; Signal</t>
  </si>
  <si>
    <t>endoplasmic reticulum to Golgi vesicle-mediated transport {GO:0006888}; negative regulation of gene expression {GO:0010629}; negative regulation of protein secretion {GO:0050709}; positive regulation of gene expression {GO:0010628}; positive regulation of MAP kinase activity {GO:0043406}; positive regulation of protein phosphorylation {GO:0001934}; protein secretion {GO:0009306}; regulation of endoplasmic reticulum stress-induced intrinsic apoptotic signaling pathway {GO:1902235}</t>
  </si>
  <si>
    <t>cell surface {GO:0009986}; endoplasmic reticulum {GO:0005783}; endoplasmic reticulum lumen {GO:0005788}; melanosome {GO:0042470}; smooth endoplasmic reticulum {GO:0005790}; transport vesicle {GO:0030133}</t>
  </si>
  <si>
    <t>chaperone binding {GO:0051087}; protein homodimerization activity {GO:0042803}</t>
  </si>
  <si>
    <t>tr|D3Z2H9|D3Z2H9_MOUSE</t>
  </si>
  <si>
    <t>sp|Q9JLV5|CUL3_MOUSE</t>
  </si>
  <si>
    <t>Cullin-3 (CUL-3)</t>
  </si>
  <si>
    <t>CUL3_MOUSE</t>
  </si>
  <si>
    <t>Q9JLV5</t>
  </si>
  <si>
    <t>MGI:1347360</t>
  </si>
  <si>
    <t>3D-structure; Acetylation; Cell cycle; Cell division; Cell projection; Cilium; Cilium biogenesis/degradation; Cytoplasm; Cytoskeleton; ER-Golgi transport; Flagellum; Golgi apparatus; Isopeptide bond; Mitosis; Nucleus; Phosphoprotein; Transport; Ubl conjugation; Ubl conjugation pathway</t>
  </si>
  <si>
    <t>Cell cycle; Cell division; Cilium biogenesis/degradation; ER-Golgi transport; Mitosis; Transport; Ubl conjugation pathway</t>
  </si>
  <si>
    <t>Cell projection; Cilium; Cytoplasm; Cytoskeleton; Flagellum; Golgi apparatus; Nucleus</t>
  </si>
  <si>
    <t>anaphase-promoting complex-dependent catabolic process {GO:0031145}; cell migration {GO:0016477}; cell morphogenesis {GO:0000902}; cell projection organization {GO:0030030}; COPII vesicle coating {GO:0048208}; embryonic cleavage {GO:0040016}; endoplasmic reticulum to Golgi vesicle-mediated transport {GO:0006888}; fibroblast apoptotic process {GO:0044346}; gastrulation {GO:0007369}; gene expression {GO:0010467}; in utero embryonic development {GO:0001701}; inflammatory response {GO:0006954}; integrin-mediated signaling pathway {GO:0007229}; liver morphogenesis {GO:0072576}; mitotic cell cycle {GO:0000278}; mitotic metaphase plate congression {GO:0007080}; negative regulation of Rho protein signal transduction {GO:0035024}; negative regulation of transcription by RNA polymerase II {GO:0000122}; nuclear protein quality control by the ubiquitin-proteasome system {GO:0071630}; positive regulation of cytokinesis {GO:0032467}; positive regulation of mitotic cell cycle phase transition {GO:1901992}; positive regulation of mitotic metaphase/anaphase transition {GO:0045842}; positive regulation of protein ubiquitination {GO:0031398}; proteasome-mediated ubiquitin-dependent protein catabolic process {GO:0043161}; protein autoubiquitination {GO:0051865}; protein catabolic process {GO:0030163}; protein destabilization {GO:0031648}; protein K48-linked ubiquitination {GO:0070936}; protein monoubiquitination {GO:0006513}; protein polyubiquitination {GO:0000209}; protein ubiquitination {GO:0016567}; regulation of transcription by RNA polymerase II {GO:0006357}; stem cell division {GO:0017145}; stress fiber assembly {GO:0043149}; trophectodermal cellular morphogenesis {GO:0001831}; ubiquitin-dependent protein catabolic process {GO:0006511}; Wnt signaling pathway {GO:0016055}</t>
  </si>
  <si>
    <t>centrosome {GO:0005813}; Cul3-RING ubiquitin ligase complex {GO:0031463}; cullin-RING ubiquitin ligase complex {GO:0031461}; cytoplasm {GO:0005737}; Golgi apparatus {GO:0005794}; mitotic spindle {GO:0072686}; nucleus {GO:0005634}; plasma membrane {GO:0005886}; polar microtubule {GO:0005827}; sperm flagellum {GO:0036126}; spindle pole {GO:0000922}</t>
  </si>
  <si>
    <t>cyclin binding {GO:0030332}; identical protein binding {GO:0042802}; Notch binding {GO:0005112}; POZ domain binding {GO:0031208}; ubiquitin protein ligase activity {GO:0061630}; ubiquitin protein ligase binding {GO:0031625}; ubiquitin-protein transferase activity {GO:0004842}</t>
  </si>
  <si>
    <t>Degradation of DVL {R-MMU-4641258}; Hedgehog 'on' state {R-MMU-5632684}; Regulation of RAS by GAPs {R-MMU-5658442}; Neddylation {R-MMU-8951664}; RHOBTB2 GTPase cycle {R-MMU-9013418}; RHOBTB1 GTPase cycle {R-MMU-9013422}; RHOBTB3 ATPase cycle {R-MMU-9706019}; KEAP1-NFE2L2 pathway {R-MMU-9755511}; Antigen processing: Ubiquitination &amp; Proteasome degradation {R-MMU-983168}</t>
  </si>
  <si>
    <t>sp|Q9CPQ1|COX6C_MOUSE</t>
  </si>
  <si>
    <t>Cytochrome c oxidase subunit 6C</t>
  </si>
  <si>
    <t>Cytochrome c oxidase polypeptide VIc</t>
  </si>
  <si>
    <t>COX6C_MOUSE</t>
  </si>
  <si>
    <t>Q9CPQ1</t>
  </si>
  <si>
    <t>Q52KC6</t>
  </si>
  <si>
    <t>MGI:104614</t>
  </si>
  <si>
    <t>3D-structure; Acetylation; Membrane; Mitochondrion; Mitochondrion inner membrane; Transmembrane; Transmembrane helix</t>
  </si>
  <si>
    <t>integral component of membrane {GO:0016021}; mitochondrial inner membrane {GO:0005743}; mitochondrial membrane {GO:0031966}; mitochondrial respiratory chain complex IV {GO:0005751}; mitochondrion {GO:0005739}</t>
  </si>
  <si>
    <t>sp|Q3U0V1|FUBP2_MOUSE</t>
  </si>
  <si>
    <t>Far upstream element-binding protein 2 (FUSE-binding protein 2)</t>
  </si>
  <si>
    <t>KH type-splicing regulatory protein (KSRP)</t>
  </si>
  <si>
    <t>FUBP2_MOUSE</t>
  </si>
  <si>
    <t>Q3U0V1</t>
  </si>
  <si>
    <t>E9QKH3; Q2VPQ6; Q6P2L2</t>
  </si>
  <si>
    <t>Fubp2</t>
  </si>
  <si>
    <t>MGI:1336214</t>
  </si>
  <si>
    <t>Acetylation; Cytoplasm; DNA-binding; Isopeptide bond; Methylation; mRNA processing; mRNA splicing; mRNA transport; Nucleus; Phosphoprotein; Repeat; RNA-binding; Transcription; Transcription regulation; Transport; Ubl conjugation</t>
  </si>
  <si>
    <t>Transcription; Transcription regulation; Transport; mRNA processing; mRNA splicing; mRNA transport</t>
  </si>
  <si>
    <t>3'-UTR-mediated mRNA destabilization {GO:0061158}; cellular response to cytokine stimulus {GO:0071345}; miRNA metabolic process {GO:0010586}; mRNA catabolic process {GO:0006402}; mRNA processing {GO:0006397}; mRNA transport {GO:0051028}; negative regulation of low-density lipoprotein particle clearance {GO:0010989}; negative regulation of nitric oxide biosynthetic process {GO:0045019}; positive regulation of mRNA catabolic process {GO:0061014}; regulation of DNA-templated transcription {GO:0006355}; regulation of gene expression {GO:0010468}; regulation of miRNA metabolic process {GO:2000628}; regulation of mRNA stability {GO:0043488}; RNA splicing {GO:0008380}</t>
  </si>
  <si>
    <t>cytoplasm {GO:0005737}; cytoplasmic stress granule {GO:0010494}; cytosol {GO:0005829}; dendrite {GO:0030425}; neuronal cell body {GO:0043025}; nucleoplasm {GO:0005654}; nucleus {GO:0005634}</t>
  </si>
  <si>
    <t>DNA binding {GO:0003677}; mRNA 3'-UTR AU-rich region binding {GO:0035925}; mRNA 3'-UTR binding {GO:0003730}; mRNA binding {GO:0003729}</t>
  </si>
  <si>
    <t>KSRP (KHSRP) binds and destabilizes mRNA {R-MMU-450604}</t>
  </si>
  <si>
    <t>sp|Q9JIK5|DDX21_MOUSE</t>
  </si>
  <si>
    <t>Nucleolar RNA helicase 2</t>
  </si>
  <si>
    <t>DEAD box protein 21; Gu-alpha; Nucleolar RNA helicase Gu; Nucleolar RNA helicase II; RH II/Gu</t>
  </si>
  <si>
    <t>DDX21_MOUSE</t>
  </si>
  <si>
    <t>Q9JIK5</t>
  </si>
  <si>
    <t>Q3TVJ3; Q9WV45</t>
  </si>
  <si>
    <t>MGI:1860494</t>
  </si>
  <si>
    <t>3D-structure; Acetylation; Antiviral defense; ATP-binding; Cytoplasm; Helicase; Hydrolase; Immunity; Innate immunity; Mitochondrion; Nucleotide-binding; Nucleus; Phosphoprotein; Repeat; RNA-binding; rRNA processing; Transcription</t>
  </si>
  <si>
    <t>Antiviral defense; Immunity; Innate immunity; Transcription; rRNA processing</t>
  </si>
  <si>
    <t>chromatin remodeling {GO:0006338}; defense response to virus {GO:0051607}; innate immune response {GO:0045087}; positive regulation of histone acetylation {GO:0035066}; positive regulation of I-kappaB kinase/NF-kappaB signaling {GO:0043123}; positive regulation of myeloid dendritic cell cytokine production {GO:0002735}; positive regulation of transcription by RNA polymerase I {GO:0045943}; positive regulation of transcription by RNA polymerase II {GO:0045944}; positive regulation of transcription by RNA polymerase III {GO:0045945}; R-loop disassembly {GO:0062176}; response to exogenous dsRNA {GO:0043330}; response to virus {GO:0009615}; rRNA processing {GO:0006364}; transcription by RNA polymerase II {GO:0006366}</t>
  </si>
  <si>
    <t>B-WICH complex {GO:0110016}; chromosome {GO:0005694}; cytosol {GO:0005829}; mitochondrion {GO:0005739}; nucleolus {GO:0005730}; nucleoplasm {GO:0005654}; nucleus {GO:0005634}</t>
  </si>
  <si>
    <t>7SK snRNA binding {GO:0097322}; ATP binding {GO:0005524}; ATP hydrolysis activity {GO:0016887}; double-stranded RNA binding {GO:0003725}; identical protein binding {GO:0042802}; miRNA binding {GO:0035198}; RNA binding {GO:0003723}; RNA helicase activity {GO:0003724}; rRNA binding {GO:0019843}; snoRNA binding {GO:0030515}</t>
  </si>
  <si>
    <t>B-WICH complex positively regulates rRNA expression {R-MMU-5250924}; Major pathway of rRNA processing in the nucleolus and cytosol {R-MMU-6791226}</t>
  </si>
  <si>
    <t>sp|Q9QYB8|ADDB_MOUSE</t>
  </si>
  <si>
    <t>Beta-adducin</t>
  </si>
  <si>
    <t>Add97; Erythrocyte adducin subunit beta</t>
  </si>
  <si>
    <t>ADDB_MOUSE</t>
  </si>
  <si>
    <t>Q9QYB8</t>
  </si>
  <si>
    <t>Q3U0E1; Q80VH9; Q8C1C4; Q9CXE3; Q9JLE4; Q9JLE5; Q9QYB7</t>
  </si>
  <si>
    <t>MGI:87919</t>
  </si>
  <si>
    <t>Actin-binding; Alternative splicing; Calmodulin-binding; Cell membrane; Cytoplasm; Cytoskeleton; Membrane; Phosphoprotein</t>
  </si>
  <si>
    <t>actin filament bundle assembly {GO:0051017}; barbed-end actin filament capping {GO:0051016}; hemopoiesis {GO:0030097}; ion transport {GO:0006811}; leukocyte migration {GO:0050900}; leukocyte tethering or rolling {GO:0050901}; positive regulation of protein binding {GO:0032092}; protein-containing complex assembly {GO:0065003}; synapse assembly {GO:0007416}</t>
  </si>
  <si>
    <t>cytoplasmic vesicle {GO:0031410}; cytoskeleton {GO:0005856}; F-actin capping protein complex {GO:0008290}; glutamatergic synapse {GO:0098978}; membrane {GO:0016020}; plasma membrane {GO:0005886}; plasma membrane raft {GO:0044853}; postsynapse {GO:0098794}; postsynaptic density {GO:0014069}</t>
  </si>
  <si>
    <t>actin binding {GO:0003779}; actin filament binding {GO:0051015}; calmodulin binding {GO:0005516}; molecular adaptor activity {GO:0060090}; protein heterodimerization activity {GO:0046982}; protein homodimerization activity {GO:0042803}; protein kinase binding {GO:0019901}; spectrin binding {GO:0030507}; structural constituent of cytoskeleton {GO:0005200}</t>
  </si>
  <si>
    <t>Miscellaneous transport and binding events {R-MMU-5223345}</t>
  </si>
  <si>
    <t>sp|P06728|APOA4_MOUSE</t>
  </si>
  <si>
    <t>Apolipoprotein A-IV (Apo-AIV; ApoA-IV)</t>
  </si>
  <si>
    <t>Apolipoprotein A4</t>
  </si>
  <si>
    <t>APOA4_MOUSE</t>
  </si>
  <si>
    <t>P06728</t>
  </si>
  <si>
    <t>Q91XF8</t>
  </si>
  <si>
    <t>MGI:88051</t>
  </si>
  <si>
    <t>Chylomicron; HDL; Lipid transport; Repeat; Secreted; Signal; Transport</t>
  </si>
  <si>
    <t>Chylomicron; HDL; Secreted</t>
  </si>
  <si>
    <t>cholesterol biosynthetic process {GO:0006695}; cholesterol efflux {GO:0033344}; cholesterol homeostasis {GO:0042632}; cholesterol metabolic process {GO:0008203}; high-density lipoprotein particle assembly {GO:0034380}; high-density lipoprotein particle remodeling {GO:0034375}; hydrogen peroxide catabolic process {GO:0042744}; innate immune response in mucosa {GO:0002227}; leukocyte cell-cell adhesion {GO:0007159}; lipid catabolic process {GO:0016042}; lipid homeostasis {GO:0055088}; lipid transport {GO:0006869}; lipoprotein metabolic process {GO:0042157}; negative regulation of plasma lipoprotein oxidation {GO:0034445}; peripheral nervous system axon regeneration {GO:0014012}; phosphatidylcholine metabolic process {GO:0046470}; phospholipid efflux {GO:0033700}; positive regulation of cholesterol esterification {GO:0010873}; positive regulation of CoA-transferase activity {GO:1905920}; positive regulation of fatty acid biosynthetic process {GO:0045723}; positive regulation of lipid biosynthetic process {GO:0046889}; positive regulation of lipoprotein lipase activity {GO:0051006}; positive regulation of triglyceride catabolic process {GO:0010898}; protein-lipid complex assembly {GO:0065005}; regulation of cholesterol transport {GO:0032374}; regulation of intestinal cholesterol absorption {GO:0030300}; removal of superoxide radicals {GO:0019430}; response to lipid hydroperoxide {GO:0006982}; response to stilbenoid {GO:0035634}; response to triglyceride {GO:0034014}; reverse cholesterol transport {GO:0043691}; triglyceride homeostasis {GO:0070328}; very-low-density lipoprotein particle remodeling {GO:0034372}</t>
  </si>
  <si>
    <t>cell surface {GO:0009986}; chylomicron {GO:0042627}; cytosol {GO:0005829}; extracellular region {GO:0005576}; extracellular space {GO:0005615}; high-density lipoprotein particle {GO:0034364}; synapse {GO:0045202}; very-low-density lipoprotein particle {GO:0034361}</t>
  </si>
  <si>
    <t>antioxidant activity {GO:0016209}; cholesterol binding {GO:0015485}; cholesterol transfer activity {GO:0120020}; copper ion binding {GO:0005507}; identical protein binding {GO:0042802}; lipid binding {GO:0008289}; phosphatidylcholine binding {GO:0031210}; phosphatidylcholine-sterol O-acyltransferase activator activity {GO:0060228}; phospholipid binding {GO:0005543}; protein homodimerization activity {GO:0042803}</t>
  </si>
  <si>
    <t>Chylomicron assembly {R-MMU-8963888}; Chylomicron remodeling {R-MMU-8963901}; Retinoid metabolism and transport {R-MMU-975634}</t>
  </si>
  <si>
    <t>sp|Q9Z1Q5|CLIC1_MOUSE</t>
  </si>
  <si>
    <t>Chloride intracellular channel protein 1</t>
  </si>
  <si>
    <t>Nuclear chloride ion channel 27 (NCC27)</t>
  </si>
  <si>
    <t>CLIC1_MOUSE</t>
  </si>
  <si>
    <t>Q9Z1Q5</t>
  </si>
  <si>
    <t>MGI:2148924</t>
  </si>
  <si>
    <t>Acetylation; Cell membrane; Chloride; Chloride channel; Cytoplasm; Disulfide bond; Ion channel; Ion transport; Membrane; Nucleus; Phosphoprotein; Transmembrane; Transmembrane helix; Transport; Voltage-gated channel</t>
  </si>
  <si>
    <t>Chloride</t>
  </si>
  <si>
    <t>Chloride channel; Ion channel; Voltage-gated channel</t>
  </si>
  <si>
    <t>chloride transport {GO:0006821}; positive regulation of osteoblast differentiation {GO:0045669}; regulation of cell cycle {GO:0051726}; regulation of ion transmembrane transport {GO:0034765}; regulation of mitochondrial membrane potential {GO:0051881}</t>
  </si>
  <si>
    <t>chloride channel complex {GO:0034707}; cytoplasm {GO:0005737}; extracellular exosome {GO:0070062}; membrane {GO:0016020}; mitochondrion {GO:0005739}; nuclear envelope {GO:0005635}; nuclear membrane {GO:0031965}; nucleus {GO:0005634}; perinuclear region of cytoplasm {GO:0048471}; plasma membrane {GO:0005886}</t>
  </si>
  <si>
    <t>chloride channel activity {GO:0005254}; voltage-gated ion channel activity {GO:0005244}</t>
  </si>
  <si>
    <t>sp|Q99KP6|PRP19_MOUSE</t>
  </si>
  <si>
    <t>Pre-mRNA-processing factor 19</t>
  </si>
  <si>
    <t>Nuclear matrix protein 200; PRP19/PSO4 homolog; RING-type E3 ubiquitin transferase PRP19; Senescence evasion factor</t>
  </si>
  <si>
    <t>PRP19_MOUSE</t>
  </si>
  <si>
    <t>Q99KP6</t>
  </si>
  <si>
    <t>Q3TP64; Q4ADG5; Q8BKZ5; Q8BVQ4</t>
  </si>
  <si>
    <t>MGI:106247</t>
  </si>
  <si>
    <t>Acetylation; Alternative splicing; Cytoplasm; Cytoskeleton; DNA damage; DNA repair; Lipid droplet; mRNA processing; mRNA splicing; Nucleus; Repeat; Spliceosome; Transferase; Ubl conjugation pathway; WD repeat</t>
  </si>
  <si>
    <t>DNA damage; DNA repair; Ubl conjugation pathway; mRNA processing; mRNA splicing</t>
  </si>
  <si>
    <t>Cytoplasm; Cytoskeleton; Lipid droplet; Nucleus; Spliceosome</t>
  </si>
  <si>
    <t>DNA damage checkpoint signaling {GO:0000077}; double-strand break repair via nonhomologous end joining {GO:0006303}; lipid biosynthetic process {GO:0008610}; mRNA splicing, via spliceosome {GO:0000398}; positive regulation of astrocyte differentiation {GO:0048711}; positive regulation of mRNA splicing, via spliceosome {GO:0048026}; positive regulation of neuron differentiation {GO:0045666}; proteasomal protein catabolic process {GO:0010498}; protein K63-linked ubiquitination {GO:0070534}; protein localization {GO:0008104}; protein polyubiquitination {GO:0000209}; spliceosomal complex assembly {GO:0000245}; spliceosomal tri-snRNP complex assembly {GO:0000244}</t>
  </si>
  <si>
    <t>catalytic step 2 spliceosome {GO:0071013}; cytoplasm {GO:0005737}; DNA replication factor A complex {GO:0005662}; lipid droplet {GO:0005811}; nuclear speck {GO:0016607}; nucleus {GO:0005634}; Prp19 complex {GO:0000974}; site of double-strand break {GO:0035861}; spindle {GO:0005819}; spliceosomal complex {GO:0005681}; U2-type catalytic step 1 spliceosome {GO:0071006}; U2-type catalytic step 2 spliceosome {GO:0071007}</t>
  </si>
  <si>
    <t>identical protein binding {GO:0042802}; ubiquitin protein ligase activity {GO:0061630}; ubiquitin-protein transferase activity {GO:0004842}; ubiquitin-ubiquitin ligase activity {GO:0034450}</t>
  </si>
  <si>
    <t>Formation of TC-NER Pre-Incision Complex {R-MMU-6781823}; Dual incision in TC-NER {R-MMU-6782135}; Gap-filling DNA repair synthesis and ligation in TC-NER {R-MMU-6782210}; mRNA Splicing - Major Pathway {R-MMU-72163}</t>
  </si>
  <si>
    <t>sp|Q9D6Z1|NOP56_MOUSE</t>
  </si>
  <si>
    <t>Nucleolar protein 56</t>
  </si>
  <si>
    <t>Nucleolar protein 5A</t>
  </si>
  <si>
    <t>NOP56_MOUSE</t>
  </si>
  <si>
    <t>Q9D6Z1</t>
  </si>
  <si>
    <t>Q3UD45; Q8BVL1; Q8VDT2; Q99LT8; Q9CT15</t>
  </si>
  <si>
    <t>Nol5a</t>
  </si>
  <si>
    <t>MGI:1914384</t>
  </si>
  <si>
    <t>Acetylation; Cytoplasm; Isopeptide bond; Methylation; Nucleus; Phosphoprotein; Ribonucleoprotein; Ribosome biogenesis; Ubl conjugation</t>
  </si>
  <si>
    <t>Ribonucleoprotein</t>
  </si>
  <si>
    <t>ribosome biogenesis {GO:0042254}</t>
  </si>
  <si>
    <t>box C/D RNP complex {GO:0031428}; cytoplasm {GO:0005737}; fibrillar center {GO:0001650}; nucleoplasm {GO:0005654}; pre-snoRNP complex {GO:0070761}; small-subunit processome {GO:0032040}; sno(s)RNA-containing ribonucleoprotein complex {GO:0005732}</t>
  </si>
  <si>
    <t>histone methyltransferase binding {GO:1990226}; RNA binding {GO:0003723}; snoRNA binding {GO:0030515}</t>
  </si>
  <si>
    <t>sp|Q9WUM4|COR1C_MOUSE</t>
  </si>
  <si>
    <t>Coronin-1C</t>
  </si>
  <si>
    <t>Coronin-3</t>
  </si>
  <si>
    <t>COR1C_MOUSE</t>
  </si>
  <si>
    <t>Q9WUM4</t>
  </si>
  <si>
    <t>Q499X7; Q8VCQ5</t>
  </si>
  <si>
    <t>MGI:1345964</t>
  </si>
  <si>
    <t>Acetylation; Actin-binding; Cell membrane; Cell projection; Coiled coil; Cytoplasm; Cytoskeleton; Endosome; Membrane; Repeat; WD repeat</t>
  </si>
  <si>
    <t>Cell membrane; Cell projection; Cytoplasm; Cytoskeleton; Endosome; Membrane</t>
  </si>
  <si>
    <t>actin cortical patch assembly {GO:0000147}; actin cytoskeleton organization {GO:0030036}; actin filament organization {GO:0007015}; activation of GTPase activity {GO:0090630}; cell migration {GO:0016477}; corpus callosum development {GO:0022038}; endosomal transport {GO:0016197}; endosome fission {GO:0140285}; endosome membrane tubulation {GO:0097750}; establishment of protein localization {GO:0045184}; membrane fission {GO:0090148}; negative regulation of epithelial cell migration {GO:0010633}; negative regulation of focal adhesion assembly {GO:0051895}; negative regulation of protein kinase activity by regulation of protein phosphorylation {GO:0044387}; negative regulation of protein phosphorylation {GO:0001933}; negative regulation of substrate adhesion-dependent cell spreading {GO:1900025}; neural crest cell migration {GO:0001755}; phagocytosis {GO:0006909}; positive regulation of lamellipodium morphogenesis {GO:2000394}; regulation of epithelial cell migration {GO:0010632}; regulation of fibroblast migration {GO:0010762}; regulation of focal adhesion assembly {GO:0051893}; regulation of protein phosphorylation {GO:0001932}; regulation of ruffle assembly {GO:1900027}; regulation of substrate adhesion-dependent cell spreading {GO:1900024}</t>
  </si>
  <si>
    <t>actin cytoskeleton {GO:0015629}; cell cortex {GO:0005938}; cytoskeleton {GO:0005856}; endosome membrane {GO:0010008}; flotillin complex {GO:0016600}; lamellipodium {GO:0030027}; lateral plasma membrane {GO:0016328}; ruffle membrane {GO:0032587}; vesicle {GO:0031982}</t>
  </si>
  <si>
    <t>actin filament binding {GO:0051015}; small GTPase binding {GO:0031267}</t>
  </si>
  <si>
    <t>sp|Q8R146|ACPH_MOUSE</t>
  </si>
  <si>
    <t>Acylamino-acid-releasing enzyme (AARE)</t>
  </si>
  <si>
    <t>Acyl-peptide hydrolase (APH); Acylaminoacyl-peptidase</t>
  </si>
  <si>
    <t>APEH_MOUSE</t>
  </si>
  <si>
    <t>Q8R146</t>
  </si>
  <si>
    <t>G3X9I2; Q8K029; Q8R0M9</t>
  </si>
  <si>
    <t>MGI:88041</t>
  </si>
  <si>
    <t>Acetylation; Alternative splicing; Cytoplasm; Hydrolase; Phosphoprotein</t>
  </si>
  <si>
    <t>amyloid-beta metabolic process {GO:0050435}; proteolysis {GO:0006508}</t>
  </si>
  <si>
    <t>cytosol {GO:0005829}; nuclear membrane {GO:0031965}</t>
  </si>
  <si>
    <t>identical protein binding {GO:0042802}; omega peptidase activity {GO:0008242}; serine-type endopeptidase activity {GO:0004252}</t>
  </si>
  <si>
    <t>Neutrophil degranulation {R-MMU-6798695}; Eukaryotic Translation Termination {R-MMU-72764}</t>
  </si>
  <si>
    <t>sp|P50516|VATA_MOUSE</t>
  </si>
  <si>
    <t>V-type proton ATPase catalytic subunit A (V-ATPase subunit A)</t>
  </si>
  <si>
    <t>V-ATPase 69 kDa subunit; Vacuolar proton pump subunit alpha</t>
  </si>
  <si>
    <t>VATA_MOUSE</t>
  </si>
  <si>
    <t>P50516</t>
  </si>
  <si>
    <t>Q3TKS0; Q3U5W3; Q3U777; Q3UDZ9; Q3US31; Q8CHX2</t>
  </si>
  <si>
    <t>Atp6a1; Atp6a2; Atp6v1a1</t>
  </si>
  <si>
    <t>MGI:1201780</t>
  </si>
  <si>
    <t>Alternative splicing; ATP-binding; Cytoplasm; Cytoplasmic vesicle; Hydrogen ion transport; Ion transport; Lysosome; Membrane; Nucleotide-binding; Phosphoprotein; Translocase; Transport</t>
  </si>
  <si>
    <t>Cytoplasm; Cytoplasmic vesicle; Lysosome; Membrane</t>
  </si>
  <si>
    <t>cellular iron ion homeostasis {GO:0006879}; cellular response to increased oxygen levels {GO:0036295}; proton transmembrane transport {GO:1902600}</t>
  </si>
  <si>
    <t>apical plasma membrane {GO:0016324}; clathrin-coated vesicle membrane {GO:0030665}; cytoplasm {GO:0005737}; cytosol {GO:0005829}; intracellular membrane-bounded organelle {GO:0043231}; lysosome {GO:0005764}; membrane {GO:0016020}; microvillus {GO:0005902}; mitochondrion {GO:0005739}; myelin sheath {GO:0043209}; nucleoplasm {GO:0005654}; plasma membrane {GO:0005886}; secretory granule {GO:0030141}; transport vesicle {GO:0030133}; vacuolar proton-transporting V-type ATPase, V1 domain {GO:0000221}</t>
  </si>
  <si>
    <t>ATP binding {GO:0005524}; proton-transporting ATP synthase activity, rotational mechanism {GO:0046933}; proton-transporting ATPase activity, rotational mechanism {GO:0046961}</t>
  </si>
  <si>
    <t>sp|P17225|PTBP1_MOUSE</t>
  </si>
  <si>
    <t>Polypyrimidine tract-binding protein 1 (PTB)</t>
  </si>
  <si>
    <t>Heterogeneous nuclear ribonucleoprotein I (hnRNP I)</t>
  </si>
  <si>
    <t>PTBP1_MOUSE</t>
  </si>
  <si>
    <t>P17225</t>
  </si>
  <si>
    <t>Q8BGJ5; Q922I7</t>
  </si>
  <si>
    <t>Ptb</t>
  </si>
  <si>
    <t>MGI:97791</t>
  </si>
  <si>
    <t>Acetylation; Activator; Alternative splicing; Isopeptide bond; mRNA processing; mRNA splicing; Nucleus; Phosphoprotein; Repeat; Repressor; RNA-binding; Ubl conjugation</t>
  </si>
  <si>
    <t>Activator; RNA-binding; Repressor</t>
  </si>
  <si>
    <t>3'-UTR-mediated mRNA stabilization {GO:0070935}; gene expression {GO:0010467}; IRES-dependent viral translational initiation {GO:0075522}; mRNA processing {GO:0006397}; negative regulation of mRNA splicing, via spliceosome {GO:0048025}; negative regulation of muscle cell differentiation {GO:0051148}; negative regulation of neuron differentiation {GO:0045665}; negative regulation of RNA splicing {GO:0033119}; neurogenesis {GO:0022008}; nuclear-transcribed mRNA catabolic process {GO:0000956}; positive regulation of calcineurin-NFAT signaling cascade {GO:0070886}; positive regulation of insulin secretion {GO:0032024}; positive regulation of neuron projection development {GO:0010976}; positive regulation of protein dephosphorylation {GO:0035307}; positive regulation of secretory granule organization {GO:1904411}; positive regulation of transcription by RNA polymerase II {GO:0045944}; positive regulation of translation {GO:0045727}; regulation of alternative mRNA splicing, via spliceosome {GO:0000381}; regulation of cell differentiation {GO:0045595}; regulation of RNA splicing {GO:0043484}; RNA splicing {GO:0008380}</t>
  </si>
  <si>
    <t>cytoplasm {GO:0005737}; neuron projection terminus {GO:0044306}; nucleus {GO:0005634}</t>
  </si>
  <si>
    <t>mRNA binding {GO:0003729}; pre-mRNA binding {GO:0036002}; regulatory region RNA binding {GO:0001069}; RNA binding {GO:0003723}; sequence-specific DNA binding {GO:0043565}; single-stranded DNA binding {GO:0003697}; single-stranded DNA endodeoxyribonuclease activity {GO:0000014}</t>
  </si>
  <si>
    <t>sp|P54728|RD23B_MOUSE</t>
  </si>
  <si>
    <t>UV excision repair protein RAD23 homolog B (HR23B; mHR23B)</t>
  </si>
  <si>
    <t>XP-C repair-complementing complex 58 kDa protein (p58)</t>
  </si>
  <si>
    <t>RD23B_MOUSE</t>
  </si>
  <si>
    <t>P54728</t>
  </si>
  <si>
    <t>Q3TUA4</t>
  </si>
  <si>
    <t>Mhr23b</t>
  </si>
  <si>
    <t>MGI:105128</t>
  </si>
  <si>
    <t>3D-structure; Cytoplasm; DNA damage; DNA repair; Nucleus; Phosphoprotein; Proteasome; Repeat; Ubl conjugation pathway</t>
  </si>
  <si>
    <t>cellular response to DNA damage stimulus {GO:0006974}; cellular response to interleukin-7 {GO:0098761}; embryonic organ development {GO:0048568}; nucleotide-excision repair {GO:0006289}; proteasome-mediated ubiquitin-dependent protein catabolic process {GO:0043161}; regulation of proteasomal ubiquitin-dependent protein catabolic process {GO:0032434}; spermatogenesis {GO:0007283}</t>
  </si>
  <si>
    <t>cytoplasm {GO:0005737}; cytosol {GO:0005829}; nucleoplasm {GO:0005654}; nucleus {GO:0005634}; proteasome complex {GO:0000502}; XPC complex {GO:0071942}</t>
  </si>
  <si>
    <t>damaged DNA binding {GO:0003684}; DNA damage sensor activity {GO:0140612}; polyubiquitin modification-dependent protein binding {GO:0031593}; proteasome binding {GO:0070628}; RNA polymerase II cis-regulatory region sequence-specific DNA binding {GO:0000978}; RNA polymerase II-specific DNA-binding transcription factor binding {GO:0061629}; transcription cis-regulatory region binding {GO:0000976}; ubiquitin binding {GO:0043130}</t>
  </si>
  <si>
    <t>N-glycan trimming in the ER and Calnexin/Calreticulin cycle {R-MMU-532668}; Josephin domain DUBs {R-MMU-5689877}; DNA Damage Recognition in GG-NER {R-MMU-5696394}; Formation of Incision Complex in GG-NER {R-MMU-5696395}</t>
  </si>
  <si>
    <t>sp|Q62048|PEA15_MOUSE</t>
  </si>
  <si>
    <t>Astrocytic phosphoprotein PEA-15</t>
  </si>
  <si>
    <t>15 kDa phosphoprotein enriched in astrocytes</t>
  </si>
  <si>
    <t>PEA15_MOUSE</t>
  </si>
  <si>
    <t>Q62048</t>
  </si>
  <si>
    <t>Q3U5N7</t>
  </si>
  <si>
    <t>Pea15a</t>
  </si>
  <si>
    <t>MGI:104799</t>
  </si>
  <si>
    <t>3D-structure; Alternative splicing; Apoptosis; Cytoplasm; Phosphoprotein; Sugar transport; Transport</t>
  </si>
  <si>
    <t>Apoptosis; Sugar transport; Transport</t>
  </si>
  <si>
    <t>apoptotic process {GO:0006915}; carbohydrate transport {GO:0008643}; intracellular signal transduction {GO:0035556}; MAPK cascade {GO:0000165}; negative regulation of extrinsic apoptotic signaling pathway via death domain receptors {GO:1902042}; negative regulation of glucose import {GO:0046325}; positive regulation of extrinsic apoptotic signaling pathway via death domain receptors {GO:1902043}</t>
  </si>
  <si>
    <t>cytosol {GO:0005829}; microtubule associated complex {GO:0005875}; nucleoplasm {GO:0005654}</t>
  </si>
  <si>
    <t>protein kinase C binding {GO:0005080}</t>
  </si>
  <si>
    <t>RAF-independent MAPK1/3 activation {R-MMU-112409}; RAF/MAP kinase cascade {R-MMU-5673001}</t>
  </si>
  <si>
    <t>sp|Q62086|PON2_MOUSE</t>
  </si>
  <si>
    <t>Serum paraoxonase/arylesterase 2 (PON 2)</t>
  </si>
  <si>
    <t>Aromatic esterase 2 (A-esterase 2); Serum aryldialkylphosphatase 2</t>
  </si>
  <si>
    <t>PON2_MOUSE</t>
  </si>
  <si>
    <t>Q62086</t>
  </si>
  <si>
    <t>Q3TAD3; Q8CFK3</t>
  </si>
  <si>
    <t>MGI:106687</t>
  </si>
  <si>
    <t>Calcium; Disulfide bond; Glycoprotein; Hydrolase; Membrane; Metal-binding; Signal</t>
  </si>
  <si>
    <t>aromatic compound catabolic process {GO:0019439}; response to oxidative stress {GO:0006979}; response to toxic substance {GO:0009636}</t>
  </si>
  <si>
    <t>extracellular region {GO:0005576}; intracellular membrane-bounded organelle {GO:0043231}; lysosome {GO:0005764}; mitochondrion {GO:0005739}; nucleus {GO:0005634}; plasma membrane {GO:0005886}</t>
  </si>
  <si>
    <t>acyl-L-homoserine-lactone lactonohydrolase activity {GO:0102007}; arylesterase activity {GO:0004064}; identical protein binding {GO:0042802}; metal ion binding {GO:0046872}</t>
  </si>
  <si>
    <t>Synthesis of 5-eicosatetraenoic acids {R-MMU-2142688}</t>
  </si>
  <si>
    <t>sp|Q61474|MSI1H_MOUSE</t>
  </si>
  <si>
    <t>RNA-binding protein Musashi homolog 1 (Musashi-1)</t>
  </si>
  <si>
    <t>MSI1H_MOUSE</t>
  </si>
  <si>
    <t>Q61474</t>
  </si>
  <si>
    <t>Q8BNC7</t>
  </si>
  <si>
    <t>Msi1h</t>
  </si>
  <si>
    <t>MGI:107376</t>
  </si>
  <si>
    <t>3D-structure; Acetylation; Alternative splicing; Cytoplasm; Nucleus; Phosphoprotein; Repeat; RNA-binding</t>
  </si>
  <si>
    <t>central nervous system development {GO:0007417}; epithelial cell differentiation {GO:0030855}; regulation of translation {GO:0006417}; response to hormone {GO:0009725}</t>
  </si>
  <si>
    <t>cytoplasm {GO:0005737}; cytosol {GO:0005829}; nucleus {GO:0005634}; polysome {GO:0005844}</t>
  </si>
  <si>
    <t>identical protein binding {GO:0042802}; mRNA binding {GO:0003729}; poly(U) RNA binding {GO:0008266}; single-stranded RNA binding {GO:0003727}</t>
  </si>
  <si>
    <t>sp|Q91VR2|ATPG_MOUSE</t>
  </si>
  <si>
    <t>ATP synthase subunit gamma, mitochondrial</t>
  </si>
  <si>
    <t>ATP synthase F1 subunit gamma; F-ATPase gamma subunit</t>
  </si>
  <si>
    <t>ATPG_MOUSE</t>
  </si>
  <si>
    <t>Q91VR2</t>
  </si>
  <si>
    <t>Atp5c1</t>
  </si>
  <si>
    <t>MGI:1261437</t>
  </si>
  <si>
    <t>Acetylation; ATP synthesis; CF(1); Hydrogen ion transport; Ion transport; Membrane; Mitochondrion; Mitochondrion inner membrane; Phosphoprotein; Transit peptide; Transport</t>
  </si>
  <si>
    <t>mitochondrial inner membrane {GO:0005743}; mitochondrial proton-transporting ATP synthase complex {GO:0005753}; mitochondrial proton-transporting ATP synthase complex, catalytic sector F(1) {GO:0000275}; mitochondrion {GO:0005739}; myelin sheath {GO:0043209}; proton-transporting ATP synthase complex, catalytic core F(1) {GO:0045261}</t>
  </si>
  <si>
    <t>ATP hydrolysis activity {GO:0016887}; proton-transporting ATP synthase activity, rotational mechanism {GO:0046933}</t>
  </si>
  <si>
    <t>sp|Q3TEA8|HP1B3_MOUSE</t>
  </si>
  <si>
    <t>Heterochromatin protein 1-binding protein 3</t>
  </si>
  <si>
    <t>HP1B3_MOUSE</t>
  </si>
  <si>
    <t>Q3TEA8</t>
  </si>
  <si>
    <t>A2AM64; A2AM68; Q3TM38; Q3TU07; Q61688; Q8BT17; Q8C6H2; Q8C911; Q8VE06; Q99KR0; Q9DBI1</t>
  </si>
  <si>
    <t>MGI:109369</t>
  </si>
  <si>
    <t>Acetylation; Alternative splicing; Chromosome; DNA-binding; Isopeptide bond; Nucleus; Phosphoprotein; Repeat; Ubl conjugation</t>
  </si>
  <si>
    <t>cellular response to hypoxia {GO:0071456}; heterochromatin organization {GO:0070828}; nucleosome assembly {GO:0006334}; regulation of cell population proliferation {GO:0042127}; regulation of DNA-templated transcription {GO:0006355}; regulation of nucleus size {GO:0097298}</t>
  </si>
  <si>
    <t>chromosome {GO:0005694}; nuclear speck {GO:0016607}; nucleosome {GO:0000786}; nucleus {GO:0005634}</t>
  </si>
  <si>
    <t>DNA binding {GO:0003677}; nucleosome binding {GO:0031491}; structural constituent of chromatin {GO:0030527}</t>
  </si>
  <si>
    <t>sp|Q60932|VDAC1_MOUSE</t>
  </si>
  <si>
    <t>Voltage-dependent anion-selective channel protein 1 (VDAC-1; mVDAC1)</t>
  </si>
  <si>
    <t>Outer mitochondrial membrane protein porin 1; Plasmalemmal porin; Voltage-dependent anion-selective channel protein 5 (VDAC-5; mVDAC5)</t>
  </si>
  <si>
    <t>VDAC1_MOUSE</t>
  </si>
  <si>
    <t>Q60932</t>
  </si>
  <si>
    <t>B1ASZ9; Q5SVC6</t>
  </si>
  <si>
    <t>Vdac5</t>
  </si>
  <si>
    <t>MGI:106919</t>
  </si>
  <si>
    <t>3D-structure; Acetylation; Alternative splicing; Apoptosis; Cell membrane; Ion transport; Isopeptide bond; Lipid-binding; Membrane; Mitochondrion; Mitochondrion outer membrane; NAD; Nucleotide-binding; Phosphoprotein; Porin; Transmembrane; Transmembrane beta strand; Transport; Ubl conjugation</t>
  </si>
  <si>
    <t>Apoptosis; Ion transport; Transport</t>
  </si>
  <si>
    <t>Cell membrane; Membrane; Mitochondrion; Mitochondrion outer membrane</t>
  </si>
  <si>
    <t>anion transport {GO:0006820}; apoptotic process {GO:0006915}; behavioral fear response {GO:0001662}; chemical synaptic transmission {GO:0007268}; epithelial cell differentiation {GO:0030855}; learning {GO:0007612}; mitochondrial calcium ion transmembrane transport {GO:0006851}; negative regulation of apoptotic process {GO:0043066}; negative regulation of calcium import into the mitochondrion {GO:0110099}; negative regulation of reactive oxygen species metabolic process {GO:2000378}; neuron-neuron synaptic transmission {GO:0007270}; positive regulation of parkin-mediated stimulation of mitophagy in response to mitochondrial depolarization {GO:1905091}; regulation of autophagy of mitochondrion {GO:1903146}</t>
  </si>
  <si>
    <t>membrane {GO:0016020}; membrane raft {GO:0045121}; mitochondrial inner membrane {GO:0005743}; mitochondrial membrane {GO:0031966}; mitochondrial nucleoid {GO:0042645}; mitochondrial outer membrane {GO:0005741}; mitochondrial permeability transition pore complex {GO:0005757}; mitochondrion {GO:0005739}; myelin sheath {GO:0043209}; plasma membrane {GO:0005886}; protein-containing complex {GO:0032991}; synaptic vesicle {GO:0008021}</t>
  </si>
  <si>
    <t>anion channel activity {GO:0005253}; ceramide binding {GO:0097001}; cholesterol binding {GO:0015485}; identical protein binding {GO:0042802}; nucleotide binding {GO:0000166}; phosphatidylcholine binding {GO:0031210}; porin activity {GO:0015288}; protein kinase binding {GO:0019901}; protein-containing complex binding {GO:0044877}; transmembrane transporter binding {GO:0044325}; voltage-gated anion channel activity {GO:0008308}</t>
  </si>
  <si>
    <t>PINK1-PRKN Mediated Mitophagy {R-MMU-5205685}; Ub-specific processing proteases {R-MMU-5689880}; Pyruvate metabolism {R-MMU-70268}</t>
  </si>
  <si>
    <t>sp|Q9CX56|PSMD8_MOUSE</t>
  </si>
  <si>
    <t>26S proteasome non-ATPase regulatory subunit 8</t>
  </si>
  <si>
    <t>26S proteasome regulatory subunit RPN12; 26S proteasome regulatory subunit S14</t>
  </si>
  <si>
    <t>PSMD8_MOUSE</t>
  </si>
  <si>
    <t>Q9CX56</t>
  </si>
  <si>
    <t>MGI:1888669</t>
  </si>
  <si>
    <t>Isopeptide bond; Proteasome; Ubl conjugation</t>
  </si>
  <si>
    <t>Isopeptide bond; Ubl conjugation</t>
  </si>
  <si>
    <t>nucleus {GO:0005634}; proteasome accessory complex {GO:0022624}; proteasome complex {GO:0000502}; proteasome regulatory particle, lid subcomplex {GO:0008541}</t>
  </si>
  <si>
    <t>sp|Q9D8B3|CHM4B_MOUSE</t>
  </si>
  <si>
    <t>Charged multivesicular body protein 4b</t>
  </si>
  <si>
    <t>Chromatin-modifying protein 4b (CHMP4b)</t>
  </si>
  <si>
    <t>CHM4B_MOUSE</t>
  </si>
  <si>
    <t>Q9D8B3</t>
  </si>
  <si>
    <t>A2AVM1; Q3TXM7; Q91VM7; Q922P1</t>
  </si>
  <si>
    <t>MGI:1922858</t>
  </si>
  <si>
    <t>Acetylation; Coiled coil; Cytoplasm; Endosome; Membrane; Nucleus; Phosphoprotein; Protein transport; Transport; Ubl conjugation</t>
  </si>
  <si>
    <t>Cytoplasm; Endosome; Membrane; Nucleus</t>
  </si>
  <si>
    <t>autophagosome maturation {GO:0097352}; autophagy {GO:0006914}; exit from mitosis {GO:0010458}; late endosome to lysosome transport {GO:1902774}; late endosome to vacuole transport via multivesicular body sorting pathway {GO:0032511}; maintenance of lens transparency {GO:0036438}; membrane fission {GO:0090148}; midbody abscission {GO:0061952}; mitotic cytokinesis {GO:0000281}; mitotic metaphase plate congression {GO:0007080}; multivesicular body assembly {GO:0036258}; multivesicular body sorting pathway {GO:0071985}; multivesicular body-lysosome fusion {GO:0061763}; negative regulation of autophagosome assembly {GO:1902902}; negative regulation of cell death {GO:0060548}; negative regulation of neuron death {GO:1901215}; nuclear membrane reassembly {GO:0031468}; nucleus organization {GO:0006997}; plasma membrane repair {GO:0001778}; post-translational protein targeting to endoplasmic reticulum membrane {GO:0006620}; protein polymerization {GO:0051258}; regulation of autophagy {GO:0010506}; regulation of centrosome duplication {GO:0010824}; regulation of mitotic spindle assembly {GO:1901673}; ubiquitin-dependent protein catabolic process via the multivesicular body sorting pathway {GO:0043162}; ubiquitin-independent protein catabolic process via the multivesicular body sorting pathway {GO:0090611}; vesicle budding from membrane {GO:0006900}; vesicle fusion with vacuole {GO:0051469}; viral budding {GO:0046755}; viral budding from plasma membrane {GO:0046761}; viral budding via host ESCRT complex {GO:0039702}</t>
  </si>
  <si>
    <t>amphisome membrane {GO:1904930}; autophagosome membrane {GO:0000421}; cytoplasm {GO:0005737}; cytoplasmic side of plasma membrane {GO:0009898}; cytosol {GO:0005829}; endosome {GO:0005768}; ESCRT III complex {GO:0000815}; glutamatergic synapse {GO:0098978}; kinetochore {GO:0000776}; kinetochore microtubule {GO:0005828}; lysosomal membrane {GO:0005765}; membrane {GO:0016020}; membrane coat {GO:0030117}; midbody {GO:0030496}; multivesicular body {GO:0005771}; multivesicular body membrane {GO:0032585}; nuclear envelope {GO:0005635}; nuclear pore {GO:0005643}; nucleus {GO:0005634}; plasma membrane {GO:0005886}; postsynaptic density {GO:0014069}; vesicle {GO:0031982}</t>
  </si>
  <si>
    <t>identical protein binding {GO:0042802}; protein homodimerization activity {GO:0042803}</t>
  </si>
  <si>
    <t>Macroautophagy {R-MMU-1632852}; Pyroptosis {R-MMU-5620971}; Endosomal Sorting Complex Required For Transport (ESCRT) {R-MMU-917729}; Sealing of the nuclear envelope (NE) by ESCRT-III {R-MMU-9668328}</t>
  </si>
  <si>
    <t>sp|P14901|HMOX1_MOUSE</t>
  </si>
  <si>
    <t>Heme oxygenase 1 soluble form</t>
  </si>
  <si>
    <t>P32 protein</t>
  </si>
  <si>
    <t>HMOX1_MOUSE</t>
  </si>
  <si>
    <t>P14901</t>
  </si>
  <si>
    <t>MGI:96163</t>
  </si>
  <si>
    <t>Apoptosis; Endoplasmic reticulum; Heme; Iron; Membrane; Metal-binding; Oxidoreductase; Phosphoprotein; Transmembrane; Transmembrane helix</t>
  </si>
  <si>
    <t>angiogenesis {GO:0001525}; cellular iron ion homeostasis {GO:0006879}; cellular response to arsenic-containing substance {GO:0071243}; cellular response to cadmium ion {GO:0071276}; cellular response to cisplatin {GO:0072719}; cellular response to heat {GO:0034605}; cellular response to hypoxia {GO:0071456}; cellular response to nutrient {GO:0031670}; epithelial cell apoptotic process {GO:1904019}; erythrocyte homeostasis {GO:0034101}; heme catabolic process {GO:0042167}; heme metabolic process {GO:0042168}; heme oxidation {GO:0006788}; intracellular signal transduction {GO:0035556}; intrinsic apoptotic signaling pathway in response to DNA damage {GO:0008630}; iron ion homeostasis {GO:0055072}; liver regeneration {GO:0097421}; macroautophagy {GO:0016236}; negative regulation of cell population proliferation {GO:0008285}; negative regulation of DNA binding {GO:0043392}; negative regulation of DNA-binding transcription factor activity {GO:0043433}; negative regulation of epithelial cell apoptotic process {GO:1904036}; negative regulation of extrinsic apoptotic signaling pathway via death domain receptors {GO:1902042}; negative regulation of macroautophagy {GO:0016242}; negative regulation of mast cell cytokine production {GO:0032764}; negative regulation of mast cell degranulation {GO:0043305}; negative regulation of muscle cell apoptotic process {GO:0010656}; negative regulation of neuron apoptotic process {GO:0043524}; negative regulation of smooth muscle cell proliferation {GO:0048662}; negative regulation of vascular associated smooth muscle cell proliferation {GO:1904706}; positive regulation of angiogenesis {GO:0045766}; positive regulation of blood vessel endothelial cell proliferation involved in sprouting angiogenesis {GO:1903589}; positive regulation of cell migration involved in sprouting angiogenesis {GO:0090050}; positive regulation of epithelial cell apoptotic process {GO:1904037}; positive regulation of macroautophagy {GO:0016239}; positive regulation of smooth muscle cell proliferation {GO:0048661}; regulation of blood pressure {GO:0008217}; regulation of DNA-binding transcription factor activity {GO:0051090}; regulation of transcription from RNA polymerase II promoter in response to iron {GO:0034395}; regulation of transcription from RNA polymerase II promoter in response to oxidative stress {GO:0043619}; response to estrogen {GO:0043627}; response to hydrogen peroxide {GO:0042542}; response to hypoxia {GO:0001666}; response to nicotine {GO:0035094}; response to oxidative stress {GO:0006979}; response to xenobiotic stimulus {GO:0009410}; small GTPase mediated signal transduction {GO:0007264}; wound healing involved in inflammatory response {GO:0002246}</t>
  </si>
  <si>
    <t>caveola {GO:0005901}; cytosol {GO:0005829}; endoplasmic reticulum {GO:0005783}; endoplasmic reticulum membrane {GO:0005789}; integral component of membrane {GO:0016021}; nucleolus {GO:0005730}; nucleus {GO:0005634}; perinuclear region of cytoplasm {GO:0048471}</t>
  </si>
  <si>
    <t>enzyme binding {GO:0019899}; heme binding {GO:0020037}; heme oxygenase (decyclizing) activity {GO:0004392}; identical protein binding {GO:0042802}; metal ion binding {GO:0046872}; phospholipase D activity {GO:0004630}; protein homodimerization activity {GO:0042803}; structural molecule activity {GO:0005198}</t>
  </si>
  <si>
    <t>Heme degradation {R-MMU-189483}; Iron uptake and transport {R-MMU-917937}; Insertion of tail-anchored proteins into the endoplasmic reticulum membrane {R-MMU-9609523}; Cytoprotection by HMOX1 {R-MMU-9707564}; Regulation of HMOX1 expression and activity {R-MMU-9707587}</t>
  </si>
  <si>
    <t>tr|Q6DFZ1|Q6DFZ1_MOUSE</t>
  </si>
  <si>
    <t>sp|Q9JLJ2|AL9A1_MOUSE</t>
  </si>
  <si>
    <t>4-trimethylaminobutyraldehyde dehydrogenase (TMABA-DH; TMABADH)</t>
  </si>
  <si>
    <t>Aldehyde dehydrogenase family 9 member A1</t>
  </si>
  <si>
    <t>AL9A1_MOUSE</t>
  </si>
  <si>
    <t>Q9JLJ2</t>
  </si>
  <si>
    <t>Q3U367</t>
  </si>
  <si>
    <t>MGI:1861622</t>
  </si>
  <si>
    <t>Acetylation; Alternative initiation; Cytoplasm; NAD; Oxidoreductase</t>
  </si>
  <si>
    <t>carnitine biosynthetic process {GO:0045329}; carnitine metabolic process {GO:0009437}; cellular aldehyde metabolic process {GO:0006081}; neurotransmitter biosynthetic process {GO:0042136}; protein homotetramerization {GO:0051289}</t>
  </si>
  <si>
    <t>4-trimethylammoniobutyraldehyde dehydrogenase activity {GO:0047105}; aldehyde dehydrogenase (NAD+) activity {GO:0004029}; amine binding {GO:0043176}; aminobutyraldehyde dehydrogenase activity {GO:0019145}; glyceraldehyde-3-phosphate dehydrogenase (NAD+) (non-phosphorylating) activity {GO:0043878}; identical protein binding {GO:0042802}; NAD binding {GO:0051287}; oxidoreductase activity, acting on the aldehyde or oxo group of donors, NAD or NADP as acceptor {GO:0016620}</t>
  </si>
  <si>
    <t>Amine and polyamine biosynthesis; carnitine biosynthesis.</t>
  </si>
  <si>
    <t>Carnitine synthesis {R-MMU-71262}</t>
  </si>
  <si>
    <t>sp|Q71LX4|TLN2_MOUSE</t>
  </si>
  <si>
    <t>Talin-2</t>
  </si>
  <si>
    <t>TLN2_MOUSE</t>
  </si>
  <si>
    <t>Q71LX4</t>
  </si>
  <si>
    <t>E9QM49; Q8BWK0</t>
  </si>
  <si>
    <t>MGI:1917799</t>
  </si>
  <si>
    <t>3D-structure; Cell junction; Cell membrane; Cytoplasm; Cytoskeleton; Membrane; Phosphoprotein; Synapse</t>
  </si>
  <si>
    <t>Cell junction; Cell membrane; Cytoplasm; Cytoskeleton; Membrane; Synapse</t>
  </si>
  <si>
    <t>cell-cell adhesion {GO:0098609}</t>
  </si>
  <si>
    <t>cytoplasm {GO:0005737}; cytoskeleton {GO:0005856}; fascia adherens {GO:0005916}; focal adhesion {GO:0005925}; plasma membrane {GO:0005886}; ruffle {GO:0001726}; synapse {GO:0045202}</t>
  </si>
  <si>
    <t>actin filament binding {GO:0051015}; integrin binding {GO:0005178}; structural constituent of cytoskeleton {GO:0005200}</t>
  </si>
  <si>
    <t>sp|Q9DB20|ATPO_MOUSE</t>
  </si>
  <si>
    <t>ATP synthase subunit O, mitochondrial</t>
  </si>
  <si>
    <t>ATP synthase peripheral stalk subunit OSCP; Oligomycin sensitivity conferral protein (OSCP)</t>
  </si>
  <si>
    <t>ATPO_MOUSE</t>
  </si>
  <si>
    <t>Q9DB20</t>
  </si>
  <si>
    <t>Atp5o; D12Wsu28e</t>
  </si>
  <si>
    <t>MGI:106341</t>
  </si>
  <si>
    <t>Acetylation; ATP synthesis; Hydrogen ion transport; Ion transport; Membrane; Mitochondrion; Mitochondrion inner membrane; Transit peptide; Transport</t>
  </si>
  <si>
    <t>ATP biosynthetic process {GO:0006754}; ATP metabolic process {GO:0046034}; proton motive force-driven ATP synthesis {GO:0015986}; proton motive force-driven mitochondrial ATP synthesis {GO:0042776}</t>
  </si>
  <si>
    <t>cell surface {GO:0009986}; mitochondrial proton-transporting ATP synthase complex {GO:0005753}; mitochondrial proton-transporting ATP synthase complex, coupling factor F(o) {GO:0000276}; mitochondrial proton-transporting ATP synthase, stator stalk {GO:0000274}; mitochondrion {GO:0005739}; myelin sheath {GO:0043209}; plasma membrane {GO:0005886}; proton-transporting ATP synthase complex, catalytic core F(1) {GO:0045261}</t>
  </si>
  <si>
    <t>ATP hydrolysis activity {GO:0016887}; estradiol binding {GO:1903924}; protein-containing complex binding {GO:0044877}; proton-transporting ATP synthase activity, rotational mechanism {GO:0046933}</t>
  </si>
  <si>
    <t>sp|Q5FWK3|RHG01_MOUSE</t>
  </si>
  <si>
    <t>Rho GTPase-activating protein 1</t>
  </si>
  <si>
    <t>Rho-type GTPase-activating protein 1</t>
  </si>
  <si>
    <t>RHG01_MOUSE</t>
  </si>
  <si>
    <t>Q5FWK3</t>
  </si>
  <si>
    <t>Q8C3X5; Q923D8</t>
  </si>
  <si>
    <t>MGI:2445003</t>
  </si>
  <si>
    <t>Acetylation; Cytoplasm; GTPase activation; Phosphoprotein; SH3-binding</t>
  </si>
  <si>
    <t>SH3-binding</t>
  </si>
  <si>
    <t>endosomal transport {GO:0016197}; negative regulation of endocytic recycling {GO:2001136}; regulation of GTPase activity {GO:0043087}; small GTPase mediated signal transduction {GO:0007264}; transferrin transport {GO:0033572}</t>
  </si>
  <si>
    <t>cell leading edge {GO:0031252}; cytoplasm {GO:0005737}; endosome membrane {GO:0010008}; perinuclear region of cytoplasm {GO:0048471}; plasma membrane {GO:0005886}; ruffle {GO:0001726}; sorting endosome {GO:0097443}</t>
  </si>
  <si>
    <t>GTPase activator activity {GO:0005096}; SH3 domain binding {GO:0017124}; small GTPase binding {GO:0031267}</t>
  </si>
  <si>
    <t>RHOA GTPase cycle {R-MMU-8980692}; RHOB GTPase cycle {R-MMU-9013026}; RHOC GTPase cycle {R-MMU-9013106}; CDC42 GTPase cycle {R-MMU-9013148}; RAC1 GTPase cycle {R-MMU-9013149}; RAC2 GTPase cycle {R-MMU-9013404}; RHOD GTPase cycle {R-MMU-9013405}; RHOQ GTPase cycle {R-MMU-9013406}; RHOG GTPase cycle {R-MMU-9013408}; RHOJ GTPase cycle {R-MMU-9013409}; RAC3 GTPase cycle {R-MMU-9013423}; RHOF GTPase cycle {R-MMU-9035034}; RND2 GTPase cycle {R-MMU-9696270}</t>
  </si>
  <si>
    <t>sp|Q9CZC8|SCRN1_MOUSE</t>
  </si>
  <si>
    <t>Secernin-1</t>
  </si>
  <si>
    <t>SCRN1_MOUSE</t>
  </si>
  <si>
    <t>Q9CZC8</t>
  </si>
  <si>
    <t>Q3UKR2; Q8CCL3</t>
  </si>
  <si>
    <t>Kiaa0193</t>
  </si>
  <si>
    <t>MGI:1917188</t>
  </si>
  <si>
    <t>Cytoplasm; Exocytosis</t>
  </si>
  <si>
    <t>Exocytosis</t>
  </si>
  <si>
    <t>exocytosis {GO:0006887}; proteolysis {GO:0006508}</t>
  </si>
  <si>
    <t>cytoplasm {GO:0005737}; nuclear membrane {GO:0031965}; nucleus {GO:0005634}</t>
  </si>
  <si>
    <t>cysteine-type exopeptidase activity {GO:0070004}; dipeptidase activity {GO:0016805}</t>
  </si>
  <si>
    <t>sp|P56959|FUS_MOUSE</t>
  </si>
  <si>
    <t>RNA-binding protein FUS</t>
  </si>
  <si>
    <t>Protein pigpen</t>
  </si>
  <si>
    <t>FUS_MOUSE</t>
  </si>
  <si>
    <t>P56959</t>
  </si>
  <si>
    <t>MGI:1353633</t>
  </si>
  <si>
    <t>DNA-binding; Isopeptide bond; Metal-binding; Methylation; Nucleus; Phosphoprotein; Repeat; RNA-binding; Ubl conjugation; Zinc; Zinc-finger</t>
  </si>
  <si>
    <t>amyloid fibril formation {GO:1990000}; cellular response to calcium ion {GO:0071277}; gene expression {GO:0010467}; mRNA stabilization {GO:0048255}; positive regulation of double-strand break repair via homologous recombination {GO:1905168}; protein homooligomerization {GO:0051260}; regulation of DNA-templated transcription {GO:0006355}; regulation of RNA splicing {GO:0043484}; regulation of transcription by RNA polymerase II {GO:0006357}; RNA splicing {GO:0008380}</t>
  </si>
  <si>
    <t>cytoplasm {GO:0005737}; dendrite {GO:0030425}; dendritic spine {GO:0043197}; dendritic spine head {GO:0044327}; intracellular non-membrane-bounded organelle {GO:0043232}; neuronal cell body {GO:0043025}; nucleoplasm {GO:0005654}; nucleus {GO:0005634}; perikaryon {GO:0043204}; perinuclear region of cytoplasm {GO:0048471}; polysome {GO:0005844}</t>
  </si>
  <si>
    <t>chromatin binding {GO:0003682}; DNA binding {GO:0003677}; identical protein binding {GO:0042802}; ionotropic glutamate receptor binding {GO:0035255}; metal ion binding {GO:0046872}; molecular condensate scaffold activity {GO:0140693}; mRNA 3'-UTR binding {GO:0003730}; myosin V binding {GO:0031489}; nuclear estrogen receptor binding {GO:0030331}; nuclear retinoid X receptor binding {GO:0046965}; nuclear thyroid hormone receptor binding {GO:0046966}; RNA binding {GO:0003723}; transcription coactivator activity {GO:0003713}; transcription coregulator activity {GO:0003712}</t>
  </si>
  <si>
    <t>sp|O08795|GLU2B_MOUSE</t>
  </si>
  <si>
    <t>Glucosidase 2 subunit beta</t>
  </si>
  <si>
    <t>80K-H protein; Glucosidase II subunit beta; Protein kinase C substrate 60.1 kDa protein heavy chain (PKCSH)</t>
  </si>
  <si>
    <t>GLU2B_MOUSE</t>
  </si>
  <si>
    <t>O08795</t>
  </si>
  <si>
    <t>Q921X2</t>
  </si>
  <si>
    <t>MGI:107877</t>
  </si>
  <si>
    <t>3D-structure; Alternative splicing; Calcium; Disulfide bond; Endoplasmic reticulum; Glycoprotein; Metal-binding; Phosphoprotein; Repeat; Signal</t>
  </si>
  <si>
    <t>in utero embryonic development {GO:0001701}; liver development {GO:0001889}; N-glycan processing {GO:0006491}; negative regulation of neuron projection development {GO:0010977}; nitrogen compound metabolic process {GO:0006807}</t>
  </si>
  <si>
    <t>endoplasmic reticulum {GO:0005783}; glucosidase II complex {GO:0017177}; intracellular membrane-bounded organelle {GO:0043231}</t>
  </si>
  <si>
    <t>calcium ion binding {GO:0005509}; phosphoprotein binding {GO:0051219}; protein kinase C binding {GO:0005080}; protein-containing complex binding {GO:0044877}; RNA binding {GO:0003723}; transmembrane transporter binding {GO:0044325}</t>
  </si>
  <si>
    <t>tr|Q9ER67|Q9ER67_MOUSE</t>
  </si>
  <si>
    <t>sp|P47754|CAZA2_MOUSE</t>
  </si>
  <si>
    <t>F-actin-capping protein subunit alpha-2</t>
  </si>
  <si>
    <t>CapZ alpha-2</t>
  </si>
  <si>
    <t>CAZA2_MOUSE</t>
  </si>
  <si>
    <t>P47754</t>
  </si>
  <si>
    <t>Cappa2</t>
  </si>
  <si>
    <t>MGI:106222</t>
  </si>
  <si>
    <t>Acetylation; Actin capping; Actin-binding; Phosphoprotein</t>
  </si>
  <si>
    <t>actin cytoskeleton organization {GO:0030036}; barbed-end actin filament capping {GO:0051016}</t>
  </si>
  <si>
    <t>brush border {GO:0005903}; cortical cytoskeleton {GO:0030863}; cytosol {GO:0005829}; F-actin capping protein complex {GO:0008290}; membrane {GO:0016020}</t>
  </si>
  <si>
    <t>MHC class II antigen presentation {R-MMU-2132295}; HSP90 chaperone cycle for steroid hormone receptors (SHR) in the presence of ligand {R-MMU-3371497}; COPI-mediated anterograde transport {R-MMU-6807878}; COPI-independent Golgi-to-ER retrograde traffic {R-MMU-6811436}; Advanced glycosylation endproduct receptor signaling {R-MMU-879415}; Factors involved in megakaryocyte development and platelet production {R-MMU-983231}</t>
  </si>
  <si>
    <t>sp|Q99JY9|ARP3_MOUSE</t>
  </si>
  <si>
    <t>Actin-related protein 3</t>
  </si>
  <si>
    <t>Actin-like protein 3</t>
  </si>
  <si>
    <t>ARP3_MOUSE</t>
  </si>
  <si>
    <t>Q99JY9</t>
  </si>
  <si>
    <t>Q9DC56</t>
  </si>
  <si>
    <t>Arp3</t>
  </si>
  <si>
    <t>MGI:1921367</t>
  </si>
  <si>
    <t>3D-structure; Acetylation; Actin-binding; ATP-binding; Cell projection; Cilium biogenesis/degradation; Cytoplasm; Cytoskeleton; Nucleotide-binding; Nucleus</t>
  </si>
  <si>
    <t>Cell projection; Cytoplasm; Cytoskeleton; Nucleus</t>
  </si>
  <si>
    <t>Arp2/3 complex-mediated actin nucleation {GO:0034314}; astrocyte differentiation {GO:0048708}; asymmetric cell division {GO:0008356}; cellular response to interferon-gamma {GO:0071346}; cellular response to transforming growth factor beta stimulus {GO:0071560}; cellular response to tumor necrosis factor {GO:0071356}; cilium assembly {GO:0060271}; establishment or maintenance of cell polarity {GO:0007163}; meiotic cell cycle {GO:0051321}; meiotic chromosome movement towards spindle pole {GO:0016344}; meiotic cytokinesis {GO:0033206}; negative regulation of axon extension {GO:0030517}; negative regulation of bleb assembly {GO:1904171}; positive regulation of actin cytoskeleton reorganization {GO:2000251}; positive regulation of actin filament polymerization {GO:0030838}; positive regulation of astrocyte differentiation {GO:0048711}; positive regulation of dendrite morphogenesis {GO:0050775}; positive regulation of dendritic spine morphogenesis {GO:0061003}; positive regulation of fibroblast migration {GO:0010763}; positive regulation of filopodium assembly {GO:0051491}; positive regulation of lamellipodium assembly {GO:0010592}; positive regulation of neuron differentiation {GO:0045666}; positive regulation of protein binding {GO:0032092}; positive regulation of protein localization to plasma membrane {GO:1903078}; positive regulation of protein targeting to membrane {GO:0090314}; positive regulation of synapse assembly {GO:0051965}; positive regulation of transcription by RNA polymerase II {GO:0045944}; postsynaptic actin cytoskeleton organization {GO:0098974}; regulation of myosin II filament organization {GO:0043519}; spindle localization {GO:0051653}</t>
  </si>
  <si>
    <t>actin filament {GO:0005884}; apical ectoplasmic specialization {GO:0061831}; apical tubulobulbar complex {GO:0061828}; Arp2/3 protein complex {GO:0005885}; basal ectoplasmic specialization {GO:0061832}; brush border {GO:0005903}; cell leading edge {GO:0031252}; cell-cell junction {GO:0005911}; concave side of sperm head {GO:0061830}; cytoplasm {GO:0005737}; excitatory synapse {GO:0060076}; glutamatergic synapse {GO:0098978}; Golgi membrane {GO:0000139}; hemidesmosome {GO:0030056}; lamellipodium {GO:0030027}; leading edge of lamellipodium {GO:0061851}; nucleus {GO:0005634}; perinuclear region of cytoplasm {GO:0048471}; podosome {GO:0002102}; podosome core {GO:0061825}; postsynapse {GO:0098794}; ruffle {GO:0001726}; site of double-strand break {GO:0035861}</t>
  </si>
  <si>
    <t>actin binding {GO:0003779}; actin filament binding {GO:0051015}; ATP binding {GO:0005524}; ATPase binding {GO:0051117}; structural constituent of cytoskeleton {GO:0005200}</t>
  </si>
  <si>
    <t>sp|O08749|DLDH_MOUSE</t>
  </si>
  <si>
    <t>Dihydrolipoyl dehydrogenase, mitochondrial</t>
  </si>
  <si>
    <t>Dihydrolipoamide dehydrogenase</t>
  </si>
  <si>
    <t>DLDH_MOUSE</t>
  </si>
  <si>
    <t>O08749</t>
  </si>
  <si>
    <t>Q3TG55; Q3U5W5; Q3UWP7; Q99LD3</t>
  </si>
  <si>
    <t>MGI:107450</t>
  </si>
  <si>
    <t>Acetylation; Cell projection; Cilium; Cytoplasmic vesicle; Disulfide bond; FAD; Flagellum; Flavoprotein; Mitochondrion; NAD; Nucleus; Oxidoreductase; Phosphoprotein; Redox-active center; Transit peptide</t>
  </si>
  <si>
    <t>Cell projection; Cilium; Cytoplasmic vesicle; Flagellum; Mitochondrion; Nucleus</t>
  </si>
  <si>
    <t>FAD; Flavoprotein; NAD</t>
  </si>
  <si>
    <t>2-oxoglutarate metabolic process {GO:0006103}; acetyl-CoA biosynthetic process from pyruvate {GO:0006086}; branched-chain amino acid catabolic process {GO:0009083}; cell redox homeostasis {GO:0045454}; dihydrolipoamide metabolic process {GO:0051068}; gastrulation {GO:0007369}; histone succinylation {GO:0106077}; lipoate metabolic process {GO:0009106}; mitochondrial acetyl-CoA biosynthetic process from pyruvate {GO:0061732}; mitochondrial electron transport, NADH to ubiquinone {GO:0006120}; proteolysis {GO:0006508}; regulation of membrane potential {GO:0042391}; sperm capacitation {GO:0048240}</t>
  </si>
  <si>
    <t>acrosomal matrix {GO:0043159}; cilium {GO:0005929}; mitochondrial alpha-ketoglutarate dehydrogenase complex {GO:0005947}; mitochondrial pyruvate dehydrogenase complex {GO:0005967}; mitochondrion {GO:0005739}; motile cilium {GO:0031514}; myelin sheath {GO:0043209}; nucleus {GO:0005634}; oxoglutarate dehydrogenase complex {GO:0045252}; pyruvate dehydrogenase complex {GO:0045254}</t>
  </si>
  <si>
    <t>dihydrolipoyl dehydrogenase activity {GO:0004148}; flavin adenine dinucleotide binding {GO:0050660}; lipoamide binding {GO:0043544}; NAD binding {GO:0051287}; pyruvate dehydrogenase (NAD+) activity {GO:0034604}</t>
  </si>
  <si>
    <t>Regulation of pyruvate dehydrogenase (PDH) complex {R-MMU-204174}; Glyoxylate metabolism and glycine degradation {R-MMU-389661}; Signaling by Retinoic Acid {R-MMU-5362517}; Glycine degradation {R-MMU-6783984}; Pyruvate metabolism {R-MMU-70268}; Branched-chain amino acid catabolism {R-MMU-70895}; Lysine catabolism {R-MMU-71064}; Citric acid cycle (TCA cycle) {R-MMU-71403}</t>
  </si>
  <si>
    <t>sp|Q9JKF1|IQGA1_MOUSE</t>
  </si>
  <si>
    <t>Ras GTPase-activating-like protein IQGAP1</t>
  </si>
  <si>
    <t>IQGA1_MOUSE</t>
  </si>
  <si>
    <t>Q9JKF1</t>
  </si>
  <si>
    <t>G3UW45</t>
  </si>
  <si>
    <t>MGI:1352757</t>
  </si>
  <si>
    <t>Acetylation; Calmodulin-binding; Cell membrane; Cytoplasm; Membrane; Nucleus; Phosphoprotein; Repeat</t>
  </si>
  <si>
    <t>cell migration {GO:0016477}; cellular response to calcium ion {GO:0071277}; cellular response to epidermal growth factor stimulus {GO:0071364}; cellular response to fibroblast growth factor stimulus {GO:0044344}; cellular response to platelet-derived growth factor stimulus {GO:0036120}; epidermal growth factor receptor signaling pathway {GO:0007173}; fibroblast growth factor receptor signaling pathway {GO:0008543}; fibroblast migration {GO:0010761}; negative regulation of dephosphorylation {GO:0035305}; neuron projection extension {GO:1990138}; platelet-derived growth factor receptor signaling pathway {GO:0048008}; podocyte development {GO:0072015}; positive regulation of dendrite development {GO:1900006}; positive regulation of focal adhesion assembly {GO:0051894}; positive regulation of MAP kinase activity {GO:0043406}; positive regulation of MAPK cascade {GO:0043410}; positive regulation of peptidyl-tyrosine autophosphorylation {GO:1900086}; positive regulation of protein kinase activity {GO:0045860}; positive regulation of protein localization {GO:1903829}; positive regulation of vascular associated smooth muscle cell migration {GO:1904754}; regulation of actin cytoskeleton organization {GO:0032956}; regulation of cytokine production {GO:0001817}; regulation of GTPase activity {GO:0043087}; regulation of mitotic cell cycle {GO:0007346}; response to angiotensin {GO:1990776}</t>
  </si>
  <si>
    <t>actin cytoskeleton {GO:0015629}; axon {GO:0030424}; cell leading edge {GO:0031252}; cell-cell junction {GO:0005911}; cortical actin cytoskeleton {GO:0030864}; cytoplasm {GO:0005737}; cytoplasmic ribonucleoprotein granule {GO:0036464}; extrinsic component of cytoplasmic side of plasma membrane {GO:0031234}; focal adhesion {GO:0005925}; growth cone {GO:0030426}; lateral plasma membrane {GO:0016328}; membrane raft {GO:0045121}; microtubule {GO:0005874}; microtubule cytoskeleton {GO:0015630}; midbody {GO:0030496}; neuron projection {GO:0043005}; nucleus {GO:0005634}; plasma membrane {GO:0005886}; protein-containing complex {GO:0032991}; ribonucleoprotein complex {GO:1990904}; ruffle {GO:0001726}; slit diaphragm {GO:0036057}</t>
  </si>
  <si>
    <t>actin filament binding {GO:0051015}; calcium ion binding {GO:0005509}; calmodulin binding {GO:0005516}; GTPase activator activity {GO:0005096}; MAP-kinase scaffold activity {GO:0005078}; mitogen-activated protein kinase binding {GO:0051019}; molecular adaptor activity {GO:0060090}; phosphatidylinositol-3,4,5-trisphosphate binding {GO:0005547}; protein domain specific binding {GO:0019904}; protein kinase binding {GO:0019901}; protein phosphatase binding {GO:0019903}; protein serine/threonine kinase activator activity {GO:0043539}; protein-containing complex binding {GO:0044877}; S100 protein binding {GO:0044548}; small GTPase binding {GO:0031267}</t>
  </si>
  <si>
    <t>Nephrin family interactions {R-MMU-373753}; RHO GTPases activate IQGAPs {R-MMU-5626467}; MAP2K and MAPK activation {R-MMU-5674135}; Neutrophil degranulation {R-MMU-6798695}; RHOA GTPase cycle {R-MMU-8980692}; RHOC GTPase cycle {R-MMU-9013106}; RAC1 GTPase cycle {R-MMU-9013149}; RAC2 GTPase cycle {R-MMU-9013404}; RHOQ GTPase cycle {R-MMU-9013406}; RHOU GTPase cycle {R-MMU-9013420}; RHOV GTPase cycle {R-MMU-9013424}</t>
  </si>
  <si>
    <t>sp|Q3THK7|GUAA_MOUSE</t>
  </si>
  <si>
    <t>GMP synthase [glutamine-hydrolyzing]</t>
  </si>
  <si>
    <t>GMP synthetase; Glutamine amidotransferase</t>
  </si>
  <si>
    <t>GUAA_MOUSE</t>
  </si>
  <si>
    <t>Q3THK7</t>
  </si>
  <si>
    <t>Q3TFR6; Q3TIH1; Q3UJ21; Q3V343; Q66JZ6</t>
  </si>
  <si>
    <t>MGI:2448526</t>
  </si>
  <si>
    <t>Acetylation; ATP-binding; Cytoplasm; Glutamine amidotransferase; GMP biosynthesis; Ligase; Nucleotide-binding; Phosphoprotein; Purine biosynthesis</t>
  </si>
  <si>
    <t>Glutamine amidotransferase</t>
  </si>
  <si>
    <t>glutamine metabolic process {GO:0006541}; GMP biosynthetic process {GO:0006177}; GMP salvage {GO:0032263}</t>
  </si>
  <si>
    <t>ATP binding {GO:0005524}; GMP synthase (glutamine-hydrolyzing) activity {GO:0003922}; GMP synthase activity {GO:0003921}; pyrophosphatase activity {GO:0016462}</t>
  </si>
  <si>
    <t>Purine metabolism; GMP biosynthesis; GMP from XMP (L-Gln route): step 1/1.</t>
  </si>
  <si>
    <t>Purine ribonucleoside monophosphate biosynthesis {R-MMU-73817}; Azathioprine ADME {R-MMU-9748787}</t>
  </si>
  <si>
    <t>sp|P07309|TTHY_MOUSE</t>
  </si>
  <si>
    <t>Transthyretin</t>
  </si>
  <si>
    <t>Prealbumin</t>
  </si>
  <si>
    <t>TTHY_MOUSE</t>
  </si>
  <si>
    <t>P07309</t>
  </si>
  <si>
    <t>MGI:98865</t>
  </si>
  <si>
    <t>3D-structure; Gamma-carboxyglutamic acid; Glycoprotein; Hormone; Phosphoprotein; Secreted; Signal; Thyroid hormone; Transport</t>
  </si>
  <si>
    <t>Hormone; Thyroid hormone</t>
  </si>
  <si>
    <t>Gamma-carboxyglutamic acid; Glycoprotein; Phosphoprotein</t>
  </si>
  <si>
    <t>purine nucleobase metabolic process {GO:0006144}; retinol metabolic process {GO:0042572}; thyroid hormone transport {GO:0070327}</t>
  </si>
  <si>
    <t>extracellular space {GO:0005615}; protein-containing complex {GO:0032991}</t>
  </si>
  <si>
    <t>hormone activity {GO:0005179}; hormone binding {GO:0042562}; identical protein binding {GO:0042802}; protein-containing complex binding {GO:0044877}; thyroid hormone binding {GO:0070324}</t>
  </si>
  <si>
    <t>The canonical retinoid cycle in rods (twilight vision) {R-MMU-2453902}; Neutrophil degranulation {R-MMU-6798695}; Retinoid metabolism and transport {R-MMU-975634}</t>
  </si>
  <si>
    <t>sp|P63037|DNJA1_MOUSE</t>
  </si>
  <si>
    <t>DnaJ homolog subfamily A member 1</t>
  </si>
  <si>
    <t>DnaJ protein homolog 2; Heat shock 40 kDa protein 4; Heat shock protein J2 (HSJ-2)</t>
  </si>
  <si>
    <t>DNJA1_MOUSE</t>
  </si>
  <si>
    <t>P63037</t>
  </si>
  <si>
    <t>P54102</t>
  </si>
  <si>
    <t>Dnaj2; Hsj2; Hspf4</t>
  </si>
  <si>
    <t>MGI:1270129</t>
  </si>
  <si>
    <t>Acetylation; Chaperone; Cytoplasm; Endoplasmic reticulum; Lipoprotein; Membrane; Metal-binding; Methylation; Microsome; Mitochondrion; Nucleus; Phosphoprotein; Prenylation; Repeat; Zinc; Zinc-finger</t>
  </si>
  <si>
    <t>Cytoplasm; Endoplasmic reticulum; Membrane; Microsome; Mitochondrion; Nucleus</t>
  </si>
  <si>
    <t>Acetylation; Lipoprotein; Methylation; Phosphoprotein; Prenylation</t>
  </si>
  <si>
    <t>androgen receptor signaling pathway {GO:0030521}; flagellated sperm motility {GO:0030317}; negative regulation of apoptotic process {GO:0043066}; negative regulation of establishment of protein localization to mitochondrion {GO:1903748}; negative regulation of JUN kinase activity {GO:0043508}; negative regulation of nitrosative stress-induced intrinsic apoptotic signaling pathway {GO:1905259}; negative regulation of protein ubiquitination {GO:0031397}; positive regulation of apoptotic process {GO:0043065}; protein localization to mitochondrion {GO:0070585}; protein refolding {GO:0042026}; regulation of protein transport {GO:0051223}; response to heat {GO:0009408}; spermatogenesis {GO:0007283}; toxin transport {GO:1901998}</t>
  </si>
  <si>
    <t>cytoplasm {GO:0005737}; cytosol {GO:0005829}; endoplasmic reticulum {GO:0005783}; membrane {GO:0016020}; microtubule cytoskeleton {GO:0015630}; mitochondrion {GO:0005739}; nucleus {GO:0005634}; perinuclear region of cytoplasm {GO:0048471}</t>
  </si>
  <si>
    <t>ATP binding {GO:0005524}; ATPase activator activity {GO:0001671}; C3HC4-type RING finger domain binding {GO:0055131}; chaperone binding {GO:0051087}; G protein-coupled receptor binding {GO:0001664}; Hsp70 protein binding {GO:0030544}; low-density lipoprotein particle receptor binding {GO:0050750}; metal ion binding {GO:0046872}; Tat protein binding {GO:0030957}; ubiquitin protein ligase binding {GO:0031625}; unfolded protein binding {GO:0051082}</t>
  </si>
  <si>
    <t>sp|Q9Z1Z0|USO1_MOUSE</t>
  </si>
  <si>
    <t>General vesicular transport factor p115</t>
  </si>
  <si>
    <t>Protein USO1 homolog; Transcytosis-associated protein (TAP); Vesicle-docking protein</t>
  </si>
  <si>
    <t>USO1_MOUSE</t>
  </si>
  <si>
    <t>Q9Z1Z0</t>
  </si>
  <si>
    <t>Q3T9L9; Q3TH58; Q3U1C7; Q3UMW6; Q91WE7; Q99JZ5</t>
  </si>
  <si>
    <t>Vdp</t>
  </si>
  <si>
    <t>MGI:1929095</t>
  </si>
  <si>
    <t>Acetylation; Alternative splicing; Coiled coil; Cytoplasm; ER-Golgi transport; Golgi apparatus; Membrane; Phosphoprotein; Protein transport; Repeat; Transport</t>
  </si>
  <si>
    <t>Cytoplasm; Golgi apparatus; Membrane</t>
  </si>
  <si>
    <t>endoplasmic reticulum to Golgi vesicle-mediated transport {GO:0006888}; Golgi organization {GO:0007030}; Golgi vesicle docking {GO:0048211}; intracellular protein transport {GO:0006886}; membrane fusion {GO:0061025}; regulation of cellular response to insulin stimulus {GO:1900076}; secretory granule localization {GO:0032252}; small GTPase mediated signal transduction {GO:0007264}; transcytosis {GO:0045056}; vesicle fusion with Golgi apparatus {GO:0048280}</t>
  </si>
  <si>
    <t>cytosol {GO:0005829}; endoplasmic reticulum {GO:0005783}; ER to Golgi transport vesicle membrane {GO:0012507}; fibrillar center {GO:0001650}; Golgi apparatus {GO:0005794}; Golgi membrane {GO:0000139}; Golgi stack {GO:0005795}; perinuclear region of cytoplasm {GO:0048471}</t>
  </si>
  <si>
    <t>COPII-mediated vesicle transport {R-MMU-204005}; COPI-mediated anterograde transport {R-MMU-6807878}</t>
  </si>
  <si>
    <t>sp|Q99JF8|PSIP1_MOUSE</t>
  </si>
  <si>
    <t>PC4 and SFRS1-interacting protein</t>
  </si>
  <si>
    <t>Lens epithelium-derived growth factor (mLEDGF)</t>
  </si>
  <si>
    <t>PSIP1_MOUSE</t>
  </si>
  <si>
    <t>Q99JF8</t>
  </si>
  <si>
    <t>A2BI10; A2BI11; Q3TEJ7; Q3TTD7; Q3UTA1; Q80WQ7; Q99JF7; Q99LR4; Q9CT03</t>
  </si>
  <si>
    <t>Ledgf</t>
  </si>
  <si>
    <t>MGI:2142116</t>
  </si>
  <si>
    <t>Alternative splicing; Citrullination; Coiled coil; DNA-binding; Isopeptide bond; Nucleus; Phosphoprotein; Transcription; Transcription regulation; Ubl conjugation</t>
  </si>
  <si>
    <t>mRNA 5'-splice site recognition {GO:0000395}; positive regulation of transcription by RNA polymerase II {GO:0045944}; regulation of transcription by RNA polymerase II {GO:0006357}; response to heat {GO:0009408}; response to oxidative stress {GO:0006979}</t>
  </si>
  <si>
    <t>euchromatin {GO:0000791}; heterochromatin {GO:0000792}; nuclear periphery {GO:0034399}; nucleoplasm {GO:0005654}; nucleus {GO:0005634}</t>
  </si>
  <si>
    <t>chromatin binding {GO:0003682}; DNA-binding transcription factor binding {GO:0140297}; double-stranded DNA binding {GO:0003690}; supercoiled DNA binding {GO:0097100}; transcription coactivator activity {GO:0003713}; transcription coregulator activity {GO:0003712}</t>
  </si>
  <si>
    <t>sp|Q569Z6|TR150_MOUSE</t>
  </si>
  <si>
    <t>Thyroid hormone receptor-associated protein 3</t>
  </si>
  <si>
    <t>Thyroid hormone receptor-associated protein complex 150 kDa component (Trap150)</t>
  </si>
  <si>
    <t>TR150_MOUSE</t>
  </si>
  <si>
    <t>Q569Z6</t>
  </si>
  <si>
    <t>Trap150</t>
  </si>
  <si>
    <t>MGI:2442637</t>
  </si>
  <si>
    <t>Acetylation; Activator; ATP-binding; Biological rhythms; Isopeptide bond; Methylation; mRNA processing; mRNA splicing; Nucleotide-binding; Nucleus; Phosphoprotein; Receptor; Transcription; Transcription regulation; Ubl conjugation</t>
  </si>
  <si>
    <t>Activator; Receptor</t>
  </si>
  <si>
    <t>circadian rhythm {GO:0007623}; mRNA processing {GO:0006397}; mRNA stabilization {GO:0048255}; nuclear-transcribed mRNA catabolic process {GO:0000956}; positive regulation of circadian rhythm {GO:0042753}; positive regulation of DNA-templated transcription {GO:0045893}; positive regulation of mRNA splicing, via spliceosome {GO:0048026}; positive regulation of transcription by RNA polymerase II {GO:0045944}; regulation of alternative mRNA splicing, via spliceosome {GO:0000381}; RNA splicing {GO:0008380}; transcription by RNA polymerase II {GO:0006366}</t>
  </si>
  <si>
    <t>exon-exon junction complex {GO:0035145}; mediator complex {GO:0016592}; nuclear speck {GO:0016607}; nucleoplasm {GO:0005654}; nucleus {GO:0005634}</t>
  </si>
  <si>
    <t>ATP binding {GO:0005524}; DNA binding {GO:0003677}; nuclear thyroid hormone receptor binding {GO:0046966}; phosphoprotein binding {GO:0051219}; RNA polymerase II cis-regulatory region sequence-specific DNA binding {GO:0000978}; transcription coactivator activity {GO:0003713}; transcription coregulator activity {GO:0003712}</t>
  </si>
  <si>
    <t>sp|Q6PGH2|JUPI2_MOUSE</t>
  </si>
  <si>
    <t>Jupiter microtubule associated homolog 2</t>
  </si>
  <si>
    <t>Hematological and neurological expressed 1-like protein (HN1-like protein)</t>
  </si>
  <si>
    <t>JUPI2_MOUSE</t>
  </si>
  <si>
    <t>Q6PGH2</t>
  </si>
  <si>
    <t>MGI:1196260</t>
  </si>
  <si>
    <t>Acetylation; Cytoplasm; Nucleus; Phosphoprotein</t>
  </si>
  <si>
    <t>endocytosis involved in viral entry into host cell {GO:0075509}; regulation of calcium-mediated signaling {GO:0050848}</t>
  </si>
  <si>
    <t>cytoplasm {GO:0005737}; cytosol {GO:0005829}; nucleus {GO:0005634}; plasma membrane {GO:0005886}</t>
  </si>
  <si>
    <t>sp|P61161|ARP2_MOUSE</t>
  </si>
  <si>
    <t>Actin-related protein 2</t>
  </si>
  <si>
    <t>Actin-like protein 2</t>
  </si>
  <si>
    <t>ARP2_MOUSE</t>
  </si>
  <si>
    <t>P61161</t>
  </si>
  <si>
    <t>O15142; Q6PI31</t>
  </si>
  <si>
    <t>Arp2</t>
  </si>
  <si>
    <t>MGI:1913963</t>
  </si>
  <si>
    <t>3D-structure; Acetylation; Actin-binding; ATP-binding; Cell projection; Cytoplasm; Cytoskeleton; Nucleotide-binding; Nucleus</t>
  </si>
  <si>
    <t>actin cytoskeleton organization {GO:0030036}; Arp2/3 complex-mediated actin nucleation {GO:0034314}; associative learning {GO:0008306}; asymmetric cell division {GO:0008356}; cellular response to interferon-gamma {GO:0071346}; cellular response to trichostatin A {GO:0035984}; cilium assembly {GO:0060271}; cytosolic transport {GO:0016482}; establishment or maintenance of cell polarity {GO:0007163}; meiotic cell cycle {GO:0051321}; meiotic chromosome movement towards spindle pole {GO:0016344}; meiotic cytokinesis {GO:0033206}; positive regulation of dendritic spine morphogenesis {GO:0061003}; positive regulation of double-strand break repair via homologous recombination {GO:1905168}; positive regulation of lamellipodium assembly {GO:0010592}; positive regulation of transcription by RNA polymerase II {GO:0045944}; response to ethanol {GO:0045471}; response to immobilization stress {GO:0035902}; spindle localization {GO:0051653}</t>
  </si>
  <si>
    <t>actin cap {GO:0030478}; Arp2/3 protein complex {GO:0005885}; cell cortex {GO:0005938}; cytoplasm {GO:0005737}; cytosol {GO:0005829}; lamellipodium {GO:0030027}; nucleus {GO:0005634}; podosome core {GO:0061825}; postsynapse {GO:0098794}; postsynaptic density {GO:0014069}; site of double-strand break {GO:0035861}</t>
  </si>
  <si>
    <t>actin filament binding {GO:0051015}; ATP binding {GO:0005524}; cytoskeletal protein binding {GO:0008092}; structural constituent of cytoskeleton {GO:0005200}</t>
  </si>
  <si>
    <t>Regulation of actin dynamics for phagocytic cup formation {R-MMU-2029482}; EPHB-mediated forward signaling {R-MMU-3928662}; RHO GTPases Activate WASPs and WAVEs {R-MMU-5663213}; Neutrophil degranulation {R-MMU-6798695}; Clathrin-mediated endocytosis {R-MMU-8856828}</t>
  </si>
  <si>
    <t>sp|Q9R059|FHL3_MOUSE</t>
  </si>
  <si>
    <t>Four and a half LIM domains protein 3 (FHL-3)</t>
  </si>
  <si>
    <t>Skeletal muscle LIM-protein 2 (SLIM-2)</t>
  </si>
  <si>
    <t>FHL3_MOUSE</t>
  </si>
  <si>
    <t>Q9R059</t>
  </si>
  <si>
    <t>A6H6N4; Q9JLP5; Q9WUH3</t>
  </si>
  <si>
    <t>MGI:1341092</t>
  </si>
  <si>
    <t>Acetylation; Activator; Cytoplasm; LIM domain; Metal-binding; Nucleus; Repeat; Transcription; Transcription regulation; Zinc; Zinc-finger</t>
  </si>
  <si>
    <t>LIM domain; Repeat; Zinc-finger</t>
  </si>
  <si>
    <t>actin cytoskeleton organization {GO:0030036}</t>
  </si>
  <si>
    <t>nucleus {GO:0005634}; stress fiber {GO:0001725}; Z disc {GO:0030018}</t>
  </si>
  <si>
    <t>actin binding {GO:0003779}; metal ion binding {GO:0046872}; transcription coregulator activity {GO:0003712}</t>
  </si>
  <si>
    <t>sp|Q80XI3|IF4G3_MOUSE</t>
  </si>
  <si>
    <t>Eukaryotic translation initiation factor 4 gamma 3 (eIF-4-gamma 3; eIF-4G 3; eIF4G 3)</t>
  </si>
  <si>
    <t>eIF-4-gamma II (eIF4GII)</t>
  </si>
  <si>
    <t>IF4G3_MOUSE</t>
  </si>
  <si>
    <t>Q80XI3</t>
  </si>
  <si>
    <t>Q6GQV5; Q80Y69; Q8BJ68; Q8BQF3; Q8C6Q3; Q8CIH0</t>
  </si>
  <si>
    <t>MGI:1923935</t>
  </si>
  <si>
    <t>Alternative splicing; Coiled coil; Initiation factor; Phosphoprotein; Protein biosynthesis; Repeat; RNA-binding; Translation regulation</t>
  </si>
  <si>
    <t>positive regulation of meiosis I {GO:0060903}; positive regulation of protein phosphorylation {GO:0001934}; positive regulation of translation {GO:0045727}; spermatogenesis {GO:0007283}; translation {GO:0006412}; translational initiation {GO:0006413}</t>
  </si>
  <si>
    <t>eukaryotic translation initiation factor 4F complex {GO:0016281}</t>
  </si>
  <si>
    <t>mRNA binding {GO:0003729}; RNA cap binding {GO:0000339}; translation initiation factor activity {GO:0003743}</t>
  </si>
  <si>
    <t>sp|P62309|RUXG_MOUSE</t>
  </si>
  <si>
    <t>Small nuclear ribonucleoprotein G (snRNP-G)</t>
  </si>
  <si>
    <t>Sm protein G (Sm-G; SmG)</t>
  </si>
  <si>
    <t>RUXG_MOUSE</t>
  </si>
  <si>
    <t>P62309</t>
  </si>
  <si>
    <t>Q15357; Q52KC7</t>
  </si>
  <si>
    <t>MGI:1915261</t>
  </si>
  <si>
    <t>Cytoplasm; mRNA processing; mRNA splicing; Nucleus; Ribonucleoprotein; RNA-binding; Spliceosome</t>
  </si>
  <si>
    <t>mRNA splicing, via spliceosome {GO:0000398}; spliceosomal snRNP assembly {GO:0000387}</t>
  </si>
  <si>
    <t>catalytic step 2 spliceosome {GO:0071013}; cytosol {GO:0005829}; methylosome {GO:0034709}; nucleoplasm {GO:0005654}; nucleus {GO:0005634}; P granule {GO:0043186}; precatalytic spliceosome {GO:0071011}; ribonucleoprotein complex {GO:1990904}; SMN-Sm protein complex {GO:0034719}; spliceosomal complex {GO:0005681}; spliceosomal tri-snRNP complex {GO:0097526}; U1 snRNP {GO:0005685}; U12-type spliceosomal complex {GO:0005689}; U2 snRNP {GO:0005686}; U2-type catalytic step 2 spliceosome {GO:0071007}; U2-type precatalytic spliceosome {GO:0071005}; U2-type prespliceosome {GO:0071004}; U4 snRNP {GO:0005687}; U4/U6 x U5 tri-snRNP complex {GO:0046540}; U5 snRNP {GO:0005682}; U7 snRNP {GO:0005683}</t>
  </si>
  <si>
    <t>RNA binding {GO:0003723}; U1 snRNP binding {GO:1990446}</t>
  </si>
  <si>
    <t>SLBP independent Processing of Histone Pre-mRNAs {R-MMU-111367}; snRNP Assembly {R-MMU-191859}; mRNA Splicing - Major Pathway {R-MMU-72163}; mRNA Splicing - Minor Pathway {R-MMU-72165}; RNA Polymerase II Transcription Termination {R-MMU-73856}; SLBP Dependent Processing of Replication-Dependent Histone Pre-mRNAs {R-MMU-77588}</t>
  </si>
  <si>
    <t>sp|Q99P72|RTN4_MOUSE</t>
  </si>
  <si>
    <t>Reticulon-4</t>
  </si>
  <si>
    <t>Neurite outgrowth inhibitor (Nogo protein)</t>
  </si>
  <si>
    <t>RTN4_MOUSE</t>
  </si>
  <si>
    <t>Q99P72</t>
  </si>
  <si>
    <t>Q5DTK9; Q78NS1; Q7TNB7; Q80W95; Q8BGK7; Q8BGM9; Q8BH78; Q8BHF5; Q8K290; Q8K3G8; Q9CTE3</t>
  </si>
  <si>
    <t>MGI:1915835</t>
  </si>
  <si>
    <t>3D-structure; Acetylation; Alternative splicing; Cell junction; Cell membrane; Endoplasmic reticulum; Membrane; Neurogenesis; Phosphoprotein; Transmembrane; Transmembrane helix</t>
  </si>
  <si>
    <t>Cell junction; Cell membrane; Endoplasmic reticulum; Membrane</t>
  </si>
  <si>
    <t>axonal fasciculation {GO:0007413}; blastocyst formation {GO:0001825}; brain development {GO:0007420}; cardiac epithelial to mesenchymal transition {GO:0060317}; cell adhesion involved in sprouting angiogenesis {GO:0120078}; cell migration involved in vasculogenesis {GO:0035441}; cellular response to hypoxia {GO:0071456}; cellular sphingolipid homeostasis {GO:0090156}; central nervous system vasculogenesis {GO:0022009}; cerebral cortex radial glia-guided migration {GO:0021801}; endoplasmic reticulum organization {GO:0007029}; endoplasmic reticulum tubular network formation {GO:0071787}; endoplasmic reticulum tubular network membrane organization {GO:1990809}; endoplasmic reticulum tubular network organization {GO:0071786}; leukocyte migration involved in inflammatory response {GO:0002523}; negative regulation of amyloid-beta formation {GO:1902430}; negative regulation of axon extension {GO:0030517}; negative regulation of axonogenesis {GO:0050771}; negative regulation of cell growth {GO:0030308}; negative regulation of neuron differentiation {GO:0045665}; negative regulation of neuron projection development {GO:0010977}; negative regulation of neuron projection regeneration {GO:0070571}; negative regulation of vasculogenesis {GO:2001213}; nervous system development {GO:0007399}; neuron differentiation {GO:0030182}; nuclear pore complex assembly {GO:0051292}; positive regulation of angiogenesis {GO:0045766}; positive regulation of artery morphogenesis {GO:1905653}; positive regulation of dopamine secretion {GO:0033603}; positive regulation of epithelial cell migration {GO:0010634}; positive regulation of ERBB3 signaling pathway {GO:1905580}; positive regulation of glial cell differentiation {GO:0045687}; positive regulation of hepatocyte proliferation {GO:2000347}; positive regulation of macrophage cytokine production {GO:0060907}; positive regulation of macrophage migration {GO:1905523}; positive regulation of mammary gland epithelial cell proliferation {GO:0033601}; positive regulation of neutrophil migration {GO:1902624}; positive regulation of protein kinase B signaling {GO:0051897}; positive regulation of protein localization to endoplasmic reticulum {GO:1905552}; positive regulation of Rac protein signal transduction {GO:0035022}; positive regulation of toll-like receptor 9 signaling pathway {GO:0034165}; protein localization to lysosome {GO:0061462}; protein stabilization {GO:0050821}; regulation of branching morphogenesis of a nerve {GO:2000172}; regulation of cell migration {GO:0030334}; regulation of nervous system development {GO:0051960}; regulation of sensory perception of pain {GO:0051930}</t>
  </si>
  <si>
    <t>anchoring junction {GO:0070161}; cell junction {GO:0030054}; cell projection {GO:0042995}; cytoplasm {GO:0005737}; endoplasmic reticulum {GO:0005783}; endoplasmic reticulum membrane {GO:0005789}; endoplasmic reticulum tubular network {GO:0071782}; endoplasmic reticulum tubular network membrane {GO:0098826}; glutamatergic synapse {GO:0098978}; integral component of endoplasmic reticulum membrane {GO:0030176}; integral component of postsynaptic density membrane {GO:0099061}; myelin sheath {GO:0043209}; neuron projection {GO:0043005}; neuronal cell body {GO:0043025}; nuclear envelope {GO:0005635}; plasma membrane {GO:0005886}; postsynaptic density {GO:0014069}; protein-containing complex {GO:0032991}</t>
  </si>
  <si>
    <t>cadherin binding {GO:0045296}; protein homodimerization activity {GO:0042803}; protein-containing complex binding {GO:0044877}; ubiquitin protein ligase binding {GO:0031625}</t>
  </si>
  <si>
    <t>Axonal growth inhibition (RHOA activation) {R-MMU-193634}</t>
  </si>
  <si>
    <t>sp|O08810|U5S1_MOUSE</t>
  </si>
  <si>
    <t>116 kDa U5 small nuclear ribonucleoprotein component</t>
  </si>
  <si>
    <t>Elongation factor Tu GTP-binding domain-containing protein 2; U5 snRNP-specific protein, 116 kDa (U5-116 kDa)</t>
  </si>
  <si>
    <t>U5S1_MOUSE</t>
  </si>
  <si>
    <t>O08810</t>
  </si>
  <si>
    <t>Snrp116</t>
  </si>
  <si>
    <t>MGI:1336880</t>
  </si>
  <si>
    <t>Acetylation; GTP-binding; Isopeptide bond; mRNA processing; mRNA splicing; Nucleotide-binding; Nucleus; Phosphoprotein; Spliceosome; Ubl conjugation</t>
  </si>
  <si>
    <t>mRNA splicing, via spliceosome {GO:0000398}</t>
  </si>
  <si>
    <t>Cajal body {GO:0015030}; catalytic step 2 spliceosome {GO:0071013}; cytosol {GO:0005829}; intracellular membrane-bounded organelle {GO:0043231}; nuclear speck {GO:0016607}; nucleoplasm {GO:0005654}; nucleus {GO:0005634}; ribonucleoprotein complex {GO:1990904}; U2-type catalytic step 2 spliceosome {GO:0071007}; U2-type precatalytic spliceosome {GO:0071005}; U4/U6 x U5 tri-snRNP complex {GO:0046540}</t>
  </si>
  <si>
    <t>GTP binding {GO:0005525}; GTPase activity {GO:0003924}; U5 snRNA binding {GO:0030623}</t>
  </si>
  <si>
    <t>sp|P68037|UB2L3_MOUSE</t>
  </si>
  <si>
    <t>Ubiquitin-conjugating enzyme E2 L3</t>
  </si>
  <si>
    <t>E2 ubiquitin-conjugating enzyme L3; UbcM4; Ubiquitin carrier protein L3; Ubiquitin-protein ligase L3</t>
  </si>
  <si>
    <t>UB2L3_MOUSE</t>
  </si>
  <si>
    <t>P68037</t>
  </si>
  <si>
    <t>P51966; P70653; Q9HAV1</t>
  </si>
  <si>
    <t>Ubce7</t>
  </si>
  <si>
    <t>MGI:109240</t>
  </si>
  <si>
    <t>Acetylation; ATP-binding; Cytoplasm; Nucleotide-binding; Nucleus; Transcription; Transcription regulation; Transferase; Ubl conjugation; Ubl conjugation pathway</t>
  </si>
  <si>
    <t>brain development {GO:0007420}; cell cycle phase transition {GO:0044770}; cell population proliferation {GO:0008283}; cellular response to glucocorticoid stimulus {GO:0071385}; cellular response to steroid hormone stimulus {GO:0071383}; positive regulation of protein ubiquitination {GO:0031398}; positive regulation of ubiquitin-protein transferase activity {GO:0051443}; protein K11-linked ubiquitination {GO:0070979}; protein polyubiquitination {GO:0000209}; protein ubiquitination {GO:0016567}; regulation of DNA-templated transcription {GO:0006355}; ubiquitin-dependent protein catabolic process {GO:0006511}</t>
  </si>
  <si>
    <t>cytoplasm {GO:0005737}; cytosol {GO:0005829}; nucleus {GO:0005634}; presynapse {GO:0098793}; ubiquitin ligase complex {GO:0000151}</t>
  </si>
  <si>
    <t>ATP binding {GO:0005524}; transcription coactivator activity {GO:0003713}; ubiquitin conjugating enzyme activity {GO:0061631}; ubiquitin protein ligase binding {GO:0031625}; ubiquitin-protein transferase activator activity {GO:0097027}; ubiquitin-protein transferase activity {GO:0004842}</t>
  </si>
  <si>
    <t>Synthesis of active ubiquitin: roles of E1 and E2 enzymes {R-MMU-8866652}; E3 ubiquitin ligases ubiquitinate target proteins {R-MMU-8866654}; Antigen processing: Ubiquitination &amp; Proteasome degradation {R-MMU-983168}</t>
  </si>
  <si>
    <t>sp|Q922D8|C1TC_MOUSE</t>
  </si>
  <si>
    <t>C-1-tetrahydrofolate synthase, cytoplasmic, N-terminally processed (C1-THF synthase)</t>
  </si>
  <si>
    <t>C1TC_MOUSE</t>
  </si>
  <si>
    <t>Q922D8</t>
  </si>
  <si>
    <t>Q8R013</t>
  </si>
  <si>
    <t>MGI:1342005</t>
  </si>
  <si>
    <t>Acetylation; Amino-acid biosynthesis; ATP-binding; Cytoplasm; Histidine biosynthesis; Hydrolase; Ligase; Methionine biosynthesis; Multifunctional enzyme; NADP; Nucleotide-binding; One-carbon metabolism; Oxidoreductase; Phosphoprotein; Purine biosynthesis</t>
  </si>
  <si>
    <t>Amino-acid biosynthesis; Histidine biosynthesis; Methionine biosynthesis; One-carbon metabolism; Purine biosynthesis</t>
  </si>
  <si>
    <t>ATP-binding; NADP; Nucleotide-binding</t>
  </si>
  <si>
    <t>Hydrolase; Ligase; Multifunctional enzyme; Oxidoreductase</t>
  </si>
  <si>
    <t>10-formyltetrahydrofolate biosynthetic process {GO:0009257}; heart development {GO:0007507}; histidine biosynthetic process {GO:0000105}; methionine biosynthetic process {GO:0009086}; methionine metabolic process {GO:0006555}; neural tube closure {GO:0001843}; neutrophil homeostasis {GO:0001780}; one-carbon metabolic process {GO:0006730}; purine nucleotide biosynthetic process {GO:0006164}; purine ribonucleotide biosynthetic process {GO:0009152}; serine family amino acid biosynthetic process {GO:0009070}; serine family amino acid metabolic process {GO:0009069}; somite development {GO:0061053}; tetrahydrofolate interconversion {GO:0035999}; transsulfuration {GO:0019346}</t>
  </si>
  <si>
    <t>ATP binding {GO:0005524}; formate-tetrahydrofolate ligase activity {GO:0004329}; methenyltetrahydrofolate cyclohydrolase activity {GO:0004477}; methylenetetrahydrofolate dehydrogenase (NAD+) activity {GO:0004487}; methylenetetrahydrofolate dehydrogenase (NADP+) activity {GO:0004488}; methylenetetrahydrofolate dehydrogenase [NAD(P)+] activity {GO:0004486}</t>
  </si>
  <si>
    <t>sp|Q9D1A2|CNDP2_MOUSE</t>
  </si>
  <si>
    <t>Cytosolic non-specific dipeptidase</t>
  </si>
  <si>
    <t>CNDP dipeptidase 2; Glutamate carboxypeptidase-like protein 1; Threonyl dipeptidase</t>
  </si>
  <si>
    <t>CNDP2_MOUSE</t>
  </si>
  <si>
    <t>Q9D1A2</t>
  </si>
  <si>
    <t>Q3TA80; Q3TI32; Q3U7B9; Q99PV1</t>
  </si>
  <si>
    <t>Cn2</t>
  </si>
  <si>
    <t>MGI:1913304</t>
  </si>
  <si>
    <t>3D-structure; Carboxypeptidase; Cytoplasm; Hydrolase; Manganese; Metal-binding; Metalloprotease; Phosphoprotein; Protease</t>
  </si>
  <si>
    <t>Carboxypeptidase; Hydrolase; Metalloprotease; Protease</t>
  </si>
  <si>
    <t>alanylglutamate dipeptidase activity {GO:0103046}; carboxypeptidase activity {GO:0004180}; dipeptidase activity {GO:0016805}; metal ion binding {GO:0046872}; metallodipeptidase activity {GO:0070573}; peptidase activity {GO:0008233}</t>
  </si>
  <si>
    <t>Glutathione synthesis and recycling {R-MMU-174403}; Paracetamol ADME {R-MMU-9753281}</t>
  </si>
  <si>
    <t>sp|P39061|COIA1_MOUSE</t>
  </si>
  <si>
    <t>Non-collagenous domain 1 (NC1)</t>
  </si>
  <si>
    <t>COIA1_MOUSE</t>
  </si>
  <si>
    <t>P39061</t>
  </si>
  <si>
    <t>Q60672; Q61434; Q61437; Q62001; Q62002; Q6NZK9; Q6P1Y4; Q8CCZ8; Q9CRT2; Q9JK63</t>
  </si>
  <si>
    <t>MGI:88451</t>
  </si>
  <si>
    <t>3D-structure; Alternative promoter usage; Alternative splicing; Basement membrane; Cell adhesion; Collagen; Disulfide bond; Extracellular matrix; Glycoprotein; Hydroxylation; Metal-binding; Phosphoprotein; Repeat; Secreted; Signal; Zinc</t>
  </si>
  <si>
    <t>Alternative promoter usage; Alternative splicing</t>
  </si>
  <si>
    <t>Collagen; Repeat; Signal</t>
  </si>
  <si>
    <t>Disulfide bond; Glycoprotein; Hydroxylation; Phosphoprotein</t>
  </si>
  <si>
    <t>angiogenesis {GO:0001525}; blood vessel endothelial cell migration {GO:0043534}; cell adhesion {GO:0007155}; endothelial cell apoptotic process {GO:0072577}; endothelial cell morphogenesis {GO:0001886}; extracellular matrix organization {GO:0030198}; positive regulation of blood vessel endothelial cell migration {GO:0043536}; positive regulation of endothelial cell apoptotic process {GO:2000353}; positive regulation of vascular endothelial cell proliferation {GO:1905564}; vascular endothelial cell proliferation {GO:0101023}</t>
  </si>
  <si>
    <t>basement membrane {GO:0005604}; collagen trimer {GO:0005581}; collagen-containing extracellular matrix {GO:0062023}; extracellular matrix {GO:0031012}; extracellular space {GO:0005615}</t>
  </si>
  <si>
    <t>extracellular matrix structural constituent {GO:0005201}; identical protein binding {GO:0042802}; metal ion binding {GO:0046872}</t>
  </si>
  <si>
    <t>Collagen degradation {R-MMU-1442490}; Activation of Matrix Metalloproteinases {R-MMU-1592389}; Collagen biosynthesis and modifying enzymes {R-MMU-1650814}; Assembly of collagen fibrils and other multimeric structures {R-MMU-2022090}; Integrin cell surface interactions {R-MMU-216083}; Collagen chain trimerization {R-MMU-8948216}</t>
  </si>
  <si>
    <t>sp|Q9WUD1|CHIP_MOUSE</t>
  </si>
  <si>
    <t>E3 ubiquitin-protein ligase CHIP</t>
  </si>
  <si>
    <t>Carboxy terminus of Hsp70-interacting protein; RING-type E3 ubiquitin transferase CHIP; STIP1 homology and U box-containing protein 1</t>
  </si>
  <si>
    <t>CHIP_MOUSE</t>
  </si>
  <si>
    <t>Q9WUD1</t>
  </si>
  <si>
    <t>Q9DCJ0</t>
  </si>
  <si>
    <t>MGI:1891731</t>
  </si>
  <si>
    <t>3D-structure; Cytoplasm; DNA damage; DNA repair; Isopeptide bond; Nucleus; Phosphoprotein; Repeat; TPR repeat; Transferase; Ubl conjugation; Ubl conjugation pathway</t>
  </si>
  <si>
    <t>cellular response to heat {GO:0034605}; cellular response to hypoxia {GO:0071456}; cellular response to misfolded protein {GO:0071218}; chaperone-mediated autophagy {GO:0061684}; DNA repair {GO:0006281}; endoplasmic reticulum unfolded protein response {GO:0030968}; negative regulation of protein binding {GO:0032091}; negative regulation of transforming growth factor beta receptor signaling pathway {GO:0030512}; positive regulation of chaperone-mediated protein complex assembly {GO:0090035}; positive regulation of proteasomal ubiquitin-dependent protein catabolic process {GO:0032436}; positive regulation of protein ubiquitination {GO:0031398}; positive regulation of proteolysis {GO:0045862}; positive regulation of ubiquitin-protein transferase activity {GO:0051443}; proteasome-mediated ubiquitin-dependent protein catabolic process {GO:0043161}; protein autoubiquitination {GO:0051865}; protein folding {GO:0006457}; protein K63-linked ubiquitination {GO:0070534}; protein maturation {GO:0051604}; protein polyubiquitination {GO:0000209}; protein quality control for misfolded or incompletely synthesized proteins {GO:0006515}; protein ubiquitination {GO:0016567}; regulation of glucocorticoid metabolic process {GO:0031943}; regulation of protein stability {GO:0031647}; response to ischemia {GO:0002931}; ubiquitin-dependent ERAD pathway {GO:0030433}; ubiquitin-dependent protein catabolic process {GO:0006511}; ubiquitin-dependent SMAD protein catabolic process {GO:0030579}</t>
  </si>
  <si>
    <t>chaperone complex {GO:0101031}; cytoplasm {GO:0005737}; cytosol {GO:0005829}; endoplasmic reticulum {GO:0005783}; nuclear inclusion body {GO:0042405}; nucleoplasm {GO:0005654}; nucleus {GO:0005634}; ubiquitin conjugating enzyme complex {GO:0031371}; ubiquitin ligase complex {GO:0000151}; Z disc {GO:0030018}</t>
  </si>
  <si>
    <t>chaperone binding {GO:0051087}; enzyme binding {GO:0019899}; G protein-coupled receptor binding {GO:0001664}; heat shock protein binding {GO:0031072}; Hsp70 protein binding {GO:0030544}; Hsp90 protein binding {GO:0051879}; kinase binding {GO:0019900}; misfolded protein binding {GO:0051787}; protein homodimerization activity {GO:0042803}; protein-macromolecule adaptor activity {GO:0030674}; SMAD binding {GO:0046332}; TPR domain binding {GO:0030911}; ubiquitin protein ligase activity {GO:0061630}; ubiquitin protein ligase binding {GO:0031625}; ubiquitin-protein transferase activity {GO:0004842}; ubiquitin-ubiquitin ligase activity {GO:0034450}</t>
  </si>
  <si>
    <t>Downregulation of TGF-beta receptor signaling {R-MMU-2173788}; Regulation of necroptotic cell death {R-MMU-5675482}; Downregulation of ERBB2 signaling {R-MMU-8863795}; Regulation of RUNX2 expression and activity {R-MMU-8939902}; Regulation of PTEN stability and activity {R-MMU-8948751}; Antigen processing: Ubiquitination &amp; Proteasome degradation {R-MMU-983168}</t>
  </si>
  <si>
    <t>sp|P50396|GDIA_MOUSE</t>
  </si>
  <si>
    <t>Rab GDP dissociation inhibitor alpha (Rab GDI alpha)</t>
  </si>
  <si>
    <t>Guanosine diphosphate dissociation inhibitor 1 (GDI-1)</t>
  </si>
  <si>
    <t>GDIA_MOUSE</t>
  </si>
  <si>
    <t>P50396</t>
  </si>
  <si>
    <t>A2AMA8; Q3TBI9; Q8VHM3; Q91Y71; Q91Z41; Q96CX5</t>
  </si>
  <si>
    <t>Rabgdia</t>
  </si>
  <si>
    <t>MGI:99846</t>
  </si>
  <si>
    <t>Cytoplasm; Golgi apparatus; GTPase activation; Phosphoprotein</t>
  </si>
  <si>
    <t>Cytoplasm; Golgi apparatus</t>
  </si>
  <si>
    <t>negative regulation of axonogenesis {GO:0050771}; negative regulation of protein targeting to membrane {GO:0090315}; positive regulation of axon extension {GO:0045773}; protein transport {GO:0015031}; Rab protein signal transduction {GO:0032482}; response to calcium ion {GO:0051592}; vesicle-mediated transport {GO:0016192}</t>
  </si>
  <si>
    <t>axon {GO:0030424}; cytoplasm {GO:0005737}; Golgi apparatus {GO:0005794}; midbody {GO:0030496}; myelin sheath {GO:0043209}; neuron projection {GO:0043005}; neuronal cell body {GO:0043025}; protein-containing complex {GO:0032991}</t>
  </si>
  <si>
    <t>RAB GEFs exchange GTP for GDP on RABs {R-MMU-8876198}</t>
  </si>
  <si>
    <t>sp|Q8BZF8|PGM5_MOUSE</t>
  </si>
  <si>
    <t>Phosphoglucomutase-like protein 5</t>
  </si>
  <si>
    <t>PGM5_MOUSE</t>
  </si>
  <si>
    <t>Q8BZF8</t>
  </si>
  <si>
    <t>MGI:1925668</t>
  </si>
  <si>
    <t>Cell adhesion; Cell junction; Cell membrane; Cytoplasm; Cytoskeleton; Membrane; Phosphoprotein</t>
  </si>
  <si>
    <t>carbohydrate metabolic process {GO:0005975}; cell adhesion {GO:0007155}; myofibril assembly {GO:0030239}; striated muscle tissue development {GO:0014706}</t>
  </si>
  <si>
    <t>adherens junction {GO:0005912}; cell-substrate junction {GO:0030055}; costamere {GO:0043034}; cytoplasmic side of plasma membrane {GO:0009898}; cytosol {GO:0005829}; dystrophin-associated glycoprotein complex {GO:0016010}; focal adhesion {GO:0005925}; intercalated disc {GO:0014704}; sarcolemma {GO:0042383}; spot adherens junction {GO:0005914}; stress fiber {GO:0001725}; Z disc {GO:0030018}</t>
  </si>
  <si>
    <t>magnesium ion binding {GO:0000287}</t>
  </si>
  <si>
    <t>sp|Q61792|LASP1_MOUSE</t>
  </si>
  <si>
    <t>LIM and SH3 domain protein 1 (LASP-1)</t>
  </si>
  <si>
    <t>Metastatic lymph node gene 50 protein (MLN 50)</t>
  </si>
  <si>
    <t>LASP1_MOUSE</t>
  </si>
  <si>
    <t>Q61792</t>
  </si>
  <si>
    <t>Q62416</t>
  </si>
  <si>
    <t>Mln50</t>
  </si>
  <si>
    <t>MGI:109656</t>
  </si>
  <si>
    <t>Acetylation; Actin-binding; Cytoplasm; Cytoskeleton; Ion transport; LIM domain; Metal-binding; Methylation; Phosphoprotein; Repeat; SH3 domain; Transport; Zinc</t>
  </si>
  <si>
    <t>LIM domain; Repeat; SH3 domain</t>
  </si>
  <si>
    <t>ion transport {GO:0006811}</t>
  </si>
  <si>
    <t>cortical actin cytoskeleton {GO:0030864}; cytoplasm {GO:0005737}; focal adhesion {GO:0005925}</t>
  </si>
  <si>
    <t>actin filament binding {GO:0051015}; ion transmembrane transporter activity {GO:0015075}; metal ion binding {GO:0046872}</t>
  </si>
  <si>
    <t>sp|O54984|GET3_MOUSE</t>
  </si>
  <si>
    <t>ATPase GET3</t>
  </si>
  <si>
    <t>Arsenical pump-driving ATPase; Arsenite-stimulated ATPase; Guided entry of tail-anchored proteins factor 3, ATPase</t>
  </si>
  <si>
    <t>GET3_MOUSE</t>
  </si>
  <si>
    <t>O54984</t>
  </si>
  <si>
    <t>Q3TAQ4</t>
  </si>
  <si>
    <t>MGI:1928379</t>
  </si>
  <si>
    <t>Acetylation; ATP-binding; Cytoplasm; Endoplasmic reticulum; Hydrolase; Metal-binding; Nucleotide-binding; Nucleus; Transport; Zinc</t>
  </si>
  <si>
    <t>post-translational protein targeting to endoplasmic reticulum membrane {GO:0006620}; tail-anchored membrane protein insertion into ER membrane {GO:0071816}</t>
  </si>
  <si>
    <t>GET complex {GO:0043529}; nucleolus {GO:0005730}; nucleoplasm {GO:0005654}</t>
  </si>
  <si>
    <t>ATP binding {GO:0005524}; ATP hydrolysis activity {GO:0016887}; metal ion binding {GO:0046872}</t>
  </si>
  <si>
    <t>tr|Q3UJB0|Q3UJB0_MOUSE</t>
  </si>
  <si>
    <t>sp|Q8BYA0|TBCD_MOUSE</t>
  </si>
  <si>
    <t>Tubulin-specific chaperone D</t>
  </si>
  <si>
    <t>Beta-tubulin cofactor D; Tubulin-folding cofactor D</t>
  </si>
  <si>
    <t>TBCD_MOUSE</t>
  </si>
  <si>
    <t>Q8BYA0</t>
  </si>
  <si>
    <t>MGI:1919686</t>
  </si>
  <si>
    <t>Cell junction; Cell membrane; Chaperone; Cytoplasm; Cytoskeleton; GTPase activation; Membrane; Repeat; Tight junction</t>
  </si>
  <si>
    <t>Cell junction; Cell membrane; Cytoplasm; Cytoskeleton; Membrane; Tight junction</t>
  </si>
  <si>
    <t>Chaperone; GTPase activation</t>
  </si>
  <si>
    <t>adherens junction assembly {GO:0034333}; bicellular tight junction assembly {GO:0070830}; cell morphogenesis involved in neuron differentiation {GO:0048667}; microtubule cytoskeleton organization {GO:0000226}; mitotic cell cycle {GO:0000278}; negative regulation of cell-substrate adhesion {GO:0010812}; negative regulation of microtubule polymerization {GO:0031115}; post-chaperonin tubulin folding pathway {GO:0007023}; protein folding {GO:0006457}; tubulin complex assembly {GO:0007021}</t>
  </si>
  <si>
    <t>adherens junction {GO:0005912}; bicellular tight junction {GO:0005923}; centrosome {GO:0005813}; cytoplasm {GO:0005737}; lateral plasma membrane {GO:0016328}</t>
  </si>
  <si>
    <t>beta-tubulin binding {GO:0048487}; GTPase activator activity {GO:0005096}</t>
  </si>
  <si>
    <t>sp|Q9ERU9|RBP2_MOUSE</t>
  </si>
  <si>
    <t>E3 SUMO-protein ligase RanBP2</t>
  </si>
  <si>
    <t>Ran-binding protein 2 (RanBP2)</t>
  </si>
  <si>
    <t>RBP2_MOUSE</t>
  </si>
  <si>
    <t>Q9ERU9</t>
  </si>
  <si>
    <t>E9QM01; Q61992; Q8C9K9</t>
  </si>
  <si>
    <t>MGI:894323</t>
  </si>
  <si>
    <t>Acetylation; Disulfide bond; Isopeptide bond; Membrane; Metal-binding; Methylation; mRNA transport; Nuclear pore complex; Nucleus; Phosphoprotein; Protein transport; Repeat; RNA-binding; TPR repeat; Transferase; Translocation; Transport; Ubl conjugation; Ubl conjugation pathway; Zinc; Zinc-finger</t>
  </si>
  <si>
    <t>Protein transport; Translocation; Transport; Ubl conjugation pathway; mRNA transport</t>
  </si>
  <si>
    <t>Membrane; Nuclear pore complex; Nucleus</t>
  </si>
  <si>
    <t>Repeat; TPR repeat; Zinc-finger</t>
  </si>
  <si>
    <t>RNA-binding; Transferase</t>
  </si>
  <si>
    <t>Acetylation; Disulfide bond; Isopeptide bond; Methylation; Phosphoprotein; Ubl conjugation</t>
  </si>
  <si>
    <t>centrosome localization {GO:0051642}; mRNA transport {GO:0051028}; NLS-bearing protein import into nucleus {GO:0006607}; nuclear export {GO:0051168}; nucleocytoplasmic transport {GO:0006913}; positive regulation of glucokinase activity {GO:0033133}; protein folding {GO:0006457}; protein peptidyl-prolyl isomerization {GO:0000413}; protein sumoylation {GO:0016925}; regulation of gluconeogenesis {GO:0006111}</t>
  </si>
  <si>
    <t>annulate lamellae {GO:0005642}; cytoplasm {GO:0005737}; cytoplasmic periphery of the nuclear pore complex {GO:1990723}; intracellular membrane-bounded organelle {GO:0043231}; nuclear envelope {GO:0005635}; nuclear inclusion body {GO:0042405}; nuclear membrane {GO:0031965}; nuclear pore {GO:0005643}; nuclear pore cytoplasmic filaments {GO:0044614}; nuclear pore nuclear basket {GO:0044615}; nucleoplasm {GO:0005654}; SUMO ligase complex {GO:0106068}</t>
  </si>
  <si>
    <t>metal ion binding {GO:0046872}; peptidyl-prolyl cis-trans isomerase activity {GO:0003755}; protein-containing complex binding {GO:0044877}; RNA binding {GO:0003723}; small GTPase binding {GO:0031267}; SUMO ligase activity {GO:0061665}; SUMO transferase activity {GO:0019789}</t>
  </si>
  <si>
    <t>Amplification of signal from unattached kinetochores via a MAD2 inhibitory signal {R-MMU-141444}; 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{R-MMU-159236}; Regulation of Glucokinase by Glucokinase Regulatory Protein {R-MMU-170822}; snRNP Assembly {R-MMU-191859}; Separation of Sister Chromatids {R-MMU-2467813}; Resolution of Sister Chromatid Cohesion {R-MMU-2500257}; SUMOylation of DNA damage response and repair proteins {R-MMU-3108214}; SUMOylation of ubiquitinylation proteins {R-MMU-3232142}; Nuclear Pore Complex (NPC) Disassembly {R-MMU-3301854}; Regulation of HSF1-mediated heat shock response {R-MMU-3371453}; SUMOylation of SUMOylation proteins {R-MMU-4085377}; SUMOylation of chromatin organization proteins {R-MMU-4551638}; SUMOylation of RNA binding proteins {R-MMU-4570464}; SUMOylation of DNA replication proteins {R-MMU-4615885}; Transcriptional regulation by small RNAs {R-MMU-5578749}; RHO GTPases Activate Formins {R-MMU-5663220}; Mitotic Prometaphase {R-MMU-68877}; EML4 and NUDC in mitotic spindle formation {R-MMU-9648025}</t>
  </si>
  <si>
    <t>sp|P63073|IF4E_MOUSE</t>
  </si>
  <si>
    <t>Eukaryotic translation initiation factor 4E (eIF-4E; eIF4E; mRNA cap-binding protein)</t>
  </si>
  <si>
    <t>eIF-4F 25 kDa subunit</t>
  </si>
  <si>
    <t>IF4E_MOUSE</t>
  </si>
  <si>
    <t>P63073</t>
  </si>
  <si>
    <t>P20415</t>
  </si>
  <si>
    <t>MGI:95305</t>
  </si>
  <si>
    <t>3D-structure; Acetylation; Cytoplasm; Initiation factor; Nucleus; Phosphoprotein; Protein biosynthesis; RNA-binding; Translation regulation</t>
  </si>
  <si>
    <t>behavioral fear response {GO:0001662}; cellular response to dexamethasone stimulus {GO:0071549}; G1/S transition of mitotic cell cycle {GO:0000082}; negative regulation of neuron differentiation {GO:0045665}; negative regulation of translation {GO:0017148}; neuron differentiation {GO:0030182}; positive regulation of mitotic cell cycle {GO:0045931}; regulation of translation {GO:0006417}; regulation of translation at postsynapse, modulating synaptic transmission {GO:0099578}; stem cell population maintenance {GO:0019827}; translation {GO:0006412}; translational initiation {GO:0006413}</t>
  </si>
  <si>
    <t>chromatoid body {GO:0033391}; cytoplasm {GO:0005737}; cytoplasmic ribonucleoprotein granule {GO:0036464}; cytoplasmic stress granule {GO:0010494}; cytosol {GO:0005829}; eukaryotic translation initiation factor 4F complex {GO:0016281}; glutamatergic synapse {GO:0098978}; mRNA cap binding complex {GO:0005845}; nucleus {GO:0005634}; P-body {GO:0000932}; perinuclear region of cytoplasm {GO:0048471}; postsynapse {GO:0098794}; postsynaptic cytosol {GO:0099524}; protein-containing complex {GO:0032991}; RISC complex {GO:0016442}</t>
  </si>
  <si>
    <t>DNA-binding transcription factor binding {GO:0140297}; enzyme binding {GO:0019899}; eukaryotic initiation factor 4G binding {GO:0031370}; RNA 7-methylguanosine cap binding {GO:0000340}; translation initiation factor activity {GO:0003743}; translation regulator activity {GO:0045182}</t>
  </si>
  <si>
    <t>ISG15 antiviral mechanism {R-MMU-1169408}; L13a-mediated translational silencing of Ceruloplasmin expression {R-MMU-156827}; Transport of the SLBP independent Mature mRNA {R-MMU-159227}; Transport of the SLBP Dependant Mature mRNA {R-MMU-159230}; Transport of Mature mRNA Derived from an Intronless Transcript {R-MMU-159231}; mTORC1-mediated signalling {R-MMU-166208}; Deadenylation of mRNA {R-MMU-429947}; Translation initiation complex formation {R-MMU-72649}; Activation of the mRNA upon binding of the cap-binding complex and eIFs, and subsequent binding to 43S {R-MMU-72662}; Ribosomal scanning and start codon recognition {R-MMU-72702}; GTP hydrolysis and joining of the 60S ribosomal subunit {R-MMU-72706}</t>
  </si>
  <si>
    <t>sp|A2AN08|UBR4_MOUSE</t>
  </si>
  <si>
    <t>E3 ubiquitin-protein ligase UBR4</t>
  </si>
  <si>
    <t>N-recognin-4; RING-type E3 ubiquitin transferase UBR4; Zinc finger UBR1-type protein 1; p600</t>
  </si>
  <si>
    <t>UBR4_MOUSE</t>
  </si>
  <si>
    <t>A2AN08</t>
  </si>
  <si>
    <t>A2AN07; A2AN09; A2AN10; A2AN11; Q52KI4; Q6PB49; Q6PFC7; Q80Y11; Q8BGB9; Q8C3E8; Q8C4W5; Q8C8X7; Q8CGE0; Q8CHF3</t>
  </si>
  <si>
    <t>Kiaa0462; Zubr1</t>
  </si>
  <si>
    <t>MGI:1916366</t>
  </si>
  <si>
    <t>Acetylation; Alternative splicing; Calmodulin-binding; Cytoplasm; Cytoskeleton; Membrane; Metal-binding; Nucleus; Phosphoprotein; Transferase; Transmembrane; Transmembrane helix; Ubl conjugation pathway; Zinc; Zinc-finger</t>
  </si>
  <si>
    <t>Transmembrane; Transmembrane helix; Zinc-finger</t>
  </si>
  <si>
    <t>Calmodulin-binding; Transferase</t>
  </si>
  <si>
    <t>ubiquitin-dependent protein catabolic process {GO:0006511}</t>
  </si>
  <si>
    <t>centrosome {GO:0005813}; cytosol {GO:0005829}; integral component of membrane {GO:0016021}; nucleoplasm {GO:0005654}</t>
  </si>
  <si>
    <t>calmodulin binding {GO:0005516}; ubiquitin protein ligase activity {GO:0061630}; ubiquitin-protein transferase activity {GO:0004842}; zinc ion binding {GO:0008270}</t>
  </si>
  <si>
    <t>Neutrophil degranulation {R-MMU-6798695}; Antigen processing: Ubiquitination &amp; Proteasome degradation {R-MMU-983168}</t>
  </si>
  <si>
    <t>sp|P26350|PTMA_MOUSE</t>
  </si>
  <si>
    <t>Thymosin alpha</t>
  </si>
  <si>
    <t>PTMA_MOUSE</t>
  </si>
  <si>
    <t>P26350</t>
  </si>
  <si>
    <t>Q3UQV6</t>
  </si>
  <si>
    <t>MGI:97803</t>
  </si>
  <si>
    <t>3D-structure; Acetylation; Isopeptide bond; Nucleus; Phosphoprotein; Ubl conjugation</t>
  </si>
  <si>
    <t>histone exchange {GO:0043486}; negative regulation of apoptotic process {GO:0043066}; positive regulation of transcription by RNA polymerase II {GO:0045944}</t>
  </si>
  <si>
    <t>cytosol {GO:0005829}; nucleoplasm {GO:0005654}; nucleus {GO:0005634}</t>
  </si>
  <si>
    <t>DNA-binding transcription factor binding {GO:0140297}; histone binding {GO:0042393}</t>
  </si>
  <si>
    <t>sp|Q6P5H2|NEST_MOUSE</t>
  </si>
  <si>
    <t>Nestin</t>
  </si>
  <si>
    <t>NEST_MOUSE</t>
  </si>
  <si>
    <t>Q6P5H2</t>
  </si>
  <si>
    <t>A1E2I2; Q80X00; Q8BPH7; Q9CV43; Q9R0C4</t>
  </si>
  <si>
    <t>MGI:101784</t>
  </si>
  <si>
    <t>Acetylation; Alternative splicing; Coiled coil; Developmental protein; Intermediate filament; Neurogenesis; Phosphoprotein</t>
  </si>
  <si>
    <t>Intermediate filament</t>
  </si>
  <si>
    <t>brain development {GO:0007420}; cell projection morphogenesis {GO:0048858}; embryonic camera-type eye development {GO:0031076}; G2/M transition of mitotic cell cycle {GO:0000086}; negative regulation of catalytic activity {GO:0043086}; negative regulation of neuron apoptotic process {GO:0043524}; negative regulation of protein binding {GO:0032091}; nervous system development {GO:0007399}; neuron apoptotic process {GO:0051402}; positive regulation of intermediate filament depolymerization {GO:0030844}; positive regulation of neural precursor cell proliferation {GO:2000179}; stem cell proliferation {GO:0072089}</t>
  </si>
  <si>
    <t>cytoplasm {GO:0005737}; intermediate filament {GO:0005882}; intermediate filament cytoskeleton {GO:0045111}</t>
  </si>
  <si>
    <t>CCR5 chemokine receptor binding {GO:0031730}; intermediate filament binding {GO:0019215}</t>
  </si>
  <si>
    <t>sp|P63166|SUMO1_MOUSE</t>
  </si>
  <si>
    <t>Small ubiquitin-related modifier 1 (SUMO-1)</t>
  </si>
  <si>
    <t>SMT3 homolog 3; Ubiquitin-homology domain protein PIC1; Ubiquitin-like protein SMT3C (Smt3C)</t>
  </si>
  <si>
    <t>SUMO1_MOUSE</t>
  </si>
  <si>
    <t>P63166</t>
  </si>
  <si>
    <t>P55856; Q3TX92; Q93068</t>
  </si>
  <si>
    <t>Smt3c; Smt3h3; Ubl1</t>
  </si>
  <si>
    <t>MGI:1197010</t>
  </si>
  <si>
    <t>Acetylation; Cell membrane; Cytoplasm; Isopeptide bond; Membrane; Nucleus; Phosphoprotein; Stress response; Ubl conjugation; Ubl conjugation pathway</t>
  </si>
  <si>
    <t>Stress response; Ubl conjugation pathway</t>
  </si>
  <si>
    <t>cellular response to cadmium ion {GO:0071276}; cellular response to heat {GO:0034605}; negative regulation of action potential {GO:0045759}; negative regulation of delayed rectifier potassium channel activity {GO:1902260}; negative regulation of DNA binding {GO:0043392}; negative regulation of DNA-binding transcription factor activity {GO:0043433}; negative regulation of DNA-templated transcription {GO:0045892}; negative regulation of protein import into nucleus {GO:0042308}; negative regulation of transcription by transcription factor localization {GO:0010621}; PML body organization {GO:0030578}; positive regulation of ATPase-coupled calcium transmembrane transporter activity {GO:1901896}; positive regulation of proteasomal ubiquitin-dependent protein catabolic process {GO:0032436}; positive regulation of protein-containing complex assembly {GO:0031334}; protein localization to nuclear pore {GO:0090204}; protein stabilization {GO:0050821}; protein sumoylation {GO:0016925}; regulation of calcium ion transmembrane transport {GO:1903169}; regulation of cardiac muscle cell contraction {GO:0086004}; regulation of DNA-templated transcription {GO:0006355}; regulation of protein stability {GO:0031647}; roof of mouth development {GO:0060021}</t>
  </si>
  <si>
    <t>cytoplasm {GO:0005737}; dendrite {GO:0030425}; fibrillar center {GO:0001650}; heterochromatin {GO:0000792}; nuclear body {GO:0016604}; nuclear membrane {GO:0031965}; nuclear speck {GO:0016607}; nuclear stress granule {GO:0097165}; nucleolus {GO:0005730}; nucleoplasm {GO:0005654}; nucleus {GO:0005634}; plasma membrane {GO:0005886}; PML body {GO:0016605}; synapse {GO:0045202}; voltage-gated potassium channel complex {GO:0008076}; XY body {GO:0001741}</t>
  </si>
  <si>
    <t>enzyme binding {GO:0019899}; potassium channel regulator activity {GO:0015459}; protein tag {GO:0031386}; small protein activating enzyme binding {GO:0044388}; transcription factor binding {GO:0008134}; ubiquitin protein ligase binding {GO:0031625}; ubiquitin-like protein ligase binding {GO:0044389}; ubiquitin-specific protease binding {GO:1990381}</t>
  </si>
  <si>
    <t>SUMO is conjugated to E1 (UBA2:SAE1) {R-MMU-3065676}; SUMO is transferred from E1 to E2 (UBE2I, UBC9) {R-MMU-3065678}; SUMO is proteolytically processed {R-MMU-3065679}; SUMOylation of DNA damage response and repair proteins {R-MMU-3108214}; SUMO E3 ligases SUMOylate target proteins {R-MMU-3108232}; SUMOylation of transcription factors {R-MMU-3232118}; SUMOylation of ubiquitinylation proteins {R-MMU-3232142}; SUMOylation of transcription cofactors {R-MMU-3899300}; SUMOylation of SUMOylation proteins {R-MMU-4085377}; SUMOylation of intracellular receptors {R-MMU-4090294}; SUMOylation of chromatin organization proteins {R-MMU-4551638}; SUMOylation of RNA binding proteins {R-MMU-4570464}; SUMOylation of DNA replication proteins {R-MMU-4615885}; SUMOylation of DNA methylation proteins {R-MMU-4655427}; SUMOylation of immune response proteins {R-MMU-4755510}; Recruitment and ATM-mediated phosphorylation of repair and signaling proteins at DNA double strand breaks {R-MMU-5693565}; Formation of Incision Complex in GG-NER {R-MMU-5696395}; Regulation of IFNG signaling {R-MMU-877312}; Negative regulation of activity of TFAP2 (AP-2) family transcription factors {R-MMU-8866904}; Postmitotic nuclear pore complex (NPC) reformation {R-MMU-9615933}</t>
  </si>
  <si>
    <t>sp|P45952|ACADM_MOUSE</t>
  </si>
  <si>
    <t>Medium-chain specific acyl-CoA dehydrogenase, mitochondrial (MCAD)</t>
  </si>
  <si>
    <t>ACADM_MOUSE</t>
  </si>
  <si>
    <t>P45952</t>
  </si>
  <si>
    <t>Q64235</t>
  </si>
  <si>
    <t>MGI:87867</t>
  </si>
  <si>
    <t>Acetylation; FAD; Fatty acid metabolism; Flavoprotein; Lipid metabolism; Mitochondrion; Oxidoreductase; Phosphoprotein; Transit peptide</t>
  </si>
  <si>
    <t>cardiac muscle cell differentiation {GO:0055007}; carnitine biosynthetic process {GO:0045329}; carnitine metabolic process {GO:0009437}; carnitine metabolic process, CoA-linked {GO:0019254}; fatty acid beta-oxidation {GO:0006635}; fatty acid beta-oxidation using acyl-CoA dehydrogenase {GO:0033539}; glycogen biosynthetic process {GO:0005978}; heart development {GO:0007507}; liver development {GO:0001889}; medium-chain fatty acid catabolic process {GO:0051793}; medium-chain fatty acid metabolic process {GO:0051791}; organic acid metabolic process {GO:0006082}; post-embryonic development {GO:0009791}; regulation of gluconeogenesis {GO:0006111}; response to cold {GO:0009409}; response to starvation {GO:0042594}</t>
  </si>
  <si>
    <t>axon {GO:0030424}; cytoplasm {GO:0005737}; mitochondrial matrix {GO:0005759}; mitochondrial membrane {GO:0031966}; mitochondrion {GO:0005739}</t>
  </si>
  <si>
    <t>acyl-CoA dehydrogenase activity {GO:0003995}; fatty-acyl-CoA binding {GO:0000062}; flavin adenine dinucleotide binding {GO:0050660}; identical protein binding {GO:0042802}; isomerase activity {GO:0016853}; medium-chain-acyl-CoA dehydrogenase activity {GO:0070991}</t>
  </si>
  <si>
    <t>Lipid metabolism; mitochondrial fatty acid beta-oxidation.</t>
  </si>
  <si>
    <t>mitochondrial fatty acid beta-oxidation of unsaturated fatty acids {R-MMU-77288}; Beta oxidation of decanoyl-CoA to octanoyl-CoA-CoA {R-MMU-77346}; Beta oxidation of octanoyl-CoA to hexanoyl-CoA {R-MMU-77348}</t>
  </si>
  <si>
    <t>sp|P32020|SCP2_MOUSE</t>
  </si>
  <si>
    <t>Sterol carrier protein 2 (SCP-2)</t>
  </si>
  <si>
    <t>Acetyl-CoA C-myristoyltransferase; Non-specific lipid-transfer protein (NSL-TP); Propanoyl-CoA C-acyltransferase; SCP-2/3-oxoacyl-CoA thiolase; SCP-2/thiolase; SCP-chi; Sterol carrier protein X (SCP-X)</t>
  </si>
  <si>
    <t>SCP2_MOUSE</t>
  </si>
  <si>
    <t>P32020</t>
  </si>
  <si>
    <t>A2APS2; A2APS3; Q9DBM7</t>
  </si>
  <si>
    <t>Scp-2</t>
  </si>
  <si>
    <t>MGI:98254</t>
  </si>
  <si>
    <t>Acetylation; Acyltransferase; Alternative initiation; Cytoplasm; Endoplasmic reticulum; Lipid metabolism; Lipid transport; Lipid-binding; Mitochondrion; Peroxisome; Phosphoprotein; Transferase; Transport</t>
  </si>
  <si>
    <t>Lipid metabolism; Lipid transport; Transport</t>
  </si>
  <si>
    <t>Cytoplasm; Endoplasmic reticulum; Mitochondrion; Peroxisome</t>
  </si>
  <si>
    <t>aging {GO:0007568}; bile acid metabolic process {GO:0008206}; fatty acid beta-oxidation {GO:0006635}; inositol trisphosphate biosynthetic process {GO:0032959}; intracellular cholesterol transport {GO:0032367}; lipid hydroperoxide transport {GO:1901373}; phospholipid transport {GO:0015914}; positive regulation of apoptotic process {GO:0043065}; positive regulation of cholesterol biosynthetic process {GO:0045542}; positive regulation of cholesterol import {GO:1904109}; positive regulation of intracellular cholesterol transport {GO:0032385}; positive regulation of steroid biosynthetic process {GO:0010893}; positive regulation of steroid metabolic process {GO:0045940}; progesterone biosynthetic process {GO:0006701}; protein localization to plasma membrane {GO:0072659}; regulation of phospholipid biosynthetic process {GO:0071071}; steroid biosynthetic process {GO:0006694}</t>
  </si>
  <si>
    <t>cytoplasm {GO:0005737}; cytosol {GO:0005829}; endoplasmic reticulum {GO:0005783}; extrinsic component of membrane {GO:0019898}; extrinsic component of mitochondrial outer membrane {GO:0031315}; intracellular membrane-bounded organelle {GO:0043231}; membrane {GO:0016020}; mitochondrion {GO:0005739}; nucleoplasm {GO:0005654}; nucleus {GO:0005634}; peroxisomal matrix {GO:0005782}; peroxisome {GO:0005777}; protein-containing complex {GO:0032991}</t>
  </si>
  <si>
    <t>acetyl-CoA C-acyltransferase activity {GO:0003988}; acetyl-CoA C-myristoyltransferase activity {GO:0050633}; cholesterol binding {GO:0015485}; cholesterol transfer activity {GO:0120020}; fatty-acyl-CoA binding {GO:0000062}; identical protein binding {GO:0042802}; long-chain fatty acyl-CoA binding {GO:0036042}; oleic acid binding {GO:0070538}; phosphatidylcholine transfer activity {GO:0120019}; phosphatidylethanolamine transfer activity {GO:1904121}; phosphatidylinositol transfer activity {GO:0008526}; propanoyl-CoA C-acyltransferase activity {GO:0033814}; propionyl-CoA C2-trimethyltridecanoyltransferase activity {GO:0050632}; protein-containing complex binding {GO:0044877}; signaling receptor binding {GO:0005102}; sterol binding {GO:0032934}</t>
  </si>
  <si>
    <t>Synthesis of bile acids and bile salts via 7alpha-hydroxycholesterol {R-MMU-193368}; alpha-linolenic acid (ALA) metabolism {R-MMU-2046106}; Beta-oxidation of pristanoyl-CoA {R-MMU-389887}; Peroxisomal protein import {R-MMU-9033241}</t>
  </si>
  <si>
    <t>sp|Q62394|ZN185_MOUSE</t>
  </si>
  <si>
    <t>Zinc finger protein 185</t>
  </si>
  <si>
    <t>LIM domain protein Zfp185; P1-A</t>
  </si>
  <si>
    <t>ZN185_MOUSE</t>
  </si>
  <si>
    <t>Q62394</t>
  </si>
  <si>
    <t>Zfp185</t>
  </si>
  <si>
    <t>MGI:108095</t>
  </si>
  <si>
    <t>Cell junction; Cytoplasm; Cytoskeleton; LIM domain; Metal-binding; Phosphoprotein; Zinc</t>
  </si>
  <si>
    <t>actin cytoskeleton {GO:0015629}; cytoplasm {GO:0005737}; focal adhesion {GO:0005925}</t>
  </si>
  <si>
    <t>actin filament binding {GO:0051015}; metal ion binding {GO:0046872}</t>
  </si>
  <si>
    <t>sp|P12787|COX5A_MOUSE</t>
  </si>
  <si>
    <t>Cytochrome c oxidase subunit 5A, mitochondrial</t>
  </si>
  <si>
    <t>Cytochrome c oxidase polypeptide Va</t>
  </si>
  <si>
    <t>COX5A_MOUSE</t>
  </si>
  <si>
    <t>P12787</t>
  </si>
  <si>
    <t>Q9D2W1</t>
  </si>
  <si>
    <t>MGI:88474</t>
  </si>
  <si>
    <t>3D-structure; Acetylation; Heme; Iron; Membrane; Metal-binding; Mitochondrion; Mitochondrion inner membrane; Phosphoprotein; Transit peptide</t>
  </si>
  <si>
    <t>cytochrome-c oxidase activity {GO:0004129}; metal ion binding {GO:0046872}</t>
  </si>
  <si>
    <t>sp|Q9Z2I9|SUCB1_MOUSE</t>
  </si>
  <si>
    <t>Succinate--CoA ligase [ADP-forming] subunit beta, mitochondrial</t>
  </si>
  <si>
    <t>ATP-specific succinyl-CoA synthetase subunit beta (A-SCS); Succinyl-CoA synthetase beta-A chain (SCS-betaA)</t>
  </si>
  <si>
    <t>SUCB1_MOUSE</t>
  </si>
  <si>
    <t>Q9Z2I9</t>
  </si>
  <si>
    <t>Q3TVH1; Q8BGS6</t>
  </si>
  <si>
    <t>MGI:1306775</t>
  </si>
  <si>
    <t>Acetylation; ATP-binding; Ligase; Magnesium; Metal-binding; Mitochondrion; Nucleotide-binding; Phosphoprotein; Transit peptide; Tricarboxylic acid cycle</t>
  </si>
  <si>
    <t>mitochondrion {GO:0005739}; myelin sheath {GO:0043209}; succinate-CoA ligase complex {GO:0042709}</t>
  </si>
  <si>
    <t>ATP binding {GO:0005524}; magnesium ion binding {GO:0000287}; succinate-CoA ligase (ADP-forming) activity {GO:0004775}; succinate-CoA ligase activity {GO:0004774}</t>
  </si>
  <si>
    <t>Carbohydrate metabolism; tricarboxylic acid cycle; succinate from succinyl-CoA (ligase route): step 1/1. {ECO:0000255|HAMAP- Rule:MF_03220}.</t>
  </si>
  <si>
    <t>sp|P11103|PARP1_MOUSE</t>
  </si>
  <si>
    <t>Poly [ADP-ribose] polymerase 1, processed N-terminus</t>
  </si>
  <si>
    <t>ADP-ribosyltransferase diphtheria toxin-like 1 (ARTD1); DNA ADP-ribosyltransferase PARP1; NAD(+) ADP-ribosyltransferase 1 (ADPRT 1); Poly[ADP-ribose] synthase 1 (msPARP); Protein poly-ADP-ribosyltransferase PARP1; Poly [ADP-ribose] polymerase 1, 89-kDa form; Poly [ADP-ribose] polymerase 1, 24-kDa form</t>
  </si>
  <si>
    <t>PARP1_MOUSE</t>
  </si>
  <si>
    <t>P11103</t>
  </si>
  <si>
    <t>Q9JLX4; Q9QVQ3</t>
  </si>
  <si>
    <t>Adprp; Adprt; Adprt1</t>
  </si>
  <si>
    <t>MGI:1340806</t>
  </si>
  <si>
    <t>Acetylation; ADP-ribosylation; Allosteric enzyme; Alternative initiation; Apoptosis; Chromosome; Cytoplasm; DNA damage; DNA repair; DNA-binding; Glycosyltransferase; Immunity; Innate immunity; Isopeptide bond; Metal-binding; NAD; Nucleotidyltransferase; Nucleus; Phosphoprotein; Repeat; S-nitrosylation; Transcription; Transcription regulation; Transferase; Ubl conjugation; Zinc; Zinc-finger</t>
  </si>
  <si>
    <t>Apoptosis; DNA damage; DNA repair; Immunity; Innate immunity; Transcription; Transcription regulation</t>
  </si>
  <si>
    <t>Chromosome; Cytoplasm; Nucleus</t>
  </si>
  <si>
    <t>Allosteric enzyme; DNA-binding; Glycosyltransferase; Nucleotidyltransferase; Transferase</t>
  </si>
  <si>
    <t>ADP-ribosylation; Acetylation; Isopeptide bond; Phosphoprotein; S-nitrosylation; Ubl conjugation</t>
  </si>
  <si>
    <t>apoptotic process {GO:0006915}; ATP generation from poly-ADP-D-ribose {GO:1990966}; base-excision repair {GO:0006284}; behavioral response to cocaine {GO:0048148}; cellular response to amyloid-beta {GO:1904646}; cellular response to DNA damage stimulus {GO:0006974}; cellular response to insulin stimulus {GO:0032869}; cellular response to oxidative stress {GO:0034599}; cellular response to superoxide {GO:0071451}; cellular response to transforming growth factor beta stimulus {GO:0071560}; cellular response to UV {GO:0034644}; decidualization {GO:0046697}; DNA ADP-ribosylation {GO:0030592}; DNA metabolic process {GO:0006259}; DNA repair {GO:0006281}; double-strand break repair {GO:0006302}; mitochondrial DNA metabolic process {GO:0032042}; mitochondrial DNA repair {GO:0043504}; mitochondrion organization {GO:0007005}; negative regulation of ATP biosynthetic process {GO:2001170}; negative regulation of innate immune response {GO:0045824}; negative regulation of interleukin-17 production {GO:0032700}; negative regulation of telomere maintenance via telomere lengthening {GO:1904357}; negative regulation of transcription by RNA polymerase II {GO:0000122}; peptidyl-glutamic acid poly-ADP-ribosylation {GO:0018424}; peptidyl-serine ADP-ribosylation {GO:0018312}; positive regulation of cardiac muscle hypertrophy {GO:0010613}; positive regulation of double-strand break repair via homologous recombination {GO:1905168}; positive regulation of intracellular estrogen receptor signaling pathway {GO:0033148}; positive regulation of mitochondrial depolarization {GO:0051901}; positive regulation of myofibroblast differentiation {GO:1904762}; positive regulation of necroptotic process {GO:0060545}; positive regulation of neuron death {GO:1901216}; positive regulation of protein localization to nucleus {GO:1900182}; positive regulation of single strand break repair {GO:1903518}; positive regulation of SMAD protein signal transduction {GO:0060391}; positive regulation of transcription by RNA polymerase II {GO:0045944}; positive regulation of transcription regulatory region DNA binding {GO:2000679}; protein ADP-ribosylation {GO:0006471}; protein auto-ADP-ribosylation {GO:0070213}; protein autoprocessing {GO:0016540}; protein modification process {GO:0036211}; protein poly-ADP-ribosylation {GO:0070212}; regulation of catalytic activity {GO:0050790}; regulation of circadian sleep/wake cycle, non-REM sleep {GO:0045188}; regulation of DNA methylation {GO:0044030}; regulation of growth rate {GO:0040009}; regulation of oxidative stress-induced neuron intrinsic apoptotic signaling pathway {GO:1903376}; regulation of protein localization {GO:0032880}; regulation of single strand break repair {GO:1903516}; regulation of SMAD protein complex assembly {GO:0010990}; replication fork reversal {GO:0071932}; signal transduction involved in regulation of gene expression {GO:0023019}; telomere maintenance {GO:0000723}; transforming growth factor beta receptor signaling pathway {GO:0007179}; voluntary musculoskeletal movement {GO:0050882}</t>
  </si>
  <si>
    <t>chromatin {GO:0000785}; cytoplasm {GO:0005737}; cytosol {GO:0005829}; mitochondrion {GO:0005739}; nuclear body {GO:0016604}; nuclear envelope {GO:0005635}; nuclear replication fork {GO:0043596}; nucleolus {GO:0005730}; nucleoplasm {GO:0005654}; nucleus {GO:0005634}; protein-containing complex {GO:0032991}; protein-DNA complex {GO:0032993}; site of DNA damage {GO:0090734}; site of double-strand break {GO:0035861}; transcription regulator complex {GO:0005667}</t>
  </si>
  <si>
    <t>chromatin binding {GO:0003682}; damaged DNA binding {GO:0003684}; enzyme binding {GO:0019899}; histone deacetylase binding {GO:0042826}; identical protein binding {GO:0042802}; NAD binding {GO:0051287}; NAD DNA ADP-ribosyltransferase activity {GO:0140294}; NAD+ ADP-ribosyltransferase activity {GO:0003950}; NAD+- protein-aspartate ADP-ribosyltransferase activity {GO:0140806}; NAD+-protein ADP-ribosyltransferase activity {GO:1990404}; NAD+-protein-glutamate ADP-ribosyltransferase activity {GO:0140807}; NAD+-protein-histidine ADP-ribosyltransferase activity {GO:0140815}; NAD+-protein-serine ADP-ribosyltransferase activity {GO:0140805}; NAD+-protein-tyrosine ADP-ribosyltransferase activity {GO:0140808}; nuclear estrogen receptor binding {GO:0030331}; nucleosome binding {GO:0031491}; protein homodimerization activity {GO:0042803}; protein kinase binding {GO:0019901}; protein N-terminus binding {GO:0047485}; R-SMAD binding {GO:0070412}; RNA polymerase II-specific DNA-binding transcription factor binding {GO:0061629}; SMAD binding {GO:0046332}; zinc ion binding {GO:0008270}</t>
  </si>
  <si>
    <t>POLB-Dependent Long Patch Base Excision Repair {R-MMU-110362}; Downregulation of SMAD2/3:SMAD4 transcriptional activity {R-MMU-2173795}; SUMOylation of DNA damage response and repair proteins {R-MMU-3108214}; HDR through MMEJ (alt-NHEJ) {R-MMU-5685939}; DNA Damage Recognition in GG-NER {R-MMU-5696394}; Formation of Incision Complex in GG-NER {R-MMU-5696395}; Dual Incision in GG-NER {R-MMU-5696400}</t>
  </si>
  <si>
    <t>sp|Q8K4Z5|SF3A1_MOUSE</t>
  </si>
  <si>
    <t>Splicing factor 3A subunit 1</t>
  </si>
  <si>
    <t>SF3a120</t>
  </si>
  <si>
    <t>SF3A1_MOUSE</t>
  </si>
  <si>
    <t>Q8K4Z5</t>
  </si>
  <si>
    <t>Q8C0M7; Q8C128; Q8C175; Q921T3</t>
  </si>
  <si>
    <t>MGI:1914715</t>
  </si>
  <si>
    <t>3D-structure; Acetylation; Isopeptide bond; mRNA processing; mRNA splicing; Nucleus; Phosphoprotein; Repeat; Spliceosome; Ubl conjugation</t>
  </si>
  <si>
    <t>mRNA cis splicing, via spliceosome {GO:0045292}; mRNA processing {GO:0006397}; mRNA splicing, via spliceosome {GO:0000398}; U2-type prespliceosome assembly {GO:1903241}</t>
  </si>
  <si>
    <t>catalytic step 2 spliceosome {GO:0071013}; nuclear speck {GO:0016607}; nucleoplasm {GO:0005654}; nucleus {GO:0005634}; spliceosomal complex {GO:0005681}; U2 snRNP {GO:0005686}; U2-type precatalytic spliceosome {GO:0071005}; U2-type prespliceosome {GO:0071004}; U2-type spliceosomal complex {GO:0005684}</t>
  </si>
  <si>
    <t>sp|Q9D0M5|DYL2_MOUSE</t>
  </si>
  <si>
    <t>Dynein light chain 2, cytoplasmic</t>
  </si>
  <si>
    <t>8 kDa dynein light chain b (DLC8; DLC8b); Dynein light chain LC8-type 2</t>
  </si>
  <si>
    <t>DYL2_MOUSE</t>
  </si>
  <si>
    <t>Q9D0M5</t>
  </si>
  <si>
    <t>A7M7R8; Q3TFB4</t>
  </si>
  <si>
    <t>Dlc2</t>
  </si>
  <si>
    <t>MGI:1915347</t>
  </si>
  <si>
    <t>3D-structure; Cytoplasm; Cytoskeleton; Dynein; Microtubule; Motor protein; Transport</t>
  </si>
  <si>
    <t>microtubule-based process {GO:0007017}</t>
  </si>
  <si>
    <t>9+0 non-motile cilium {GO:0097731}; centrosome {GO:0005813}; cytoplasm {GO:0005737}; cytoplasmic dynein complex {GO:0005868}; cytoskeleton {GO:0005856}; glutamatergic synapse {GO:0098978}; microtubule {GO:0005874}; myosin V complex {GO:0031475}; postsynapse {GO:0098794}; postsynaptic density {GO:0014069}</t>
  </si>
  <si>
    <t>dynein intermediate chain binding {GO:0045505}; identical protein binding {GO:0042802}; protein-containing complex binding {GO:0044877}; scaffold protein binding {GO:0097110}</t>
  </si>
  <si>
    <t>Activation of BMF and translocation to mitochondria {R-MMU-139910}; Amplification of signal from unattached kinetochores via a MAD2 inhibitory signal {R-MMU-141444}; Macroautophagy {R-MMU-1632852}; MHC class II antigen presentation {R-MMU-2132295}; Separation of Sister Chromatids {R-MMU-2467813}; Resolution of Sister Chromatid Cohesion {R-MMU-2500257}; HSP90 chaperone cycle for steroid hormone receptors (SHR) in the presence of ligand {R-MMU-3371497}; Intraflagellar transport {R-MMU-5620924}; RHO GTPases Activate Formins {R-MMU-5663220}; COPI-mediated anterograde transport {R-MMU-6807878}; COPI-independent Golgi-to-ER retrograde traffic {R-MMU-6811436}; Mitotic Prometaphase {R-MMU-68877}; Aggrephagy {R-MMU-9646399}; EML4 and NUDC in mitotic spindle formation {R-MMU-9648025}</t>
  </si>
  <si>
    <t>sp|O09061|PSB1_MOUSE</t>
  </si>
  <si>
    <t>Proteasome subunit beta type-1</t>
  </si>
  <si>
    <t>Macropain subunit C5; Multicatalytic endopeptidase complex subunit C5; Proteasome component C5; Proteasome gamma chain</t>
  </si>
  <si>
    <t>PSB1_MOUSE</t>
  </si>
  <si>
    <t>O09061</t>
  </si>
  <si>
    <t>Q62038; Q62039</t>
  </si>
  <si>
    <t>MGI:104884</t>
  </si>
  <si>
    <t>sp|Q9D0R2|SYTC_MOUSE</t>
  </si>
  <si>
    <t>Threonine--tRNA ligase 1, cytoplasmic</t>
  </si>
  <si>
    <t>Threonine--tRNA ligase, cytoplasmic; Threonyl-tRNA synthetase (ThrRS); Threonyl-tRNA synthetase 1</t>
  </si>
  <si>
    <t>SYTC_MOUSE</t>
  </si>
  <si>
    <t>Q9D0R2</t>
  </si>
  <si>
    <t>Q3TL42; Q7TMQ2; Q8BMI6; Q9CX03</t>
  </si>
  <si>
    <t>Tars</t>
  </si>
  <si>
    <t>MGI:106314</t>
  </si>
  <si>
    <t>Acetylation; Aminoacyl-tRNA synthetase; ATP-binding; Cytoplasm; Ligase; Nucleotide-binding; Phosphoprotein; Protein biosynthesis; Ubl conjugation</t>
  </si>
  <si>
    <t>threonyl-tRNA aminoacylation {GO:0006435}</t>
  </si>
  <si>
    <t>ATP binding {GO:0005524}; identical protein binding {GO:0042802}; threonine-tRNA ligase activity {GO:0004829}; zinc ion binding {GO:0008270}</t>
  </si>
  <si>
    <t>sp|P52927|HMGA2_MOUSE</t>
  </si>
  <si>
    <t>High mobility group protein HMGI-C</t>
  </si>
  <si>
    <t>High mobility group AT-hook protein 2</t>
  </si>
  <si>
    <t>HMGA2_MOUSE</t>
  </si>
  <si>
    <t>P52927</t>
  </si>
  <si>
    <t>Q3UQW0</t>
  </si>
  <si>
    <t>Hmgic</t>
  </si>
  <si>
    <t>MGI:101761</t>
  </si>
  <si>
    <t>Acetylation; Cell cycle; Cell division; DNA condensation; DNA-binding; Growth regulation; Meiosis; Mitosis; Nucleus; Phosphoprotein; Repeat; Transcription; Transcription regulation</t>
  </si>
  <si>
    <t>Cell cycle; Cell division; DNA condensation; Growth regulation; Meiosis; Mitosis; Transcription; Transcription regulation</t>
  </si>
  <si>
    <t>adipose tissue development {GO:0060612}; adrenal gland development {GO:0030325}; astrocyte differentiation {GO:0048708}; base-excision repair {GO:0006284}; cell division {GO:0051301}; cell proliferation in forebrain {GO:0021846}; chondrocyte differentiation {GO:0002062}; chondrocyte proliferation {GO:0035988}; chromosome condensation {GO:0030261}; endodermal cell differentiation {GO:0035987}; epithelial to mesenchymal transition {GO:0001837}; epithelial tube branching involved in lung morphogenesis {GO:0060441}; fat cell differentiation {GO:0045444}; fat pad development {GO:0060613}; fibroblast proliferation {GO:0048144}; heterochromatin assembly {GO:0031507}; intracellular signal transduction {GO:0035556}; lung epithelium development {GO:0060428}; male gonad development {GO:0008584}; meiotic cell cycle {GO:0051321}; mesenchymal cell differentiation {GO:0048762}; mesodermal cell differentiation {GO:0048333}; mesodermal-endodermal cell signaling {GO:0003131}; negative regulation by host of viral transcription {GO:0043922}; negative regulation of apoptotic process {GO:0043066}; negative regulation of astrocyte differentiation {GO:0048712}; negative regulation of cellular senescence {GO:2000773}; negative regulation of DNA binding {GO:0043392}; negative regulation of DNA-templated transcription {GO:0045892}; negative regulation of double-strand break repair via nonhomologous end joining {GO:2001033}; negative regulation of intracellular steroid hormone receptor signaling pathway {GO:0033144}; negative regulation of receptor signaling pathway via JAK-STAT {GO:0046426}; negative regulation of single stranded viral RNA replication via double stranded DNA intermediate {GO:0045869}; negative regulation of transcription by RNA polymerase II {GO:0000122}; negative regulation of Wnt signaling pathway {GO:0030178}; oncogene-induced cell senescence {GO:0090402}; pituitary gland development {GO:0021983}; positive regulation of angiogenesis {GO:0045766}; positive regulation of cell proliferation in bone marrow {GO:0071864}; positive regulation of DNA-binding transcription factor activity {GO:0051091}; positive regulation of DNA-templated transcription {GO:0045893}; positive regulation of epithelial cell proliferation involved in lung morphogenesis {GO:0060501}; positive regulation of fibroblast proliferation {GO:0048146}; positive regulation of gene expression {GO:0010628}; positive regulation of multicellular organism growth {GO:0040018}; positive regulation of protein serine/threonine kinase activity {GO:0071902}; positive regulation of stem cell proliferation {GO:2000648}; positive regulation of transcription by RNA polymerase II {GO:0045944}; regulation of cell cycle process {GO:0010564}; regulation of DNA-templated transcription {GO:0006355}; regulation of growth hormone secretion {GO:0060123}; regulation of peptide hormone secretion {GO:0090276}; regulation of stem cell population maintenance {GO:2000036}; signal transduction {GO:0007165}; somatic stem cell population maintenance {GO:0035019}; spermatogenesis {GO:0007283}; stem cell proliferation {GO:0072089}</t>
  </si>
  <si>
    <t>male germ cell nucleus {GO:0001673}; nuclear chromosome {GO:0000228}; nucleus {GO:0005634}; protein-DNA complex {GO:0032993}; senescence-associated heterochromatin focus {GO:0035985}; SMAD protein complex {GO:0071141}</t>
  </si>
  <si>
    <t>5'-deoxyribose-5-phosphate lyase activity {GO:0051575}; C2H2 zinc finger domain binding {GO:0070742}; cAMP response element binding {GO:0035497}; DNA binding, bending {GO:0008301}; DNA-(apurinic or apyrimidinic site) endonuclease activity {GO:0003906}; enzyme binding {GO:0019899}; MH1 domain binding {GO:0035501}; MH2 domain binding {GO:0035500}; minor groove of adenine-thymine-rich DNA binding {GO:0003680}; nucleosomal DNA binding {GO:0031492}; RNA polymerase II-specific DNA-binding transcription factor binding {GO:0061629}; SMAD binding {GO:0046332}; transcription cis-regulatory region binding {GO:0000976}; transcription coregulator activity {GO:0003712}; transcription corepressor activity {GO:0003714}</t>
  </si>
  <si>
    <t>Formation of Senescence-Associated Heterochromatin Foci (SAHF) {R-MMU-2559584}</t>
  </si>
  <si>
    <t>sp|Q9DCH4|EIF3F_MOUSE</t>
  </si>
  <si>
    <t>Eukaryotic translation initiation factor 3 subunit F (eIF3f)</t>
  </si>
  <si>
    <t>Deubiquitinating enzyme eIF3f; Eukaryotic translation initiation factor 3 subunit 5; eIF-3-epsilon; eIF3 p47</t>
  </si>
  <si>
    <t>EIF3F_MOUSE</t>
  </si>
  <si>
    <t>Q9DCH4</t>
  </si>
  <si>
    <t>Q5XJV3</t>
  </si>
  <si>
    <t>Eif3s5</t>
  </si>
  <si>
    <t>MGI:1913335</t>
  </si>
  <si>
    <t>Acetylation; Cytoplasm; Hydrolase; Initiation factor; Phosphoprotein; Protease; Protein biosynthesis; Thiol protease; Ubl conjugation pathway</t>
  </si>
  <si>
    <t>Protein biosynthesis; Ubl conjugation pathway</t>
  </si>
  <si>
    <t>Hydrolase; Initiation factor; Protease; Thiol protease</t>
  </si>
  <si>
    <t>formation of cytoplasmic translation initiation complex {GO:0001732}; IRES-dependent viral translational initiation {GO:0075522}; protein deubiquitination {GO:0016579}; translational initiation {GO:0006413}</t>
  </si>
  <si>
    <t>cysteine-type deubiquitinase activity {GO:0004843}; identical protein binding {GO:0042802}; metal-dependent deubiquitinase activity {GO:0140492}; translation initiation factor activity {GO:0003743}; translation initiation factor binding {GO:0031369}</t>
  </si>
  <si>
    <t>sp|Q9R062|GLYG_MOUSE</t>
  </si>
  <si>
    <t>Glycogenin-1 (GN-1; GN1)</t>
  </si>
  <si>
    <t>GLYG_MOUSE</t>
  </si>
  <si>
    <t>Q9R062</t>
  </si>
  <si>
    <t>Q3TWR9</t>
  </si>
  <si>
    <t>Gyg</t>
  </si>
  <si>
    <t>MGI:1351614</t>
  </si>
  <si>
    <t>Acetylation; Glycogen biosynthesis; Glycoprotein; Manganese; Metal-binding; Phosphoprotein; Transferase</t>
  </si>
  <si>
    <t>Glycogen biosynthesis</t>
  </si>
  <si>
    <t>glycogen biosynthetic process {GO:0005978}</t>
  </si>
  <si>
    <t>glucose binding {GO:0005536}; glycogenin glucosyltransferase activity {GO:0008466}; glycosyltransferase activity {GO:0016757}; manganese ion binding {GO:0030145}; protein homodimerization activity {GO:0042803}; UDP-alpha-D-glucose:glucosyl-glycogenin alpha-D-glucosyltransferase activity {GO:0102751}</t>
  </si>
  <si>
    <t>Glycogen synthesis {R-MMU-3322077}; Neutrophil degranulation {R-MMU-6798695}; Glycogen breakdown (glycogenolysis) {R-MMU-70221}</t>
  </si>
  <si>
    <t>sp|O55131|SEPT7_MOUSE</t>
  </si>
  <si>
    <t>Septin-7</t>
  </si>
  <si>
    <t>CDC10 protein homolog</t>
  </si>
  <si>
    <t>SEPT7_MOUSE</t>
  </si>
  <si>
    <t>O55131</t>
  </si>
  <si>
    <t>MGI:1335094</t>
  </si>
  <si>
    <t>Acetylation; Cell cycle; Cell division; Cell projection; Centromere; Chromosome; Cilium; Coiled coil; Cytoplasm; Cytoskeleton; Differentiation; Flagellum; GTP-binding; Kinetochore; Mitosis; Nucleotide-binding; Phosphoprotein; Spermatogenesis</t>
  </si>
  <si>
    <t>Cell projection; Centromere; Chromosome; Cilium; Cytoplasm; Cytoskeleton; Flagellum; Kinetochore</t>
  </si>
  <si>
    <t>cilium assembly {GO:0060271}; collateral sprouting {GO:0048668}; cortical cytoskeleton organization {GO:0030865}; cytoskeleton-dependent cytokinesis {GO:0061640}; dendritic spine morphogenesis {GO:0060997}; mitotic cytokinesis {GO:0000281}; positive regulation of non-motile cilium assembly {GO:1902857}; postsynapse organization {GO:0099173}; protein localization {GO:0008104}; pseudopodium retraction {GO:0031270}; regulation of embryonic cell shape {GO:0016476}; spermatogenesis {GO:0007283}</t>
  </si>
  <si>
    <t>axon terminus {GO:0043679}; axoneme {GO:0005930}; cell cortex {GO:0005938}; cell division site {GO:0032153}; cleavage furrow {GO:0032154}; glutamatergic synapse {GO:0098978}; kinetochore {GO:0000776}; membrane {GO:0016020}; microtubule cytoskeleton {GO:0015630}; midbody {GO:0030496}; myelin sheath {GO:0043209}; neuron projection {GO:0043005}; neuronal cell body {GO:0043025}; non-motile cilium {GO:0097730}; nucleus {GO:0005634}; presynaptic membrane {GO:0042734}; protein-containing complex {GO:0032991}; septin complex {GO:0031105}; septin cytoskeleton {GO:0032156}; septin filament array {GO:0032160}; septin ring {GO:0005940}; sperm annulus {GO:0097227}; spindle {GO:0005819}; stress fiber {GO:0001725}; synapse {GO:0045202}</t>
  </si>
  <si>
    <t>GTP binding {GO:0005525}; GTPase activity {GO:0003924}; identical protein binding {GO:0042802}; molecular adaptor activity {GO:0060090}</t>
  </si>
  <si>
    <t>MAPK6/MAPK4 signaling {R-MMU-5687128}</t>
  </si>
  <si>
    <t>sp|P27048|RSMB_MOUSE</t>
  </si>
  <si>
    <t>Small nuclear ribonucleoprotein-associated protein B (snRNP-B; snRPB)</t>
  </si>
  <si>
    <t>Sm protein B (Sm-B; SmB)</t>
  </si>
  <si>
    <t>RSMB_MOUSE</t>
  </si>
  <si>
    <t>P27048</t>
  </si>
  <si>
    <t>Q3UJT1</t>
  </si>
  <si>
    <t>MGI:98342</t>
  </si>
  <si>
    <t>Cytoplasm; Methylation; mRNA processing; mRNA splicing; Nucleus; Repeat; Ribonucleoprotein; RNA-binding; Spliceosome</t>
  </si>
  <si>
    <t>brain development {GO:0007420}; mRNA splicing, via spliceosome {GO:0000398}; protein methylation {GO:0006479}; spliceosomal snRNP assembly {GO:0000387}</t>
  </si>
  <si>
    <t>catalytic step 2 spliceosome {GO:0071013}; cytoplasm {GO:0005737}; cytosol {GO:0005829}; histone pre-mRNA 3'end processing complex {GO:0071204}; methylosome {GO:0034709}; nucleoplasm {GO:0005654}; nucleus {GO:0005634}; SMN-Sm protein complex {GO:0034719}; spliceosomal complex {GO:0005681}; telomerase holoenzyme complex {GO:0005697}; U1 snRNP {GO:0005685}; U12-type spliceosomal complex {GO:0005689}; U2 snRNP {GO:0005686}; U2-type catalytic step 2 spliceosome {GO:0071007}; U2-type precatalytic spliceosome {GO:0071005}; U2-type prespliceosome {GO:0071004}; U4 snRNP {GO:0005687}; U4/U6 x U5 tri-snRNP complex {GO:0046540}; U5 snRNP {GO:0005682}; U7 snRNP {GO:0005683}</t>
  </si>
  <si>
    <t>histone pre-mRNA DCP binding {GO:0071208}; RNA binding {GO:0003723}; telomerase RNA binding {GO:0070034}; U1 snRNP binding {GO:1990446}; U2 snRNP binding {GO:1990447}</t>
  </si>
  <si>
    <t>sp|P26516|PSMD7_MOUSE</t>
  </si>
  <si>
    <t>26S proteasome non-ATPase regulatory subunit 7</t>
  </si>
  <si>
    <t>26S proteasome regulatory subunit RPN8; 26S proteasome regulatory subunit S12; Mov34 protein; Proteasome subunit p40</t>
  </si>
  <si>
    <t>PSMD7_MOUSE</t>
  </si>
  <si>
    <t>P26516</t>
  </si>
  <si>
    <t>Q3TW61; Q8C0I8</t>
  </si>
  <si>
    <t>Mov-34; Mov34</t>
  </si>
  <si>
    <t>MGI:1351511</t>
  </si>
  <si>
    <t>nucleoplasm {GO:0005654}; proteasome complex {GO:0000502}; proteasome regulatory particle {GO:0005838}</t>
  </si>
  <si>
    <t>metallopeptidase activity {GO:0008237}; protein homodimerization activity {GO:0042803}</t>
  </si>
  <si>
    <t>sp|O54931|AKAP2_MOUSE</t>
  </si>
  <si>
    <t>A-kinase anchor protein 2 (AKAP-2)</t>
  </si>
  <si>
    <t>AKAP expressed in kidney and lung (AKAP-KL); Protein kinase A-anchoring protein 2 (PRKA2)</t>
  </si>
  <si>
    <t>AKAP2_MOUSE</t>
  </si>
  <si>
    <t>O54931</t>
  </si>
  <si>
    <t>A2APJ4; O54932; O54933; Q8C5W1</t>
  </si>
  <si>
    <t>MGI:1306795</t>
  </si>
  <si>
    <t>Alternative initiation; Alternative splicing; Coiled coil; Isopeptide bond; Phosphoprotein; Ubl conjugation</t>
  </si>
  <si>
    <t>Alternative initiation; Alternative splicing</t>
  </si>
  <si>
    <t>sp|P07214|SPRC_MOUSE</t>
  </si>
  <si>
    <t>SPARC</t>
  </si>
  <si>
    <t>Basement-membrane protein 40 (BM-40); Osteonectin (ON); Secreted protein acidic and rich in cysteine</t>
  </si>
  <si>
    <t>SPRC_MOUSE</t>
  </si>
  <si>
    <t>P07214</t>
  </si>
  <si>
    <t>MGI:98373</t>
  </si>
  <si>
    <t>Basement membrane; Calcium; Copper; Disulfide bond; Extracellular matrix; Glycoprotein; Metal-binding; Secreted; Signal</t>
  </si>
  <si>
    <t>Calcium; Copper; Metal-binding</t>
  </si>
  <si>
    <t>anatomical structure development {GO:0048856}; bone development {GO:0060348}; cellular response to growth factor stimulus {GO:0071363}; lung development {GO:0030324}; negative regulation of angiogenesis {GO:0016525}; negative regulation of endothelial cell proliferation {GO:0001937}; pigmentation {GO:0043473}; positive regulation of endothelial cell migration {GO:0010595}; regulation of cell morphogenesis {GO:0022604}; regulation of cell population proliferation {GO:0042127}; regulation of synapse organization {GO:0050807}</t>
  </si>
  <si>
    <t>basement membrane {GO:0005604}; cell surface {GO:0009986}; collagen-containing extracellular matrix {GO:0062023}; cytoplasm {GO:0005737}; extracellular matrix {GO:0031012}; extracellular space {GO:0005615}; glutamatergic synapse {GO:0098978}; intracellular membrane-bounded organelle {GO:0043231}; nuclear matrix {GO:0016363}; nucleus {GO:0005634}; platelet alpha granule {GO:0031091}; platelet alpha granule membrane {GO:0031092}; synapse {GO:0045202}; vesicle {GO:0031982}</t>
  </si>
  <si>
    <t>calcium ion binding {GO:0005509}; collagen binding {GO:0005518}; extracellular matrix binding {GO:0050840}; ion binding {GO:0043167}; protein folding chaperone {GO:0044183}</t>
  </si>
  <si>
    <t>Platelet degranulation {R-MMU-114608}; ECM proteoglycans {R-MMU-3000178}; Scavenging by Class H Receptors {R-MMU-3000497}</t>
  </si>
  <si>
    <t>sp|P26645|MARCS_MOUSE</t>
  </si>
  <si>
    <t>Myristoylated alanine-rich C-kinase substrate (MARCKS)</t>
  </si>
  <si>
    <t>MARCS_MOUSE</t>
  </si>
  <si>
    <t>P26645</t>
  </si>
  <si>
    <t>Macs</t>
  </si>
  <si>
    <t>MGI:96907</t>
  </si>
  <si>
    <t>3D-structure; Actin-binding; Calmodulin-binding; Cytoplasm; Cytoskeleton; Lipoprotein; Membrane; Myristate; Phosphoprotein</t>
  </si>
  <si>
    <t>actin crosslink formation {GO:0051764}; actin filament bundle assembly {GO:0051017}; actin filament organization {GO:0007015}; activation of phospholipase D activity {GO:0031584}; apoptotic process {GO:0006915}; cell-substrate adhesion {GO:0031589}; central nervous system development {GO:0007417}; intracellular protein transport {GO:0006886}; mitochondrion organization {GO:0007005}; neural tube development {GO:0021915}; neurogenesis {GO:0022008}; positive regulation of dendritic spine morphogenesis {GO:0061003}; positive regulation of insulin receptor signaling pathway {GO:0046628}; positive regulation of neuron projection development {GO:0010976}; positive regulation of protein kinase C activity {GO:1900020}; regulation of modification of postsynaptic actin cytoskeleton {GO:1905274}; response to endoplasmic reticulum stress {GO:0034976}</t>
  </si>
  <si>
    <t>actin filament bundle {GO:0032432}; anchored component of postsynaptic membrane {GO:0099025}; anchored component of presynaptic membrane {GO:0099026}; axon terminus {GO:0043679}; bleb {GO:0032059}; cell cortex {GO:0005938}; centrosome {GO:0005813}; chromatoid body {GO:0033391}; cytoplasm {GO:0005737}; cytosol {GO:0005829}; dendritic branch {GO:0044307}; dendritic spine {GO:0043197}; germinal vesicle {GO:0042585}; glutamatergic synapse {GO:0098978}; growth cone {GO:0030426}; lysosome {GO:0005764}; membrane {GO:0016020}; microtubule {GO:0005874}; organelle {GO:0043226}; outer dense fiber {GO:0001520}; plasma membrane {GO:0005886}; postsynaptic cytoskeleton {GO:0099571}; presynaptic cytosol {GO:0099523}; synapse {GO:0045202}</t>
  </si>
  <si>
    <t>actin filament binding {GO:0051015}; calmodulin binding {GO:0005516}; identical protein binding {GO:0042802}; phosphatidylserine binding {GO:0001786}; phospholipid binding {GO:0005543}; protein kinase C binding {GO:0005080}</t>
  </si>
  <si>
    <t>Acetylcholine regulates insulin secretion {R-MMU-399997}</t>
  </si>
  <si>
    <t>sp|Q9D1Q6|ERP44_MOUSE</t>
  </si>
  <si>
    <t>Endoplasmic reticulum resident protein 44 (ER protein 44; ERp44)</t>
  </si>
  <si>
    <t>Thioredoxin domain-containing protein 4</t>
  </si>
  <si>
    <t>ERP44_MOUSE</t>
  </si>
  <si>
    <t>Q9D1Q6</t>
  </si>
  <si>
    <t>Q3TVI1; Q6A045</t>
  </si>
  <si>
    <t>Kiaa0573; Txndc4</t>
  </si>
  <si>
    <t>MGI:1923549</t>
  </si>
  <si>
    <t>Chaperone; Disulfide bond; Endoplasmic reticulum; Signal</t>
  </si>
  <si>
    <t>glycoprotein metabolic process {GO:0009100}; protein folding {GO:0006457}; response to endoplasmic reticulum stress {GO:0034976}; response to unfolded protein {GO:0006986}</t>
  </si>
  <si>
    <t>cell surface {GO:0009986}; endoplasmic reticulum lumen {GO:0005788}; endoplasmic reticulum membrane {GO:0005789}; endoplasmic reticulum-Golgi intermediate compartment {GO:0005793}</t>
  </si>
  <si>
    <t>protein disulfide isomerase activity {GO:0003756}</t>
  </si>
  <si>
    <t>sp|Q61990|PCBP2_MOUSE</t>
  </si>
  <si>
    <t>Poly(rC)-binding protein 2</t>
  </si>
  <si>
    <t>Alpha-CP2; CTBP (CBP); Putative heterogeneous nuclear ribonucleoprotein X (hnRNP X)</t>
  </si>
  <si>
    <t>PCBP2_MOUSE</t>
  </si>
  <si>
    <t>Q61990</t>
  </si>
  <si>
    <t>Q61383; Q62042</t>
  </si>
  <si>
    <t>Cbp; Hnrnpx; Hnrpx</t>
  </si>
  <si>
    <t>MGI:108202</t>
  </si>
  <si>
    <t>Alternative splicing; Antiviral defense; Cytoplasm; DNA-binding; Immunity; Innate immunity; Isopeptide bond; Nucleus; Phosphoprotein; Repeat; Ribonucleoprotein; RNA-binding; Ubl conjugation</t>
  </si>
  <si>
    <t>Antiviral defense; Immunity; Innate immunity</t>
  </si>
  <si>
    <t>defense response to virus {GO:0051607}; innate immune response {GO:0045087}; IRES-dependent viral translational initiation {GO:0075522}; negative regulation of defense response to virus {GO:0050687}; positive regulation of transcription by RNA polymerase II {GO:0045944}; proteasome-mediated ubiquitin-dependent protein catabolic process {GO:0043161}; regulation of gene expression {GO:0010468}; regulation of RNA metabolic process {GO:0051252}; viral RNA genome replication {GO:0039694}</t>
  </si>
  <si>
    <t>cytoplasm {GO:0005737}; cytosol {GO:0005829}; nucleoplasm {GO:0005654}; nucleus {GO:0005634}; postsynaptic density {GO:0014069}; ribonucleoprotein complex {GO:1990904}</t>
  </si>
  <si>
    <t>C-rich single-stranded DNA binding {GO:1990829}; DNA binding {GO:0003677}; enzyme binding {GO:0019899}; mRNA binding {GO:0003729}; RNA binding {GO:0003723}; single-stranded DNA binding {GO:0003697}; ubiquitin protein ligase binding {GO:0031625}</t>
  </si>
  <si>
    <t>sp|O35129|PHB2_MOUSE</t>
  </si>
  <si>
    <t>Prohibitin-2</t>
  </si>
  <si>
    <t>B-cell receptor-associated protein BAP37; Repressor of estrogen receptor activity</t>
  </si>
  <si>
    <t>PHB2_MOUSE</t>
  </si>
  <si>
    <t>O35129</t>
  </si>
  <si>
    <t>O89075; Q61336</t>
  </si>
  <si>
    <t>MGI:102520</t>
  </si>
  <si>
    <t>Acetylation; Cell membrane; Coiled coil; Cytoplasm; Membrane; Mitochondrion; Mitochondrion inner membrane; Nucleus; Phosphoprotein; Receptor; Repressor; Transcription; Transcription regulation</t>
  </si>
  <si>
    <t>Receptor; Repressor</t>
  </si>
  <si>
    <t>activation of phospholipase C activity {GO:0007202}; activation of protein kinase C activity {GO:1990051}; antiviral innate immune response {GO:0140374}; B cell activation {GO:0042113}; CD40 signaling pathway {GO:0023035}; cell migration {GO:0016477}; cellular response to hypoxia {GO:0071456}; cellular response to retinoic acid {GO:0071300}; intracellular estrogen receptor signaling pathway {GO:0030520}; mammary gland alveolus development {GO:0060749}; mammary gland branching involved in thelarche {GO:0060744}; mammary gland epithelial cell proliferation {GO:0033598}; mitochondrion organization {GO:0007005}; mitophagy {GO:0000423}; negative regulation of apoptotic process {GO:0043066}; negative regulation of DNA-binding transcription factor activity {GO:0043433}; negative regulation of DNA-templated transcription {GO:0045892}; negative regulation of intracellular estrogen receptor signaling pathway {GO:0033147}; negative regulation of mammary gland epithelial cell proliferation {GO:0033600}; positive regulation of cell cycle G1/S phase transition {GO:1902808}; positive regulation of DNA-binding transcription factor activity {GO:0051091}; positive regulation of ERK1 and ERK2 cascade {GO:0070374}; positive regulation of exit from mitosis {GO:0031536}; positive regulation of immunoglobulin production {GO:0002639}; positive regulation of NIK/NF-kappaB signaling {GO:1901224}; protein import into nucleus {GO:0006606}; protein stabilization {GO:0050821}; regulation of branching involved in mammary gland duct morphogenesis {GO:0060762}; regulation of cardiolipin metabolic process {GO:1900208}; regulation of cytochrome-c oxidase activity {GO:1904959}; response to wounding {GO:0009611}; RIG-I signaling pathway {GO:0039529}; sister chromatid cohesion {GO:0007062}</t>
  </si>
  <si>
    <t>axon {GO:0030424}; cell periphery {GO:0071944}; cell surface {GO:0009986}; cytoplasm {GO:0005737}; GABA-ergic synapse {GO:0098982}; glutamatergic synapse {GO:0098978}; inner mitochondrial membrane protein complex {GO:0098800}; mitochondrial inner membrane {GO:0005743}; mitochondrial outer membrane {GO:0005741}; mitochondrial prohibitin complex {GO:0035632}; mitochondrion {GO:0005739}; nuclear matrix {GO:0016363}; nucleus {GO:0005634}; plasma membrane {GO:0005886}; postsynaptic density {GO:0014069}; presynaptic active zone {GO:0048786}; protein-containing complex {GO:0032991}</t>
  </si>
  <si>
    <t>amide binding {GO:0033218}; identical protein binding {GO:0042802}; protein C-terminus binding {GO:0008022}; protein heterodimerization activity {GO:0046982}; protein homodimerization activity {GO:0042803}; protein N-terminus binding {GO:0047485}; sphingolipid binding {GO:0046625}</t>
  </si>
  <si>
    <t>Processing of SMDT1 {R-MMU-8949664}</t>
  </si>
  <si>
    <t>sp|P11352|GPX1_MOUSE</t>
  </si>
  <si>
    <t>Glutathione peroxidase 1 (GPx-1; GSHPx-1)</t>
  </si>
  <si>
    <t>Cellular glutathione peroxidase; Selenium-dependent glutathione peroxidase 1</t>
  </si>
  <si>
    <t>GPX1_MOUSE</t>
  </si>
  <si>
    <t>P11352</t>
  </si>
  <si>
    <t>P12079; Q544W3; Q5RJH8; Q9CR54</t>
  </si>
  <si>
    <t>MGI:104887</t>
  </si>
  <si>
    <t>Acetylation; Cytoplasm; Lipid metabolism; Oxidoreductase; Peroxidase; Phosphoprotein; Selenocysteine</t>
  </si>
  <si>
    <t>Selenocysteine</t>
  </si>
  <si>
    <t>Oxidoreductase; Peroxidase</t>
  </si>
  <si>
    <t>aging {GO:0007568}; angiogenesis involved in wound healing {GO:0060055}; apoptotic process {GO:0006915}; arachidonic acid metabolic process {GO:0019369}; biological process involved in interaction with symbiont {GO:0051702}; blood vessel endothelial cell migration {GO:0043534}; cell redox homeostasis {GO:0045454}; cellular response to glucose stimulus {GO:0071333}; endothelial cell development {GO:0001885}; fat cell differentiation {GO:0045444}; fibroblast proliferation {GO:0048144}; glutathione metabolic process {GO:0006749}; heart contraction {GO:0060047}; hydrogen peroxide catabolic process {GO:0042744}; intrinsic apoptotic signaling pathway in response to oxidative stress {GO:0008631}; lipid metabolic process {GO:0006629}; lipoxygenase pathway {GO:0019372}; myoblast differentiation {GO:0045445}; myoblast proliferation {GO:0051450}; myotube differentiation {GO:0014902}; negative regulation of cysteine-type endopeptidase activity involved in apoptotic process {GO:0043154}; negative regulation of extrinsic apoptotic signaling pathway via death domain receptors {GO:1902042}; negative regulation of inflammatory response to antigenic stimulus {GO:0002862}; negative regulation of oxidative stress-induced intrinsic apoptotic signaling pathway {GO:1902176}; negative regulation of release of cytochrome c from mitochondria {GO:0090201}; neuron apoptotic process {GO:0051402}; positive regulation of protein kinase B signaling {GO:0051897}; protein oxidation {GO:0018158}; regulation of gene expression, epigenetic {GO:0040029}; regulation of mammary gland epithelial cell proliferation {GO:0033599}; regulation of proteasomal protein catabolic process {GO:0061136}; response to estradiol {GO:0032355}; response to folic acid {GO:0051593}; response to gamma radiation {GO:0010332}; response to hormone {GO:0009725}; response to hydrogen peroxide {GO:0042542}; response to hydroperoxide {GO:0033194}; response to nicotine {GO:0035094}; response to oxidative stress {GO:0006979}; response to reactive oxygen species {GO:0000302}; response to selenium ion {GO:0010269}; response to symbiotic bacterium {GO:0009609}; response to toxic substance {GO:0009636}; response to wounding {GO:0009611}; response to xenobiotic stimulus {GO:0009410}; sensory perception of sound {GO:0007605}; skeletal muscle fiber development {GO:0048741}; skeletal muscle tissue regeneration {GO:0043403}; temperature homeostasis {GO:0001659}; triglyceride metabolic process {GO:0006641}; UV protection {GO:0009650}; vasodilation {GO:0042311}</t>
  </si>
  <si>
    <t>cytoplasm {GO:0005737}; cytosol {GO:0005829}; Lewy body {GO:0097413}; mitochondrion {GO:0005739}; nucleus {GO:0005634}</t>
  </si>
  <si>
    <t>glutathione peroxidase activity {GO:0004602}; peroxidase activity {GO:0004601}; phospholipid-hydroperoxide glutathione peroxidase activity {GO:0047066}; SH3 domain binding {GO:0017124}</t>
  </si>
  <si>
    <t>Synthesis of 12-eicosatetraenoic acid derivatives {R-MMU-2142712}; Synthesis of 15-eicosatetraenoic acid derivatives {R-MMU-2142770}; Detoxification of Reactive Oxygen Species {R-MMU-3299685}</t>
  </si>
  <si>
    <t>sp|P62245|RS15A_MOUSE</t>
  </si>
  <si>
    <t>40S ribosomal protein S15a</t>
  </si>
  <si>
    <t>RS15A_MOUSE</t>
  </si>
  <si>
    <t>P62245</t>
  </si>
  <si>
    <t>P39027; P39031; Q8C023; Q9BV24</t>
  </si>
  <si>
    <t>MGI:2389091</t>
  </si>
  <si>
    <t>3D-structure; Ribonucleoprotein; Ribosomal protein</t>
  </si>
  <si>
    <t>cytoplasmic translation {GO:0002181}; positive regulation of cell cycle {GO:0045787}; positive regulation of cell population proliferation {GO:0008284}; response to virus {GO:0009615}</t>
  </si>
  <si>
    <t>cytoplasm {GO:0005737}; cytosol {GO:0005829}; cytosolic ribosome {GO:0022626}; cytosolic small ribosomal subunit {GO:0022627}; mitochondrion {GO:0005739}</t>
  </si>
  <si>
    <t>sp|Q1HFZ0|NSUN2_MOUSE</t>
  </si>
  <si>
    <t>RNA cytosine C(5)-methyltransferase NSUN2</t>
  </si>
  <si>
    <t>Myc-induced SUN domain-containing protein (Misu); NOL1/NOP2/Sun domain family member 2; mRNA cytosine C(5)-methyltransferase; tRNA cytosine C(5)-methyltransferase</t>
  </si>
  <si>
    <t>NSUN2_MOUSE</t>
  </si>
  <si>
    <t>Q1HFZ0</t>
  </si>
  <si>
    <t>A0PJD6; Q3U972; Q8BPG9; Q8CDF9; Q91YX9</t>
  </si>
  <si>
    <t>MGI:107252</t>
  </si>
  <si>
    <t>Acetylation; Alternative splicing; Cell cycle; Cell division; Cytoplasm; Cytoskeleton; Differentiation; Isopeptide bond; Methyltransferase; Mitochondrion; Mitosis; Nucleus; Phosphoprotein; RNA-binding; S-adenosyl-L-methionine; Secreted; Spermatogenesis; Transferase; tRNA processing; tRNA-binding; Ubl conjugation</t>
  </si>
  <si>
    <t>Cell cycle; Cell division; Differentiation; Mitosis; Spermatogenesis; tRNA processing</t>
  </si>
  <si>
    <t>Cytoplasm; Cytoskeleton; Mitochondrion; Nucleus; Secreted</t>
  </si>
  <si>
    <t>Methyltransferase; RNA-binding; Transferase; tRNA-binding</t>
  </si>
  <si>
    <t>cell division {GO:0051301}; hair follicle maturation {GO:0048820}; in utero embryonic development {GO:0001701}; meiotic cell cycle checkpoint signaling {GO:0033313}; mRNA methylation {GO:0080009}; regulation of mRNA export from nucleus {GO:0010793}; regulation of stem cell differentiation {GO:2000736}; RNA methylation {GO:0001510}; spermatid development {GO:0007286}; tRNA methylation {GO:0030488}; tRNA stabilization {GO:0036416}</t>
  </si>
  <si>
    <t>chromatoid body {GO:0033391}; cytoplasm {GO:0005737}; extracellular exosome {GO:0070062}; mitochondrion {GO:0005739}; nucleolus {GO:0005730}; nucleus {GO:0005634}; spindle {GO:0005819}</t>
  </si>
  <si>
    <t>methyltransferase activity {GO:0008168}; mRNA (cytidine-5-)-methyltransferase activity {GO:0062152}; tRNA (cytosine-5-)-methyltransferase activity {GO:0016428}; tRNA binding {GO:0000049}</t>
  </si>
  <si>
    <t>sp|P27612|PLAP_MOUSE</t>
  </si>
  <si>
    <t>Phospholipase A-2-activating protein (PLA2P; PLAP)</t>
  </si>
  <si>
    <t>PLAP_MOUSE</t>
  </si>
  <si>
    <t>P27612</t>
  </si>
  <si>
    <t>A4QPD6; Q8C6C4</t>
  </si>
  <si>
    <t>Plap</t>
  </si>
  <si>
    <t>MGI:104810</t>
  </si>
  <si>
    <t>Acetylation; Cytoplasm; Developmental protein; Neurogenesis; Nucleus; Phosphoprotein; Repeat; Synapse; WD repeat</t>
  </si>
  <si>
    <t>Cytoplasm; Nucleus; Synapse</t>
  </si>
  <si>
    <t>cellular response to lipopolysaccharide {GO:0071222}; inflammatory response {GO:0006954}; macroautophagy {GO:0016236}; negative regulation of protein K63-linked ubiquitination {GO:1900045}; nervous system development {GO:0007399}; positive regulation of dendrite extension {GO:1903861}; positive regulation of neuron migration {GO:2001224}; positive regulation of phospholipase A2 activity {GO:0032430}; positive regulation of synaptic vesicle recycling {GO:1903423}; prostaglandin metabolic process {GO:0006693}; proteasome-mediated ubiquitin-dependent protein catabolic process {GO:0043161}; ubiquitin recycling {GO:0010992}; ubiquitin-dependent protein catabolic process via the multivesicular body sorting pathway {GO:0043162}</t>
  </si>
  <si>
    <t>anchoring junction {GO:0070161}; cytoplasm {GO:0005737}; extracellular exosome {GO:0070062}; nucleus {GO:0005634}; synapse {GO:0045202}</t>
  </si>
  <si>
    <t>phospholipase A2 activator activity {GO:0016005}; ubiquitin binding {GO:0043130}</t>
  </si>
  <si>
    <t>sp|Q91WU5|AS3MT_MOUSE</t>
  </si>
  <si>
    <t>Arsenite methyltransferase</t>
  </si>
  <si>
    <t>Methylarsonite methyltransferase; S-adenosyl-L-methionine:arsenic(III) methyltransferase</t>
  </si>
  <si>
    <t>AS3MT_MOUSE</t>
  </si>
  <si>
    <t>Q91WU5</t>
  </si>
  <si>
    <t>A6H5W4; E9QLU6; Q9QZT1</t>
  </si>
  <si>
    <t>Cyt19</t>
  </si>
  <si>
    <t>MGI:1929882</t>
  </si>
  <si>
    <t>Cytoplasm; Methyltransferase; Phosphoprotein; S-adenosyl-L-methionine; Transferase</t>
  </si>
  <si>
    <t>arsonoacetate metabolic process {GO:0018872}; methylation {GO:0032259}; response to arsenic-containing substance {GO:0046685}; toxin metabolic process {GO:0009404}</t>
  </si>
  <si>
    <t>arsenite methyltransferase activity {GO:0030791}; methylarsonite methyltransferase activity {GO:0030792}; methyltransferase activity {GO:0008168}</t>
  </si>
  <si>
    <t>Methylation {R-MMU-156581}</t>
  </si>
  <si>
    <t>sp|Q61081|CDC37_MOUSE</t>
  </si>
  <si>
    <t>Hsp90 co-chaperone Cdc37, N-terminally processed</t>
  </si>
  <si>
    <t>Hsp90 chaperone protein kinase-targeting subunit; p50Cdc37</t>
  </si>
  <si>
    <t>CDC37_MOUSE</t>
  </si>
  <si>
    <t>Q61081</t>
  </si>
  <si>
    <t>Q3TGP0</t>
  </si>
  <si>
    <t>MGI:109531</t>
  </si>
  <si>
    <t>Acetylation; Chaperone; Cytoplasm; Phosphoprotein; Ubl conjugation</t>
  </si>
  <si>
    <t>positive regulation of mitophagy in response to mitochondrial depolarization {GO:0098779}; post-transcriptional regulation of gene expression {GO:0010608}; protein folding {GO:0006457}; protein stabilization {GO:0050821}; regulation of interferon-gamma-mediated signaling pathway {GO:0060334}; regulation of protein kinase activity {GO:0045859}; regulation of type I interferon-mediated signaling pathway {GO:0060338}</t>
  </si>
  <si>
    <t>chaperone complex {GO:0101031}; cytoplasm {GO:0005737}; cytosol {GO:0005829}; HSP90-CDC37 chaperone complex {GO:1990565}; protein-containing complex {GO:0032991}; ruffle membrane {GO:0032587}</t>
  </si>
  <si>
    <t>chaperone binding {GO:0051087}; heat shock protein binding {GO:0031072}; Hsp90 protein binding {GO:0051879}; kinase binding {GO:0019900}; mitogen-activated protein kinase kinase kinase binding {GO:0031435}; protein C-terminus binding {GO:0008022}; protein kinase B binding {GO:0043422}; protein kinase binding {GO:0019901}; scaffold protein binding {GO:0097110}; unfolded protein binding {GO:0051082}</t>
  </si>
  <si>
    <t>Signaling by ERBB2 {R-MMU-1227986}; Regulation of necroptotic cell death {R-MMU-5675482}; Downregulation of ERBB2 signaling {R-MMU-8863795}; RHOBTB2 GTPase cycle {R-MMU-9013418}; Drug-mediated inhibition of ERBB2 signaling {R-MMU-9652282}</t>
  </si>
  <si>
    <t>sp|O08756|HCD2_MOUSE</t>
  </si>
  <si>
    <t>3-hydroxyacyl-CoA dehydrogenase type-2</t>
  </si>
  <si>
    <t>17-beta-estradiol 17-dehydrogenase; 2-methyl-3-hydroxybutyryl-CoA dehydrogenase (MHBD); 3-alpha-(17-beta)-hydroxysteroid dehydrogenase (NAD(+)); 3-hydroxy-2-methylbutyryl-CoA dehydrogenase; 3-hydroxyacyl-CoA dehydrogenase type II; 3alpha(or 20beta)-hydroxysteroid dehydrogenase; 7-alpha-hydroxysteroid dehydrogenase; Endoplasmic reticulum-associated amyloid beta-peptide-binding protein; Mitochondrial ribonuclease P protein 2 (Mitochondrial RNase P protein 2); Short chain dehydrogenase/reductase family 5C member 1; Short-chain type dehydrogenase/reductase XH98G2; Type II HADH</t>
  </si>
  <si>
    <t>HCD2_MOUSE</t>
  </si>
  <si>
    <t>O08756</t>
  </si>
  <si>
    <t>Erab; Hadh2</t>
  </si>
  <si>
    <t>MGI:1333871</t>
  </si>
  <si>
    <t>Acetylation; Fatty acid metabolism; Lipid metabolism; Mitochondrion; Mitochondrion nucleoid; NAD; Oxidoreductase; Steroid metabolism; tRNA processing</t>
  </si>
  <si>
    <t>Fatty acid metabolism; Lipid metabolism; Steroid metabolism; tRNA processing</t>
  </si>
  <si>
    <t>Mitochondrion; Mitochondrion nucleoid</t>
  </si>
  <si>
    <t>androgen metabolic process {GO:0008209}; bile acid biosynthetic process {GO:0006699}; brexanolone metabolic process {GO:0062173}; C21-steroid hormone metabolic process {GO:0008207}; estrogen metabolic process {GO:0008210}; fatty acid beta-oxidation {GO:0006635}; fatty acid metabolic process {GO:0006631}; isoleucine catabolic process {GO:0006550}; mitochondrial tRNA 3'-end processing {GO:1990180}; mitochondrial tRNA 5'-end processing {GO:0097745}; mitochondrial tRNA methylation {GO:0070901}; mitochondrion organization {GO:0007005}; protein homotetramerization {GO:0051289}</t>
  </si>
  <si>
    <t>endoplasmic reticulum {GO:0005783}; mitochondrial inner membrane {GO:0005743}; mitochondrial nucleoid {GO:0042645}; mitochondrial ribonuclease P complex {GO:0030678}; mitochondrion {GO:0005739}; tRNA methyltransferase complex {GO:0043527}</t>
  </si>
  <si>
    <t>17-beta-hydroxysteroid dehydrogenase (NAD+) activity {GO:0044594}; 3-hydroxy-2-methylbutyryl-CoA dehydrogenase activity {GO:0047015}; 3-hydroxyacyl-CoA dehydrogenase activity {GO:0003857}; acetoacetyl-CoA reductase activity {GO:0018454}; amyloid-beta binding {GO:0001540}; androstan-3-alpha,17-beta-diol dehydrogenase activity {GO:0047044}; chenodeoxycholate 7-alpha-dehydrogenase (NAD+) activity {GO:0106281}; cholate 7-alpha-dehydrogenase activity {GO:0008709}; estradiol 17-beta-dehydrogenase activity {GO:0004303}; identical protein binding {GO:0042802}; isoursodeoxycholate 7-beta-dehydrogenase (NAD+) activity {GO:0106282}; NAD binding {GO:0051287}; nuclear estrogen receptor binding {GO:0030331}; steroid binding {GO:0005496}; testosterone dehydrogenase (NAD+) activity {GO:0047035}; testosterone dehydrogenase [NAD(P)] activity {GO:0030283}; tRNA binding {GO:0000049}; ursodeoxycholate 7-beta-dehydrogenase (NAD+) activity {GO:0106283}</t>
  </si>
  <si>
    <t>Lipid metabolism; bile acid biosynthesis.</t>
  </si>
  <si>
    <t>Branched-chain amino acid catabolism {R-MMU-70895}</t>
  </si>
  <si>
    <t>sp|Q9DCW4|ETFB_MOUSE</t>
  </si>
  <si>
    <t>Electron transfer flavoprotein subunit beta (Beta-ETF)</t>
  </si>
  <si>
    <t>ETFB_MOUSE</t>
  </si>
  <si>
    <t>Q9DCW4</t>
  </si>
  <si>
    <t>Q810V3</t>
  </si>
  <si>
    <t>MGI:106098</t>
  </si>
  <si>
    <t>Acetylation; Electron transport; Methylation; Mitochondrion; Nucleotide-binding; Phosphoprotein; Transport</t>
  </si>
  <si>
    <t>electron transfer activity {GO:0009055}; nucleotide binding {GO:0000166}</t>
  </si>
  <si>
    <t>Respiratory electron transport {R-MMU-611105}; Protein methylation {R-MMU-8876725}</t>
  </si>
  <si>
    <t>sp|P32921|SYWC_MOUSE</t>
  </si>
  <si>
    <t>T2-TrpRS</t>
  </si>
  <si>
    <t>Tryptophanyl-tRNA synthetase (TrpRS)</t>
  </si>
  <si>
    <t>SYWC_MOUSE</t>
  </si>
  <si>
    <t>P32921</t>
  </si>
  <si>
    <t>Q80ZY4; Q99J58; Q9DC65</t>
  </si>
  <si>
    <t>Wars; Wrs</t>
  </si>
  <si>
    <t>MGI:104630</t>
  </si>
  <si>
    <t>Alternative splicing; Aminoacyl-tRNA synthetase; Angiogenesis; ATP-binding; Cytoplasm; Ligase; Nucleotide-binding; Phosphoprotein; Protein biosynthesis</t>
  </si>
  <si>
    <t>Angiogenesis; Protein biosynthesis</t>
  </si>
  <si>
    <t>angiogenesis {GO:0001525}; negative regulation of protein kinase activity {GO:0006469}; negative regulation of protein phosphorylation {GO:0001933}; positive regulation of gene expression {GO:0010628}; positive regulation of protein-containing complex assembly {GO:0031334}; regulation of angiogenesis {GO:0045765}; regulation of protein ADP-ribosylation {GO:0010835}; tryptophanyl-tRNA aminoacylation {GO:0006436}</t>
  </si>
  <si>
    <t>cytoplasm {GO:0005737}; cytosol {GO:0005829}; nucleus {GO:0005634}; protein-containing complex {GO:0032991}</t>
  </si>
  <si>
    <t>ATP binding {GO:0005524}; kinase inhibitor activity {GO:0019210}; protein domain specific binding {GO:0019904}; protein homodimerization activity {GO:0042803}; protein kinase binding {GO:0019901}; tryptophan-tRNA ligase activity {GO:0004830}</t>
  </si>
  <si>
    <t>sp|O08663|MAP2_MOUSE</t>
  </si>
  <si>
    <t>Methionine aminopeptidase 2 (MAP 2; MetAP 2)</t>
  </si>
  <si>
    <t>Initiation factor 2-associated 67 kDa glycoprotein (p67; p67eIF2); Peptidase M</t>
  </si>
  <si>
    <t>MAP2_MOUSE</t>
  </si>
  <si>
    <t>O08663</t>
  </si>
  <si>
    <t>Mnpep; P67eif2</t>
  </si>
  <si>
    <t>MGI:1929701</t>
  </si>
  <si>
    <t>Acetylation; Aminopeptidase; Cytoplasm; Glycoprotein; Hydrolase; Metal-binding; Phosphoprotein; Protease</t>
  </si>
  <si>
    <t>Metal-binding</t>
  </si>
  <si>
    <t>N-terminal protein amino acid modification {GO:0031365}; peptidyl-methionine modification {GO:0018206}; protein initiator methionine removal involved in protein maturation {GO:0035551}; protein processing {GO:0016485}</t>
  </si>
  <si>
    <t>aminopeptidase activity {GO:0004177}; metal ion binding {GO:0046872}; metalloaminopeptidase activity {GO:0070006}; metalloexopeptidase activity {GO:0008235}</t>
  </si>
  <si>
    <t>sp|Q6PDM2|SRSF1_MOUSE</t>
  </si>
  <si>
    <t>Serine/arginine-rich splicing factor 1</t>
  </si>
  <si>
    <t>ASF/SF2; Pre-mRNA-splicing factor SRp30a; Splicing factor, arginine/serine-rich 1</t>
  </si>
  <si>
    <t>SRSF1_MOUSE</t>
  </si>
  <si>
    <t>Q6PDM2</t>
  </si>
  <si>
    <t>B2KGJ5; Q3UCH2; Q5SXC5; Q8BJV3; Q8C1H9</t>
  </si>
  <si>
    <t>Sfrs1</t>
  </si>
  <si>
    <t>MGI:98283</t>
  </si>
  <si>
    <t>3D-structure; Acetylation; Alternative splicing; Cytoplasm; Isopeptide bond; Methylation; mRNA processing; mRNA splicing; mRNA transport; Nucleus; Phosphoprotein; Repeat; RNA-binding; Spliceosome; Transport; Ubl conjugation</t>
  </si>
  <si>
    <t>alternative mRNA splicing, via spliceosome {GO:0000380}; cardiac muscle contraction {GO:0060048}; cellular response to interleukin-17 {GO:0097398}; in utero embryonic development {GO:0001701}; interleukin-17-mediated signaling pathway {GO:0097400}; mRNA 5'-splice site recognition {GO:0000395}; mRNA splicing, via spliceosome {GO:0000398}; mRNA stabilization {GO:0048255}; mRNA transport {GO:0051028}; positive regulation of RNA splicing {GO:0033120}; protein localization to nucleus {GO:0034504}; protein localization to P-body {GO:0110012}; regulation of RNA splicing {GO:0043484}; RNA splicing {GO:0008380}; signal transduction involved in regulation of gene expression {GO:0023019}</t>
  </si>
  <si>
    <t>catalytic step 2 spliceosome {GO:0071013}; cytoplasm {GO:0005737}; exon-exon junction complex {GO:0035145}; nuclear speck {GO:0016607}; nucleoplasm {GO:0005654}; nucleus {GO:0005634}</t>
  </si>
  <si>
    <t>DNA topoisomerase binding {GO:0044547}; mRNA binding {GO:0003729}; protein kinase B binding {GO:0043422}; RNA binding {GO:0003723}; RS domain binding {GO:0050733}</t>
  </si>
  <si>
    <t>Transport of Mature mRNA derived from an Intron-Containing Transcript {R-MMU-159236}; mRNA Splicing - Major Pathway {R-MMU-72163}; mRNA Splicing - Minor Pathway {R-MMU-72165}; mRNA 3'-end processing {R-MMU-72187}; RNA Polymerase II Transcription Termination {R-MMU-73856}</t>
  </si>
  <si>
    <t>sp|Q9CQH7|BT3L4_MOUSE</t>
  </si>
  <si>
    <t>Transcription factor BTF3 homolog 4</t>
  </si>
  <si>
    <t>Basic transcription factor 3-like 4</t>
  </si>
  <si>
    <t>BT3L4_MOUSE</t>
  </si>
  <si>
    <t>Q9CQH7</t>
  </si>
  <si>
    <t>MGI:1915312</t>
  </si>
  <si>
    <t>sp|Q9EPU0|RENT1_MOUSE</t>
  </si>
  <si>
    <t>Regulator of nonsense transcripts 1</t>
  </si>
  <si>
    <t>ATP-dependent helicase RENT1; Nonsense mRNA reducing factor 1 (NORF1); Up-frameshift suppressor 1 homolog (mUpf1)</t>
  </si>
  <si>
    <t>RENT1_MOUSE</t>
  </si>
  <si>
    <t>Q9EPU0</t>
  </si>
  <si>
    <t>Q3UG00; Q6GYP5; Q6PHQ5; Q8K0N4; Q99PR4</t>
  </si>
  <si>
    <t>MGI:107995</t>
  </si>
  <si>
    <t>Alternative splicing; ATP-binding; Cytoplasm; Helicase; Hydrolase; Metal-binding; Methylation; Nonsense-mediated mRNA decay; Nucleotide-binding; Nucleus; Phosphoprotein; Repeat; RNA-binding; Zinc; Zinc-finger</t>
  </si>
  <si>
    <t>Nonsense-mediated mRNA decay</t>
  </si>
  <si>
    <t>3'-UTR-mediated mRNA destabilization {GO:0061158}; cell cycle phase transition {GO:0044770}; cellular response to interleukin-1 {GO:0071347}; cellular response to lipopolysaccharide {GO:0071222}; DNA duplex unwinding {GO:0032508}; DNA repair {GO:0006281}; DNA replication {GO:0006260}; histone mRNA catabolic process {GO:0071044}; nuclear-transcribed mRNA catabolic process {GO:0000956}; nuclear-transcribed mRNA catabolic process, endonucleolytic cleavage-dependent decay {GO:0000294}; nuclear-transcribed mRNA catabolic process, nonsense-mediated decay {GO:0000184}; positive regulation of mRNA catabolic process {GO:0061014}; regulation of telomere maintenance {GO:0032204}; regulation of translational termination {GO:0006449}; telomere maintenance via semi-conservative replication {GO:0032201}</t>
  </si>
  <si>
    <t>chromatin {GO:0000785}; chromosome, telomeric region {GO:0000781}; cytoplasm {GO:0005737}; cytosol {GO:0005829}; exon-exon junction complex {GO:0035145}; nucleoplasm {GO:0005654}; nucleus {GO:0005634}; P-body {GO:0000932}; perinuclear region of cytoplasm {GO:0048471}; supraspliceosomal complex {GO:0044530}</t>
  </si>
  <si>
    <t>ATP binding {GO:0005524}; ATP hydrolysis activity {GO:0016887}; chromatin binding {GO:0003682}; double-stranded DNA helicase activity {GO:0036121}; protein-containing complex binding {GO:0044877}; RNA binding {GO:0003723}; RNA helicase activity {GO:0003724}; telomeric DNA binding {GO:0042162}; zinc ion binding {GO:0008270}</t>
  </si>
  <si>
    <t>Nonsense Mediated Decay (NMD) independent of the Exon Junction Complex (EJC) {R-MMU-975956}; Nonsense Mediated Decay (NMD) enhanced by the Exon Junction Complex (EJC) {R-MMU-975957}</t>
  </si>
  <si>
    <t>sp|Q91WK2|EIF3H_MOUSE</t>
  </si>
  <si>
    <t>Eukaryotic translation initiation factor 3 subunit H (eIF3h)</t>
  </si>
  <si>
    <t>Eukaryotic translation initiation factor 3 subunit 3; eIF-3-gamma; eIF3 p40 subunit</t>
  </si>
  <si>
    <t>EIF3H_MOUSE</t>
  </si>
  <si>
    <t>Q91WK2</t>
  </si>
  <si>
    <t>Eif3s3</t>
  </si>
  <si>
    <t>MGI:1915385</t>
  </si>
  <si>
    <t>Cytoplasm; Initiation factor; Isopeptide bond; Phosphoprotein; Protein biosynthesis; Ubl conjugation</t>
  </si>
  <si>
    <t>formation of cytoplasmic translation initiation complex {GO:0001732}; negative regulation of proteasomal ubiquitin-dependent protein catabolic process {GO:0032435}; translational initiation {GO:0006413}</t>
  </si>
  <si>
    <t>eukaryotic 43S preinitiation complex {GO:0016282}; eukaryotic 48S preinitiation complex {GO:0033290}; eukaryotic translation initiation factor 3 complex {GO:0005852}; eukaryotic translation initiation factor 3 complex, eIF3m {GO:0071541}; polysomal ribosome {GO:0042788}</t>
  </si>
  <si>
    <t>metal-dependent deubiquitinase activity {GO:0140492}; metallopeptidase activity {GO:0008237}; translation initiation factor activity {GO:0003743}</t>
  </si>
  <si>
    <t>sp|Q8K411|PREP_MOUSE</t>
  </si>
  <si>
    <t>Presequence protease, mitochondrial</t>
  </si>
  <si>
    <t>Pitrilysin metalloproteinase 1</t>
  </si>
  <si>
    <t>PREP_MOUSE</t>
  </si>
  <si>
    <t>Q8K411</t>
  </si>
  <si>
    <t>Q3THC4; Q3TJI1; Q3TPP0; Q3URQ8; Q4KUG2; Q4KUG3; Q6ZPX6; Q922N1; Q9CV63</t>
  </si>
  <si>
    <t>MGI:1916867</t>
  </si>
  <si>
    <t>Acetylation; Alternative splicing; Disulfide bond; Hydrolase; Metal-binding; Metalloprotease; Mitochondrion; Protease; Transit peptide; Zinc</t>
  </si>
  <si>
    <t>Acetylation; Disulfide bond</t>
  </si>
  <si>
    <t>protein processing {GO:0016485}; proteolysis {GO:0006508}</t>
  </si>
  <si>
    <t>metalloendopeptidase activity {GO:0004222}; metallopeptidase activity {GO:0008237}; zinc ion binding {GO:0008270}</t>
  </si>
  <si>
    <t>sp|Q6P069|SORCN_MOUSE</t>
  </si>
  <si>
    <t>Sorcin</t>
  </si>
  <si>
    <t>SORCN_MOUSE</t>
  </si>
  <si>
    <t>Q6P069</t>
  </si>
  <si>
    <t>Q3UKC5; Q9CR38; Q9D7V8</t>
  </si>
  <si>
    <t>MGI:98419</t>
  </si>
  <si>
    <t>Alternative splicing; Calcium; Cytoplasm; Membrane; Metal-binding; Phosphoprotein; Repeat; Sarcoplasmic reticulum</t>
  </si>
  <si>
    <t>Cytoplasm; Membrane; Sarcoplasmic reticulum</t>
  </si>
  <si>
    <t>calcium ion transport {GO:0006816}; cytoplasmic sequestering of transcription factor {GO:0042994}; negative regulation of cardiac muscle contraction {GO:0055118}; negative regulation of heart rate {GO:0010459}; negative regulation of ryanodine-sensitive calcium-release channel activity {GO:0060315}; negative regulation of transcription regulatory region DNA binding {GO:2000678}; positive regulation of insulin secretion involved in cellular response to glucose stimulus {GO:0035774}; positive regulation of release of sequestered calcium ion into cytosol {GO:0051281}; regulation of calcium ion transport {GO:0051924}; regulation of cardiac muscle cell contraction {GO:0086004}; regulation of cell communication by electrical coupling involved in cardiac conduction {GO:1901844}; regulation of high voltage-gated calcium channel activity {GO:1901841}; regulation of relaxation of muscle {GO:1901077}</t>
  </si>
  <si>
    <t>axon {GO:0030424}; axon terminus {GO:0043679}; chromaffin granule membrane {GO:0042584}; cytosol {GO:0005829}; dendritic spine neck {GO:0044326}; endoplasmic reticulum membrane {GO:0005789}; extracellular exosome {GO:0070062}; membrane {GO:0016020}; mitochondrion {GO:0005739}; nucleoplasm {GO:0005654}; plasma membrane {GO:0005886}; sarcoplasmic reticulum membrane {GO:0033017}; smooth endoplasmic reticulum {GO:0005790}; T-tubule {GO:0030315}; vesicle {GO:0031982}; Z disc {GO:0030018}</t>
  </si>
  <si>
    <t>calcium ion binding {GO:0005509}; DNA-binding transcription factor binding {GO:0140297}; identical protein binding {GO:0042802}; protease binding {GO:0002020}; protein heterodimerization activity {GO:0046982}</t>
  </si>
  <si>
    <t>Stimuli-sensing channels {R-MMU-2672351}; Reduction of cytosolic Ca++ levels {R-MMU-418359}; Sodium/Calcium exchangers {R-MMU-425561}; Ion homeostasis {R-MMU-5578775}; Ion transport by P-type ATPases {R-MMU-936837}</t>
  </si>
  <si>
    <t>sp|P29758|OAT_MOUSE</t>
  </si>
  <si>
    <t>Ornithine aminotransferase, mitochondrial</t>
  </si>
  <si>
    <t>Ornithine--oxo-acid aminotransferase</t>
  </si>
  <si>
    <t>OAT_MOUSE</t>
  </si>
  <si>
    <t>P29758</t>
  </si>
  <si>
    <t>MGI:97394</t>
  </si>
  <si>
    <t>Acetylation; Aminotransferase; Mitochondrion; Pyridoxal phosphate; Transferase; Transit peptide</t>
  </si>
  <si>
    <t>arginine catabolic process to glutamate {GO:0019544}; arginine catabolic process to proline via ornithine {GO:0010121}; L-proline biosynthetic process {GO:0055129}</t>
  </si>
  <si>
    <t>cytoplasm {GO:0005737}; mitochondrial matrix {GO:0005759}; mitochondrion {GO:0005739}; nucleoplasm {GO:0005654}</t>
  </si>
  <si>
    <t>identical protein binding {GO:0042802}; ornithine(lysine) transaminase activity {GO:0050155}; ornithine-oxo-acid transaminase activity {GO:0004587}; pyridoxal phosphate binding {GO:0030170}</t>
  </si>
  <si>
    <t>Amino-acid biosynthesis; L-proline biosynthesis; L-glutamate 5-semialdehyde from L-ornithine: step 1/1.</t>
  </si>
  <si>
    <t>Glutamate and glutamine metabolism {R-MMU-8964539}</t>
  </si>
  <si>
    <t>sp|Q9QZQ1|AFAD_MOUSE</t>
  </si>
  <si>
    <t>Afadin</t>
  </si>
  <si>
    <t>Afadin adherens junction formation factor; Protein Af-6</t>
  </si>
  <si>
    <t>AFAD_MOUSE</t>
  </si>
  <si>
    <t>Q9QZQ1</t>
  </si>
  <si>
    <t>Af6; Mllt4</t>
  </si>
  <si>
    <t>MGI:1314653</t>
  </si>
  <si>
    <t>3D-structure; Acetylation; Alternative splicing; Cell adhesion; Cell junction; Coiled coil; Phosphoprotein; Repeat</t>
  </si>
  <si>
    <t>Cell junction</t>
  </si>
  <si>
    <t>adherens junction maintenance {GO:0034334}; bicellular tight junction assembly {GO:0070830}; brain morphogenesis {GO:0048854}; cell-cell adhesion mediated by cadherin {GO:0044331}; cerebral cortex development {GO:0021987}; dendrite arborization {GO:0140059}; establishment of endothelial intestinal barrier {GO:0090557}; establishment of protein localization to plasma membrane {GO:0061951}; homeostasis of number of cells {GO:0048872}; negative regulation of cell migration {GO:0030336}; neuroepithelial cell differentiation {GO:0060563}; pore complex assembly {GO:0046931}; positive regulation of cell-cell adhesion {GO:0022409}; positive regulation of cell-cell adhesion mediated by cadherin {GO:2000049}; positive regulation of dendrite extension {GO:1903861}; positive regulation of dendrite morphogenesis {GO:0050775}; positive regulation of dendritic spine morphogenesis {GO:0061003}; positive regulation of gene expression {GO:0010628}; positive regulation of GTPase activity {GO:0043547}; positive regulation of mini excitatory postsynaptic potential {GO:0061885}; protein localization to cell junction {GO:1902414}; radial glial cell differentiation {GO:0060019}; regulation of oligodendrocyte progenitor proliferation {GO:0070445}; regulation of protein localization {GO:0032880}; signal transduction {GO:0007165}; telencephalon development {GO:0021537}</t>
  </si>
  <si>
    <t>adherens junction {GO:0005912}; apical junction complex {GO:0043296}; apical part of cell {GO:0045177}; axon {GO:0030424}; cell junction {GO:0030054}; cell-cell contact zone {GO:0044291}; cell-cell junction {GO:0005911}; cytoplasm {GO:0005737}; cytosol {GO:0005829}; excitatory synapse {GO:0060076}; nuclear speck {GO:0016607}; nucleoplasm {GO:0005654}; plasma membrane {GO:0005886}; pore complex {GO:0046930}; somatodendritic compartment {GO:0036477}; tight junction {GO:0070160}</t>
  </si>
  <si>
    <t>actin filament binding {GO:0051015}; cell adhesion molecule binding {GO:0050839}; LIM domain binding {GO:0030274}; small GTPase binding {GO:0031267}</t>
  </si>
  <si>
    <t>Adherens junctions interactions {R-MMU-418990}</t>
  </si>
  <si>
    <t>sp|P14576|SRP54_MOUSE</t>
  </si>
  <si>
    <t>Signal recognition particle 54 kDa protein (SRP54)</t>
  </si>
  <si>
    <t>SRP54_MOUSE</t>
  </si>
  <si>
    <t>P14576</t>
  </si>
  <si>
    <t>Q3UWX8; Q9CWH7; Q9D008</t>
  </si>
  <si>
    <t>MGI:1346087</t>
  </si>
  <si>
    <t>3D-structure; Alternative splicing; Cytoplasm; Endoplasmic reticulum; GTP-binding; Hydrolase; Nucleotide-binding; Nucleus; Ribonucleoprotein; RNA-binding; Signal recognition particle</t>
  </si>
  <si>
    <t>Cytoplasm; Endoplasmic reticulum; Nucleus; Signal recognition particle</t>
  </si>
  <si>
    <t>Hydrolase; RNA-binding; Ribonucleoprotein</t>
  </si>
  <si>
    <t>exocrine pancreas development {GO:0031017}; granulocyte differentiation {GO:0030851}; neutrophil chemotaxis {GO:0030593}; protein targeting to ER {GO:0045047}; SRP-dependent cotranslational protein targeting to membrane {GO:0006614}; SRP-dependent cotranslational protein targeting to membrane, translocation {GO:0006616}</t>
  </si>
  <si>
    <t>cytoplasm {GO:0005737}; cytosol {GO:0005829}; endoplasmic reticulum {GO:0005783}; nuclear speck {GO:0016607}; nucleus {GO:0005634}; signal recognition particle, endoplasmic reticulum targeting {GO:0005786}</t>
  </si>
  <si>
    <t>7S RNA binding {GO:0008312}; endoplasmic reticulum signal peptide binding {GO:0030942}; GDP binding {GO:0019003}; GTP binding {GO:0005525}; GTPase activity {GO:0003924}; ribonucleoprotein complex binding {GO:0043021}</t>
  </si>
  <si>
    <t>SRP-dependent cotranslational protein targeting to membrane {R-MMU-1799339}</t>
  </si>
  <si>
    <t>sp|Q501J6|DDX17_MOUSE</t>
  </si>
  <si>
    <t>Probable ATP-dependent RNA helicase DDX17</t>
  </si>
  <si>
    <t>DEAD box protein 17</t>
  </si>
  <si>
    <t>DDX17_MOUSE</t>
  </si>
  <si>
    <t>Q501J6</t>
  </si>
  <si>
    <t>Q6P5G1; Q8BIN2</t>
  </si>
  <si>
    <t>MGI:1914290</t>
  </si>
  <si>
    <t>Acetylation; Alternative splicing; Antiviral defense; ATP-binding; Cytoplasm; Helicase; Hydrolase; Immunity; Isopeptide bond; Methylation; mRNA processing; mRNA splicing; Nucleotide-binding; Nucleus; Phosphoprotein; RNA-binding; RNA-mediated gene silencing; rRNA processing; Transcription; Transcription regulation; Ubl conjugation</t>
  </si>
  <si>
    <t>Antiviral defense; Immunity; RNA-mediated gene silencing; Transcription; Transcription regulation; mRNA processing; mRNA splicing; rRNA processing</t>
  </si>
  <si>
    <t>alternative mRNA splicing, via spliceosome {GO:0000380}; androgen receptor signaling pathway {GO:0030521}; defense response to virus {GO:0051607}; epithelial to mesenchymal transition {GO:0001837}; gene expression {GO:0010467}; gene silencing by RNA {GO:0031047}; immune system process {GO:0002376}; intracellular estrogen receptor signaling pathway {GO:0030520}; miRNA metabolic process {GO:0010586}; miRNA transcription {GO:0061614}; myoblast differentiation {GO:0045445}; positive regulation of transcription by RNA polymerase II {GO:0045944}; regulation of alternative mRNA splicing, via spliceosome {GO:0000381}; regulation of skeletal muscle cell differentiation {GO:2001014}; regulation of transcription by RNA polymerase II {GO:0006357}; rRNA processing {GO:0006364}</t>
  </si>
  <si>
    <t>cytosol {GO:0005829}; nuclear speck {GO:0016607}; nucleolus {GO:0005730}; nucleus {GO:0005634}; ribonucleoprotein complex {GO:1990904}</t>
  </si>
  <si>
    <t>ATP binding {GO:0005524}; ATP hydrolysis activity {GO:0016887}; chromatin DNA binding {GO:0031490}; lncRNA binding {GO:0106222}; RNA binding {GO:0003723}; RNA helicase activity {GO:0003724}; transcription coactivator activity {GO:0003713}</t>
  </si>
  <si>
    <t>SUMOylation of transcription cofactors {R-MMU-3899300}</t>
  </si>
  <si>
    <t>sp|P17426|AP2A1_MOUSE</t>
  </si>
  <si>
    <t>AP-2 complex subunit alpha-1</t>
  </si>
  <si>
    <t>100 kDa coated vesicle protein A; Adaptor protein complex AP-2 subunit alpha-1; Adaptor-related protein complex 2 subunit alpha-1; Alpha-adaptin A; Alpha1-adaptin; Clathrin assembly protein complex 2 alpha-A large chain; Plasma membrane adaptor HA2/AP2 adaptin alpha A subunit</t>
  </si>
  <si>
    <t>AP2A1_MOUSE</t>
  </si>
  <si>
    <t>P17426</t>
  </si>
  <si>
    <t>Adtaa; Clapa1</t>
  </si>
  <si>
    <t>MGI:101921</t>
  </si>
  <si>
    <t>Alternative splicing; Cell membrane; Coated pit; Endocytosis; Membrane; Phosphoprotein; Protein transport; Transport</t>
  </si>
  <si>
    <t>clathrin-dependent endocytosis {GO:0072583}; intracellular protein transport {GO:0006886}; negative regulation of hyaluronan biosynthetic process {GO:1900126}; positive regulation of neuron projection development {GO:0010976}; positive regulation of receptor-mediated endocytosis {GO:0048260}; postsynaptic neurotransmitter receptor internalization {GO:0098884}; receptor-mediated endocytosis {GO:0006898}; vesicle-mediated transport {GO:0016192}</t>
  </si>
  <si>
    <t>AP-2 adaptor complex {GO:0030122}; apical plasma membrane {GO:0016324}; basolateral plasma membrane {GO:0016323}; clathrin-coated vesicle {GO:0030136}; cytoplasmic side of plasma membrane {GO:0009898}; filopodium tip {GO:0032433}; membrane coat {GO:0030117}; postsynapse {GO:0098794}; protein-containing complex {GO:0032991}; secretory granule {GO:0030141}</t>
  </si>
  <si>
    <t>cargo adaptor activity {GO:0140312}; clathrin adaptor activity {GO:0035615}; low-density lipoprotein particle receptor binding {GO:0050750}; protein C-terminus binding {GO:0008022}; protein kinase binding {GO:0019901}; protein-containing complex binding {GO:0044877}</t>
  </si>
  <si>
    <t>sp|P45591|COF2_MOUSE</t>
  </si>
  <si>
    <t>Cofilin-2</t>
  </si>
  <si>
    <t>Cofilin, muscle isoform</t>
  </si>
  <si>
    <t>COF2_MOUSE</t>
  </si>
  <si>
    <t>P45591</t>
  </si>
  <si>
    <t>MGI:101763</t>
  </si>
  <si>
    <t>Acetylation; Actin-binding; Cytoplasm; Cytoskeleton; Nucleus; Phosphoprotein</t>
  </si>
  <si>
    <t>actin filament depolymerization {GO:0030042}; actin filament fragmentation {GO:0030043}; actin filament organization {GO:0007015}; actin filament severing {GO:0051014}; muscle cell cellular homeostasis {GO:0046716}; positive regulation of actin filament depolymerization {GO:0030836}; sarcomere organization {GO:0045214}; skeletal muscle tissue development {GO:0007519}</t>
  </si>
  <si>
    <t>actin cytoskeleton {GO:0015629}; cytoplasm {GO:0005737}; I band {GO:0031674}; nuclear matrix {GO:0016363}; Z disc {GO:0030018}</t>
  </si>
  <si>
    <t>sp|Q9CR68|UCRI_MOUSE</t>
  </si>
  <si>
    <t>Cytochrome b-c1 complex subunit 9</t>
  </si>
  <si>
    <t>Complex III subunit 5; Cytochrome b-c1 complex subunit 5; Rieske iron-sulfur protein (RISP); Rieske protein UQCRFS1; Ubiquinol-cytochrome c reductase iron-sulfur subunit (Su9; Subunit 9); 8 kDa subunit 9; Complex III subunit IX; Cytochrome b-c1 complex subunit 11; UQCRFS1 mitochondrial targeting sequence (UQCRFS1 MTS); Ubiquinol-cytochrome c reductase 8 kDa protein</t>
  </si>
  <si>
    <t>UCRI_MOUSE</t>
  </si>
  <si>
    <t>Q9CR68</t>
  </si>
  <si>
    <t>Q5SVV1</t>
  </si>
  <si>
    <t>MGI:1913944</t>
  </si>
  <si>
    <t>2Fe-2S; Disulfide bond; Electron transport; Iron; Iron-sulfur; Membrane; Metal-binding; Mitochondrion; Mitochondrion inner membrane; Respiratory chain; Transit peptide; Translocase; Transmembrane; Transmembrane helix; Transport</t>
  </si>
  <si>
    <t>cellular respiration {GO:0045333}; mitochondrial electron transport, ubiquinol to cytochrome c {GO:0006122}; respiratory electron transport chain {GO:0022904}; response to antibiotic {GO:0046677}; response to hormone {GO:0009725}; response to xenobiotic stimulus {GO:0009410}</t>
  </si>
  <si>
    <t>mitochondrial inner membrane {GO:0005743}; mitochondrial membrane {GO:0031966}; mitochondrial respiratory chain complex III {GO:0005750}; mitochondrial respiratory chain complex IV {GO:0005751}; mitochondrion {GO:0005739}; myelin sheath {GO:0043209}</t>
  </si>
  <si>
    <t>2 iron, 2 sulfur cluster binding {GO:0051537}; metal ion binding {GO:0046872}; oxidoreductase activity {GO:0016491}; protein-containing complex binding {GO:0044877}; ubiquinol-cytochrome-c reductase activity {GO:0008121}</t>
  </si>
  <si>
    <t>sp|Q9CXW3|CYBP_MOUSE</t>
  </si>
  <si>
    <t>Calcyclin-binding protein (CacyBP)</t>
  </si>
  <si>
    <t>Siah-interacting protein</t>
  </si>
  <si>
    <t>CYBP_MOUSE</t>
  </si>
  <si>
    <t>Q9CXW3</t>
  </si>
  <si>
    <t>O70140</t>
  </si>
  <si>
    <t>Sip</t>
  </si>
  <si>
    <t>MGI:1270839</t>
  </si>
  <si>
    <t>3D-structure; Acetylation; Cytoplasm; Nucleus; Phosphoprotein; Ubl conjugation pathway</t>
  </si>
  <si>
    <t>cardiac muscle cell differentiation {GO:0055007}; cellular response to leukemia inhibitory factor {GO:1990830}; heart development {GO:0007507}; negative regulation of cell death {GO:0060548}; positive regulation of DNA replication {GO:0045740}; response to growth hormone {GO:0060416}</t>
  </si>
  <si>
    <t>beta-catenin destruction complex {GO:0030877}; cell body {GO:0044297}; cytoplasm {GO:0005737}; cytosol {GO:0005829}; neuron projection {GO:0043005}; nuclear envelope lumen {GO:0005641}; nucleoplasm {GO:0005654}; nucleus {GO:0005634}; SCF ubiquitin ligase complex {GO:0019005}</t>
  </si>
  <si>
    <t>molecular adaptor activity {GO:0060090}; protein domain specific binding {GO:0019904}; protein homodimerization activity {GO:0042803}; S100 protein binding {GO:0044548}; tubulin binding {GO:0015631}; ubiquitin protein ligase binding {GO:0031625}</t>
  </si>
  <si>
    <t>sp|P62627|DLRB1_MOUSE</t>
  </si>
  <si>
    <t>Dynein light chain roadblock-type 1</t>
  </si>
  <si>
    <t>Dynein light chain 2A, cytoplasmic</t>
  </si>
  <si>
    <t>DLRB1_MOUSE</t>
  </si>
  <si>
    <t>P62627</t>
  </si>
  <si>
    <t>A2AVR8; O88567; Q4FZJ8; Q9D812</t>
  </si>
  <si>
    <t>Dncl2a; Dnlc2a</t>
  </si>
  <si>
    <t>MGI:1914318</t>
  </si>
  <si>
    <t>3D-structure; Acetylation; Cytoplasm; Cytoskeleton; Dynein; Microtubule; Motor protein; Transport</t>
  </si>
  <si>
    <t>microtubule-based movement {GO:0007018}; visual behavior {GO:0007632}</t>
  </si>
  <si>
    <t>centrosome {GO:0005813}; cytoplasm {GO:0005737}; cytoplasmic dynein complex {GO:0005868}; dynein complex {GO:0030286}; microtubule {GO:0005874}</t>
  </si>
  <si>
    <t>dynein intermediate chain binding {GO:0045505}; identical protein binding {GO:0042802}</t>
  </si>
  <si>
    <t>Intraflagellar transport {R-MMU-5620924}</t>
  </si>
  <si>
    <t>sp|Q9Z0Y1|DCTN3_MOUSE</t>
  </si>
  <si>
    <t>Dynactin subunit 3</t>
  </si>
  <si>
    <t>Dynactin light chain p24</t>
  </si>
  <si>
    <t>DCTN3_MOUSE</t>
  </si>
  <si>
    <t>Q9Z0Y1</t>
  </si>
  <si>
    <t>Q9CR43; Q9D039</t>
  </si>
  <si>
    <t>MGI:1859251</t>
  </si>
  <si>
    <t>Acetylation; Cell cycle; Cell division; Centromere; Chromosome; Coiled coil; Cytoplasm; Cytoskeleton; Kinetochore; Mitosis</t>
  </si>
  <si>
    <t>cytoskeleton-dependent cytokinesis {GO:0061640}; microtubule-based process {GO:0007017}</t>
  </si>
  <si>
    <t>centrosome {GO:0005813}; cleavage furrow {GO:0032154}; cytosol {GO:0005829}; dynactin complex {GO:0005869}; kinetochore {GO:0000776}; microtubule {GO:0005874}; microtubule associated complex {GO:0005875}; midbody {GO:0030496}; nucleolus {GO:0005730}; perinuclear region of cytoplasm {GO:0048471}; spindle {GO:0005819}</t>
  </si>
  <si>
    <t>sp|P09055|ITB1_MOUSE</t>
  </si>
  <si>
    <t>Integrin beta-1</t>
  </si>
  <si>
    <t>Fibronectin receptor subunit beta; VLA-4 subunit beta; CD_antigen=CD29</t>
  </si>
  <si>
    <t>ITB1_MOUSE</t>
  </si>
  <si>
    <t>P09055</t>
  </si>
  <si>
    <t>F6R105; Q3TIW5; Q3TWH6; Q60993; Q61126; Q8BTU0; Q8BVU1</t>
  </si>
  <si>
    <t>MGI:96610</t>
  </si>
  <si>
    <t>3D-structure; Acetylation; Alternative splicing; Cell adhesion; Cell junction; Cell membrane; Cell projection; Disulfide bond; Endosome; Glycoprotein; Integrin; Isopeptide bond; Magnesium; Membrane; Metal-binding; Myogenesis; Phosphoprotein; Receptor; Repeat; Signal; Transmembrane; Transmembrane helix; Ubl conjugation</t>
  </si>
  <si>
    <t>Cell adhesion; Myogenesis</t>
  </si>
  <si>
    <t>Cell junction; Cell membrane; Cell projection; Endosome; Membrane</t>
  </si>
  <si>
    <t>Integrin; Receptor</t>
  </si>
  <si>
    <t>Acetylation; Disulfide bond; Glycoprotein; Isopeptide bond; Phosphoprotein; Ubl conjugation</t>
  </si>
  <si>
    <t>axon extension {GO:0048675}; basement membrane organization {GO:0071711}; bicellular tight junction assembly {GO:0070830}; calcium-independent cell-matrix adhesion {GO:0007161}; cardiac cell fate specification {GO:0060912}; cardiac muscle cell differentiation {GO:0055007}; cardiac muscle cell myoblast differentiation {GO:0060379}; CD40 signaling pathway {GO:0023035}; cell adhesion {GO:0007155}; cell adhesion mediated by integrin {GO:0033627}; cell migration {GO:0016477}; cell migration involved in sprouting angiogenesis {GO:0002042}; cell population proliferation {GO:0008283}; cell projection organization {GO:0030030}; cell-cell adhesion mediated by integrin {GO:0033631}; cell-matrix adhesion {GO:0007160}; cell-substrate adhesion {GO:0031589}; cellular response to low-density lipoprotein particle stimulus {GO:0071404}; dendrite morphogenesis {GO:0048813}; establishment of mitotic spindle orientation {GO:0000132}; formation of radial glial scaffolds {GO:0021943}; G1/S transition of mitotic cell cycle {GO:0000082}; germ cell migration {GO:0008354}; heterotypic cell-cell adhesion {GO:0034113}; in utero embryonic development {GO:0001701}; integrin-mediated signaling pathway {GO:0007229}; lamellipodium assembly {GO:0030032}; leukocyte cell-cell adhesion {GO:0007159}; leukocyte tethering or rolling {GO:0050901}; mesodermal cell differentiation {GO:0048333}; modulation of chemical synaptic transmission {GO:0050804}; muscle organ development {GO:0007517}; myoblast differentiation {GO:0045445}; myoblast fate specification {GO:0048626}; myoblast fusion {GO:0007520}; negative regulation of anoikis {GO:2000811}; negative regulation of apoptotic process {GO:0043066}; negative regulation of cell population proliferation {GO:0008285}; negative regulation of cell projection organization {GO:0031345}; negative regulation of neuron differentiation {GO:0045665}; negative regulation of Rho protein signal transduction {GO:0035024}; neuroblast proliferation {GO:0007405}; neuron differentiation {GO:0030182}; neuron projection development {GO:0031175}; phagocytosis {GO:0006909}; positive regulation of angiogenesis {GO:0045766}; positive regulation of apoptotic process {GO:0043065}; positive regulation of cell migration {GO:0030335}; positive regulation of cell-substrate adhesion {GO:0010811}; positive regulation of endocytosis {GO:0045807}; positive regulation of fibroblast migration {GO:0010763}; positive regulation of glutamate uptake involved in transmission of nerve impulse {GO:0051951}; positive regulation of GTPase activity {GO:0043547}; positive regulation of neuroblast proliferation {GO:0002052}; positive regulation of neuron differentiation {GO:0045666}; positive regulation of neuron projection development {GO:0010976}; positive regulation of peptidyl-tyrosine phosphorylation {GO:0050731}; positive regulation of protein kinase B signaling {GO:0051897}; positive regulation of protein localization to plasma membrane {GO:1903078}; positive regulation of signaling receptor activity {GO:2000273}; positive regulation of wound healing {GO:0090303}; protein transport within lipid bilayer {GO:0032594}; reactive gliosis {GO:0150103}; receptor internalization {GO:0031623}; regulation of cell cycle {GO:0051726}; regulation of collagen catabolic process {GO:0010710}; regulation of G protein-coupled receptor signaling pathway {GO:0008277}; regulation of inward rectifier potassium channel activity {GO:1901979}; regulation of spontaneous synaptic transmission {GO:0150003}; sarcomere organization {GO:0045214}; tissue homeostasis {GO:0001894}; visual learning {GO:0008542}</t>
  </si>
  <si>
    <t>acrosomal vesicle {GO:0001669}; adherens junction {GO:0005912}; basement membrane {GO:0005604}; cell surface {GO:0009986}; cell-cell junction {GO:0005911}; cytoplasm {GO:0005737}; dendritic spine {GO:0043197}; external side of plasma membrane {GO:0009897}; filopodium {GO:0030175}; focal adhesion {GO:0005925}; glial cell projection {GO:0097386}; glutamatergic synapse {GO:0098978}; hemidesmosome {GO:0030056}; integral component of postsynaptic membrane {GO:0099055}; integral component of synaptic membrane {GO:0099699}; integrin alpha1-beta1 complex {GO:0034665}; integrin alpha10-beta1 complex {GO:0034680}; integrin alpha11-beta1 complex {GO:0034681}; integrin alpha2-beta1 complex {GO:0034666}; integrin alpha3-beta1 complex {GO:0034667}; integrin alpha5-beta1 complex {GO:0034674}; integrin alpha7-beta1 complex {GO:0034677}; integrin alpha9-beta1 complex {GO:0034679}; integrin complex {GO:0008305}; intercalated disc {GO:0014704}; lamellipodium {GO:0030027}; melanosome {GO:0042470}; membrane {GO:0016020}; membrane raft {GO:0045121}; myelin sheath abaxonal region {GO:0035748}; neuromuscular junction {GO:0031594}; perinuclear region of cytoplasm {GO:0048471}; plasma membrane {GO:0005886}; postsynaptic membrane {GO:0045211}; receptor complex {GO:0043235}; recycling endosome {GO:0055037}; ruffle membrane {GO:0032587}; sarcolemma {GO:0042383}; Schaffer collateral - CA1 synapse {GO:0098685}; synapse {GO:0045202}; synaptic membrane {GO:0097060}</t>
  </si>
  <si>
    <t>actin binding {GO:0003779}; alpha-actinin binding {GO:0051393}; C-X3-C chemokine binding {GO:0019960}; cell adhesion molecule binding {GO:0050839}; collagen binding {GO:0005518}; collagen binding involved in cell-matrix adhesion {GO:0098639}; fibronectin binding {GO:0001968}; integrin binding {GO:0005178}; kinase binding {GO:0019900}; laminin binding {GO:0043236}; metal ion binding {GO:0046872}; protease binding {GO:0002020}; protein domain specific binding {GO:0019904}; protein heterodimerization activity {GO:0046982}; protein kinase binding {GO:0019901}; protein tyrosine kinase binding {GO:1990782}; protein-containing complex binding {GO:0044877}; signaling receptor activity {GO:0038023}; signaling receptor binding {GO:0005102}</t>
  </si>
  <si>
    <t>Elastic fibre formation {R-MMU-1566948}; Fibronectin matrix formation {R-MMU-1566977}; Immunoregulatory interactions between a Lymphoid and a non-Lymphoid cell {R-MMU-198933}; Cell surface interactions at the vascular wall {R-MMU-202733}; Molecules associated with elastic fibres {R-MMU-2129379}; Integrin cell surface interactions {R-MMU-216083}; TGF-beta receptor signaling activates SMADs {R-MMU-2173789}; Laminin interactions {R-MMU-3000157}; Syndecan interactions {R-MMU-3000170}; ECM proteoglycans {R-MMU-3000178}; Signal transduction by L1 {R-MMU-445144}; Localization of the PINCH-ILK-PARVIN complex to focal adhesions {R-MMU-446343}; MET activates PTK2 signaling {R-MMU-8874081}; MET interacts with TNS proteins {R-MMU-8875513}; RAC1 GTPase cycle {R-MMU-9013149}; RAC2 GTPase cycle {R-MMU-9013404}; RHOG GTPase cycle {R-MMU-9013408}; RAC3 GTPase cycle {R-MMU-9013423}; GPER1 signaling {R-MMU-9634597}</t>
  </si>
  <si>
    <t>sp|Q64511|TOP2B_MOUSE</t>
  </si>
  <si>
    <t>DNA topoisomerase 2-beta</t>
  </si>
  <si>
    <t>DNA topoisomerase II, beta isozyme</t>
  </si>
  <si>
    <t>TOP2B_MOUSE</t>
  </si>
  <si>
    <t>Q64511</t>
  </si>
  <si>
    <t>Q7TQG4</t>
  </si>
  <si>
    <t>MGI:98791</t>
  </si>
  <si>
    <t>Acetylation; ATP-binding; DNA-binding; Isomerase; Isopeptide bond; Magnesium; Metal-binding; Nucleotide-binding; Nucleus; Phosphoprotein; Topoisomerase; Ubl conjugation</t>
  </si>
  <si>
    <t>DNA-binding; Isomerase; Topoisomerase</t>
  </si>
  <si>
    <t>axonogenesis {GO:0007409}; B cell differentiation {GO:0030183}; DNA topological change {GO:0006265}; forebrain development {GO:0030900}; neuron migration {GO:0001764}; positive regulation of single stranded viral RNA replication via double stranded DNA intermediate {GO:0045870}; resolution of meiotic recombination intermediates {GO:0000712}; sister chromatid segregation {GO:0000819}</t>
  </si>
  <si>
    <t>cytosol {GO:0005829}; heterochromatin {GO:0000792}; nucleolus {GO:0005730}; nucleoplasm {GO:0005654}; nucleus {GO:0005634}; ribonucleoprotein complex {GO:1990904}</t>
  </si>
  <si>
    <t>ATP binding {GO:0005524}; chromatin binding {GO:0003682}; DNA binding {GO:0003677}; DNA topoisomerase activity {GO:0003916}; DNA topoisomerase type II (double strand cut, ATP-hydrolyzing) activity {GO:0003918}; enzyme binding {GO:0019899}; histone deacetylase binding {GO:0042826}; metal ion binding {GO:0046872}; protein C-terminus binding {GO:0008022}; protein heterodimerization activity {GO:0046982}; protein kinase C binding {GO:0005080}</t>
  </si>
  <si>
    <t>SUMOylation of DNA replication proteins {R-MMU-4615885}</t>
  </si>
  <si>
    <t>sp|P70372|ELAV1_MOUSE</t>
  </si>
  <si>
    <t>ELAV-like protein 1</t>
  </si>
  <si>
    <t>Elav-like generic protein; Hu-antigen R (HuR); MelG</t>
  </si>
  <si>
    <t>ELAV1_MOUSE</t>
  </si>
  <si>
    <t>P70372</t>
  </si>
  <si>
    <t>Q60745; Q78QY3</t>
  </si>
  <si>
    <t>Elra; Hua</t>
  </si>
  <si>
    <t>MGI:1100851</t>
  </si>
  <si>
    <t>Acetylation; Cytoplasm; Isopeptide bond; Methylation; Nucleus; Phosphoprotein; Repeat; RNA-binding; Ubl conjugation</t>
  </si>
  <si>
    <t>3'-UTR-mediated mRNA stabilization {GO:0070935}; mRNA stabilization {GO:0048255}; negative regulation of miRNA-mediated gene silencing {GO:0060965}; positive regulation of translation {GO:0045727}; post-transcriptional gene silencing {GO:0016441}; protein homooligomerization {GO:0051260}; protein import into nucleus {GO:0006606}; regulation of stem cell population maintenance {GO:2000036}</t>
  </si>
  <si>
    <t>cytoplasm {GO:0005737}; cytoplasmic stress granule {GO:0010494}; cytoplasmic vesicle {GO:0031410}; cytosol {GO:0005829}; endoplasmic reticulum {GO:0005783}; glutamatergic synapse {GO:0098978}; nucleoplasm {GO:0005654}; nucleus {GO:0005634}; P-body {GO:0000932}; postsynapse {GO:0098794}; ribonucleoprotein complex {GO:1990904}; sarcoplasm {GO:0016528}</t>
  </si>
  <si>
    <t>double-stranded RNA binding {GO:0003725}; lncRNA binding {GO:0106222}; miRNA binding {GO:0035198}; mRNA 3'-UTR AU-rich region binding {GO:0035925}; mRNA 3'-UTR binding {GO:0003730}; mRNA binding {GO:0003729}; protein homodimerization activity {GO:0042803}; protein kinase binding {GO:0019901}; RNA binding {GO:0003723}</t>
  </si>
  <si>
    <t>HuR (ELAVL1) binds and stabilizes mRNA {R-MMU-450520}; mRNA Splicing - Major Pathway {R-MMU-72163}</t>
  </si>
  <si>
    <t>sp|Q99MR6|SRRT_MOUSE</t>
  </si>
  <si>
    <t>Serrate RNA effector molecule homolog</t>
  </si>
  <si>
    <t>Arsenite-resistance protein 2</t>
  </si>
  <si>
    <t>SRRT_MOUSE</t>
  </si>
  <si>
    <t>Q99MR6</t>
  </si>
  <si>
    <t>Q3UD04; Q5D042; Q8VEE6; Q99MR4; Q99MR5; Q99MR7</t>
  </si>
  <si>
    <t>Ars2; Asr2</t>
  </si>
  <si>
    <t>MGI:1933527</t>
  </si>
  <si>
    <t>Acetylation; Activator; Alternative splicing; Cytoplasm; Isopeptide bond; Methylation; Nucleus; Phosphoprotein; RNA-mediated gene silencing; Transcription; Transcription regulation; Ubl conjugation</t>
  </si>
  <si>
    <t>RNA-mediated gene silencing; Transcription; Transcription regulation</t>
  </si>
  <si>
    <t>mRNA processing {GO:0006397}; neuronal stem cell population maintenance {GO:0097150}; positive regulation of neurogenesis {GO:0050769}; primary miRNA processing {GO:0031053}; regulation of DNA-templated transcription {GO:0006355}</t>
  </si>
  <si>
    <t>cytoplasm {GO:0005737}; nuclear body {GO:0016604}; nucleoplasm {GO:0005654}; protein-containing complex {GO:0032991}; ribonucleoprotein complex {GO:1990904}</t>
  </si>
  <si>
    <t>DNA binding {GO:0003677}; mRNA cap binding complex binding {GO:0140262}; protein-macromolecule adaptor activity {GO:0030674}</t>
  </si>
  <si>
    <t>RNA polymerase II transcribes snRNA genes {R-MMU-6807505}; mRNA Splicing - Major Pathway {R-MMU-72163}</t>
  </si>
  <si>
    <t>sp|Q61301|CTNA2_MOUSE</t>
  </si>
  <si>
    <t>Catenin alpha-2</t>
  </si>
  <si>
    <t>Alpha N-catenin</t>
  </si>
  <si>
    <t>CTNA2_MOUSE</t>
  </si>
  <si>
    <t>Q61301</t>
  </si>
  <si>
    <t>Q3TY37; Q61300; Q6AXD1</t>
  </si>
  <si>
    <t>Catna2</t>
  </si>
  <si>
    <t>MGI:88275</t>
  </si>
  <si>
    <t>3D-structure; Alternative splicing; Cell adhesion; Cell junction; Cell membrane; Cell projection; Cytoplasm; Cytoskeleton; Developmental protein; Differentiation; Membrane; Nucleus; Phosphoprotein</t>
  </si>
  <si>
    <t>Cell adhesion; Differentiation</t>
  </si>
  <si>
    <t>Cell junction; Cell membrane; Cell projection; Cytoplasm; Cytoskeleton; Membrane; Nucleus</t>
  </si>
  <si>
    <t>axonogenesis {GO:0007409}; brain morphogenesis {GO:0048854}; cell migration {GO:0016477}; cell-cell adhesion {GO:0098609}; dendrite morphogenesis {GO:0048813}; modification of postsynaptic actin cytoskeleton {GO:0098885}; negative regulation of Arp2/3 complex-mediated actin nucleation {GO:0034316}; prepulse inhibition {GO:0060134}; radial glia guided migration of Purkinje cell {GO:0021942}; regulation of neuron migration {GO:2001222}; regulation of neuron projection development {GO:0010975}; regulation of synapse structural plasticity {GO:0051823}</t>
  </si>
  <si>
    <t>actin cytoskeleton {GO:0015629}; adherens junction {GO:0005912}; axon {GO:0030424}; basolateral plasma membrane {GO:0016323}; catenin complex {GO:0016342}; cytoplasm {GO:0005737}; extrinsic component of postsynaptic membrane {GO:0098890}; extrinsic component of presynaptic membrane {GO:0098888}; hippocampal mossy fiber to CA3 synapse {GO:0098686}; lamellipodium {GO:0030027}; nucleus {GO:0005634}; parallel fiber to Purkinje cell synapse {GO:0098688}; postsynaptic density {GO:0014069}; postsynaptic density, intracellular component {GO:0099092}; presynaptic active zone cytoplasmic component {GO:0098831}</t>
  </si>
  <si>
    <t>actin filament binding {GO:0051015}; beta-catenin binding {GO:0008013}; cadherin binding {GO:0045296}; identical protein binding {GO:0042802}; structural molecule activity {GO:0005198}</t>
  </si>
  <si>
    <t>Myogenesis {R-MMU-525793}</t>
  </si>
  <si>
    <t>sp|Q8K1R7|NEK9_MOUSE</t>
  </si>
  <si>
    <t>Serine/threonine-protein kinase Nek9</t>
  </si>
  <si>
    <t>Nercc1 kinase; Never in mitosis A-related kinase 9 (NimA-related protein kinase 9)</t>
  </si>
  <si>
    <t>NEK9_MOUSE</t>
  </si>
  <si>
    <t>Q8K1R7</t>
  </si>
  <si>
    <t>Q148U2; Q8R3P1</t>
  </si>
  <si>
    <t>Nercc</t>
  </si>
  <si>
    <t>MGI:2387995</t>
  </si>
  <si>
    <t>3D-structure; Acetylation; ATP-binding; Cell cycle; Cell division; Coiled coil; Cytoplasm; Kinase; Magnesium; Metal-binding; Mitosis; Nucleotide-binding; Nucleus; Phosphoprotein; Repeat; Serine/threonine-protein kinase; Transferase</t>
  </si>
  <si>
    <t>cell cycle {GO:0007049}; cell division {GO:0051301}; protein phosphorylation {GO:0006468}</t>
  </si>
  <si>
    <t>centrosome {GO:0005813}; cytoplasm {GO:0005737}; nucleus {GO:0005634}</t>
  </si>
  <si>
    <t>ATP binding {GO:0005524}; metal ion binding {GO:0046872}; protein kinase binding {GO:0019901}; protein serine kinase activity {GO:0106310}; protein serine/threonine kinase activity {GO:0004674}</t>
  </si>
  <si>
    <t>Activation of NIMA Kinases NEK9, NEK6, NEK7 {R-MMU-2980767}</t>
  </si>
  <si>
    <t>sp|Q8R1Q8|DC1L1_MOUSE</t>
  </si>
  <si>
    <t>Cytoplasmic dynein 1 light intermediate chain 1</t>
  </si>
  <si>
    <t>Dynein light chain A (DLC-A); Dynein light intermediate chain 1, cytosolic</t>
  </si>
  <si>
    <t>DC1L1_MOUSE</t>
  </si>
  <si>
    <t>Q8R1Q8</t>
  </si>
  <si>
    <t>Dncli1; Dnclic1</t>
  </si>
  <si>
    <t>MGI:2135610</t>
  </si>
  <si>
    <t>ATP-binding; Cell cycle; Cell division; Centromere; Chromosome; Cytoplasm; Cytoskeleton; Dynein; Kinetochore; Microtubule; Mitosis; Motor protein; Nucleotide-binding; Phosphoprotein; Transport</t>
  </si>
  <si>
    <t>Centromere; Chromosome; Cytoplasm; Cytoskeleton; Dynein; Kinetochore; Microtubule</t>
  </si>
  <si>
    <t>cell cycle {GO:0007049}; cell division {GO:0051301}; cellular response to nerve growth factor stimulus {GO:1990090}; microtubule cytoskeleton organization {GO:0000226}; microtubule-based movement {GO:0007018}; positive regulation of mitotic cell cycle spindle assembly checkpoint {GO:0090267}; regulation of centrosome cycle {GO:0046605}</t>
  </si>
  <si>
    <t>centrosome {GO:0005813}; cytoplasmic dynein complex {GO:0005868}; kinetochore {GO:0000776}; late endosome {GO:0005770}; lysosome {GO:0005764}; microtubule {GO:0005874}; spindle pole {GO:0000922}</t>
  </si>
  <si>
    <t>ATP binding {GO:0005524}; dynein heavy chain binding {GO:0045504}; GDP binding {GO:0019003}; identical protein binding {GO:0042802}; microtubule motor activity {GO:0003777}</t>
  </si>
  <si>
    <t>Amplification of signal from unattached kinetochores via a MAD2 inhibitory signal {R-MMU-141444}; MHC class II antigen presentation {R-MMU-2132295}; Separation of Sister Chromatids {R-MMU-2467813}; Resolution of Sister Chromatid Cohesion {R-MMU-2500257}; HSP90 chaperone cycle for steroid hormone receptors (SHR) in the presence of ligand {R-MMU-3371497}; RHO GTPases Activate Formins {R-MMU-5663220}; Neutrophil degranulation {R-MMU-6798695}; COPI-mediated anterograde transport {R-MMU-6807878}; COPI-independent Golgi-to-ER retrograde traffic {R-MMU-6811436}; Mitotic Prometaphase {R-MMU-68877}; Aggrephagy {R-MMU-9646399}; EML4 and NUDC in mitotic spindle formation {R-MMU-9648025}</t>
  </si>
  <si>
    <t>sp|Q9QYC0|ADDA_MOUSE</t>
  </si>
  <si>
    <t>Alpha-adducin</t>
  </si>
  <si>
    <t>Erythrocyte adducin subunit alpha</t>
  </si>
  <si>
    <t>ADDA_MOUSE</t>
  </si>
  <si>
    <t>Q9QYC0</t>
  </si>
  <si>
    <t>Q9JLE3</t>
  </si>
  <si>
    <t>MGI:87918</t>
  </si>
  <si>
    <t>Acetylation; Actin-binding; Alternative splicing; Calmodulin-binding; Cell membrane; Cytoplasm; Cytoskeleton; Membrane; Phosphoprotein</t>
  </si>
  <si>
    <t>actin filament bundle assembly {GO:0051017}; barbed-end actin filament capping {GO:0051016}; cell morphogenesis {GO:0000902}; cell volume homeostasis {GO:0006884}; cellular response to calcium ion {GO:0071277}; cellular response to retinoic acid {GO:0071300}; erythrocyte differentiation {GO:0030218}; hemoglobin metabolic process {GO:0020027}; homeostasis of number of cells within a tissue {GO:0048873}; in utero embryonic development {GO:0001701}; multicellular organism growth {GO:0035264}; negative regulation of actin filament polymerization {GO:0030837}; positive regulation of adherens junction organization {GO:1903393}; positive regulation of angiogenesis {GO:0045766}; positive regulation of endocytosis {GO:0045807}; positive regulation of establishment of endothelial barrier {GO:1903142}; positive regulation of protein binding {GO:0032092}</t>
  </si>
  <si>
    <t>adherens junction {GO:0005912}; cytoplasm {GO:0005737}; cytoskeleton {GO:0005856}; dendrite {GO:0030425}; dendritic spine {GO:0043197}; F-actin capping protein complex {GO:0008290}; membrane {GO:0016020}; nuclear body {GO:0016604}; nucleoplasm {GO:0005654}; nucleus {GO:0005634}; perinuclear region of cytoplasm {GO:0048471}; plasma membrane {GO:0005886}; postsynaptic density {GO:0014069}; synapse {GO:0045202}</t>
  </si>
  <si>
    <t>actin filament binding {GO:0051015}; calmodulin binding {GO:0005516}; protein heterodimerization activity {GO:0046982}; protein homodimerization activity {GO:0042803}; RNA polymerase II-specific DNA-binding transcription factor binding {GO:0061629}; spectrin binding {GO:0030507}; structural constituent of cytoskeleton {GO:0005200}; T cell receptor binding {GO:0042608}</t>
  </si>
  <si>
    <t>Caspase-mediated cleavage of cytoskeletal proteins {R-MMU-264870}; Miscellaneous transport and binding events {R-MMU-5223345}</t>
  </si>
  <si>
    <t>sp|Q9R0P3|ESTD_MOUSE</t>
  </si>
  <si>
    <t>S-formylglutathione hydrolase (FGH)</t>
  </si>
  <si>
    <t>Esterase 10; Esterase D; Sid 478</t>
  </si>
  <si>
    <t>ESTD_MOUSE</t>
  </si>
  <si>
    <t>Q9R0P3</t>
  </si>
  <si>
    <t>Q80ZX4; Q9CWI4</t>
  </si>
  <si>
    <t>Es10; Sid478</t>
  </si>
  <si>
    <t>MGI:95421</t>
  </si>
  <si>
    <t>Acetylation; Cytoplasm; Cytoplasmic vesicle; Hydrolase; Serine esterase</t>
  </si>
  <si>
    <t>Cytoplasm; Cytoplasmic vesicle</t>
  </si>
  <si>
    <t>Hydrolase; Serine esterase</t>
  </si>
  <si>
    <t>formaldehyde catabolic process {GO:0046294}; organic substance catabolic process {GO:1901575}</t>
  </si>
  <si>
    <t>cytoplasmic vesicle {GO:0031410}; cytosol {GO:0005829}</t>
  </si>
  <si>
    <t>carboxylic ester hydrolase activity {GO:0052689}; hydrolase activity, acting on ester bonds {GO:0016788}; identical protein binding {GO:0042802}; S-formylglutathione hydrolase activity {GO:0018738}</t>
  </si>
  <si>
    <t>sp|Q8CDN6|TXNL1_MOUSE</t>
  </si>
  <si>
    <t>Thioredoxin-like protein 1</t>
  </si>
  <si>
    <t>32 kDa thioredoxin-related protein</t>
  </si>
  <si>
    <t>TXNL1_MOUSE</t>
  </si>
  <si>
    <t>Q8CDN6</t>
  </si>
  <si>
    <t>O70379; Q3TI92</t>
  </si>
  <si>
    <t>Trp32; Txnl</t>
  </si>
  <si>
    <t>MGI:1860078</t>
  </si>
  <si>
    <t>Cytoplasm; Disulfide bond; Electron transport; Nucleus; Phosphoprotein; Proteasome; Redox-active center; Transport</t>
  </si>
  <si>
    <t>cytoplasm {GO:0005737}; cytosol {GO:0005829}; nucleus {GO:0005634}; proteasome complex {GO:0000502}</t>
  </si>
  <si>
    <t>disulfide oxidoreductase activity {GO:0015036}; thioredoxin-disulfide reductase activity {GO:0004791}</t>
  </si>
  <si>
    <t>RHOBTB2 GTPase cycle {R-MMU-9013418}; RHOU GTPase cycle {R-MMU-9013420}; RHOBTB1 GTPase cycle {R-MMU-9013422}; RHOV GTPase cycle {R-MMU-9013424}; RND3 GTPase cycle {R-MMU-9696264}; RND2 GTPase cycle {R-MMU-9696270}; RND1 GTPase cycle {R-MMU-9696273}</t>
  </si>
  <si>
    <t>sp|Q91ZX7|LRP1_MOUSE</t>
  </si>
  <si>
    <t>Low-density lipoprotein receptor-related protein 1 intracellular domain</t>
  </si>
  <si>
    <t>Alpha-2-macroglobulin receptor (A2MR); CD_antigen=CD91 (LRP-85; LRP-515; LRPICD)</t>
  </si>
  <si>
    <t>LRP1_MOUSE</t>
  </si>
  <si>
    <t>Q91ZX7</t>
  </si>
  <si>
    <t>Q61291; Q920Y4</t>
  </si>
  <si>
    <t>MGI:96828</t>
  </si>
  <si>
    <t>Acetylation; Calcium; Cell membrane; Coated pit; Cytoplasm; Cytoskeleton; Developmental protein; Disulfide bond; EGF-like domain; Endocytosis; Glycoprotein; Golgi apparatus; Membrane; Metal-binding; Nucleus; Phosphoprotein; Receptor; Repeat; Signal; Transmembrane; Transmembrane helix</t>
  </si>
  <si>
    <t>Cell membrane; Coated pit; Cytoplasm; Cytoskeleton; Golgi apparatus; Membrane; Nucleus</t>
  </si>
  <si>
    <t>EGF-like domain; Repeat; Signal; Transmembrane; Transmembrane helix</t>
  </si>
  <si>
    <t>Developmental protein; Receptor</t>
  </si>
  <si>
    <t>Acetylation; Disulfide bond; Glycoprotein; Phosphoprotein</t>
  </si>
  <si>
    <t>amyloid-beta clearance {GO:0097242}; amyloid-beta clearance by cellular catabolic process {GO:0150094}; amyloid-beta clearance by transcytosis {GO:0150093}; aorta morphogenesis {GO:0035909}; apoptotic cell clearance {GO:0043277}; astrocyte activation involved in immune response {GO:0002265}; cardiac septum development {GO:0003279}; cell population proliferation {GO:0008283}; cellular lipid catabolic process {GO:0044242}; cellular response to amyloid-beta {GO:1904646}; chemoattraction of axon {GO:0061642}; cholesterol metabolic process {GO:0008203}; coronary vasculature development {GO:0060976}; enzyme-linked receptor protein signaling pathway {GO:0007167}; lysosomal transport {GO:0007041}; negative regulation of apoptotic process {GO:0043066}; negative regulation of cell death {GO:0060548}; negative regulation of cell-substrate adhesion {GO:0010812}; negative regulation of cytosolic calcium ion concentration {GO:0051481}; negative regulation of focal adhesion assembly {GO:0051895}; negative regulation of gene expression {GO:0010629}; negative regulation of neuron apoptotic process {GO:0043524}; negative regulation of neuron projection development {GO:0010977}; negative regulation of pathway-restricted SMAD protein phosphorylation {GO:0060394}; negative regulation of platelet-derived growth factor receptor-beta signaling pathway {GO:2000587}; negative regulation of SMAD protein signal transduction {GO:0060392}; negative regulation of smooth muscle cell migration {GO:0014912}; negative regulation of transforming growth factor beta receptor signaling pathway {GO:0030512}; negative regulation of Wnt signaling pathway {GO:0030178}; phagocytosis {GO:0006909}; positive regulation of amyloid-beta clearance {GO:1900223}; positive regulation of axon extension {GO:0045773}; positive regulation of axon extension involved in regeneration {GO:0048691}; positive regulation of cell death {GO:0010942}; positive regulation of chemokine (C-X-C motif) ligand 2 production {GO:2000343}; positive regulation of cholesterol efflux {GO:0010875}; positive regulation of cholesterol import {GO:1904109}; positive regulation of cholesterol transport {GO:0032376}; positive regulation of collateral sprouting of injured axon {GO:0048694}; positive regulation of cytosolic calcium ion concentration {GO:0007204}; positive regulation of endocytosis {GO:0045807}; positive regulation of ERK1 and ERK2 cascade {GO:0070374}; positive regulation of insulin secretion involved in cellular response to glucose stimulus {GO:0035774}; positive regulation of lipid transport {GO:0032370}; positive regulation of lysosomal protein catabolic process {GO:1905167}; positive regulation of neuron projection development {GO:0010976}; positive regulation of phagocytosis {GO:0050766}; positive regulation of protein binding {GO:0032092}; positive regulation of protein localization to plasma membrane {GO:1903078}; positive regulation of protein transport {GO:0051222}; positive regulation of Schwann cell migration {GO:1900149}; positive regulation of transcytosis {GO:1904300}; positive regulation of vascular associated smooth muscle cell migration {GO:1904754}; protein kinase C-activating G protein-coupled receptor signaling pathway {GO:0007205}; receptor internalization {GO:0031623}; receptor-mediated endocytosis {GO:0006898}; regulation of actin cytoskeleton organization {GO:0032956}; regulation of cholesterol transport {GO:0032374}; regulation of phospholipase A2 activity {GO:0032429}; regulation of pulmonary blood vessel remodeling {GO:1905109}; transport across blood-brain barrier {GO:0150104}</t>
  </si>
  <si>
    <t>apical part of cell {GO:0045177}; axonal growth cone {GO:0044295}; basolateral plasma membrane {GO:0016323}; clathrin-coated pit {GO:0005905}; clathrin-coated vesicle {GO:0030136}; cytoskeleton {GO:0005856}; dendrite {GO:0030425}; early endosome {GO:0005769}; endosome {GO:0005768}; external side of plasma membrane {GO:0009897}; Golgi apparatus {GO:0005794}; insulin-responsive compartment {GO:0032593}; integral component of plasma membrane {GO:0005887}; low-density lipoprotein receptor complex {GO:0062136}; membrane {GO:0016020}; neuronal cell body {GO:0043025}; nucleus {GO:0005634}; plasma membrane {GO:0005886}; receptor complex {GO:0043235}</t>
  </si>
  <si>
    <t>alpha-2 macroglobulin receptor activity {GO:0016964}; apolipoprotein binding {GO:0034185}; calcium ion binding {GO:0005509}; cargo receptor activity {GO:0038024}; clathrin heavy chain binding {GO:0032050}; coreceptor activity {GO:0015026}; protease binding {GO:0002020}; protein-containing complex binding {GO:0044877}; signaling receptor binding {GO:0005102}</t>
  </si>
  <si>
    <t>Scavenging of heme from plasma {R-MMU-2168880}; Retinoid metabolism and transport {R-MMU-975634}</t>
  </si>
  <si>
    <t>sp|Q9D1D4|TMEDA_MOUSE</t>
  </si>
  <si>
    <t>Transmembrane emp24 domain-containing protein 10 (Protein Tmed10)</t>
  </si>
  <si>
    <t>21 kDa transmembrane-trafficking protein; Transmembrane protein Tmp21; p24 family protein delta-1 (p24delta1)</t>
  </si>
  <si>
    <t>TMEDA_MOUSE</t>
  </si>
  <si>
    <t>Q9D1D4</t>
  </si>
  <si>
    <t>Q3U7I7; Q6P227; Q922U8</t>
  </si>
  <si>
    <t>Tmp21</t>
  </si>
  <si>
    <t>MGI:1915831</t>
  </si>
  <si>
    <t>Alternative splicing; Cell membrane; Cytoplasmic vesicle; Endoplasmic reticulum; ER-Golgi transport; Glycoprotein; Golgi apparatus; Membrane; Methylation; Protein transport; Signal; Transmembrane; Transmembrane helix; Transport</t>
  </si>
  <si>
    <t>Cell membrane; Cytoplasmic vesicle; Endoplasmic reticulum; Golgi apparatus; Membrane</t>
  </si>
  <si>
    <t>Glycoprotein; Methylation</t>
  </si>
  <si>
    <t>COPI-coated vesicle budding {GO:0035964}; cytosol to ERGIC protein transport {GO:0106273}; endoplasmic reticulum to Golgi vesicle-mediated transport {GO:0006888}; Golgi organization {GO:0007030}; intracellular protein transport {GO:0006886}; negative regulation of aspartic-type endopeptidase activity involved in amyloid precursor protein catabolic process {GO:1902960}; positive regulation of interleukin-1 production {GO:0032732}; positive regulation of protein secretion {GO:0050714}; protein localization to ERGIC {GO:0106272}; regulated exocytosis {GO:0045055}; regulation of amyloid-beta formation {GO:1902003}; retrograde vesicle-mediated transport, Golgi to endoplasmic reticulum {GO:0006890}; vesicle targeting, to, from or within Golgi {GO:0048199}</t>
  </si>
  <si>
    <t>cis-Golgi network {GO:0005801}; COPI-coated vesicle {GO:0030137}; 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gamma-secretase complex {GO:0070765}; Golgi apparatus {GO:0005794}; Golgi membrane {GO:0000139}; integral component of membrane {GO:0016021}; intracellular membrane-bounded organelle {GO:0043231}; melanosome {GO:0042470}; plasma membrane {GO:0005886}; secretory granule membrane {GO:0030667}; trans-Golgi network transport vesicle {GO:0030140}; transport vesicle membrane {GO:0030658}; zymogen granule membrane {GO:0042589}</t>
  </si>
  <si>
    <t>protein transmembrane transporter activity {GO:0008320}; protein-containing complex binding {GO:0044877}; syntaxin binding {GO:0019905}</t>
  </si>
  <si>
    <t>COPII-mediated vesicle transport {R-MMU-204005}; Cargo concentration in the ER {R-MMU-5694530}; COPI-mediated anterograde transport {R-MMU-6807878}; COPI-dependent Golgi-to-ER retrograde traffic {R-MMU-6811434}</t>
  </si>
  <si>
    <t>sp|P09602|HMGN2_MOUSE</t>
  </si>
  <si>
    <t>Non-histone chromosomal protein HMG-17</t>
  </si>
  <si>
    <t>High mobility group nucleosome-binding domain-containing protein 2</t>
  </si>
  <si>
    <t>HMGN2_MOUSE</t>
  </si>
  <si>
    <t>P09602</t>
  </si>
  <si>
    <t>Hmg-17; Hmg17</t>
  </si>
  <si>
    <t>MGI:96136</t>
  </si>
  <si>
    <t>Acetylation; ADP-ribosylation; Cytoplasm; DNA-binding; Isopeptide bond; Nucleus; Phosphoprotein; Ubl conjugation</t>
  </si>
  <si>
    <t>antimicrobial humoral immune response mediated by antimicrobial peptide {GO:0061844}; chromatin organization {GO:0006325}; killing of cells of another organism {GO:0031640}; negative regulation of transcription by RNA polymerase II {GO:0000122}; regulation of development, heterochronic {GO:0040034}; regulation of transcription by RNA polymerase II {GO:0006357}</t>
  </si>
  <si>
    <t>chromatin {GO:0000785}; cytoplasm {GO:0005737}; extracellular space {GO:0005615}; female germ cell nucleus {GO:0001674}; nucleus {GO:0005634}</t>
  </si>
  <si>
    <t>chromatin binding {GO:0003682}; nucleosomal DNA binding {GO:0031492}</t>
  </si>
  <si>
    <t>sp|Q9JJI8|RL38_MOUSE</t>
  </si>
  <si>
    <t>60S ribosomal protein L38</t>
  </si>
  <si>
    <t>RL38_MOUSE</t>
  </si>
  <si>
    <t>Q9JJI8</t>
  </si>
  <si>
    <t>MGI:1914921</t>
  </si>
  <si>
    <t>90S preribosome assembly {GO:0034463}; axial mesoderm development {GO:0048318}; cytoplasmic translation {GO:0002181}; middle ear morphogenesis {GO:0042474}; ossification {GO:0001503}; regulation of translation {GO:0006417}; ribonucleoprotein complex assembly {GO:0022618}; sensory perception of sound {GO:0007605}; skeletal system development {GO:0001501}</t>
  </si>
  <si>
    <t>cytoplasm {GO:0005737}; cytosol {GO:0005829}; cytosolic large ribosomal subunit {GO:0022625}; cytosolic ribosome {GO:0022626}; eukaryotic 80S initiation complex {GO:0033291}; polysomal ribosome {GO:0042788}; postsynaptic density {GO:0014069}; synapse {GO:0045202}</t>
  </si>
  <si>
    <t>sp|Q6P542|ABCF1_MOUSE</t>
  </si>
  <si>
    <t>ATP-binding cassette sub-family F member 1</t>
  </si>
  <si>
    <t>ABCF1_MOUSE</t>
  </si>
  <si>
    <t>Q6P542</t>
  </si>
  <si>
    <t>Q6NV71</t>
  </si>
  <si>
    <t>MGI:1351658</t>
  </si>
  <si>
    <t>Activator; ATP-binding; Cytoplasm; Nucleotide-binding; Nucleus; Phosphoprotein; Repeat</t>
  </si>
  <si>
    <t>positive regulation of translation {GO:0045727}; translational initiation {GO:0006413}</t>
  </si>
  <si>
    <t>cytoplasm {GO:0005737}; cytosol {GO:0005829}; nuclear envelope {GO:0005635}; nucleoplasm {GO:0005654}; polysomal ribosome {GO:0042788}; ribosome {GO:0005840}</t>
  </si>
  <si>
    <t>ATP binding {GO:0005524}; ribosome binding {GO:0043022}; translation activator activity {GO:0008494}</t>
  </si>
  <si>
    <t>ABC-family proteins mediated transport {R-MMU-382556}</t>
  </si>
  <si>
    <t>sp|Q9WV80|SNX1_MOUSE</t>
  </si>
  <si>
    <t>Sorting nexin-1</t>
  </si>
  <si>
    <t>SNX1_MOUSE</t>
  </si>
  <si>
    <t>Q9WV80</t>
  </si>
  <si>
    <t>Q9EQZ9</t>
  </si>
  <si>
    <t>MGI:1928395</t>
  </si>
  <si>
    <t>3D-structure; Acetylation; Cell projection; Endosome; Golgi apparatus; Lipid-binding; Membrane; Phosphoprotein; Protein transport; Transport</t>
  </si>
  <si>
    <t>Cell projection; Endosome; Golgi apparatus; Membrane</t>
  </si>
  <si>
    <t>early endosome to Golgi transport {GO:0034498}; intracellular protein transport {GO:0006886}; lamellipodium morphogenesis {GO:0072673}; negative regulation of transforming growth factor beta receptor signaling pathway {GO:0030512}; neuron projection development {GO:0031175}; positive regulation of protein catabolic process {GO:0045732}; receptor internalization {GO:0031623}; retrograde transport, endosome to Golgi {GO:0042147}</t>
  </si>
  <si>
    <t>cytoplasm {GO:0005737}; cytosol {GO:0005829}; dendritic spine {GO:0043197}; early endosome {GO:0005769}; early endosome membrane {GO:0031901}; endosome {GO:0005768}; endosome membrane {GO:0010008}; extrinsic component of postsynaptic endosome membrane {GO:0098999}; Golgi apparatus {GO:0005794}; intracellular membrane-bounded organelle {GO:0043231}; lamellipodium {GO:0030027}; lysosome {GO:0005764}; membrane {GO:0016020}; perinuclear region of cytoplasm {GO:0048471}; postsynaptic density {GO:0014069}; postsynaptic density, intracellular component {GO:0099092}; presynapse {GO:0098793}; protein-containing complex {GO:0032991}; retromer complex {GO:0030904}; retromer, tubulation complex {GO:0030905}; vesicle {GO:0031982}</t>
  </si>
  <si>
    <t>epidermal growth factor receptor binding {GO:0005154}; identical protein binding {GO:0042802}; insulin receptor binding {GO:0005158}; leptin receptor binding {GO:1990460}; phosphatidylinositol binding {GO:0035091}; protein heterodimerization activity {GO:0046982}; protein homodimerization activity {GO:0042803}; transferrin receptor binding {GO:1990459}</t>
  </si>
  <si>
    <t>sp|Q60972|RBBP4_MOUSE</t>
  </si>
  <si>
    <t>Histone-binding protein RBBP4</t>
  </si>
  <si>
    <t>Chromatin assembly factor 1 subunit C (CAF-1 subunit C); Chromatin assembly factor I p48 subunit (CAF-I 48 kDa subunit; CAF-I p48); Nucleosome-remodeling factor subunit RBAP48; Retinoblastoma-binding protein 4 (RBBP-4); Retinoblastoma-binding protein p48</t>
  </si>
  <si>
    <t>RBBP4_MOUSE</t>
  </si>
  <si>
    <t>Q60972</t>
  </si>
  <si>
    <t>A2A875</t>
  </si>
  <si>
    <t>Rbap48</t>
  </si>
  <si>
    <t>MGI:1194912</t>
  </si>
  <si>
    <t>Acetylation; Cell cycle; Chromatin regulator; Chromosome; DNA replication; Isopeptide bond; Nucleus; Phosphoprotein; Repeat; Repressor; Telomere; Transcription; Transcription regulation; Ubl conjugation; WD repeat</t>
  </si>
  <si>
    <t>Cell cycle; DNA replication; Transcription; Transcription regulation</t>
  </si>
  <si>
    <t>Chromosome; Nucleus; Telomere</t>
  </si>
  <si>
    <t>brain development {GO:0007420}; cell cycle {GO:0007049}; chromatin assembly {GO:0031497}; chromatin remodeling {GO:0006338}; DNA replication {GO:0006260}; DNA replication-dependent chromatin assembly {GO:0006335}; DNA replication-independent chromatin assembly {GO:0006336}; histone deacetylation {GO:0016575}; negative regulation of cell migration {GO:0030336}; negative regulation of DNA-templated transcription {GO:0045892}; negative regulation of stem cell population maintenance {GO:1902455}; negative regulation of transcription by RNA polymerase II {GO:0000122}; negative regulation of transforming growth factor beta receptor signaling pathway {GO:0030512}; positive regulation of DNA-templated transcription {GO:0045893}; positive regulation of stem cell population maintenance {GO:1902459}; regulation of cell fate specification {GO:0042659}; regulation of DNA-templated transcription {GO:0006355}; regulation of stem cell differentiation {GO:2000736}</t>
  </si>
  <si>
    <t>ATPase complex {GO:1904949}; CAF-1 complex {GO:0033186}; chromatin {GO:0000785}; chromosome, telomeric region {GO:0000781}; cytosol {GO:0005829}; ESC/E(Z) complex {GO:0035098}; histone deacetylase complex {GO:0000118}; nucleoplasm {GO:0005654}; nucleus {GO:0005634}; NuRD complex {GO:0016581}; NURF complex {GO:0016589}; protein-containing complex {GO:0032991}; Sin3 complex {GO:0016580}</t>
  </si>
  <si>
    <t>ATP-dependent activity, acting on DNA {GO:0008094}; histone binding {GO:0042393}; histone deacetylase binding {GO:0042826}; RNA polymerase II cis-regulatory region sequence-specific DNA binding {GO:0000978}</t>
  </si>
  <si>
    <t>G0 and Early G1 {R-MMU-1538133}; PRC2 methylates histones and DNA {R-MMU-212300}; Oxidative Stress Induced Senescence {R-MMU-2559580}; HDACs deacetylate histones {R-MMU-3214815}; PKMTs methylate histone lysines {R-MMU-3214841}; Deposition of new CENPA-containing nucleosomes at the centromere {R-MMU-606279}; Regulation of TP53 Activity through Acetylation {R-MMU-6804758}; RNA Polymerase I Transcription Initiation {R-MMU-73762}; Regulation of PTEN gene transcription {R-MMU-8943724}; Transcriptional Regulation by E2F6 {R-MMU-8953750}</t>
  </si>
  <si>
    <t>sp|O35643|AP1B1_MOUSE</t>
  </si>
  <si>
    <t>AP-1 complex subunit beta-1</t>
  </si>
  <si>
    <t>Adaptor protein complex AP-1 subunit beta-1; Adaptor-related protein complex 1 subunit beta-1; Beta-1-adaptin; Beta-adaptin 1; Clathrin assembly protein complex 1 beta large chain; Golgi adaptor HA1/AP1 adaptin beta subunit</t>
  </si>
  <si>
    <t>AP1B1_MOUSE</t>
  </si>
  <si>
    <t>O35643</t>
  </si>
  <si>
    <t>Q3TXG4; Q922E2</t>
  </si>
  <si>
    <t>Adtb1</t>
  </si>
  <si>
    <t>MGI:1096368</t>
  </si>
  <si>
    <t>Acetylation; Cytoplasmic vesicle; Golgi apparatus; Membrane; Nitration; Protein transport; Transport</t>
  </si>
  <si>
    <t>Cytoplasmic vesicle; Golgi apparatus; Membrane</t>
  </si>
  <si>
    <t>Acetylation; Nitration</t>
  </si>
  <si>
    <t>basolateral protein secretion {GO:0110010}; clathrin coat assembly {GO:0048268}; determination of left/right symmetry {GO:0007368}; heart development {GO:0007507}; intracellular protein transport {GO:0006886}; kidney development {GO:0001822}; melanosome assembly {GO:1903232}; platelet dense granule organization {GO:0060155}; vesicle-mediated transport {GO:0016192}</t>
  </si>
  <si>
    <t>AP-1 adaptor complex {GO:0030121}; cytosol {GO:0005829}; early endosome {GO:0005769}; Golgi apparatus {GO:0005794}; intracellular membrane-bounded organelle {GO:0043231}; lysosomal membrane {GO:0005765}; trans-Golgi network {GO:0005802}; trans-Golgi network membrane {GO:0032588}</t>
  </si>
  <si>
    <t>clathrin binding {GO:0030276}; protein kinase binding {GO:0019901}</t>
  </si>
  <si>
    <t>MHC class II antigen presentation {R-MMU-2132295}; Lysosome Vesicle Biogenesis {R-MMU-432720}; Golgi Associated Vesicle Biogenesis {R-MMU-432722}</t>
  </si>
  <si>
    <t>sp|Q9WVK4|EHD1_MOUSE</t>
  </si>
  <si>
    <t>EH domain-containing protein 1</t>
  </si>
  <si>
    <t>PAST homolog 1 (mPAST1)</t>
  </si>
  <si>
    <t>EHD1_MOUSE</t>
  </si>
  <si>
    <t>Q9WVK4</t>
  </si>
  <si>
    <t>MGI:1341878</t>
  </si>
  <si>
    <t>Acetylation; ATP-binding; Calcium; Cell membrane; Cell projection; Cilium; Cilium biogenesis/degradation; Coiled coil; Cytoplasmic vesicle; Endosome; Membrane; Metal-binding; Nucleotide-binding; Phosphoprotein; Protein transport; Transport</t>
  </si>
  <si>
    <t>Cilium biogenesis/degradation; Protein transport; Transport</t>
  </si>
  <si>
    <t>Cell membrane; Cell projection; Cilium; Cytoplasmic vesicle; Endosome; Membrane</t>
  </si>
  <si>
    <t>ATP-binding; Calcium; Metal-binding; Nucleotide-binding</t>
  </si>
  <si>
    <t>cellular response to nerve growth factor stimulus {GO:1990090}; cholesterol homeostasis {GO:0042632}; cilium assembly {GO:0060271}; endocytic recycling {GO:0032456}; endocytosis {GO:0006897}; endosomal transport {GO:0016197}; intracellular protein transport {GO:0006886}; low-density lipoprotein particle clearance {GO:0034383}; neuron projection development {GO:0031175}; positive regulation of cholesterol storage {GO:0010886}; positive regulation of endocytic recycling {GO:2001137}; positive regulation of myoblast fusion {GO:1901741}; positive regulation of neuron projection development {GO:0010976}; protein homooligomerization {GO:0051260}; protein localization to cilium {GO:0061512}; protein localization to plasma membrane {GO:0072659}</t>
  </si>
  <si>
    <t>ciliary pocket membrane {GO:0020018}; early endosome {GO:0005769}; early endosome membrane {GO:0031901}; endocytic vesicle {GO:0030139}; endosome {GO:0005768}; endosome membrane {GO:0010008}; intracellular membrane-bounded organelle {GO:0043231}; lipid droplet {GO:0005811}; myelin sheath {GO:0043209}; perinuclear region of cytoplasm {GO:0048471}; plasma membrane {GO:0005886}; platelet dense tubular network membrane {GO:0031095}; recycling endosome membrane {GO:0055038}</t>
  </si>
  <si>
    <t>ATP binding {GO:0005524}; calcium ion binding {GO:0005509}; GTP binding {GO:0005525}; identical protein binding {GO:0042802}; small GTPase binding {GO:0031267}</t>
  </si>
  <si>
    <t>sp|P59017|B2L13_MOUSE</t>
  </si>
  <si>
    <t>Bcl-2-like protein 13 (Bcl2-L-13)</t>
  </si>
  <si>
    <t>Bcl-rambo; Protein Mil1</t>
  </si>
  <si>
    <t>B2L13_MOUSE</t>
  </si>
  <si>
    <t>P59017</t>
  </si>
  <si>
    <t>Q543S1</t>
  </si>
  <si>
    <t>Mil1</t>
  </si>
  <si>
    <t>MGI:2136959</t>
  </si>
  <si>
    <t>Apoptosis; Membrane; Mitochondrion; Phosphoprotein; Repeat; Transmembrane; Transmembrane helix</t>
  </si>
  <si>
    <t>apoptotic process {GO:0006915}; regulation of apoptotic process {GO:0042981}</t>
  </si>
  <si>
    <t>integral component of membrane {GO:0016021}; mitochondrial membrane {GO:0031966}; mitochondrion {GO:0005739}</t>
  </si>
  <si>
    <t>sp|Q8K4Z3|NNRE_MOUSE</t>
  </si>
  <si>
    <t>NAD(P)H-hydrate epimerase</t>
  </si>
  <si>
    <t>Apolipoprotein A-I-binding protein (AI-BP); NAD(P)HX epimerase</t>
  </si>
  <si>
    <t>NNRE_MOUSE</t>
  </si>
  <si>
    <t>Q8K4Z3</t>
  </si>
  <si>
    <t>Aibp; Apoa1bp</t>
  </si>
  <si>
    <t>MGI:2180167</t>
  </si>
  <si>
    <t>3D-structure; Isomerase; Lipid transport; Metal-binding; Mitochondrion; NAD; NADP; Nucleotide-binding; Phosphoprotein; Potassium; Secreted; Transit peptide; Transport</t>
  </si>
  <si>
    <t>Mitochondrion; Secreted</t>
  </si>
  <si>
    <t>Metal-binding; NAD; NADP; Nucleotide-binding; Potassium</t>
  </si>
  <si>
    <t>lipid transport {GO:0006869}; membrane raft distribution {GO:0031580}; negative regulation of angiogenesis {GO:0016525}; nicotinamide nucleotide metabolic process {GO:0046496}; regulation of cholesterol efflux {GO:0010874}; sprouting angiogenesis {GO:0002040}</t>
  </si>
  <si>
    <t>cell body {GO:0044297}; cilium {GO:0005929}; extracellular region {GO:0005576}; extracellular space {GO:0005615}; mitochondrion {GO:0005739}</t>
  </si>
  <si>
    <t>identical protein binding {GO:0042802}; metal ion binding {GO:0046872}; NADHX epimerase activity {GO:0052856}; NADPHX epimerase activity {GO:0052857}; nucleotide binding {GO:0000166}</t>
  </si>
  <si>
    <t>Nicotinamide salvaging {R-MMU-197264}</t>
  </si>
  <si>
    <t>sp|Q61581|IBP7_MOUSE</t>
  </si>
  <si>
    <t>Insulin-like growth factor-binding protein 7 (IBP-7; IGF-binding protein 7; IGFBP-7)</t>
  </si>
  <si>
    <t>MAC25 protein</t>
  </si>
  <si>
    <t>IBP7_MOUSE</t>
  </si>
  <si>
    <t>Q61581</t>
  </si>
  <si>
    <t>O88812; Q9EQW0</t>
  </si>
  <si>
    <t>Mac25</t>
  </si>
  <si>
    <t>MGI:1352480</t>
  </si>
  <si>
    <t>Cell adhesion; Disulfide bond; Glycoprotein; Growth factor binding; Immunoglobulin domain; Phosphoprotein; RNA editing; Secreted; Signal</t>
  </si>
  <si>
    <t>Immunoglobulin domain; Signal</t>
  </si>
  <si>
    <t>Growth factor binding</t>
  </si>
  <si>
    <t>cell adhesion {GO:0007155}; inner ear development {GO:0048839}; regulation of cell growth {GO:0001558}; regulation of signal transduction {GO:0009966}; regulation of steroid biosynthetic process {GO:0050810}</t>
  </si>
  <si>
    <t>collagen-containing extracellular matrix {GO:0062023}; extracellular space {GO:0005615}</t>
  </si>
  <si>
    <t>insulin-like growth factor binding {GO:0005520}</t>
  </si>
  <si>
    <t>sp|P11031|TCP4_MOUSE</t>
  </si>
  <si>
    <t>Activated RNA polymerase II transcriptional coactivator p15</t>
  </si>
  <si>
    <t>Positive cofactor 4 (PC4); SUB1 homolog; Single-stranded DNA-binding protein p9; p14</t>
  </si>
  <si>
    <t>TCP4_MOUSE</t>
  </si>
  <si>
    <t>P11031</t>
  </si>
  <si>
    <t>Q3UJR5; Q543N2</t>
  </si>
  <si>
    <t>Pc4; Rpo2tc1</t>
  </si>
  <si>
    <t>MGI:104811</t>
  </si>
  <si>
    <t>Acetylation; Activator; DNA-binding; Isopeptide bond; Nucleus; Phosphoprotein; Transcription; Transcription regulation; Ubl conjugation</t>
  </si>
  <si>
    <t>negative regulation of DNA metabolic process {GO:0051053}; positive regulation of transcription initiation by RNA polymerase II {GO:0060261}; protein homooligomerization {GO:0051260}; regulation of transcription by RNA polymerase II {GO:0006357}; RNA polymerase II promoter clearance {GO:0001111}; SMAD protein signal transduction {GO:0060395}</t>
  </si>
  <si>
    <t>nucleolus {GO:0005730}; nucleoplasm {GO:0005654}; nucleus {GO:0005634}; transcription regulator complex {GO:0005667}</t>
  </si>
  <si>
    <t>DNA helicase activity {GO:0003678}; DNA-binding transcription factor binding {GO:0140297}; identical protein binding {GO:0042802}; RNA polymerase II cis-regulatory region sequence-specific DNA binding {GO:0000978}; single-stranded DNA binding {GO:0003697}; transcription coactivator activity {GO:0003713}</t>
  </si>
  <si>
    <t>sp|P51150|RAB7A_MOUSE</t>
  </si>
  <si>
    <t>Ras-related protein Rab-7a</t>
  </si>
  <si>
    <t>RAB7A_MOUSE</t>
  </si>
  <si>
    <t>P51150</t>
  </si>
  <si>
    <t>Rab7</t>
  </si>
  <si>
    <t>MGI:105068</t>
  </si>
  <si>
    <t>3D-structure; Acetylation; Autophagy; Cytoplasmic vesicle; Endosome; GTP-binding; Hydrolase; Lipid degradation; Lipid droplet; Lipid metabolism; Lipoprotein; Lysosome; Membrane; Methylation; Mitochondrion; Nucleotide-binding; Phosphoprotein; Prenylation; Protein transport; Transport</t>
  </si>
  <si>
    <t>Autophagy; Lipid degradation; Lipid metabolism; Protein transport; Transport</t>
  </si>
  <si>
    <t>Cytoplasmic vesicle; Endosome; Lipid droplet; Lysosome; Membrane; Mitochondrion</t>
  </si>
  <si>
    <t>autophagosome assembly {GO:0000045}; bone resorption {GO:0045453}; early endosome to late endosome transport {GO:0045022}; endosome to lysosome transport {GO:0008333}; endosome to plasma membrane protein transport {GO:0099638}; epidermal growth factor catabolic process {GO:0007174}; establishment of vesicle localization {GO:0051650}; intracellular protein transport {GO:0006886}; intracellular transport {GO:0046907}; lipid catabolic process {GO:0016042}; lipophagy {GO:0061724}; negative regulation of exosomal secretion {GO:1903542}; phagosome acidification {GO:0090383}; phagosome-lysosome fusion {GO:0090385}; positive regulation of exosomal secretion {GO:1903543}; positive regulation of protein catabolic process {GO:0045732}; positive regulation of viral process {GO:0048524}; protein targeting to lysosome {GO:0006622}; protein to membrane docking {GO:0022615}; response to bacterium {GO:0009617}; retrograde transport, endosome to Golgi {GO:0042147}; viral release from host cell {GO:0019076}</t>
  </si>
  <si>
    <t>alveolar lamellar body {GO:0097208}; anchored component of synaptic vesicle membrane {GO:0098993}; autophagosome membrane {GO:0000421}; cytoplasm {GO:0005737}; cytoplasmic vesicle {GO:0031410}; cytosol {GO:0005829}; endosome {GO:0005768}; endosome membrane {GO:0010008}; extrinsic component of lysosome membrane {GO:0032419}; Golgi apparatus {GO:0005794}; late endosome {GO:0005770}; late endosome membrane {GO:0031902}; lipid droplet {GO:0005811}; lysosome {GO:0005764}; melanosome membrane {GO:0033162}; mitochondrial membrane {GO:0031966}; mitochondrion {GO:0005739}; phagocytic vesicle {GO:0045335}; phagocytic vesicle membrane {GO:0030670}; phagophore assembly site membrane {GO:0034045}; retromer complex {GO:0030904}</t>
  </si>
  <si>
    <t>G protein activity {GO:0003925}; GDP binding {GO:0019003}; GTP binding {GO:0005525}; GTPase activity {GO:0003924}; retromer complex binding {GO:1905394}; small GTPase binding {GO:0031267}</t>
  </si>
  <si>
    <t>MHC class II antigen presentation {R-MMU-2132295}; Neutrophil degranulation {R-MMU-6798695}; TBC/RABGAPs {R-MMU-8854214}; RAB geranylgeranylation {R-MMU-8873719}; RAB GEFs exchange GTP for GDP on RABs {R-MMU-8876198}; RAC1 GTPase cycle {R-MMU-9013149}; RAC2 GTPase cycle {R-MMU-9013404}; RHOD GTPase cycle {R-MMU-9013405}; RHOQ GTPase cycle {R-MMU-9013406}; RHOH GTPase cycle {R-MMU-9013407}; RHOG GTPase cycle {R-MMU-9013408}; RAC3 GTPase cycle {R-MMU-9013423}; RHOF GTPase cycle {R-MMU-9035034}</t>
  </si>
  <si>
    <t>sp|Q9Z0N1|IF2G_MOUSE</t>
  </si>
  <si>
    <t>Eukaryotic translation initiation factor 2 subunit 3, X-linked</t>
  </si>
  <si>
    <t>Eukaryotic translation initiation factor 2 subunit gamma, X-linked (eIF-2-gamma X)</t>
  </si>
  <si>
    <t>IF2G_MOUSE</t>
  </si>
  <si>
    <t>Q9Z0N1</t>
  </si>
  <si>
    <t>MGI:1349431</t>
  </si>
  <si>
    <t>Acetylation; GTP-binding; Hydrolase; Initiation factor; Nucleotide-binding; Phosphoprotein; Protein biosynthesis</t>
  </si>
  <si>
    <t>formation of translation preinitiation complex {GO:0001731}; positive regulation of translational fidelity {GO:0045903}; translational initiation {GO:0006413}</t>
  </si>
  <si>
    <t>GTP binding {GO:0005525}; GTPase activity {GO:0003924}; translation factor activity, RNA binding {GO:0008135}; translation initiation factor activity {GO:0003743}; tRNA binding {GO:0000049}</t>
  </si>
  <si>
    <t>sp|Q9Z1F9|SAE2_MOUSE</t>
  </si>
  <si>
    <t>SUMO-activating enzyme subunit 2</t>
  </si>
  <si>
    <t>Anthracycline-associated resistance ARX; Ubiquitin-like 1-activating enzyme E1B; Ubiquitin-like modifier-activating enzyme 2</t>
  </si>
  <si>
    <t>SAE2_MOUSE</t>
  </si>
  <si>
    <t>Q9Z1F9</t>
  </si>
  <si>
    <t>Q3TQN3; Q3U819; Q3U9J5; Q8BVX9</t>
  </si>
  <si>
    <t>Sae2; Uble1b</t>
  </si>
  <si>
    <t>MGI:1858313</t>
  </si>
  <si>
    <t>Acetylation; ATP-binding; Cytoplasm; Isopeptide bond; Metal-binding; Nucleotide-binding; Nucleus; Phosphoprotein; Transferase; Ubl conjugation; Ubl conjugation pathway; Zinc</t>
  </si>
  <si>
    <t>positive regulation of protein sumoylation {GO:0033235}; protein modification by small protein conjugation {GO:0032446}; protein sumoylation {GO:0016925}</t>
  </si>
  <si>
    <t>ATP binding {GO:0005524}; magnesium ion binding {GO:0000287}; protein heterodimerization activity {GO:0046982}; small protein activating enzyme binding {GO:0044388}; SUMO activating enzyme activity {GO:0019948}; SUMO binding {GO:0032183}; transferase activity {GO:0016740}; ubiquitin-like protein conjugating enzyme binding {GO:0044390}</t>
  </si>
  <si>
    <t>sp|Q62188|DPYL3_MOUSE</t>
  </si>
  <si>
    <t>Dihydropyrimidinase-related protein 3 (DRP-3)</t>
  </si>
  <si>
    <t>Unc-33-like phosphoprotein 1 (ULIP-1)</t>
  </si>
  <si>
    <t>DPYL3_MOUSE</t>
  </si>
  <si>
    <t>Q62188</t>
  </si>
  <si>
    <t>Drp3; Ulip</t>
  </si>
  <si>
    <t>MGI:1349762</t>
  </si>
  <si>
    <t>Cell projection; Cytoplasm; Phosphoprotein</t>
  </si>
  <si>
    <t>actin crosslink formation {GO:0051764}; actin filament bundle assembly {GO:0051017}; cellular response to cytokine stimulus {GO:0071345}; negative regulation of cell migration {GO:0030336}; negative regulation of neuron projection development {GO:0010977}; nervous system development {GO:0007399}; positive regulation of filopodium assembly {GO:0051491}; positive regulation of neuron projection development {GO:0010976}; response to axon injury {GO:0048678}</t>
  </si>
  <si>
    <t>cell body {GO:0044297}; cytosol {GO:0005829}; exocytic vesicle {GO:0070382}; extracellular space {GO:0005615}; filamentous actin {GO:0031941}; growth cone {GO:0030426}; lamellipodium {GO:0030027}; synapse {GO:0045202}</t>
  </si>
  <si>
    <t>chondroitin sulfate binding {GO:0035374}; filamin binding {GO:0031005}; hydrolase activity, acting on carbon-nitrogen (but not peptide) bonds {GO:0016810}; identical protein binding {GO:0042802}; phosphoprotein binding {GO:0051219}; SH3 domain binding {GO:0017124}</t>
  </si>
  <si>
    <t>CRMPs in Sema3A signaling {R-MMU-399956}</t>
  </si>
  <si>
    <t>sp|P62821|RAB1A_MOUSE</t>
  </si>
  <si>
    <t>Ras-related protein Rab-1A</t>
  </si>
  <si>
    <t>YPT1-related protein</t>
  </si>
  <si>
    <t>RAB1A_MOUSE</t>
  </si>
  <si>
    <t>P62821</t>
  </si>
  <si>
    <t>P11476; Q3TX44; Q811M4; Q96N61; Q9Y3T2</t>
  </si>
  <si>
    <t>Rab1</t>
  </si>
  <si>
    <t>MGI:97842</t>
  </si>
  <si>
    <t>Acetylation; Autophagy; Cytoplasm; Endoplasmic reticulum; Endosome; ER-Golgi transport; Golgi apparatus; GTP-binding; Hydrolase; Lipoprotein; Membrane; Nucleotide-binding; Phosphoprotein; Prenylation; Protein transport; Transport</t>
  </si>
  <si>
    <t>Autophagy; ER-Golgi transport; Protein transport; Transport</t>
  </si>
  <si>
    <t>Cytoplasm; Endoplasmic reticulum; Endosome; Golgi apparatus; Membrane</t>
  </si>
  <si>
    <t>Acetylation; Lipoprotein; Phosphoprotein; Prenylation</t>
  </si>
  <si>
    <t>acrosome assembly {GO:0001675}; autophagosome assembly {GO:0000045}; autophagy {GO:0006914}; cell migration {GO:0016477}; COPII-coated vesicle cargo loading {GO:0090110}; defense response to bacterium {GO:0042742}; endocytosis {GO:0006897}; endoplasmic reticulum to Golgi vesicle-mediated transport {GO:0006888}; Golgi organization {GO:0007030}; growth hormone secretion {GO:0030252}; intracellular protein transport {GO:0006886}; melanosome transport {GO:0032402}; positive regulation of glycoprotein metabolic process {GO:1903020}; positive regulation of interleukin-8 production {GO:0032757}; substrate adhesion-dependent cell spreading {GO:0034446}; vesicle transport along microtubule {GO:0047496}; virion assembly {GO:0019068}</t>
  </si>
  <si>
    <t>cytosol {GO:0005829}; early endosome {GO:0005769}; endoplasmic reticulum membrane {GO:0005789}; Golgi apparatus {GO:0005794}; Golgi membrane {GO:0000139}; melanosome {GO:0042470}; neuronal cell body {GO:0043025}; presynapse {GO:0098793}</t>
  </si>
  <si>
    <t>G protein activity {GO:0003925}; GTP binding {GO:0005525}; GTPase activity {GO:0003924}</t>
  </si>
  <si>
    <t>Golgi Cisternae Pericentriolar Stack Reorganization {R-MMU-162658}; COPII-mediated vesicle transport {R-MMU-204005}; COPI-mediated anterograde transport {R-MMU-6807878}; COPI-dependent Golgi-to-ER retrograde traffic {R-MMU-6811434}; RAB geranylgeranylation {R-MMU-8873719}; RAB GEFs exchange GTP for GDP on RABs {R-MMU-8876198}</t>
  </si>
  <si>
    <t>sp|P46061|RAGP1_MOUSE</t>
  </si>
  <si>
    <t>Ran GTPase-activating protein 1 (RanGAP1)</t>
  </si>
  <si>
    <t>RAGP1_MOUSE</t>
  </si>
  <si>
    <t>P46061</t>
  </si>
  <si>
    <t>Q60801; Q6NZB5</t>
  </si>
  <si>
    <t>Fug1</t>
  </si>
  <si>
    <t>MGI:103071</t>
  </si>
  <si>
    <t>3D-structure; Acetylation; Centromere; Chromosome; Cytoplasm; Cytoskeleton; GTPase activation; Isopeptide bond; Kinetochore; Leucine-rich repeat; Nucleus; Phosphoprotein; Repeat; Ubl conjugation</t>
  </si>
  <si>
    <t>Centromere; Chromosome; Cytoplasm; Cytoskeleton; Kinetochore; Nucleus</t>
  </si>
  <si>
    <t>activation of GTPase activity {GO:0090630}; cellular response to peptide hormone stimulus {GO:0071375}; cellular response to vasopressin {GO:1904117}; negative regulation of protein export from nucleus {GO:0046826}; nuclear export {GO:0051168}; nucleocytoplasmic transport {GO:0006913}; protein sumoylation {GO:0016925}; response to axon injury {GO:0048678}; signal transduction {GO:0007165}</t>
  </si>
  <si>
    <t>aggresome {GO:0016235}; axon cytoplasm {GO:1904115}; cytoplasm {GO:0005737}; cytoplasmic periphery of the nuclear pore complex {GO:1990723}; cytosol {GO:0005829}; dendrite {GO:0030425}; intracellular membrane-bounded organelle {GO:0043231}; kinetochore {GO:0000776}; mitotic spindle {GO:0072686}; nuclear envelope {GO:0005635}; nuclear membrane {GO:0031965}; nuclear pore {GO:0005643}; nuclear pore cytoplasmic filaments {GO:0044614}; nucleoplasm {GO:0005654}; nucleus {GO:0005634}; perinuclear region of cytoplasm {GO:0048471}; SUMO ligase complex {GO:0106068}</t>
  </si>
  <si>
    <t>GTPase activator activity {GO:0005096}; RNA binding {GO:0003723}; small GTPase binding {GO:0031267}; ubiquitin protein ligase binding {GO:0031625}</t>
  </si>
  <si>
    <t>Amplification of signal from unattached kinetochores via a MAD2 inhibitory signal {R-MMU-141444}; Separation of Sister Chromatids {R-MMU-2467813}; Resolution of Sister Chromatid Cohesion {R-MMU-2500257}; SUMO E3 ligases SUMOylate target proteins {R-MMU-3108232}; SUMOylation of DNA replication proteins {R-MMU-4615885}; RHO GTPases Activate Formins {R-MMU-5663220}; Mitotic Prometaphase {R-MMU-68877}; Postmitotic nuclear pore complex (NPC) reformation {R-MMU-9615933}; EML4 and NUDC in mitotic spindle formation {R-MMU-9648025}</t>
  </si>
  <si>
    <t>sp|D3Z7P3|GLSK_MOUSE</t>
  </si>
  <si>
    <t>Glutaminase kidney isoform, mitochondrial 65 kDa chain (GLS)</t>
  </si>
  <si>
    <t>GLSK_MOUSE</t>
  </si>
  <si>
    <t>D3Z7P3</t>
  </si>
  <si>
    <t>E9PUF0; Q69ZX9</t>
  </si>
  <si>
    <t>Gls1; Kiaa0838</t>
  </si>
  <si>
    <t>MGI:95752</t>
  </si>
  <si>
    <t>3D-structure; Acetylation; Alternative splicing; ANK repeat; Cytoplasm; Hydrolase; Mitochondrion; Phosphoprotein; Repeat; Transit peptide</t>
  </si>
  <si>
    <t>ANK repeat; Repeat; Transit peptide</t>
  </si>
  <si>
    <t>chemical synaptic transmission {GO:0007268}; glutamate biosynthetic process {GO:0006537}; glutamate homeostasis {GO:0090461}; glutamine catabolic process {GO:0006543}; protein homotetramerization {GO:0051289}; regulation of respiratory gaseous exchange by nervous system process {GO:0002087}; suckling behavior {GO:0001967}</t>
  </si>
  <si>
    <t>cytosol {GO:0005829}; mitochondrial matrix {GO:0005759}; mitochondrion {GO:0005739}; synapse {GO:0045202}</t>
  </si>
  <si>
    <t>glutaminase activity {GO:0004359}; identical protein binding {GO:0042802}</t>
  </si>
  <si>
    <t>Glutamate Neurotransmitter Release Cycle {R-MMU-210500}; TP53 Regulates Metabolic Genes {R-MMU-5628897}; Glutamate and glutamine metabolism {R-MMU-8964539}</t>
  </si>
  <si>
    <t>sp|Q06138|CAB39_MOUSE</t>
  </si>
  <si>
    <t>Calcium-binding protein 39</t>
  </si>
  <si>
    <t>MO25alpha; Protein Mo25</t>
  </si>
  <si>
    <t>CAB39_MOUSE</t>
  </si>
  <si>
    <t>Q06138</t>
  </si>
  <si>
    <t>Q8VDZ8</t>
  </si>
  <si>
    <t>Mo25</t>
  </si>
  <si>
    <t>MGI:107438</t>
  </si>
  <si>
    <t>activation of protein kinase activity {GO:0032147}; intracellular signal transduction {GO:0035556}; peptidyl-serine phosphorylation {GO:0018105}; positive regulation of peptidyl-threonine phosphorylation {GO:0010800}; positive regulation of protein serine/threonine kinase activity {GO:0071902}; response to activity {GO:0014823}; response to thyroid hormone {GO:0097066}; signal transduction {GO:0007165}</t>
  </si>
  <si>
    <t>cytoplasm {GO:0005737}; cytosol {GO:0005829}; membrane {GO:0016020}; protein-containing complex {GO:0032991}; serine/threonine protein kinase complex {GO:1902554}; Z disc {GO:0030018}</t>
  </si>
  <si>
    <t>calcium ion binding {GO:0005509}; kinase binding {GO:0019900}; protein kinase activator activity {GO:0030295}; protein serine/threonine kinase activator activity {GO:0043539}</t>
  </si>
  <si>
    <t>Energy dependent regulation of mTOR by LKB1-AMPK {R-MMU-380972}; Neutrophil degranulation {R-MMU-6798695}</t>
  </si>
  <si>
    <t>sp|Q9R0Q6|ARC1A_MOUSE</t>
  </si>
  <si>
    <t>Actin-related protein 2/3 complex subunit 1A</t>
  </si>
  <si>
    <t>SOP2-like protein; Sid 329</t>
  </si>
  <si>
    <t>ARC1A_MOUSE</t>
  </si>
  <si>
    <t>Q9R0Q6</t>
  </si>
  <si>
    <t>Q3UL75</t>
  </si>
  <si>
    <t>Sid329</t>
  </si>
  <si>
    <t>MGI:1928896</t>
  </si>
  <si>
    <t>Actin-binding; Cytoplasm; Cytoskeleton; Nucleus; Repeat; WD repeat</t>
  </si>
  <si>
    <t>Arp2/3 complex-mediated actin nucleation {GO:0034314}; regulation of actin filament polymerization {GO:0030833}</t>
  </si>
  <si>
    <t>Arp2/3 protein complex {GO:0005885}; cytoplasm {GO:0005737}; muscle cell projection membrane {GO:0036195}; nucleus {GO:0005634}; site of double-strand break {GO:0035861}</t>
  </si>
  <si>
    <t>sp|Q6IRU2|TPM4_MOUSE</t>
  </si>
  <si>
    <t>Tropomyosin alpha-4 chain</t>
  </si>
  <si>
    <t>Tropomyosin-4</t>
  </si>
  <si>
    <t>TPM4_MOUSE</t>
  </si>
  <si>
    <t>Q6IRU2</t>
  </si>
  <si>
    <t>MGI:2449202</t>
  </si>
  <si>
    <t>Acetylation; Actin-binding; Calcium; Coiled coil; Cytoplasm; Cytoskeleton; Metal-binding; Muscle protein; Phosphoprotein</t>
  </si>
  <si>
    <t>Actin-binding; Muscle protein</t>
  </si>
  <si>
    <t>actin filament organization {GO:0007015}; muscle contraction {GO:0006936}</t>
  </si>
  <si>
    <t>actin cytoskeleton {GO:0015629}; actin filament {GO:0005884}; cortical cytoskeleton {GO:0030863}; cytoplasm {GO:0005737}; podosome {GO:0002102}; stress fiber {GO:0001725}</t>
  </si>
  <si>
    <t>actin filament binding {GO:0051015}; identical protein binding {GO:0042802}; metal ion binding {GO:0046872}; protein heterodimerization activity {GO:0046982}; protein homodimerization activity {GO:0042803}</t>
  </si>
  <si>
    <t>Striated Muscle Contraction {R-MMU-390522}; Smooth Muscle Contraction {R-MMU-445355}; RHOV GTPase cycle {R-MMU-9013424}</t>
  </si>
  <si>
    <t>sp|P29699|FETUA_MOUSE</t>
  </si>
  <si>
    <t>Alpha-2-HS-glycoprotein</t>
  </si>
  <si>
    <t>Countertrypin; Fetuin-A</t>
  </si>
  <si>
    <t>FETUA_MOUSE</t>
  </si>
  <si>
    <t>P29699</t>
  </si>
  <si>
    <t>O35634</t>
  </si>
  <si>
    <t>Fetua</t>
  </si>
  <si>
    <t>MGI:107189</t>
  </si>
  <si>
    <t>Disulfide bond; Glycoprotein; Phosphoprotein; Repeat; Secreted; Signal</t>
  </si>
  <si>
    <t>acute-phase response {GO:0006953}; male gonad development {GO:0008584}; negative regulation of bone mineralization {GO:0030502}; negative regulation of cell growth {GO:0030308}; negative regulation of endopeptidase activity {GO:0010951}; negative regulation of insulin receptor signaling pathway {GO:0046627}; ossification {GO:0001503}; positive regulation of bone resorption {GO:0045780}; positive regulation of phagocytosis {GO:0050766}; protein-containing complex assembly {GO:0065003}; regulation of inflammatory response {GO:0050727}</t>
  </si>
  <si>
    <t>collagen-containing extracellular matrix {GO:0062023}; extracellular matrix {GO:0031012}; extracellular region {GO:0005576}; extracellular space {GO:0005615}; Golgi apparatus {GO:0005794}; protein-containing complex {GO:0032991}</t>
  </si>
  <si>
    <t>cysteine-type endopeptidase inhibitor activity {GO:0004869}; endopeptidase inhibitor activity {GO:0004866}; receptor signaling protein tyrosine kinase inhibitor activity {GO:0030294}</t>
  </si>
  <si>
    <t>Platelet degranulation {R-MMU-114608}; Regulation of Insulin-like Growth Factor (IGF) transport and uptake by Insulin-like Growth Factor Binding Proteins (IGFBPs) {R-MMU-381426}; Neutrophil degranulation {R-MMU-6798695}; Post-translational protein phosphorylation {R-MMU-8957275}</t>
  </si>
  <si>
    <t>sp|Q9D8S4|ORN_MOUSE</t>
  </si>
  <si>
    <t>Oligoribonuclease, mitochondrial</t>
  </si>
  <si>
    <t>RNA exonuclease 2 homolog; Small fragment nuclease</t>
  </si>
  <si>
    <t>ORN_MOUSE</t>
  </si>
  <si>
    <t>Q9D8S4</t>
  </si>
  <si>
    <t>Smfn</t>
  </si>
  <si>
    <t>MGI:1888981</t>
  </si>
  <si>
    <t>Acetylation; Cytoplasm; Exonuclease; Hydrolase; Magnesium; Manganese; Metal-binding; Mitochondrion; Nuclease; Nucleus; Phosphoprotein; Transit peptide</t>
  </si>
  <si>
    <t>Magnesium; Manganese; Metal-binding</t>
  </si>
  <si>
    <t>Exonuclease; Hydrolase; Nuclease</t>
  </si>
  <si>
    <t>nucleobase-containing compound metabolic process {GO:0006139}</t>
  </si>
  <si>
    <t>cytoplasm {GO:0005737}; focal adhesion {GO:0005925}; mitochondrial intermembrane space {GO:0005758}; mitochondrial matrix {GO:0005759}; mitochondrion {GO:0005739}; nucleolus {GO:0005730}; nucleus {GO:0005634}</t>
  </si>
  <si>
    <t>3'-5' exonuclease activity {GO:0008408}; 3'-5'-exodeoxyribonuclease activity {GO:0008296}; 3'-5'-exoribonuclease activity {GO:0000175}; magnesium ion binding {GO:0000287}; nucleic acid binding {GO:0003676}</t>
  </si>
  <si>
    <t>sp|P09671|SODM_MOUSE</t>
  </si>
  <si>
    <t>Superoxide dismutase [Mn], mitochondrial</t>
  </si>
  <si>
    <t>SODM_MOUSE</t>
  </si>
  <si>
    <t>P09671</t>
  </si>
  <si>
    <t>Q64670; Q8VEM5</t>
  </si>
  <si>
    <t>Sod-2</t>
  </si>
  <si>
    <t>MGI:98352</t>
  </si>
  <si>
    <t>Acetylation; Manganese; Metal-binding; Mitochondrion; Nitration; Oxidoreductase; Transit peptide; Ubl conjugation</t>
  </si>
  <si>
    <t>Acetylation; Nitration; Ubl conjugation</t>
  </si>
  <si>
    <t>acetylcholine-mediated vasodilation involved in regulation of systemic arterial blood pressure {GO:0003069}; aging {GO:0007568}; apoptotic mitochondrial changes {GO:0008637}; cellular response to ethanol {GO:0071361}; cellular response to oxidative stress {GO:0034599}; detection of oxygen {GO:0003032}; erythrophore differentiation {GO:0048773}; glutathione metabolic process {GO:0006749}; heart development {GO:0007507}; hemopoiesis {GO:0030097}; hydrogen peroxide biosynthetic process {GO:0050665}; hydrogen peroxide metabolic process {GO:0042743}; intrinsic apoptotic signaling pathway in response to DNA damage {GO:0008630}; intrinsic apoptotic signaling pathway in response to oxidative stress {GO:0008631}; iron ion homeostasis {GO:0055072}; liver development {GO:0001889}; locomotory behavior {GO:0007626}; mitochondrion organization {GO:0007005}; negative regulation of apoptotic process {GO:0043066}; negative regulation of cell population proliferation {GO:0008285}; negative regulation of fat cell differentiation {GO:0045599}; negative regulation of fibroblast proliferation {GO:0048147}; negative regulation of membrane hyperpolarization {GO:1902631}; negative regulation of neuron apoptotic process {GO:0043524}; negative regulation of oxidative stress-induced intrinsic apoptotic signaling pathway {GO:1902176}; negative regulation of vascular associated smooth muscle cell proliferation {GO:1904706}; neuron development {GO:0048666}; oxygen homeostasis {GO:0032364}; positive regulation of cell migration {GO:0030335}; positive regulation of hydrogen peroxide biosynthetic process {GO:0010729}; positive regulation of nitric oxide biosynthetic process {GO:0045429}; positive regulation of vascular associated smooth muscle cell apoptotic process {GO:1905461}; positive regulation of vascular associated smooth muscle cell differentiation involved in phenotypic switching {GO:1905932}; post-embryonic development {GO:0009791}; protein homotetramerization {GO:0051289}; regulation of blood pressure {GO:0008217}; regulation of catalytic activity {GO:0050790}; regulation of mitochondrial membrane potential {GO:0051881}; regulation of transcription by RNA polymerase II {GO:0006357}; release of cytochrome c from mitochondria {GO:0001836}; removal of superoxide radicals {GO:0019430}; respiratory electron transport chain {GO:0022904}; response to activity {GO:0014823}; response to axon injury {GO:0048678}; response to cadmium ion {GO:0046686}; response to cold {GO:0009409}; response to electrical stimulus {GO:0051602}; response to gamma radiation {GO:0010332}; response to hydrogen peroxide {GO:0042542}; response to hyperoxia {GO:0055093}; response to hypoxia {GO:0001666}; response to immobilization stress {GO:0035902}; response to isolation stress {GO:0035900}; response to L-ascorbic acid {GO:0033591}; response to lipopolysaccharide {GO:0032496}; response to magnetism {GO:0071000}; response to manganese ion {GO:0010042}; response to nutrient levels {GO:0031667}; response to oxidative stress {GO:0006979}; response to reactive oxygen species {GO:0000302}; response to selenium ion {GO:0010269}; response to silicon dioxide {GO:0034021}; response to superoxide {GO:0000303}; response to xenobiotic stimulus {GO:0009410}; response to zinc ion {GO:0010043}; superoxide anion generation {GO:0042554}; superoxide metabolic process {GO:0006801}; vasodilation {GO:0042311}</t>
  </si>
  <si>
    <t>cytoplasm {GO:0005737}; mitochondrial inner membrane {GO:0005743}; mitochondrial matrix {GO:0005759}; mitochondrial nucleoid {GO:0042645}; mitochondrion {GO:0005739}; myelin sheath {GO:0043209}</t>
  </si>
  <si>
    <t>DNA binding {GO:0003677}; enzyme binding {GO:0019899}; identical protein binding {GO:0042802}; manganese ion binding {GO:0030145}; oxidoreductase activity {GO:0016491}; oxygen binding {GO:0019825}; superoxide dismutase activity {GO:0004784}</t>
  </si>
  <si>
    <t>Transcriptional activation of mitochondrial biogenesis {R-MMU-2151201}; Detoxification of Reactive Oxygen Species {R-MMU-3299685}</t>
  </si>
  <si>
    <t>sp|Q8BP92|RCN2_MOUSE</t>
  </si>
  <si>
    <t>Reticulocalbin-2</t>
  </si>
  <si>
    <t>Taipoxin-associated calcium-binding protein 49 (TCBP-49)</t>
  </si>
  <si>
    <t>RCN2_MOUSE</t>
  </si>
  <si>
    <t>Q8BP92</t>
  </si>
  <si>
    <t>A2RT07; O70341</t>
  </si>
  <si>
    <t>MGI:1349765</t>
  </si>
  <si>
    <t>Calcium; Endoplasmic reticulum; Metal-binding; Phosphoprotein; Repeat; Signal</t>
  </si>
  <si>
    <t>endoplasmic reticulum {GO:0005783}; endoplasmic reticulum lumen {GO:0005788}; nucleolus {GO:0005730}</t>
  </si>
  <si>
    <t>sp|Q06770|CBG_MOUSE</t>
  </si>
  <si>
    <t>Corticosteroid-binding globulin (CBG)</t>
  </si>
  <si>
    <t>Serpin A6; Transcortin</t>
  </si>
  <si>
    <t>CBG_MOUSE</t>
  </si>
  <si>
    <t>Q06770</t>
  </si>
  <si>
    <t>Cbg</t>
  </si>
  <si>
    <t>MGI:88278</t>
  </si>
  <si>
    <t>Glycoprotein; Lipid-binding; Secreted; Signal; Steroid-binding; Transport</t>
  </si>
  <si>
    <t>Lipid-binding; Steroid-binding</t>
  </si>
  <si>
    <t>glucocorticoid metabolic process {GO:0008211}; negative regulation of endopeptidase activity {GO:0010951}</t>
  </si>
  <si>
    <t>extracellular space {GO:0005615}</t>
  </si>
  <si>
    <t>serine-type endopeptidase inhibitor activity {GO:0004867}; steroid binding {GO:0005496}</t>
  </si>
  <si>
    <t>Glucocorticoid biosynthesis {R-MMU-194002}</t>
  </si>
  <si>
    <t>sp|P48437|PROX1_MOUSE</t>
  </si>
  <si>
    <t>Prospero homeobox protein 1</t>
  </si>
  <si>
    <t>Homeobox prospero-like protein PROX1 (PROX-1)</t>
  </si>
  <si>
    <t>PROX1_MOUSE</t>
  </si>
  <si>
    <t>P48437</t>
  </si>
  <si>
    <t>O88478; Q3UPV1; Q543D8</t>
  </si>
  <si>
    <t>MGI:97772</t>
  </si>
  <si>
    <t>Biological rhythms; Developmental protein; DNA-binding; Homeobox; Isopeptide bond; Nucleus; Phosphoprotein; Repressor; Transcription; Transcription regulation; Ubl conjugation</t>
  </si>
  <si>
    <t>Homeobox</t>
  </si>
  <si>
    <t>DNA-binding; Developmental protein; Repressor</t>
  </si>
  <si>
    <t>acinar cell differentiation {GO:0090425}; aorta smooth muscle tissue morphogenesis {GO:0060414}; atrial cardiac muscle tissue morphogenesis {GO:0055009}; blood vessel endothelial cell differentiation {GO:0060837}; branching involved in pancreas morphogenesis {GO:0061114}; cell population proliferation {GO:0008283}; cerebellar granule cell differentiation {GO:0021707}; circadian rhythm {GO:0007623}; dentate gyrus development {GO:0021542}; embryonic retina morphogenesis in camera-type eye {GO:0060059}; endocardium formation {GO:0060214}; epithelial cell migration {GO:0010631}; hepatocyte cell migration {GO:0002194}; hepatocyte differentiation {GO:0070365}; hepatocyte proliferation {GO:0072574}; inner ear development {GO:0048839}; kidney development {GO:0001822}; lens fiber cell morphogenesis {GO:0070309}; lens morphogenesis in camera-type eye {GO:0002089}; lens placode formation involved in camera-type eye formation {GO:0046619}; lung development {GO:0030324}; lymph vessel development {GO:0001945}; lymphangiogenesis {GO:0001946}; lymphatic endothelial cell differentiation {GO:0060836}; lymphatic endothelial cell fate commitment {GO:0060838}; negative regulation of bile acid biosynthetic process {GO:0070858}; negative regulation of cell population proliferation {GO:0008285}; negative regulation of DNA-binding transcription factor activity {GO:0043433}; negative regulation of DNA-templated transcription {GO:0045892}; negative regulation of neuroblast proliferation {GO:0007406}; negative regulation of transcription by RNA polymerase II {GO:0000122}; negative regulation of viral genome replication {GO:0045071}; neuroblast proliferation {GO:0007405}; neuron fate determination {GO:0048664}; neuronal stem cell population maintenance {GO:0097150}; positive regulation of cell cycle {GO:0045787}; positive regulation of cell cycle checkpoint {GO:1901978}; positive regulation of cell population proliferation {GO:0008284}; positive regulation of cyclin-dependent protein serine/threonine kinase activity {GO:0045737}; positive regulation of endothelial cell migration {GO:0010595}; positive regulation of endothelial cell proliferation {GO:0001938}; positive regulation of forebrain neuron differentiation {GO:2000979}; positive regulation of heart growth {GO:0060421}; positive regulation of neural precursor cell proliferation {GO:2000179}; positive regulation of sarcomere organization {GO:0060298}; positive regulation of transcription by RNA polymerase II {GO:0045944}; regulation of circadian rhythm {GO:0042752}; regulation of gene expression {GO:0010468}; regulation of transcription by RNA polymerase II {GO:0006357}; response to nutrient levels {GO:0031667}; skeletal muscle thin filament assembly {GO:0030240}; transcription by RNA polymerase II {GO:0006366}; venous blood vessel morphogenesis {GO:0048845}; ventricular cardiac muscle tissue morphogenesis {GO:0055010}; ventricular cardiac myofibril assembly {GO:0055005}; ventricular septum morphogenesis {GO:0060412}</t>
  </si>
  <si>
    <t>DNA binding {GO:0003677}; DNA binding domain binding {GO:0050692}; DNA-binding transcription factor activity {GO:0003700}; DNA-binding transcription factor activity, RNA polymerase II-specific {GO:0000981}; DNA-binding transcription repressor activity, RNA polymerase II-specific {GO:0001227}; LBD domain binding {GO:0050693}; nuclear receptor binding {GO:0016922}; RNA polymerase II cis-regulatory region sequence-specific DNA binding {GO:0000978}; sequence-specific DNA binding {GO:0043565}; sequence-specific double-stranded DNA binding {GO:1990837}; transcription cis-regulatory region binding {GO:0000976}</t>
  </si>
  <si>
    <t>sp|Q4VAA2|CDV3_MOUSE</t>
  </si>
  <si>
    <t>Protein CDV3</t>
  </si>
  <si>
    <t>Carnitine deficiency-associated protein 3; Tyrosine-phosphorylated protein 36 (TPP36)</t>
  </si>
  <si>
    <t>CDV3_MOUSE</t>
  </si>
  <si>
    <t>Q4VAA2</t>
  </si>
  <si>
    <t>Q6P6L7; Q920C7; Q920I4</t>
  </si>
  <si>
    <t>MGI:2448759</t>
  </si>
  <si>
    <t>Acetylation; Alternative splicing; Cytoplasm; Phosphoprotein</t>
  </si>
  <si>
    <t>sp|Q8BHG1|NRDC_MOUSE</t>
  </si>
  <si>
    <t>Nardilysin</t>
  </si>
  <si>
    <t>N-arginine dibasic convertase (NRD convertase; NRD-C); Nardilysin convertase</t>
  </si>
  <si>
    <t>NRDC_MOUSE</t>
  </si>
  <si>
    <t>Q8BHG1</t>
  </si>
  <si>
    <t>Nrd1</t>
  </si>
  <si>
    <t>MGI:1201386</t>
  </si>
  <si>
    <t>Cell projection; Hydrolase; Metal-binding; Metalloprotease; Mitochondrion; Phosphoprotein; Protease; Signal; Zinc</t>
  </si>
  <si>
    <t>Cell projection; Mitochondrion</t>
  </si>
  <si>
    <t>negative regulation of cold-induced thermogenesis {GO:0120163}; positive regulation of membrane protein ectodomain proteolysis {GO:0051044}; proteolysis {GO:0006508}; regulation of endopeptidase activity {GO:0052548}</t>
  </si>
  <si>
    <t>metal ion binding {GO:0046872}; metalloendopeptidase activity {GO:0004222}; peptidase activity {GO:0008233}</t>
  </si>
  <si>
    <t>sp|Q8CIG8|ANM5_MOUSE</t>
  </si>
  <si>
    <t>Protein arginine N-methyltransferase 5 (Prmt5)</t>
  </si>
  <si>
    <t>Histone-arginine N-methyltransferase PRMT5; Jak-binding protein 1; Shk1 kinase-binding protein 1 homolog (SKB1 homolog)</t>
  </si>
  <si>
    <t>ANM5_MOUSE</t>
  </si>
  <si>
    <t>Q8CIG8</t>
  </si>
  <si>
    <t>Q3TNN1; Q9QZS9</t>
  </si>
  <si>
    <t>Jbp1; Skb1</t>
  </si>
  <si>
    <t>MGI:1351645</t>
  </si>
  <si>
    <t>Acetylation; Biological rhythms; Chromatin regulator; Cytoplasm; Golgi apparatus; Methyltransferase; Nucleus; Repressor; S-adenosyl-L-methionine; Transcription; Transcription regulation; Transferase</t>
  </si>
  <si>
    <t>Cytoplasm; Golgi apparatus; Nucleus</t>
  </si>
  <si>
    <t>Chromatin regulator; Methyltransferase; Repressor; Transferase</t>
  </si>
  <si>
    <t>chromatin organization {GO:0006325}; circadian regulation of gene expression {GO:0032922}; DNA-templated transcription termination {GO:0006353}; endothelial cell activation {GO:0042118}; gene expression {GO:0010467}; Golgi ribbon formation {GO:0090161}; histone arginine methylation {GO:0034969}; histone H4-R3 methylation {GO:0043985}; negative regulation of cell differentiation {GO:0045596}; negative regulation of transcription by RNA polymerase II {GO:0000122}; peptidyl-arginine methylation {GO:0018216}; peptidyl-arginine N-methylation {GO:0035246}; positive regulation of adenylate cyclase-inhibiting dopamine receptor signaling pathway {GO:1904992}; positive regulation of mRNA splicing, via spliceosome {GO:0048026}; positive regulation of oligodendrocyte differentiation {GO:0048714}; protein methylation {GO:0006479}; regulation of DNA methylation {GO:0044030}; regulation of DNA-templated transcription {GO:0006355}; regulation of ERK1 and ERK2 cascade {GO:0070372}; spliceosomal snRNP assembly {GO:0000387}</t>
  </si>
  <si>
    <t>chromatin {GO:0000785}; cytoplasm {GO:0005737}; cytosol {GO:0005829}; Golgi apparatus {GO:0005794}; histone methyltransferase complex {GO:0035097}; male germ cell nucleus {GO:0001673}; methylosome {GO:0034709}; nucleoplasm {GO:0005654}; nucleus {GO:0005634}; protein-containing complex {GO:0032991}</t>
  </si>
  <si>
    <t>chromatin binding {GO:0003682}; E-box binding {GO:0070888}; histone methyltransferase activity (H4-R3 specific) {GO:0044020}; histone-arginine N-methyltransferase activity {GO:0008469}; identical protein binding {GO:0042802}; methyl-CpG binding {GO:0008327}; methyltransferase activity {GO:0008168}; p53 binding {GO:0002039}; protein heterodimerization activity {GO:0046982}; protein-arginine N-methyltransferase activity {GO:0016274}; protein-arginine omega-N symmetric methyltransferase activity {GO:0035243}; protein-containing complex binding {GO:0044877}; ribonucleoprotein complex binding {GO:0043021}; transcription corepressor activity {GO:0003714}</t>
  </si>
  <si>
    <t>snRNP Assembly {R-MMU-191859}; RMTs methylate histone arginines {R-MMU-3214858}; Regulation of TP53 Activity through Methylation {R-MMU-6804760}</t>
  </si>
  <si>
    <t>sp|Q8K0S2|ERIC5_MOUSE</t>
  </si>
  <si>
    <t>Glutamate-rich protein 5</t>
  </si>
  <si>
    <t>ERIC5_MOUSE</t>
  </si>
  <si>
    <t>Q8K0S2</t>
  </si>
  <si>
    <t>Q3TS52; Q3UX98</t>
  </si>
  <si>
    <t>MGI:2447772</t>
  </si>
  <si>
    <t>sp|P28352|APEX1_MOUSE</t>
  </si>
  <si>
    <t>DNA-(apurinic or apyrimidinic site) endonuclease, mitochondrial</t>
  </si>
  <si>
    <t>APEX nuclease (APEN); Apurinic-apyrimidinic endonuclease 1 (AP endonuclease 1); REF-1; Redox factor-1</t>
  </si>
  <si>
    <t>APEX1_MOUSE</t>
  </si>
  <si>
    <t>P28352</t>
  </si>
  <si>
    <t>Ape; Apex; Ref1</t>
  </si>
  <si>
    <t>MGI:88042</t>
  </si>
  <si>
    <t>3D-structure; Acetylation; Activator; Cleavage on pair of basic residues; Cytoplasm; Disulfide bond; DNA damage; DNA recombination; DNA repair; DNA-binding; Endonuclease; Endoplasmic reticulum; Exonuclease; Hydrolase; Magnesium; Metal-binding; Mitochondrion; Nuclease; Nucleus; Phosphoprotein; Repressor; RNA-binding; S-nitrosylation; Transcription; Transcription regulation; Ubl conjugation</t>
  </si>
  <si>
    <t>Cytoplasm; Endoplasmic reticulum; Mitochondrion; Nucleus</t>
  </si>
  <si>
    <t>Activator; DNA-binding; Endonuclease; Exonuclease; Hydrolase; Nuclease; RNA-binding; Repressor</t>
  </si>
  <si>
    <t>Acetylation; Cleavage on pair of basic residues; Disulfide bond; Phosphoprotein; S-nitrosylation; Ubl conjugation</t>
  </si>
  <si>
    <t>aging {GO:0007568}; base-excision repair {GO:0006284}; cell redox homeostasis {GO:0045454}; cellular response to cAMP {GO:0071320}; cellular response to hydrogen peroxide {GO:0070301}; cellular response to peptide hormone stimulus {GO:0071375}; DNA catabolic process, endonucleolytic {GO:0000737}; DNA demethylation {GO:0080111}; DNA recombination {GO:0006310}; DNA repair {GO:0006281}; negative regulation of smooth muscle cell migration {GO:0014912}; positive regulation of G1/S transition of mitotic cell cycle {GO:1900087}; positive regulation of transcription by RNA polymerase II {GO:0045944}; regulation of apoptotic process {GO:0042981}; regulation of mRNA stability {GO:0043488}; response to xenobiotic stimulus {GO:0009410}; telomere maintenance {GO:0000723}; telomere maintenance via base-excision repair {GO:0097698}</t>
  </si>
  <si>
    <t>centrosome {GO:0005813}; cytoplasm {GO:0005737}; endoplasmic reticulum {GO:0005783}; mitochondrion {GO:0005739}; nuclear speck {GO:0016607}; nucleolus {GO:0005730}; nucleoplasm {GO:0005654}; nucleus {GO:0005634}; perinuclear region of cytoplasm {GO:0048471}; transcription regulator complex {GO:0005667}</t>
  </si>
  <si>
    <t>3'-5' exonuclease activity {GO:0008408}; 3'-5'-exodeoxyribonuclease activity {GO:0008296}; chromatin DNA binding {GO:0031490}; class II DNA-(apurinic or apyrimidinic site) endonuclease activity {GO:0052720}; damaged DNA binding {GO:0003684}; DNA binding {GO:0003677}; DNA-(abasic site) binding {GO:0140431}; DNA-(apurinic or apyrimidinic site) endonuclease activity {GO:0003906}; double-stranded DNA 3'-5' exodeoxyribonuclease activity {GO:0008311}; double-stranded DNA exodeoxyribonuclease activity {GO:0008309}; double-stranded telomeric DNA binding {GO:0003691}; endoribonuclease activity {GO:0004521}; metal ion binding {GO:0046872}; NF-kappaB binding {GO:0051059}; oxidoreductase activity {GO:0016491}; phosphodiesterase activity, acting on 3'-phosphoglycolate-terminated DNA strands {GO:0090580}; phosphoric diester hydrolase activity {GO:0008081}; protein-containing complex binding {GO:0044877}; RNA binding {GO:0003723}; site-specific endodeoxyribonuclease activity, specific for altered base {GO:0016890}; transcription coactivator activity {GO:0003713}</t>
  </si>
  <si>
    <t>Displacement of DNA glycosylase by APEX1 {R-MMU-110357}; POLB-Dependent Long Patch Base Excision Repair {R-MMU-110362}; Resolution of AP sites via the multiple-nucleotide patch replacement pathway {R-MMU-110373}; PCNA-Dependent Long Patch Base Excision Repair {R-MMU-5651801}; Abasic sugar-phosphate removal via the single-nucleotide replacement pathway {R-MMU-73930}; Resolution of Abasic Sites (AP sites) {R-MMU-73933}</t>
  </si>
  <si>
    <t>sp|Q9D0J8|PTMS_MOUSE</t>
  </si>
  <si>
    <t>Parathymosin</t>
  </si>
  <si>
    <t>PTMS_MOUSE</t>
  </si>
  <si>
    <t>Q9D0J8</t>
  </si>
  <si>
    <t>MGI:1916452</t>
  </si>
  <si>
    <t>Acetylation; Immunity; Phosphoprotein</t>
  </si>
  <si>
    <t>immune system process {GO:0002376}; negative regulation of apoptotic process {GO:0043066}; positive regulation of transcription by RNA polymerase II {GO:0045944}</t>
  </si>
  <si>
    <t>histone binding {GO:0042393}; zinc ion binding {GO:0008270}</t>
  </si>
  <si>
    <t>sp|Q9JMH6|TRXR1_MOUSE</t>
  </si>
  <si>
    <t>Thioredoxin reductase 1, cytoplasmic (TR)</t>
  </si>
  <si>
    <t>Peroxidase TXNRD1; Thioredoxin reductase TR1</t>
  </si>
  <si>
    <t>TRXR1_MOUSE</t>
  </si>
  <si>
    <t>Q9JMH6</t>
  </si>
  <si>
    <t>Q3UEB7; Q3UK84; Q8CI31; Q99P49; Q9CSV5</t>
  </si>
  <si>
    <t>Trxr1</t>
  </si>
  <si>
    <t>MGI:1354175</t>
  </si>
  <si>
    <t>Alternative splicing; Cytoplasm; Disulfide bond; FAD; Flavoprotein; NADP; Oxidoreductase; Phosphoprotein; Redox-active center; Selenocysteine; Ubl conjugation</t>
  </si>
  <si>
    <t>Alternative splicing; Selenocysteine</t>
  </si>
  <si>
    <t>FAD; Flavoprotein; NADP</t>
  </si>
  <si>
    <t>Disulfide bond; Phosphoprotein; Ubl conjugation</t>
  </si>
  <si>
    <t>benzene-containing compound metabolic process {GO:0042537}; cell population proliferation {GO:0008283}; cell redox homeostasis {GO:0045454}; gastrulation {GO:0007369}; hydrogen peroxide catabolic process {GO:0042744}; mesoderm formation {GO:0001707}; NADPH oxidation {GO:0070995}; positive regulation of cell death {GO:0010942}; response to oxidative stress {GO:0006979}; selenocysteine metabolic process {GO:0016259}</t>
  </si>
  <si>
    <t>cytoplasm {GO:0005737}; cytosol {GO:0005829}; fibrillar center {GO:0001650}; mitochondrion {GO:0005739}; neuronal cell body {GO:0043025}; nucleoplasm {GO:0005654}; nucleus {GO:0005634}</t>
  </si>
  <si>
    <t>FAD binding {GO:0071949}; identical protein binding {GO:0042802}; mercury ion binding {GO:0045340}; NAD(P)H oxidase H2O2-forming activity {GO:0016174}; NADPH peroxidase activity {GO:0050137}; selenate reductase activity {GO:0033797}; thioredoxin-disulfide reductase activity {GO:0004791}</t>
  </si>
  <si>
    <t>Detoxification of Reactive Oxygen Species {R-MMU-3299685}; Interconversion of nucleotide di- and triphosphates {R-MMU-499943}; Metabolism of ingested MeSeO2H into MeSeH {R-MMU-5263617}; TP53 Regulates Metabolic Genes {R-MMU-5628897}</t>
  </si>
  <si>
    <t>sp|P84091|AP2M1_MOUSE</t>
  </si>
  <si>
    <t>AP-2 complex subunit mu</t>
  </si>
  <si>
    <t>AP-2 mu chain; Adaptor protein complex AP-2 subunit mu; Adaptor-related protein complex 2 subunit mu; Clathrin assembly protein complex 2 mu medium chain; Clathrin coat assembly protein AP50; Clathrin coat-associated protein AP50; Mu2-adaptin; Plasma membrane adaptor AP-2 50 kDa protein</t>
  </si>
  <si>
    <t>AP2M1_MOUSE</t>
  </si>
  <si>
    <t>P84091</t>
  </si>
  <si>
    <t>P20172; P53679</t>
  </si>
  <si>
    <t>Clapm1</t>
  </si>
  <si>
    <t>MGI:1298405</t>
  </si>
  <si>
    <t>3D-structure; Cell membrane; Coated pit; Endocytosis; Lipid-binding; Membrane; Phosphoprotein; Protein transport; Transport</t>
  </si>
  <si>
    <t>clathrin-dependent endocytosis {GO:0072583}; endocytosis {GO:0006897}; intracellular protein transport {GO:0006886}; negative regulation of protein localization to plasma membrane {GO:1903077}; positive regulation of receptor internalization {GO:0002092}; positive regulation of synaptic vesicle endocytosis {GO:1900244}; postsynaptic neurotransmitter receptor internalization {GO:0098884}; protein-containing complex assembly {GO:0065003}; receptor internalization {GO:0031623}; regulation of vesicle size {GO:0097494}; synaptic vesicle endocytosis {GO:0048488}; vesicle budding from membrane {GO:0006900}; vesicle-mediated transport {GO:0016192}</t>
  </si>
  <si>
    <t>AP-2 adaptor complex {GO:0030122}; clathrin-coated pit {GO:0005905}; cytoplasmic side of plasma membrane {GO:0009898}; cytoplasmic vesicle {GO:0031410}; glutamatergic synapse {GO:0098978}; mitochondrion {GO:0005739}; plasma membrane {GO:0005886}; postsynapse {GO:0098794}; presynapse {GO:0098793}; secretory granule {GO:0030141}</t>
  </si>
  <si>
    <t>clathrin adaptor activity {GO:0035615}; disordered domain specific binding {GO:0097718}; lipid binding {GO:0008289}; low-density lipoprotein particle receptor binding {GO:0050750}; signal sequence binding {GO:0005048}; transmembrane transporter binding {GO:0044325}</t>
  </si>
  <si>
    <t>Retrograde neurotrophin signalling {R-MMU-177504}; Gap junction degradation {R-MMU-190873}; Formation of annular gap junctions {R-MMU-196025}; MHC class II antigen presentation {R-MMU-2132295}; Trafficking of GluR2-containing AMPA receptors {R-MMU-416993}; Recycling pathway of L1 {R-MMU-437239}; WNT5A-dependent internalization of FZD4 {R-MMU-5099900}; WNT5A-dependent internalization of FZD2, FZD5 and ROR2 {R-MMU-5140745}; Cargo recognition for clathrin-mediated endocytosis {R-MMU-8856825}; Clathrin-mediated endocytosis {R-MMU-8856828}; VLDLR internalisation and degradation {R-MMU-8866427}; LDL clearance {R-MMU-8964038}</t>
  </si>
  <si>
    <t>sp|Q04750|TOP1_MOUSE</t>
  </si>
  <si>
    <t>DNA topoisomerase 1</t>
  </si>
  <si>
    <t>DNA topoisomerase I</t>
  </si>
  <si>
    <t>TOP1_MOUSE</t>
  </si>
  <si>
    <t>Q04750</t>
  </si>
  <si>
    <t>A2A4B7</t>
  </si>
  <si>
    <t>Top-1</t>
  </si>
  <si>
    <t>MGI:98788</t>
  </si>
  <si>
    <t>Acetylation; Biological rhythms; DNA-binding; Isomerase; Isopeptide bond; Nucleus; Phosphoprotein; Topoisomerase; Ubl conjugation</t>
  </si>
  <si>
    <t>Biological rhythms</t>
  </si>
  <si>
    <t>chromatin remodeling {GO:0006338}; chromosome segregation {GO:0007059}; circadian regulation of gene expression {GO:0032922}; DNA replication {GO:0006260}; DNA topological change {GO:0006265}; embryonic cleavage {GO:0040016}; peptidyl-serine phosphorylation {GO:0018105}; response to xenobiotic stimulus {GO:0009410}; rRNA transcription {GO:0009303}</t>
  </si>
  <si>
    <t>cytoplasm {GO:0005737}; dense fibrillar component {GO:0001651}; fibrillar center {GO:0001650}; male germ cell nucleus {GO:0001673}; nuclear chromosome {GO:0000228}; nucleolus {GO:0005730}; nucleoplasm {GO:0005654}; nucleus {GO:0005634}; P-body {GO:0000932}; perikaryon {GO:0043204}; protein-DNA complex {GO:0032993}</t>
  </si>
  <si>
    <t>ATP binding {GO:0005524}; chromatin binding {GO:0003682}; chromatin DNA binding {GO:0031490}; DNA binding {GO:0003677}; DNA topoisomerase type I (single strand cut, ATP-independent) activity {GO:0003917}; double-stranded DNA binding {GO:0003690}; protein domain specific binding {GO:0019904}; protein serine/threonine kinase activity {GO:0004674}; protein-containing complex binding {GO:0044877}; RNA polymerase II cis-regulatory region sequence-specific DNA binding {GO:0000978}; single-stranded DNA binding {GO:0003697}; supercoiled DNA binding {GO:0097100}</t>
  </si>
  <si>
    <t>sp|P47199|QOR_MOUSE</t>
  </si>
  <si>
    <t>Quinone oxidoreductase</t>
  </si>
  <si>
    <t>NADPH:quinone reductase; Zeta-crystallin</t>
  </si>
  <si>
    <t>QOR_MOUSE</t>
  </si>
  <si>
    <t>P47199</t>
  </si>
  <si>
    <t>Q62508; Q99L63</t>
  </si>
  <si>
    <t>MGI:88527</t>
  </si>
  <si>
    <t>Acetylation; Cytoplasm; NADP; Oxidoreductase; Phosphoprotein; RNA-binding</t>
  </si>
  <si>
    <t>Oxidoreductase; RNA-binding</t>
  </si>
  <si>
    <t>protein homotetramerization {GO:0051289}; xenobiotic catabolic process {GO:0042178}</t>
  </si>
  <si>
    <t>identical protein binding {GO:0042802}; mRNA 3'-UTR binding {GO:0003730}; NADP binding {GO:0050661}; NADPH binding {GO:0070402}; NADPH:quinone reductase activity {GO:0003960}; oxidoreductase activity, acting on the CH-OH group of donors, NAD or NADP as acceptor {GO:0016616}; zinc ion binding {GO:0008270}</t>
  </si>
  <si>
    <t>sp|Q9DBR7|MYPT1_MOUSE</t>
  </si>
  <si>
    <t>Protein phosphatase 1 regulatory subunit 12A</t>
  </si>
  <si>
    <t>Myosin phosphatase-targeting subunit 1 (Myosin phosphatase target subunit 1)</t>
  </si>
  <si>
    <t>MYPT1_MOUSE</t>
  </si>
  <si>
    <t>Q9DBR7</t>
  </si>
  <si>
    <t>Q05A74; Q8CBV2; Q99NB6</t>
  </si>
  <si>
    <t>MGI:1309528</t>
  </si>
  <si>
    <t>Alternative splicing; ANK repeat; Cytoplasm; Cytoskeleton; Hydroxylation; Phosphoprotein; Repeat</t>
  </si>
  <si>
    <t>Hydroxylation; Phosphoprotein</t>
  </si>
  <si>
    <t>cellular response to xenobiotic stimulus {GO:0071466}; centrosome cycle {GO:0007098}; mitotic cell cycle {GO:0000278}; negative regulation of catalytic activity {GO:0043086}; positive regulation of myosin-light-chain-phosphatase activity {GO:0035508}; positive regulation of transcription by RNA polymerase II {GO:0045944}; protein dephosphorylation {GO:0006470}; regulation of cell adhesion {GO:0030155}; regulation of myosin-light-chain-phosphatase activity {GO:0035507}; regulation of nucleocytoplasmic transport {GO:0046822}; signal transduction {GO:0007165}</t>
  </si>
  <si>
    <t>A band {GO:0031672}; actin cytoskeleton {GO:0015629}; centrosome {GO:0005813}; contractile fiber {GO:0043292}; cytoplasm {GO:0005737}; cytosol {GO:0005829}; kinetochore {GO:0000776}; nucleolus {GO:0005730}; plasma membrane {GO:0005886}; PTW/PP1 phosphatase complex {GO:0072357}; Z disc {GO:0030018}</t>
  </si>
  <si>
    <t>14-3-3 protein binding {GO:0071889}; enzyme inhibitor activity {GO:0004857}; phosphatase regulator activity {GO:0019208}; phosphoprotein phosphatase activity {GO:0004721}; protein kinase binding {GO:0019901}</t>
  </si>
  <si>
    <t>Regulation of PLK1 Activity at G2/M Transition {R-MMU-2565942}; RHO GTPases activate PKNs {R-MMU-5625740}; RHO GTPases activate PAKs {R-MMU-5627123}</t>
  </si>
  <si>
    <t>sp|Q6PDQ2|CHD4_MOUSE</t>
  </si>
  <si>
    <t>Chromodomain-helicase-DNA-binding protein 4 (CHD-4)</t>
  </si>
  <si>
    <t>CHD4_MOUSE</t>
  </si>
  <si>
    <t>Q6PDQ2</t>
  </si>
  <si>
    <t>MGI:1344380</t>
  </si>
  <si>
    <t>Acetylation; ATP-binding; Chromatin regulator; Cytoplasm; Cytoskeleton; DNA-binding; Helicase; Hydrolase; Isopeptide bond; Metal-binding; Nucleotide-binding; Nucleus; Phosphoprotein; Repeat; Transcription; Transcription regulation; Ubl conjugation; Zinc; Zinc-finger</t>
  </si>
  <si>
    <t>Chromatin regulator; DNA-binding; Helicase; Hydrolase</t>
  </si>
  <si>
    <t>chromatin remodeling {GO:0006338}; histone deacetylation {GO:0016575}; negative regulation of DNA-templated transcription {GO:0045892}; negative regulation of gene expression {GO:0010629}; negative regulation of transcription by RNA polymerase II {GO:0000122}; positive regulation of DNA-templated transcription {GO:0045893}; regulation of cell fate specification {GO:0042659}; regulation of stem cell differentiation {GO:2000736}; terminal button organization {GO:0072553}</t>
  </si>
  <si>
    <t>centrosome {GO:0005813}; chromatin {GO:0000785}; chromosome, telomeric region {GO:0000781}; cytoplasm {GO:0005737}; nucleoplasm {GO:0005654}; nucleus {GO:0005634}; NuRD complex {GO:0016581}; protein-containing complex {GO:0032991}; protein-DNA complex {GO:0032993}; RNA polymerase II transcription regulator complex {GO:0090575}</t>
  </si>
  <si>
    <t>ATP binding {GO:0005524}; ATP hydrolysis activity {GO:0016887}; ATP-dependent chromatin remodeler activity {GO:0140658}; chromatin binding {GO:0003682}; DNA binding {GO:0003677}; DNA helicase activity {GO:0003678}; DNA-binding transcription factor binding {GO:0140297}; histone binding {GO:0042393}; histone deacetylase binding {GO:0042826}; metal ion binding {GO:0046872}; RNA polymerase II-specific DNA-binding transcription factor binding {GO:0061629}; transcription coregulator binding {GO:0001221}</t>
  </si>
  <si>
    <t>HDACs deacetylate histones {R-MMU-3214815}; Regulation of TP53 Activity through Acetylation {R-MMU-6804758}; RNA Polymerase I Transcription Initiation {R-MMU-73762}; Regulation of PTEN gene transcription {R-MMU-8943724}; NGF-stimulated transcription {R-MMU-9031628}</t>
  </si>
  <si>
    <t>sp|Q91VH6|MEMO1_MOUSE</t>
  </si>
  <si>
    <t>Protein MEMO1</t>
  </si>
  <si>
    <t>Mediator of ErbB2-driven cell motility 1 (Memo-1)</t>
  </si>
  <si>
    <t>MEMO1_MOUSE</t>
  </si>
  <si>
    <t>Q91VH6</t>
  </si>
  <si>
    <t>MGI:1924140</t>
  </si>
  <si>
    <t>regulation of microtubule-based process {GO:0032886}</t>
  </si>
  <si>
    <t>peptide binding {GO:0042277}</t>
  </si>
  <si>
    <t>ERBB2 Regulates Cell Motility {R-MMU-6785631}</t>
  </si>
  <si>
    <t>sp|O35326|SRSF5_MOUSE</t>
  </si>
  <si>
    <t>Serine/arginine-rich splicing factor 5</t>
  </si>
  <si>
    <t>Delayed-early protein HRS; Pre-mRNA-splicing factor SRP40; Splicing factor, arginine/serine-rich 5</t>
  </si>
  <si>
    <t>SRSF5_MOUSE</t>
  </si>
  <si>
    <t>O35326</t>
  </si>
  <si>
    <t>Q640L9</t>
  </si>
  <si>
    <t>Hrs; Sfrs5</t>
  </si>
  <si>
    <t>MGI:98287</t>
  </si>
  <si>
    <t>Acetylation; mRNA processing; mRNA splicing; Nucleus; Phosphoprotein; Repeat; RNA-binding; Transcription; Transcription regulation</t>
  </si>
  <si>
    <t>mRNA splicing, via spliceosome {GO:0000398}; positive regulation of RNA splicing {GO:0033120}; response to insulin {GO:0032868}; response to wounding {GO:0009611}</t>
  </si>
  <si>
    <t>cytosol {GO:0005829}; nuclear speck {GO:0016607}; nucleolus {GO:0005730}; nucleoplasm {GO:0005654}; nucleus {GO:0005634}</t>
  </si>
  <si>
    <t>mRNA binding {GO:0003729}; protein kinase B binding {GO:0043422}; RNA binding {GO:0003723}; RS domain binding {GO:0050733}</t>
  </si>
  <si>
    <t>Transport of Mature mRNA derived from an Intron-Containing Transcript {R-MMU-159236}; mRNA Splicing - Major Pathway {R-MMU-72163}; mRNA 3'-end processing {R-MMU-72187}; RNA Polymerase II Transcription Termination {R-MMU-73856}</t>
  </si>
  <si>
    <t>sp|O70325|GPX4_MOUSE</t>
  </si>
  <si>
    <t>Phospholipid hydroperoxide glutathione peroxidase (PHGPx)</t>
  </si>
  <si>
    <t>Glutathione peroxidase 4 (GPx-4; GSHPx-4)</t>
  </si>
  <si>
    <t>GPX4_MOUSE</t>
  </si>
  <si>
    <t>O70325</t>
  </si>
  <si>
    <t>O35560; Q8K4U8; Q91XR9; Q9JK35</t>
  </si>
  <si>
    <t>MGI:104767</t>
  </si>
  <si>
    <t>3D-structure; Alternative initiation; Alternative splicing; Cytoplasm; Developmental protein; Lipid metabolism; Mitochondrion; Nucleus; Oxidoreductase; Peroxidase; Phosphoprotein; Selenocysteine; Transit peptide</t>
  </si>
  <si>
    <t>Alternative initiation; Alternative splicing; Selenocysteine</t>
  </si>
  <si>
    <t>Developmental protein; Oxidoreductase; Peroxidase</t>
  </si>
  <si>
    <t>aging {GO:0007568}; arachidonic acid metabolic process {GO:0019369}; chromatin organization {GO:0006325}; glutathione metabolic process {GO:0006749}; lipoxygenase pathway {GO:0019372}; negative regulation of ferroptosis {GO:0110076}; protein polymerization {GO:0051258}; regulation of inflammatory response {GO:0050727}; response to estradiol {GO:0032355}; response to oxidative stress {GO:0006979}; spermatogenesis {GO:0007283}</t>
  </si>
  <si>
    <t>cytosol {GO:0005829}; mitochondrial inner membrane {GO:0005743}; mitochondrion {GO:0005739}; nuclear envelope {GO:0005635}; nucleus {GO:0005634}; protein-containing complex {GO:0032991}</t>
  </si>
  <si>
    <t>glutathione peroxidase activity {GO:0004602}; identical protein binding {GO:0042802}; peroxidase activity {GO:0004601}; phospholipid-hydroperoxide glutathione peroxidase activity {GO:0047066}; selenium binding {GO:0008430}</t>
  </si>
  <si>
    <t>Synthesis of 12-eicosatetraenoic acid derivatives {R-MMU-2142712}; Synthesis of 15-eicosatetraenoic acid derivatives {R-MMU-2142770}; Biosynthesis of D-series resolvins {R-MMU-9018676}; Biosynthesis of E-series 18(S)-resolvins {R-MMU-9018896}; Biosynthesis of aspirin-triggered D-series resolvins {R-MMU-9020265}; Biosynthesis of E-series 18(R)-resolvins {R-MMU-9023661}</t>
  </si>
  <si>
    <t>sp|P28271|ACOHC_MOUSE</t>
  </si>
  <si>
    <t>Cytoplasmic aconitate hydratase (Aconitase)</t>
  </si>
  <si>
    <t>Citrate hydro-lyase; Iron regulatory protein 1 (IRP1); Iron-responsive element-binding protein 1 (IRE-BP 1)</t>
  </si>
  <si>
    <t>ACOHC_MOUSE</t>
  </si>
  <si>
    <t>P28271</t>
  </si>
  <si>
    <t>Q3TQ15; Q99K54</t>
  </si>
  <si>
    <t>Ireb1; Irebp</t>
  </si>
  <si>
    <t>MGI:87879</t>
  </si>
  <si>
    <t>4Fe-4S; Cytoplasm; Iron; Iron-sulfur; Lyase; Metal-binding; RNA-binding; Tricarboxylic acid cycle</t>
  </si>
  <si>
    <t>Lyase; RNA-binding</t>
  </si>
  <si>
    <t>cellular iron ion homeostasis {GO:0006879}; citrate metabolic process {GO:0006101}; intestinal absorption {GO:0050892}; post-embryonic development {GO:0009791}; regulation of gene expression {GO:0010468}; regulation of translation {GO:0006417}; response to iron(II) ion {GO:0010040}; tricarboxylic acid cycle {GO:0006099}</t>
  </si>
  <si>
    <t>cytoplasm {GO:0005737}; cytosol {GO:0005829}; endoplasmic reticulum {GO:0005783}; Golgi apparatus {GO:0005794}; intracellular membrane-bounded organelle {GO:0043231}; mitochondrion {GO:0005739}</t>
  </si>
  <si>
    <t>3 iron, 4 sulfur cluster binding {GO:0051538}; 4 iron, 4 sulfur cluster binding {GO:0051539}; aconitate hydratase activity {GO:0003994}; citrate dehydratase activity {GO:0047780}; iron-responsive element binding {GO:0030350}; iron-sulfur cluster binding {GO:0051536}; metal ion binding {GO:0046872}; mRNA 5'-UTR binding {GO:0048027}; RNA binding {GO:0003723}</t>
  </si>
  <si>
    <t>Iron uptake and transport {R-MMU-917937}</t>
  </si>
  <si>
    <t>sp|Q9QZE5|COPG1_MOUSE</t>
  </si>
  <si>
    <t>Coatomer subunit gamma-1</t>
  </si>
  <si>
    <t>Gamma-1-coat protein (Gamma-1-COP)</t>
  </si>
  <si>
    <t>COPG1_MOUSE</t>
  </si>
  <si>
    <t>Q9QZE5</t>
  </si>
  <si>
    <t>Q3U9F4; Q8BP96; Q8R1A7; Q922C6</t>
  </si>
  <si>
    <t>Copg</t>
  </si>
  <si>
    <t>MGI:1858696</t>
  </si>
  <si>
    <t>3D-structure; Cytoplasm; Cytoplasmic vesicle; ER-Golgi transport; Golgi apparatus; Membrane; Phosphoprotein; Protein transport; Repeat; Transport</t>
  </si>
  <si>
    <t>endoplasmic reticulum to Golgi vesicle-mediated transport {GO:0006888}; establishment of Golgi localization {GO:0051683}; intra-Golgi vesicle-mediated transport {GO:0006891}; intracellular protein transport {GO:0006886}; organelle transport along microtubule {GO:0072384}; protein secretion {GO:0009306}</t>
  </si>
  <si>
    <t>COPI vesicle coat {GO:0030126}; cytosol {GO:0005829}; endoplasmic reticulum {GO:0005783}; endoplasmic reticulum-Golgi intermediate compartment {GO:0005793}; Golgi apparatus {GO:0005794}; Golgi membrane {GO:0000139}</t>
  </si>
  <si>
    <t>tr|F8VQC1|F8VQC1_MOUSE</t>
  </si>
  <si>
    <t>sp|Q6P5E4|UGGG1_MOUSE</t>
  </si>
  <si>
    <t>UDP-glucose:glycoprotein glucosyltransferase 1 (UGT1)</t>
  </si>
  <si>
    <t>UDP--Glc:glycoprotein glucosyltransferase; UDP-glucose ceramide glucosyltransferase-like 1</t>
  </si>
  <si>
    <t>UGGG1_MOUSE</t>
  </si>
  <si>
    <t>Q6P5E4</t>
  </si>
  <si>
    <t>E9QQ49; Q6NV70</t>
  </si>
  <si>
    <t>Gt; Ugcgl1; Uggt; Ugt1; Ugtr</t>
  </si>
  <si>
    <t>MGI:2443162</t>
  </si>
  <si>
    <t>Endoplasmic reticulum; Glycoprotein; Glycosyltransferase; Phosphoprotein; Signal; Transferase</t>
  </si>
  <si>
    <t>ER-associated misfolded protein catabolic process {GO:0071712}; protein N-linked glycosylation via asparagine {GO:0018279}</t>
  </si>
  <si>
    <t>endoplasmic reticulum {GO:0005783}; endoplasmic reticulum lumen {GO:0005788}; endoplasmic reticulum-Golgi intermediate compartment {GO:0005793}; protein-containing complex {GO:0032991}</t>
  </si>
  <si>
    <t>UDP-glucose:glycoprotein glucosyltransferase activity {GO:0003980}; unfolded protein binding {GO:0051082}</t>
  </si>
  <si>
    <t>sp|P43274|H14_MOUSE</t>
  </si>
  <si>
    <t>Histone H1.4</t>
  </si>
  <si>
    <t>H1 VAR.2; H1e</t>
  </si>
  <si>
    <t>H14_MOUSE</t>
  </si>
  <si>
    <t>P43274</t>
  </si>
  <si>
    <t>Q5EBH3</t>
  </si>
  <si>
    <t>MGI:1931527</t>
  </si>
  <si>
    <t>heterochromatin {GO:0000792}; nucleosome {GO:0000786}; nucleus {GO:0005634}</t>
  </si>
  <si>
    <t>ADP binding {GO:0043531}; AMP binding {GO:0016208}; ATP binding {GO:0005524}; calcium ion binding {GO:0005509}; chromatin DNA binding {GO:0031490}; dATP binding {GO:0032564}; DNA binding {GO:0003677}; double-stranded DNA binding {GO:0003690}; GTP binding {GO:0005525}; nucleosomal DNA binding {GO:0031492}; nucleotide binding {GO:0000166}; structural constituent of chromatin {GO:0030527}</t>
  </si>
  <si>
    <t>sp|Q9ESZ8|GTF2I_MOUSE</t>
  </si>
  <si>
    <t>General transcription factor II-I (GTFII-I; TFII-I)</t>
  </si>
  <si>
    <t>Bruton tyrosine kinase-associated protein 135 (BAP-135; BTK-associated protein 135)</t>
  </si>
  <si>
    <t>GTF2I_MOUSE</t>
  </si>
  <si>
    <t>Q9ESZ8</t>
  </si>
  <si>
    <t>O54700; O55030; O55031; Q8VHD1; Q8VHD2; Q8VHD3; Q8VHD4; Q9CSB5; Q9D9K9</t>
  </si>
  <si>
    <t>Bap135; Diws1t</t>
  </si>
  <si>
    <t>MGI:1202722</t>
  </si>
  <si>
    <t>3D-structure; Acetylation; Alternative splicing; Cytoplasm; DNA-binding; Isopeptide bond; Nucleus; Phosphoprotein; Repeat; Transcription; Transcription regulation; Ubl conjugation</t>
  </si>
  <si>
    <t>negative regulation of angiogenesis {GO:0016525}; negative regulation of cytosolic calcium ion concentration {GO:0051481}; transcription by RNA polymerase II {GO:0006366}</t>
  </si>
  <si>
    <t>cytoplasm {GO:0005737}; nucleoplasm {GO:0005654}; nucleus {GO:0005634}</t>
  </si>
  <si>
    <t>DNA binding {GO:0003677}; DNA-binding transcription activator activity, RNA polymerase II-specific {GO:0001228}; DNA-binding transcription factor activity {GO:0003700}; RNA polymerase II-specific DNA-binding transcription factor binding {GO:0061629}</t>
  </si>
  <si>
    <t>sp|Q62348|TSN_MOUSE</t>
  </si>
  <si>
    <t>Translin</t>
  </si>
  <si>
    <t>Component 3 of promoter of RISC (C3PO); Testis/brain RNA-binding protein (TB-RBP)</t>
  </si>
  <si>
    <t>TSN_MOUSE</t>
  </si>
  <si>
    <t>Q62348</t>
  </si>
  <si>
    <t>MGI:109263</t>
  </si>
  <si>
    <t>3D-structure; Acetylation; Cytoplasm; DNA-binding; Endonuclease; Hydrolase; Nuclease; Nucleus; Phosphoprotein; RNA-binding</t>
  </si>
  <si>
    <t>DNA-binding; Endonuclease; Hydrolase; Nuclease; RNA-binding</t>
  </si>
  <si>
    <t>siRNA processing {GO:0030422}</t>
  </si>
  <si>
    <t>cytoplasm {GO:0005737}; endoplasmic reticulum {GO:0005783}; endoribonuclease complex {GO:1902555}; male germ cell nucleus {GO:0001673}; nucleoplasm {GO:0005654}; nucleus {GO:0005634}</t>
  </si>
  <si>
    <t>endonuclease activity {GO:0004519}; identical protein binding {GO:0042802}; mRNA binding {GO:0003729}; protein-containing complex binding {GO:0044877}; RNA binding {GO:0003723}; sequence-specific DNA binding {GO:0043565}; single-stranded DNA binding {GO:0003697}</t>
  </si>
  <si>
    <t>Small interfering RNA (siRNA) biogenesis {R-MMU-426486}</t>
  </si>
  <si>
    <t>sp|Q60931|VDAC3_MOUSE</t>
  </si>
  <si>
    <t>Voltage-dependent anion-selective channel protein 3 (VDAC-3; mVDAC3)</t>
  </si>
  <si>
    <t>Outer mitochondrial membrane protein porin 3</t>
  </si>
  <si>
    <t>VDAC3_MOUSE</t>
  </si>
  <si>
    <t>Q60931</t>
  </si>
  <si>
    <t>Q8BNG2</t>
  </si>
  <si>
    <t>MGI:106922</t>
  </si>
  <si>
    <t>Acetylation; Ion transport; Isopeptide bond; Membrane; Mitochondrion; Mitochondrion outer membrane; NAD; Nucleotide-binding; Phosphoprotein; Porin; Transmembrane; Transmembrane beta strand; Transport; Ubl conjugation</t>
  </si>
  <si>
    <t>NAD; Nucleotide-binding</t>
  </si>
  <si>
    <t>behavioral fear response {GO:0001662}; chemical synaptic transmission {GO:0007268}; learning {GO:0007612}; neuron-neuron synaptic transmission {GO:0007270}; regulation of cilium assembly {GO:1902017}</t>
  </si>
  <si>
    <t>membrane {GO:0016020}; mitochondrial inner membrane {GO:0005743}; mitochondrial outer membrane {GO:0005741}; mitochondrion {GO:0005739}; pore complex {GO:0046930}; rough endoplasmic reticulum {GO:0005791}; synaptic vesicle {GO:0008021}</t>
  </si>
  <si>
    <t>nucleotide binding {GO:0000166}; porin activity {GO:0015288}; voltage-gated anion channel activity {GO:0008308}</t>
  </si>
  <si>
    <t>sp|Q9EQH3|VPS35_MOUSE</t>
  </si>
  <si>
    <t>Vacuolar protein sorting-associated protein 35</t>
  </si>
  <si>
    <t>Maternal-embryonic 3; Vesicle protein sorting 35</t>
  </si>
  <si>
    <t>VPS35_MOUSE</t>
  </si>
  <si>
    <t>Q9EQH3</t>
  </si>
  <si>
    <t>Q61123</t>
  </si>
  <si>
    <t>Mem3</t>
  </si>
  <si>
    <t>MGI:1890467</t>
  </si>
  <si>
    <t>3D-structure; Cytoplasm; Endosome; Membrane; Phosphoprotein; Protein transport; Transport</t>
  </si>
  <si>
    <t>endocytic recycling {GO:0032456}; intracellular protein transport {GO:0006886}; lysosome organization {GO:0007040}; mitochondrial fragmentation involved in apoptotic process {GO:0043653}; mitochondrion to lysosome transport {GO:0099074}; negative regulation of cell death {GO:0060548}; negative regulation of gene expression {GO:0010629}; negative regulation of inflammatory response {GO:0050728}; negative regulation of late endosome to lysosome transport {GO:1902823}; negative regulation of lysosomal protein catabolic process {GO:1905166}; negative regulation of neuron death {GO:1901215}; negative regulation of protein homooligomerization {GO:0032463}; negative regulation of protein localization {GO:1903828}; neurotransmitter receptor transport, endosome to plasma membrane {GO:0099639}; neurotransmitter receptor transport, endosome to postsynaptic membrane {GO:0098887}; positive regulation of canonical Wnt signaling pathway {GO:0090263}; positive regulation of dopamine biosynthetic process {GO:1903181}; positive regulation of dopamine receptor signaling pathway {GO:0060161}; positive regulation of gene expression {GO:0010628}; positive regulation of locomotion involved in locomotory behavior {GO:0090326}; positive regulation of mitochondrial fission {GO:0090141}; positive regulation of protein catabolic process {GO:0045732}; positive regulation of Wnt protein secretion {GO:0061357}; protein destabilization {GO:0031648}; protein localization to endosome {GO:0036010}; protein localization to organelle {GO:0033365}; regulation of cellular protein metabolic process {GO:0032268}; regulation of dendritic spine maintenance {GO:1902950}; regulation of mitochondrion organization {GO:0010821}; regulation of protein stability {GO:0031647}; regulation of terminal button organization {GO:2000331}; retrograde transport, endosome to Golgi {GO:0042147}; synapse assembly {GO:0007416}; transcytosis {GO:0045056}; vacuolar protein processing {GO:0006624}; vesicle-mediated transport in synapse {GO:0099003}; voluntary musculoskeletal movement {GO:0050882}</t>
  </si>
  <si>
    <t>cytoplasm {GO:0005737}; cytosol {GO:0005829}; early endosome {GO:0005769}; endosome {GO:0005768}; endosome membrane {GO:0010008}; glutamatergic synapse {GO:0098978}; integral component of membrane {GO:0016021}; late endosome {GO:0005770}; lysosome {GO:0005764}; mitochondrion {GO:0005739}; mitochondrion-derived vesicle {GO:0099073}; neuron projection {GO:0043005}; neuronal cell body {GO:0043025}; perinuclear region of cytoplasm {GO:0048471}; postsynapse {GO:0098794}; postsynaptic density {GO:0014069}; presynapse {GO:0098793}; retromer complex {GO:0030904}; retromer, cargo-selective complex {GO:0030906}; synapse {GO:0045202}; tubular endosome {GO:0097422}</t>
  </si>
  <si>
    <t>D1 dopamine receptor binding {GO:0031748}</t>
  </si>
  <si>
    <t>sp|O08528|HXK2_MOUSE</t>
  </si>
  <si>
    <t>Hexokinase-2</t>
  </si>
  <si>
    <t>Hexokinase type II (HK II)</t>
  </si>
  <si>
    <t>HXK2_MOUSE</t>
  </si>
  <si>
    <t>O08528</t>
  </si>
  <si>
    <t>MGI:1315197</t>
  </si>
  <si>
    <t>Acetylation; Allosteric enzyme; ATP-binding; Cytoplasm; Glycolysis; Kinase; Membrane; Mitochondrion; Mitochondrion outer membrane; Nucleotide-binding; Repeat; Transferase</t>
  </si>
  <si>
    <t>Cytoplasm; Membrane; Mitochondrion; Mitochondrion outer membrane</t>
  </si>
  <si>
    <t>apoptotic mitochondrial changes {GO:0008637}; carbohydrate phosphorylation {GO:0046835}; cellular glucose homeostasis {GO:0001678}; cellular response to leukemia inhibitory factor {GO:1990830}; establishment of protein localization to mitochondrion {GO:0072655}; fructose 6-phosphate metabolic process {GO:0006002}; glucose 6-phosphate metabolic process {GO:0051156}; glucose metabolic process {GO:0006006}; glycolytic process {GO:0006096}; lactation {GO:0007595}; maintenance of protein location in mitochondrion {GO:0072656}; negative regulation of mitochondrial membrane permeability {GO:0035795}; negative regulation of reactive oxygen species metabolic process {GO:2000378}; positive regulation of angiogenesis {GO:0045766}; positive regulation of autophagy of mitochondrion in response to mitochondrial depolarization {GO:1904925}; regulation of glucose import {GO:0046324}; response to hypoxia {GO:0001666}; response to ischemia {GO:0002931}</t>
  </si>
  <si>
    <t>centrosome {GO:0005813}; cytosol {GO:0005829}; intracellular membrane-bounded organelle {GO:0043231}; mitochondrial outer membrane {GO:0005741}; mitochondrion {GO:0005739}; plasma membrane {GO:0005886}; sarcoplasmic reticulum {GO:0016529}</t>
  </si>
  <si>
    <t>ATP binding {GO:0005524}; fructokinase activity {GO:0008865}; glucokinase activity {GO:0004340}; glucose binding {GO:0005536}; hexokinase activity {GO:0004396}</t>
  </si>
  <si>
    <t>Carbohydrate degradation; glycolysis; D-glyceraldehyde 3- phosphate and glycerone phosphate from D-glucose: step 1/4.</t>
  </si>
  <si>
    <t>Glycolysis {R-MMU-70171}</t>
  </si>
  <si>
    <t>sp|Q64010|CRK_MOUSE</t>
  </si>
  <si>
    <t>Adapter molecule crk</t>
  </si>
  <si>
    <t>Proto-oncogene c-Crk; p38</t>
  </si>
  <si>
    <t>CRK_MOUSE</t>
  </si>
  <si>
    <t>Q64010</t>
  </si>
  <si>
    <t>Crko</t>
  </si>
  <si>
    <t>MGI:88508</t>
  </si>
  <si>
    <t>3D-structure; Acetylation; Alternative splicing; Cell membrane; Cytoplasm; Membrane; Phosphoprotein; Proto-oncogene; Repeat; SH2 domain; SH3 domain</t>
  </si>
  <si>
    <t>Repeat; SH2 domain; SH3 domain</t>
  </si>
  <si>
    <t>actin cytoskeleton organization {GO:0030036}; activation of GTPase activity {GO:0090630}; cell chemotaxis {GO:0060326}; cell migration {GO:0016477}; cell population proliferation {GO:0008283}; cellular response to endothelin {GO:1990859}; cellular response to insulin-like growth factor stimulus {GO:1990314}; cellular response to nerve growth factor stimulus {GO:1990090}; cellular response to nitric oxide {GO:0071732}; cellular response to transforming growth factor beta stimulus {GO:0071560}; cerebellar neuron development {GO:0098749}; cerebral cortex development {GO:0021987}; dendrite development {GO:0016358}; ephrin receptor signaling pathway {GO:0048013}; establishment of cell polarity {GO:0030010}; helper T cell diapedesis {GO:0035685}; hippocampus development {GO:0021766}; lipid metabolic process {GO:0006629}; negative regulation of cell motility {GO:2000146}; negative regulation of natural killer cell mediated cytotoxicity {GO:0045953}; negative regulation of wound healing {GO:0061045}; neuron migration {GO:0001764}; positive regulation of cell growth {GO:0030307}; positive regulation of JNK cascade {GO:0046330}; positive regulation of smooth muscle cell migration {GO:0014911}; positive regulation of substrate adhesion-dependent cell spreading {GO:1900026}; protein localization to membrane {GO:0072657}; reelin-mediated signaling pathway {GO:0038026}; regulation of actin cytoskeleton organization {GO:0032956}; regulation of cell adhesion mediated by integrin {GO:0033628}; regulation of cell shape {GO:0008360}; regulation of dendrite development {GO:0050773}; regulation of GTPase activity {GO:0043087}; regulation of intracellular signal transduction {GO:1902531}; regulation of leukocyte migration {GO:0002685}; regulation of protein binding {GO:0043393}; regulation of Rac protein signal transduction {GO:0035020}; regulation of signal transduction {GO:0009966}; regulation of T cell migration {GO:2000404}; response to cholecystokinin {GO:0061847}; response to hepatocyte growth factor {GO:0035728}; response to hydrogen peroxide {GO:0042542}; response to peptide {GO:1901652}; response to yeast {GO:0001878}; signal transduction {GO:0007165}</t>
  </si>
  <si>
    <t>actin cytoskeleton {GO:0015629}; cytoplasm {GO:0005737}; membrane {GO:0016020}; membrane raft {GO:0045121}; plasma membrane {GO:0005886}; protein-containing complex {GO:0032991}</t>
  </si>
  <si>
    <t>cytoskeletal protein binding {GO:0008092}; enzyme binding {GO:0019899}; ephrin receptor binding {GO:0046875}; insulin-like growth factor receptor binding {GO:0005159}; kinase binding {GO:0019900}; phosphotyrosine residue binding {GO:0001784}; protein domain specific binding {GO:0019904}; protein phosphorylated amino acid binding {GO:0045309}; protein self-association {GO:0043621}; protein tyrosine kinase binding {GO:1990782}; protein-macromolecule adaptor activity {GO:0030674}; receptor tyrosine kinase binding {GO:0030971}; scaffold protein binding {GO:0097110}; SH2 domain binding {GO:0042169}; SH3 domain binding {GO:0017124}; signaling adaptor activity {GO:0035591}; signaling receptor complex adaptor activity {GO:0030159}; ubiquitin protein ligase binding {GO:0031625}</t>
  </si>
  <si>
    <t>ARMS-mediated activation {R-MMU-170984}; Downstream signal transduction {R-MMU-186763}; Regulation of actin dynamics for phagocytic cup formation {R-MMU-2029482}; p130Cas linkage to MAPK signaling for integrins {R-MMU-372708}; VEGFA-VEGFR2 Pathway {R-MMU-4420097}; PTK6 Regulates RHO GTPases, RAS GTPase and MAP kinases {R-MMU-8849471}; MET activates RAP1 and RAC1 {R-MMU-8875555}; MET receptor recycling {R-MMU-8875656}; Regulation of signaling by CBL {R-MMU-912631}</t>
  </si>
  <si>
    <t>sp|P84104|SRSF3_MOUSE</t>
  </si>
  <si>
    <t>Serine/arginine-rich splicing factor 3</t>
  </si>
  <si>
    <t>Pre-mRNA-splicing factor SRP20; Protein X16; Splicing factor, arginine/serine-rich 3</t>
  </si>
  <si>
    <t>SRSF3_MOUSE</t>
  </si>
  <si>
    <t>P84104</t>
  </si>
  <si>
    <t>O08831; P23152; Q564E9</t>
  </si>
  <si>
    <t>Sfrs3; Srp20; X16</t>
  </si>
  <si>
    <t>MGI:98285</t>
  </si>
  <si>
    <t>Acetylation; Alternative splicing; Cytoplasm; mRNA processing; mRNA splicing; mRNA transport; Nucleus; Phosphoprotein; Repeat; RNA-binding; Transport</t>
  </si>
  <si>
    <t>cellular response to leukemia inhibitory factor {GO:1990830}; insulin receptor signaling pathway {GO:0008286}; mRNA export from nucleus {GO:0006406}; mRNA splicing, via spliceosome {GO:0000398}; primary miRNA processing {GO:0031053}; regulation of mRNA splicing, via spliceosome {GO:0048024}; RNA splicing {GO:0008380}</t>
  </si>
  <si>
    <t>cytoplasm {GO:0005737}; nuclear speck {GO:0016607}; nucleus {GO:0005634}</t>
  </si>
  <si>
    <t>phospholipase binding {GO:0043274}; primary miRNA binding {GO:0070878}; RNA binding {GO:0003723}; sequence-specific mRNA binding {GO:1990825}</t>
  </si>
  <si>
    <t>sp|Q68FL6|SYMC_MOUSE</t>
  </si>
  <si>
    <t>Methionine--tRNA ligase, cytoplasmic</t>
  </si>
  <si>
    <t>Methionyl-tRNA synthetase (MetRS)</t>
  </si>
  <si>
    <t>SYMC_MOUSE</t>
  </si>
  <si>
    <t>Q68FL6</t>
  </si>
  <si>
    <t>Mars</t>
  </si>
  <si>
    <t>MGI:1345633</t>
  </si>
  <si>
    <t>Aminoacyl-tRNA synthetase; ATP-binding; Cytoplasm; Ligase; Nucleotide-binding; Nucleus; Phosphoprotein; Protein biosynthesis; RNA-binding; tRNA-binding</t>
  </si>
  <si>
    <t>cellular response to epidermal growth factor stimulus {GO:0071364}; cellular response to platelet-derived growth factor stimulus {GO:0036120}; methionyl-tRNA aminoacylation {GO:0006431}; positive regulation of transcription of nucleolar large rRNA by RNA polymerase I {GO:1901838}; rRNA transcription {GO:0009303}</t>
  </si>
  <si>
    <t>aminoacyl-tRNA synthetase multienzyme complex {GO:0017101}; cytoplasm {GO:0005737}; cytosol {GO:0005829}; mitochondrion {GO:0005739}; nucleolus {GO:0005730}</t>
  </si>
  <si>
    <t>ATP binding {GO:0005524}; methionine-tRNA ligase activity {GO:0004825}; tRNA binding {GO:0000049}</t>
  </si>
  <si>
    <t>sp|Q9EP71|RAI14_MOUSE</t>
  </si>
  <si>
    <t>Ankycorbin</t>
  </si>
  <si>
    <t>Ankyrin repeat and coiled-coil structure-containing protein; Novel retinal pigment epithelial cell protein; Retinoic acid-induced protein 14; p125</t>
  </si>
  <si>
    <t>RAI14_MOUSE</t>
  </si>
  <si>
    <t>Q9EP71</t>
  </si>
  <si>
    <t>Q3URT3; Q6ZPT6</t>
  </si>
  <si>
    <t>Kiaa1334; Norpeg</t>
  </si>
  <si>
    <t>MGI:1922896</t>
  </si>
  <si>
    <t>Acetylation; ANK repeat; Cell junction; Coiled coil; Cytoplasm; Cytoskeleton; Differentiation; Nucleus; Phosphoprotein; Repeat; Spermatogenesis</t>
  </si>
  <si>
    <t>ANK repeat; Coiled coil; Repeat</t>
  </si>
  <si>
    <t>cell differentiation {GO:0030154}; spermatogenesis {GO:0007283}</t>
  </si>
  <si>
    <t>anchoring junction {GO:0070161}; cell cortex {GO:0005938}; cytoskeleton {GO:0005856}; cytosol {GO:0005829}; fibrillar center {GO:0001650}; mitochondrion {GO:0005739}; nucleoplasm {GO:0005654}</t>
  </si>
  <si>
    <t>sp|Q02819|NUCB1_MOUSE</t>
  </si>
  <si>
    <t>Nucleobindin-1</t>
  </si>
  <si>
    <t>CALNUC</t>
  </si>
  <si>
    <t>NUCB1_MOUSE</t>
  </si>
  <si>
    <t>Q02819</t>
  </si>
  <si>
    <t>Q3TU42; Q9CWA1; Q9D8J4; Q9DBL3</t>
  </si>
  <si>
    <t>Nuc; Nucb</t>
  </si>
  <si>
    <t>MGI:97388</t>
  </si>
  <si>
    <t>Calcium; Coiled coil; Cytoplasm; DNA-binding; Golgi apparatus; Guanine-nucleotide releasing factor; Membrane; Metal-binding; Phosphoprotein; Repeat; Secreted; Signal</t>
  </si>
  <si>
    <t>Cytoplasm; Golgi apparatus; Membrane; Secreted</t>
  </si>
  <si>
    <t>Coiled coil; Repeat; Signal</t>
  </si>
  <si>
    <t>DNA-binding; Guanine-nucleotide releasing factor</t>
  </si>
  <si>
    <t>regulation of protein targeting {GO:1903533}; small GTPase mediated signal transduction {GO:0007264}</t>
  </si>
  <si>
    <t>cis-Golgi network {GO:0005801}; cytoplasm {GO:0005737}; early endosome {GO:0005769}; endoplasmic reticulum-Golgi intermediate compartment {GO:0005793}; extracellular region {GO:0005576}; extracellular space {GO:0005615}; extrinsic component of Golgi membrane {GO:0090498}; Golgi apparatus {GO:0005794}; Golgi cisterna membrane {GO:0032580}; Golgi-associated vesicle {GO:0005798}; lumenal side of Golgi membrane {GO:0098547}; nucleus {GO:0005634}; rough endoplasmic reticulum {GO:0005791}; trans-Golgi network {GO:0005802}</t>
  </si>
  <si>
    <t>calcium ion binding {GO:0005509}; DNA binding {GO:0003677}; G-protein alpha-subunit binding {GO:0001965}; guanyl-nucleotide exchange factor activity {GO:0005085}</t>
  </si>
  <si>
    <t>sp|P42125|ECI1_MOUSE</t>
  </si>
  <si>
    <t>Enoyl-CoA delta isomerase 1, mitochondrial</t>
  </si>
  <si>
    <t>3,2-trans-enoyl-CoA isomerase; Delta(3),Delta(2)-enoyl-CoA isomerase (D3,D2-enoyl-CoA isomerase); Dodecenoyl-CoA isomerase</t>
  </si>
  <si>
    <t>ECI1_MOUSE</t>
  </si>
  <si>
    <t>P42125</t>
  </si>
  <si>
    <t>Q8QZV3</t>
  </si>
  <si>
    <t>Dci</t>
  </si>
  <si>
    <t>MGI:94871</t>
  </si>
  <si>
    <t>Acetylation; Fatty acid metabolism; Isomerase; Lipid metabolism; Mitochondrion; Transit peptide</t>
  </si>
  <si>
    <t>fatty acid beta-oxidation {GO:0006635}</t>
  </si>
  <si>
    <t>mitochondrial inner membrane {GO:0005743}; mitochondrial matrix {GO:0005759}; mitochondrion {GO:0005739}</t>
  </si>
  <si>
    <t>delta(3)-delta(2)-enoyl-CoA isomerase activity {GO:0004165}; enoyl-CoA hydratase activity {GO:0004300}; identical protein binding {GO:0042802}; intramolecular oxidoreductase activity, transposing C=C bonds {GO:0016863}</t>
  </si>
  <si>
    <t>mitochondrial fatty acid beta-oxidation of unsaturated fatty acids {R-MMU-77288}</t>
  </si>
  <si>
    <t>sp|Q61545|EWS_MOUSE</t>
  </si>
  <si>
    <t>RNA-binding protein EWS</t>
  </si>
  <si>
    <t>EWS_MOUSE</t>
  </si>
  <si>
    <t>Q61545</t>
  </si>
  <si>
    <t>Q9D2P0</t>
  </si>
  <si>
    <t>Ews; Ewsh</t>
  </si>
  <si>
    <t>MGI:99960</t>
  </si>
  <si>
    <t>Acetylation; Calmodulin-binding; Cell membrane; Cytoplasm; Membrane; Metal-binding; Methylation; Nucleus; Phosphoprotein; Repeat; Repressor; RNA-binding; Transcription; Transcription regulation; Zinc; Zinc-finger</t>
  </si>
  <si>
    <t>Calmodulin-binding; RNA-binding; Repressor</t>
  </si>
  <si>
    <t>regulation of DNA-templated transcription {GO:0006355}</t>
  </si>
  <si>
    <t>Cajal body {GO:0015030}; cytoplasm {GO:0005737}; nucleolus {GO:0005730}; nucleoplasm {GO:0005654}; nucleus {GO:0005634}; plasma membrane {GO:0005886}</t>
  </si>
  <si>
    <t>calmodulin binding {GO:0005516}; identical protein binding {GO:0042802}; metal ion binding {GO:0046872}; RNA binding {GO:0003723}; transcription coregulator activity {GO:0003712}</t>
  </si>
  <si>
    <t>sp|Q8C4U3|SFRP1_MOUSE</t>
  </si>
  <si>
    <t>Secreted frizzled-related protein 1 (sFRP-1)</t>
  </si>
  <si>
    <t>SFRP1_MOUSE</t>
  </si>
  <si>
    <t>Q8C4U3</t>
  </si>
  <si>
    <t>O08861; Q505A2; Q8R1J4</t>
  </si>
  <si>
    <t>MGI:892014</t>
  </si>
  <si>
    <t>Developmental protein; Differentiation; Disulfide bond; Glycoprotein; Secreted; Signal; Wnt signaling pathway</t>
  </si>
  <si>
    <t>Differentiation; Wnt signaling pathway</t>
  </si>
  <si>
    <t>actin cytoskeleton organization {GO:0030036}; anterior/posterior pattern specification {GO:0009952}; BMP signaling pathway {GO:0030509}; bone trabecula formation {GO:0060346}; canonical Wnt signaling pathway {GO:0060070}; cellular response to estradiol stimulus {GO:0071392}; cellular response to estrogen stimulus {GO:0071391}; cellular response to fibroblast growth factor stimulus {GO:0044344}; cellular response to growth factor stimulus {GO:0071363}; cellular response to heparin {GO:0071504}; cellular response to hypoxia {GO:0071456}; cellular response to interleukin-1 {GO:0071347}; cellular response to prostaglandin E stimulus {GO:0071380}; cellular response to starvation {GO:0009267}; cellular response to transforming growth factor beta stimulus {GO:0071560}; cellular response to tumor necrosis factor {GO:0071356}; cellular response to vitamin D {GO:0071305}; cellular response to X-ray {GO:0071481}; convergent extension involved in somitogenesis {GO:0090246}; development of primary male sexual characteristics {GO:0046546}; digestive tract morphogenesis {GO:0048546}; dopaminergic neuron differentiation {GO:0071542}; dorsal/ventral axis specification {GO:0009950}; extrinsic apoptotic signaling pathway {GO:0097191}; female gonad development {GO:0008585}; hematopoietic progenitor cell differentiation {GO:0002244}; hematopoietic stem cell differentiation {GO:0060218}; hemopoiesis {GO:0030097}; male gonad development {GO:0008584}; negative regulation of androgen receptor signaling pathway {GO:0060766}; negative regulation of apoptotic process {GO:0043066}; negative regulation of B cell differentiation {GO:0045578}; negative regulation of BMP signaling pathway {GO:0030514}; negative regulation of bone remodeling {GO:0046851}; negative regulation of canonical Wnt signaling pathway {GO:0090090}; negative regulation of canonical Wnt signaling pathway involved in controlling type B pancreatic cell proliferation {GO:2000080}; negative regulation of cell growth {GO:0030308}; negative regulation of cell migration {GO:0030336}; negative regulation of cell population proliferation {GO:0008285}; negative regulation of DNA-templated transcription {GO:0045892}; negative regulation of epithelial cell proliferation {GO:0050680}; negative regulation of epithelial to mesenchymal transition {GO:0010719}; negative regulation of fibroblast apoptotic process {GO:2000270}; negative regulation of fibroblast proliferation {GO:0048147}; negative regulation of gene expression {GO:0010629}; negative regulation of insulin secretion {GO:0046676}; negative regulation of JUN kinase activity {GO:0043508}; negative regulation of ossification {GO:0030279}; negative regulation of osteoblast differentiation {GO:0045668}; negative regulation of osteoblast proliferation {GO:0033689}; negative regulation of osteoclast differentiation {GO:0045671}; negative regulation of peptidyl-tyrosine phosphorylation {GO:0050732}; negative regulation of planar cell polarity pathway involved in axis elongation {GO:2000041}; negative regulation of Wnt signaling pathway {GO:0030178}; negative regulation of Wnt signaling pathway involved in dorsal/ventral axis specification {GO:2000054}; neural crest cell fate commitment {GO:0014034}; neural tube closure {GO:0001843}; neural tube development {GO:0021915}; osteoblast differentiation {GO:0001649}; osteoclast differentiation {GO:0030316}; planar cell polarity pathway involved in axis elongation {GO:0003402}; planar cell polarity pathway involved in neural tube closure {GO:0090179}; positive regulation of apoptotic process {GO:0043065}; positive regulation of canonical Wnt signaling pathway {GO:0090263}; positive regulation of cell growth {GO:0030307}; positive regulation of cell population proliferation {GO:0008284}; positive regulation of DNA-templated transcription {GO:0045893}; positive regulation of epithelial cell proliferation {GO:0050679}; positive regulation of extrinsic apoptotic signaling pathway {GO:2001238}; positive regulation of extrinsic apoptotic signaling pathway via death domain receptors {GO:1902043}; positive regulation of fat cell differentiation {GO:0045600}; positive regulation of fibroblast apoptotic process {GO:2000271}; positive regulation of non-canonical Wnt signaling pathway {GO:2000052}; positive regulation of smoothened signaling pathway {GO:0045880}; positive regulation of Wnt signaling pathway {GO:0030177}; prostate epithelial cord arborization involved in prostate glandular acinus morphogenesis {GO:0060527}; regulation of branching involved in prostate gland morphogenesis {GO:0060687}; regulation of cell cycle process {GO:0010564}; regulation of establishment of planar polarity {GO:0090175}; regulation of midbrain dopaminergic neuron differentiation {GO:1904956}; regulation of neuron projection development {GO:0010975}; regulation of ossification {GO:0030278}; response to organic cyclic compound {GO:0014070}; response to xenobiotic stimulus {GO:0009410}; somatic stem cell population maintenance {GO:0035019}; somitogenesis {GO:0001756}; stromal-epithelial cell signaling involved in prostate gland development {GO:0044345}; substrate adhesion-dependent cell spreading {GO:0034446}; ureteric bud development {GO:0001657}; Wnt signaling pathway involved in somitogenesis {GO:0090244}; Wnt signaling pathway, planar cell polarity pathway {GO:0060071}</t>
  </si>
  <si>
    <t>cell surface {GO:0009986}; collagen-containing extracellular matrix {GO:0062023}; cytosol {GO:0005829}; extracellular space {GO:0005615}; plasma membrane {GO:0005886}</t>
  </si>
  <si>
    <t>cysteine-type endopeptidase activity {GO:0004197}; frizzled binding {GO:0005109}; heparin binding {GO:0008201}; identical protein binding {GO:0042802}; Wnt-protein binding {GO:0017147}</t>
  </si>
  <si>
    <t>sp|Q9CQ54|NDUC2_MOUSE</t>
  </si>
  <si>
    <t>NADH dehydrogenase [ubiquinone] 1 subunit C2</t>
  </si>
  <si>
    <t>Complex I-B14.5b (CI-B14.5b); NADH-ubiquinone oxidoreductase subunit B14.5b</t>
  </si>
  <si>
    <t>NDUC2_MOUSE</t>
  </si>
  <si>
    <t>Q9CQ54</t>
  </si>
  <si>
    <t>Q3TLB2</t>
  </si>
  <si>
    <t>MGI:1344370</t>
  </si>
  <si>
    <t>3D-structure; Electron transport; Membrane; Mitochondrion; Mitochondrion inner membrane; Respiratory chain; Transmembrane; Transmembrane helix; Transport</t>
  </si>
  <si>
    <t>aerobic respiration {GO:0009060}; mitochondrial electron transport, NADH to ubiquinone {GO:0006120}; mitochondrial respiratory chain complex I assembly {GO:0032981}; negative regulation of necrotic cell death {GO:0060547}; negative regulation of NIK/NF-kappaB signaling {GO:1901223}; negative regulation of reactive oxygen species biosynthetic process {GO:1903427}; positive regulation of ATP biosynthetic process {GO:2001171}; positive regulation of mitochondrial membrane potential {GO:0010918}; proton motive force-driven mitochondrial ATP synthesis {GO:0042776}; regulation of inflammatory response {GO:0050727}</t>
  </si>
  <si>
    <t>cytoplasm {GO:0005737}; mitochondrial inner membrane {GO:0005743}; mitochondrial respiratory chain complex I {GO:0005747}; mitochondrion {GO:0005739}</t>
  </si>
  <si>
    <t>Respiratory electron transport {R-MMU-611105}; Neutrophil degranulation {R-MMU-6798695}; Complex I biogenesis {R-MMU-6799198}</t>
  </si>
  <si>
    <t>sp|P26369|U2AF2_MOUSE</t>
  </si>
  <si>
    <t>Splicing factor U2AF 65 kDa subunit</t>
  </si>
  <si>
    <t>U2 auxiliary factor 65 kDa subunit; U2 snRNP auxiliary factor large subunit</t>
  </si>
  <si>
    <t>U2AF2_MOUSE</t>
  </si>
  <si>
    <t>P26369</t>
  </si>
  <si>
    <t>U2af65</t>
  </si>
  <si>
    <t>MGI:98886</t>
  </si>
  <si>
    <t>3D-structure; Acetylation; Hydroxylation; Isopeptide bond; mRNA processing; mRNA splicing; Nucleus; Phosphoprotein; Repeat; Repressor; RNA-binding; Ubl conjugation</t>
  </si>
  <si>
    <t>RNA-binding; Repressor</t>
  </si>
  <si>
    <t>mRNA splicing, via spliceosome {GO:0000398}; negative regulation of mRNA splicing, via spliceosome {GO:0048025}; negative regulation of protein ubiquitination {GO:0031397}; positive regulation of RNA splicing {GO:0033120}; RNA splicing {GO:0008380}</t>
  </si>
  <si>
    <t>commitment complex {GO:0000243}; nuclear speck {GO:0016607}; nucleus {GO:0005634}; Prp19 complex {GO:0000974}; spliceosomal complex {GO:0005681}; U2-type prespliceosome {GO:0071004}; U2AF complex {GO:0089701}</t>
  </si>
  <si>
    <t>C2H2 zinc finger domain binding {GO:0070742}; enzyme binding {GO:0019899}; poly-pyrimidine tract binding {GO:0008187}; pre-mRNA 3'-splice site binding {GO:0030628}</t>
  </si>
  <si>
    <t>sp|Q62425|NDUA4_MOUSE</t>
  </si>
  <si>
    <t>Cytochrome c oxidase subunit NDUFA4</t>
  </si>
  <si>
    <t>NDUA4_MOUSE</t>
  </si>
  <si>
    <t>Q62425</t>
  </si>
  <si>
    <t>Q9CQP6</t>
  </si>
  <si>
    <t>MGI:107686</t>
  </si>
  <si>
    <t>3D-structure; Acetylation; Electron transport; Membrane; Mitochondrion; Mitochondrion inner membrane; Phosphoprotein; Respiratory chain; Transmembrane; Transmembrane helix; Transport</t>
  </si>
  <si>
    <t>positive regulation of cytochrome-c oxidase activity {GO:1904960}</t>
  </si>
  <si>
    <t>mitochondrial inner membrane {GO:0005743}; mitochondrial membrane {GO:0031966}; mitochondrial respiratory chain complex I {GO:0005747}; mitochondrial respiratory chain complex IV {GO:0005751}; mitochondrion {GO:0005739}</t>
  </si>
  <si>
    <t>protein-containing complex binding {GO:0044877}</t>
  </si>
  <si>
    <t>sp|P61027|RAB10_MOUSE</t>
  </si>
  <si>
    <t>Ras-related protein Rab-10</t>
  </si>
  <si>
    <t>RAB10_MOUSE</t>
  </si>
  <si>
    <t>P61027</t>
  </si>
  <si>
    <t>O88386; Q9D7X6</t>
  </si>
  <si>
    <t>MGI:105066</t>
  </si>
  <si>
    <t>Acetylation; Cell projection; Cytoplasm; Cytoplasmic vesicle; Cytoskeleton; Endoplasmic reticulum; Endosome; Golgi apparatus; GTP-binding; Hydrolase; Isopeptide bond; Lipoprotein; Membrane; Nucleotide-binding; Phosphoprotein; Prenylation; Protein transport; Transport; Ubl conjugation</t>
  </si>
  <si>
    <t>Cell projection; Cytoplasm; Cytoplasmic vesicle; Cytoskeleton; Endoplasmic reticulum; Endosome; Golgi apparatus; Membrane</t>
  </si>
  <si>
    <t>Acetylation; Isopeptide bond; Lipoprotein; Phosphoprotein; Prenylation; Ubl conjugation</t>
  </si>
  <si>
    <t>antigen processing and presentation {GO:0019882}; axonogenesis {GO:0007409}; cellular response to insulin stimulus {GO:0032869}; endoplasmic reticulum tubular network organization {GO:0071786}; endosomal transport {GO:0016197}; establishment of neuroblast polarity {GO:0045200}; establishment of protein localization to endoplasmic reticulum membrane {GO:0097051}; establishment of protein localization to membrane {GO:0090150}; Golgi to plasma membrane protein transport {GO:0043001}; Golgi to plasma membrane transport {GO:0006893}; intracellular protein transport {GO:0006886}; polarized epithelial cell differentiation {GO:0030859}; protein localization to basolateral plasma membrane {GO:1903361}; protein localization to plasma membrane {GO:0072659}; protein secretion {GO:0009306}; regulated exocytosis {GO:0045055}; regulation of exocytosis {GO:0017157}; vesicle docking involved in exocytosis {GO:0006904}; vesicle-mediated transport {GO:0016192}</t>
  </si>
  <si>
    <t>anchored component of synaptic vesicle membrane {GO:0098993}; cilium {GO:0005929}; cytoplasmic vesicle membrane {GO:0030659}; cytoskeleton {GO:0005856}; endoplasmic reticulum membrane {GO:0005789}; endoplasmic reticulum tubular network {GO:0071782}; endosome {GO:0005768}; exocytic vesicle {GO:0070382}; Golgi apparatus {GO:0005794}; insulin-responsive compartment {GO:0032593}; intracellular membrane-bounded organelle {GO:0043231}; membrane {GO:0016020}; perinuclear region of cytoplasm {GO:0048471}; phagocytic vesicle membrane {GO:0030670}; plasma membrane {GO:0005886}; recycling endosome {GO:0055037}; recycling endosome membrane {GO:0055038}; synaptic vesicle {GO:0008021}; trans-Golgi network {GO:0005802}</t>
  </si>
  <si>
    <t>G protein activity {GO:0003925}; GDP binding {GO:0019003}; GDP-dissociation inhibitor binding {GO:0051021}; GTP binding {GO:0005525}; GTPase activity {GO:0003924}; myosin V binding {GO:0031489}</t>
  </si>
  <si>
    <t>Neutrophil degranulation {R-MMU-6798695}; RAB geranylgeranylation {R-MMU-8873719}; RAB GEFs exchange GTP for GDP on RABs {R-MMU-8876198}</t>
  </si>
  <si>
    <t>sp|P42225|STAT1_MOUSE</t>
  </si>
  <si>
    <t>Signal transducer and activator of transcription 1</t>
  </si>
  <si>
    <t>STAT1_MOUSE</t>
  </si>
  <si>
    <t>P42225</t>
  </si>
  <si>
    <t>MGI:103063</t>
  </si>
  <si>
    <t>Acetylation; Activator; ADP-ribosylation; Coiled coil; Cytoplasm; DNA-binding; Isopeptide bond; Methylation; Nucleus; Phosphoprotein; SH2 domain; Transcription; Transcription regulation; Ubl conjugation</t>
  </si>
  <si>
    <t>Coiled coil; SH2 domain</t>
  </si>
  <si>
    <t>ADP-ribosylation; Acetylation; Isopeptide bond; Methylation; Phosphoprotein; Ubl conjugation</t>
  </si>
  <si>
    <t>activation of cysteine-type endopeptidase activity involved in apoptotic process {GO:0006919}; blood circulation {GO:0008015}; cell population proliferation {GO:0008283}; cellular response to cytokine stimulus {GO:0071345}; cellular response to interferon-beta {GO:0035458}; cellular response to interferon-gamma {GO:0071346}; cellular response to lipopolysaccharide {GO:0071222}; cellular response to organic cyclic compound {GO:0071407}; cytokine-mediated signaling pathway {GO:0019221}; defense response {GO:0006952}; defense response to virus {GO:0051607}; DNA-templated transcription {GO:0006351}; interferon-gamma-mediated signaling pathway {GO:0060333}; interleukin-27-mediated signaling pathway {GO:0070106}; lipopolysaccharide-mediated signaling pathway {GO:0031663}; macrophage derived foam cell differentiation {GO:0010742}; metanephric mesenchymal cell differentiation {GO:0072162}; metanephric mesenchymal cell proliferation involved in metanephros development {GO:0072136}; negative regulation by virus of viral protein levels in host cell {GO:0046725}; negative regulation of angiogenesis {GO:0016525}; negative regulation of endothelial cell proliferation {GO:0001937}; negative regulation of I-kappaB kinase/NF-kappaB signaling {GO:0043124}; negative regulation of macrophage fusion {GO:0034240}; negative regulation of mesenchymal to epithelial transition involved in metanephros morphogenesis {GO:0003340}; negative regulation of metanephric nephron tubule epithelial cell differentiation {GO:0072308}; negative regulation of transcription by RNA polymerase II {GO:0000122}; positive regulation of defense response to virus by host {GO:0002230}; positive regulation of DNA-templated transcription {GO:0045893}; positive regulation of erythrocyte differentiation {GO:0045648}; positive regulation of interferon-alpha production {GO:0032727}; positive regulation of mesenchymal cell proliferation {GO:0002053}; positive regulation of smooth muscle cell proliferation {GO:0048661}; positive regulation of transcription by RNA polymerase II {GO:0045944}; receptor signaling pathway via JAK-STAT {GO:0007259}; regulation of cell population proliferation {GO:0042127}; regulation of transcription by RNA polymerase II {GO:0006357}; renal tubule development {GO:0061326}; response to bacterium {GO:0009617}; response to cAMP {GO:0051591}; response to cytokine {GO:0034097}; response to exogenous dsRNA {GO:0043330}; response to interferon-beta {GO:0035456}; response to lipopolysaccharide {GO:0032496}; response to peptide hormone {GO:0043434}; response to type I interferon {GO:0034340}; tumor necrosis factor-mediated signaling pathway {GO:0033209}; type I interferon signaling pathway {GO:0060337}</t>
  </si>
  <si>
    <t>axon {GO:0030424}; chromatin {GO:0000785}; cytoplasm {GO:0005737}; cytosol {GO:0005829}; dendrite {GO:0030425}; ISGF3 complex {GO:0070721}; nucleolus {GO:0005730}; nucleoplasm {GO:0005654}; nucleus {GO:0005634}; perinuclear region of cytoplasm {GO:0048471}; protein-containing complex {GO:0032991}; RNA polymerase II transcription regulator complex {GO:0090575}</t>
  </si>
  <si>
    <t>CCR5 chemokine receptor binding {GO:0031730}; DNA binding {GO:0003677}; DNA-binding transcription factor activity {GO:0003700}; DNA-binding transcription factor activity, RNA polymerase II-specific {GO:0000981}; double-stranded DNA binding {GO:0003690}; enzyme binding {GO:0019899}; histone acetyltransferase binding {GO:0035035}; histone binding {GO:0042393}; identical protein binding {GO:0042802}; nuclear receptor binding {GO:0016922}; promoter-specific chromatin binding {GO:1990841}; protein homodimerization activity {GO:0042803}; protein phosphatase 2A binding {GO:0051721}; RNA polymerase II cis-regulatory region sequence-specific DNA binding {GO:0000978}; RNA polymerase II core promoter sequence-specific DNA binding {GO:0000979}; RNA polymerase II transcription regulatory region sequence-specific DNA binding {GO:0000977}; sequence-specific DNA binding {GO:0043565}; transcription coactivator binding {GO:0001223}; transcription corepressor binding {GO:0001222}; tumor necrosis factor receptor binding {GO:0005164}; ubiquitin-like protein ligase binding {GO:0044389}</t>
  </si>
  <si>
    <t>Interleukin-6 signaling {R-MMU-1059683}; ISG15 antiviral mechanism {R-MMU-1169408}; Signaling by SCF-KIT {R-MMU-1433557}; Downstream signal transduction {R-MMU-186763}; Interleukin-4 and Interleukin-13 signaling {R-MMU-6785807}; Interferon gamma signaling {R-MMU-877300}; Regulation of IFNG signaling {R-MMU-877312}; Interleukin-20 family signaling {R-MMU-8854691}; Interleukin-35 Signalling {R-MMU-8984722}; Interleukin-9 signaling {R-MMU-8985947}; Interleukin-27 signaling {R-MMU-9020956}; Interleukin-21 signaling {R-MMU-9020958}; Interferon alpha/beta signaling {R-MMU-909733}; Regulation of IFNA/IFNB signaling {R-MMU-912694}</t>
  </si>
  <si>
    <t>sp|Q8BHX3|BOREA_MOUSE</t>
  </si>
  <si>
    <t>Borealin</t>
  </si>
  <si>
    <t>Cell division cycle-associated protein 8; MESrg</t>
  </si>
  <si>
    <t>BOREA_MOUSE</t>
  </si>
  <si>
    <t>Q8BHX3</t>
  </si>
  <si>
    <t>B1ARX0; B1ARX1; Q6NVD3; Q8BHB1; Q8BHQ5; Q8BHQ9; Q9CRN4; Q9CS02; Q9CTF4</t>
  </si>
  <si>
    <t>MGI:1196274</t>
  </si>
  <si>
    <t>Alternative splicing; Cell cycle; Cell division; Centromere; Chromosome; Citrullination; Cytoplasm; Cytoskeleton; Isopeptide bond; Mitosis; Nucleus; Phosphoprotein; Ubl conjugation</t>
  </si>
  <si>
    <t>Centromere; Chromosome; Cytoplasm; Cytoskeleton; Nucleus</t>
  </si>
  <si>
    <t>chromosome organization {GO:0051276}; mitotic cell cycle {GO:0000278}; mitotic cytokinesis {GO:0000281}; mitotic metaphase plate congression {GO:0007080}; mitotic sister chromatid segregation {GO:0000070}; mitotic spindle midzone assembly {GO:0051256}; mitotic spindle organization {GO:0007052}; positive regulation of attachment of mitotic spindle microtubules to kinetochore {GO:1902425}; positive regulation of mitotic cell cycle spindle assembly checkpoint {GO:0090267}; positive regulation of mitotic cytokinesis {GO:1903490}; positive regulation of mitotic sister chromatid separation {GO:1901970}; positive regulation of protein phosphorylation {GO:0001934}; protein phosphorylation {GO:0006468}</t>
  </si>
  <si>
    <t>chromocenter {GO:0010369}; chromosome passenger complex {GO:0032133}; chromosome, centromeric region {GO:0000775}; cytoplasm {GO:0005737}; intercellular bridge {GO:0045171}; microtubule cytoskeleton {GO:0015630}; midbody {GO:0030496}; nucleolus {GO:0005730}; nucleoplasm {GO:0005654}; protein-containing complex {GO:0032991}; spindle midzone {GO:0051233}</t>
  </si>
  <si>
    <t>Amplification of signal from unattached kinetochores via a MAD2 inhibitory signal {R-MMU-141444}; Separation of Sister Chromatids {R-MMU-2467813}; Resolution of Sister Chromatid Cohesion {R-MMU-2500257}; SUMOylation of DNA replication proteins {R-MMU-4615885}; RHO GTPases Activate Formins {R-MMU-5663220}; Mitotic Prometaphase {R-MMU-68877}; EML4 and NUDC in mitotic spindle formation {R-MMU-9648025}</t>
  </si>
  <si>
    <t>sp|P84089|ERH_MOUSE</t>
  </si>
  <si>
    <t>Enhancer of rudimentary homolog (Mer)</t>
  </si>
  <si>
    <t>ERH_MOUSE</t>
  </si>
  <si>
    <t>P84089</t>
  </si>
  <si>
    <t>P70659; Q14259</t>
  </si>
  <si>
    <t>MGI:108089</t>
  </si>
  <si>
    <t>3D-structure; Acetylation; Cell cycle; Isopeptide bond; Nucleus; Phosphoprotein; Ubl conjugation</t>
  </si>
  <si>
    <t>Cell cycle</t>
  </si>
  <si>
    <t>cell cycle {GO:0007049}; osteoblast differentiation {GO:0001649}</t>
  </si>
  <si>
    <t>membrane {GO:0016020}; methylosome {GO:0034709}; midbody {GO:0030496}; nucleus {GO:0005634}</t>
  </si>
  <si>
    <t>methyl-CpG binding {GO:0008327}</t>
  </si>
  <si>
    <t>sp|Q62376|RU17_MOUSE</t>
  </si>
  <si>
    <t>U1 small nuclear ribonucleoprotein 70 kDa (U1 snRNP 70 kDa; U1-70K; snRNP70)</t>
  </si>
  <si>
    <t>RU17_MOUSE</t>
  </si>
  <si>
    <t>Q62376</t>
  </si>
  <si>
    <t>Q3UIW4</t>
  </si>
  <si>
    <t>Snrp70</t>
  </si>
  <si>
    <t>MGI:98341</t>
  </si>
  <si>
    <t>Acetylation; Alternative splicing; Isopeptide bond; Nucleus; Phosphoprotein; Ribonucleoprotein; RNA-binding; Ubl conjugation</t>
  </si>
  <si>
    <t>mRNA splicing, via spliceosome {GO:0000398}; positive regulation of mRNA splicing, via spliceosome {GO:0048026}; regulation of RNA splicing {GO:0043484}</t>
  </si>
  <si>
    <t>cytoplasm {GO:0005737}; nuclear speck {GO:0016607}; nucleoplasm {GO:0005654}; nucleus {GO:0005634}; spliceosomal complex {GO:0005681}; U1 snRNP {GO:0005685}; U2-type prespliceosome {GO:0071004}</t>
  </si>
  <si>
    <t>mRNA binding {GO:0003729}; RNA binding {GO:0003723}; snRNA binding {GO:0017069}; U1 snRNA binding {GO:0030619}; U1 snRNP binding {GO:1990446}</t>
  </si>
  <si>
    <t>sp|Q60737|CSK21_MOUSE</t>
  </si>
  <si>
    <t>Casein kinase II subunit alpha (CK II alpha)</t>
  </si>
  <si>
    <t>CSK21_MOUSE</t>
  </si>
  <si>
    <t>Q60737</t>
  </si>
  <si>
    <t>Q8R0X4</t>
  </si>
  <si>
    <t>Ckiia</t>
  </si>
  <si>
    <t>MGI:88543</t>
  </si>
  <si>
    <t>Apoptosis; ATP-binding; Biological rhythms; Cell cycle; Kinase; Nucleotide-binding; Nucleus; Phosphoprotein; Serine/threonine-protein kinase; Transcription; Transcription regulation; Transferase; Wnt signaling pathway</t>
  </si>
  <si>
    <t>Apoptosis; Biological rhythms; Cell cycle; Transcription; Transcription regulation; Wnt signaling pathway</t>
  </si>
  <si>
    <t>apoptotic process {GO:0006915}; cell cycle {GO:0007049}; cerebral cortex development {GO:0021987}; liver regeneration {GO:0097421}; negative regulation of cysteine-type endopeptidase activity involved in apoptotic process {GO:0043154}; peptidyl-serine phosphorylation {GO:0018105}; peptidyl-threonine phosphorylation {GO:0018107}; positive regulation of cell growth {GO:0030307}; positive regulation of cell population proliferation {GO:0008284}; positive regulation of protein catabolic process {GO:0045732}; positive regulation of Wnt signaling pathway {GO:0030177}; protein autophosphorylation {GO:0046777}; protein phosphorylation {GO:0006468}; regulation of cell cycle {GO:0051726}; regulation of chromosome separation {GO:1905818}; regulation of protein localization to plasma membrane {GO:1903076}; response to testosterone {GO:0033574}; rhythmic process {GO:0048511}; Wnt signaling pathway {GO:0016055}</t>
  </si>
  <si>
    <t>chromatin {GO:0000785}; cytoplasm {GO:0005737}; cytosol {GO:0005829}; nucleoplasm {GO:0005654}; nucleus {GO:0005634}; NuRD complex {GO:0016581}; PcG protein complex {GO:0031519}; plasma membrane {GO:0005886}; protein kinase CK2 complex {GO:0005956}; Sin3 complex {GO:0016580}</t>
  </si>
  <si>
    <t>ATP binding {GO:0005524}; beta-catenin binding {GO:0008013}; identical protein binding {GO:0042802}; kinase activity {GO:0016301}; protein N-terminus binding {GO:0047485}; protein phosphatase regulator activity {GO:0019888}; protein serine kinase activity {GO:0106310}; protein serine/threonine kinase activity {GO:0004674}; ribonucleoprotein complex binding {GO:0043021}</t>
  </si>
  <si>
    <t>Synthesis of PC {R-MMU-1483191}; WNT mediated activation of DVL {R-MMU-201688}; Condensation of Prometaphase Chromosomes {R-MMU-2514853}; Signal transduction by L1 {R-MMU-445144}; Regulation of TP53 Activity through Phosphorylation {R-MMU-6804756}; Cooperation of PDCL (PhLP1) and TRiC/CCT in G-protein beta folding {R-MMU-6814122}; Receptor Mediated Mitophagy {R-MMU-8934903}; RUNX1 interacts with co-factors whose precise effect on RUNX1 targets is not known {R-MMU-8939243}; Regulation of PTEN stability and activity {R-MMU-8948751}</t>
  </si>
  <si>
    <t>sp|Q3ULJ0|GPD1L_MOUSE</t>
  </si>
  <si>
    <t>Glycerol-3-phosphate dehydrogenase 1-like protein</t>
  </si>
  <si>
    <t>GPD1L_MOUSE</t>
  </si>
  <si>
    <t>Q3ULJ0</t>
  </si>
  <si>
    <t>Q6A0D2; Q8BVZ7; Q8BWM5; Q8CFN6</t>
  </si>
  <si>
    <t>Kiaa0089</t>
  </si>
  <si>
    <t>MGI:1289257</t>
  </si>
  <si>
    <t>Alternative splicing; Cytoplasm; NAD; Oxidoreductase</t>
  </si>
  <si>
    <t>carbohydrate metabolic process {GO:0005975}; glycerol-3-phosphate catabolic process {GO:0046168}; NAD metabolic process {GO:0019674}; NADH metabolic process {GO:0006734}; negative regulation of peptidyl-serine phosphorylation {GO:0033137}; negative regulation of protein kinase C signaling {GO:0090038}; positive regulation of protein localization to cell surface {GO:2000010}; positive regulation of sodium ion transport {GO:0010765}; regulation of heart rate {GO:0002027}; regulation of sodium ion transmembrane transporter activity {GO:2000649}; regulation of ventricular cardiac muscle cell membrane depolarization {GO:0060373}; ventricular cardiac muscle cell action potential {GO:0086005}</t>
  </si>
  <si>
    <t>cytosol {GO:0005829}; glycerol-3-phosphate dehydrogenase complex {GO:0009331}; membrane {GO:0016020}; plasma membrane {GO:0005886}</t>
  </si>
  <si>
    <t>NAD binding {GO:0051287}; oxidoreductase activity, acting on the CH-OH group of donors, NAD or NADP as acceptor {GO:0016616}; protein homodimerization activity {GO:0042803}; sodium channel regulator activity {GO:0017080}; transmembrane transporter binding {GO:0044325}</t>
  </si>
  <si>
    <t>Synthesis of PA {R-MMU-1483166}</t>
  </si>
  <si>
    <t>sp|P23506|PIMT_MOUSE</t>
  </si>
  <si>
    <t>Protein-L-isoaspartate(D-aspartate) O-methyltransferase (PIMT)</t>
  </si>
  <si>
    <t>L-isoaspartyl protein carboxyl methyltransferase; Protein L-isoaspartyl/D-aspartyl methyltransferase; Protein-beta-aspartate methyltransferase</t>
  </si>
  <si>
    <t>PIMT_MOUSE</t>
  </si>
  <si>
    <t>P23506</t>
  </si>
  <si>
    <t>Q810R4</t>
  </si>
  <si>
    <t>MGI:97502</t>
  </si>
  <si>
    <t>Acetylation; Alternative splicing; Cytoplasm; Methyltransferase; S-adenosyl-L-methionine; Transferase</t>
  </si>
  <si>
    <t>negative regulation of cardiac muscle cell apoptotic process {GO:0010667}; protein methylation {GO:0006479}; S-adenosylhomocysteine metabolic process {GO:0046498}; S-adenosylmethionine metabolic process {GO:0046500}</t>
  </si>
  <si>
    <t>basolateral plasma membrane {GO:0016323}; brush border membrane {GO:0031526}; cytoplasm {GO:0005737}; cytosol {GO:0005829}; extracellular space {GO:0005615}; neuron projection {GO:0043005}; perikaryon {GO:0043204}</t>
  </si>
  <si>
    <t>protein-L-isoaspartate (D-aspartate) O-methyltransferase activity {GO:0004719}; S-adenosylmethionine-dependent methyltransferase activity {GO:0008757}</t>
  </si>
  <si>
    <t>Protein repair {R-MMU-5676934}</t>
  </si>
  <si>
    <t>sp|Q8VI75|IPO4_MOUSE</t>
  </si>
  <si>
    <t>Importin-4 (Imp4)</t>
  </si>
  <si>
    <t>Importin-4a (Imp4a); Ran-binding protein 4 (RanBP4)</t>
  </si>
  <si>
    <t>IPO4_MOUSE</t>
  </si>
  <si>
    <t>Q8VI75</t>
  </si>
  <si>
    <t>Q3TBW0; Q99J52</t>
  </si>
  <si>
    <t>Imp4a; Ranbp4</t>
  </si>
  <si>
    <t>MGI:1923001</t>
  </si>
  <si>
    <t>Acetylation; Cytoplasm; Nucleus; Protein transport; Repeat; Transport</t>
  </si>
  <si>
    <t>DNA replication-dependent chromatin assembly {GO:0006335}; DNA replication-independent chromatin assembly {GO:0006336}; protein import into nucleus {GO:0006606}; ribosome biogenesis {GO:0042254}</t>
  </si>
  <si>
    <t>chromatin {GO:0000785}; cytoplasm {GO:0005737}; nucleus {GO:0005634}; protein-containing complex {GO:0032991}</t>
  </si>
  <si>
    <t>sp|P47964|RL36_MOUSE</t>
  </si>
  <si>
    <t>60S ribosomal protein L36</t>
  </si>
  <si>
    <t>RL36_MOUSE</t>
  </si>
  <si>
    <t>P47964</t>
  </si>
  <si>
    <t>MGI:1860603</t>
  </si>
  <si>
    <t>cytoplasm {GO:0005737}; cytosol {GO:0005829}; cytosolic large ribosomal subunit {GO:0022625}; cytosolic ribosome {GO:0022626}; endoplasmic reticulum {GO:0005783}; nucleolus {GO:0005730}; polysomal ribosome {GO:0042788}; synapse {GO:0045202}</t>
  </si>
  <si>
    <t>sp|B1AUH1|PTPRU_MOUSE</t>
  </si>
  <si>
    <t>Receptor-type tyrosine-protein phosphatase U (R-PTP-U)</t>
  </si>
  <si>
    <t>Ftp-1; Pancreatic carcinoma phosphatase 2 (PCP-2); Protein-tyrosine phosphatase-lamda (PTP-lambda; PTPlambda); Receptor-type protein-tyrosine phosphatase psi (R-PTP-psi)</t>
  </si>
  <si>
    <t>PTPRU_MOUSE</t>
  </si>
  <si>
    <t>B1AUH1</t>
  </si>
  <si>
    <t>O35564; P70125; Q3V312; Q66JV9</t>
  </si>
  <si>
    <t>Pcp2; Ptpf</t>
  </si>
  <si>
    <t>MGI:1321151</t>
  </si>
  <si>
    <t>Alternative splicing; Cell adhesion; Cell junction; Cell membrane; Differentiation; Disulfide bond; Glycoprotein; Hydrolase; Immunoglobulin domain; Membrane; Phosphoprotein; Protein phosphatase; Receptor; Repeat; Signal; Transmembrane; Transmembrane helix</t>
  </si>
  <si>
    <t>Hydrolase; Protein phosphatase; Receptor</t>
  </si>
  <si>
    <t>animal organ regeneration {GO:0031100}; cell differentiation {GO:0030154}; homotypic cell-cell adhesion {GO:0034109}; negative regulation of canonical Wnt signaling pathway {GO:0090090}; negative regulation of cell migration {GO:0030336}; negative regulation of cell population proliferation {GO:0008285}; positive regulation of cell-cell adhesion mediated by cadherin {GO:2000049}; protein dephosphorylation {GO:0006470}; protein localization to cell surface {GO:0034394}; response to glucocorticoid {GO:0051384}</t>
  </si>
  <si>
    <t>cell-cell junction {GO:0005911}; integral component of membrane {GO:0016021}; plasma membrane {GO:0005886}</t>
  </si>
  <si>
    <t>beta-catenin binding {GO:0008013}; protein tyrosine phosphatase activity {GO:0004725}</t>
  </si>
  <si>
    <t>Signaling by SCF-KIT {R-MMU-1433557}</t>
  </si>
  <si>
    <t>sp|P59999|ARPC4_MOUSE</t>
  </si>
  <si>
    <t>Actin-related protein 2/3 complex subunit 4</t>
  </si>
  <si>
    <t>Arp2/3 complex 20 kDa subunit (p20-ARC)</t>
  </si>
  <si>
    <t>ARPC4_MOUSE</t>
  </si>
  <si>
    <t>P59999</t>
  </si>
  <si>
    <t>O15509; Q3UWV4</t>
  </si>
  <si>
    <t>Arc20</t>
  </si>
  <si>
    <t>MGI:1915339</t>
  </si>
  <si>
    <t>3D-structure; Acetylation; Actin-binding; Cell projection; Cytoplasm; Cytoskeleton; Nucleus</t>
  </si>
  <si>
    <t>actin filament polymerization {GO:0030041}; Arp2/3 complex-mediated actin nucleation {GO:0034314}; regulation of actin filament polymerization {GO:0030833}</t>
  </si>
  <si>
    <t>Arp2/3 protein complex {GO:0005885}; cell projection {GO:0042995}; cytoplasm {GO:0005737}; nucleus {GO:0005634}; site of double-strand break {GO:0035861}</t>
  </si>
  <si>
    <t>actin filament binding {GO:0051015}; enzyme binding {GO:0019899}; protein-macromolecule adaptor activity {GO:0030674}; structural constituent of cytoskeleton {GO:0005200}</t>
  </si>
  <si>
    <t>sp|Q9CY27|TECR_MOUSE</t>
  </si>
  <si>
    <t>Very-long-chain enoyl-CoA reductase</t>
  </si>
  <si>
    <t>Synaptic glycoprotein SC2; Trans-2,3-enoyl-CoA reductase (TER)</t>
  </si>
  <si>
    <t>TECR_MOUSE</t>
  </si>
  <si>
    <t>Q9CY27</t>
  </si>
  <si>
    <t>Gpsn2</t>
  </si>
  <si>
    <t>MGI:1915408</t>
  </si>
  <si>
    <t>Acetylation; Endoplasmic reticulum; Fatty acid biosynthesis; Fatty acid metabolism; Glycoprotein; Lipid biosynthesis; Lipid metabolism; Membrane; NADP; Oxidoreductase; Phosphoprotein; Sphingolipid metabolism; Steroid biosynthesis; Transmembrane; Transmembrane helix</t>
  </si>
  <si>
    <t>Fatty acid biosynthesis; Fatty acid metabolism; Lipid biosynthesis; Lipid metabolism; Sphingolipid metabolism; Steroid biosynthesis</t>
  </si>
  <si>
    <t>fatty acid elongation {GO:0030497}; sphingolipid metabolic process {GO:0006665}; steroid biosynthetic process {GO:0006694}; very long-chain fatty acid biosynthetic process {GO:0042761}</t>
  </si>
  <si>
    <t>oxidoreductase activity {GO:0016491}; very-long-chain enoyl-CoA reductase activity {GO:0102758}</t>
  </si>
  <si>
    <t>Lipid metabolism; sphingolipid metabolism.</t>
  </si>
  <si>
    <t>Synthesis of very long-chain fatty acyl-CoAs {R-MMU-75876}</t>
  </si>
  <si>
    <t>sp|Q9CZN7|GLYM_MOUSE</t>
  </si>
  <si>
    <t>sp|Q3TLH4|PRC2C_MOUSE</t>
  </si>
  <si>
    <t>Protein PRRC2C</t>
  </si>
  <si>
    <t>BAT2 domain-containing protein 1; HLA-B-associated transcript 2-like 2; Proline-rich and coiled-coil-containing protein 2C</t>
  </si>
  <si>
    <t>PRC2C_MOUSE</t>
  </si>
  <si>
    <t>Q3TLH4</t>
  </si>
  <si>
    <t>E9QKG5; Q05CS4; Q05DM5; Q3TKF3; Q3UXU5; Q4FZE4; Q66K03; Q6P3F4; Q80TK3; Q80YR0; Q8BMJ4; Q8C1K7; Q8CGH3</t>
  </si>
  <si>
    <t>Bat2d; Bat2d1; Bat2l2; Kiaa1096</t>
  </si>
  <si>
    <t>MGI:1913754</t>
  </si>
  <si>
    <t>Acetylation; Alternative splicing; Coiled coil; Cytoplasm; Isopeptide bond; Methylation; Phosphoprotein; Ubl conjugation</t>
  </si>
  <si>
    <t>cell differentiation {GO:0030154}; hematopoietic progenitor cell differentiation {GO:0002244}; stress granule assembly {GO:0034063}</t>
  </si>
  <si>
    <t>cytoplasmic stress granule {GO:0010494}; cytosol {GO:0005829}</t>
  </si>
  <si>
    <t>protein C-terminus binding {GO:0008022}</t>
  </si>
  <si>
    <t>sp|P97370|AT1B3_MOUSE</t>
  </si>
  <si>
    <t>Sodium/potassium-transporting ATPase subunit beta-3</t>
  </si>
  <si>
    <t>Sodium/potassium-dependent ATPase subunit beta-3 (ATPB-3); CD_antigen=CD298</t>
  </si>
  <si>
    <t>AT1B3_MOUSE</t>
  </si>
  <si>
    <t>P97370</t>
  </si>
  <si>
    <t>MGI:107788</t>
  </si>
  <si>
    <t>Cell membrane; Disulfide bond; Glycoprotein; Ion transport; Membrane; Potassium; Potassium transport; Signal-anchor; Sodium; Sodium transport; Sodium/potassium transport; Transmembrane; Transmembrane helix; Transport</t>
  </si>
  <si>
    <t>Potassium; Sodium</t>
  </si>
  <si>
    <t>cellular potassium ion homeostasis {GO:0030007}; cellular sodium ion homeostasis {GO:0006883}; membrane repolarization {GO:0086009}; metal ion transport {GO:0030001}; positive regulation of ATP-dependent activity {GO:0032781}; positive regulation of potassium ion import across plasma membrane {GO:1903288}; positive regulation of potassium ion transmembrane transporter activity {GO:1901018}; positive regulation of sodium ion export across plasma membrane {GO:1903278}; potassium ion import across plasma membrane {GO:1990573}; potassium ion transmembrane transport {GO:0071805}; potassium ion transport {GO:0006813}; protein localization to plasma membrane {GO:0072659}; protein stabilization {GO:0050821}; sodium ion export across plasma membrane {GO:0036376}; sodium ion transmembrane transport {GO:0035725}; sodium ion transport {GO:0006814}</t>
  </si>
  <si>
    <t>apical plasma membrane {GO:0016324}; basolateral plasma membrane {GO:0016323}; caveola {GO:0005901}; cytoplasm {GO:0005737}; melanosome {GO:0042470}; plasma membrane {GO:0005886}; sodium:potassium-exchanging ATPase complex {GO:0005890}; sperm flagellum {GO:0036126}</t>
  </si>
  <si>
    <t>ATPase activator activity {GO:0001671}; ATPase binding {GO:0051117}; P-type sodium:potassium-exchanging transporter activity {GO:0005391}; protein-macromolecule adaptor activity {GO:0030674}</t>
  </si>
  <si>
    <t>sp|P47941|CRKL_MOUSE</t>
  </si>
  <si>
    <t>Crk-like protein</t>
  </si>
  <si>
    <t>CRKL_MOUSE</t>
  </si>
  <si>
    <t>P47941</t>
  </si>
  <si>
    <t>Q3TQ18; Q8BGC5</t>
  </si>
  <si>
    <t>Crkol</t>
  </si>
  <si>
    <t>MGI:104686</t>
  </si>
  <si>
    <t>Phosphoprotein; Repeat; SH2 domain; SH3 domain</t>
  </si>
  <si>
    <t>acetylcholine receptor signaling pathway {GO:0095500}; activation of GTPase activity {GO:0090630}; animal organ morphogenesis {GO:0009887}; anterior/posterior pattern specification {GO:0009952}; B cell apoptotic process {GO:0001783}; blood vessel development {GO:0001568}; cell chemotaxis {GO:0060326}; cell migration {GO:0016477}; cellular response to interleukin-7 {GO:0098761}; cellular response to transforming growth factor beta stimulus {GO:0071560}; cellular response to xenobiotic stimulus {GO:0071466}; cerebellar neuron development {GO:0098749}; cerebral cortex development {GO:0021987}; cranial skeletal system development {GO:1904888}; dendrite development {GO:0016358}; endothelin receptor signaling pathway {GO:0086100}; establishment of cell polarity {GO:0030010}; fibroblast growth factor receptor signaling pathway {GO:0008543}; heart development {GO:0007507}; helper T cell diapedesis {GO:0035685}; hippocampus development {GO:0021766}; lipid metabolic process {GO:0006629}; male gonad development {GO:0008584}; negative regulation of gene expression {GO:0010629}; negative regulation of protein phosphorylation {GO:0001933}; neuron migration {GO:0001764}; outflow tract morphogenesis {GO:0003151}; parathyroid gland development {GO:0060017}; pattern specification process {GO:0007389}; pharynx development {GO:0060465}; positive regulation of cell population proliferation {GO:0008284}; positive regulation of ERK1 and ERK2 cascade {GO:0070374}; positive regulation of glial cell migration {GO:1903977}; positive regulation of MAPK cascade {GO:0043410}; positive regulation of protein phosphorylation {GO:0001934}; positive regulation of substrate adhesion-dependent cell spreading {GO:1900026}; reelin-mediated signaling pathway {GO:0038026}; regulation of cell adhesion mediated by integrin {GO:0033628}; regulation of cell growth {GO:0001558}; regulation of dendrite development {GO:0050773}; regulation of gene expression {GO:0010468}; regulation of leukocyte migration {GO:0002685}; regulation of skeletal muscle acetylcholine-gated channel clustering {GO:1904393}; regulation of T cell migration {GO:2000404}; response to fibroblast growth factor {GO:0071774}; retinoic acid receptor signaling pathway {GO:0048384}; signal transduction {GO:0007165}; single fertilization {GO:0007338}; spermatogenesis {GO:0007283}; synapse assembly {GO:0007416}; T cell receptor signaling pathway {GO:0050852}; thymus development {GO:0048538}; urogenital system development {GO:0001655}</t>
  </si>
  <si>
    <t>cytoplasm {GO:0005737}; cytosol {GO:0005829}; extrinsic component of postsynaptic membrane {GO:0098890}; neuromuscular junction {GO:0031594}; nucleoplasm {GO:0005654}; protein-containing complex {GO:0032991}; synapse {GO:0045202}</t>
  </si>
  <si>
    <t>identical protein binding {GO:0042802}; phosphotyrosine residue binding {GO:0001784}; receptor tyrosine kinase binding {GO:0030971}; RNA polymerase II-specific DNA-binding transcription factor binding {GO:0061629}; signaling adaptor activity {GO:0035591}</t>
  </si>
  <si>
    <t>Frs2-mediated activation {R-MMU-170968}; Downstream signal transduction {R-MMU-186763}; MET activates RAP1 and RAC1 {R-MMU-8875555}; MET receptor recycling {R-MMU-8875656}; Erythropoietin activates RAS {R-MMU-9027284}; Regulation of signaling by CBL {R-MMU-912631}</t>
  </si>
  <si>
    <t>sp|D3Z4I3|RBM24_MOUSE</t>
  </si>
  <si>
    <t>RNA-binding protein 24</t>
  </si>
  <si>
    <t>RNA-binding motif protein 24</t>
  </si>
  <si>
    <t>RBM24_MOUSE</t>
  </si>
  <si>
    <t>D3Z4I3</t>
  </si>
  <si>
    <t>MGI:3610364</t>
  </si>
  <si>
    <t>Cytoplasm; Differentiation; mRNA processing; mRNA splicing; Nucleus; RNA-binding; Translation regulation</t>
  </si>
  <si>
    <t>Differentiation; Translation regulation; mRNA processing; mRNA splicing</t>
  </si>
  <si>
    <t>3'-UTR-mediated mRNA destabilization {GO:0061158}; cell differentiation {GO:0030154}; cellular response to DNA damage stimulus {GO:0006974}; endocardial cushion development {GO:0003197}; mRNA destabilization {GO:0061157}; mRNA processing {GO:0006397}; mRNA stabilization {GO:0048255}; negative regulation of cytoplasmic translation {GO:2000766}; positive regulation of 3'-UTR-mediated mRNA stabilization {GO:1905870}; positive regulation of myoblast differentiation {GO:0045663}; positive regulation of myotube differentiation {GO:0010831}; positive regulation of skeletal muscle fiber differentiation {GO:1902811}; positive regulation of stem cell differentiation {GO:2000738}; regulation of alternative mRNA splicing, via spliceosome {GO:0000381}; regulation of mRNA stability {GO:0043488}; regulation of myotube differentiation {GO:0010830}; RNA splicing {GO:0008380}</t>
  </si>
  <si>
    <t>mRNA 3'-UTR AU-rich region binding {GO:0035925}; mRNA 3'-UTR binding {GO:0003730}; mRNA CDS binding {GO:1990715}; pre-mRNA intronic binding {GO:0097157}; sequence-specific mRNA binding {GO:1990825}</t>
  </si>
  <si>
    <t>sp|P97496|SMRC1_MOUSE</t>
  </si>
  <si>
    <t>SWI/SNF complex subunit SMARCC1</t>
  </si>
  <si>
    <t>BRG1-associated factor 155; SWI/SNF complex 155 kDa subunit; SWI/SNF-related matrix-associated actin-dependent regulator of chromatin subfamily C member 1; SWI3-related protein (BAF155)</t>
  </si>
  <si>
    <t>SMRC1_MOUSE</t>
  </si>
  <si>
    <t>P97496</t>
  </si>
  <si>
    <t>Q7TS80; Q7TT29</t>
  </si>
  <si>
    <t>Baf155; Srg3</t>
  </si>
  <si>
    <t>MGI:1203524</t>
  </si>
  <si>
    <t>Acetylation; Alternative splicing; Chromatin regulator; Coiled coil; Cytoplasm; Isopeptide bond; Methylation; Neurogenesis; Nucleus; Phosphoprotein; Transcription; Transcription regulation; Ubl conjugation</t>
  </si>
  <si>
    <t>Neurogenesis; Transcription; Transcription regulation</t>
  </si>
  <si>
    <t>Chromatin regulator</t>
  </si>
  <si>
    <t>animal organ morphogenesis {GO:0009887}; chromatin remodeling {GO:0006338}; chromosome organization {GO:0051276}; insulin receptor signaling pathway {GO:0008286}; negative regulation of cell differentiation {GO:0045596}; negative regulation of proteasomal ubiquitin-dependent protein catabolic process {GO:0032435}; nervous system development {GO:0007399}; nucleosome disassembly {GO:0006337}; positive regulation of cell differentiation {GO:0045597}; positive regulation of cell population proliferation {GO:0008284}; positive regulation of DNA-templated transcription {GO:0045893}; positive regulation of double-strand break repair {GO:2000781}; positive regulation of myoblast differentiation {GO:0045663}; positive regulation of stem cell population maintenance {GO:1902459}; positive regulation of T cell differentiation {GO:0045582}; positive regulation of transcription by RNA polymerase II {GO:0045944};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</t>
  </si>
  <si>
    <t>brahma complex {GO:0035060}; chromatin {GO:0000785}; cytoplasm {GO:0005737}; GBAF complex {GO:0140288}; kinetochore {GO:0000776}; male germ cell nucleus {GO:0001673}; nBAF complex {GO:0071565}; npBAF complex {GO:0071564}; nuclear matrix {GO:0016363}; nucleoplasm {GO:0005654}; nucleus {GO:0005634}; RSC-type complex {GO:0016586}; SWI/SNF complex {GO:0016514}; XY body {GO:0001741}</t>
  </si>
  <si>
    <t>chromatin binding {GO:0003682}; histone binding {GO:0042393}; protein N-terminus binding {GO:0047485}</t>
  </si>
  <si>
    <t>RMTs methylate histone arginines {R-MMU-3214858}; RUNX1 interacts with co-factors whose precise effect on RUNX1 targets is not known {R-MMU-8939243}</t>
  </si>
  <si>
    <t>sp|Q78JW9|UBFD1_MOUSE</t>
  </si>
  <si>
    <t>Ubiquitin domain-containing protein UBFD1</t>
  </si>
  <si>
    <t>UBFD1_MOUSE</t>
  </si>
  <si>
    <t>Q78JW9</t>
  </si>
  <si>
    <t>D7Wsu128e</t>
  </si>
  <si>
    <t>MGI:107301</t>
  </si>
  <si>
    <t>sp|Q7TNC4|LC7L2_MOUSE</t>
  </si>
  <si>
    <t>Putative RNA-binding protein Luc7-like 2</t>
  </si>
  <si>
    <t>CGI-74 homolog</t>
  </si>
  <si>
    <t>LC7L2_MOUSE</t>
  </si>
  <si>
    <t>Q7TNC4</t>
  </si>
  <si>
    <t>Q99LM5; Q99PC3</t>
  </si>
  <si>
    <t>MGI:2183260</t>
  </si>
  <si>
    <t>Alternative splicing; Coiled coil; Hydroxylation; Nucleus; Phosphoprotein</t>
  </si>
  <si>
    <t>mRNA splice site selection {GO:0006376}</t>
  </si>
  <si>
    <t>nuclear speck {GO:0016607}; U1 snRNP {GO:0005685}; U2-type prespliceosome {GO:0071004}</t>
  </si>
  <si>
    <t>enzyme binding {GO:0019899}; mRNA binding {GO:0003729}</t>
  </si>
  <si>
    <t>sp|Q505F5|LRC47_MOUSE</t>
  </si>
  <si>
    <t>Leucine-rich repeat-containing protein 47</t>
  </si>
  <si>
    <t>LRC47_MOUSE</t>
  </si>
  <si>
    <t>Q505F5</t>
  </si>
  <si>
    <t>Q3U380; Q6ZPW2; Q9CUZ0</t>
  </si>
  <si>
    <t>Kiaa1185</t>
  </si>
  <si>
    <t>MGI:1920196</t>
  </si>
  <si>
    <t>Coiled coil; Leucine-rich repeat; Phosphoprotein; Repeat</t>
  </si>
  <si>
    <t>Coiled coil; Leucine-rich repeat; Repeat</t>
  </si>
  <si>
    <t>phenylalanyl-tRNA aminoacylation {GO:0006432}</t>
  </si>
  <si>
    <t>phenylalanine-tRNA ligase activity {GO:0004826}; RNA binding {GO:0003723}</t>
  </si>
  <si>
    <t>sp|Q9CXY6|ILF2_MOUSE</t>
  </si>
  <si>
    <t>Interleukin enhancer-binding factor 2</t>
  </si>
  <si>
    <t>Nuclear factor of activated T-cells 45 kDa</t>
  </si>
  <si>
    <t>ILF2_MOUSE</t>
  </si>
  <si>
    <t>Q9CXY6</t>
  </si>
  <si>
    <t>Q3U083; Q5RKG0; Q8CCY9; Q99KS3</t>
  </si>
  <si>
    <t>Nf45</t>
  </si>
  <si>
    <t>MGI:1915031</t>
  </si>
  <si>
    <t>3D-structure; Activator; Cytoplasm; DNA-binding; Isopeptide bond; Methylation; Nucleus; Phosphoprotein; Transcription; Transcription regulation; Ubl conjugation</t>
  </si>
  <si>
    <t>positive regulation of DNA-templated transcription {GO:0045893}</t>
  </si>
  <si>
    <t>cytoplasm {GO:0005737}; nucleolus {GO:0005730}; nucleoplasm {GO:0005654}; nucleus {GO:0005634}; ribonucleoprotein complex {GO:1990904}</t>
  </si>
  <si>
    <t>DNA binding {GO:0003677}; double-stranded RNA binding {GO:0003725}</t>
  </si>
  <si>
    <t>sp|Q921M3|SF3B3_MOUSE</t>
  </si>
  <si>
    <t>Splicing factor 3B subunit 3</t>
  </si>
  <si>
    <t>Pre-mRNA-splicing factor SF3b 130 kDa subunit (SF3b130); Spliceosome-associated protein 130 (SAP 130)</t>
  </si>
  <si>
    <t>SF3B3_MOUSE</t>
  </si>
  <si>
    <t>Q921M3</t>
  </si>
  <si>
    <t>Q3UGI3; Q6ZQL0; Q8BUD9; Q8K2J8</t>
  </si>
  <si>
    <t>Kiaa0017</t>
  </si>
  <si>
    <t>MGI:1289341</t>
  </si>
  <si>
    <t>3D-structure; Alternative splicing; mRNA processing; mRNA splicing; Nucleus; Phosphoprotein; Spliceosome</t>
  </si>
  <si>
    <t>histone H3 acetylation {GO:0043966}; monoubiquitinated histone deubiquitination {GO:0035521}; monoubiquitinated histone H2A deubiquitination {GO:0035522}; mRNA splicing, via spliceosome {GO:0000398}; negative regulation of protein catabolic process {GO:0042177}; positive regulation of DNA-templated transcription {GO:0045893}; regulation of DNA repair {GO:0006282}; regulation of RNA splicing {GO:0043484}</t>
  </si>
  <si>
    <t>catalytic step 2 spliceosome {GO:0071013}; nucleolus {GO:0005730}; nucleoplasm {GO:0005654}; nucleus {GO:0005634}; SAGA complex {GO:0000124}; U12-type spliceosomal complex {GO:0005689}; U2 snRNP {GO:0005686}; U2-type precatalytic spliceosome {GO:0071005}; U2-type spliceosomal complex {GO:0005684}</t>
  </si>
  <si>
    <t>protein-containing complex binding {GO:0044877}; U2 snRNA binding {GO:0030620}</t>
  </si>
  <si>
    <t>sp|Q3B7Z2|OSBP1_MOUSE</t>
  </si>
  <si>
    <t>Oxysterol-binding protein 1</t>
  </si>
  <si>
    <t>OSBP1_MOUSE</t>
  </si>
  <si>
    <t>Q3B7Z2</t>
  </si>
  <si>
    <t>E9QPD4; Q3V163; Q52KH7; Q570Y8</t>
  </si>
  <si>
    <t>Kiaa4220</t>
  </si>
  <si>
    <t>MGI:97447</t>
  </si>
  <si>
    <t>Acetylation; Alternative splicing; Coiled coil; Cytoplasm; Endoplasmic reticulum; Golgi apparatus; Lipid transport; Lipid-binding; Membrane; Phosphoprotein; Transport</t>
  </si>
  <si>
    <t>Cytoplasm; Endoplasmic reticulum; Golgi apparatus; Membrane</t>
  </si>
  <si>
    <t>ceramide transport {GO:0035627}; intracellular cholesterol transport {GO:0032367}; phospholipid transport {GO:0015914}; positive regulation of insulin secretion involved in cellular response to glucose stimulus {GO:0035774}; positive regulation of secretory granule organization {GO:1904411}; positive regulation of tyrosine phosphorylation of STAT protein {GO:0042531}; sphingomyelin biosynthetic process {GO:0006686}; sterol transport {GO:0015918}</t>
  </si>
  <si>
    <t>cell junction {GO:0030054}; cytoplasm {GO:0005737}; cytosol {GO:0005829}; endoplasmic reticulum membrane {GO:0005789}; Golgi apparatus {GO:0005794}; Golgi membrane {GO:0000139}; intracellular membrane-bounded organelle {GO:0043231}; membrane {GO:0016020}; nucleolus {GO:0005730}; nucleoplasm {GO:0005654}; perinuclear endoplasmic reticulum {GO:0097038}; perinuclear region of cytoplasm {GO:0048471}; plasma membrane {GO:0005886}; trans-Golgi network {GO:0005802}</t>
  </si>
  <si>
    <t>phosphatidylinositol-4-phosphate binding {GO:0070273}; protein domain specific binding {GO:0019904}; sterol binding {GO:0032934}; sterol transfer activity {GO:0120015}; sterol transporter activity {GO:0015248}</t>
  </si>
  <si>
    <t>Synthesis of bile acids and bile salts {R-MMU-192105}</t>
  </si>
  <si>
    <t>sp|Q9JHW2|NIT2_MOUSE</t>
  </si>
  <si>
    <t>Omega-amidase NIT2</t>
  </si>
  <si>
    <t>Nitrilase homolog 2</t>
  </si>
  <si>
    <t>NIT2_MOUSE</t>
  </si>
  <si>
    <t>Q9JHW2</t>
  </si>
  <si>
    <t>Q9CTG9</t>
  </si>
  <si>
    <t>D16Ertd502e</t>
  </si>
  <si>
    <t>MGI:1261838</t>
  </si>
  <si>
    <t>3D-structure; Acetylation; Cytoplasm; Hydrolase; Phosphoprotein</t>
  </si>
  <si>
    <t>asparagine metabolic process {GO:0006528}; glutamine metabolic process {GO:0006541}; oxaloacetate metabolic process {GO:0006107}</t>
  </si>
  <si>
    <t>centrosome {GO:0005813}; cytosol {GO:0005829}; mitochondrion {GO:0005739}</t>
  </si>
  <si>
    <t>2-oxoglutaramate amidase activity {GO:0106008}; omega-amidase activity {GO:0050152}</t>
  </si>
  <si>
    <t>sp|Q9Z1N5|DX39B_MOUSE</t>
  </si>
  <si>
    <t>Spliceosome RNA helicase Ddx39b</t>
  </si>
  <si>
    <t>56 kDa U2AF65-associated protein; DEAD box protein UAP56; HLA-B-associated transcript 1 protein</t>
  </si>
  <si>
    <t>DX39B_MOUSE</t>
  </si>
  <si>
    <t>Q9Z1N5</t>
  </si>
  <si>
    <t>Q8HW97</t>
  </si>
  <si>
    <t>Bat1; Bat1a; Uap56</t>
  </si>
  <si>
    <t>MGI:99240</t>
  </si>
  <si>
    <t>Acetylation; ATP-binding; Cytoplasm; Helicase; Hydrolase; Isopeptide bond; mRNA processing; mRNA splicing; mRNA transport; Nucleotide-binding; Nucleus; Phosphoprotein; RNA-binding; Spliceosome; Transport; Ubl conjugation</t>
  </si>
  <si>
    <t>mRNA export from nucleus {GO:0006406}; mRNA splicing, via spliceosome {GO:0000398}; negative regulation of DNA damage checkpoint {GO:2000002}; positive regulation of cell growth involved in cardiac muscle cell development {GO:0061051}; positive regulation of DNA biosynthetic process {GO:2000573}; positive regulation of DNA-templated transcription, elongation {GO:0032786}; positive regulation of translation {GO:0045727}; positive regulation of vascular associated smooth muscle cell proliferation {GO:1904707}; RNA secondary structure unwinding {GO:0010501}; RNA splicing {GO:0008380}; spliceosomal complex assembly {GO:0000245}; viral mRNA export from host cell nucleus {GO:0046784}</t>
  </si>
  <si>
    <t>cytoplasm {GO:0005737}; nuclear matrix {GO:0016363}; nuclear speck {GO:0016607}; nucleus {GO:0005634}; protein-containing complex {GO:0032991}; spliceosomal complex {GO:0005681}; transcription export complex {GO:0000346}; U4 snRNP {GO:0005687}; U6 snRNP {GO:0005688}</t>
  </si>
  <si>
    <t>ATP binding {GO:0005524}; ATP hydrolysis activity {GO:0016887}; ATP-dependent activity, acting on RNA {GO:0008186}; ATP-dependent protein binding {GO:0043008}; identical protein binding {GO:0042802}; protein-containing complex binding {GO:0044877}; RNA binding {GO:0003723}; RNA helicase activity {GO:0003724}; U4 snRNA binding {GO:0030621}; U6 snRNA binding {GO:0017070}</t>
  </si>
  <si>
    <t>Transport of Mature mRNA derived from an Intron-Containing Transcript {R-MMU-159236}; mRNA 3'-end processing {R-MMU-72187}; RNA Polymerase II Transcription Termination {R-MMU-73856}; RHOBTB2 GTPase cycle {R-MMU-9013418}</t>
  </si>
  <si>
    <t>sp|P11276|FINC_MOUSE</t>
  </si>
  <si>
    <t>Anastellin (FN)</t>
  </si>
  <si>
    <t>FINC_MOUSE</t>
  </si>
  <si>
    <t>P11276</t>
  </si>
  <si>
    <t>G5E8B8; Q61567; Q61568; Q61569; Q64233; Q80UI4</t>
  </si>
  <si>
    <t>MGI:95566</t>
  </si>
  <si>
    <t>3D-structure; Acute phase; Alternative splicing; Angiogenesis; Cell adhesion; Cell shape; Disulfide bond; Extracellular matrix; Glycoprotein; Heparin-binding; Isopeptide bond; Oxidation; Phosphoprotein; Pyrrolidone carboxylic acid; Repeat; Secreted; Signal; Sulfation</t>
  </si>
  <si>
    <t>Acute phase; Angiogenesis; Cell adhesion; Cell shape</t>
  </si>
  <si>
    <t>Disulfide bond; Glycoprotein; Isopeptide bond; Oxidation; Phosphoprotein; Pyrrolidone carboxylic acid; Sulfation</t>
  </si>
  <si>
    <t>acute-phase response {GO:0006953}; angiogenesis {GO:0001525}; biological process involved in interaction with symbiont {GO:0051702}; blood coagulation, fibrin clot formation {GO:0072378}; calcium-independent cell-matrix adhesion {GO:0007161}; cell activation {GO:0001775}; cell adhesion {GO:0007155}; cell-matrix adhesion {GO:0007160}; cell-substrate junction assembly {GO:0007044}; cellular response to interleukin-1 {GO:0071347}; cellular response to mercury ion {GO:0071288}; endodermal cell differentiation {GO:0035987}; extracellular matrix organization {GO:0030198}; glial cell migration {GO:0008347}; heart development {GO:0007507}; integrin activation {GO:0033622}; integrin-mediated signaling pathway {GO:0007229}; negative regulation of apoptotic process {GO:0043066}; negative regulation of collagen biosynthetic process {GO:0032966}; negative regulation of monocyte activation {GO:0150102}; negative regulation of transforming growth factor beta production {GO:0071635}; nervous system development {GO:0007399}; neural crest cell migration involved in autonomic nervous system development {GO:1901166}; peptide cross-linking {GO:0018149}; platelet aggregation {GO:0070527}; positive regulation of axon extension {GO:0045773}; positive regulation of cell migration {GO:0030335}; positive regulation of cell population proliferation {GO:0008284}; positive regulation of chemotaxis {GO:0050921}; positive regulation of fibroblast proliferation {GO:0048146}; positive regulation of gene expression {GO:0010628}; positive regulation of phosphatidylinositol 3-kinase signaling {GO:0014068}; positive regulation of substrate-dependent cell migration, cell attachment to substrate {GO:1904237}; regulation of cell shape {GO:0008360}; regulation of ERK1 and ERK2 cascade {GO:0070372}; regulation of gene expression {GO:0010468}; regulation of protein phosphorylation {GO:0001932}; substrate adhesion-dependent cell spreading {GO:0034446}; wound healing {GO:0042060}</t>
  </si>
  <si>
    <t>apical plasma membrane {GO:0016324}; basement membrane {GO:0005604}; collagen-containing extracellular matrix {GO:0062023}; endoplasmic reticulum-Golgi intermediate compartment {GO:0005793}; extracellular exosome {GO:0070062}; extracellular matrix {GO:0031012}; extracellular space {GO:0005615}; fibrinogen complex {GO:0005577}</t>
  </si>
  <si>
    <t>chaperone binding {GO:0051087}; disordered domain specific binding {GO:0097718}; enzyme binding {GO:0019899}; heparin binding {GO:0008201}; identical protein binding {GO:0042802}; integrin binding {GO:0005178}; mercury ion binding {GO:0045340}; peptidase activator activity {GO:0016504}; protease binding {GO:0002020}; protein C-terminus binding {GO:0008022}; proteoglycan binding {GO:0043394}; signaling receptor binding {GO:0005102}</t>
  </si>
  <si>
    <t>Platelet degranulation {R-MMU-114608}; Degradation of the extracellular matrix {R-MMU-1474228}; Extracellular matrix organization {R-MMU-1474244}; Fibronectin matrix formation {R-MMU-1566977}; Cell surface interactions at the vascular wall {R-MMU-202733}; Molecules associated with elastic fibres {R-MMU-2129379}; Integrin cell surface interactions {R-MMU-216083}; Syndecan interactions {R-MMU-3000170}; ECM proteoglycans {R-MMU-3000178}; Integrin signaling {R-MMU-354192}; GRB2:SOS provides linkage to MAPK signaling for Integrins {R-MMU-354194}; p130Cas linkage to MAPK signaling for integrins {R-MMU-372708}; Regulation of Insulin-like Growth Factor (IGF) transport and uptake by Insulin-like Growth Factor Binding Proteins (IGFBPs) {R-MMU-381426}; MAP2K and MAPK activation {R-MMU-5674135}; MET activates PTK2 signaling {R-MMU-8874081}; Post-translational protein phosphorylation {R-MMU-8957275}; GPER1 signaling {R-MMU-9634597}</t>
  </si>
  <si>
    <t>sp|Q3UQ28|PXDN_MOUSE</t>
  </si>
  <si>
    <t>PXDN active fragment</t>
  </si>
  <si>
    <t>PXDN_MOUSE</t>
  </si>
  <si>
    <t>Q3UQ28</t>
  </si>
  <si>
    <t>A4FU83; E9QNQ9</t>
  </si>
  <si>
    <t>Kiaa0230</t>
  </si>
  <si>
    <t>MGI:1916925</t>
  </si>
  <si>
    <t>Basement membrane; Calcium; Disulfide bond; Endoplasmic reticulum; Extracellular matrix; Glycoprotein; Heme; Hydrogen peroxide; Immunoglobulin domain; Iron; Leucine-rich repeat; Metal-binding; Oxidoreductase; Peroxidase; Phosphoprotein; Repeat; Secreted; Signal</t>
  </si>
  <si>
    <t>Hydrogen peroxide</t>
  </si>
  <si>
    <t>Basement membrane; Endoplasmic reticulum; Extracellular matrix; Secreted</t>
  </si>
  <si>
    <t>Immunoglobulin domain; Leucine-rich repeat; Repeat; Signal</t>
  </si>
  <si>
    <t>Calcium; Heme; Iron; Metal-binding</t>
  </si>
  <si>
    <t>angiogenesis {GO:0001525}; basement membrane assembly {GO:0070831}; basement membrane organization {GO:0071711}; cell adhesion {GO:0007155}; collagen fibril organization {GO:0030199}; extracellular matrix organization {GO:0030198}; eye development {GO:0001654}; hydrogen peroxide catabolic process {GO:0042744}; protein homooligomerization {GO:0051260}; protein homotrimerization {GO:0070207}; response to oxidative stress {GO:0006979}</t>
  </si>
  <si>
    <t>basement membrane {GO:0005604}; cell surface {GO:0009986}; collagen-containing extracellular matrix {GO:0062023}; endoplasmic reticulum {GO:0005783}; extracellular matrix {GO:0031012}; extracellular space {GO:0005615}</t>
  </si>
  <si>
    <t>extracellular matrix structural constituent {GO:0005201}; heme binding {GO:0020037}; lactoperoxidase activity {GO:0140825}; laminin-1 binding {GO:0043237}; metal ion binding {GO:0046872}; oxidoreductase activity, acting on peroxide as acceptor {GO:0016684}; peroxidase activity {GO:0004601}</t>
  </si>
  <si>
    <t>Crosslinking of collagen fibrils {R-MMU-2243919}</t>
  </si>
  <si>
    <t>sp|Q8BJW6|EIF2A_MOUSE</t>
  </si>
  <si>
    <t>Eukaryotic translation initiation factor 2A, N-terminally processed (eIF-2A)</t>
  </si>
  <si>
    <t>EIF2A_MOUSE</t>
  </si>
  <si>
    <t>Q8BJW6</t>
  </si>
  <si>
    <t>Q05C11; Q640P8</t>
  </si>
  <si>
    <t>D3Ertd194e</t>
  </si>
  <si>
    <t>MGI:1098684</t>
  </si>
  <si>
    <t>Acetylation; Alternative splicing; Coiled coil; Initiation factor; Phosphoprotein; Protein biosynthesis; Repeat; Translation regulation; WD repeat</t>
  </si>
  <si>
    <t>endoplasmic reticulum unfolded protein response {GO:0030968}; positive regulation of signal transduction {GO:0009967}; protein phosphorylation {GO:0006468}; regulation of translation {GO:0006417}; response to amino acid starvation {GO:1990928}; ribosome assembly {GO:0042255}; SREBP signaling pathway {GO:0032933}; translation {GO:0006412}</t>
  </si>
  <si>
    <t>cytoplasm {GO:0005737}; cytosolic small ribosomal subunit {GO:0022627}; eukaryotic translation initiation factor 2 complex {GO:0005850}</t>
  </si>
  <si>
    <t>mRNA binding {GO:0003729}; ribosome binding {GO:0043022}; translation initiation factor activity {GO:0003743}; tRNA binding {GO:0000049}</t>
  </si>
  <si>
    <t>sp|Q3UEB3|PUF60_MOUSE</t>
  </si>
  <si>
    <t>Poly(U)-binding-splicing factor PUF60</t>
  </si>
  <si>
    <t>60 kDa poly(U)-binding-splicing factor</t>
  </si>
  <si>
    <t>PUF60_MOUSE</t>
  </si>
  <si>
    <t>Q3UEB3</t>
  </si>
  <si>
    <t>Q3TGC6; Q91VR6</t>
  </si>
  <si>
    <t>MGI:1915209</t>
  </si>
  <si>
    <t>Acetylation; Alternative splicing; Apoptosis; DNA-binding; Isopeptide bond; mRNA processing; mRNA splicing; Nucleus; Phosphoprotein; Repeat; Repressor; Ribonucleoprotein; RNA-binding; Transcription; Transcription regulation; Ubl conjugation</t>
  </si>
  <si>
    <t>Apoptosis; Transcription; Transcription regulation; mRNA processing; mRNA splicing</t>
  </si>
  <si>
    <t>DNA-binding; RNA-binding; Repressor; Ribonucleoprotein</t>
  </si>
  <si>
    <t>alternative mRNA splicing, via spliceosome {GO:0000380}; apoptotic process {GO:0006915}; mRNA splice site selection {GO:0006376}; regulation of alternative mRNA splicing, via spliceosome {GO:0000381}</t>
  </si>
  <si>
    <t>cell junction {GO:0030054}; nucleoplasm {GO:0005654}; ribonucleoprotein complex {GO:1990904}</t>
  </si>
  <si>
    <t>DNA binding {GO:0003677}; identical protein binding {GO:0042802}; RNA binding {GO:0003723}</t>
  </si>
  <si>
    <t>sp|Q8BY87|UBP47_MOUSE</t>
  </si>
  <si>
    <t>Ubiquitin carboxyl-terminal hydrolase 47</t>
  </si>
  <si>
    <t>Deubiquitinating enzyme 47; Ubiquitin thioesterase 47; Ubiquitin-specific-processing protease 47</t>
  </si>
  <si>
    <t>UBP47_MOUSE</t>
  </si>
  <si>
    <t>Q8BY87</t>
  </si>
  <si>
    <t>Q32NY0; Q5EBP2; Q6KAR9; Q80V06; Q8BHU1; Q8BI15; Q8BI16; Q8BUW4; Q91X25</t>
  </si>
  <si>
    <t>MGI:1922246</t>
  </si>
  <si>
    <t>Acetylation; Alternative splicing; Cytoplasm; DNA damage; DNA repair; Hydrolase; Phosphoprotein; Protease; Thiol protease; Ubl conjugation pathway</t>
  </si>
  <si>
    <t>base-excision repair {GO:0006284}; cellular response to DNA damage stimulus {GO:0006974}; cellular response to UV {GO:0034644}; intrinsic apoptotic signaling pathway in response to DNA damage {GO:0008630}; monoubiquitinated protein deubiquitination {GO:0035520}; negative regulation of apoptotic process {GO:0043066}; negative regulation of cysteine-type endopeptidase activity involved in apoptotic process {GO:0043154}; negative regulation of DNA-templated transcription {GO:0045892}; negative regulation of G2/M transition of mitotic cell cycle {GO:0010972}; negative regulation of intrinsic apoptotic signaling pathway in response to DNA damage {GO:1902230}; positive regulation of canonical Wnt signaling pathway {GO:0090263}; positive regulation of cell growth {GO:0030307}; protein deubiquitination {GO:0016579}; regulation of protein stability {GO:0031647}; response to xenobiotic stimulus {GO:0009410}; ubiquitin-dependent protein catabolic process {GO:0006511}</t>
  </si>
  <si>
    <t>cytoplasm {GO:0005737}; cytosol {GO:0005829}; nucleus {GO:0005634}; SCF ubiquitin ligase complex {GO:0019005}</t>
  </si>
  <si>
    <t>cysteine-type deubiquitinase activity {GO:0004843}; cysteine-type endopeptidase activity {GO:0004197}; deubiquitinase activity {GO:0101005}; WD40-repeat domain binding {GO:0071987}</t>
  </si>
  <si>
    <t>sp|P22907|HEM3_MOUSE</t>
  </si>
  <si>
    <t>Porphobilinogen deaminase (PBG-D)</t>
  </si>
  <si>
    <t>Hydroxymethylbilane synthase (HMBS); Pre-uroporphyrinogen synthase</t>
  </si>
  <si>
    <t>HEM3_MOUSE</t>
  </si>
  <si>
    <t>P22907</t>
  </si>
  <si>
    <t>Q3TIV0</t>
  </si>
  <si>
    <t>Uros1</t>
  </si>
  <si>
    <t>MGI:96112</t>
  </si>
  <si>
    <t>Acetylation; Alternative splicing; Heme biosynthesis; Phosphoprotein; Porphyrin biosynthesis; Transferase</t>
  </si>
  <si>
    <t>Heme biosynthesis; Porphyrin biosynthesis</t>
  </si>
  <si>
    <t>heme biosynthetic process {GO:0006783}; liver development {GO:0001889}; peptidyl-pyrromethane cofactor linkage {GO:0018160}; porphyrin-containing compound biosynthetic process {GO:0006779}; porphyrin-containing compound metabolic process {GO:0006778}; protoporphyrinogen IX biosynthetic process {GO:0006782}; response to xenobiotic stimulus {GO:0009410}; tetrapyrrole biosynthetic process {GO:0033014}</t>
  </si>
  <si>
    <t>axon {GO:0030424}; condensed chromosome {GO:0000793}; cytoplasm {GO:0005737}; cytosol {GO:0005829}; nucleus {GO:0005634}; perinuclear region of cytoplasm {GO:0048471}</t>
  </si>
  <si>
    <t>amine binding {GO:0043176}; carboxylic acid binding {GO:0031406}; hydroxymethylbilane synthase activity {GO:0004418}; uroporphyrinogen-III synthase activity {GO:0004852}</t>
  </si>
  <si>
    <t>Porphyrin-containing compound metabolism; protoporphyrin-IX biosynthesis; coproporphyrinogen-III from 5-aminolevulinate: step 2/4.</t>
  </si>
  <si>
    <t>Heme biosynthesis {R-MMU-189451}</t>
  </si>
  <si>
    <t>sp|Q6P1F6|2ABA_MOUSE</t>
  </si>
  <si>
    <t>Serine/threonine-protein phosphatase 2A 55 kDa regulatory subunit B alpha isoform</t>
  </si>
  <si>
    <t>PP2A subunit B isoform B55-alpha; PP2A subunit B isoform PR55-alpha; PP2A subunit B isoform R2-alpha; PP2A subunit B isoform alpha</t>
  </si>
  <si>
    <t>2ABA_MOUSE</t>
  </si>
  <si>
    <t>Q6P1F6</t>
  </si>
  <si>
    <t>MGI:1919228</t>
  </si>
  <si>
    <t>Acetylation; Repeat; WD repeat</t>
  </si>
  <si>
    <t>protein dephosphorylation {GO:0006470}; response to morphine {GO:0043278}</t>
  </si>
  <si>
    <t>cytosol {GO:0005829}; glutamatergic synapse {GO:0098978}; protein phosphatase type 2A complex {GO:0000159}; synapse {GO:0045202}</t>
  </si>
  <si>
    <t>protein phosphatase 2A binding {GO:0051721}; protein phosphatase regulator activity {GO:0019888}; protein-containing complex binding {GO:0044877}; tau protein binding {GO:0048156}</t>
  </si>
  <si>
    <t>Initiation of Nuclear Envelope (NE) Reformation {R-MMU-2995383}; Cyclin D associated events in G1 {R-MMU-69231}; Cyclin A/B1/B2 associated events during G2/M transition {R-MMU-69273}; Nonsense Mediated Decay (NMD) enhanced by the Exon Junction Complex (EJC) {R-MMU-975957}</t>
  </si>
  <si>
    <t>sp|Q9JKV1|ADRM1_MOUSE</t>
  </si>
  <si>
    <t>Proteasomal ubiquitin receptor ADRM1</t>
  </si>
  <si>
    <t>110 kDa cell membrane glycoprotein (Gp110); Adhesion-regulating molecule 1 (ARM-1); Rpn13 homolog</t>
  </si>
  <si>
    <t>ADRM1_MOUSE</t>
  </si>
  <si>
    <t>Q9JKV1</t>
  </si>
  <si>
    <t>Q3UKZ8; Q8BPH8; Q922A7</t>
  </si>
  <si>
    <t>Gp110</t>
  </si>
  <si>
    <t>MGI:1929289</t>
  </si>
  <si>
    <t>3D-structure; Acetylation; Cytoplasm; Isopeptide bond; Nucleus; Phosphoprotein; Proteasome; Ubl conjugation</t>
  </si>
  <si>
    <t>adipose tissue development {GO:0060612}; follicle-stimulating hormone signaling pathway {GO:0042699}; oogenesis {GO:0048477}; ovarian follicle development {GO:0001541}; positive regulation of growth hormone receptor signaling pathway {GO:0060399}; proteasome assembly {GO:0043248}; regulation of T cell differentiation in thymus {GO:0033081}; seminiferous tubule development {GO:0072520}; Sertoli cell development {GO:0060009}; spermatid development {GO:0007286}; thymus development {GO:0048538}; transcription elongation by RNA polymerase II promoter {GO:0006368}; ubiquitin-dependent protein catabolic process {GO:0006511}</t>
  </si>
  <si>
    <t>cytosol {GO:0005829}; nucleoplasm {GO:0005654}; plasma membrane {GO:0005886}; proteasome complex {GO:0000502}; proteasome regulatory particle, lid subcomplex {GO:0008541}</t>
  </si>
  <si>
    <t>endopeptidase activator activity {GO:0061133}; protease binding {GO:0002020}; proteasome binding {GO:0070628}; ubiquitin binding {GO:0043130}</t>
  </si>
  <si>
    <t>UCH proteinases {R-MMU-5689603}; Ub-specific processing proteases {R-MMU-5689880}</t>
  </si>
  <si>
    <t>sp|P62858|RS28_MOUSE</t>
  </si>
  <si>
    <t>40S ribosomal protein S28</t>
  </si>
  <si>
    <t>RS28_MOUSE</t>
  </si>
  <si>
    <t>P62858</t>
  </si>
  <si>
    <t>P25112; Q5BKQ7</t>
  </si>
  <si>
    <t>MGI:1859516</t>
  </si>
  <si>
    <t>3D-structure; Acetylation; Cytoplasm; Endoplasmic reticulum; Phosphoprotein; Ribonucleoprotein; Ribosomal protein</t>
  </si>
  <si>
    <t>cytoplasmic translation {GO:0002181}; maturation of SSU-rRNA {GO:0030490}; ribosomal small subunit assembly {GO:0000028}; ribosomal small subunit biogenesis {GO:0042274}; ribosome biogenesis {GO:0042254}; rRNA processing {GO:0006364}</t>
  </si>
  <si>
    <t>sp|Q9CQU0|TXD12_MOUSE</t>
  </si>
  <si>
    <t>Thioredoxin domain-containing protein 12</t>
  </si>
  <si>
    <t>Endoplasmic reticulum resident protein 19 (ER protein 19; ERp19); Thioredoxin-like protein p19</t>
  </si>
  <si>
    <t>TXD12_MOUSE</t>
  </si>
  <si>
    <t>Q9CQU0</t>
  </si>
  <si>
    <t>Q53YN1</t>
  </si>
  <si>
    <t>Tlp19</t>
  </si>
  <si>
    <t>MGI:1913323</t>
  </si>
  <si>
    <t>Disulfide bond; Endoplasmic reticulum; Glycoprotein; Oxidoreductase; Redox-active center; Signal</t>
  </si>
  <si>
    <t>Redox-active center; Signal</t>
  </si>
  <si>
    <t>negative regulation of cell death {GO:0060548}; negative regulation of endoplasmic reticulum stress-induced intrinsic apoptotic signaling pathway {GO:1902236}</t>
  </si>
  <si>
    <t>protein-disulfide reductase (glutathione) activity {GO:0019153}; protein-disulfide reductase activity {GO:0015035}</t>
  </si>
  <si>
    <t>sp|P17095|HMGA1_MOUSE</t>
  </si>
  <si>
    <t>High mobility group protein HMG-I/HMG-Y (HMG-I(Y))</t>
  </si>
  <si>
    <t>High mobility group AT-hook protein 1 (High mobility group protein A1)</t>
  </si>
  <si>
    <t>HMGA1_MOUSE</t>
  </si>
  <si>
    <t>P17095</t>
  </si>
  <si>
    <t>Q91WV2; Q924L7; Q924L8</t>
  </si>
  <si>
    <t>Hmgi; Hmgiy</t>
  </si>
  <si>
    <t>MGI:96160</t>
  </si>
  <si>
    <t>Acetylation; ADP-ribosylation; Alternative splicing; Chromosome; DNA-binding; Isopeptide bond; Methylation; Nucleus; Phosphoprotein; Repeat; Transcription; Transcription regulation; Ubl conjugation</t>
  </si>
  <si>
    <t>base-excision repair {GO:0006284}; negative regulation of cell population proliferation {GO:0008285}; negative regulation of DNA-templated transcription {GO:0045892}; oncogene-induced cell senescence {GO:0090402}; positive regulation of DNA-templated transcription {GO:0045893}; positive regulation of transcription by RNA polymerase II {GO:0045944}; regulation of DNA-templated transcription {GO:0006355}; spermatogenesis {GO:0007283}</t>
  </si>
  <si>
    <t>male germ cell nucleus {GO:0001673}; nucleus {GO:0005634}; RNA polymerase II transcription regulator complex {GO:0090575}; senescence-associated heterochromatin focus {GO:0035985}</t>
  </si>
  <si>
    <t>5'-deoxyribose-5-phosphate lyase activity {GO:0051575}; chromatin binding {GO:0003682}; cis-regulatory region sequence-specific DNA binding {GO:0000987}; DNA-(apurinic or apyrimidinic site) endonuclease activity {GO:0003906}; enzyme binding {GO:0019899}; minor groove of adenine-thymine-rich DNA binding {GO:0003680}; nuclear receptor coactivator activity {GO:0030374}; nuclear retinoic acid receptor binding {GO:0042974}; nuclear retinoid X receptor binding {GO:0046965}; peroxisome proliferator activated receptor binding {GO:0042975}; RNA polymerase II cis-regulatory region sequence-specific DNA binding {GO:0000978}; structural constituent of chromatin {GO:0030527}; transcription coactivator activity {GO:0003713}; transcription coregulator activity {GO:0003712}; transcription coregulator binding {GO:0001221}</t>
  </si>
  <si>
    <t>sp|Q9DBZ5|EIF3K_MOUSE</t>
  </si>
  <si>
    <t>Eukaryotic translation initiation factor 3 subunit K (eIF3k)</t>
  </si>
  <si>
    <t>Eukaryotic translation initiation factor 3 subunit 12; eIF-3 p25</t>
  </si>
  <si>
    <t>EIF3K_MOUSE</t>
  </si>
  <si>
    <t>Q9DBZ5</t>
  </si>
  <si>
    <t>Q58EU9; Q8K3A1</t>
  </si>
  <si>
    <t>Eif3s12</t>
  </si>
  <si>
    <t>MGI:1921080</t>
  </si>
  <si>
    <t>Acetylation; Alternative splicing; Cytoplasm; Initiation factor; Nucleus; Phosphoprotein; Protein biosynthesis</t>
  </si>
  <si>
    <t>formation of cytoplasmic translation initiation complex {GO:0001732}; regulation of translational initiation {GO:0006446}; translational initiation {GO:0006413}</t>
  </si>
  <si>
    <t>cytosol {GO:0005829}; eukaryotic 43S preinitiation complex {GO:0016282}; eukaryotic 48S preinitiation complex {GO:0033290}; eukaryotic translation initiation factor 3 complex {GO:0005852}; nucleus {GO:0005634}</t>
  </si>
  <si>
    <t>sp|O54879|HMGB3_MOUSE</t>
  </si>
  <si>
    <t>High mobility group protein B3</t>
  </si>
  <si>
    <t>High mobility group protein 2a (HMG-2a); High mobility group protein 4 (HMG-4)</t>
  </si>
  <si>
    <t>HMGB3_MOUSE</t>
  </si>
  <si>
    <t>O54879</t>
  </si>
  <si>
    <t>Hmg2a; Hmg4</t>
  </si>
  <si>
    <t>MGI:1098219</t>
  </si>
  <si>
    <t>Acetylation; Chromosome; Cytoplasm; Disulfide bond; DNA-binding; Immunity; Innate immunity; Nucleus; Oxidation; Phosphoprotein; Repeat; Transcription; Transcription regulation</t>
  </si>
  <si>
    <t>Immunity; Innate immunity; Transcription; Transcription regulation</t>
  </si>
  <si>
    <t>DNA geometric change {GO:0032392}; innate immune response {GO:0045087}; negative regulation of B cell differentiation {GO:0045578}; negative regulation of myeloid cell differentiation {GO:0045638}; regulation of transcription by RNA polymerase II {GO:0006357}</t>
  </si>
  <si>
    <t>chromosome {GO:0005694}; cytoplasm {GO:0005737}; nucleus {GO:0005634}</t>
  </si>
  <si>
    <t>DNA binding {GO:0003677}; DNA binding, bending {GO:0008301}; four-way junction DNA binding {GO:0000400}; RNA binding {GO:0003723}</t>
  </si>
  <si>
    <t>sp|Q9Z1G3|VATC1_MOUSE</t>
  </si>
  <si>
    <t>V-type proton ATPase subunit C 1 (V-ATPase subunit C 1)</t>
  </si>
  <si>
    <t>Vacuolar proton pump subunit C 1</t>
  </si>
  <si>
    <t>VATC1_MOUSE</t>
  </si>
  <si>
    <t>Q9Z1G3</t>
  </si>
  <si>
    <t>Q91Z42</t>
  </si>
  <si>
    <t>Atp6c; Atp6c1; Vatc</t>
  </si>
  <si>
    <t>MGI:1913585</t>
  </si>
  <si>
    <t>Acetylation; Cytoplasmic vesicle; Hydrogen ion transport; Ion transport; Membrane; Synapse; Transport</t>
  </si>
  <si>
    <t>Cytoplasmic vesicle; Membrane; Synapse</t>
  </si>
  <si>
    <t>anchoring junction {GO:0070161}; apical part of cell {GO:0045177}; clathrin-coated vesicle membrane {GO:0030665}; cytoplasm {GO:0005737}; cytoplasmic vesicle {GO:0031410}; plasma membrane {GO:0005886}; synaptic vesicle membrane {GO:0030672}; vacuolar proton-transporting V-type ATPase, V1 domain {GO:0000221}</t>
  </si>
  <si>
    <t>proton-transporting ATPase activity, rotational mechanism {GO:0046961}</t>
  </si>
  <si>
    <t>sp|P19137|LAMA1_MOUSE</t>
  </si>
  <si>
    <t>Laminin subunit alpha-1</t>
  </si>
  <si>
    <t>Laminin A chain; Laminin-1 subunit alpha; Laminin-3 subunit alpha; S-laminin subunit alpha (S-LAM alpha)</t>
  </si>
  <si>
    <t>LAMA1_MOUSE</t>
  </si>
  <si>
    <t>P19137</t>
  </si>
  <si>
    <t>F8VQ40</t>
  </si>
  <si>
    <t>Lama; Lama-1</t>
  </si>
  <si>
    <t>MGI:99892</t>
  </si>
  <si>
    <t>3D-structure; Basement membrane; Cell adhesion; Coiled coil; Disulfide bond; Extracellular matrix; Glycoprotein; Laminin EGF-like domain; Phosphoprotein; Pyrrolidone carboxylic acid; Repeat; Secreted; Signal</t>
  </si>
  <si>
    <t>Disulfide bond; Glycoprotein; Phosphoprotein; Pyrrolidone carboxylic acid</t>
  </si>
  <si>
    <t>animal organ morphogenesis {GO:0009887}; axon guidance {GO:0007411}; blood vessel morphogenesis {GO:0048514}; branching involved in salivary gland morphogenesis {GO:0060445}; camera-type eye development {GO:0043010}; cell adhesion {GO:0007155}; cell surface receptor signaling pathway {GO:0007166}; epithelial tube branching involved in lung morphogenesis {GO:0060441}; establishment of epithelial cell apical/basal polarity {GO:0045198}; morphogenesis of an epithelial sheet {GO:0002011}; neuron projection development {GO:0031175}; positive regulation of cell adhesion {GO:0045785}; positive regulation of integrin-mediated signaling pathway {GO:2001046}; positive regulation of muscle cell differentiation {GO:0051149}; protein phosphorylation {GO:0006468}; regulation of basement membrane organization {GO:0110011}; regulation of cell migration {GO:0030334}; regulation of embryonic development {GO:0045995}; retina development in camera-type eye {GO:0060041}; retinal blood vessel morphogenesis {GO:0061304}; tissue development {GO:0009888}</t>
  </si>
  <si>
    <t>basement membrane {GO:0005604}; cell-cell junction {GO:0005911}; collagen-containing extracellular matrix {GO:0062023}; extracellular matrix {GO:0031012}; extracellular region {GO:0005576}; extracellular space {GO:0005615}; laminin complex {GO:0043256}; laminin-1 complex {GO:0005606}; laminin-3 complex {GO:0005608}; membrane {GO:0016020}; protein complex involved in cell-matrix adhesion {GO:0098637}</t>
  </si>
  <si>
    <t>extracellular matrix structural constituent {GO:0005201}; glycosphingolipid binding {GO:0043208}; protein C-terminus binding {GO:0008022}; signaling receptor binding {GO:0005102}</t>
  </si>
  <si>
    <t>sp|Q99JY0|ECHB_MOUSE</t>
  </si>
  <si>
    <t>3-ketoacyl-CoA thiolase</t>
  </si>
  <si>
    <t>TP-beta; Acetyl-CoA acyltransferase; Beta-ketothiolase</t>
  </si>
  <si>
    <t>ECHB_MOUSE</t>
  </si>
  <si>
    <t>Q99JY0</t>
  </si>
  <si>
    <t>Q3TEH9; Q8BJI5; Q8BJM0; Q8BK52</t>
  </si>
  <si>
    <t>MGI:2136381</t>
  </si>
  <si>
    <t>Acetylation; Acyltransferase; Endoplasmic reticulum; Fatty acid metabolism; Lipid metabolism; Membrane; Mitochondrion; Mitochondrion inner membrane; Mitochondrion outer membrane; Transferase; Transit peptide</t>
  </si>
  <si>
    <t>Endoplasmic reticulum; Membrane; Mitochondrion; Mitochondrion inner membrane; Mitochondrion outer membrane</t>
  </si>
  <si>
    <t>cellular response to lipopolysaccharide {GO:0071222}; fatty acid beta-oxidation {GO:0006635}; gene expression {GO:0010467}</t>
  </si>
  <si>
    <t>endoplasmic reticulum {GO:0005783}; mitochondrial fatty acid beta-oxidation multienzyme complex {GO:0016507}; mitochondrial inner membrane {GO:0005743}; mitochondrial nucleoid {GO:0042645}; mitochondrial outer membrane {GO:0005741}; mitochondrion {GO:0005739}</t>
  </si>
  <si>
    <t>acetyl-CoA C-acetyltransferase activity {GO:0003985}; acetyl-CoA C-acyltransferase activity {GO:0003988}; acetyl-CoA C-myristoyltransferase activity {GO:0050633}; lncRNA binding {GO:0106222}; protein-containing complex binding {GO:0044877}</t>
  </si>
  <si>
    <t>sp|P62317|SMD2_MOUSE</t>
  </si>
  <si>
    <t>Small nuclear ribonucleoprotein Sm D2 (Sm-D2)</t>
  </si>
  <si>
    <t>snRNP core protein D2</t>
  </si>
  <si>
    <t>SMD2_MOUSE</t>
  </si>
  <si>
    <t>P62317</t>
  </si>
  <si>
    <t>P43330</t>
  </si>
  <si>
    <t>MGI:98345</t>
  </si>
  <si>
    <t>Acetylation; Cytoplasm; Isopeptide bond; mRNA processing; mRNA splicing; Nucleus; Phosphoprotein; Ribonucleoprotein; Spliceosome; Ubl conjugation</t>
  </si>
  <si>
    <t>catalytic step 2 spliceosome {GO:0071013}; cytosol {GO:0005829}; methylosome {GO:0034709}; nucleus {GO:0005634}; pICln-Sm protein complex {GO:0034715}; precatalytic spliceosome {GO:0071011}; SMN-Sm protein complex {GO:0034719}; spliceosomal complex {GO:0005681}; U1 snRNP {GO:0005685}; U12-type spliceosomal complex {GO:0005689}; U2 snRNP {GO:0005686}; U2-type catalytic step 2 spliceosome {GO:0071007}; U2-type precatalytic spliceosome {GO:0071005}; U4 snRNP {GO:0005687}; U4/U6 x U5 tri-snRNP complex {GO:0046540}; U5 snRNP {GO:0005682}</t>
  </si>
  <si>
    <t>U1 snRNP binding {GO:1990446}</t>
  </si>
  <si>
    <t>snRNP Assembly {R-MMU-191859}; mRNA Splicing - Major Pathway {R-MMU-72163}; mRNA Splicing - Minor Pathway {R-MMU-72165}</t>
  </si>
  <si>
    <t>sp|Q9CQA3|SDHB_MOUSE</t>
  </si>
  <si>
    <t>Succinate dehydrogenase [ubiquinone] iron-sulfur subunit, mitochondrial</t>
  </si>
  <si>
    <t>Iron-sulfur subunit of complex II (Ip)</t>
  </si>
  <si>
    <t>SDHB_MOUSE</t>
  </si>
  <si>
    <t>Q9CQA3</t>
  </si>
  <si>
    <t>Q3TF82; Q9DC91</t>
  </si>
  <si>
    <t>MGI:1914930</t>
  </si>
  <si>
    <t>2Fe-2S; 3Fe-4S; 4Fe-4S; Acetylation; Electron transport; Iron; Iron-sulfur; Membrane; Metal-binding; Mitochondrion; Mitochondrion inner membrane; Oxidoreductase; Transit peptide; Transport; Tricarboxylic acid cycle</t>
  </si>
  <si>
    <t>2Fe-2S; 3Fe-4S; 4Fe-4S; Iron; Iron-sulfur; Metal-binding</t>
  </si>
  <si>
    <t>aerobic respiration {GO:0009060}; mitochondrial electron transport, succinate to ubiquinone {GO:0006121}; proton motive force-driven mitochondrial ATP synthesis {GO:0042776}; respiratory electron transport chain {GO:0022904}; succinate metabolic process {GO:0006105}; tricarboxylic acid cycle {GO:0006099}</t>
  </si>
  <si>
    <t>mitochondrial inner membrane {GO:0005743}; mitochondrial membrane {GO:0031966}; mitochondrial respiratory chain complex II, succinate dehydrogenase complex (ubiquinone) {GO:0005749}; mitochondrion {GO:0005739}; nucleoplasm {GO:0005654}; plasma membrane {GO:0005886}; respiratory chain complex II {GO:0045273}</t>
  </si>
  <si>
    <t>2 iron, 2 sulfur cluster binding {GO:0051537}; 3 iron, 4 sulfur cluster binding {GO:0051538}; 4 iron, 4 sulfur cluster binding {GO:0051539}; electron transfer activity {GO:0009055}; metal ion binding {GO:0046872}; succinate dehydrogenase (ubiquinone) activity {GO:0008177}; ubiquinone binding {GO:0048039}</t>
  </si>
  <si>
    <t>sp|Q61335|BAP31_MOUSE</t>
  </si>
  <si>
    <t>B-cell receptor-associated protein 31 (BCR-associated protein 31; Bap31)</t>
  </si>
  <si>
    <t>p28</t>
  </si>
  <si>
    <t>BAP31_MOUSE</t>
  </si>
  <si>
    <t>Q61335</t>
  </si>
  <si>
    <t>A2ALM8; Q9D0E9; Q9D8G7</t>
  </si>
  <si>
    <t>Bap31</t>
  </si>
  <si>
    <t>MGI:1350933</t>
  </si>
  <si>
    <t>Apoptosis; Coiled coil; Endoplasmic reticulum; ER-Golgi transport; Membrane; Protein transport; Transmembrane; Transmembrane helix; Transport</t>
  </si>
  <si>
    <t>Apoptosis; ER-Golgi transport; Protein transport; Transport</t>
  </si>
  <si>
    <t>apoptotic process {GO:0006915}; calcium-mediated signaling using intracellular calcium source {GO:0035584}; endoplasmic reticulum to Golgi vesicle-mediated transport {GO:0006888}; negative regulation of endoplasmic reticulum calcium ion concentration {GO:0032471}; positive regulation of cysteine-type endopeptidase activity involved in apoptotic process {GO:0043280}; positive regulation of cytosolic calcium ion concentration {GO:0007204}; positive regulation of ER-associated ubiquitin-dependent protein catabolic process {GO:1903071}; positive regulation of intrinsic apoptotic signaling pathway {GO:2001244}; positive regulation of mitochondrial calcium ion concentration {GO:0051561}; positive regulation of retrograde protein transport, ER to cytosol {GO:1904154}; protein localization to endoplasmic reticulum exit site {GO:0070973}; protein targeting to mitochondrion {GO:0006626}; response to endoplasmic reticulum stress {GO:0034976}; spermatogenesis {GO:0007283}</t>
  </si>
  <si>
    <t>clathrin-coated vesicle {GO:0030136}; endoplasmic reticulum {GO:0005783}; endoplasmic reticulum membrane {GO:0005789}; endoplasmic reticulum-Golgi intermediate compartment membrane {GO:0033116}; Golgi cisterna membrane {GO:0032580}; Golgi membrane {GO:0000139}; integral component of plasma membrane {GO:0005887}; lipid droplet {GO:0005811}; mitochondria-associated endoplasmic reticulum membrane {GO:0044233}; mitochondrion {GO:0005739}; perinuclear endoplasmic reticulum {GO:0097038}</t>
  </si>
  <si>
    <t>MHC class I protein binding {GO:0042288}; protein-containing complex binding {GO:0044877}</t>
  </si>
  <si>
    <t>Apoptotic cleavage of cellular proteins {R-MMU-111465}; Apoptotic execution phase {R-MMU-75153}; RHOA GTPase cycle {R-MMU-8980692}; Antigen Presentation: Folding, assembly and peptide loading of class I MHC {R-MMU-983170}</t>
  </si>
  <si>
    <t>sp|P47753|CAZA1_MOUSE</t>
  </si>
  <si>
    <t>F-actin-capping protein subunit alpha-1</t>
  </si>
  <si>
    <t>CapZ alpha-1</t>
  </si>
  <si>
    <t>CAZA1_MOUSE</t>
  </si>
  <si>
    <t>P47753</t>
  </si>
  <si>
    <t>Q91YN7</t>
  </si>
  <si>
    <t>Cappa1</t>
  </si>
  <si>
    <t>MGI:106227</t>
  </si>
  <si>
    <t>3D-structure; Acetylation; Actin capping; Actin-binding; Cytoplasm; Cytoskeleton; Phosphoprotein</t>
  </si>
  <si>
    <t>actin cytoskeleton organization {GO:0030036}; barbed-end actin filament capping {GO:0051016}; cell junction assembly {GO:0034329}</t>
  </si>
  <si>
    <t>brush border {GO:0005903}; cell-cell junction {GO:0005911}; cortical cytoskeleton {GO:0030863}; cytosol {GO:0005829}; F-actin capping protein complex {GO:0008290}; membrane {GO:0016020}; WASH complex {GO:0071203}</t>
  </si>
  <si>
    <t>sp|P97765|WBP2_MOUSE</t>
  </si>
  <si>
    <t>WW domain-binding protein 2 (WBP-2)</t>
  </si>
  <si>
    <t>WBP2_MOUSE</t>
  </si>
  <si>
    <t>P97765</t>
  </si>
  <si>
    <t>A2A860</t>
  </si>
  <si>
    <t>MGI:104709</t>
  </si>
  <si>
    <t>Alternative splicing; Cytoplasm; Nucleus; Phosphoprotein; Repeat</t>
  </si>
  <si>
    <t>cellular response to estrogen stimulus {GO:0071391}; epigenetic maintenance of chromatin in transcription-competent conformation {GO:0045815}; establishment of protein localization to chromatin {GO:0071169}; positive regulation of DNA-templated transcription {GO:0045893}; positive regulation of histone H3-K14 acetylation {GO:0071442}; positive regulation of intracellular estrogen receptor signaling pathway {GO:0033148}; positive regulation of transcription by RNA polymerase II {GO:0045944}; progesterone receptor signaling pathway {GO:0050847}; response to estrogen {GO:0043627}; response to progesterone {GO:0032570}</t>
  </si>
  <si>
    <t>chromatin {GO:0000785}; cytoplasm {GO:0005737}; cytosol {GO:0005829}; nucleoplasm {GO:0005654}; nucleus {GO:0005634}</t>
  </si>
  <si>
    <t>chromatin DNA binding {GO:0031490}; nuclear estrogen receptor binding {GO:0030331}; RNA polymerase II cis-regulatory region sequence-specific DNA binding {GO:0000978}; transcription coactivator activity {GO:0003713}</t>
  </si>
  <si>
    <t>sp|Q9D1K2|VATF_MOUSE</t>
  </si>
  <si>
    <t>V-type proton ATPase subunit F (V-ATPase subunit F)</t>
  </si>
  <si>
    <t>V-ATPase 14 kDa subunit; Vacuolar proton pump subunit F</t>
  </si>
  <si>
    <t>VATF_MOUSE</t>
  </si>
  <si>
    <t>Q9D1K2</t>
  </si>
  <si>
    <t>Q3U6X0</t>
  </si>
  <si>
    <t>Atp6s14; Vatf</t>
  </si>
  <si>
    <t>MGI:1913394</t>
  </si>
  <si>
    <t>Cytoplasmic vesicle; Hydrogen ion transport; Ion transport; Membrane; Synapse; Transport</t>
  </si>
  <si>
    <t>anchoring junction {GO:0070161}; clathrin-coated vesicle membrane {GO:0030665}; membrane {GO:0016020}; synaptic vesicle membrane {GO:0030672}; vacuolar proton-transporting V-type ATPase complex {GO:0016471}; vacuolar proton-transporting V-type ATPase, V1 domain {GO:0000221}</t>
  </si>
  <si>
    <t>sp|Q8BH44|COR2B_MOUSE</t>
  </si>
  <si>
    <t>Coronin-2B</t>
  </si>
  <si>
    <t>COR2B_MOUSE</t>
  </si>
  <si>
    <t>Q8BH44</t>
  </si>
  <si>
    <t>Q6P5U9</t>
  </si>
  <si>
    <t>MGI:2444283</t>
  </si>
  <si>
    <t>Actin-binding; Coiled coil; Cytoplasm; Cytoskeleton; Repeat; WD repeat</t>
  </si>
  <si>
    <t>actin cytoskeleton organization {GO:0030036}; focal adhesion assembly {GO:0048041}; negative regulation of cell-substrate adhesion {GO:0010812}; negative regulation of establishment of protein localization {GO:1904950}; negative regulation of stress fiber assembly {GO:0051497}; positive regulation of establishment of protein localization {GO:1904951}; regulation of actin cytoskeleton organization {GO:0032956}; regulation of cellular response to stress {GO:0080135}; regulation of glomerular filtration {GO:0003093}</t>
  </si>
  <si>
    <t>cytoplasm {GO:0005737}; focal adhesion {GO:0005925}; membrane {GO:0016020}; stress fiber {GO:0001725}</t>
  </si>
  <si>
    <t>actin filament binding {GO:0051015}; talin binding {GO:1990147}; vinculin binding {GO:0017166}</t>
  </si>
  <si>
    <t>sp|Q01405|SC23A_MOUSE</t>
  </si>
  <si>
    <t>Protein transport protein Sec23A</t>
  </si>
  <si>
    <t>SEC23-related protein A</t>
  </si>
  <si>
    <t>SC23A_MOUSE</t>
  </si>
  <si>
    <t>Q01405</t>
  </si>
  <si>
    <t>Q8JZL4</t>
  </si>
  <si>
    <t>Sec23; Sec23r</t>
  </si>
  <si>
    <t>MGI:1349635</t>
  </si>
  <si>
    <t>Acetylation; Cytoplasm; Cytoplasmic vesicle; Endoplasmic reticulum; ER-Golgi transport; Membrane; Metal-binding; Phosphoprotein; Protein transport; Transport; Zinc</t>
  </si>
  <si>
    <t>COPII-coated vesicle cargo loading {GO:0090110}; intracellular protein transport {GO:0006886}; protein localization to plasma membrane {GO:0072659}</t>
  </si>
  <si>
    <t>COPII vesicle coat {GO:0030127}; COPII-coated ER to Golgi transport vesicle {GO:0030134}; cytosol {GO:0005829}; endoplasmic reticulum exit site {GO:0070971}; endoplasmic reticulum membrane {GO:0005789}; ER to Golgi transport vesicle membrane {GO:0012507}; extrinsic component of membrane {GO:0019898}; Golgi membrane {GO:0000139}; perinuclear region of cytoplasm {GO:0048471}</t>
  </si>
  <si>
    <t>GTPase activator activity {GO:0005096}; zinc ion binding {GO:0008270}</t>
  </si>
  <si>
    <t>COPII-mediated vesicle transport {R-MMU-204005}; MHC class II antigen presentation {R-MMU-2132295}; Cargo concentration in the ER {R-MMU-5694530}; Antigen Presentation: Folding, assembly and peptide loading of class I MHC {R-MMU-983170}</t>
  </si>
  <si>
    <t>sp|P70698|PYRG1_MOUSE</t>
  </si>
  <si>
    <t>CTP synthase 1</t>
  </si>
  <si>
    <t>CTP synthetase 1; UTP--ammonia ligase 1</t>
  </si>
  <si>
    <t>PYRG1_MOUSE</t>
  </si>
  <si>
    <t>P70698</t>
  </si>
  <si>
    <t>Q922Y4</t>
  </si>
  <si>
    <t>Ctps</t>
  </si>
  <si>
    <t>MGI:1858304</t>
  </si>
  <si>
    <t>3D-structure; Acetylation; ATP-binding; Cytoplasm; Glutamine amidotransferase; Immunity; Ligase; Nucleotide-binding; Phosphoprotein; Pyrimidine biosynthesis</t>
  </si>
  <si>
    <t>Immunity; Pyrimidine biosynthesis</t>
  </si>
  <si>
    <t>'de novo' CTP biosynthetic process {GO:0044210}; B cell proliferation {GO:0042100}; CTP biosynthetic process {GO:0006241}; glutamine metabolic process {GO:0006541}; pyrimidine nucleobase biosynthetic process {GO:0019856}; T cell proliferation {GO:0042098}</t>
  </si>
  <si>
    <t>cytoophidium {GO:0097268}; cytoplasm {GO:0005737}; cytosol {GO:0005829}</t>
  </si>
  <si>
    <t>ATP binding {GO:0005524}; CTP synthase activity {GO:0003883}; identical protein binding {GO:0042802}</t>
  </si>
  <si>
    <t>Pyrimidine metabolism; CTP biosynthesis via de novo pathway; CTP from UDP: step 2/2..</t>
  </si>
  <si>
    <t>sp|P62874|GBB1_MOUSE</t>
  </si>
  <si>
    <t>Guanine nucleotide-binding protein G(I)/G(S)/G(T) subunit beta-1</t>
  </si>
  <si>
    <t>Transducin beta chain 1</t>
  </si>
  <si>
    <t>GBB1_MOUSE</t>
  </si>
  <si>
    <t>P62874</t>
  </si>
  <si>
    <t>P04697; P04901</t>
  </si>
  <si>
    <t>MGI:95781</t>
  </si>
  <si>
    <t>3D-structure; Acetylation; Phosphoprotein; Repeat; Transducer; WD repeat</t>
  </si>
  <si>
    <t>Transducer</t>
  </si>
  <si>
    <t>cardiac muscle cell apoptotic process {GO:0010659}; cell population proliferation {GO:0008283}; cellular response to hypoxia {GO:0071456}; G protein-coupled receptor signaling pathway {GO:0007186}; phospholipase C-activating G protein-coupled receptor signaling pathway {GO:0007200}; phototransduction, visible light {GO:0007603}; positive regulation of cytosolic calcium ion concentration {GO:0007204}; retina development in camera-type eye {GO:0060041}; sensory perception of taste {GO:0050909}</t>
  </si>
  <si>
    <t>cell body {GO:0044297}; cytoplasm {GO:0005737}; dendrite {GO:0030425}; heterotrimeric G-protein complex {GO:0005834}; myelin sheath {GO:0043209}; photoreceptor inner segment {GO:0001917}; photoreceptor outer segment {GO:0001750}; photoreceptor outer segment membrane {GO:0042622}; plasma membrane {GO:0005886}</t>
  </si>
  <si>
    <t>alkylglycerophosphoethanolamine phosphodiesterase activity {GO:0047391}; GTPase activity {GO:0003924}; GTPase binding {GO:0051020}; protein-containing complex binding {GO:0044877}; signaling receptor complex adaptor activity {GO:0030159}; spectrin binding {GO:0030507}</t>
  </si>
  <si>
    <t>Activation of G protein gated Potassium channels {R-MMU-1296041}; G-protein activation {R-MMU-202040}; Activation of the phototransduction cascade {R-MMU-2485179}; Glucagon-like Peptide-1 (GLP1) regulates insulin secretion {R-MMU-381676}; Olfactory Signaling Pathway {R-MMU-381753}; Synthesis, secretion, and inactivation of Glucagon-like Peptide-1 (GLP-1) {R-MMU-381771}; ADP signalling through P2Y purinoceptor 12 {R-MMU-392170}; G beta:gamma signalling through PI3Kgamma {R-MMU-392451}; Prostacyclin signalling through prostacyclin receptor {R-MMU-392851}; Adrenaline,noradrenaline inhibits insulin secretion {R-MMU-400042}; Ca2+ pathway {R-MMU-4086398}; G alpha (q) signalling events {R-MMU-416476}; G alpha (12/13) signalling events {R-MMU-416482}; G beta:gamma signalling through PLC beta {R-MMU-418217}; G alpha (s) signalling events {R-MMU-418555}; ADP signalling through P2Y purinoceptor 1 {R-MMU-418592}; G alpha (i) signalling events {R-MMU-418594}; G alpha (z) signalling events {R-MMU-418597}; Glucagon-type ligand receptors {R-MMU-420092}; Thromboxane signalling through TP receptor {R-MMU-428930}; Vasopressin regulates renal water homeostasis via Aquaporins {R-MMU-432040}; Thrombin signalling through proteinase activated receptors (PARs) {R-MMU-456926}; Presynaptic function of Kainate receptors {R-MMU-500657}; Cooperation of PDCL (PhLP1) and TRiC/CCT in G-protein beta folding {R-MMU-6814122}; G beta:gamma signalling through BTK {R-MMU-8964315}; G beta:gamma signalling through CDC42 {R-MMU-8964616}; Extra-nuclear estrogen signaling {R-MMU-9009391}; GPER1 signaling {R-MMU-9634597}; Sensory perception of sweet, bitter, and umami (glutamate) taste {R-MMU-9717207}; Inhibition of voltage gated Ca2+ channels via Gbeta/gamma subunits {R-MMU-997272}</t>
  </si>
  <si>
    <t>sp|P20108|PRDX3_MOUSE</t>
  </si>
  <si>
    <t>Thioredoxin-dependent peroxide reductase, mitochondrial</t>
  </si>
  <si>
    <t>Antioxidant protein 1 (AOP-1); PRX III; Perioredoxin-3; Protein MER5; Thioredoxin-dependent peroxiredoxin 3</t>
  </si>
  <si>
    <t>PRDX3_MOUSE</t>
  </si>
  <si>
    <t>P20108</t>
  </si>
  <si>
    <t>Aop1; Mer5</t>
  </si>
  <si>
    <t>MGI:88034</t>
  </si>
  <si>
    <t>Acetylation; Antioxidant; Cytoplasm; Disulfide bond; Endosome; Lipoprotein; Mitochondrion; Oxidoreductase; Palmitate; Peroxidase; Phosphoprotein; Redox-active center; Transit peptide</t>
  </si>
  <si>
    <t>Cytoplasm; Endosome; Mitochondrion</t>
  </si>
  <si>
    <t>cell redox homeostasis {GO:0045454}; cellular response to oxidative stress {GO:0034599}; cellular response to reactive oxygen species {GO:0034614}; hydrogen peroxide catabolic process {GO:0042744}; maternal placenta development {GO:0001893}; mitochondrion organization {GO:0007005}; myeloid cell differentiation {GO:0030099}; negative regulation of apoptotic process {GO:0043066}; negative regulation of kinase activity {GO:0033673}; negative regulation of neuron apoptotic process {GO:0043524}; peptidyl-cysteine oxidation {GO:0018171}; positive regulation of cell population proliferation {GO:0008284}; positive regulation of NF-kappaB transcription factor activity {GO:0051092}; regulation of mitochondrial membrane potential {GO:0051881}; response to hydrogen peroxide {GO:0042542}; response to lipopolysaccharide {GO:0032496}; response to oxidative stress {GO:0006979}</t>
  </si>
  <si>
    <t>cytoplasm {GO:0005737}; cytosol {GO:0005829}; early endosome {GO:0005769}; mitochondrion {GO:0005739}; myelin sheath {GO:0043209}; protein-containing complex {GO:0032991}</t>
  </si>
  <si>
    <t>cysteine-type endopeptidase inhibitor activity involved in apoptotic process {GO:0043027}; identical protein binding {GO:0042802}; kinase binding {GO:0019900}; protein C-terminus binding {GO:0008022}; protein kinase binding {GO:0019901}; thioredoxin peroxidase activity {GO:0008379}; thioredoxin-dependent peroxiredoxin activity {GO:0140824}</t>
  </si>
  <si>
    <t>Detoxification of Reactive Oxygen Species {R-MMU-3299685}</t>
  </si>
  <si>
    <t>sp|Q9Z1X4|ILF3_MOUSE</t>
  </si>
  <si>
    <t>Interleukin enhancer-binding factor 3</t>
  </si>
  <si>
    <t>ILF3_MOUSE</t>
  </si>
  <si>
    <t>Q9Z1X4</t>
  </si>
  <si>
    <t>Q80VD5; Q812A1; Q8BP80; Q8C2H8; Q8K588</t>
  </si>
  <si>
    <t>MGI:1339973</t>
  </si>
  <si>
    <t>3D-structure; Acetylation; Alternative splicing; Antiviral defense; Cytoplasm; DNA-binding; Isopeptide bond; Methylation; Nucleus; Phosphoprotein; Repeat; RNA-binding; Transcription; Transcription regulation; Ubl conjugation</t>
  </si>
  <si>
    <t>Antiviral defense; Transcription; Transcription regulation</t>
  </si>
  <si>
    <t>defense response to virus {GO:0051607}; negative regulation of DNA-templated transcription {GO:0045892}; negative regulation of translation {GO:0017148}; negative regulation of viral genome replication {GO:0045071}; positive regulation of DNA-templated transcription {GO:0045893}; protein methylation {GO:0006479}; protein phosphorylation {GO:0006468}</t>
  </si>
  <si>
    <t>cytoplasm {GO:0005737}; mitochondrion {GO:0005739}; nucleolus {GO:0005730}; nucleoplasm {GO:0005654}; nucleus {GO:0005634}; ribonucleoprotein complex {GO:1990904}</t>
  </si>
  <si>
    <t>DNA binding {GO:0003677}; double-stranded RNA binding {GO:0003725}; enzyme binding {GO:0019899}; mRNA 3'-UTR AU-rich region binding {GO:0035925}; single-stranded RNA binding {GO:0003727}</t>
  </si>
  <si>
    <t>sp|P17427|AP2A2_MOUSE</t>
  </si>
  <si>
    <t>AP-2 complex subunit alpha-2</t>
  </si>
  <si>
    <t>100 kDa coated vesicle protein C; Adaptor protein complex AP-2 subunit alpha-2; Adaptor-related protein complex 2 subunit alpha-2; Alpha-adaptin C; Alpha2-adaptin; Clathrin assembly protein complex 2 alpha-C large chain; Plasma membrane adaptor HA2/AP2 adaptin alpha C subunit</t>
  </si>
  <si>
    <t>AP2A2_MOUSE</t>
  </si>
  <si>
    <t>P17427</t>
  </si>
  <si>
    <t>Q8C2J5; Q921V0</t>
  </si>
  <si>
    <t>Adtab</t>
  </si>
  <si>
    <t>MGI:101920</t>
  </si>
  <si>
    <t>3D-structure; Cell membrane; Coated pit; Endocytosis; Lipid-binding; Membrane; Protein transport; Transport</t>
  </si>
  <si>
    <t>clathrin-dependent endocytosis {GO:0072583}; intracellular protein transport {GO:0006886}; postsynaptic neurotransmitter receptor internalization {GO:0098884}; receptor-mediated endocytosis {GO:0006898}; regulation of hematopoietic stem cell differentiation {GO:1902036}; vesicle-mediated transport {GO:0016192}</t>
  </si>
  <si>
    <t>AP-2 adaptor complex {GO:0030122}; cytoplasmic side of plasma membrane {GO:0009898}; cytoplasmic vesicle {GO:0031410}; membrane coat {GO:0030117}; postsynapse {GO:0098794}; secretory granule {GO:0030141}; synaptic vesicle {GO:0008021}</t>
  </si>
  <si>
    <t>cargo adaptor activity {GO:0140312}; clathrin adaptor activity {GO:0035615}; disordered domain specific binding {GO:0097718}; kinase binding {GO:0019900}; phosphatidylinositol binding {GO:0035091}; protein domain specific binding {GO:0019904}; protein kinase binding {GO:0019901}; protein-containing complex binding {GO:0044877}</t>
  </si>
  <si>
    <t>Retrograde neurotrophin signalling {R-MMU-177504}; MHC class II antigen presentation {R-MMU-2132295}; Trafficking of GluR2-containing AMPA receptors {R-MMU-416993}; Recycling pathway of L1 {R-MMU-437239}; WNT5A-dependent internalization of FZD4 {R-MMU-5099900}; WNT5A-dependent internalization of FZD2, FZD5 and ROR2 {R-MMU-5140745}; Neutrophil degranulation {R-MMU-6798695}; Cargo recognition for clathrin-mediated endocytosis {R-MMU-8856825}; Clathrin-mediated endocytosis {R-MMU-8856828}; VLDLR internalisation and degradation {R-MMU-8866427}; LDL clearance {R-MMU-8964038}</t>
  </si>
  <si>
    <t>sp|O54734|OST48_MOUSE</t>
  </si>
  <si>
    <t>Dolichyl-diphosphooligosaccharide--protein glycosyltransferase 48 kDa subunit (DDOST 48 kDa subunit; Oligosaccharyl transferase 48 kDa subunit)</t>
  </si>
  <si>
    <t>OST48_MOUSE</t>
  </si>
  <si>
    <t>O54734</t>
  </si>
  <si>
    <t>Q8C4P7</t>
  </si>
  <si>
    <t>MGI:1194508</t>
  </si>
  <si>
    <t>Endoplasmic reticulum; Membrane; Signal; Transmembrane; Transmembrane helix</t>
  </si>
  <si>
    <t>protein glycosylation {GO:0006486}; protein N-linked glycosylation {GO:0006487}; protein N-linked glycosylation via asparagine {GO:0018279}; regulation of protein stability {GO:0031647}; response to cytokine {GO:0034097}; T cell activation {GO:0042110}</t>
  </si>
  <si>
    <t>endoplasmic reticulum {GO:0005783}; endoplasmic reticulum membrane {GO:0005789}; integral component of membrane {GO:0016021}; intracellular membrane-bounded organelle {GO:0043231}; oligosaccharyltransferase complex {GO:0008250}</t>
  </si>
  <si>
    <t>enzyme activator activity {GO:0008047}</t>
  </si>
  <si>
    <t>sp|Q63844|MK03_MOUSE</t>
  </si>
  <si>
    <t>Mitogen-activated protein kinase 3 (MAP kinase 3; MAPK 3)</t>
  </si>
  <si>
    <t>ERT2; Extracellular signal-regulated kinase 1 (ERK-1); Insulin-stimulated MAP2 kinase; MAP kinase isoform p44 (p44-MAPK); MNK1; Microtubule-associated protein 2 kinase; p44-ERK1</t>
  </si>
  <si>
    <t>MK03_MOUSE</t>
  </si>
  <si>
    <t>Q63844</t>
  </si>
  <si>
    <t>Q61531; Q8K0X5; Q91YW5</t>
  </si>
  <si>
    <t>Erk1; Prkm3</t>
  </si>
  <si>
    <t>MGI:1346859</t>
  </si>
  <si>
    <t>Acetylation; Apoptosis; ATP-binding; Cell cycle; Cell junction; Cytoplasm; Kinase; Membrane; Nucleotide-binding; Nucleus; Phosphoprotein; Serine/threonine-protein kinase; Transferase</t>
  </si>
  <si>
    <t>Cell junction; Cytoplasm; Membrane; Nucleus</t>
  </si>
  <si>
    <t>aging {GO:0007568}; animal organ morphogenesis {GO:0009887}; apoptotic process {GO:0006915}; Bergmann glial cell differentiation {GO:0060020}; BMP signaling pathway {GO:0030509}; cardiac neural crest cell development involved in heart development {GO:0061308}; cartilage development {GO:0051216}; caveolin-mediated endocytosis {GO:0072584}; cell cycle {GO:0007049}; cell surface receptor signaling pathway {GO:0007166}; cellular response to amino acid starvation {GO:0034198}; cellular response to cadmium ion {GO:0071276}; cellular response to DNA damage stimulus {GO:0006974}; cellular response to dopamine {GO:1903351}; cellular response to mechanical stimulus {GO:0071260}; cellular response to reactive oxygen species {GO:0034614}; cellular response to tumor necrosis factor {GO:0071356}; decidualization {GO:0046697}; DNA damage induced protein phosphorylation {GO:0006975}; DNA-templated transcription {GO:0006351}; ERK1 and ERK2 cascade {GO:0070371}; face development {GO:0060324}; interleukin-1-mediated signaling pathway {GO:0070498}; intracellular signal transduction {GO:0035556}; lipopolysaccharide-mediated signaling pathway {GO:0031663}; lung morphogenesis {GO:0060425}; MAPK cascade {GO:0000165}; negative regulation of apolipoprotein binding {GO:2000657}; neural crest cell development {GO:0014032}; outer ear morphogenesis {GO:0042473}; peptidyl-serine phosphorylation {GO:0018105}; peptidyl-tyrosine autophosphorylation {GO:0038083}; phosphorylation {GO:0016310}; positive regulation of cyclase activity {GO:0031281}; positive regulation of ERK1 and ERK2 cascade {GO:0070374}; positive regulation of gene expression {GO:0010628}; positive regulation of histone acetylation {GO:0035066}; positive regulation of macrophage chemotaxis {GO:0010759}; positive regulation of macrophage proliferation {GO:0120041}; positive regulation of protein phosphorylation {GO:0001934}; positive regulation of telomerase activity {GO:0051973}; positive regulation of telomere capping {GO:1904355}; positive regulation of telomere maintenance via telomerase {GO:0032212}; positive regulation of transcription by RNA polymerase II {GO:0045944}; positive regulation of translation {GO:0045727}; positive regulation of xenophagy {GO:1904417}; protein phosphorylation {GO:0006468}; protein-containing complex assembly {GO:0065003}; regulation of cellular pH {GO:0030641}; regulation of cytoskeleton organization {GO:0051493}; regulation of DNA-binding transcription factor activity {GO:0051090}; regulation of early endosome to late endosome transport {GO:2000641}; regulation of Golgi inheritance {GO:0090170}; regulation of ossification {GO:0030278}; regulation of stress-activated MAPK cascade {GO:0032872}; response to epidermal growth factor {GO:0070849}; response to exogenous dsRNA {GO:0043330}; response to lipopolysaccharide {GO:0032496}; response to toxic substance {GO:0009636}; sensory perception of pain {GO:0019233}; signal transduction {GO:0007165}; stress-activated MAPK cascade {GO:0051403}; thymus development {GO:0048538}; thyroid gland development {GO:0030878}; trachea formation {GO:0060440}; xenophagy {GO:0098792}</t>
  </si>
  <si>
    <t>caveola {GO:0005901}; cytoplasm {GO:0005737}; cytoskeleton {GO:0005856}; cytosol {GO:0005829}; early endosome {GO:0005769}; focal adhesion {GO:0005925}; Golgi apparatus {GO:0005794}; late endosome {GO:0005770}; mitochondrion {GO:0005739}; nuclear envelope {GO:0005635}; nucleoplasm {GO:0005654}; nucleus {GO:0005634}; plasma membrane {GO:0005886}; protein-containing complex {GO:0032991}; pseudopodium {GO:0031143}</t>
  </si>
  <si>
    <t>ATP binding {GO:0005524}; identical protein binding {GO:0042802}; MAP kinase activity {GO:0004707}; MAP kinase kinase activity {GO:0004708}; phosphatase binding {GO:0019902}; phosphotyrosine residue binding {GO:0001784}; protein kinase activity {GO:0004672}; protein serine kinase activity {GO:0106310}; protein serine/threonine kinase activity {GO:0004674}; scaffold protein binding {GO:0097110}</t>
  </si>
  <si>
    <t>MAPK3 (ERK1) activation {R-MMU-110056}; RAF-independent MAPK1/3 activation {R-MMU-112409}; ISG15 antiviral mechanism {R-MMU-1169408}; Signaling by NODAL {R-MMU-1181150}; Spry regulation of FGF signaling {R-MMU-1295596}; Signaling by Activin {R-MMU-1502540}; Golgi Cisternae Pericentriolar Stack Reorganization {R-MMU-162658}; Frs2-mediated activation {R-MMU-170968}; ERK/MAPK targets {R-MMU-198753}; ERKs are inactivated {R-MMU-202670}; Regulation of actin dynamics for phagocytic cup formation {R-MMU-2029482}; Downregulation of SMAD2/3:SMAD4 transcriptional activity {R-MMU-2173795}; SMAD2/SMAD3:SMAD4 heterotrimer regulates transcription {R-MMU-2173796}; Oxidative Stress Induced Senescence {R-MMU-2559580}; Senescence-Associated Secretory Phenotype (SASP) {R-MMU-2559582}; Oncogene Induced Senescence {R-MMU-2559585}; FCERI mediated MAPK activation {R-MMU-2871796}; Regulation of HSF1-mediated heat shock response {R-MMU-3371453}; NCAM signaling for neurite out-growth {R-MMU-375165}; Signal transduction by L1 {R-MMU-445144}; Activation of the AP-1 family of transcription factors {R-MMU-450341}; Thrombin signalling through proteinase activated receptors (PARs) {R-MMU-456926}; Negative regulation of FGFR1 signaling {R-MMU-5654726}; Negative regulation of FGFR2 signaling {R-MMU-5654727}; Negative regulation of FGFR3 signaling {R-MMU-5654732}; Negative regulation of FGFR4 signaling {R-MMU-5654733}; RHO GTPases Activate WASPs and WAVEs {R-MMU-5663213}; RHO GTPases Activate NADPH Oxidases {R-MMU-5668599}; RAF/MAP kinase cascade {R-MMU-5673001}; MAP2K and MAPK activation {R-MMU-5674135}; Negative feedback regulation of MAPK pathway {R-MMU-5674499}; Negative regulation of MAPK pathway {R-MMU-5675221}; PI5P, PP2A and IER3 Regulate PI3K/AKT Signaling {R-MMU-6811558}; RNA Polymerase I Promoter Opening {R-MMU-73728}; Signal attenuation {R-MMU-74749}; Gastrin-CREB signalling pathway via PKC and MAPK {R-MMU-881907}; ESR-mediated signaling {R-MMU-8939211}; Regulation of the apoptosome activity {R-MMU-9627069}; Growth hormone receptor signaling {R-MMU-982772}</t>
  </si>
  <si>
    <t>sp|Q91VD9|NDUS1_MOUSE</t>
  </si>
  <si>
    <t>NADH-ubiquinone oxidoreductase 75 kDa subunit, mitochondrial</t>
  </si>
  <si>
    <t>Complex I-75kD (CI-75kD)</t>
  </si>
  <si>
    <t>NDUS1_MOUSE</t>
  </si>
  <si>
    <t>Q91VD9</t>
  </si>
  <si>
    <t>Q3UQ73; Q8BM16</t>
  </si>
  <si>
    <t>MGI:2443241</t>
  </si>
  <si>
    <t>2Fe-2S; 3D-structure; 4Fe-4S; Acetylation; Electron transport; Iron; Iron-sulfur; Membrane; Metal-binding; Mitochondrion; Mitochondrion inner membrane; NAD; Oxidoreductase; Phosphoprotein; Respiratory chain; Transit peptide; Translocase; Transport; Ubiquinone</t>
  </si>
  <si>
    <t>2Fe-2S; 4Fe-4S; Iron; Iron-sulfur; Metal-binding; NAD; Ubiquinone</t>
  </si>
  <si>
    <t>Oxidoreductase; Translocase</t>
  </si>
  <si>
    <t>aerobic respiration {GO:0009060}; apoptotic mitochondrial changes {GO:0008637}; ATP metabolic process {GO:0046034}; cellular respiration {GO:0045333}; mitochondrial electron transport, NADH to ubiquinone {GO:0006120}; mitochondrial respiratory chain complex I assembly {GO:0032981}; proton motive force-driven mitochondrial ATP synthesis {GO:0042776}; reactive oxygen species metabolic process {GO:0072593}; regulation of mitochondrial membrane potential {GO:0051881}</t>
  </si>
  <si>
    <t>mitochondrial inner membrane {GO:0005743}; mitochondrial intermembrane space {GO:0005758}; mitochondrial respiratory chain complex I {GO:0005747}; mitochondrion {GO:0005739}; myelin sheath {GO:0043209}</t>
  </si>
  <si>
    <t>2 iron, 2 sulfur cluster binding {GO:0051537}; 4 iron, 4 sulfur cluster binding {GO:0051539}; electron transfer activity {GO:0009055}; metal ion binding {GO:0046872}; NADH dehydrogenase (ubiquinone) activity {GO:0008137}</t>
  </si>
  <si>
    <t>Respiratory electron transport {R-MMU-611105}; Complex I biogenesis {R-MMU-6799198}</t>
  </si>
  <si>
    <t>sp|Q9WUK2|IF4H_MOUSE</t>
  </si>
  <si>
    <t>Eukaryotic translation initiation factor 4H (eIF-4H)</t>
  </si>
  <si>
    <t>Williams-Beuren syndrome chromosomal region 1 protein homolog</t>
  </si>
  <si>
    <t>IF4H_MOUSE</t>
  </si>
  <si>
    <t>Q9WUK2</t>
  </si>
  <si>
    <t>Q9WUK3</t>
  </si>
  <si>
    <t>Wbscr1</t>
  </si>
  <si>
    <t>MGI:1341822</t>
  </si>
  <si>
    <t>3D-structure; Acetylation; Alternative splicing; Cytoplasm; Initiation factor; Methylation; Phosphoprotein; Protein biosynthesis; RNA-binding</t>
  </si>
  <si>
    <t>developmental growth {GO:0048589}; eukaryotic translation initiation factor 4F complex assembly {GO:0097010}; formation of translation preinitiation complex {GO:0001731}; sexual reproduction {GO:0019953}</t>
  </si>
  <si>
    <t>perinuclear region of cytoplasm {GO:0048471}</t>
  </si>
  <si>
    <t>L13a-mediated translational silencing of Ceruloplasmin expression {R-MMU-156827}; Translation initiation complex formation {R-MMU-72649}; Activation of the mRNA upon binding of the cap-binding complex and eIFs, and subsequent binding to 43S {R-MMU-72662}; Ribosomal scanning and start codon recognition {R-MMU-72702}; GTP hydrolysis and joining of the 60S ribosomal subunit {R-MMU-72706}</t>
  </si>
  <si>
    <t>sp|Q9DAR7|DCPS_MOUSE</t>
  </si>
  <si>
    <t>m7GpppX diphosphatase</t>
  </si>
  <si>
    <t>DCS-1; Decapping scavenger enzyme; Hint-related 7meGMP-directed hydrolase; Histidine triad nucleotide-binding protein 5; Histidine triad protein member 5 (HINT-5); Scavenger mRNA-decapping enzyme DcpS</t>
  </si>
  <si>
    <t>DCPS_MOUSE</t>
  </si>
  <si>
    <t>Q9DAR7</t>
  </si>
  <si>
    <t>Q8C5I7</t>
  </si>
  <si>
    <t>Dcs1; Hint5</t>
  </si>
  <si>
    <t>MGI:1916555</t>
  </si>
  <si>
    <t>3D-structure; Acetylation; Cytoplasm; Hydrolase; mRNA processing; mRNA splicing; Nucleus; Phosphoprotein</t>
  </si>
  <si>
    <t>cellular response to menadione {GO:0036245}; deadenylation-dependent decapping of nuclear-transcribed mRNA {GO:0000290}; methylguanosine-cap decapping {GO:0110156}; mRNA cis splicing, via spliceosome {GO:0045292}; negative regulation of programmed cell death {GO:0043069}</t>
  </si>
  <si>
    <t>cytoplasm {GO:0005737}; cytosol {GO:0005829}; mitochondrion {GO:0005739}; nucleoplasm {GO:0005654}; nucleus {GO:0005634}; P-body {GO:0000932}</t>
  </si>
  <si>
    <t>identical protein binding {GO:0042802}; m7G(5')pppN diphosphatase activity {GO:0050072}; RNA 7-methylguanosine cap binding {GO:0000340}</t>
  </si>
  <si>
    <t>mRNA decay by 3' to 5' exoribonuclease {R-MMU-429958}</t>
  </si>
  <si>
    <t>sp|Q8BFZ9|ERLN2_MOUSE</t>
  </si>
  <si>
    <t>Erlin-2</t>
  </si>
  <si>
    <t>Endoplasmic reticulum lipid raft-associated protein 2; Stomatin-prohibitin-flotillin-HflC/K domain-containing protein 2 (SPFH domain-containing protein 2)</t>
  </si>
  <si>
    <t>ERLN2_MOUSE</t>
  </si>
  <si>
    <t>Q8BFZ9</t>
  </si>
  <si>
    <t>Q8BML8</t>
  </si>
  <si>
    <t>Spfh2</t>
  </si>
  <si>
    <t>MGI:2387215</t>
  </si>
  <si>
    <t>Acetylation; Cholesterol metabolism; Endoplasmic reticulum; Glycoprotein; Lipid metabolism; Membrane; Signal-anchor; Steroid metabolism; Sterol metabolism; Transmembrane; Transmembrane helix</t>
  </si>
  <si>
    <t>Cholesterol metabolism; Lipid metabolism; Steroid metabolism; Sterol metabolism</t>
  </si>
  <si>
    <t>Acetylation; Glycoprotein</t>
  </si>
  <si>
    <t>cholesterol metabolic process {GO:0008203}; negative regulation of cholesterol biosynthetic process {GO:0045541}; negative regulation of fatty acid biosynthetic process {GO:0045717}; regulation of cholesterol biosynthetic process {GO:0045540}; SREBP signaling pathway {GO:0032933}; ubiquitin-dependent ERAD pathway {GO:0030433}</t>
  </si>
  <si>
    <t>cytosol {GO:0005829}; endoplasmic reticulum {GO:0005783}; endoplasmic reticulum membrane {GO:0005789}; integral component of membrane {GO:0016021}; membrane raft {GO:0045121}; plasma membrane {GO:0005886}; protein-containing complex {GO:0032991}</t>
  </si>
  <si>
    <t>cholesterol binding {GO:0015485}; ubiquitin protein ligase binding {GO:0031625}</t>
  </si>
  <si>
    <t>sp|Q9CU62|SMC1A_MOUSE</t>
  </si>
  <si>
    <t>Structural maintenance of chromosomes protein 1A (SMC protein 1A; SMC-1-alpha; SMC-1A)</t>
  </si>
  <si>
    <t>Chromosome segregation protein SmcB; Sb1.8</t>
  </si>
  <si>
    <t>SMC1A_MOUSE</t>
  </si>
  <si>
    <t>Q9CU62</t>
  </si>
  <si>
    <t>A2AFQ5; Q3V480; Q9CUX9; Q9D959; Q9WTU1</t>
  </si>
  <si>
    <t>Sb1.8; Smc1; Smc1l1; Smcb</t>
  </si>
  <si>
    <t>MGI:1344345</t>
  </si>
  <si>
    <t>3D-structure; Acetylation; ATP-binding; Cell cycle; Cell division; Centromere; Chromosome; Coiled coil; DNA damage; DNA repair; Meiosis; Mitosis; Nucleotide-binding; Nucleus; Phosphoprotein; Ubl conjugation</t>
  </si>
  <si>
    <t>Cell cycle; Cell division; DNA damage; DNA repair; Meiosis; Mitosis</t>
  </si>
  <si>
    <t>cell division {GO:0051301}; DNA repair {GO:0006281}; meiotic cell cycle {GO:0051321}; mitotic sister chromatid cohesion {GO:0007064}; mitotic spindle assembly {GO:0090307}; response to DNA damage checkpoint signaling {GO:0072423}; response to radiation {GO:0009314}; sister chromatid cohesion {GO:0007062}; somatic stem cell population maintenance {GO:0035019}</t>
  </si>
  <si>
    <t>cohesin complex {GO:0008278}; cytosol {GO:0005829}; kinetochore {GO:0000776}; meiotic cohesin complex {GO:0030893}; mitotic spindle pole {GO:0097431}; nuclear matrix {GO:0016363}; nucleoplasm {GO:0005654}; nucleus {GO:0005634}</t>
  </si>
  <si>
    <t>ATP binding {GO:0005524}; ATP hydrolysis activity {GO:0016887}; chromatin binding {GO:0003682}; DNA binding {GO:0003677}; mediator complex binding {GO:0036033}; protein heterodimerization activity {GO:0046982}</t>
  </si>
  <si>
    <t>Separation of Sister Chromatids {R-MMU-2467813}; Establishment of Sister Chromatid Cohesion {R-MMU-2468052}; Cohesin Loading onto Chromatin {R-MMU-2470946}; Resolution of Sister Chromatid Cohesion {R-MMU-2500257}; SUMOylation of DNA damage response and repair proteins {R-MMU-3108214}</t>
  </si>
  <si>
    <t>sp|Q80X50|UBP2L_MOUSE</t>
  </si>
  <si>
    <t>Ubiquitin-associated protein 2-like</t>
  </si>
  <si>
    <t>UBP2L_MOUSE</t>
  </si>
  <si>
    <t>Q80X50</t>
  </si>
  <si>
    <t>Q8BIT6; Q8BIW4; Q8BJ01; Q8CIG7; Q8K102; Q9CRT6</t>
  </si>
  <si>
    <t>MGI:1921633</t>
  </si>
  <si>
    <t>3D-structure; Acetylation; Alternative splicing; Methylation; Phosphoprotein</t>
  </si>
  <si>
    <t>binding of sperm to zona pellucida {GO:0007339}; hematopoietic stem cell homeostasis {GO:0061484}; stress granule assembly {GO:0034063}</t>
  </si>
  <si>
    <t>cytoplasm {GO:0005737}; nucleus {GO:0005634}; PcG protein complex {GO:0031519}</t>
  </si>
  <si>
    <t>tr|A0A991ENW0|A0A991ENW0_MOUSE</t>
  </si>
  <si>
    <t>sp|O88545|CSN6_MOUSE</t>
  </si>
  <si>
    <t>COP9 signalosome complex subunit 6 (SGN6; Signalosome subunit 6)</t>
  </si>
  <si>
    <t>JAB1-containing signalosome subunit 6</t>
  </si>
  <si>
    <t>CSN6_MOUSE</t>
  </si>
  <si>
    <t>O88545</t>
  </si>
  <si>
    <t>Csn6</t>
  </si>
  <si>
    <t>MGI:1349439</t>
  </si>
  <si>
    <t>COP9 signalosome {GO:0008180}; cytoplasm {GO:0005737}; nucleoplasm {GO:0005654}; nucleus {GO:0005634}</t>
  </si>
  <si>
    <t>metallopeptidase activity {GO:0008237}</t>
  </si>
  <si>
    <t>DNA Damage Recognition in GG-NER {R-MMU-5696394}; Formation of TC-NER Pre-Incision Complex {R-MMU-6781823}; Cargo recognition for clathrin-mediated endocytosis {R-MMU-8856825}; Neddylation {R-MMU-8951664}</t>
  </si>
  <si>
    <t>sp|Q6PGB6|NAA50_MOUSE</t>
  </si>
  <si>
    <t>N-alpha-acetyltransferase 50</t>
  </si>
  <si>
    <t>N-acetyltransferase NAT13; N-epsilon-acetyltransferase 50; NatE catalytic subunit</t>
  </si>
  <si>
    <t>NAA50_MOUSE</t>
  </si>
  <si>
    <t>Q6PGB6</t>
  </si>
  <si>
    <t>Q3TH79; Q3TK59; Q7TML2; Q80VE3; Q9D0Q8</t>
  </si>
  <si>
    <t>Mak3; Nat13</t>
  </si>
  <si>
    <t>MGI:1919367</t>
  </si>
  <si>
    <t>Acetylation; Acyltransferase; Alternative splicing; Cytoplasm; Nucleus; Phosphoprotein; Transferase</t>
  </si>
  <si>
    <t>establishment of mitotic sister chromatid cohesion {GO:0034087}; histone acetylation {GO:0016573}; mitotic sister chromatid cohesion {GO:0007064}; mitotic sister chromatid cohesion, centromeric {GO:0071962}; N-terminal protein amino acid acetylation {GO:0006474}</t>
  </si>
  <si>
    <t>cytoplasm {GO:0005737}; cytosol {GO:0005829}; NatA complex {GO:0031415}; nucleolus {GO:0005730}; nucleus {GO:0005634}</t>
  </si>
  <si>
    <t>H4 histone acetyltransferase activity {GO:0010485}; N-acetyltransferase activity {GO:0008080}; peptide alpha-N-acetyltransferase activity {GO:0004596}; peptidyl-lysine acetyltransferase activity {GO:0052858}</t>
  </si>
  <si>
    <t>sp|P55264|ADK_MOUSE</t>
  </si>
  <si>
    <t>Adenosine kinase (AK)</t>
  </si>
  <si>
    <t>Adenosine 5'-phosphotransferase</t>
  </si>
  <si>
    <t>ADK_MOUSE</t>
  </si>
  <si>
    <t>P55264</t>
  </si>
  <si>
    <t>Q6JAM3; Q91VJ3</t>
  </si>
  <si>
    <t>MGI:87930</t>
  </si>
  <si>
    <t>3D-structure; Alternative splicing; ATP-binding; Cytoplasm; Kinase; Magnesium; Metal-binding; Nucleotide-binding; Nucleus; Phosphoprotein; Purine salvage; Transferase</t>
  </si>
  <si>
    <t>adenosine metabolic process {GO:0046085}; AMP salvage {GO:0044209}; dAMP salvage {GO:0106383}; dATP biosynthetic process {GO:0006175}; GMP salvage {GO:0032263}; phosphorylation {GO:0016310}; positive regulation of cardiac muscle hypertrophy {GO:0010613}; positive regulation of T cell proliferation {GO:0042102}; purine nucleobase metabolic process {GO:0006144}; purine ribonucleoside salvage {GO:0006166}; type B pancreatic cell proliferation {GO:0044342}</t>
  </si>
  <si>
    <t>cytoplasm {GO:0005737}; cytosol {GO:0005829}; nucleoplasm {GO:0005654}; nucleus {GO:0005634}; plasma membrane {GO:0005886}</t>
  </si>
  <si>
    <t>adenosine kinase activity {GO:0004001}; ATP binding {GO:0005524}; deoxyadenosine kinase activity {GO:0004136}; metal ion binding {GO:0046872}</t>
  </si>
  <si>
    <t>Purine metabolism; AMP biosynthesis via salvage pathway; AMP from adenosine: step 1/1.</t>
  </si>
  <si>
    <t>Purine salvage {R-MMU-74217}</t>
  </si>
  <si>
    <t>sp|Q9CWM4|PFD1_MOUSE</t>
  </si>
  <si>
    <t>Prefoldin subunit 1</t>
  </si>
  <si>
    <t>PFD1_MOUSE</t>
  </si>
  <si>
    <t>Q9CWM4</t>
  </si>
  <si>
    <t>MGI:1914449</t>
  </si>
  <si>
    <t>Acetylation; Chaperone</t>
  </si>
  <si>
    <t>actin cytoskeleton organization {GO:0030036}; B cell activation {GO:0042113}; cerebellum development {GO:0021549}; negative regulation of amyloid fibril formation {GO:1905907}; protein folding {GO:0006457}; telencephalon development {GO:0021537}</t>
  </si>
  <si>
    <t>cytoplasm {GO:0005737}; prefoldin complex {GO:0016272}</t>
  </si>
  <si>
    <t>amyloid-beta binding {GO:0001540}; protein folding chaperone {GO:0044183}; unfolded protein binding {GO:0051082}</t>
  </si>
  <si>
    <t>sp|Q64430|ATP7A_MOUSE</t>
  </si>
  <si>
    <t>Copper-transporting ATPase 1</t>
  </si>
  <si>
    <t>Copper pump 1; Menkes disease-associated protein homolog</t>
  </si>
  <si>
    <t>ATP7A_MOUSE</t>
  </si>
  <si>
    <t>Q64430</t>
  </si>
  <si>
    <t>A2AG69; O35101; P97422; Q64431</t>
  </si>
  <si>
    <t>MGI:99400</t>
  </si>
  <si>
    <t>ATP-binding; Cell membrane; Cell projection; Copper; Copper transport; Disease variant; Endosome; Glycoprotein; Golgi apparatus; Ion transport; Magnesium; Membrane; Metal-binding; Nucleotide-binding; Phosphoprotein; Repeat; Synapse; Translocase; Transmembrane; Transmembrane helix; Transport</t>
  </si>
  <si>
    <t>Copper transport; Ion transport; Transport</t>
  </si>
  <si>
    <t>Cell membrane; Cell projection; Endosome; Golgi apparatus; Membrane; Synapse</t>
  </si>
  <si>
    <t>ATP-binding; Copper; Magnesium; Metal-binding; Nucleotide-binding</t>
  </si>
  <si>
    <t>ATP metabolic process {GO:0046034}; blood vessel development {GO:0001568}; blood vessel remodeling {GO:0001974}; cartilage development {GO:0051216}; catecholamine metabolic process {GO:0006584}; cellular copper ion homeostasis {GO:0006878}; cellular response to amino acid stimulus {GO:0071230}; cellular response to copper ion {GO:0071280}; cellular response to platelet-derived growth factor stimulus {GO:0036120}; central nervous system neuron development {GO:0021954}; cerebellar Purkinje cell differentiation {GO:0021702}; collagen fibril organization {GO:0030199}; copper ion export {GO:0060003}; copper ion homeostasis {GO:0055070}; copper ion import {GO:0015677}; copper ion transport {GO:0006825}; dendrite morphogenesis {GO:0048813}; detoxification of copper ion {GO:0010273}; dopamine metabolic process {GO:0042417}; elastic fiber assembly {GO:0048251}; elastin biosynthetic process {GO:0051542}; epinephrine metabolic process {GO:0042414}; establishment of localization in cell {GO:0051649}; extracellular matrix organization {GO:0030198}; hair follicle morphogenesis {GO:0031069}; locomotory behavior {GO:0007626}; lung alveolus development {GO:0048286}; mitochondrion organization {GO:0007005}; negative regulation of catecholamine metabolic process {GO:0045914}; negative regulation of iron ion transmembrane transport {GO:0034760}; negative regulation of neuron apoptotic process {GO:0043524}; neuron apoptotic process {GO:0051402}; neuron cellular homeostasis {GO:0070050}; neuron projection morphogenesis {GO:0048812}; norepinephrine biosynthetic process {GO:0042421}; norepinephrine metabolic process {GO:0042415}; peptidyl-lysine modification {GO:0018205}; pigmentation {GO:0043473}; positive regulation of catalytic activity {GO:0043085}; positive regulation of cell size {GO:0045793}; positive regulation of cytochrome-c oxidase activity {GO:1904960}; positive regulation of epithelial cell proliferation {GO:0050679}; positive regulation of lamellipodium assembly {GO:0010592}; positive regulation of melanin biosynthetic process {GO:0048023}; positive regulation of response to wounding {GO:1903036}; positive regulation of superoxide dismutase activity {GO:1901671}; positive regulation of tyrosinase activity {GO:0032773}; positive regulation of vascular associated smooth muscle cell migration {GO:1904754}; pyramidal neuron development {GO:0021860}; regulation of cytochrome-c oxidase activity {GO:1904959}; regulation of gene expression {GO:0010468}; regulation of oxidative phosphorylation {GO:0002082}; release of cytochrome c from mitochondria {GO:0001836}; removal of superoxide radicals {GO:0019430}; response to copper ion {GO:0046688}; response to manganese ion {GO:0010042}; serotonin metabolic process {GO:0042428}; skin development {GO:0043588}; T-helper cell differentiation {GO:0042093}; tryptophan metabolic process {GO:0006568}; tyrosine metabolic process {GO:0006570}</t>
  </si>
  <si>
    <t>anchoring junction {GO:0070161}; apical plasma membrane {GO:0016324}; axon {GO:0030424}; basolateral plasma membrane {GO:0016323}; brush border membrane {GO:0031526}; cell leading edge {GO:0031252}; cytoplasmic vesicle {GO:0031410}; cytosol {GO:0005829}; dendrite {GO:0030425}; early endosome membrane {GO:0031901}; endoplasmic reticulum {GO:0005783}; Golgi apparatus {GO:0005794}; integral component of membrane {GO:0016021}; late endosome {GO:0005770}; melanosome membrane {GO:0033162}; membrane {GO:0016020}; membrane raft {GO:0045121}; microvillus {GO:0005902}; neuron projection {GO:0043005}; neuronal cell body {GO:0043025}; nucleus {GO:0005634}; perikaryon {GO:0043204}; perinuclear region of cytoplasm {GO:0048471}; plasma membrane {GO:0005886}; postsynaptic density {GO:0014069}; secretory granule {GO:0030141}; trans-Golgi network {GO:0005802}; trans-Golgi network membrane {GO:0032588}; trans-Golgi network transport vesicle {GO:0030140}</t>
  </si>
  <si>
    <t>ATP binding {GO:0005524}; ATP hydrolysis activity {GO:0016887}; chaperone binding {GO:0051087}; copper ion binding {GO:0005507}; copper ion transmembrane transporter activity {GO:0005375}; copper-dependent protein binding {GO:0032767}; cuprous ion binding {GO:1903136}; P-type divalent copper transporter activity {GO:0043682}; P-type monovalent copper transporter activity {GO:0140581}; small GTPase binding {GO:0031267}; superoxide dismutase copper chaperone activity {GO:0016532}</t>
  </si>
  <si>
    <t>Ion influx/efflux at host-pathogen interface {R-MMU-6803544}; Ion transport by P-type ATPases {R-MMU-936837}</t>
  </si>
  <si>
    <t>sp|P49813|TMOD1_MOUSE</t>
  </si>
  <si>
    <t>Tropomodulin-1</t>
  </si>
  <si>
    <t>Erythrocyte tropomodulin (E-Tmod)</t>
  </si>
  <si>
    <t>TMOD1_MOUSE</t>
  </si>
  <si>
    <t>P49813</t>
  </si>
  <si>
    <t>Q3KP84; Q9ERR9</t>
  </si>
  <si>
    <t>Tmod</t>
  </si>
  <si>
    <t>MGI:98775</t>
  </si>
  <si>
    <t>Actin-binding; Cytoplasm; Cytoskeleton</t>
  </si>
  <si>
    <t>actin filament organization {GO:0007015}; adult locomotory behavior {GO:0008344}; lens fiber cell development {GO:0070307}; muscle contraction {GO:0006936}; myofibril assembly {GO:0030239}; pointed-end actin filament capping {GO:0051694}</t>
  </si>
  <si>
    <t>actin filament {GO:0005884}; COP9 signalosome {GO:0008180}; cortical cytoskeleton {GO:0030863}; cytoplasm {GO:0005737}; cytoskeleton {GO:0005856}; membrane {GO:0016020}; myofibril {GO:0030016}; nucleus {GO:0005634}; sarcomere {GO:0030017}; striated muscle thin filament {GO:0005865}</t>
  </si>
  <si>
    <t>actin binding {GO:0003779}; actin filament binding {GO:0051015}; tropomyosin binding {GO:0005523}</t>
  </si>
  <si>
    <t>Striated Muscle Contraction {R-MMU-390522}</t>
  </si>
  <si>
    <t>sp|Q9DCN2|NB5R3_MOUSE</t>
  </si>
  <si>
    <t>NADH-cytochrome b5 reductase 3 (B5R; Cytochrome b5 reductase)</t>
  </si>
  <si>
    <t>Diaphorase-1</t>
  </si>
  <si>
    <t>NB5R3_MOUSE</t>
  </si>
  <si>
    <t>Q9DCN2</t>
  </si>
  <si>
    <t>Dia1</t>
  </si>
  <si>
    <t>MGI:94893</t>
  </si>
  <si>
    <t>Acetylation; Alternative promoter usage; Cholesterol biosynthesis; Cholesterol metabolism; Endoplasmic reticulum; FAD; Flavoprotein; Lipid biosynthesis; Lipid metabolism; Lipoprotein; Membrane; Mitochondrion; Mitochondrion outer membrane; Myristate; NAD; Oxidoreductase; Phosphoprotein; Steroid biosynthesis; Steroid metabolism; Sterol biosynthesis; Sterol metabolism</t>
  </si>
  <si>
    <t>Cholesterol biosynthesis; Cholesterol metabolism; Lipid biosynthesis; Lipid metabolism; Steroid biosynthesis; Steroid metabolism; Sterol biosynthesis; Sterol metabolism</t>
  </si>
  <si>
    <t>Endoplasmic reticulum; Membrane; Mitochondrion; Mitochondrion outer membrane</t>
  </si>
  <si>
    <t>Alternative promoter usage</t>
  </si>
  <si>
    <t>cholesterol biosynthetic process {GO:0006695}; nitric oxide biosynthetic process {GO:0006809}</t>
  </si>
  <si>
    <t>endoplasmic reticulum {GO:0005783}; endoplasmic reticulum membrane {GO:0005789}; lipid droplet {GO:0005811}; mitochondrial inner membrane {GO:0005743}; mitochondrial outer membrane {GO:0005741}; nitric-oxide synthase complex {GO:1903958}</t>
  </si>
  <si>
    <t>ADP binding {GO:0043531}; AMP binding {GO:0016208}; cytochrome-b5 reductase activity, acting on NAD(P)H {GO:0004128}; FAD binding {GO:0071949}; flavin adenine dinucleotide binding {GO:0050660}; NAD binding {GO:0051287}; nitrite reductase (NO-forming) activity {GO:0050421}</t>
  </si>
  <si>
    <t>Vitamin C (ascorbate) metabolism {R-MMU-196836}; Phase I - Functionalization of compounds {R-MMU-211945}; Neutrophil degranulation {R-MMU-6798695}</t>
  </si>
  <si>
    <t>sp|O08585|CLCA_MOUSE</t>
  </si>
  <si>
    <t>Clathrin light chain A (Lca)</t>
  </si>
  <si>
    <t>CLCA_MOUSE</t>
  </si>
  <si>
    <t>O08585</t>
  </si>
  <si>
    <t>MGI:894297</t>
  </si>
  <si>
    <t>Acetylation; Calcium; Cell cycle; Cell division; Coated pit; Cytoplasm; Cytoplasmic vesicle; Cytoskeleton; Membrane; Mitosis; Phosphoprotein</t>
  </si>
  <si>
    <t>cell cycle {GO:0007049}; cell division {GO:0051301}; clathrin coat assembly {GO:0048268}; clathrin-dependent endocytosis {GO:0072583}; intracellular protein transport {GO:0006886}</t>
  </si>
  <si>
    <t>clathrin coat {GO:0030118}; clathrin coat of coated pit {GO:0030132}; clathrin coat of trans-Golgi network vesicle {GO:0030130}; clathrin complex {GO:0071439}; clathrin vesicle coat {GO:0030125}; clathrin-coated pit {GO:0005905}; clathrin-coated vesicle {GO:0030136}; cytoplasmic vesicle {GO:0031410}; glutamatergic synapse {GO:0098978}; plasma membrane {GO:0005886}; postsynaptic endocytic zone {GO:0098843}; postsynaptic endocytic zone cytoplasmic component {GO:0099631}; presynaptic endocytic zone membrane {GO:0098835}; spindle {GO:0005819}; synaptic vesicle membrane {GO:0030672}</t>
  </si>
  <si>
    <t>clathrin heavy chain binding {GO:0032050}; GTPase binding {GO:0051020}; peptide binding {GO:0042277}; protein-containing complex binding {GO:0044877}; structural molecule activity {GO:0005198}</t>
  </si>
  <si>
    <t>Retrograde neurotrophin signalling {R-MMU-177504}; Gap junction degradation {R-MMU-190873}; Formation of annular gap junctions {R-MMU-196025}; MHC class II antigen presentation {R-MMU-2132295}; Lysosome Vesicle Biogenesis {R-MMU-432720}; Golgi Associated Vesicle Biogenesis {R-MMU-432722}; Recycling pathway of L1 {R-MMU-437239}; WNT5A-dependent internalization of FZD4 {R-MMU-5099900}; WNT5A-dependent internalization of FZD2, FZD5 and ROR2 {R-MMU-5140745}; Cargo recognition for clathrin-mediated endocytosis {R-MMU-8856825}; Clathrin-mediated endocytosis {R-MMU-8856828}; VLDLR internalisation and degradation {R-MMU-8866427}; LDL clearance {R-MMU-8964038}</t>
  </si>
  <si>
    <t>sp|Q91ZR2|SNX18_MOUSE</t>
  </si>
  <si>
    <t>Sorting nexin-18</t>
  </si>
  <si>
    <t>Sorting nexin-associated Golgi protein 1</t>
  </si>
  <si>
    <t>SNX18_MOUSE</t>
  </si>
  <si>
    <t>Q91ZR2</t>
  </si>
  <si>
    <t>MGI:2137642</t>
  </si>
  <si>
    <t>Cell cycle; Cell division; Cell membrane; Cytoplasmic vesicle; Endocytosis; Endosome; Lipid-binding; Membrane; Mitosis; Protein transport; SH3 domain; Transport</t>
  </si>
  <si>
    <t>Cell cycle; Cell division; Endocytosis; Mitosis; Protein transport; Transport</t>
  </si>
  <si>
    <t>Cell membrane; Cytoplasmic vesicle; Endosome; Membrane</t>
  </si>
  <si>
    <t>SH3 domain</t>
  </si>
  <si>
    <t>cleavage furrow formation {GO:0036089}; endocytosis {GO:0006897}; endosomal transport {GO:0016197}; mitotic cytokinesis {GO:0000281}; plasma membrane tubulation {GO:0097320}; positive regulation of autophagosome assembly {GO:2000786}; positive regulation of GTPase activity {GO:0043547}; protein transport {GO:0015031}</t>
  </si>
  <si>
    <t>clathrin-coated vesicle {GO:0030136}; cytoplasmic vesicle {GO:0031410}; extracellular exosome {GO:0070062}; extrinsic component of cytoplasmic side of plasma membrane {GO:0031234}; growth cone {GO:0030426}; neuronal cell body {GO:0043025}; plasma membrane {GO:0005886}; recycling endosome membrane {GO:0055038}</t>
  </si>
  <si>
    <t>phosphatidylinositol binding {GO:0035091}; phosphatidylinositol-4,5-bisphosphate binding {GO:0005546}</t>
  </si>
  <si>
    <t>sp|Q9D2G2|ODO2_MOUSE</t>
  </si>
  <si>
    <t>Dihydrolipoyllysine-residue succinyltransferase component of 2-oxoglutarate dehydrogenase complex, mitochondrial</t>
  </si>
  <si>
    <t>2-oxoglutarate dehydrogenase complex component E2 (OGDC-E2); Dihydrolipoamide succinyltransferase component of 2-oxoglutarate dehydrogenase complex; E2K</t>
  </si>
  <si>
    <t>ODO2_MOUSE</t>
  </si>
  <si>
    <t>Q9D2G2</t>
  </si>
  <si>
    <t>Q3UEA0; Q4FK55; Q8CIE8</t>
  </si>
  <si>
    <t>MGI:1926170</t>
  </si>
  <si>
    <t>Acetylation; Acyltransferase; Alternative splicing; Lipoyl; Mitochondrion; Nucleus; Phosphoprotein; Transferase; Transit peptide; Tricarboxylic acid cycle</t>
  </si>
  <si>
    <t>Lipoyl; Transit peptide</t>
  </si>
  <si>
    <t>2-oxoglutarate metabolic process {GO:0006103}; histone succinylation {GO:0106077}; L-lysine catabolic process to acetyl-CoA via saccharopine {GO:0033512}; NADH metabolic process {GO:0006734}; succinyl-CoA metabolic process {GO:0006104}; tricarboxylic acid cycle {GO:0006099}</t>
  </si>
  <si>
    <t>cytosol {GO:0005829}; intracellular membrane-bounded organelle {GO:0043231}; mitochondrial matrix {GO:0005759}; mitochondrion {GO:0005739}; myelin sheath {GO:0043209}; nucleoplasm {GO:0005654}; nucleus {GO:0005634}; oxoglutarate dehydrogenase complex {GO:0045252}; plasma membrane {GO:0005886}</t>
  </si>
  <si>
    <t>acyltransferase activity {GO:0016746}; chaperone binding {GO:0051087}; dihydrolipoyllysine-residue succinyltransferase activity {GO:0004149}; heat shock protein binding {GO:0031072}</t>
  </si>
  <si>
    <t>Carbohydrate metabolism; tricarboxylic acid cycle.</t>
  </si>
  <si>
    <t>Glyoxylate metabolism and glycine degradation {R-MMU-389661}; Lysine catabolism {R-MMU-71064}; Citric acid cycle (TCA cycle) {R-MMU-71403}</t>
  </si>
  <si>
    <t>sp|Q9Z130|HNRDL_MOUSE</t>
  </si>
  <si>
    <t>Heterogeneous nuclear ribonucleoprotein D-like (hnRNP D-like; hnRNP DL)</t>
  </si>
  <si>
    <t>JKT41-binding protein</t>
  </si>
  <si>
    <t>HNRDL_MOUSE</t>
  </si>
  <si>
    <t>Q9Z130</t>
  </si>
  <si>
    <t>Q9CT01</t>
  </si>
  <si>
    <t>Hnrpdl; Jktbp</t>
  </si>
  <si>
    <t>MGI:1355299</t>
  </si>
  <si>
    <t>Acetylation; Activator; Cytoplasm; DNA-binding; Isopeptide bond; Methylation; Nucleus; Phosphoprotein; Repeat; Repressor; RNA-binding; Transcription; Transcription regulation; Ubl conjugation</t>
  </si>
  <si>
    <t>mRNA metabolic process {GO:0016071}; regulation of gene expression {GO:0010468}</t>
  </si>
  <si>
    <t>DNA binding {GO:0003677}; double-stranded DNA binding {GO:0003690}; poly(A) binding {GO:0008143}; poly(G) binding {GO:0034046}; RNA binding {GO:0003723}; single-stranded DNA binding {GO:0003697}</t>
  </si>
  <si>
    <t>sp|Q9Z1K5|ARI1_MOUSE</t>
  </si>
  <si>
    <t>E3 ubiquitin-protein ligase ARIH1</t>
  </si>
  <si>
    <t>Protein ariadne-1 homolog (ARI-1); RING-type E3 ubiquitin transferase ARIH1; UbcH7-binding protein; UbcM4-interacting protein 77; Ubiquitin-conjugating enzyme E2-binding protein 1</t>
  </si>
  <si>
    <t>ARI1_MOUSE</t>
  </si>
  <si>
    <t>Q9Z1K5</t>
  </si>
  <si>
    <t>E9Q1X3; Q6PF92; Q8CFJ4</t>
  </si>
  <si>
    <t>MGI:1344363</t>
  </si>
  <si>
    <t>Acetylation; Cytoplasm; Metal-binding; Nucleus; Repeat; Transferase; Ubl conjugation pathway; Zinc; Zinc-finger</t>
  </si>
  <si>
    <t>positive regulation of proteasomal ubiquitin-dependent protein catabolic process {GO:0032436}; protein polyubiquitination {GO:0000209}; protein ubiquitination {GO:0016567}; ubiquitin-dependent protein catabolic process {GO:0006511}</t>
  </si>
  <si>
    <t>Cajal body {GO:0015030}; Cul2-RING ubiquitin ligase complex {GO:0031462}; Cul3-RING ubiquitin ligase complex {GO:0031463}; Cul4A-RING E3 ubiquitin ligase complex {GO:0031464}; cytoplasm {GO:0005737}; Lewy body {GO:0097413}; nuclear body {GO:0016604}; nucleoplasm {GO:0005654}; nucleus {GO:0005634}; SCF ubiquitin ligase complex {GO:0019005}; ubiquitin ligase complex {GO:0000151}</t>
  </si>
  <si>
    <t>ubiquitin conjugating enzyme binding {GO:0031624}; ubiquitin protein ligase activity {GO:0061630}; ubiquitin protein ligase binding {GO:0031625}; ubiquitin-protein transferase activity {GO:0004842}; zinc ion binding {GO:0008270}</t>
  </si>
  <si>
    <t>sp|Q64105|SPRE_MOUSE</t>
  </si>
  <si>
    <t>Sepiapterin reductase (SPR)</t>
  </si>
  <si>
    <t>SPRE_MOUSE</t>
  </si>
  <si>
    <t>Q64105</t>
  </si>
  <si>
    <t>Q63996</t>
  </si>
  <si>
    <t>MGI:103078</t>
  </si>
  <si>
    <t>3D-structure; Acetylation; Cytoplasm; NADP; Oxidoreductase; Phosphoprotein</t>
  </si>
  <si>
    <t>cell morphogenesis involved in neuron differentiation {GO:0048667}; dopamine metabolic process {GO:0042417}; L-phenylalanine metabolic process {GO:0006558}; nitric oxide biosynthetic process {GO:0006809}; norepinephrine metabolic process {GO:0042415}; pteridine metabolic process {GO:0019889}; regulation of multicellular organism growth {GO:0040014}; serotonin metabolic process {GO:0042428}; tetrahydrobiopterin biosynthetic process {GO:0006729}; tetrahydrobiopterin metabolic process {GO:0046146}; voluntary musculoskeletal movement {GO:0050882}</t>
  </si>
  <si>
    <t>protein homodimerization activity {GO:0042803}; sepiapterin reductase activity {GO:0004757}</t>
  </si>
  <si>
    <t>Tetrahydrobiopterin (BH4) synthesis, recycling, salvage and regulation {R-MMU-1474151}; eNOS activation {R-MMU-203615}</t>
  </si>
  <si>
    <t>sp|Q8BKI2|TNR6B_MOUSE</t>
  </si>
  <si>
    <t>Trinucleotide repeat-containing gene 6B protein</t>
  </si>
  <si>
    <t>TNR6B_MOUSE</t>
  </si>
  <si>
    <t>Q8BKI2</t>
  </si>
  <si>
    <t>Q80TK4</t>
  </si>
  <si>
    <t>Kiaa1093</t>
  </si>
  <si>
    <t>MGI:2443730</t>
  </si>
  <si>
    <t>Alternative splicing; Coiled coil; Cytoplasm; Phosphoprotein; RNA-binding; RNA-mediated gene silencing; Translation regulation</t>
  </si>
  <si>
    <t>RNA-mediated gene silencing; Translation regulation</t>
  </si>
  <si>
    <t>gene silencing by RNA {GO:0031047}; miRNA-mediated gene silencing {GO:0035195}; miRNA-mediated gene silencing by inhibition of translation {GO:0035278}; positive regulation of nuclear-transcribed mRNA catabolic process, deadenylation-dependent decay {GO:1900153}; positive regulation of nuclear-transcribed mRNA poly(A) tail shortening {GO:0060213}</t>
  </si>
  <si>
    <t>nucleoplasm {GO:0005654}; P-body {GO:0000932}</t>
  </si>
  <si>
    <t>Post-transcriptional silencing by small RNAs {R-MMU-426496}</t>
  </si>
  <si>
    <t>sp|P10922|H10_MOUSE</t>
  </si>
  <si>
    <t>Histone H1.0, N-terminally processed</t>
  </si>
  <si>
    <t>Histone H1'; Histone H1(0); MyD196</t>
  </si>
  <si>
    <t>H10_MOUSE</t>
  </si>
  <si>
    <t>P10922</t>
  </si>
  <si>
    <t>Q3UKC0</t>
  </si>
  <si>
    <t>H1f0; H1fv</t>
  </si>
  <si>
    <t>MGI:95893</t>
  </si>
  <si>
    <t>Acetylation; ADP-ribosylation; Chromosome; Citrullination; DNA-binding; Nucleus</t>
  </si>
  <si>
    <t>ADP-ribosylation; Acetylation; Citrullination</t>
  </si>
  <si>
    <t>chromosome condensation {GO:0030261}; heterochromatin assembly {GO:0031507}; negative regulation of DNA recombination {GO:0045910}; nucleosome assembly {GO:0006334}; positive regulation of transcription regulatory region DNA binding {GO:2000679}</t>
  </si>
  <si>
    <t>actin cytoskeleton {GO:0015629}; chromatin {GO:0000785}; euchromatin {GO:0000791}; Golgi apparatus {GO:0005794}; nuclear body {GO:0016604}; nucleoplasm {GO:0005654}; nucleosome {GO:0000786}; nucleus {GO:0005634}; transcription repressor complex {GO:0017053}</t>
  </si>
  <si>
    <t>chromatin DNA binding {GO:0031490}; DNA binding {GO:0003677}; double-stranded DNA binding {GO:0003690}; minor groove of adenine-thymine-rich DNA binding {GO:0003680}; nucleosomal DNA binding {GO:0031492}; structural constituent of chromatin {GO:0030527}</t>
  </si>
  <si>
    <t>sp|P24270|CATA_MOUSE</t>
  </si>
  <si>
    <t>Catalase</t>
  </si>
  <si>
    <t>CATA_MOUSE</t>
  </si>
  <si>
    <t>P24270</t>
  </si>
  <si>
    <t>Q3TXQ6</t>
  </si>
  <si>
    <t>Cas-1; Cas1</t>
  </si>
  <si>
    <t>MGI:88271</t>
  </si>
  <si>
    <t>Acetylation; Heme; Hydrogen peroxide; Iron; Metal-binding; Mitogen; NADP; Oxidoreductase; Peroxidase; Peroxisome; Phosphoprotein</t>
  </si>
  <si>
    <t>Heme; Iron; Metal-binding; NADP</t>
  </si>
  <si>
    <t>Mitogen; Oxidoreductase; Peroxidase</t>
  </si>
  <si>
    <t>aerobic respiration {GO:0009060}; aging {GO:0007568}; cellular detoxification of hydrogen peroxide {GO:0061692}; cellular response to growth factor stimulus {GO:0071363}; cholesterol metabolic process {GO:0008203}; hemoglobin metabolic process {GO:0020027}; hydrogen peroxide catabolic process {GO:0042744}; kidney development {GO:0001822}; negative regulation of apoptotic process {GO:0043066}; negative regulation of NF-kappaB transcription factor activity {GO:0032088}; positive regulation of cell division {GO:0051781}; positive regulation of NF-kappaB transcription factor activity {GO:0051092}; positive regulation of phosphatidylinositol 3-kinase signaling {GO:0014068}; response to activity {GO:0014823}; response to cadmium ion {GO:0046686}; response to estradiol {GO:0032355}; response to ethanol {GO:0045471}; response to fatty acid {GO:0070542}; response to hydrogen peroxide {GO:0042542}; response to hyperoxia {GO:0055093}; response to hypoxia {GO:0001666}; response to inactivity {GO:0014854}; response to insulin {GO:0032868}; response to L-ascorbic acid {GO:0033591}; response to lead ion {GO:0010288}; response to light intensity {GO:0009642}; response to oxidative stress {GO:0006979}; response to ozone {GO:0010193}; response to phenylpropanoid {GO:0080184}; response to reactive oxygen species {GO:0000302}; response to vitamin A {GO:0033189}; response to vitamin E {GO:0033197}; response to xenobiotic stimulus {GO:0009410}; triglyceride metabolic process {GO:0006641}; ureteric bud development {GO:0001657}; UV protection {GO:0009650}</t>
  </si>
  <si>
    <t>catalase complex {GO:0062151}; cytoplasm {GO:0005737}; cytosol {GO:0005829}; endoplasmic reticulum {GO:0005783}; extracellular space {GO:0005615}; Golgi apparatus {GO:0005794}; intracellular membrane-bounded organelle {GO:0043231}; lysosome {GO:0005764}; mitochondrial intermembrane space {GO:0005758}; mitochondrion {GO:0005739}; peroxisomal membrane {GO:0005778}; peroxisome {GO:0005777}; plasma membrane {GO:0005886}; protein-containing complex {GO:0032991}</t>
  </si>
  <si>
    <t>aminoacylase activity {GO:0004046}; antioxidant activity {GO:0016209}; catalase activity {GO:0004096}; enzyme binding {GO:0019899}; heme binding {GO:0020037}; identical protein binding {GO:0042802}; metal ion binding {GO:0046872}; NADP binding {GO:0050661}; oxidoreductase activity, acting on peroxide as acceptor {GO:0016684}; peroxisome targeting sequence binding {GO:0000268}; protein homodimerization activity {GO:0042803}</t>
  </si>
  <si>
    <t>Detoxification of Reactive Oxygen Species {R-MMU-3299685}; Neutrophil degranulation {R-MMU-6798695}; Peroxisomal protein import {R-MMU-9033241}</t>
  </si>
  <si>
    <t>sp|P47955|RLA1_MOUSE</t>
  </si>
  <si>
    <t>60S acidic ribosomal protein P1</t>
  </si>
  <si>
    <t>RLA1_MOUSE</t>
  </si>
  <si>
    <t>P47955</t>
  </si>
  <si>
    <t>MGI:1927099</t>
  </si>
  <si>
    <t>cytoplasmic translation {GO:0002181}; regulation of translation {GO:0006417}; translational elongation {GO:0006414}</t>
  </si>
  <si>
    <t>protein kinase activator activity {GO:0030295}; ribonucleoprotein complex binding {GO:0043021}; structural constituent of ribosome {GO:0003735}</t>
  </si>
  <si>
    <t>sp|P00920|CAH2_MOUSE</t>
  </si>
  <si>
    <t>Carbonic anhydrase 2</t>
  </si>
  <si>
    <t>Carbonate dehydratase II; Carbonic anhydrase II (CA-II)</t>
  </si>
  <si>
    <t>CAH2_MOUSE</t>
  </si>
  <si>
    <t>P00920</t>
  </si>
  <si>
    <t>Q6LDQ7; Q7TPE1; Q9DCT3; Q9DCY9</t>
  </si>
  <si>
    <t>Car2</t>
  </si>
  <si>
    <t>MGI:88269</t>
  </si>
  <si>
    <t>Acetylation; Cell membrane; Cytoplasm; Lyase; Membrane; Metal-binding; Phosphoprotein; Zinc</t>
  </si>
  <si>
    <t>angiotensin-activated signaling pathway {GO:0038166}; carbon dioxide transport {GO:0015670}; morphogenesis of an epithelium {GO:0002009}; neuron cellular homeostasis {GO:0070050}; one-carbon metabolic process {GO:0006730}; positive regulation of bone resorption {GO:0045780}; positive regulation of cellular pH reduction {GO:0032849}; positive regulation of dipeptide transmembrane transport {GO:2001150}; positive regulation of osteoclast differentiation {GO:0045672}; positive regulation of synaptic transmission, GABAergic {GO:0032230}; regulation of anion transport {GO:0044070}; regulation of chloride transport {GO:2001225}; regulation of intracellular pH {GO:0051453}; regulation of pH {GO:0006885}; secretion {GO:0046903}</t>
  </si>
  <si>
    <t>apical part of cell {GO:0045177}; axon {GO:0030424}; basolateral plasma membrane {GO:0016323}; cytoplasm {GO:0005737}; cytosol {GO:0005829}; extracellular space {GO:0005615}; microvillus {GO:0005902}; myelin sheath {GO:0043209}; plasma membrane {GO:0005886}</t>
  </si>
  <si>
    <t>arylesterase activity {GO:0004064}; carbonate dehydratase activity {GO:0004089}; hydro-lyase activity {GO:0016836}; zinc ion binding {GO:0008270}</t>
  </si>
  <si>
    <t>Erythrocytes take up carbon dioxide and release oxygen {R-MMU-1237044}; Erythrocytes take up oxygen and release carbon dioxide {R-MMU-1247673}; Reversible hydration of carbon dioxide {R-MMU-1475029}</t>
  </si>
  <si>
    <t>sp|Q9D394|RUFY3_MOUSE</t>
  </si>
  <si>
    <t>Protein RUFY3</t>
  </si>
  <si>
    <t>Rap2-interacting protein x (RIPx); Single axon-regulated protein 1 (Singar1)</t>
  </si>
  <si>
    <t>RUFY3_MOUSE</t>
  </si>
  <si>
    <t>Q9D394</t>
  </si>
  <si>
    <t>Q3U348; Q3UF96; Q6PE64; Q8VD10</t>
  </si>
  <si>
    <t>MGI:106484</t>
  </si>
  <si>
    <t>3D-structure; Alternative splicing; Cell junction; Cell projection; Coiled coil; Cytoplasm; Developmental protein; Differentiation; Membrane; Neurogenesis; Oncogene; Phosphoprotein</t>
  </si>
  <si>
    <t>Cell junction; Cell projection; Cytoplasm; Membrane</t>
  </si>
  <si>
    <t>Oncogene</t>
  </si>
  <si>
    <t>actin filament organization {GO:0007015}; cell differentiation {GO:0030154}; negative regulation of axonogenesis {GO:0050771}; nervous system development {GO:0007399}; positive regulation of axon extension {GO:0045773}; positive regulation of axonogenesis {GO:0050772}; positive regulation of cell migration {GO:0030335}; positive regulation of intracellular protein transport {GO:0090316}; regulation of axonogenesis {GO:0050770}; regulation of establishment of cell polarity {GO:2000114}</t>
  </si>
  <si>
    <t>anchoring junction {GO:0070161}; axon {GO:0030424}; cytoplasm {GO:0005737}; cytosol {GO:0005829}; dendrite {GO:0030425}; endomembrane system {GO:0012505}; filopodium {GO:0030175}; growth cone {GO:0030426}; lamellipodium {GO:0030027}; membrane {GO:0016020}; neuronal cell body {GO:0043025}; perikaryon {GO:0043204}</t>
  </si>
  <si>
    <t>sp|Q99NB9|SF3B1_MOUSE</t>
  </si>
  <si>
    <t>Splicing factor 3B subunit 1</t>
  </si>
  <si>
    <t>Pre-mRNA-splicing factor SF3b 155 kDa subunit (SF3b155); Spliceosome-associated protein 155 (SAP 155)</t>
  </si>
  <si>
    <t>SF3B1_MOUSE</t>
  </si>
  <si>
    <t>Q99NB9</t>
  </si>
  <si>
    <t>Q9CSK5</t>
  </si>
  <si>
    <t>Sap155</t>
  </si>
  <si>
    <t>MGI:1932339</t>
  </si>
  <si>
    <t>Acetylation; Citrullination; Isopeptide bond; mRNA processing; mRNA splicing; Nucleus; Phosphoprotein; Repeat; RNA-binding; Spliceosome; Ubl conjugation</t>
  </si>
  <si>
    <t>anterior/posterior pattern specification {GO:0009952}; blastocyst formation {GO:0001825}; chromatin remodeling {GO:0006338}; mRNA splicing, via spliceosome {GO:0000398}; positive regulation of histone acetylation {GO:0035066}; positive regulation of transcription by RNA polymerase I {GO:0045943}; positive regulation of transcription by RNA polymerase II {GO:0045944}; positive regulation of transcription by RNA polymerase III {GO:0045945}; spliceosomal complex assembly {GO:0000245}</t>
  </si>
  <si>
    <t>B-WICH complex {GO:0110016}; catalytic step 2 spliceosome {GO:0071013}; chromatin {GO:0000785}; nuclear matrix {GO:0016363}; nuclear speck {GO:0016607}; nucleolus {GO:0005730}; nucleus {GO:0005634}; small nuclear ribonucleoprotein complex {GO:0030532}; U11/U12 snRNP {GO:0034693}; U12-type spliceosomal complex {GO:0005689}; U2 snRNP {GO:0005686}; U2-type precatalytic spliceosome {GO:0071005}; U2-type prespliceosome {GO:0071004}; U2-type spliceosomal complex {GO:0005684}</t>
  </si>
  <si>
    <t>chromatin binding {GO:0003682}; mRNA binding {GO:0003729}; RNA binding {GO:0003723}; splicing factor binding {GO:1990935}</t>
  </si>
  <si>
    <t>B-WICH complex positively regulates rRNA expression {R-MMU-5250924}; mRNA Splicing - Major Pathway {R-MMU-72163}; mRNA Splicing - Minor Pathway {R-MMU-72165}</t>
  </si>
  <si>
    <t>sp|P48722|HS74L_MOUSE</t>
  </si>
  <si>
    <t>Heat shock 70 kDa protein 4L</t>
  </si>
  <si>
    <t>Heat shock 70-related protein APG-1; Osmotic stress protein 94</t>
  </si>
  <si>
    <t>HS74L_MOUSE</t>
  </si>
  <si>
    <t>P48722</t>
  </si>
  <si>
    <t>P97854; Q3TQN2; Q3UNG4; Q8BQD0; Q8CC45; Q91X29</t>
  </si>
  <si>
    <t>Apg1; Hsp4l; Osp94</t>
  </si>
  <si>
    <t>MGI:107422</t>
  </si>
  <si>
    <t>Alternative splicing; ATP-binding; Chaperone; Cytoplasm; Nucleotide-binding; Nucleus; Phosphoprotein; Stress response</t>
  </si>
  <si>
    <t>protein folding {GO:0006457}; response to unfolded protein {GO:0006986}</t>
  </si>
  <si>
    <t>sp|Q9JIX8|ACINU_MOUSE</t>
  </si>
  <si>
    <t>Apoptotic chromatin condensation inducer in the nucleus (Acinus)</t>
  </si>
  <si>
    <t>ACINU_MOUSE</t>
  </si>
  <si>
    <t>Q9JIX8</t>
  </si>
  <si>
    <t>B8JJ87; Q9CSN7; Q9CSR9; Q9CSX7; Q9R046; Q9R047</t>
  </si>
  <si>
    <t>Acinus</t>
  </si>
  <si>
    <t>MGI:1891824</t>
  </si>
  <si>
    <t>Acetylation; Alternative splicing; Apoptosis; Isopeptide bond; Methylation; mRNA processing; mRNA splicing; Nucleus; Phosphoprotein; Ubl conjugation</t>
  </si>
  <si>
    <t>Apoptosis; mRNA processing; mRNA splicing</t>
  </si>
  <si>
    <t>apoptotic chromosome condensation {GO:0030263}; apoptotic process {GO:0006915}; erythrocyte differentiation {GO:0030218}; mRNA processing {GO:0006397}; negative regulation of mRNA splicing, via spliceosome {GO:0048025}; positive regulation of apoptotic process {GO:0043065}; positive regulation of monocyte differentiation {GO:0045657}; RNA splicing {GO:0008380}</t>
  </si>
  <si>
    <t>ASAP complex {GO:0061574}; cytosol {GO:0005829}; exon-exon junction complex {GO:0035145}; nuclear speck {GO:0016607}; nucleolus {GO:0005730}; nucleoplasm {GO:0005654}; nucleus {GO:0005634}; plasma membrane {GO:0005886}</t>
  </si>
  <si>
    <t>nucleic acid binding {GO:0003676}</t>
  </si>
  <si>
    <t>Apoptotic cleavage of cellular proteins {R-MMU-111465}</t>
  </si>
  <si>
    <t>sp|Q91VW5|GOGA4_MOUSE</t>
  </si>
  <si>
    <t>Golgin subfamily A member 4</t>
  </si>
  <si>
    <t>tGolgin-1</t>
  </si>
  <si>
    <t>GOGA4_MOUSE</t>
  </si>
  <si>
    <t>Q91VW5</t>
  </si>
  <si>
    <t>O70365; Q8CGH6</t>
  </si>
  <si>
    <t>MGI:1859646</t>
  </si>
  <si>
    <t>Coiled coil; Cytoplasm; Golgi apparatus; Membrane; Phosphoprotein</t>
  </si>
  <si>
    <t>Golgi to plasma membrane protein transport {GO:0043001}; Golgi vesicle transport {GO:0048193}; positive regulation of axon extension {GO:0045773}</t>
  </si>
  <si>
    <t>cytoplasm {GO:0005737}; Golgi apparatus {GO:0005794}; Golgi membrane {GO:0000139}; nucleoplasm {GO:0005654}</t>
  </si>
  <si>
    <t>GTPase binding {GO:0051020}; small GTPase binding {GO:0031267}</t>
  </si>
  <si>
    <t>Retrograde transport at the Trans-Golgi-Network {R-MMU-6811440}</t>
  </si>
  <si>
    <t>sp|Q60597|ODO1_MOUSE</t>
  </si>
  <si>
    <t>2-oxoglutarate dehydrogenase complex component E1 (E1o; OGDC-E1; OGDH-E1)</t>
  </si>
  <si>
    <t>2-oxoglutarate dehydrogenase, mitochondrial; Alpha-ketoglutarate dehydrogenase (Alpha-KGDH-E1); Thiamine diphosphate (ThDP)-dependent 2-oxoglutarate dehydrogenase</t>
  </si>
  <si>
    <t>ODO1_MOUSE</t>
  </si>
  <si>
    <t>Q60597</t>
  </si>
  <si>
    <t>Q3UDM7; Q5DTI4; Q5SVX7; Q5SVX9; Q6PFZ2; Q80Y57; Q8K0K7; Q8K2Z3; Q8R3M2; Q91WP2</t>
  </si>
  <si>
    <t>Kiaa4192</t>
  </si>
  <si>
    <t>MGI:1098267</t>
  </si>
  <si>
    <t>3D-structure; Acetylation; Alternative splicing; Calcium; Glycolysis; Isopeptide bond; Metal-binding; Mitochondrion; Nucleus; Oxidoreductase; Phosphoprotein; Thiamine pyrophosphate; Transit peptide; Ubl conjugation</t>
  </si>
  <si>
    <t>Calcium; Metal-binding; Thiamine pyrophosphate</t>
  </si>
  <si>
    <t>2-oxoglutarate metabolic process {GO:0006103}; cerebellar cortex development {GO:0021695}; generation of precursor metabolites and energy {GO:0006091}; glycolytic process {GO:0006096}; hippocampus development {GO:0021766}; histone succinylation {GO:0106077}; NADH metabolic process {GO:0006734}; olfactory bulb mitral cell layer development {GO:0061034}; pyramidal neuron development {GO:0021860}; striatum development {GO:0021756}; succinyl-CoA metabolic process {GO:0006104}; tangential migration from the subventricular zone to the olfactory bulb {GO:0022028}; thalamus development {GO:0021794}; tricarboxylic acid cycle {GO:0006099}</t>
  </si>
  <si>
    <t>mitochondrial membrane {GO:0031966}; mitochondrion {GO:0005739}; nucleus {GO:0005634}; oxoglutarate dehydrogenase complex {GO:0045252}</t>
  </si>
  <si>
    <t>chaperone binding {GO:0051087}; heat shock protein binding {GO:0031072}; metal ion binding {GO:0046872}; oxoglutarate dehydrogenase (NAD+) activity {GO:0034602}; oxoglutarate dehydrogenase (succinyl-transferring) activity {GO:0004591}; thiamine pyrophosphate binding {GO:0030976}</t>
  </si>
  <si>
    <t>sp|P16125|LDHB_MOUSE</t>
  </si>
  <si>
    <t>L-lactate dehydrogenase B chain (LDH-B)</t>
  </si>
  <si>
    <t>LDH heart subunit (LDH-H)</t>
  </si>
  <si>
    <t>LDHB_MOUSE</t>
  </si>
  <si>
    <t>P16125</t>
  </si>
  <si>
    <t>Q545Y4</t>
  </si>
  <si>
    <t>Ldh-2; Ldh2</t>
  </si>
  <si>
    <t>MGI:96763</t>
  </si>
  <si>
    <t>Acetylation; Cytoplasm; Membrane; Mitochondrion; Mitochondrion inner membrane; NAD; Oxidoreductase; Phosphoprotein</t>
  </si>
  <si>
    <t>Cytoplasm; Membrane; Mitochondrion; Mitochondrion inner membrane</t>
  </si>
  <si>
    <t>lactate biosynthetic process from pyruvate {GO:0019244}; lactate metabolic process {GO:0006089}; NAD metabolic process {GO:0019674}; pyruvate metabolic process {GO:0006090}</t>
  </si>
  <si>
    <t>cytosol {GO:0005829}; membrane raft {GO:0045121}; mitochondrial inner membrane {GO:0005743}; mitochondrion {GO:0005739}; myelin sheath {GO:0043209}; oxidoreductase complex {GO:1990204}</t>
  </si>
  <si>
    <t>sp|P35235|PTN11_MOUSE</t>
  </si>
  <si>
    <t>Tyrosine-protein phosphatase non-receptor type 11</t>
  </si>
  <si>
    <t>Protein-tyrosine phosphatase SYP; SH-PTP2 (SHP-2; Shp2)</t>
  </si>
  <si>
    <t>PTN11_MOUSE</t>
  </si>
  <si>
    <t>P35235</t>
  </si>
  <si>
    <t>Q3TQ84; Q64509; Q6PCL5</t>
  </si>
  <si>
    <t>MGI:99511</t>
  </si>
  <si>
    <t>3D-structure; Acetylation; Alternative splicing; Cytoplasm; Hydrolase; Phosphoprotein; Protein phosphatase; Repeat; SH2 domain</t>
  </si>
  <si>
    <t>Repeat; SH2 domain</t>
  </si>
  <si>
    <t>abortive mitotic cell cycle {GO:0033277}; atrioventricular canal development {GO:0036302}; axonogenesis {GO:0007409}; Bergmann glial cell differentiation {GO:0060020}; brain development {GO:0007420}; cellular response to epidermal growth factor stimulus {GO:0071364}; cellular response to mechanical stimulus {GO:0071260}; cerebellar cortex formation {GO:0021697}; DNA damage checkpoint signaling {GO:0000077}; ephrin receptor signaling pathway {GO:0048013}; epidermal growth factor receptor signaling pathway {GO:0007173}; ERBB signaling pathway {GO:0038127}; face morphogenesis {GO:0060325}; fibroblast growth factor receptor signaling pathway {GO:0008543}; genitalia development {GO:0048806}; glucose homeostasis {GO:0042593}; heart development {GO:0007507}; homeostasis of number of cells within a tissue {GO:0048873}; hormone metabolic process {GO:0042445}; hormone-mediated signaling pathway {GO:0009755}; inner ear development {GO:0048839}; integrin-mediated signaling pathway {GO:0007229}; intestinal epithelial cell migration {GO:0061582}; lipid metabolic process {GO:0006629}; megakaryocyte development {GO:0035855}; microvillus organization {GO:0032528}; multicellular organism growth {GO:0035264}; multicellular organismal reproductive process {GO:0048609}; negative regulation of cell adhesion mediated by integrin {GO:0033629}; negative regulation of chondrocyte differentiation {GO:0032331}; negative regulation of cortisol secretion {GO:0051463}; negative regulation of growth hormone secretion {GO:0060125}; negative regulation of hormone secretion {GO:0046888}; negative regulation of insulin secretion {GO:0046676}; neurotrophin TRK receptor signaling pathway {GO:0048011}; organ growth {GO:0035265}; peptidyl-tyrosine dephosphorylation {GO:0035335}; platelet formation {GO:0030220}; platelet-derived growth factor receptor signaling pathway {GO:0048008}; positive regulation of ERK1 and ERK2 cascade {GO:0070374}; positive regulation of focal adhesion assembly {GO:0051894}; positive regulation of glucose import {GO:0046326}; positive regulation of hormone secretion {GO:0046887}; positive regulation of insulin receptor signaling pathway {GO:0046628}; positive regulation of interferon-beta production {GO:0032728}; positive regulation of interleukin-6 production {GO:0032755}; positive regulation of mitotic cell cycle {GO:0045931}; positive regulation of ossification {GO:0045778}; positive regulation of peptidyl-tyrosine phosphorylation {GO:0050731}; positive regulation of signal transduction {GO:0009967}; positive regulation of tumor necrosis factor production {GO:0032760}; protein dephosphorylation {GO:0006470}; regulation of cell adhesion mediated by integrin {GO:0033628}; regulation of MAPK cascade {GO:0043408}; regulation of protein export from nucleus {GO:0046825}; regulation of protein-containing complex assembly {GO:0043254}; signal transduction {GO:0007165}; triglyceride metabolic process {GO:0006641}</t>
  </si>
  <si>
    <t>cytoplasm {GO:0005737}; cytosol {GO:0005829}; mitochondrion {GO:0005739}; nucleus {GO:0005634}; plasma membrane {GO:0005886}; plasma membrane raft {GO:0044853}; protein-containing complex {GO:0032991}</t>
  </si>
  <si>
    <t>cadherin binding {GO:0045296}; cell adhesion molecule binding {GO:0050839}; D1 dopamine receptor binding {GO:0031748}; insulin receptor binding {GO:0005158}; insulin receptor substrate binding {GO:0043560}; non-membrane spanning protein tyrosine phosphatase activity {GO:0004726}; peptide hormone receptor binding {GO:0051428}; phospholipase binding {GO:0043274}; phosphoprotein phosphatase activity {GO:0004721}; phosphotyrosine residue binding {GO:0001784}; protein domain specific binding {GO:0019904}; protein kinase binding {GO:0019901}; protein tyrosine kinase binding {GO:1990782}; protein tyrosine phosphatase activity {GO:0004725}; receptor tyrosine kinase binding {GO:0030971}; signaling receptor complex adaptor activity {GO:0030159}</t>
  </si>
  <si>
    <t>Interleukin-6 signaling {R-MMU-1059683}; PI3K Cascade {R-MMU-109704}; MAPK3 (ERK1) activation {R-MMU-110056}; MAPK1 (ERK2) activation {R-MMU-112411}; GPVI-mediated activation cascade {R-MMU-114604}; PIP3 activates AKT signaling {R-MMU-1257604}; Spry regulation of FGF signaling {R-MMU-1295596}; Signaling by SCF-KIT {R-MMU-1433557}; GAB1 signalosome {R-MMU-180292}; Downstream signal transduction {R-MMU-186763}; PECAM1 interactions {R-MMU-210990}; Tie2 Signaling {R-MMU-210993}; Costimulation by the CD28 family {R-MMU-388841}; CTLA4 inhibitory signaling {R-MMU-389513}; PD-1 signaling {R-MMU-389948}; Platelet sensitization by LDL {R-MMU-432142}; Interleukin-3, Interleukin-5 and GM-CSF signaling {R-MMU-512988}; PI-3K cascade:FGFR1 {R-MMU-5654689}; FRS-mediated FGFR1 signaling {R-MMU-5654693}; PI-3K cascade:FGFR2 {R-MMU-5654695}; FRS-mediated FGFR2 signaling {R-MMU-5654700}; FRS-mediated FGFR3 signaling {R-MMU-5654706}; PI-3K cascade:FGFR3 {R-MMU-5654710}; FRS-mediated FGFR4 signaling {R-MMU-5654712}; PI-3K cascade:FGFR4 {R-MMU-5654720}; Negative regulation of FGFR1 signaling {R-MMU-5654726}; Negative regulation of FGFR2 signaling {R-MMU-5654727}; Negative regulation of FGFR3 signaling {R-MMU-5654732}; Negative regulation of FGFR4 signaling {R-MMU-5654733}; PI5P, PP2A and IER3 Regulate PI3K/AKT Signaling {R-MMU-6811558}; RET signaling {R-MMU-8853659}; Interleukin-20 family signaling {R-MMU-8854691}; MET activates PTPN11 {R-MMU-8865999}; Regulation of RUNX1 Expression and Activity {R-MMU-8934593}; Regulation of IFNA/IFNB signaling {R-MMU-912694}; Activation of IRF3/IRF7 mediated by TBK1/IKK epsilon {R-MMU-936964}; Signaling by CSF3 (G-CSF) {R-MMU-9674555}</t>
  </si>
  <si>
    <t>sp|Q8VC30|TKFC_MOUSE</t>
  </si>
  <si>
    <t>FAD-AMP lyase (cyclizing)</t>
  </si>
  <si>
    <t>Bifunctional ATP-dependent dihydroxyacetone kinase/FAD-AMP lyase (cyclizing) (DHA kinase); Glycerone kinase; Triokinase; Triose kinase; FAD-AMP lyase (cyclic FMN forming); FMN cyclase</t>
  </si>
  <si>
    <t>TKFC_MOUSE</t>
  </si>
  <si>
    <t>Q8VC30</t>
  </si>
  <si>
    <t>MGI:2385084</t>
  </si>
  <si>
    <t>ATP-binding; Cobalt; FAD; Flavoprotein; Kinase; Lyase; Magnesium; Manganese; Metal-binding; Multifunctional enzyme; Nucleotide-binding; Phosphoprotein; Transferase</t>
  </si>
  <si>
    <t>ATP-binding; Cobalt; FAD; Flavoprotein; Magnesium; Manganese; Metal-binding; Nucleotide-binding</t>
  </si>
  <si>
    <t>Kinase; Lyase; Multifunctional enzyme; Transferase</t>
  </si>
  <si>
    <t>carbohydrate phosphorylation {GO:0046835}; cellular carbohydrate metabolic process {GO:0044262}; fructose catabolic process to hydroxyacetone phosphate and glyceraldehyde-3-phosphate {GO:0061624}; glycerol catabolic process {GO:0019563}; glycolytic process through fructose-1-phosphate {GO:0061625}; negative regulation of MDA-5 signaling pathway {GO:0039534}; regulation of innate immune response {GO:0045088}</t>
  </si>
  <si>
    <t>ATP binding {GO:0005524}; FAD-AMP lyase (cyclizing) activity {GO:0034012}; glycerone kinase activity {GO:0004371}; metal ion binding {GO:0046872}; triokinase activity {GO:0050354}</t>
  </si>
  <si>
    <t>Fructose catabolism {R-MMU-70350}</t>
  </si>
  <si>
    <t>sp|Q9CW03|SMC3_MOUSE</t>
  </si>
  <si>
    <t>Structural maintenance of chromosomes protein 3 (SMC protein 3; SMC-3)</t>
  </si>
  <si>
    <t>Basement membrane-associated chondroitin proteoglycan (Bamacan); Chondroitin sulfate proteoglycan 6; Chromosome segregation protein SmcD; Mad member-interacting protein 1</t>
  </si>
  <si>
    <t>SMC3_MOUSE</t>
  </si>
  <si>
    <t>Q9CW03</t>
  </si>
  <si>
    <t>O35667; Q9QUS3</t>
  </si>
  <si>
    <t>Bam; Bmh; Cspg6; Mmip1; Smc3l1; Smcd</t>
  </si>
  <si>
    <t>MGI:1339795</t>
  </si>
  <si>
    <t>cell division {GO:0051301}; DNA repair {GO:0006281}; meiotic cell cycle {GO:0051321}; mitotic sister chromatid cohesion {GO:0007064}; mitotic spindle assembly {GO:0090307}; regulation of DNA replication {GO:0006275}; sister chromatid cohesion {GO:0007062}; stem cell population maintenance {GO:0019827}</t>
  </si>
  <si>
    <t>basement membrane {GO:0005604}; chromatin {GO:0000785}; chromosome, centromeric region {GO:0000775}; cohesin complex {GO:0008278}; lateral element {GO:0000800}; meiotic cohesin complex {GO:0030893}; mitotic spindle pole {GO:0097431}; nuclear matrix {GO:0016363}; nucleoplasm {GO:0005654}; nucleus {GO:0005634}</t>
  </si>
  <si>
    <t>ATP binding {GO:0005524}; ATP hydrolysis activity {GO:0016887}; beta-tubulin binding {GO:0048487}; chromatin binding {GO:0003682}; cohesin loading activity {GO:0061775}; double-stranded DNA binding {GO:0003690}; dynein complex binding {GO:0070840}; mediator complex binding {GO:0036033}; protein heterodimerization activity {GO:0046982}</t>
  </si>
  <si>
    <t>sp|O35864|CSN5_MOUSE</t>
  </si>
  <si>
    <t>COP9 signalosome complex subunit 5 (SGN5; Signalosome subunit 5)</t>
  </si>
  <si>
    <t>Jun activation domain-binding protein 1; Kip1 C-terminus-interacting protein 2</t>
  </si>
  <si>
    <t>CSN5_MOUSE</t>
  </si>
  <si>
    <t>O35864</t>
  </si>
  <si>
    <t>Q3UA70; Q8C1S1</t>
  </si>
  <si>
    <t>Csn5; Jab1; Kic2</t>
  </si>
  <si>
    <t>MGI:1349415</t>
  </si>
  <si>
    <t>Acetylation; Cytoplasm; Cytoplasmic vesicle; Hydrolase; Metal-binding; Metalloprotease; Nucleus; Protease; Signalosome; Synapse; Zinc</t>
  </si>
  <si>
    <t>exosomal secretion {GO:1990182}; negative regulation of apoptotic process {GO:0043066}; positive regulation of DNA-binding transcription factor activity {GO:0051091}; positive regulation of transcription by RNA polymerase II {GO:0045944}; protein deneddylation {GO:0000338}; protein deubiquitination {GO:0016579}; regulation of cell cycle {GO:0051726}; regulation of DNA-templated transcription {GO:0006355}; regulation of IRE1-mediated unfolded protein response {GO:1903894}; regulation of JNK cascade {GO:0046328}</t>
  </si>
  <si>
    <t>anchoring junction {GO:0070161}; chromatin {GO:0000785}; COP9 signalosome {GO:0008180}; cytoplasm {GO:0005737}; cytosol {GO:0005829}; nucleoplasm {GO:0005654}; nucleus {GO:0005634}; perinuclear region of cytoplasm {GO:0048471}; synaptic vesicle {GO:0008021}; transcription regulator complex {GO:0005667}</t>
  </si>
  <si>
    <t>deNEDDylase activity {GO:0019784}; enzyme binding {GO:0019899}; macrophage migration inhibitory factor binding {GO:0035718}; metal ion binding {GO:0046872}; metal-dependent deubiquitinase activity {GO:0140492}; metalloendopeptidase activity {GO:0004222}; metallopeptidase activity {GO:0008237}; transcription coactivator activity {GO:0003713}</t>
  </si>
  <si>
    <t>sp|Q99LC3|NDUAA_MOUSE</t>
  </si>
  <si>
    <t>NADH dehydrogenase [ubiquinone] 1 alpha subcomplex subunit 10, mitochondrial</t>
  </si>
  <si>
    <t>Complex I-42kD (CI-42kD); NADH-ubiquinone oxidoreductase 42 kDa subunit</t>
  </si>
  <si>
    <t>NDUAA_MOUSE</t>
  </si>
  <si>
    <t>Q99LC3</t>
  </si>
  <si>
    <t>Q3UKK0; Q8BL57; Q9CW21</t>
  </si>
  <si>
    <t>MGI:1914523</t>
  </si>
  <si>
    <t>3D-structure; Acetylation; Electron transport; FAD; Flavoprotein; Mitochondrion; Phosphoprotein; Respiratory chain; Transit peptide; Transport</t>
  </si>
  <si>
    <t>aerobic respiration {GO:0009060}; mitochondrial electron transport, NADH to ubiquinone {GO:0006120}; mitochondrial respiratory chain complex I assembly {GO:0032981}; proton motive force-driven mitochondrial ATP synthesis {GO:0042776}</t>
  </si>
  <si>
    <t>cytoplasm {GO:0005737}; mitochondrial inner membrane {GO:0005743}; mitochondrial matrix {GO:0005759}; mitochondrial respiratory chain complex I {GO:0005747}; mitochondrion {GO:0005739}; myelin sheath {GO:0043209}</t>
  </si>
  <si>
    <t>NADH dehydrogenase (ubiquinone) activity {GO:0008137}</t>
  </si>
  <si>
    <t>sp|P28660|NCKP1_MOUSE</t>
  </si>
  <si>
    <t>Nck-associated protein 1 (NAP 1)</t>
  </si>
  <si>
    <t>Brain protein H19; MH19; Membrane-associated protein HEM-2; p125Nap1</t>
  </si>
  <si>
    <t>NCKP1_MOUSE</t>
  </si>
  <si>
    <t>P28660</t>
  </si>
  <si>
    <t>Q3UPY6; Q80TX0; Q8CG49; Q99KY0</t>
  </si>
  <si>
    <t>Hem2; Kiaa0587; Nap1</t>
  </si>
  <si>
    <t>MGI:1355333</t>
  </si>
  <si>
    <t>Acetylation; Alternative splicing; Cell membrane; Cell projection; Cytoplasm; Membrane; Transmembrane; Transmembrane helix</t>
  </si>
  <si>
    <t>Cell membrane; Cell projection; Cytoplasm; Membrane</t>
  </si>
  <si>
    <t>apical protein localization {GO:0045176}; basal protein localization {GO:0045175}; cell migration {GO:0016477}; cell migration involved in gastrulation {GO:0042074}; cell morphogenesis {GO:0000902}; cell projection assembly {GO:0030031}; cortical actin cytoskeleton organization {GO:0030866}; embryonic body morphogenesis {GO:0010172}; embryonic foregut morphogenesis {GO:0048617}; embryonic heart tube development {GO:0035050}; endoderm development {GO:0007492}; establishment or maintenance of actin cytoskeleton polarity {GO:0030950}; in utero embryonic development {GO:0001701}; lamellipodium assembly {GO:0030032}; mesodermal cell migration {GO:0008078}; neural tube closure {GO:0001843}; neuron projection morphogenesis {GO:0048812}; notochord development {GO:0030903}; notochord morphogenesis {GO:0048570}; paraxial mesoderm development {GO:0048339}; paraxial mesoderm morphogenesis {GO:0048340}; positive regulation of actin filament polymerization {GO:0030838}; positive regulation of Arp2/3 complex-mediated actin nucleation {GO:2000601}; positive regulation of lamellipodium assembly {GO:0010592}; protein stabilization {GO:0050821}; Rac protein signal transduction {GO:0016601}; regulation of protein localization {GO:0032880}; somitogenesis {GO:0001756}; zygotic determination of anterior/posterior axis, embryo {GO:0007354}</t>
  </si>
  <si>
    <t>filamentous actin {GO:0031941}; integral component of membrane {GO:0016021}; lamellipodium {GO:0030027}; lamellipodium membrane {GO:0031258}; postsynapse {GO:0098794}; ruffle {GO:0001726}; SCAR complex {GO:0031209}</t>
  </si>
  <si>
    <t>small GTPase binding {GO:0031267}</t>
  </si>
  <si>
    <t>Regulation of actin dynamics for phagocytic cup formation {R-MMU-2029482}; VEGFA-VEGFR2 Pathway {R-MMU-4420097}; RHO GTPases Activate WASPs and WAVEs {R-MMU-5663213}; RAC1 GTPase cycle {R-MMU-9013149}; RAC2 GTPase cycle {R-MMU-9013404}; RAC3 GTPase cycle {R-MMU-9013423}</t>
  </si>
  <si>
    <t>sp|Q91WD5|NDUS2_MOUSE</t>
  </si>
  <si>
    <t>NADH dehydrogenase [ubiquinone] iron-sulfur protein 2, mitochondrial</t>
  </si>
  <si>
    <t>Complex I-49kD (CI-49kD); NADH-ubiquinone oxidoreductase 49 kDa subunit</t>
  </si>
  <si>
    <t>NDUS2_MOUSE</t>
  </si>
  <si>
    <t>Q91WD5</t>
  </si>
  <si>
    <t>Q3TNA8; Q3U5Y9; Q3UJX7; Q99L23</t>
  </si>
  <si>
    <t>MGI:2385112</t>
  </si>
  <si>
    <t>3D-structure; 4Fe-4S; Acetylation; Electron transport; Iron; Iron-sulfur; Membrane; Metal-binding; Methylation; Mitochondrion; Mitochondrion inner membrane; NAD; Oxidoreductase; Respiratory chain; Transit peptide; Translocase; Transport; Ubiquinone</t>
  </si>
  <si>
    <t>4Fe-4S; Iron; Iron-sulfur; Metal-binding; NAD; Ubiquinone</t>
  </si>
  <si>
    <t>aerobic respiration {GO:0009060}; cellular response to oxygen levels {GO:0071453}; gliogenesis {GO:0042063}; mitochondrial ATP synthesis coupled electron transport {GO:0042775}; mitochondrial electron transport, NADH to ubiquinone {GO:0006120}; mitochondrial respiratory chain complex I assembly {GO:0032981}; neural precursor cell proliferation {GO:0061351}; neurogenesis {GO:0022008}; proton motive force-driven mitochondrial ATP synthesis {GO:0042776}; response to oxidative stress {GO:0006979}</t>
  </si>
  <si>
    <t>mitochondrial inner membrane {GO:0005743}; mitochondrial respiratory chain complex I {GO:0005747}; mitochondrion {GO:0005739}; nucleoplasm {GO:0005654}</t>
  </si>
  <si>
    <t>4 iron, 4 sulfur cluster binding {GO:0051539}; metal ion binding {GO:0046872}; NAD binding {GO:0051287}; NADH dehydrogenase (ubiquinone) activity {GO:0008137}; NADH dehydrogenase activity {GO:0003954}; oxygen sensor activity {GO:0019826}; quinone binding {GO:0048038}; ubiquitin protein ligase binding {GO:0031625}</t>
  </si>
  <si>
    <t>sp|Q9WTX6|CUL1_MOUSE</t>
  </si>
  <si>
    <t>Cullin-1 (CUL-1)</t>
  </si>
  <si>
    <t>CUL1_MOUSE</t>
  </si>
  <si>
    <t>Q9WTX6</t>
  </si>
  <si>
    <t>Q9WUI7</t>
  </si>
  <si>
    <t>MGI:1349658</t>
  </si>
  <si>
    <t>Host-virus interaction; Isopeptide bond; Methylation; Ubl conjugation; Ubl conjugation pathway</t>
  </si>
  <si>
    <t>Host-virus interaction; Ubl conjugation pathway</t>
  </si>
  <si>
    <t>Isopeptide bond; Methylation; Ubl conjugation</t>
  </si>
  <si>
    <t>animal organ morphogenesis {GO:0009887}; apoptotic process {GO:0006915}; cell population proliferation {GO:0008283}; protein K48-linked ubiquitination {GO:0070936}; protein monoubiquitination {GO:0006513}; protein ubiquitination {GO:0016567}; SCF-dependent proteasomal ubiquitin-dependent protein catabolic process {GO:0031146}; ubiquitin-dependent protein catabolic process {GO:0006511}</t>
  </si>
  <si>
    <t>cullin-RING ubiquitin ligase complex {GO:0031461}; nucleoplasm {GO:0005654}; Parkin-FBXW7-Cul1 ubiquitin ligase complex {GO:1990452}; plasma membrane {GO:0005886}; SCF ubiquitin ligase complex {GO:0019005}</t>
  </si>
  <si>
    <t>protein-macromolecule adaptor activity {GO:0030674}; ubiquitin protein ligase activity {GO:0061630}; ubiquitin protein ligase binding {GO:0031625}</t>
  </si>
  <si>
    <t>sp|Q9DBC7|KAP0_MOUSE</t>
  </si>
  <si>
    <t>cAMP-dependent protein kinase type I-alpha regulatory subunit, N-terminally processed</t>
  </si>
  <si>
    <t>KAP0_MOUSE</t>
  </si>
  <si>
    <t>Q9DBC7</t>
  </si>
  <si>
    <t>Q3UKU7; Q9JHR5; Q9JHR6</t>
  </si>
  <si>
    <t>MGI:104878</t>
  </si>
  <si>
    <t>Acetylation; cAMP; cAMP-binding; Cell membrane; Disulfide bond; Membrane; Nucleotide-binding; Phosphoprotein; Repeat</t>
  </si>
  <si>
    <t>Nucleotide-binding; cAMP; cAMP-binding</t>
  </si>
  <si>
    <t>animal organ morphogenesis {GO:0009887}; cardiac muscle cell proliferation {GO:0060038}; heart development {GO:0007507}; mesenchymal cell proliferation {GO:0010463}; mesoderm formation {GO:0001707}; negative regulation of activated T cell proliferation {GO:0046007}; negative regulation of cAMP-dependent protein kinase activity {GO:2000480}; negative regulation of gene expression {GO:0010629}; negative regulation of protein kinase activity {GO:0006469}; protein phosphorylation {GO:0006468}; regulation of protein kinase activity {GO:0045859}; sarcomere organization {GO:0045214}</t>
  </si>
  <si>
    <t>axoneme {GO:0005930}; cAMP-dependent protein kinase complex {GO:0005952}; centrosome {GO:0005813}; cytoplasm {GO:0005737}; glutamatergic synapse {GO:0098978}; immunological synapse {GO:0001772}; multivesicular body {GO:0005771}; neuromuscular junction {GO:0031594}; nucleotide-activated protein kinase complex {GO:0031588}; plasma membrane raft {GO:0044853}; protein-containing complex {GO:0032991}; sperm connecting piece {GO:0097224}; synapse {GO:0045202}</t>
  </si>
  <si>
    <t>cAMP binding {GO:0030552}; cAMP-dependent protein kinase inhibitor activity {GO:0004862}; cAMP-dependent protein kinase regulator activity {GO:0008603}; protein domain specific binding {GO:0019904}; protein kinase A catalytic subunit binding {GO:0034236}; ubiquitin protein ligase binding {GO:0031625}</t>
  </si>
  <si>
    <t>PKA activation {R-MMU-163615}; PKA activation in glucagon signalling {R-MMU-164378}; DARPP-32 events {R-MMU-180024}; Vasopressin regulates renal water homeostasis via Aquaporins {R-MMU-432040}; CREB1 phosphorylation through the activation of Adenylate Cyclase {R-MMU-442720}; Hedgehog 'off' state {R-MMU-5610787}; GPER1 signaling {R-MMU-9634597}; Factors involved in megakaryocyte development and platelet production {R-MMU-983231}</t>
  </si>
  <si>
    <t>sp|P97792|CXAR_MOUSE</t>
  </si>
  <si>
    <t>Coxsackievirus and adenovirus receptor homolog (CAR; mCAR)</t>
  </si>
  <si>
    <t>CXAR_MOUSE</t>
  </si>
  <si>
    <t>P97792</t>
  </si>
  <si>
    <t>O09052; Q3ULD0; Q91W66; Q99KG0; Q9DBJ8</t>
  </si>
  <si>
    <t>Car</t>
  </si>
  <si>
    <t>MGI:1201679</t>
  </si>
  <si>
    <t>3D-structure; Alternative splicing; Cell adhesion; Cell junction; Cell membrane; Disulfide bond; Glycoprotein; Immunoglobulin domain; Lipoprotein; Membrane; Palmitate; Phosphoprotein; Receptor; Repeat; Secreted; Signal; Tight junction; Transmembrane; Transmembrane helix</t>
  </si>
  <si>
    <t>Cell junction; Cell membrane; Membrane; Secreted; Tight junction</t>
  </si>
  <si>
    <t>Disulfide bond; Glycoprotein; Lipoprotein; Palmitate; Phosphoprotein</t>
  </si>
  <si>
    <t>actin cytoskeleton reorganization {GO:0031532}; AV node cell to bundle of His cell communication {GO:0086067}; AV node cell-bundle of His cell adhesion involved in cell communication {GO:0086072}; cardiac muscle cell development {GO:0055013}; cardiac muscle cell proliferation {GO:0060038}; cell-cell adhesion {GO:0098609}; cell-cell junction organization {GO:0045216}; defense response to virus {GO:0051607}; epithelial structure maintenance {GO:0010669}; gamma-delta T cell activation {GO:0046629}; germ cell migration {GO:0008354}; heart development {GO:0007507}; heterophilic cell-cell adhesion via plasma membrane cell adhesion molecules {GO:0007157}; homotypic cell-cell adhesion {GO:0034109}; mitochondrion organization {GO:0007005}; negative regulation of cardiac muscle cell proliferation {GO:0060044}; neutrophil chemotaxis {GO:0030593}; positive regulation of epithelial cell proliferation involved in wound healing {GO:0060054}; regulation of AV node cell action potential {GO:0098904}; transepithelial transport {GO:0070633}</t>
  </si>
  <si>
    <t>acrosomal vesicle {GO:0001669}; adherens junction {GO:0005912}; apicolateral plasma membrane {GO:0016327}; basolateral plasma membrane {GO:0016323}; bicellular tight junction {GO:0005923}; cell body {GO:0044297}; cell junction {GO:0030054}; cell-cell junction {GO:0005911}; cytoplasm {GO:0005737}; extracellular space {GO:0005615}; filopodium {GO:0030175}; growth cone {GO:0030426}; integral component of membrane {GO:0016021}; intercalated disc {GO:0014704}; membrane raft {GO:0045121}; neuromuscular junction {GO:0031594}; neuron projection {GO:0043005}; nucleoplasm {GO:0005654}; nucleus {GO:0005634}; plasma membrane {GO:0005886}; protein-containing complex {GO:0032991}</t>
  </si>
  <si>
    <t>beta-catenin binding {GO:0008013}; cell adhesion molecule binding {GO:0050839}; cell adhesive protein binding involved in AV node cell-bundle of His cell communication {GO:0086082}; connexin binding {GO:0071253}; identical protein binding {GO:0042802}; integrin binding {GO:0005178}; PDZ domain binding {GO:0030165}; signaling receptor binding {GO:0005102}</t>
  </si>
  <si>
    <t>Immunoregulatory interactions between a Lymphoid and a non-Lymphoid cell {R-MMU-198933}; Cell surface interactions at the vascular wall {R-MMU-202733}</t>
  </si>
  <si>
    <t>sp|Q9D8U8|SNX5_MOUSE</t>
  </si>
  <si>
    <t>Sorting nexin-5</t>
  </si>
  <si>
    <t>SNX5_MOUSE</t>
  </si>
  <si>
    <t>Q9D8U8</t>
  </si>
  <si>
    <t>Q543N9</t>
  </si>
  <si>
    <t>MGI:1916428</t>
  </si>
  <si>
    <t>3D-structure; Acetylation; Cell membrane; Cell projection; Cytoplasm; Cytoplasmic vesicle; Endocytosis; Endosome; Lipid-binding; Membrane; Phosphoprotein; Protein transport; Transport</t>
  </si>
  <si>
    <t>Cell membrane; Cell projection; Cytoplasm; Cytoplasmic vesicle; Endosome; Membrane</t>
  </si>
  <si>
    <t>epidermal growth factor catabolic process {GO:0007174}; intracellular protein transport {GO:0006886}; negative regulation of blood pressure {GO:0045776}; pinocytosis {GO:0006907}; positive regulation of DNA-templated transcription {GO:0045893}; positive regulation of insulin receptor signaling pathway {GO:0046628}; positive regulation of renal sodium excretion {GO:0035815}; retrograde transport, endosome to Golgi {GO:0042147}</t>
  </si>
  <si>
    <t>brush border {GO:0005903}; cytoplasm {GO:0005737}; cytosol {GO:0005829}; early endosome membrane {GO:0031901}; endosome {GO:0005768}; extrinsic component of cytoplasmic side of plasma membrane {GO:0031234}; extrinsic component of endosome membrane {GO:0031313}; intracellular membrane-bounded organelle {GO:0043231}; macropinocytic cup {GO:0070685}; perinuclear region of cytoplasm {GO:0048471}; phagocytic cup {GO:0001891}; plasma membrane {GO:0005886}; retromer complex {GO:0030904}; ruffle {GO:0001726}; tubular endosome {GO:0097422}</t>
  </si>
  <si>
    <t>D1 dopamine receptor binding {GO:0031748}; dynactin binding {GO:0034452}; phosphatidylinositol binding {GO:0035091}; phosphatidylinositol-3,5-bisphosphate binding {GO:0080025}; phosphatidylinositol-4-phosphate binding {GO:0070273}; phosphatidylinositol-5-phosphate binding {GO:0010314}</t>
  </si>
  <si>
    <t>Golgi Associated Vesicle Biogenesis {R-MMU-432722}</t>
  </si>
  <si>
    <t>sp|Q8QZT1|THIL_MOUSE</t>
  </si>
  <si>
    <t>Acetyl-CoA acetyltransferase, mitochondrial</t>
  </si>
  <si>
    <t>Acetoacetyl-CoA thiolase</t>
  </si>
  <si>
    <t>THIL_MOUSE</t>
  </si>
  <si>
    <t>Q8QZT1</t>
  </si>
  <si>
    <t>Q3TE92</t>
  </si>
  <si>
    <t>MGI:87870</t>
  </si>
  <si>
    <t>Acetylation; Acyltransferase; Fatty acid metabolism; Lipid metabolism; Metal-binding; Mitochondrion; Phosphoprotein; Potassium; Transferase; Transit peptide</t>
  </si>
  <si>
    <t>Metal-binding; Potassium</t>
  </si>
  <si>
    <t>acetyl-CoA biosynthetic process {GO:0006085}; acetyl-CoA catabolic process {GO:0046356}; adipose tissue development {GO:0060612}; brain development {GO:0007420}; coenzyme A biosynthetic process {GO:0015937}; coenzyme A metabolic process {GO:0015936}; fatty acid beta-oxidation {GO:0006635}; isoleucine catabolic process {GO:0006550}; ketone body catabolic process {GO:0046952}; liver development {GO:0001889}; metanephric proximal convoluted tubule development {GO:0072229}; propionyl-CoA biosynthetic process {GO:1902860}; response to hormone {GO:0009725}; response to organic cyclic compound {GO:0014070}; response to starvation {GO:0042594}</t>
  </si>
  <si>
    <t>acetyl-CoA C-acetyltransferase activity {GO:0003985}; C-acetyltransferase activity {GO:0016453}; coenzyme A binding {GO:0120225}; enzyme binding {GO:0019899}; identical protein binding {GO:0042802}; potassium ion binding {GO:0030955}</t>
  </si>
  <si>
    <t>Branched-chain amino acid catabolism {R-MMU-70895}; Utilization of Ketone Bodies {R-MMU-77108}; Synthesis of Ketone Bodies {R-MMU-77111}</t>
  </si>
  <si>
    <t>sp|Q8C2Q3|RBM14_MOUSE</t>
  </si>
  <si>
    <t>RNA-binding protein 14</t>
  </si>
  <si>
    <t>RNA-binding motif protein 14</t>
  </si>
  <si>
    <t>RBM14_MOUSE</t>
  </si>
  <si>
    <t>Q8C2Q3</t>
  </si>
  <si>
    <t>Q3TJB6; Q91Z21; Q9DBI6</t>
  </si>
  <si>
    <t>MGI:1929092</t>
  </si>
  <si>
    <t>Acetylation; Alternative splicing; Cytoplasm; Immunity; Innate immunity; Isopeptide bond; Nucleus; Phosphoprotein; Repeat; RNA-binding; Transcription; Transcription regulation; Ubl conjugation</t>
  </si>
  <si>
    <t>activation of innate immune response {GO:0002218}; centriole assembly {GO:0098534}; histone deacetylation {GO:0016575}; innate immune response {GO:0045087}; mRNA splicing, via spliceosome {GO:0000398}; negative regulation of centriole replication {GO:0046600}; positive regulation of transcription by RNA polymerase II {GO:0045944}; SMAD protein signal transduction {GO:0060395}</t>
  </si>
  <si>
    <t>cytoplasm {GO:0005737}; nuclear speck {GO:0016607}; nucleolus {GO:0005730}; nucleus {GO:0005634}; transcription regulator complex {GO:0005667}</t>
  </si>
  <si>
    <t>mRNA binding {GO:0003729}; nuclear receptor coactivator activity {GO:0030374}; RNA binding {GO:0003723}</t>
  </si>
  <si>
    <t>RUNX2 regulates bone development {R-MMU-8941326}</t>
  </si>
  <si>
    <t>sp|Q9D6R2|IDH3A_MOUSE</t>
  </si>
  <si>
    <t>Isocitrate dehydrogenase [NAD] subunit alpha, mitochondrial</t>
  </si>
  <si>
    <t>Isocitric dehydrogenase subunit alpha; NAD(+)-specific ICDH subunit alpha</t>
  </si>
  <si>
    <t>IDH3A_MOUSE</t>
  </si>
  <si>
    <t>Q9D6R2</t>
  </si>
  <si>
    <t>Q3UAM8; Q8C8A1; Q9D1L1</t>
  </si>
  <si>
    <t>MGI:1915084</t>
  </si>
  <si>
    <t>Acetylation; Alternative splicing; Magnesium; Manganese; Metal-binding; Mitochondrion; NAD; Oxidoreductase; Phosphoprotein; Transit peptide; Tricarboxylic acid cycle</t>
  </si>
  <si>
    <t>Magnesium; Manganese; Metal-binding; NAD</t>
  </si>
  <si>
    <t>2-oxoglutarate metabolic process {GO:0006103}; isocitrate metabolic process {GO:0006102}; NADH metabolic process {GO:0006734}; tricarboxylic acid cycle {GO:0006099}</t>
  </si>
  <si>
    <t>mitochondrial isocitrate dehydrogenase complex (NAD+) {GO:0005962}; mitochondrion {GO:0005739}; myelin sheath {GO:0043209}</t>
  </si>
  <si>
    <t>isocitrate dehydrogenase (NAD+) activity {GO:0004449}; magnesium ion binding {GO:0000287}; NAD binding {GO:0051287}</t>
  </si>
  <si>
    <t>sp|P97311|MCM6_MOUSE</t>
  </si>
  <si>
    <t>DNA replication licensing factor MCM6</t>
  </si>
  <si>
    <t>Mis5 homolog</t>
  </si>
  <si>
    <t>MCM6_MOUSE</t>
  </si>
  <si>
    <t>P97311</t>
  </si>
  <si>
    <t>Q80YQ7</t>
  </si>
  <si>
    <t>Mcmd6; Mis5</t>
  </si>
  <si>
    <t>MGI:1298227</t>
  </si>
  <si>
    <t>Acetylation; ATP-binding; Cell cycle; Chromosome; DNA replication; DNA-binding; Glycoprotein; Helicase; Hydrolase; Nucleotide-binding; Nucleus; Phosphoprotein</t>
  </si>
  <si>
    <t>Cell cycle; DNA replication</t>
  </si>
  <si>
    <t>DNA-binding; Helicase; Hydrolase</t>
  </si>
  <si>
    <t>DNA replication initiation {GO:0006270}; DNA unwinding involved in DNA replication {GO:0006268}; double-strand break repair via break-induced replication {GO:0000727}; mitotic DNA replication {GO:1902969}; regulation of DNA-templated DNA replication initiation {GO:0030174}</t>
  </si>
  <si>
    <t>CMG complex {GO:0071162}; MCM complex {GO:0042555}; nucleoplasm {GO:0005654}; nucleus {GO:0005634}</t>
  </si>
  <si>
    <t>ATP binding {GO:0005524}; ATP hydrolysis activity {GO:0016887}; DNA helicase activity {GO:0003678}; identical protein binding {GO:0042802}; single-stranded DNA binding {GO:0003697}</t>
  </si>
  <si>
    <t>Activation of ATR in response to replication stress {R-MMU-176187}; Assembly of the pre-replicative complex {R-MMU-68867}; Orc1 removal from chromatin {R-MMU-68949}; Activation of the pre-replicative complex {R-MMU-68962}; Switching of origins to a post-replicative state {R-MMU-69052}</t>
  </si>
  <si>
    <t>tr|Q8BQ46|Q8BQ46_MOUSE</t>
  </si>
  <si>
    <t>sp|O35286|DHX15_MOUSE</t>
  </si>
  <si>
    <t>ATP-dependent RNA helicase DHX15</t>
  </si>
  <si>
    <t>DEAH box protein 15</t>
  </si>
  <si>
    <t>DHX15_MOUSE</t>
  </si>
  <si>
    <t>O35286</t>
  </si>
  <si>
    <t>Q99L91</t>
  </si>
  <si>
    <t>MGI:1099786</t>
  </si>
  <si>
    <t>Acetylation; ATP-binding; Helicase; Hydrolase; Immunity; Innate immunity; Isopeptide bond; mRNA processing; mRNA splicing; Nucleotide-binding; Nucleus; Phosphoprotein; RNA-binding; Ubl conjugation</t>
  </si>
  <si>
    <t>Immunity; Innate immunity; mRNA processing; mRNA splicing</t>
  </si>
  <si>
    <t>antiviral innate immune response {GO:0140374}; defense response to bacterium {GO:0042742}; defense response to virus {GO:0051607}; mRNA processing {GO:0006397}; positive regulation of I-kappaB kinase/NF-kappaB signaling {GO:0043123}; response to alkaloid {GO:0043279}; response to toxic substance {GO:0009636}; RNA splicing {GO:0008380}</t>
  </si>
  <si>
    <t>nuclear speck {GO:0016607}; nucleolus {GO:0005730}; spliceosomal complex {GO:0005681}; U12-type spliceosomal complex {GO:0005689}; U2-type post-mRNA release spliceosomal complex {GO:0071008}</t>
  </si>
  <si>
    <t>ATP binding {GO:0005524}; ATP hydrolysis activity {GO:0016887}; double-stranded RNA binding {GO:0003725}; RNA binding {GO:0003723}; RNA helicase activity {GO:0003724}</t>
  </si>
  <si>
    <t>sp|Q9CR09|UFC1_MOUSE</t>
  </si>
  <si>
    <t>Ubiquitin-fold modifier-conjugating enzyme 1 (Ufm1-conjugating enzyme 1)</t>
  </si>
  <si>
    <t>UFC1_MOUSE</t>
  </si>
  <si>
    <t>Q9CR09</t>
  </si>
  <si>
    <t>MGI:1913405</t>
  </si>
  <si>
    <t>brain development {GO:0007420}; protein K69-linked ufmylation {GO:1990592}; protein ufmylation {GO:0071569}; response to endoplasmic reticulum stress {GO:0034976}; reticulophagy {GO:0061709}</t>
  </si>
  <si>
    <t>UFM1 conjugating enzyme activity {GO:0061657}; UFM1 transferase activity {GO:0071568}</t>
  </si>
  <si>
    <t>sp|Q8BGS2|BOLA2_MOUSE</t>
  </si>
  <si>
    <t>BolA-like protein 2</t>
  </si>
  <si>
    <t>BOLA2_MOUSE</t>
  </si>
  <si>
    <t>Q8BGS2</t>
  </si>
  <si>
    <t>Q0P601</t>
  </si>
  <si>
    <t>MGI:1913412</t>
  </si>
  <si>
    <t>3D-structure; Acetylation; Alternative splicing; Cytoplasm; Nucleus</t>
  </si>
  <si>
    <t>[2Fe-2S] cluster assembly {GO:0044571}; cellular iron ion homeostasis {GO:0006879}; protein maturation by iron-sulfur cluster transfer {GO:0097428}</t>
  </si>
  <si>
    <t>cytoplasm {GO:0005737}; cytosol {GO:0005829}; iron-sulfur cluster assembly complex {GO:1990229}; nucleus {GO:0005634}</t>
  </si>
  <si>
    <t>2 iron, 2 sulfur cluster binding {GO:0051537}; iron-sulfur cluster binding {GO:0051536}</t>
  </si>
  <si>
    <t>sp|Q9CZW5|TOM70_MOUSE</t>
  </si>
  <si>
    <t>Mitochondrial import receptor subunit TOM70</t>
  </si>
  <si>
    <t>Mitochondrial precursor proteins import receptor; Translocase of outer membrane 70 kDa subunit; Translocase of outer mitochondrial membrane protein 70</t>
  </si>
  <si>
    <t>TOM70_MOUSE</t>
  </si>
  <si>
    <t>Q9CZW5</t>
  </si>
  <si>
    <t>Q8BNI6</t>
  </si>
  <si>
    <t>D16Wsu109e; Tomm70a</t>
  </si>
  <si>
    <t>MGI:106295</t>
  </si>
  <si>
    <t>Acetylation; Isopeptide bond; Membrane; Methylation; Mitochondrion; Mitochondrion outer membrane; Phosphoprotein; Repeat; TPR repeat; Transmembrane; Transmembrane helix; Ubl conjugation</t>
  </si>
  <si>
    <t>Repeat; TPR repeat; Transmembrane; Transmembrane helix</t>
  </si>
  <si>
    <t>activation of innate immune response {GO:0002218}; cellular response to virus {GO:0098586}; negative regulation of cell growth involved in cardiac muscle cell development {GO:0061052}; positive regulation of defense response to virus by host {GO:0002230}; positive regulation of interferon-beta production {GO:0032728}; positive regulation of protein import {GO:1904591}; protein import into mitochondrial matrix {GO:0030150}; protein insertion into mitochondrial inner membrane {GO:0045039}; protein targeting to mitochondrion {GO:0006626}; regulation of apoptotic process {GO:0042981}; response to thyroxine {GO:0097068}</t>
  </si>
  <si>
    <t>integral component of mitochondrial outer membrane {GO:0031307}; mitochondrial outer membrane translocase complex {GO:0005742}; mitochondrion {GO:0005739}</t>
  </si>
  <si>
    <t>mitochondrion targeting sequence binding {GO:0030943}</t>
  </si>
  <si>
    <t>DDX58/IFIH1-mediated induction of interferon-alpha/beta {R-MMU-168928}; PINK1-PRKN Mediated Mitophagy {R-MMU-5205685}; Ub-specific processing proteases {R-MMU-5689880}</t>
  </si>
  <si>
    <t>sp|Q8R010|AIMP2_MOUSE</t>
  </si>
  <si>
    <t>Aminoacyl tRNA synthase complex-interacting multifunctional protein 2</t>
  </si>
  <si>
    <t>Multisynthase complex auxiliary component p38; Protein JTV-1</t>
  </si>
  <si>
    <t>AIMP2_MOUSE</t>
  </si>
  <si>
    <t>Q8R010</t>
  </si>
  <si>
    <t>E9QP67; Q8R2Y6</t>
  </si>
  <si>
    <t>Jtv1</t>
  </si>
  <si>
    <t>MGI:2385237</t>
  </si>
  <si>
    <t>Apoptosis; Cytoplasm; Developmental protein; Differentiation; Nucleus; Phosphoprotein; Protein biosynthesis; Ubl conjugation</t>
  </si>
  <si>
    <t>Apoptosis; Differentiation; Protein biosynthesis</t>
  </si>
  <si>
    <t>apoptotic process {GO:0006915}; negative regulation of cell population proliferation {GO:0008285}; positive regulation of aminoacyl-tRNA ligase activity {GO:1903632}; positive regulation of neuron death {GO:1901216}; positive regulation of protein ubiquitination {GO:0031398}; protein ubiquitination {GO:0016567}; protein-containing complex assembly {GO:0065003}; translation {GO:0006412}; type II pneumocyte differentiation {GO:0060510}</t>
  </si>
  <si>
    <t>aminoacyl-tRNA synthetase multienzyme complex {GO:0017101}; cytosol {GO:0005829}; nucleus {GO:0005634}</t>
  </si>
  <si>
    <t>molecular adaptor activity {GO:0060090}</t>
  </si>
  <si>
    <t>sp|P30999|CTND1_MOUSE</t>
  </si>
  <si>
    <t>Catenin delta-1</t>
  </si>
  <si>
    <t>Cadherin-associated Src substrate (CAS); p120 catenin (p120(ctn)); p120(cas)</t>
  </si>
  <si>
    <t>CTND1_MOUSE</t>
  </si>
  <si>
    <t>P30999</t>
  </si>
  <si>
    <t>Q3TSU9; Q80XQ4; Q8CHF8</t>
  </si>
  <si>
    <t>Catns; Kiaa0384</t>
  </si>
  <si>
    <t>MGI:105100</t>
  </si>
  <si>
    <t>Acetylation; Alternative splicing; Cell adhesion; Cell junction; Cell membrane; Coiled coil; Cytoplasm; Isopeptide bond; Membrane; Nucleus; Phosphoprotein; Repeat; Transcription; Transcription regulation; Ubl conjugation; Wnt signaling pathway</t>
  </si>
  <si>
    <t>Cell adhesion; Transcription; Transcription regulation; Wnt signaling pathway</t>
  </si>
  <si>
    <t>Cell junction; Cell membrane; Cytoplasm; Membrane; Nucleus</t>
  </si>
  <si>
    <t>cell adhesion {GO:0007155}; cell-cell adhesion {GO:0098609}; cell-cell adhesion mediated by cadherin {GO:0044331}; cell-cell junction assembly {GO:0007043}; epithelial cell differentiation involved in salivary gland development {GO:0060690}; glomerulus morphogenesis {GO:0072102}; kidney development {GO:0001822}; morphogenesis of a polarized epithelium {GO:0001738}; negative regulation of canonical Wnt signaling pathway {GO:0090090}; positive regulation of peptidyl-tyrosine autophosphorylation {GO:1900086}; positive regulation of protein processing {GO:0010954}; protein stabilization {GO:0050821}; regulation of postsynaptic membrane neurotransmitter receptor levels {GO:0099072}; salivary gland morphogenesis {GO:0007435}; Wnt signaling pathway {GO:0016055}</t>
  </si>
  <si>
    <t>adherens junction {GO:0005912}; apicolateral plasma membrane {GO:0016327}; bicellular tight junction {GO:0005923}; catenin complex {GO:0016342}; cell-cell junction {GO:0005911}; cytoplasm {GO:0005737}; cytosol {GO:0005829}; dendritic spine {GO:0043197}; flotillin complex {GO:0016600}; glutamatergic synapse {GO:0098978}; growth cone {GO:0030426}; hippocampal mossy fiber to CA3 synapse {GO:0098686}; lamellipodium {GO:0030027}; membrane {GO:0016020}; midbody {GO:0030496}; nucleus {GO:0005634}; plasma membrane {GO:0005886}; postsynaptic density, intracellular component {GO:0099092}; presynaptic active zone cytoplasmic component {GO:0098831}; Schaffer collateral - CA1 synapse {GO:0098685}; synapse {GO:0045202}; zonula adherens {GO:0005915}</t>
  </si>
  <si>
    <t>beta-catenin binding {GO:0008013}; cadherin binding {GO:0045296}; cell adhesion molecule binding {GO:0050839}; protein domain specific binding {GO:0019904}; protein kinase binding {GO:0019901}; protein phosphatase binding {GO:0019903}; protein tyrosine kinase binding {GO:1990782}; signaling receptor binding {GO:0005102}</t>
  </si>
  <si>
    <t>Adherens junctions interactions {R-MMU-418990}; VEGFR2 mediated vascular permeability {R-MMU-5218920}</t>
  </si>
  <si>
    <t>sp|P51660|DHB4_MOUSE</t>
  </si>
  <si>
    <t>Enoyl-CoA hydratase 2</t>
  </si>
  <si>
    <t>17-beta-hydroxysteroid dehydrogenase 4 (17-beta-HSD 4); D-bifunctional protein (DBP); Multifunctional protein 2 (MFP-2); 3-alpha,7-alpha,12-alpha-trihydroxy-5-beta-cholest-24-enoyl-CoA hydratase</t>
  </si>
  <si>
    <t>DHB4_MOUSE</t>
  </si>
  <si>
    <t>P51660</t>
  </si>
  <si>
    <t>Q9DBM3</t>
  </si>
  <si>
    <t>Edh17b4</t>
  </si>
  <si>
    <t>MGI:105089</t>
  </si>
  <si>
    <t>Acetylation; Fatty acid metabolism; Isomerase; Lipid metabolism; Lyase; NAD; Oxidoreductase; Peroxisome; Phosphoprotein</t>
  </si>
  <si>
    <t>Isomerase; Lyase; Oxidoreductase</t>
  </si>
  <si>
    <t>androgen metabolic process {GO:0008209}; estrogen metabolic process {GO:0008210}; fatty acid beta-oxidation {GO:0006635}; medium-chain fatty-acyl-CoA metabolic process {GO:0036112}; Sertoli cell development {GO:0060009}; very long-chain fatty acid metabolic process {GO:0000038}; very long-chain fatty-acyl-CoA metabolic process {GO:0036111}</t>
  </si>
  <si>
    <t>mitochondrion {GO:0005739}; peroxisomal matrix {GO:0005782}; peroxisome {GO:0005777}</t>
  </si>
  <si>
    <t>(3R)-hydroxyacyl-CoA dehydrogenase (NAD) activity {GO:0106386}; 17-beta-hydroxysteroid dehydrogenase (NAD+) activity {GO:0044594}; 3-hydroxyacyl-CoA dehydratase activity {GO:0018812}; 3-hydroxyacyl-CoA dehydrogenase activity {GO:0003857}; 3alpha,7alpha,12alpha-trihydroxy-5beta-cholest-24-enoyl-CoA hydratase activity {GO:0033989}; enoyl-CoA hydratase activity {GO:0004300}; estradiol 17-beta-dehydrogenase activity {GO:0004303}; identical protein binding {GO:0042802}; isomerase activity {GO:0016853}; long-chain-enoyl-CoA hydratase activity {GO:0016508}; protein homodimerization activity {GO:0042803}</t>
  </si>
  <si>
    <t>Synthesis of bile acids and bile salts via 7alpha-hydroxycholesterol {R-MMU-193368}; alpha-linolenic acid (ALA) metabolism {R-MMU-2046106}; Beta-oxidation of pristanoyl-CoA {R-MMU-389887}; Beta-oxidation of very long chain fatty acids {R-MMU-390247}; Peroxisomal protein import {R-MMU-9033241}</t>
  </si>
  <si>
    <t>sp|P47738|ALDH2_MOUSE</t>
  </si>
  <si>
    <t>Aldehyde dehydrogenase, mitochondrial</t>
  </si>
  <si>
    <t>AHD-M1; ALDH class 2; ALDH-E2; ALDHI</t>
  </si>
  <si>
    <t>ALDH2_MOUSE</t>
  </si>
  <si>
    <t>P47738</t>
  </si>
  <si>
    <t>Ahd-1; Ahd1</t>
  </si>
  <si>
    <t>MGI:99600</t>
  </si>
  <si>
    <t>Acetylation; Mitochondrion; NAD; Oxidoreductase; Transit peptide</t>
  </si>
  <si>
    <t>acetaldehyde metabolic process {GO:0006117}; aldehyde catabolic process {GO:0046185}; behavioral response to ethanol {GO:0048149}; cellular detoxification of aldehyde {GO:0110095}; ethanol catabolic process {GO:0006068}; intrinsic apoptotic signaling pathway in response to oxidative stress {GO:0008631}; negative regulation of apoptotic process {GO:0043066}; regulation of dopamine biosynthetic process {GO:1903179}; regulation of inflammatory response {GO:0050727}; regulation of reactive oxygen species metabolic process {GO:2000377}; regulation of serotonin biosynthetic process {GO:1905627}; response to organic cyclic compound {GO:0014070}</t>
  </si>
  <si>
    <t>aldehyde dehydrogenase (NAD+) activity {GO:0004029}; carboxylic ester hydrolase activity {GO:0052689}; glyceraldehyde-3-phosphate dehydrogenase (NAD+) (non-phosphorylating) activity {GO:0043878}; identical protein binding {GO:0042802}; NAD binding {GO:0051287}; NADH binding {GO:0070404}; nitroglycerin reductase activity {GO:0018547}; phenylacetaldehyde dehydrogenase activity {GO:0008957}</t>
  </si>
  <si>
    <t>Metabolism of serotonin {R-MMU-380612}; Smooth Muscle Contraction {R-MMU-445355}; Ethanol oxidation {R-MMU-71384}</t>
  </si>
  <si>
    <t>sp|Q8K019|BCLF1_MOUSE</t>
  </si>
  <si>
    <t>Bcl-2-associated transcription factor 1 (Btf)</t>
  </si>
  <si>
    <t>BCLF1_MOUSE</t>
  </si>
  <si>
    <t>Q8K019</t>
  </si>
  <si>
    <t>Q8BNZ0; Q8C2E9; Q9CSW5</t>
  </si>
  <si>
    <t>Btf; Kiaa0164</t>
  </si>
  <si>
    <t>MGI:1917580</t>
  </si>
  <si>
    <t>Acetylation; Alternative splicing; Citrullination; Cytoplasm; DNA-binding; Isopeptide bond; Methylation; Nucleus; Phosphoprotein; Repressor; Transcription; Transcription regulation; Ubl conjugation</t>
  </si>
  <si>
    <t>apoptotic process {GO:0006915}; cellular response to leukemia inhibitory factor {GO:1990830}; negative regulation of DNA-templated transcription {GO:0045892}; positive regulation of apoptotic process {GO:0043065}; positive regulation of DNA-templated transcription initiation {GO:2000144}; positive regulation of intrinsic apoptotic signaling pathway {GO:2001244}; positive regulation of response to DNA damage stimulus {GO:2001022}; positive regulation of transcription by RNA polymerase II {GO:0045944}; regulation of DNA-templated transcription in response to stress {GO:0043620}</t>
  </si>
  <si>
    <t>cytoplasm {GO:0005737}; mediator complex {GO:0016592}; nuclear speck {GO:0016607}; nucleoplasm {GO:0005654}; nucleus {GO:0005634}</t>
  </si>
  <si>
    <t>DNA binding {GO:0003677}; transcription coregulator activity {GO:0003712}</t>
  </si>
  <si>
    <t>sp|Q9CQI3|GMFB_MOUSE</t>
  </si>
  <si>
    <t>Glia maturation factor beta (GMF-beta)</t>
  </si>
  <si>
    <t>GMFB_MOUSE</t>
  </si>
  <si>
    <t>Q9CQI3</t>
  </si>
  <si>
    <t>Q3UQX5; Q9ERL8</t>
  </si>
  <si>
    <t>MGI:1927133</t>
  </si>
  <si>
    <t>3D-structure; Acetylation; Growth factor; Phosphoprotein</t>
  </si>
  <si>
    <t>Growth factor</t>
  </si>
  <si>
    <t>actin filament debranching {GO:0071846}; learning {GO:0007612}; locomotory behavior {GO:0007626}; negative regulation of Arp2/3 complex-mediated actin nucleation {GO:0034316}</t>
  </si>
  <si>
    <t>actin binding {GO:0003779}; Arp2/3 complex binding {GO:0071933}; growth factor activity {GO:0008083}</t>
  </si>
  <si>
    <t>sp|Q8CI75|DI3L2_MOUSE</t>
  </si>
  <si>
    <t>DIS3-like exonuclease 2</t>
  </si>
  <si>
    <t>DI3L2_MOUSE</t>
  </si>
  <si>
    <t>Q8CI75</t>
  </si>
  <si>
    <t>Q8BMG9</t>
  </si>
  <si>
    <t>MGI:2442555</t>
  </si>
  <si>
    <t>3D-structure; Acetylation; Alternative splicing; Cell cycle; Cell division; Cytoplasm; Exonuclease; Hydrolase; Magnesium; Metal-binding; Mitosis; Nuclease; Phosphoprotein; RNA-binding; Tumor suppressor</t>
  </si>
  <si>
    <t>Exonuclease; Hydrolase; Nuclease; RNA-binding</t>
  </si>
  <si>
    <t>cell division {GO:0051301}; miRNA catabolic process {GO:0010587}; mitotic cell cycle {GO:0000278}; mitotic sister chromatid separation {GO:0051306}; mRNA catabolic process {GO:0006402}; negative regulation of cell population proliferation {GO:0008285}; nuclear-transcribed mRNA catabolic process, exonucleolytic {GO:0000291}; nuclear-transcribed mRNA catabolic process, exonucleolytic, 3'-5' {GO:0034427}; polyuridylation-dependent mRNA catabolic process {GO:1990074}; stem cell population maintenance {GO:0019827}</t>
  </si>
  <si>
    <t>cytoplasm {GO:0005737}; exosome (RNase complex) {GO:0000178}; P-body {GO:0000932}</t>
  </si>
  <si>
    <t>3'-5'-exoribonuclease activity {GO:0000175}; magnesium ion binding {GO:0000287}; poly(U) RNA binding {GO:0008266}; ribonuclease activity {GO:0004540}</t>
  </si>
  <si>
    <t>sp|Q08943|SSRP1_MOUSE</t>
  </si>
  <si>
    <t>FACT complex subunit SSRP1</t>
  </si>
  <si>
    <t>Facilitates chromatin transcription complex subunit SSRP1; Recombination signal sequence recognition protein 1; Structure-specific recognition protein 1; T160</t>
  </si>
  <si>
    <t>SSRP1_MOUSE</t>
  </si>
  <si>
    <t>Q08943</t>
  </si>
  <si>
    <t>Q3U9Z2; Q3UJ75; Q4V9U4; Q8CGA6</t>
  </si>
  <si>
    <t>MGI:107912</t>
  </si>
  <si>
    <t>Acetylation; Alternative splicing; Chromosome; DNA damage; DNA repair; DNA replication; DNA-binding; Isopeptide bond; Nucleus; Phosphoprotein; Transcription; Transcription regulation; Ubl conjugation</t>
  </si>
  <si>
    <t>DNA damage; DNA repair; DNA replication; Transcription; Transcription regulation</t>
  </si>
  <si>
    <t>DNA repair {GO:0006281}; DNA replication {GO:0006260}; nucleosome assembly {GO:0006334}; nucleosome disassembly {GO:0006337}; regulation of chromatin organization {GO:1902275}</t>
  </si>
  <si>
    <t>FACT complex {GO:0035101}; nucleolus {GO:0005730}; nucleus {GO:0005634}</t>
  </si>
  <si>
    <t>chromatin binding {GO:0003682}; DNA binding {GO:0003677}; histone binding {GO:0042393}; nucleosome binding {GO:0031491}</t>
  </si>
  <si>
    <t>Formation of RNA Pol II elongation complex {R-MMU-112382}; RNA Polymerase II Pre-transcription Events {R-MMU-674695}; TP53 Regulates Transcription of DNA Repair Genes {R-MMU-6796648}; Regulation of TP53 Activity through Phosphorylation {R-MMU-6804756}; RNA Polymerase II Transcription Elongation {R-MMU-75955}</t>
  </si>
  <si>
    <t>sp|Q8K3K8|OPTN_MOUSE</t>
  </si>
  <si>
    <t>Optineurin</t>
  </si>
  <si>
    <t>OPTN_MOUSE</t>
  </si>
  <si>
    <t>Q8K3K8</t>
  </si>
  <si>
    <t>A2ASP3</t>
  </si>
  <si>
    <t>MGI:1918898</t>
  </si>
  <si>
    <t>3D-structure; Autophagy; Coiled coil; Cytoplasm; Cytoplasmic vesicle; Endosome; Golgi apparatus; Immunity; Innate immunity; Metal-binding; Phosphoprotein; Zinc; Zinc-finger</t>
  </si>
  <si>
    <t>Autophagy; Immunity; Innate immunity</t>
  </si>
  <si>
    <t>Cytoplasm; Cytoplasmic vesicle; Endosome; Golgi apparatus</t>
  </si>
  <si>
    <t>Coiled coil; Zinc-finger</t>
  </si>
  <si>
    <t>autophagy {GO:0006914}; cellular response to unfolded protein {GO:0034620}; defense response to Gram-negative bacterium {GO:0050829}; Golgi organization {GO:0007030}; Golgi ribbon formation {GO:0090161}; Golgi to plasma membrane protein transport {GO:0043001}; innate immune response {GO:0045087}; negative regulation of cell population proliferation {GO:0008285}; negative regulation of I-kappaB kinase/NF-kappaB signaling {GO:0043124}; negative regulation of neuron apoptotic process {GO:0043524}; negative regulation of receptor recycling {GO:0001920}; parkin-mediated stimulation of mitophagy in response to mitochondrial depolarization {GO:0061734}; positive regulation of autophagy {GO:0010508}; positive regulation of cell population proliferation {GO:0008284}; positive regulation of cytokine production {GO:0001819}; positive regulation of gene expression {GO:0010628}; positive regulation of neural precursor cell proliferation {GO:2000179}; positive regulation of neuron apoptotic process {GO:0043525}; positive regulation of xenophagy {GO:1904417}; protein localization {GO:0008104}; protein localization to Golgi apparatus {GO:0034067}; regulation of I-kappaB kinase/NF-kappaB signaling {GO:0043122}</t>
  </si>
  <si>
    <t>autophagosome {GO:0005776}; axon {GO:0030424}; cytoplasm {GO:0005737}; cytoplasmic vesicle {GO:0031410}; cytosol {GO:0005829}; Golgi apparatus {GO:0005794}; neuronal cell body {GO:0043025}; nucleus {GO:0005634}; perinuclear region of cytoplasm {GO:0048471}; recycling endosome {GO:0055037}; trans-Golgi network {GO:0005802}</t>
  </si>
  <si>
    <t>identical protein binding {GO:0042802}; K63-linked polyubiquitin modification-dependent protein binding {GO:0070530}; metal ion binding {GO:0046872}; polyubiquitin modification-dependent protein binding {GO:0031593}; protein C-terminus binding {GO:0008022}; protein-macromolecule adaptor activity {GO:0030674}; small GTPase binding {GO:0031267}; TFIIIA-class transcription factor binding {GO:0001155}; ubiquitin binding {GO:0043130}</t>
  </si>
  <si>
    <t>Regulation of PLK1 Activity at G2/M Transition {R-MMU-2565942}; TBC/RABGAPs {R-MMU-8854214}</t>
  </si>
  <si>
    <t>sp|Q69ZS7|HBS1L_MOUSE</t>
  </si>
  <si>
    <t>HBS1-like protein</t>
  </si>
  <si>
    <t>HBS1L_MOUSE</t>
  </si>
  <si>
    <t>Q69ZS7</t>
  </si>
  <si>
    <t>Q91Z32; Q9CVT2; Q9CZ95; Q9WTY5</t>
  </si>
  <si>
    <t>Hbs1; Kiaa1038</t>
  </si>
  <si>
    <t>MGI:1891704</t>
  </si>
  <si>
    <t>3D-structure; Acetylation; Alternative splicing; Elongation factor; GTP-binding; Nucleotide-binding; Phosphoprotein; Protein biosynthesis; Translation regulation</t>
  </si>
  <si>
    <t>translation {GO:0006412}</t>
  </si>
  <si>
    <t>sp|Q8BJY1|PSMD5_MOUSE</t>
  </si>
  <si>
    <t>26S proteasome non-ATPase regulatory subunit 5</t>
  </si>
  <si>
    <t>26S protease subunit S5 basic; 26S proteasome subunit S5B</t>
  </si>
  <si>
    <t>PSMD5_MOUSE</t>
  </si>
  <si>
    <t>Q8BJY1</t>
  </si>
  <si>
    <t>A2AUB0; Q3UFV2; Q5DU49; Q8BMA9; Q8VEE9</t>
  </si>
  <si>
    <t>Kiaa0072</t>
  </si>
  <si>
    <t>MGI:1914248</t>
  </si>
  <si>
    <t>proteasome regulatory particle assembly {GO:0070682}</t>
  </si>
  <si>
    <t>proteasome accessory complex {GO:0022624}; proteasome regulatory particle, base subcomplex {GO:0008540}</t>
  </si>
  <si>
    <t>sp|Q6NZC7|S23IP_MOUSE</t>
  </si>
  <si>
    <t>SEC23-interacting protein</t>
  </si>
  <si>
    <t>S23IP_MOUSE</t>
  </si>
  <si>
    <t>Q6NZC7</t>
  </si>
  <si>
    <t>Q8BXY6</t>
  </si>
  <si>
    <t>MGI:2450915</t>
  </si>
  <si>
    <t>Cytoplasmic vesicle; Endoplasmic reticulum; Membrane; Phosphoprotein</t>
  </si>
  <si>
    <t>Cytoplasmic vesicle; Endoplasmic reticulum; Membrane</t>
  </si>
  <si>
    <t>acrosome assembly {GO:0001675}; single fertilization {GO:0007338}; spermatid development {GO:0007286}</t>
  </si>
  <si>
    <t>cis-Golgi network {GO:0005801}; COPII-coated ER to Golgi transport vesicle {GO:0030134}; cytoplasm {GO:0005737}; endoplasmic reticulum exit site {GO:0070971}; ER to Golgi transport vesicle membrane {GO:0012507}; Golgi apparatus {GO:0005794}; intracellular membrane-bounded organelle {GO:0043231}; perinuclear endoplasmic reticulum {GO:0097038}; perinuclear region of cytoplasm {GO:0048471}</t>
  </si>
  <si>
    <t>metal ion binding {GO:0046872}; phospholipase activity {GO:0004620}</t>
  </si>
  <si>
    <t>COPII-mediated vesicle transport {R-MMU-204005}</t>
  </si>
  <si>
    <t>sp|P61961|UFM1_MOUSE</t>
  </si>
  <si>
    <t>Ubiquitin-fold modifier 1</t>
  </si>
  <si>
    <t>UFM1_MOUSE</t>
  </si>
  <si>
    <t>P61961</t>
  </si>
  <si>
    <t>Q14346; Q3TLT0; Q542A7; Q9CPX2; Q9NZF2</t>
  </si>
  <si>
    <t>MGI:1915140</t>
  </si>
  <si>
    <t>3D-structure; Cytoplasm; Isopeptide bond; Nucleus; Ubl conjugation; Ubl conjugation pathway</t>
  </si>
  <si>
    <t>brain development {GO:0007420}; negative regulation of apoptotic process {GO:0043066}; negative regulation of protein import into nucleus {GO:0042308}; protein K69-linked ufmylation {GO:1990592}; protein ufmylation {GO:0071569}; regulation of intracellular estrogen receptor signaling pathway {GO:0033146}; response to endoplasmic reticulum stress {GO:0034976}; reticulophagy {GO:0061709}</t>
  </si>
  <si>
    <t>tr|D3Z3N4|D3Z3N4_MOUSE</t>
  </si>
  <si>
    <t>sp|O70310|NMT1_MOUSE</t>
  </si>
  <si>
    <t>Glycylpeptide N-tetradecanoyltransferase 1</t>
  </si>
  <si>
    <t>Myristoyl-CoA:protein N-myristoyltransferase 1 (NMT 1; Type I N-myristoyltransferase); Peptide N-myristoyltransferase 1</t>
  </si>
  <si>
    <t>NMT1_MOUSE</t>
  </si>
  <si>
    <t>O70310</t>
  </si>
  <si>
    <t>MGI:102579</t>
  </si>
  <si>
    <t>Acyltransferase; Cytoplasm; Membrane; Phosphoprotein; Transferase</t>
  </si>
  <si>
    <t>cellular ketone metabolic process {GO:0042180}; in utero embryonic development {GO:0001701}; N-terminal peptidyl-glycine N-myristoylation {GO:0018008}; N-terminal protein myristoylation {GO:0006499}</t>
  </si>
  <si>
    <t>cytoplasm {GO:0005737}; cytosol {GO:0005829}; extrinsic component of membrane {GO:0019898}; plasma membrane {GO:0005886}</t>
  </si>
  <si>
    <t>glycylpeptide N-tetradecanoyltransferase activity {GO:0004379}; myristoyltransferase activity {GO:0019107}; peptidyl-lysine N6-myristoyltransferase activity {GO:0018030}</t>
  </si>
  <si>
    <t>Inactivation, recovery and regulation of the phototransduction cascade {R-MMU-2514859}; Activation, myristolyation of BID and translocation to mitochondria {R-MMU-75108}</t>
  </si>
  <si>
    <t>sp|Q9JMD0|ZN207_MOUSE</t>
  </si>
  <si>
    <t>BUB3-interacting and GLEBS motif-containing protein ZNF207 (BuGZ)</t>
  </si>
  <si>
    <t>49 kDa zinc finger protein; Zinc finger protein 207</t>
  </si>
  <si>
    <t>ZN207_MOUSE</t>
  </si>
  <si>
    <t>Q9JMD0</t>
  </si>
  <si>
    <t>E9PW12; Q99LA2; Q9Z326</t>
  </si>
  <si>
    <t>MGI:1340045</t>
  </si>
  <si>
    <t>Alternative splicing; Cell cycle; Cell division; Centromere; Chromosome; Chromosome partition; Cytoplasm; Cytoskeleton; Kinetochore; Metal-binding; Microtubule; Mitosis; Nucleus; Repeat; Zinc; Zinc-finger</t>
  </si>
  <si>
    <t>Centromere; Chromosome; Cytoplasm; Cytoskeleton; Kinetochore; Microtubule; Nucleus</t>
  </si>
  <si>
    <t>attachment of spindle microtubules to kinetochore {GO:0008608}; cell division {GO:0051301}; microtubule bundle formation {GO:0001578}; microtubule polymerization {GO:0046785}; mitotic sister chromatid segregation {GO:0000070}; mitotic spindle assembly {GO:0090307}; mitotic spindle assembly checkpoint signaling {GO:0007094}; protein stabilization {GO:0050821}; regulation of chromosome segregation {GO:0051983}</t>
  </si>
  <si>
    <t>cytoplasm {GO:0005737}; kinetochore {GO:0000776}; microtubule {GO:0005874}; nucleolus {GO:0005730}; nucleoplasm {GO:0005654}; nucleus {GO:0005634}; spindle {GO:0005819}; spindle matrix {GO:1990047}</t>
  </si>
  <si>
    <t>heparin binding {GO:0008201}; metal ion binding {GO:0046872}; microtubule binding {GO:0008017}</t>
  </si>
  <si>
    <t>sp|P48771|CX7A2_MOUSE</t>
  </si>
  <si>
    <t>Cytochrome c oxidase subunit 7A2, mitochondrial</t>
  </si>
  <si>
    <t>Cytochrome c oxidase subunit VIIa-liver/heart (Cytochrome c oxidase subunit VIIa-L)</t>
  </si>
  <si>
    <t>CX7A2_MOUSE</t>
  </si>
  <si>
    <t>P48771</t>
  </si>
  <si>
    <t>O54969; Q545J7</t>
  </si>
  <si>
    <t>Cox7a3; Cox7al</t>
  </si>
  <si>
    <t>MGI:1316715</t>
  </si>
  <si>
    <t>Acetylation; Membrane; Mitochondrion; Mitochondrion inner membrane; Oxidoreductase; Transit peptide; Transmembrane; Transmembrane helix</t>
  </si>
  <si>
    <t>mitochondrial electron transport, cytochrome c to oxygen {GO:0006123}; mitochondrial respirasome assembly {GO:0097250}; regulation of oxidative phosphorylation {GO:0002082}</t>
  </si>
  <si>
    <t>integral component of membrane {GO:0016021}; mitochondrial inner membrane {GO:0005743}; mitochondrial membrane {GO:0031966}; mitochondrial respirasome {GO:0005746}; mitochondrial respiratory chain complex IV {GO:0005751}; mitochondrion {GO:0005739}</t>
  </si>
  <si>
    <t>oxidoreductase activity {GO:0016491}</t>
  </si>
  <si>
    <t>sp|Q9ES97|RTN3_MOUSE</t>
  </si>
  <si>
    <t>Reticulon-3</t>
  </si>
  <si>
    <t>RTN3_MOUSE</t>
  </si>
  <si>
    <t>Q9ES97</t>
  </si>
  <si>
    <t>Q3UF62; Q544J1; Q68FE4; Q6IM69; Q6R8K6; Q6R8K7; Q6T929; Q8C6D5; Q8CCU2</t>
  </si>
  <si>
    <t>MGI:1339970</t>
  </si>
  <si>
    <t>Acetylation; Alternative splicing; Apoptosis; Endoplasmic reticulum; ER-Golgi transport; Golgi apparatus; Membrane; Phosphoprotein; Transmembrane; Transmembrane helix; Transport</t>
  </si>
  <si>
    <t>Apoptosis; ER-Golgi transport; Transport</t>
  </si>
  <si>
    <t>Endoplasmic reticulum; Golgi apparatus; Membrane</t>
  </si>
  <si>
    <t>apoptotic process {GO:0006915}; brain development {GO:0007420}; endoplasmic reticulum tubular network formation {GO:0071787}; endoplasmic reticulum tubular network organization {GO:0071786}; negative regulation of amyloid-beta formation {GO:1902430}; neuron differentiation {GO:0030182}; vesicle-mediated transport {GO:0016192}</t>
  </si>
  <si>
    <t>endoplasmic reticulum {GO:0005783}; endoplasmic reticulum membrane {GO:0005789}; Golgi apparatus {GO:0005794}; Golgi membrane {GO:0000139}; integral component of membrane {GO:0016021}; neuron projection {GO:0043005}; postsynaptic density {GO:0014069}; synapse {GO:0045202}</t>
  </si>
  <si>
    <t>Synaptic adhesion-like molecules {R-MMU-8849932}</t>
  </si>
  <si>
    <t>sp|O08583|THOC4_MOUSE</t>
  </si>
  <si>
    <t>THO complex subunit 4 (Tho4)</t>
  </si>
  <si>
    <t>Ally of AML-1 and LEF-1; Aly/REF export factor; REF1-I; RNA and export factor-binding protein 1; Transcriptional coactivator Aly/REF</t>
  </si>
  <si>
    <t>THOC4_MOUSE</t>
  </si>
  <si>
    <t>O08583</t>
  </si>
  <si>
    <t>Q0VBL5; Q8CBM4; Q9JJW7</t>
  </si>
  <si>
    <t>Aly; Ref1; Refbp1; THOC4</t>
  </si>
  <si>
    <t>MGI:1341044</t>
  </si>
  <si>
    <t>3D-structure; Acetylation; Alternative splicing; Chaperone; Citrullination; Cytoplasm; Methylation; mRNA processing; mRNA splicing; mRNA transport; Nucleus; Phosphoprotein; RNA-binding; Spliceosome; Transport</t>
  </si>
  <si>
    <t>Chaperone; RNA-binding</t>
  </si>
  <si>
    <t>Acetylation; Citrullination; Methylation; Phosphoprotein</t>
  </si>
  <si>
    <t>mRNA export from nucleus {GO:0006406}; mRNA processing {GO:0006397}; positive regulation of DNA-templated transcription, elongation {GO:0032786}; regulation of DNA recombination {GO:0000018}; replication fork processing {GO:0031297}; RNA export from nucleus {GO:0006405}; RNA splicing {GO:0008380}; viral mRNA export from host cell nucleus {GO:0046784}</t>
  </si>
  <si>
    <t>catalytic step 2 spliceosome {GO:0071013}; chromosome, telomeric region {GO:0000781}; cytoplasm {GO:0005737}; exon-exon junction complex {GO:0035145}; nuclear speck {GO:0016607}; nucleus {GO:0005634}; transcription export complex {GO:0000346}</t>
  </si>
  <si>
    <t>C5-methylcytidine-containing RNA binding {GO:0062153}; molecular adaptor activity {GO:0060090}; mRNA binding {GO:0003729}; RNA binding {GO:0003723}; RNA folding chaperone {GO:0140691}; single-stranded DNA binding {GO:0003697}</t>
  </si>
  <si>
    <t>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{R-MMU-159236}; mRNA Splicing - Major Pathway {R-MMU-72163}; mRNA 3'-end processing {R-MMU-72187}; RNA Polymerase II Transcription Termination {R-MMU-73856}</t>
  </si>
  <si>
    <t>sp|Q8CHH9|SEPT8_MOUSE</t>
  </si>
  <si>
    <t>Septin-8</t>
  </si>
  <si>
    <t>SEPT8_MOUSE</t>
  </si>
  <si>
    <t>Q8CHH9</t>
  </si>
  <si>
    <t>B1AQY7; Q80YC7; Q9ESF7</t>
  </si>
  <si>
    <t>MGI:894310</t>
  </si>
  <si>
    <t>Acetylation; Alternative splicing; Cell projection; Coiled coil; Cytoplasm; Cytoplasmic vesicle; Cytoskeleton; GTP-binding; Membrane; Nucleotide-binding; Phosphoprotein; Synapse</t>
  </si>
  <si>
    <t>Cell projection; Cytoplasm; Cytoplasmic vesicle; Cytoskeleton; Membrane; Synapse</t>
  </si>
  <si>
    <t>cytoskeleton-dependent cytokinesis {GO:0061640}; protein localization {GO:0008104}; regulation of intracellular protein transport {GO:0033157}; regulation of protein stability {GO:0031647}; regulation of SNARE complex assembly {GO:0035542}</t>
  </si>
  <si>
    <t>anchoring junction {GO:0070161}; axon {GO:0030424}; cell division site {GO:0032153}; microtubule cytoskeleton {GO:0015630}; myelin sheath {GO:0043209}; presynapse {GO:0098793}; septin complex {GO:0031105}; septin ring {GO:0005940}; synaptic vesicle membrane {GO:0030672}</t>
  </si>
  <si>
    <t>GTP binding {GO:0005525}; GTPase activity {GO:0003924}; molecular adaptor activity {GO:0060090}; SNARE binding {GO:0000149}</t>
  </si>
  <si>
    <t>sp|Q9QXK3|COPG2_MOUSE</t>
  </si>
  <si>
    <t>Coatomer subunit gamma-2</t>
  </si>
  <si>
    <t>Gamma-2-coat protein (Gamma-2-COP)</t>
  </si>
  <si>
    <t>COPG2_MOUSE</t>
  </si>
  <si>
    <t>Q9QXK3</t>
  </si>
  <si>
    <t>A6H6J5; Q3TQD5; Q3UEL6; Q8C2J6</t>
  </si>
  <si>
    <t>MGI:1858683</t>
  </si>
  <si>
    <t>Alternative splicing; Cytoplasm; Cytoplasmic vesicle; ER-Golgi transport; Golgi apparatus; Membrane; Phosphoprotein; Protein transport; Repeat; Transport</t>
  </si>
  <si>
    <t>endoplasmic reticulum to Golgi vesicle-mediated transport {GO:0006888}; intra-Golgi vesicle-mediated transport {GO:0006891}; intracellular protein transport {GO:0006886}; organelle transport along microtubule {GO:0072384}; protein secretion {GO:0009306}</t>
  </si>
  <si>
    <t>COPI vesicle coat {GO:0030126}; COPI-coated vesicle {GO:0030137}; cytosol {GO:0005829}; endoplasmic reticulum {GO:0005783}; endoplasmic reticulum-Golgi intermediate compartment {GO:0005793}; Golgi membrane {GO:0000139}; growth cone {GO:0030426}</t>
  </si>
  <si>
    <t>sp|P70399|TP53B_MOUSE</t>
  </si>
  <si>
    <t>TP53-binding protein 1 (53BP1; p53-binding protein 1; p53BP1)</t>
  </si>
  <si>
    <t>TP53B_MOUSE</t>
  </si>
  <si>
    <t>P70399</t>
  </si>
  <si>
    <t>A2AU89; A2AU91; Q68FD0; Q8CI97; Q91YC9</t>
  </si>
  <si>
    <t>MGI:1351320</t>
  </si>
  <si>
    <t>3D-structure; Activator; Alternative splicing; Centromere; Chromosome; DNA damage; DNA repair; DNA-binding; Isopeptide bond; Kinetochore; Methylation; Nucleus; Phosphoprotein; Repeat; Transcription; Transcription regulation; Ubl conjugation</t>
  </si>
  <si>
    <t>DNA damage; DNA repair; Transcription; Transcription regulation</t>
  </si>
  <si>
    <t>Centromere; Chromosome; Kinetochore; Nucleus</t>
  </si>
  <si>
    <t>cellular response to DNA damage stimulus {GO:0006974}; cellular response to X-ray {GO:0071481}; DNA damage checkpoint signaling {GO:0000077}; DNA repair {GO:0006281}; double-strand break repair via nonhomologous end joining {GO:0006303}; negative regulation of double-strand break repair via homologous recombination {GO:2000042}; positive regulation of isotype switching {GO:0045830}; positive regulation of transcription by RNA polymerase II {GO:0045944}; protein homooligomerization {GO:0051260}; regulation of DNA-templated transcription {GO:0006355}</t>
  </si>
  <si>
    <t>chromosome, telomeric region {GO:0000781}; cytoplasm {GO:0005737}; DNA repair complex {GO:1990391}; kinetochore {GO:0000776}; nuclear body {GO:0016604}; nucleoplasm {GO:0005654}; nucleus {GO:0005634}; replication fork {GO:0005657}; site of double-strand break {GO:0035861}</t>
  </si>
  <si>
    <t>damaged DNA binding {GO:0003684}; histone binding {GO:0042393}; methylated histone binding {GO:0035064}; p53 binding {GO:0002039}; RNA polymerase II-specific DNA-binding transcription factor binding {GO:0061629}; sequence-specific DNA binding {GO:0043565}; telomeric DNA binding {GO:0042162}; transcription coregulator activity {GO:0003712}; ubiquitin modification-dependent histone binding {GO:0061649}</t>
  </si>
  <si>
    <t>SUMOylation of transcription factors {R-MMU-3232118}; Recruitment and ATM-mediated phosphorylation of repair and signaling proteins at DNA double strand breaks {R-MMU-5693565}; Nonhomologous End-Joining (NHEJ) {R-MMU-5693571}; Processing of DNA double-strand break ends {R-MMU-5693607}; G2/M DNA damage checkpoint {R-MMU-69473}</t>
  </si>
  <si>
    <t>sp|P25206|MCM3_MOUSE</t>
  </si>
  <si>
    <t>DNA replication licensing factor MCM3</t>
  </si>
  <si>
    <t>DNA polymerase alpha holoenzyme-associated protein P1; P1-MCM3</t>
  </si>
  <si>
    <t>MCM3_MOUSE</t>
  </si>
  <si>
    <t>P25206</t>
  </si>
  <si>
    <t>Q61492</t>
  </si>
  <si>
    <t>Mcmd; Mcmd3</t>
  </si>
  <si>
    <t>MGI:101845</t>
  </si>
  <si>
    <t>DNA strand elongation involved in DNA replication {GO:0006271}; DNA unwinding involved in DNA replication {GO:0006268}; double-strand break repair via break-induced replication {GO:0000727}; mitotic DNA replication initiation {GO:1902975}; regulation of DNA-templated DNA replication initiation {GO:0030174}</t>
  </si>
  <si>
    <t>centrosome {GO:0005813}; CMG complex {GO:0071162}; cytoplasm {GO:0005737}; MCM complex {GO:0042555}; nucleoplasm {GO:0005654}; nucleus {GO:0005634}; perinuclear region of cytoplasm {GO:0048471}</t>
  </si>
  <si>
    <t>ATP binding {GO:0005524}; ATP hydrolysis activity {GO:0016887}; DNA helicase activity {GO:0003678}; single-stranded DNA binding {GO:0003697}</t>
  </si>
  <si>
    <t>sp|Q99JW4|LIMS1_MOUSE</t>
  </si>
  <si>
    <t>LIM and senescent cell antigen-like-containing domain protein 1</t>
  </si>
  <si>
    <t>Particularly interesting new Cys-His protein 1 (PINCH-1)</t>
  </si>
  <si>
    <t>LIMS1_MOUSE</t>
  </si>
  <si>
    <t>Q99JW4</t>
  </si>
  <si>
    <t>Q3UAT7; Q8BTR6; Q9D5T4</t>
  </si>
  <si>
    <t>Pinch1</t>
  </si>
  <si>
    <t>MGI:1195263</t>
  </si>
  <si>
    <t>Acetylation; Cell junction; Cell membrane; LIM domain; Membrane; Metal-binding; Repeat; Zinc</t>
  </si>
  <si>
    <t>LIM domain; Repeat</t>
  </si>
  <si>
    <t>cell-cell adhesion {GO:0098609}; cell-cell junction organization {GO:0045216}; cell-matrix adhesion {GO:0007160}; cholangiocyte proliferation {GO:1990705}; chordate embryonic development {GO:0043009}; establishment of protein localization {GO:0045184}; establishment or maintenance of cell polarity {GO:0007163}; hepatocyte apoptotic process {GO:0097284}; integrin-mediated signaling pathway {GO:0007229}; negative regulation of cholangiocyte proliferation {GO:1904055}; negative regulation of DNA-templated transcription {GO:0045892}; negative regulation of hepatocyte apoptotic process {GO:1903944}; negative regulation of hepatocyte proliferation {GO:2000346}; negative regulation of neural precursor cell proliferation {GO:2000178}; neural precursor cell proliferation {GO:0061351}; positive regulation of cell-substrate adhesion {GO:0010811}; positive regulation of focal adhesion assembly {GO:0051894}; positive regulation of gene expression {GO:0010628}; positive regulation of GTPase activity {GO:0043547}; positive regulation of integrin-mediated signaling pathway {GO:2001046}; positive regulation of NIK/NF-kappaB signaling {GO:1901224}; positive regulation of substrate adhesion-dependent cell spreading {GO:1900026}; tumor necrosis factor-mediated signaling pathway {GO:0033209}</t>
  </si>
  <si>
    <t>cell-cell junction {GO:0005911}; cytoplasm {GO:0005737}; focal adhesion {GO:0005925}; perinuclear region of cytoplasm {GO:0048471}; plasma membrane {GO:0005886}; protein-containing complex {GO:0032991}</t>
  </si>
  <si>
    <t>protein kinase binding {GO:0019901}; protein-containing complex binding {GO:0044877}; zinc ion binding {GO:0008270}</t>
  </si>
  <si>
    <t>Cell-extracellular matrix interactions {R-MMU-446353}; Regulation of cytoskeletal remodeling and cell spreading by IPP complex components {R-MMU-446388}</t>
  </si>
  <si>
    <t>sp|P63280|UBC9_MOUSE</t>
  </si>
  <si>
    <t>SUMO-conjugating enzyme UBC9</t>
  </si>
  <si>
    <t>RING-type E3 SUMO transferase UBC9; SUMO-protein ligase; Ubiquitin carrier protein 9 (mUBC9); Ubiquitin carrier protein I; Ubiquitin-conjugating enzyme E2 I; Ubiquitin-protein ligase I</t>
  </si>
  <si>
    <t>UBC9_MOUSE</t>
  </si>
  <si>
    <t>P63280</t>
  </si>
  <si>
    <t>P50550; Q15698; Q6RUT3; Q86VB3</t>
  </si>
  <si>
    <t>Ubc9; Ubce2i; Ubce9</t>
  </si>
  <si>
    <t>MGI:107365</t>
  </si>
  <si>
    <t>3D-structure; Acetylation; ATP-binding; Cell cycle; Cell division; Chromosome partition; Cytoplasm; Developmental protein; Host-virus interaction; Isopeptide bond; Mitosis; Nucleotide-binding; Nucleus; Phosphoprotein; Transferase; Ubl conjugation; Ubl conjugation pathway</t>
  </si>
  <si>
    <t>Cell cycle; Cell division; Chromosome partition; Host-virus interaction; Mitosis; Ubl conjugation pathway</t>
  </si>
  <si>
    <t>Developmental protein; Transferase</t>
  </si>
  <si>
    <t>cell cycle {GO:0007049}; cell division {GO:0051301}; chromosome segregation {GO:0007059}; negative regulation of DNA-templated transcription {GO:0045892}; negative regulation of transcription by RNA polymerase II {GO:0000122}; nuclear export {GO:0051168}; positive regulation of I-kappaB kinase/NF-kappaB signaling {GO:0043123}; positive regulation of SUMO transferase activity {GO:1903755}; protein modification process {GO:0036211}; protein sumoylation {GO:0016925}</t>
  </si>
  <si>
    <t>cytoplasm {GO:0005737}; cytosol {GO:0005829}; dendrite {GO:0030425}; fibrillar center {GO:0001650}; nuclear body {GO:0016604}; nuclear envelope {GO:0005635}; nuclear pore {GO:0005643}; nucleoplasm {GO:0005654}; nucleus {GO:0005634}; PML body {GO:0016605}; SUMO ligase complex {GO:0106068}; sumoylated E2 ligase complex {GO:1990356}; synapse {GO:0045202}; transferase complex {GO:1990234}</t>
  </si>
  <si>
    <t>ATP binding {GO:0005524}; bHLH transcription factor binding {GO:0043425}; enzyme binding {GO:0019899}; HLH domain binding {GO:0043398}; protein C-terminus binding {GO:0008022}; RING-like zinc finger domain binding {GO:0071535}; small protein activating enzyme binding {GO:0044388}; SUMO conjugating enzyme activity {GO:0061656}; SUMO transferase activity {GO:0019789}; transcription coregulator binding {GO:0001221}; ubiquitin-protein transferase activity {GO:0004842}</t>
  </si>
  <si>
    <t>Vitamin D (calciferol) metabolism {R-MMU-196791}; SUMO is transferred from E1 to E2 (UBE2I, UBC9) {R-MMU-3065678}; SUMOylation of DNA damage response and repair proteins {R-MMU-3108214}; SUMO E3 ligases SUMOylate target proteins {R-MMU-3108232}; SUMOylation of transcription factors {R-MMU-3232118}; SUMOylation of ubiquitinylation proteins {R-MMU-3232142}; SUMOylation of transcription cofactors {R-MMU-3899300}; SUMOylation of SUMOylation proteins {R-MMU-4085377}; SUMOylation of intracellular receptors {R-MMU-4090294}; SUMOylation of chromatin organization proteins {R-MMU-4551638}; SUMOylation of RNA binding proteins {R-MMU-4570464}; SUMOylation of DNA replication proteins {R-MMU-4615885}; SUMOylation of DNA methylation proteins {R-MMU-4655427}; SUMOylation of immune response proteins {R-MMU-4755510}; Recruitment and ATM-mediated phosphorylation of repair and signaling proteins at DNA double strand breaks {R-MMU-5693565}; Processing of DNA double-strand break ends {R-MMU-5693607}; Formation of Incision Complex in GG-NER {R-MMU-5696395}; Negative regulation of activity of TFAP2 (AP-2) family transcription factors {R-MMU-8866904}; Postmitotic nuclear pore complex (NPC) reformation {R-MMU-9615933}</t>
  </si>
  <si>
    <t>sp|D3YXK2|SAFB1_MOUSE</t>
  </si>
  <si>
    <t>Scaffold attachment factor B1 (SAF-B1)</t>
  </si>
  <si>
    <t>SAFB1_MOUSE</t>
  </si>
  <si>
    <t>D3YXK2</t>
  </si>
  <si>
    <t>Safb1</t>
  </si>
  <si>
    <t>MGI:2146974</t>
  </si>
  <si>
    <t>Acetylation; Coiled coil; DNA-binding; Isopeptide bond; Methylation; Nucleus; Phosphoprotein; Repressor; RNA-binding; Transcription; Transcription regulation; Ubl conjugation</t>
  </si>
  <si>
    <t>hormone metabolic process {GO:0042445}; intracellular estrogen receptor signaling pathway {GO:0030520}; positive regulation of transcription by RNA polymerase II {GO:0045944}; regulation of growth {GO:0040008}; regulation of mRNA processing {GO:0050684}; regulation of transcription by RNA polymerase II {GO:0006357}</t>
  </si>
  <si>
    <t>midbody {GO:0030496}; nucleoplasm {GO:0005654}; nucleus {GO:0005634}</t>
  </si>
  <si>
    <t>chromatin binding {GO:0003682}; RNA binding {GO:0003723}; RNA polymerase II cis-regulatory region sequence-specific DNA binding {GO:0000978}; sequence-specific DNA binding {GO:0043565}</t>
  </si>
  <si>
    <t>sp|Q64012|RALY_MOUSE</t>
  </si>
  <si>
    <t>RNA-binding protein Raly</t>
  </si>
  <si>
    <t>Maternally-expressed hnRNP C-related protein; hnRNP associated with lethal yellow protein</t>
  </si>
  <si>
    <t>RALY_MOUSE</t>
  </si>
  <si>
    <t>Q64012</t>
  </si>
  <si>
    <t>A2AU63; Q99K76; Q9CXH8; Q9QZX6</t>
  </si>
  <si>
    <t>Merc</t>
  </si>
  <si>
    <t>MGI:97850</t>
  </si>
  <si>
    <t>Acetylation; Alternative splicing; Coiled coil; Isopeptide bond; mRNA processing; mRNA splicing; Nucleus; Phosphoprotein; Ribonucleoprotein; RNA-binding; Spliceosome; Transcription; Transcription regulation; Ubl conjugation</t>
  </si>
  <si>
    <t>cholesterol homeostasis {GO:0042632}; mRNA processing {GO:0006397}; regulation of nucleic acid-templated transcription {GO:1903506}; RNA splicing {GO:0008380}</t>
  </si>
  <si>
    <t>catalytic step 2 spliceosome {GO:0071013}; nucleus {GO:0005634}</t>
  </si>
  <si>
    <t>RNA binding {GO:0003723}; transcription coregulator activity {GO:0003712}</t>
  </si>
  <si>
    <t>sp|Q06185|ATP5I_MOUSE</t>
  </si>
  <si>
    <t>ATP synthase subunit e, mitochondrial (ATPase subunit e)</t>
  </si>
  <si>
    <t>ATP synthase membrane subunit e</t>
  </si>
  <si>
    <t>ATP5I_MOUSE</t>
  </si>
  <si>
    <t>Q06185</t>
  </si>
  <si>
    <t>P70342</t>
  </si>
  <si>
    <t>MGI:106636</t>
  </si>
  <si>
    <t>Acetylation; ATP synthesis; CF(0); Hydrogen ion transport; Ion transport; Membrane; Mitochondrion; Mitochondrion inner membrane; Phosphoprotein; Transport</t>
  </si>
  <si>
    <t>ATP metabolic process {GO:0046034}; proton motive force-driven mitochondrial ATP synthesis {GO:0042776}</t>
  </si>
  <si>
    <t>mitochondrial proton-transporting ATP synthase complex {GO:0005753}; mitochondrial proton-transporting ATP synthase complex, coupling factor F(o) {GO:0000276}; mitochondrion {GO:0005739}</t>
  </si>
  <si>
    <t>sp|P62862|RS30_MOUSE</t>
  </si>
  <si>
    <t>40S ribosomal protein S30</t>
  </si>
  <si>
    <t>RS30_MOUSE</t>
  </si>
  <si>
    <t>P62862</t>
  </si>
  <si>
    <t>Q05472; Q95261; Q9JJ24</t>
  </si>
  <si>
    <t>MGI:102547</t>
  </si>
  <si>
    <t>antibacterial humoral response {GO:0019731}; antimicrobial humoral immune response mediated by antimicrobial peptide {GO:0061844}; cytoplasmic translation {GO:0002181}; defense response to Gram-positive bacterium {GO:0050830}; innate immune response in mucosa {GO:0002227}; ribosomal small subunit assembly {GO:0000028}</t>
  </si>
  <si>
    <t>cytoplasm {GO:0005737}; cytosolic ribosome {GO:0022626}; cytosolic small ribosomal subunit {GO:0022627}; extracellular space {GO:0005615}; nucleus {GO:0005634}</t>
  </si>
  <si>
    <t>sp|Q9Z2W0|DNPEP_MOUSE</t>
  </si>
  <si>
    <t>Aspartyl aminopeptidase</t>
  </si>
  <si>
    <t>DNPEP_MOUSE</t>
  </si>
  <si>
    <t>Q9Z2W0</t>
  </si>
  <si>
    <t>Q56A00</t>
  </si>
  <si>
    <t>MGI:1278328</t>
  </si>
  <si>
    <t>Aminopeptidase; Cytoplasm; Hydrolase; Metal-binding; Metalloprotease; Phosphoprotein; Protease; Zinc</t>
  </si>
  <si>
    <t>aminopeptidase activity {GO:0004177}; identical protein binding {GO:0042802}; metallopeptidase activity {GO:0008237}; zinc ion binding {GO:0008270}</t>
  </si>
  <si>
    <t>sp|P56812|PDCD5_MOUSE</t>
  </si>
  <si>
    <t>Programmed cell death protein 5</t>
  </si>
  <si>
    <t>TF-1 cell apoptosis-related protein 19 (Protein TFAR19)</t>
  </si>
  <si>
    <t>PDCD5_MOUSE</t>
  </si>
  <si>
    <t>P56812</t>
  </si>
  <si>
    <t>Tfar19</t>
  </si>
  <si>
    <t>MGI:1913538</t>
  </si>
  <si>
    <t>Acetylation; Apoptosis; Phosphoprotein</t>
  </si>
  <si>
    <t>apoptotic process {GO:0006915}; cellular response to transforming growth factor beta stimulus {GO:0071560}; negative regulation of cell population proliferation {GO:0008285}; negative regulation of chaperone-mediated protein folding {GO:1903645}; positive regulation of apoptotic process {GO:0043065}; positive regulation of cysteine-type endopeptidase activity involved in apoptotic process {GO:0043280}; positive regulation of gene expression {GO:0010628}; positive regulation of protein insertion into mitochondrial outer membrane {GO:1903638}; positive regulation of release of cytochrome c from mitochondria {GO:0090200}</t>
  </si>
  <si>
    <t>acetyltransferase activator activity {GO:0010698}; beta-tubulin binding {GO:0048487}; DNA binding {GO:0003677}; heparin binding {GO:0008201}</t>
  </si>
  <si>
    <t>sp|Q61024|ASNS_MOUSE</t>
  </si>
  <si>
    <t>Asparagine synthetase [glutamine-hydrolyzing]</t>
  </si>
  <si>
    <t>Glutamine-dependent asparagine synthetase</t>
  </si>
  <si>
    <t>ASNS_MOUSE</t>
  </si>
  <si>
    <t>Q61024</t>
  </si>
  <si>
    <t>Q3TJA1; Q8BPC8</t>
  </si>
  <si>
    <t>MGI:1350929</t>
  </si>
  <si>
    <t>Acetylation; Amino-acid biosynthesis; Asparagine biosynthesis; ATP-binding; Glutamine amidotransferase; Ligase; Nucleotide-binding; Phosphoprotein</t>
  </si>
  <si>
    <t>Amino-acid biosynthesis; Asparagine biosynthesis</t>
  </si>
  <si>
    <t>asparagine biosynthetic process {GO:0006529}; cellular response to glucose starvation {GO:0042149}; cellular response to hormone stimulus {GO:0032870}; glutamine metabolic process {GO:0006541}; L-asparagine biosynthetic process {GO:0070981}; liver development {GO:0001889}; negative regulation of apoptotic process {GO:0043066}; positive regulation of mitotic cell cycle {GO:0045931}; response to amino acid {GO:0043200}; response to follicle-stimulating hormone {GO:0032354}; response to light stimulus {GO:0009416}; response to mechanical stimulus {GO:0009612}; response to organic cyclic compound {GO:0014070}; response to toxic substance {GO:0009636}</t>
  </si>
  <si>
    <t>asparagine synthase (glutamine-hydrolyzing) activity {GO:0004066}; ATP binding {GO:0005524}; identical protein binding {GO:0042802}</t>
  </si>
  <si>
    <t>Amino-acid biosynthesis; L-asparagine biosynthesis; L- asparagine from L-aspartate (L-Gln route): step 1/1.</t>
  </si>
  <si>
    <t>Aspartate and asparagine metabolism {R-MMU-8963693}</t>
  </si>
  <si>
    <t>sp|Q9Z247|FKBP9_MOUSE</t>
  </si>
  <si>
    <t>Peptidyl-prolyl cis-trans isomerase FKBP9 (PPIase FKBP9)</t>
  </si>
  <si>
    <t>63 kDa FK506-binding protein (63 kDa FKBP; FKBP-63); FK506-binding protein 9 (FKBP-9); FKBP65RS; Rotamase</t>
  </si>
  <si>
    <t>FKBP9_MOUSE</t>
  </si>
  <si>
    <t>Q9Z247</t>
  </si>
  <si>
    <t>Q80ZZ6; Q8R386; Q9CVM0; Q9JHX5</t>
  </si>
  <si>
    <t>Fkbp60; Fkbp63</t>
  </si>
  <si>
    <t>MGI:1350921</t>
  </si>
  <si>
    <t>Calcium; Endoplasmic reticulum; Glycoprotein; Isomerase; Metal-binding; Phosphoprotein; Repeat; Rotamase; Signal</t>
  </si>
  <si>
    <t>calcium ion binding {GO:0005509}; peptidyl-prolyl cis-trans isomerase activity {GO:0003755}</t>
  </si>
  <si>
    <t>sp|P97372|PSME2_MOUSE</t>
  </si>
  <si>
    <t>Proteasome activator complex subunit 2</t>
  </si>
  <si>
    <t>11S regulator complex subunit beta (REG-beta); Activator of multicatalytic protease subunit 2; Proteasome activator 28 subunit beta (PA28b; PA28beta)</t>
  </si>
  <si>
    <t>PSME2_MOUSE</t>
  </si>
  <si>
    <t>P97372</t>
  </si>
  <si>
    <t>O35562</t>
  </si>
  <si>
    <t>Pa28b1</t>
  </si>
  <si>
    <t>MGI:1096365</t>
  </si>
  <si>
    <t>3D-structure; Acetylation; Phosphoprotein; Proteasome</t>
  </si>
  <si>
    <t>endopeptidase activator activity {GO:0061133}; identical protein binding {GO:0042802}</t>
  </si>
  <si>
    <t>sp|Q9CRD0|OCAD1_MOUSE</t>
  </si>
  <si>
    <t>OCIA domain-containing protein 1</t>
  </si>
  <si>
    <t>OCAD1_MOUSE</t>
  </si>
  <si>
    <t>Q9CRD0</t>
  </si>
  <si>
    <t>Q3TEC2; Q3TJS3; Q7TNB3; Q922M2</t>
  </si>
  <si>
    <t>Asrij</t>
  </si>
  <si>
    <t>MGI:1915345</t>
  </si>
  <si>
    <t>Alternative splicing; Endosome; Phosphoprotein</t>
  </si>
  <si>
    <t>Endosome</t>
  </si>
  <si>
    <t>regulation of stem cell differentiation {GO:2000736}</t>
  </si>
  <si>
    <t>endosome {GO:0005768}; mitochondrion {GO:0005739}</t>
  </si>
  <si>
    <t>sp|Q6PDL0|DC1L2_MOUSE</t>
  </si>
  <si>
    <t>Cytoplasmic dynein 1 light intermediate chain 2</t>
  </si>
  <si>
    <t>Dynein light intermediate chain 2, cytosolic</t>
  </si>
  <si>
    <t>DC1L2_MOUSE</t>
  </si>
  <si>
    <t>Q6PDL0</t>
  </si>
  <si>
    <t>Q3UGJ3</t>
  </si>
  <si>
    <t>Dncli2; Dnclic2</t>
  </si>
  <si>
    <t>MGI:107738</t>
  </si>
  <si>
    <t>ATP-binding; Cytoplasm; Cytoskeleton; Dynein; Methylation; Microtubule; Motor protein; Nucleotide-binding; Phosphoprotein; Transport</t>
  </si>
  <si>
    <t>cellular response to nerve growth factor stimulus {GO:1990090}; centrosome localization {GO:0051642}; microtubule cytoskeleton organization {GO:0000226}; microtubule-based movement {GO:0007018}</t>
  </si>
  <si>
    <t>centrosome {GO:0005813}; cytoplasmic dynein complex {GO:0005868}; dynein complex {GO:0030286}; kinetochore {GO:0000776}; late endosome {GO:0005770}; lysosome {GO:0005764}; microtubule {GO:0005874}</t>
  </si>
  <si>
    <t>ATP binding {GO:0005524}; dynein heavy chain binding {GO:0045504}; identical protein binding {GO:0042802}</t>
  </si>
  <si>
    <t>Amplification of signal from unattached kinetochores via a MAD2 inhibitory signal {R-MMU-141444}; MHC class II antigen presentation {R-MMU-2132295}; Separation of Sister Chromatids {R-MMU-2467813}; Resolution of Sister Chromatid Cohesion {R-MMU-2500257}; HSP90 chaperone cycle for steroid hormone receptors (SHR) in the presence of ligand {R-MMU-3371497}; RHO GTPases Activate Formins {R-MMU-5663220}; COPI-mediated anterograde transport {R-MMU-6807878}; COPI-independent Golgi-to-ER retrograde traffic {R-MMU-6811436}; Mitotic Prometaphase {R-MMU-68877}; Aggrephagy {R-MMU-9646399}; EML4 and NUDC in mitotic spindle formation {R-MMU-9648025}</t>
  </si>
  <si>
    <t>sp|Q8BTI8|SRRM2_MOUSE</t>
  </si>
  <si>
    <t>Serine/arginine repetitive matrix protein 2</t>
  </si>
  <si>
    <t>SRRM2_MOUSE</t>
  </si>
  <si>
    <t>Q8BTI8</t>
  </si>
  <si>
    <t>E9QNB0; Q3TBY5; Q569P9; Q80U37; Q8K383</t>
  </si>
  <si>
    <t>Kiaa0324</t>
  </si>
  <si>
    <t>MGI:1923206</t>
  </si>
  <si>
    <t>Acetylation; Alternative splicing; Coiled coil; Isopeptide bond; Methylation; mRNA processing; mRNA splicing; Nucleus; Phosphoprotein; Spliceosome; Ubl conjugation</t>
  </si>
  <si>
    <t>Cajal body {GO:0015030}; catalytic step 2 spliceosome {GO:0071013}; nuclear speck {GO:0016607}; nucleus {GO:0005634}; U2-type catalytic step 2 spliceosome {GO:0071007}; U2-type precatalytic spliceosome {GO:0071005}</t>
  </si>
  <si>
    <t>C2H2 zinc finger domain binding {GO:0070742}; mRNA binding {GO:0003729}; protein N-terminus binding {GO:0047485}</t>
  </si>
  <si>
    <t>sp|Q8BFY9|TNPO1_MOUSE</t>
  </si>
  <si>
    <t>Transportin-1</t>
  </si>
  <si>
    <t>Importin beta-2; Karyopherin beta-2</t>
  </si>
  <si>
    <t>TNPO1_MOUSE</t>
  </si>
  <si>
    <t>Q8BFY9</t>
  </si>
  <si>
    <t>Q8C0S3; Q8K2E7</t>
  </si>
  <si>
    <t>Kpnb2</t>
  </si>
  <si>
    <t>MGI:2681523</t>
  </si>
  <si>
    <t>Alternative splicing; Cytoplasm; Nucleus; Protein transport; Repeat; Transport</t>
  </si>
  <si>
    <t>protein import into nucleus {GO:0006606}</t>
  </si>
  <si>
    <t>Tristetraprolin (TTP, ZFP36) binds and destabilizes mRNA {R-MMU-450513}; Intraflagellar transport {R-MMU-5620924}</t>
  </si>
  <si>
    <t>tr|D3YZZ5|D3YZZ5_MOUSE</t>
  </si>
  <si>
    <t>sp|Q9CQW1|YKT6_MOUSE</t>
  </si>
  <si>
    <t>Synaptobrevin homolog YKT6</t>
  </si>
  <si>
    <t>YKT6_MOUSE</t>
  </si>
  <si>
    <t>Q9CQW1</t>
  </si>
  <si>
    <t>O88595</t>
  </si>
  <si>
    <t>MGI:1927550</t>
  </si>
  <si>
    <t>Coiled coil; Cytoplasm; Cytoplasmic vesicle; ER-Golgi transport; Golgi apparatus; Lipoprotein; Membrane; Methylation; Palmitate; Phosphoprotein; Prenylation; Protein transport; Transferase; Transport</t>
  </si>
  <si>
    <t>endoplasmic reticulum to Golgi vesicle-mediated transport {GO:0006888}; protein transport {GO:0015031}; retrograde transport, endosome to Golgi {GO:0042147}; vesicle docking involved in exocytosis {GO:0006904}; vesicle targeting {GO:0006903}</t>
  </si>
  <si>
    <t>apical dendrite {GO:0097440}; basal dendrite {GO:0097441}; cytoplasm {GO:0005737}; cytoplasmic vesicle membrane {GO:0030659}; cytosol {GO:0005829}; endoplasmic reticulum {GO:0005783}; endosome {GO:0005768}; Golgi apparatus {GO:0005794}; Golgi membrane {GO:0000139}; integral component of plasma membrane {GO:0005887}; membrane {GO:0016020}; mitochondrion {GO:0005739}; neuronal cell body {GO:0043025}; SNARE complex {GO:0031201}</t>
  </si>
  <si>
    <t>protein-cysteine S-palmitoyltransferase activity {GO:0019706}; SNAP receptor activity {GO:0005484}</t>
  </si>
  <si>
    <t>COPII-mediated vesicle transport {R-MMU-204005}; COPI-mediated anterograde transport {R-MMU-6807878}; Intra-Golgi traffic {R-MMU-6811438}; RHOA GTPase cycle {R-MMU-8980692}; CDC42 GTPase cycle {R-MMU-9013148}; RAC1 GTPase cycle {R-MMU-9013149}; RHOG GTPase cycle {R-MMU-9013408}; RAC3 GTPase cycle {R-MMU-9013423}</t>
  </si>
  <si>
    <t>sp|Q80UG5|SEPT9_MOUSE</t>
  </si>
  <si>
    <t>Septin-9</t>
  </si>
  <si>
    <t>SL3-3 integration site 1 protein</t>
  </si>
  <si>
    <t>SEPT9_MOUSE</t>
  </si>
  <si>
    <t>Q80UG5</t>
  </si>
  <si>
    <t>A2A6U2; A2A6U4; A2A6U6; Q3URP2; Q80TM7; Q9QYX9</t>
  </si>
  <si>
    <t>MGI:1858222</t>
  </si>
  <si>
    <t>Acetylation; Alternative splicing; Cell cycle; Cell division; Cytoplasm; Cytoskeleton; GTP-binding; Nucleotide-binding; Phosphoprotein</t>
  </si>
  <si>
    <t>Cell cycle; Cell division</t>
  </si>
  <si>
    <t>cytoskeleton-dependent cytokinesis {GO:0061640}; positive regulation of non-motile cilium assembly {GO:1902857}; protein localization {GO:0008104}</t>
  </si>
  <si>
    <t>actin cytoskeleton {GO:0015629}; axoneme {GO:0005930}; cell division site {GO:0032153}; microtubule {GO:0005874}; microtubule cytoskeleton {GO:0015630}; non-motile cilium {GO:0097730}; perinuclear region of cytoplasm {GO:0048471}; septin complex {GO:0031105}; septin ring {GO:0005940}; stress fiber {GO:0001725}</t>
  </si>
  <si>
    <t>GTP binding {GO:0005525}; GTPase activity {GO:0003924}; molecular adaptor activity {GO:0060090}</t>
  </si>
  <si>
    <t>sp|Q91YI0|ARLY_MOUSE</t>
  </si>
  <si>
    <t>Argininosuccinate lyase (ASAL)</t>
  </si>
  <si>
    <t>Arginosuccinase</t>
  </si>
  <si>
    <t>ARLY_MOUSE</t>
  </si>
  <si>
    <t>Q91YI0</t>
  </si>
  <si>
    <t>Q3UFA2</t>
  </si>
  <si>
    <t>MGI:88084</t>
  </si>
  <si>
    <t>Acetylation; Amino-acid biosynthesis; Arginine biosynthesis; Lyase; Urea cycle</t>
  </si>
  <si>
    <t>ammonia assimilation cycle {GO:0019676}; arginine biosynthetic process {GO:0006526}; arginine biosynthetic process via ornithine {GO:0042450}; arginine metabolic process {GO:0006525}; argininosuccinate metabolic process {GO:0000053}; cellular amino acid metabolic process {GO:0006520}; liver development {GO:0001889}; locomotory behavior {GO:0007626}; positive regulation of nitric oxide biosynthetic process {GO:0045429}; post-embryonic development {GO:0009791}; urea cycle {GO:0000050}</t>
  </si>
  <si>
    <t>cell body fiber {GO:0070852}; cytoplasm {GO:0005737}; cytosol {GO:0005829}; endoplasmic reticulum {GO:0005783}; mitochondrial outer membrane {GO:0005741}; neuronal cell body {GO:0043025}; nucleus {GO:0005634}; perikaryon {GO:0043204}; perinuclear region of cytoplasm {GO:0048471}</t>
  </si>
  <si>
    <t>argininosuccinate lyase activity {GO:0004056}; identical protein binding {GO:0042802}</t>
  </si>
  <si>
    <t>Nitrogen metabolism; urea cycle; L-arginine and fumarate from (N(omega)-L-arginino)succinate: step 1/1.</t>
  </si>
  <si>
    <t>sp|Q01730|RSU1_MOUSE</t>
  </si>
  <si>
    <t>Ras suppressor protein 1 (RSP-1; Rsu-1)</t>
  </si>
  <si>
    <t>RSU1_MOUSE</t>
  </si>
  <si>
    <t>Q01730</t>
  </si>
  <si>
    <t>Rsp1</t>
  </si>
  <si>
    <t>MGI:103040</t>
  </si>
  <si>
    <t>Acetylation; Leucine-rich repeat; Repeat</t>
  </si>
  <si>
    <t>neural precursor cell proliferation {GO:0061351}; positive regulation of cell-substrate adhesion {GO:0010811}; positive regulation of GTPase activity {GO:0043547}; positive regulation of neural precursor cell proliferation {GO:2000179}; Ras protein signal transduction {GO:0007265}; signal transduction {GO:0007165}</t>
  </si>
  <si>
    <t>focal adhesion {GO:0005925}</t>
  </si>
  <si>
    <t>Regulation of cytoskeletal remodeling and cell spreading by IPP complex components {R-MMU-446388}</t>
  </si>
  <si>
    <t>sp|Q99LI8|HGS_MOUSE</t>
  </si>
  <si>
    <t>Hepatocyte growth factor-regulated tyrosine kinase substrate</t>
  </si>
  <si>
    <t>HGS_MOUSE</t>
  </si>
  <si>
    <t>Q99LI8</t>
  </si>
  <si>
    <t>Q61691; Q8BQW3</t>
  </si>
  <si>
    <t>Hrs</t>
  </si>
  <si>
    <t>MGI:104681</t>
  </si>
  <si>
    <t>Acetylation; Cytoplasm; Endosome; Membrane; Metal-binding; Phosphoprotein; Protein transport; Transport; Ubl conjugation; Zinc; Zinc-finger</t>
  </si>
  <si>
    <t>endocytic recycling {GO:0032456}; endosome to lysosome transport {GO:0008333}; membrane invagination {GO:0010324}; negative regulation of angiogenesis {GO:0016525}; negative regulation of platelet-derived growth factor receptor signaling pathway {GO:0010642}; negative regulation of receptor signaling pathway via JAK-STAT {GO:0046426}; negative regulation of vascular endothelial growth factor receptor signaling pathway {GO:0030948}; positive regulation of exosomal secretion {GO:1903543}; positive regulation of gene expression {GO:0010628}; protein localization to membrane {GO:0072657}; protein targeting to lysosome {GO:0006622}; receptor internalization {GO:0031623}; regulation of MAP kinase activity {GO:0043405}</t>
  </si>
  <si>
    <t>cytoplasm {GO:0005737}; cytosol {GO:0005829}; early endosome {GO:0005769}; early endosome membrane {GO:0031901}; endosome {GO:0005768}; ESCRT-0 complex {GO:0033565}; lysosome {GO:0005764}; membrane {GO:0016020}; multivesicular body membrane {GO:0032585}; secretory granule {GO:0030141}</t>
  </si>
  <si>
    <t>identical protein binding {GO:0042802}; metal ion binding {GO:0046872}; phosphatidylinositol binding {GO:0035091}; protein domain specific binding {GO:0019904}; ubiquitin binding {GO:0043130}; ubiquitin-dependent protein binding {GO:0140036}; ubiquitin-like protein ligase binding {GO:0044389}</t>
  </si>
  <si>
    <t>EGFR downregulation {R-MMU-182971}; Lysosome Vesicle Biogenesis {R-MMU-432720}; Ub-specific processing proteases {R-MMU-5689880}; Negative regulation of MET activity {R-MMU-6807004}; Cargo recognition for clathrin-mediated endocytosis {R-MMU-8856825}; Clathrin-mediated endocytosis {R-MMU-8856828}; RHOU GTPase cycle {R-MMU-9013420}; Endosomal Sorting Complex Required For Transport (ESCRT) {R-MMU-917729}; RHOBTB3 ATPase cycle {R-MMU-9706019}</t>
  </si>
  <si>
    <t>sp|P97310|MCM2_MOUSE</t>
  </si>
  <si>
    <t>DNA replication licensing factor MCM2</t>
  </si>
  <si>
    <t>Minichromosome maintenance protein 2 homolog; Nuclear protein BM28</t>
  </si>
  <si>
    <t>MCM2_MOUSE</t>
  </si>
  <si>
    <t>P97310</t>
  </si>
  <si>
    <t>O08971; O89057; Q8C2R0</t>
  </si>
  <si>
    <t>Bm28; Cdcl1; Kiaa0030; Mcmd2</t>
  </si>
  <si>
    <t>MGI:105380</t>
  </si>
  <si>
    <t>Acetylation; ATP-binding; Cell cycle; Chromosome; DNA replication; DNA-binding; Helicase; Hydrolase; Isopeptide bond; Metal-binding; Nucleotide-binding; Nucleus; Phosphoprotein; Ubl conjugation; Zinc; Zinc-finger</t>
  </si>
  <si>
    <t>apoptotic process {GO:0006915}; cellular response to interleukin-4 {GO:0071353}; cochlea development {GO:0090102}; DNA replication initiation {GO:0006270}; DNA unwinding involved in DNA replication {GO:0006268}; double-strand break repair via break-induced replication {GO:0000727}; mitotic DNA replication initiation {GO:1902975}; negative regulation of DNA helicase activity {GO:1905775}; nucleosome assembly {GO:0006334}; regulation of DNA-templated DNA replication initiation {GO:0030174}</t>
  </si>
  <si>
    <t>chromatin {GO:0000785}; CMG complex {GO:0071162}; cytoplasm {GO:0005737}; MCM complex {GO:0042555}; nuclear origin of replication recognition complex {GO:0005664}; nucleoplasm {GO:0005654}; nucleus {GO:0005634}</t>
  </si>
  <si>
    <t>ATP binding {GO:0005524}; DNA helicase activity {GO:0003678}; DNA replication origin binding {GO:0003688}; enzyme binding {GO:0019899}; histone binding {GO:0042393}; hydrolase activity {GO:0016787}; metal ion binding {GO:0046872}; single-stranded DNA binding {GO:0003697}</t>
  </si>
  <si>
    <t>sp|O08917|FLOT1_MOUSE</t>
  </si>
  <si>
    <t>Flotillin-1</t>
  </si>
  <si>
    <t>FLOT1_MOUSE</t>
  </si>
  <si>
    <t>O08917</t>
  </si>
  <si>
    <t>MGI:1100500</t>
  </si>
  <si>
    <t>Cell membrane; Endosome; Membrane; Phosphoprotein</t>
  </si>
  <si>
    <t>Cell membrane; Endosome; Membrane</t>
  </si>
  <si>
    <t>axon guidance {GO:0007411}; axonogenesis {GO:0007409}; cellular response to exogenous dsRNA {GO:0071360}; dsRNA transport {GO:0033227}; endocytosis {GO:0006897}; extracellular matrix disassembly {GO:0022617}; plasma membrane raft assembly {GO:0044854}; plasma membrane raft organization {GO:0044857}; positive regulation of cell junction assembly {GO:1901890}; positive regulation of cell-cell adhesion mediated by cadherin {GO:2000049}; positive regulation of cytokine production {GO:0001819}; positive regulation of endocytosis {GO:0045807}; positive regulation of heterotypic cell-cell adhesion {GO:0034116}; positive regulation of interferon-beta production {GO:0032728}; positive regulation of myoblast fusion {GO:1901741}; positive regulation of NF-kappaB transcription factor activity {GO:0051092}; positive regulation of protein binding {GO:0032092}; positive regulation of protein phosphorylation {GO:0001934}; positive regulation of skeletal muscle tissue development {GO:0048643}; positive regulation of synaptic transmission, dopaminergic {GO:0032226}; positive regulation of toll-like receptor 3 signaling pathway {GO:0034141}; protein kinase C signaling {GO:0070528}; protein localization to plasma membrane {GO:0072659}; protein stabilization {GO:0050821}; regulation of neurotransmitter uptake {GO:0051580}; regulation of receptor internalization {GO:0002090}; regulation of Rho protein signal transduction {GO:0035023}; response to endoplasmic reticulum stress {GO:0034976}</t>
  </si>
  <si>
    <t>adherens junction {GO:0005912}; basolateral plasma membrane {GO:0016323}; caveola {GO:0005901}; cell-cell contact zone {GO:0044291}; cell-cell junction {GO:0005911}; centriolar satellite {GO:0034451}; COP9 signalosome {GO:0008180}; cortical actin cytoskeleton {GO:0030864}; cytoplasmic vesicle {GO:0031410}; dopaminergic synapse {GO:0098691}; early endosome {GO:0005769}; endosome {GO:0005768}; external side of plasma membrane {GO:0009897}; flotillin complex {GO:0016600}; GABA-ergic synapse {GO:0098982}; glutamatergic synapse {GO:0098978}; lamellipodium {GO:0030027}; melanosome {GO:0042470}; membrane {GO:0016020}; membrane raft {GO:0045121}; microtubule organizing center {GO:0005815}; plasma membrane {GO:0005886}; plasma membrane raft {GO:0044853}; presynapse {GO:0098793}; presynaptic active zone {GO:0048786}; sarcolemma {GO:0042383}; synapse {GO:0045202}; uropod {GO:0001931}</t>
  </si>
  <si>
    <t>ionotropic glutamate receptor binding {GO:0035255}; protease binding {GO:0002020}</t>
  </si>
  <si>
    <t>RIPK1-mediated regulated necrosis {R-MMU-5213460}; Regulation of necroptotic cell death {R-MMU-5675482}; Synaptic adhesion-like molecules {R-MMU-8849932}; RHOA GTPase cycle {R-MMU-8980692}; RHOB GTPase cycle {R-MMU-9013026}; RHOC GTPase cycle {R-MMU-9013106}</t>
  </si>
  <si>
    <t>sp|Q99KQ4|NAMPT_MOUSE</t>
  </si>
  <si>
    <t>Nicotinamide phosphoribosyltransferase (NAmPRTase; Nampt)</t>
  </si>
  <si>
    <t>Pre-B-cell colony-enhancing factor 1 homolog (PBEF); Visfatin</t>
  </si>
  <si>
    <t>NAMPT_MOUSE</t>
  </si>
  <si>
    <t>Q99KQ4</t>
  </si>
  <si>
    <t>Q8C3B5; Q9JKM0</t>
  </si>
  <si>
    <t>Pbef1</t>
  </si>
  <si>
    <t>MGI:1929865</t>
  </si>
  <si>
    <t>3D-structure; Acetylation; Biological rhythms; Cytokine; Cytoplasm; Glycosyltransferase; Nucleus; Phosphoprotein; Pyridine nucleotide biosynthesis; Secreted; Transferase</t>
  </si>
  <si>
    <t>Biological rhythms; Pyridine nucleotide biosynthesis</t>
  </si>
  <si>
    <t>Cytokine; Glycosyltransferase; Transferase</t>
  </si>
  <si>
    <t>circadian regulation of gene expression {GO:0032922}; circadian rhythm {GO:0007623}; microglial cell activation {GO:0001774}; NAD biosynthetic process {GO:0009435}; negative regulation of autophagy {GO:0010507}; negative regulation of cellular senescence {GO:2000773}; positive regulation of nitric-oxide synthase biosynthetic process {GO:0051770}; positive regulation of smooth muscle cell proliferation {GO:0048661}; positive regulation of transcription by RNA polymerase II {GO:0045944}; regulation of lung blood pressure {GO:0014916}</t>
  </si>
  <si>
    <t>cell junction {GO:0030054}; cytoplasm {GO:0005737}; cytosol {GO:0005829}; extracellular space {GO:0005615}; nuclear speck {GO:0016607}; nucleus {GO:0005634}; plasma membrane {GO:0005886}</t>
  </si>
  <si>
    <t>cytokine activity {GO:0005125}; heterocyclic compound binding {GO:1901363}; identical protein binding {GO:0042802}; nicotinamide phosphoribosyltransferase activity {GO:0047280}; nucleotide binding {GO:0000166}</t>
  </si>
  <si>
    <t>Cofactor biosynthesis; NAD(+) biosynthesis; nicotinamide D- ribonucleotide from 5-phospho-alpha-D-ribose 1-diphosphate and nicotinamide: step 1/1.</t>
  </si>
  <si>
    <t>sp|Q3TCH7|CUL4A_MOUSE</t>
  </si>
  <si>
    <t>Cullin-4A (CUL-4A)</t>
  </si>
  <si>
    <t>CUL4A_MOUSE</t>
  </si>
  <si>
    <t>Q3TCH7</t>
  </si>
  <si>
    <t>Q3THM3; Q91Z44</t>
  </si>
  <si>
    <t>MGI:1914487</t>
  </si>
  <si>
    <t>Biological rhythms; DNA damage; DNA repair; Host-virus interaction; Isopeptide bond; Phosphoprotein; Ubl conjugation; Ubl conjugation pathway</t>
  </si>
  <si>
    <t>Biological rhythms; DNA damage; DNA repair; Host-virus interaction; Ubl conjugation pathway</t>
  </si>
  <si>
    <t>cell population proliferation {GO:0008283}; cellular response to DNA damage stimulus {GO:0006974}; cellular response to UV {GO:0034644}; DNA repair {GO:0006281}; hemopoiesis {GO:0030097}; in utero embryonic development {GO:0001701}; negative regulation of granulocyte differentiation {GO:0030853}; positive regulation of cell population proliferation {GO:0008284}; positive regulation of G1/S transition of mitotic cell cycle {GO:1900087}; positive regulation of protein catabolic process {GO:0045732}; proteasome-mediated ubiquitin-dependent protein catabolic process {GO:0043161}; protein ubiquitination {GO:0016567}; regulation of DNA damage checkpoint {GO:2000001}; regulation of nucleotide-excision repair {GO:2000819}; regulation of protein metabolic process {GO:0051246}; rhythmic process {GO:0048511}; ribosome biogenesis {GO:0042254}; SCF-dependent proteasomal ubiquitin-dependent protein catabolic process {GO:0031146}; somatic stem cell population maintenance {GO:0035019}; ubiquitin-dependent protein catabolic process {GO:0006511}</t>
  </si>
  <si>
    <t>Cul4-RING E3 ubiquitin ligase complex {GO:0080008}; Cul4A-RING E3 ubiquitin ligase complex {GO:0031464}; cullin-RING ubiquitin ligase complex {GO:0031461}; nucleus {GO:0005634}</t>
  </si>
  <si>
    <t>protein-macromolecule adaptor activity {GO:0030674}; ubiquitin protein ligase binding {GO:0031625}</t>
  </si>
  <si>
    <t>sp|Q9R0N0|GALK1_MOUSE</t>
  </si>
  <si>
    <t>Galactokinase</t>
  </si>
  <si>
    <t>Galactose kinase</t>
  </si>
  <si>
    <t>GALK1_MOUSE</t>
  </si>
  <si>
    <t>Q9R0N0</t>
  </si>
  <si>
    <t>Q9JIA6</t>
  </si>
  <si>
    <t>Galk; Glk</t>
  </si>
  <si>
    <t>MGI:95730</t>
  </si>
  <si>
    <t>ATP-binding; Carbohydrate metabolism; Galactose metabolism; Kinase; Nucleotide-binding; Phosphoprotein; Transferase</t>
  </si>
  <si>
    <t>Carbohydrate metabolism; Galactose metabolism</t>
  </si>
  <si>
    <t>carbohydrate phosphorylation {GO:0046835}; galactitol metabolic process {GO:0019402}; galactose catabolic process via UDP-galactose {GO:0033499}; galactose metabolic process {GO:0006012}; glycolytic process from galactose {GO:0061623}</t>
  </si>
  <si>
    <t>ATP binding {GO:0005524}; galactokinase activity {GO:0004335}; galactose binding {GO:0005534}</t>
  </si>
  <si>
    <t>Carbohydrate metabolism; galactose metabolism.</t>
  </si>
  <si>
    <t>Galactose catabolism {R-MMU-70370}</t>
  </si>
  <si>
    <t>sp|P17665|COX7C_MOUSE</t>
  </si>
  <si>
    <t>Cytochrome c oxidase subunit 7C, mitochondrial</t>
  </si>
  <si>
    <t>Cytochrome c oxidase polypeptide VIIc</t>
  </si>
  <si>
    <t>COX7C_MOUSE</t>
  </si>
  <si>
    <t>P17665</t>
  </si>
  <si>
    <t>Q3U5S7</t>
  </si>
  <si>
    <t>Cox7c1</t>
  </si>
  <si>
    <t>MGI:103226</t>
  </si>
  <si>
    <t>3D-structure; Acetylation; Membrane; Mitochondrion; Mitochondrion inner membrane; Transit peptide; Transmembrane; Transmembrane helix</t>
  </si>
  <si>
    <t>tr|Q6PHQ9|Q6PHQ9_MOUSE</t>
  </si>
  <si>
    <t>sp|O08997|ATOX1_MOUSE</t>
  </si>
  <si>
    <t>Copper transport protein ATOX1</t>
  </si>
  <si>
    <t>Metal transport protein ATX1</t>
  </si>
  <si>
    <t>ATOX1_MOUSE</t>
  </si>
  <si>
    <t>O08997</t>
  </si>
  <si>
    <t>Q5NCU2</t>
  </si>
  <si>
    <t>MGI:1333855</t>
  </si>
  <si>
    <t>Acetylation; Chaperone; Copper; Copper transport; Ion transport; Metal-binding; Phosphoprotein; Transport</t>
  </si>
  <si>
    <t>Copper; Metal-binding</t>
  </si>
  <si>
    <t>cellular copper ion homeostasis {GO:0006878}; copper ion export {GO:0060003}; copper ion transport {GO:0006825}; negative regulation of apoptotic process {GO:0043066}; response to oxidative stress {GO:0006979}</t>
  </si>
  <si>
    <t>ATPase binding {GO:0051117}; copper chaperone activity {GO:0016531}; copper ion binding {GO:0005507}; copper-dependent protein binding {GO:0032767}; cuprous ion binding {GO:1903136}</t>
  </si>
  <si>
    <t>Ion influx/efflux at host-pathogen interface {R-MMU-6803544}</t>
  </si>
  <si>
    <t>sp|O08807|PRDX4_MOUSE</t>
  </si>
  <si>
    <t>Peroxiredoxin-4</t>
  </si>
  <si>
    <t>Antioxidant enzyme AOE372; Peroxiredoxin IV (Prx-IV); Thioredoxin peroxidase AO372; Thioredoxin-dependent peroxide reductase A0372; Thioredoxin-dependent peroxiredoxin 4</t>
  </si>
  <si>
    <t>PRDX4_MOUSE</t>
  </si>
  <si>
    <t>O08807</t>
  </si>
  <si>
    <t>B1AZS7; Q3U8E4</t>
  </si>
  <si>
    <t>MGI:1859815</t>
  </si>
  <si>
    <t>3D-structure; Antioxidant; Cytoplasm; Disulfide bond; Endoplasmic reticulum; Oxidoreductase; Peroxidase; Redox-active center; Signal</t>
  </si>
  <si>
    <t>cell redox homeostasis {GO:0045454}; extracellular matrix organization {GO:0030198}; male gonad development {GO:0008584}; negative regulation of male germ cell proliferation {GO:2000255}; peptidyl-proline hydroxylation to 4-hydroxy-L-proline {GO:0018401}; protein maturation by protein folding {GO:0022417}; reactive oxygen species metabolic process {GO:0072593}; response to oxidative stress {GO:0006979}; spermatogenesis {GO:0007283}</t>
  </si>
  <si>
    <t>cytoplasm {GO:0005737}; cytosol {GO:0005829}; endoplasmic reticulum {GO:0005783}; extracellular space {GO:0005615}; mitochondrion {GO:0005739}; smooth endoplasmic reticulum {GO:0005790}</t>
  </si>
  <si>
    <t>identical protein binding {GO:0042802}; molecular sequestering activity {GO:0140313}; thioredoxin-dependent peroxiredoxin activity {GO:0140824}</t>
  </si>
  <si>
    <t>sp|Q6R0H7|GNAS1_MOUSE</t>
  </si>
  <si>
    <t>Guanine nucleotide-binding protein G(s) subunit alpha isoforms XLas</t>
  </si>
  <si>
    <t>Adenylate cyclase-stimulating G alpha protein; Extra large alphas protein (XLalphas)</t>
  </si>
  <si>
    <t>GNAS1_MOUSE</t>
  </si>
  <si>
    <t>Q6R0H7</t>
  </si>
  <si>
    <t>A2A607; A2A608; Q6R0H4; Q6R0H5; Q6R2J5; Q9JJX0; Q9Z1N8</t>
  </si>
  <si>
    <t>MGI:95777</t>
  </si>
  <si>
    <t>ADP-ribosylation; Alternative splicing; Cell membrane; Coiled coil; GTP-binding; Magnesium; Membrane; Metal-binding; Nucleotide-binding; Phosphoprotein; Transducer</t>
  </si>
  <si>
    <t>ADP-ribosylation; Phosphoprotein</t>
  </si>
  <si>
    <t>adenylate cyclase-activating adrenergic receptor signaling pathway {GO:0071880}; adenylate cyclase-activating dopamine receptor signaling pathway {GO:0007191}; adenylate cyclase-activating G protein-coupled receptor signaling pathway {GO:0007189}; adenylate cyclase-modulating G protein-coupled receptor signaling pathway {GO:0007188}; bone development {GO:0060348}; calcium ion homeostasis {GO:0055074}; cartilage development {GO:0051216}; cellular response to catecholamine stimulus {GO:0071870}; cellular response to prostaglandin E stimulus {GO:0071380}; cognition {GO:0050890}; developmental growth {GO:0048589}; DNA methylation {GO:0006306}; embryonic cranial skeleton morphogenesis {GO:0048701}; embryonic hindlimb morphogenesis {GO:0035116}; endochondral ossification {GO:0001958}; energy reserve metabolic process {GO:0006112}; G protein-coupled receptor signaling pathway {GO:0007186}; genomic imprinting {GO:0071514}; hair follicle placode formation {GO:0060789}; multicellular organism growth {GO:0035264}; negative regulation of blood pressure {GO:0045776}; negative regulation of renal sodium excretion {GO:0035814}; platelet aggregation {GO:0070527}; positive regulation of cAMP-mediated signaling {GO:0043950}; positive regulation of cell population proliferation {GO:0008284}; positive regulation of cold-induced thermogenesis {GO:0120162}; positive regulation of GTPase activity {GO:0043547}; positive regulation of osteoblast differentiation {GO:0045669}; positive regulation of osteoclast differentiation {GO:0045672}; positive regulation of protein phosphorylation {GO:0001934}; positive regulation of sodium ion transport {GO:0010765}; post-embryonic body morphogenesis {GO:0040032}; post-embryonic development {GO:0009791}; regulation of parathyroid hormone secretion {GO:2000828}; regulation of signal transduction {GO:0009966}; regulation of transcription by RNA polymerase II {GO:0006357}; response to parathyroid hormone {GO:0071107}; response to xenobiotic stimulus {GO:0009410}; sensory perception of chemical stimulus {GO:0007606}; skeletal system development {GO:0001501}; skin development {GO:0043588}; tissue homeostasis {GO:0001894}</t>
  </si>
  <si>
    <t>apical plasma membrane {GO:0016324}; COPI-coated Golgi to ER transport vesicle {GO:0030142}; cytoplasm {GO:0005737}; cytosol {GO:0005829}; dendrite {GO:0030425}; endosome {GO:0005768}; Golgi apparatus {GO:0005794}; heterotrimeric G-protein complex {GO:0005834}; intrinsic component of membrane {GO:0031224}; membrane {GO:0016020}; membrane raft {GO:0045121}; neuronal cell body {GO:0043025}; nucleus {GO:0005634}; perinuclear region of cytoplasm {GO:0048471}; plasma membrane {GO:0005886}; recycling endosome {GO:0055037}; ruffle {GO:0001726}; sarcolemma {GO:0042383}; trans-Golgi network membrane {GO:0032588}</t>
  </si>
  <si>
    <t>adenylate cyclase activator activity {GO:0010856}; alkylglycerophosphoethanolamine phosphodiesterase activity {GO:0047391}; alpha-tubulin binding {GO:0043014}; beta-2 adrenergic receptor binding {GO:0031698}; corticotropin-releasing hormone receptor 1 binding {GO:0051430}; D1 dopamine receptor binding {GO:0031748}; G protein-coupled receptor binding {GO:0001664}; G-protein alpha-subunit binding {GO:0001965}; G-protein beta-subunit binding {GO:0031681}; G-protein beta/gamma-subunit complex binding {GO:0031683}; GTP binding {GO:0005525}; GTPase activity {GO:0003924}; insulin-like growth factor receptor binding {GO:0005159}; ionotropic glutamate receptor binding {GO:0035255}; metal ion binding {GO:0046872}; mu-type opioid receptor binding {GO:0031852}; protein domain specific binding {GO:0019904}</t>
  </si>
  <si>
    <t>Glucagon-like Peptide-1 (GLP1) regulates insulin secretion {R-MMU-381676}; Prostacyclin signalling through prostacyclin receptor {R-MMU-392851}; G alpha (s) signalling events {R-MMU-418555}; Glucagon-type ligand receptors {R-MMU-420092}; Vasopressin regulates renal water homeostasis via Aquaporins {R-MMU-432040}; GPER1 signaling {R-MMU-9634597}</t>
  </si>
  <si>
    <t>sp|Q80W47|WIPI2_MOUSE</t>
  </si>
  <si>
    <t>WD repeat domain phosphoinositide-interacting protein 2 (WIPI-2)</t>
  </si>
  <si>
    <t>WIPI2_MOUSE</t>
  </si>
  <si>
    <t>Q80W47</t>
  </si>
  <si>
    <t>MGI:1923831</t>
  </si>
  <si>
    <t>Autophagy; Lipid-binding; Membrane; Phosphoprotein; Repeat; WD repeat</t>
  </si>
  <si>
    <t>Autophagy</t>
  </si>
  <si>
    <t>autophagosome assembly {GO:0000045}; autophagy of mitochondrion {GO:0000422}; autophagy of nucleus {GO:0044804}; cellular response to starvation {GO:0009267}; protein lipidation {GO:0006497}; protein lipidation involved in autophagosome assembly {GO:0061739}; protein localization to phagophore assembly site {GO:0034497}; xenophagy {GO:0098792}</t>
  </si>
  <si>
    <t>autophagosome {GO:0005776}; cytosol {GO:0005829}; extrinsic component of membrane {GO:0019898}; membrane {GO:0016020}; nucleoplasm {GO:0005654}; phagophore assembly site {GO:0000407}; phagophore assembly site membrane {GO:0034045}; protein-containing complex {GO:0032991}</t>
  </si>
  <si>
    <t>phosphatidylinositol-3,5-bisphosphate binding {GO:0080025}; phosphatidylinositol-3-phosphate binding {GO:0032266}; phosphatidylinositol-5-phosphate binding {GO:0010314}</t>
  </si>
  <si>
    <t>Macroautophagy {R-MMU-1632852}</t>
  </si>
  <si>
    <t>sp|Q8C0C7|SYFA_MOUSE</t>
  </si>
  <si>
    <t>Phenylalanine--tRNA ligase alpha subunit</t>
  </si>
  <si>
    <t>Phenylalanyl-tRNA synthetase alpha subunit (PheRS)</t>
  </si>
  <si>
    <t>SYFA_MOUSE</t>
  </si>
  <si>
    <t>Q8C0C7</t>
  </si>
  <si>
    <t>Q3U3Q9; Q91WR4; Q922S1</t>
  </si>
  <si>
    <t>Farsla</t>
  </si>
  <si>
    <t>MGI:1913840</t>
  </si>
  <si>
    <t>Acetylation; Aminoacyl-tRNA synthetase; ATP-binding; Cytoplasm; Ligase; Magnesium; Metal-binding; Nucleotide-binding; Phosphoprotein; Protein biosynthesis</t>
  </si>
  <si>
    <t>cytoplasm {GO:0005737}; phenylalanine-tRNA ligase complex {GO:0009328}</t>
  </si>
  <si>
    <t>ATP binding {GO:0005524}; magnesium ion binding {GO:0000287}; phenylalanine-tRNA ligase activity {GO:0004826}; tRNA binding {GO:0000049}</t>
  </si>
  <si>
    <t>sp|P47915|RL29_MOUSE</t>
  </si>
  <si>
    <t>60S ribosomal protein L29</t>
  </si>
  <si>
    <t>RL29_MOUSE</t>
  </si>
  <si>
    <t>P47915</t>
  </si>
  <si>
    <t>Rpl43</t>
  </si>
  <si>
    <t>MGI:99687</t>
  </si>
  <si>
    <t>3D-structure; Acetylation; Cytoplasm; Methylation; Phosphoprotein; Repeat; Ribonucleoprotein; Ribosomal protein</t>
  </si>
  <si>
    <t>cell-substrate adhesion {GO:0031589}; cytoplasmic translation {GO:0002181}; fibroblast proliferation {GO:0048144}; multicellular organism growth {GO:0035264}; translation {GO:0006412}</t>
  </si>
  <si>
    <t>cytoplasm {GO:0005737}; cytosol {GO:0005829}; cytosolic large ribosomal subunit {GO:0022625}; cytosolic ribosome {GO:0022626}; extrinsic component of membrane {GO:0019898}; polysomal ribosome {GO:0042788}; ribosome {GO:0005840}; synapse {GO:0045202}</t>
  </si>
  <si>
    <t>heparin binding {GO:0008201}; structural constituent of ribosome {GO:0003735}</t>
  </si>
  <si>
    <t>sp|P26443|DHE3_MOUSE</t>
  </si>
  <si>
    <t>Glutamate dehydrogenase 1, mitochondrial (GDH 1)</t>
  </si>
  <si>
    <t>DHE3_MOUSE</t>
  </si>
  <si>
    <t>P26443</t>
  </si>
  <si>
    <t>Q8C273</t>
  </si>
  <si>
    <t>Glud</t>
  </si>
  <si>
    <t>MGI:95753</t>
  </si>
  <si>
    <t>Acetylation; ADP-ribosylation; ATP-binding; Endoplasmic reticulum; GTP-binding; Hydroxylation; Mitochondrion; NADP; Nucleotide-binding; Oxidoreductase; Phosphoprotein; Transit peptide</t>
  </si>
  <si>
    <t>Endoplasmic reticulum; Mitochondrion</t>
  </si>
  <si>
    <t>ATP-binding; GTP-binding; NADP; Nucleotide-binding</t>
  </si>
  <si>
    <t>ADP-ribosylation; Acetylation; Hydroxylation; Phosphoprotein</t>
  </si>
  <si>
    <t>cerebellum development {GO:0021549}; glutamate catabolic process {GO:0006538}; glutamine metabolic process {GO:0006541}; long-term memory {GO:0007616}; positive regulation of insulin secretion {GO:0032024}; response to aluminum ion {GO:0010044}; tricarboxylic acid metabolic process {GO:0072350}</t>
  </si>
  <si>
    <t>cytoplasm {GO:0005737}; endoplasmic reticulum {GO:0005783}; mitochondrial inner membrane {GO:0005743}; mitochondrial matrix {GO:0005759}; mitochondrion {GO:0005739}</t>
  </si>
  <si>
    <t>ADP binding {GO:0043531}; ATP binding {GO:0005524}; enzyme binding {GO:0019899}; glutamate dehydrogenase (NAD+) activity {GO:0004352}; glutamate dehydrogenase (NADP+) activity {GO:0004354}; glutamate dehydrogenase [NAD(P)+] activity {GO:0004353}; GTP binding {GO:0005525}; leucine binding {GO:0070728}; NAD+ binding {GO:0070403}</t>
  </si>
  <si>
    <t>Transcriptional activation of mitochondrial biogenesis {R-MMU-2151201}; Glutamate and glutamine metabolism {R-MMU-8964539}</t>
  </si>
  <si>
    <t>sp|Q8VDP4|CCAR2_MOUSE</t>
  </si>
  <si>
    <t>Cell cycle and apoptosis regulator protein 2</t>
  </si>
  <si>
    <t>Cell division cycle and apoptosis regulator protein 2</t>
  </si>
  <si>
    <t>CCAR2_MOUSE</t>
  </si>
  <si>
    <t>Q8VDP4</t>
  </si>
  <si>
    <t>Q6PIB1; Q8BWR5; Q8C0F0; Q8R3G6</t>
  </si>
  <si>
    <t>MGI:2444228</t>
  </si>
  <si>
    <t>Acetylation; Activator; Apoptosis; Biological rhythms; Cell cycle; Coiled coil; Cytoplasm; Cytoskeleton; DNA damage; Isopeptide bond; Metalloenzyme inhibitor; Methylation; mRNA processing; mRNA splicing; Nucleus; Phosphoprotein; Repressor; Transcription; Transcription regulation; Tumor suppressor; Ubl conjugation; Wnt signaling pathway</t>
  </si>
  <si>
    <t>Apoptosis; Biological rhythms; Cell cycle; DNA damage; Transcription; Transcription regulation; Wnt signaling pathway; mRNA processing; mRNA splicing</t>
  </si>
  <si>
    <t>Activator; Metalloenzyme inhibitor; Repressor</t>
  </si>
  <si>
    <t>cell cycle {GO:0007049}; cellular response to DNA damage stimulus {GO:0006974}; mitochondrial fragmentation involved in apoptotic process {GO:0043653}; mRNA processing {GO:0006397}; negative regulation of catalytic activity {GO:0043086}; negative regulation of cell growth {GO:0030308}; negative regulation of DNA-templated transcription {GO:0045892}; negative regulation of intrinsic apoptotic signaling pathway in response to DNA damage {GO:1902230}; negative regulation of proteasomal ubiquitin-dependent protein catabolic process {GO:0032435}; positive regulation of apoptotic process {GO:0043065}; positive regulation of canonical Wnt signaling pathway {GO:0090263}; positive regulation of DNA damage checkpoint {GO:2000003}; regulation of circadian rhythm {GO:0042752}; regulation of DNA-templated transcription {GO:0006355}; regulation of DNA-templated transcription elongation {GO:0032784}; regulation of protein deacetylation {GO:0090311}; regulation of protein stability {GO:0031647}; response to UV {GO:0009411}; rhythmic process {GO:0048511}; RNA splicing {GO:0008380}; Wnt signaling pathway {GO:0016055}</t>
  </si>
  <si>
    <t>chromatin {GO:0000785}; cytoplasm {GO:0005737}; DBIRD complex {GO:0044609}; mitochondrial matrix {GO:0005759}; nucleoplasm {GO:0005654}; nucleus {GO:0005634}; spindle {GO:0005819}</t>
  </si>
  <si>
    <t>enzyme binding {GO:0019899}; enzyme inhibitor activity {GO:0004857}; nuclear receptor coactivator activity {GO:0030374}; RNA polymerase II complex binding {GO:0000993}</t>
  </si>
  <si>
    <t>sp|O35841|API5_MOUSE</t>
  </si>
  <si>
    <t>Apoptosis inhibitor 5 (API-5)</t>
  </si>
  <si>
    <t>AAC-11</t>
  </si>
  <si>
    <t>API5_MOUSE</t>
  </si>
  <si>
    <t>O35841</t>
  </si>
  <si>
    <t>Q3U517; Q922L2</t>
  </si>
  <si>
    <t>MGI:1888993</t>
  </si>
  <si>
    <t>Acetylation; Apoptosis; Cytoplasm; Nucleus; Phosphoprotein; Repeat</t>
  </si>
  <si>
    <t>fibroblast apoptotic process {GO:0044346}; negative regulation of apoptotic process {GO:0043066}; negative regulation of fibroblast apoptotic process {GO:2000270}</t>
  </si>
  <si>
    <t>cytoplasm {GO:0005737}; nuclear speck {GO:0016607}; nucleus {GO:0005634}; spliceosomal complex {GO:0005681}</t>
  </si>
  <si>
    <t>fibroblast growth factor binding {GO:0017134}; RNA binding {GO:0003723}</t>
  </si>
  <si>
    <t>sp|Q99LD4|CSN1_MOUSE</t>
  </si>
  <si>
    <t>COP9 signalosome complex subunit 1 (SGN1; Signalosome subunit 1)</t>
  </si>
  <si>
    <t>G protein pathway suppressor 1 (GPS-1); JAB1-containing signalosome subunit 1</t>
  </si>
  <si>
    <t>CSN1_MOUSE</t>
  </si>
  <si>
    <t>Q99LD4</t>
  </si>
  <si>
    <t>B0QZT1; Q8C2J7</t>
  </si>
  <si>
    <t>Cops1; Csn1</t>
  </si>
  <si>
    <t>MGI:2384801</t>
  </si>
  <si>
    <t>COP9 signalosome {GO:0008180}; cytoplasm {GO:0005737}; cytosol {GO:0005829}; nucleoplasm {GO:0005654}; nucleus {GO:0005634}</t>
  </si>
  <si>
    <t>sp|Q8BH95|ECHM_MOUSE</t>
  </si>
  <si>
    <t>Enoyl-CoA hydratase, mitochondrial (mECH; mECH1)</t>
  </si>
  <si>
    <t>Enoyl-CoA hydratase 1 (ECHS1); Short-chain enoyl-CoA hydratase (SCEH)</t>
  </si>
  <si>
    <t>ECHM_MOUSE</t>
  </si>
  <si>
    <t>Q8BH95</t>
  </si>
  <si>
    <t>Q3TJK2; Q6GQS2; Q6PEN1; Q99LX7</t>
  </si>
  <si>
    <t>MGI:2136460</t>
  </si>
  <si>
    <t>Acetylation; Fatty acid metabolism; Isomerase; Lipid metabolism; Lyase; Mitochondrion; Phosphoprotein; Transit peptide</t>
  </si>
  <si>
    <t>3-hydroxypropionyl-CoA dehydratase activity {GO:0043956}; crotonyl-CoA hydratase activity {GO:0120092}; delta(3)-delta(2)-enoyl-CoA isomerase activity {GO:0004165}; enoyl-CoA hydratase activity {GO:0004300}</t>
  </si>
  <si>
    <t>Branched-chain amino acid catabolism {R-MMU-70895}; Beta oxidation of lauroyl-CoA to decanoyl-CoA-CoA {R-MMU-77310}; Beta oxidation of decanoyl-CoA to octanoyl-CoA-CoA {R-MMU-77346}; Beta oxidation of octanoyl-CoA to hexanoyl-CoA {R-MMU-77348}; Beta oxidation of hexanoyl-CoA to butanoyl-CoA {R-MMU-77350}; Beta oxidation of butanoyl-CoA to acetyl-CoA {R-MMU-77352}</t>
  </si>
  <si>
    <t>sp|Q61739|ITA6_MOUSE</t>
  </si>
  <si>
    <t>Processed integrin alpha-6</t>
  </si>
  <si>
    <t>CD49 antigen-like family member F; VLA-6; CD_antigen=CD49f (Alpha6p)</t>
  </si>
  <si>
    <t>ITA6_MOUSE</t>
  </si>
  <si>
    <t>Q61739</t>
  </si>
  <si>
    <t>A2AU04</t>
  </si>
  <si>
    <t>MGI:96605</t>
  </si>
  <si>
    <t>Alternative splicing; Calcium; Cell adhesion; Cell membrane; Cleavage on pair of basic residues; Disulfide bond; Glycoprotein; Integrin; Lipoprotein; Membrane; Metal-binding; Palmitate; Phosphoprotein; Receptor; Repeat; Signal; Transmembrane; Transmembrane helix</t>
  </si>
  <si>
    <t>Cleavage on pair of basic residues; Disulfide bond; Glycoprotein; Lipoprotein; Palmitate; Phosphoprotein</t>
  </si>
  <si>
    <t>brown fat cell differentiation {GO:0050873}; cell adhesion mediated by integrin {GO:0033627}; cell-cell adhesion {GO:0098609}; cell-matrix adhesion {GO:0007160}; cell-substrate adhesion {GO:0031589}; cellular response to extracellular stimulus {GO:0031668}; filopodium assembly {GO:0046847}; integrin-mediated signaling pathway {GO:0007229}; leukocyte migration {GO:0050900}; lymphoid lineage cell migration {GO:0097534}; nail development {GO:0035878}; negative regulation of extrinsic apoptotic signaling pathway {GO:2001237}; odontogenesis of dentin-containing tooth {GO:0042475}; positive regulation of apoptotic process {GO:0043065}; positive regulation of cell migration {GO:0030335}; positive regulation of cell-cell adhesion {GO:0022409}; positive regulation of cell-substrate adhesion {GO:0010811}; positive regulation of GTPase activity {GO:0043547}; positive regulation of neuron projection development {GO:0010976}; positive regulation of phosphorylation {GO:0042327}; positive regulation of transcription by RNA polymerase II {GO:0045944}; skin morphogenesis {GO:0043589}</t>
  </si>
  <si>
    <t>adherens junction {GO:0005912}; basal part of cell {GO:0045178}; basal plasma membrane {GO:0009925}; basement membrane {GO:0005604}; basolateral plasma membrane {GO:0016323}; cell surface {GO:0009986}; external side of plasma membrane {GO:0009897}; filopodium {GO:0030175}; hemidesmosome {GO:0030056}; integrin alpha6-beta4 complex {GO:0034676}; integrin complex {GO:0008305}; plasma membrane {GO:0005886}</t>
  </si>
  <si>
    <t>insulin-like growth factor I binding {GO:0031994}; integrin binding {GO:0005178}; laminin binding {GO:0043236}; metal ion binding {GO:0046872}; neuregulin binding {GO:0038132}; protein-containing complex binding {GO:0044877}</t>
  </si>
  <si>
    <t>Laminin interactions {R-MMU-3000157}; Syndecan interactions {R-MMU-3000170}; Type I hemidesmosome assembly {R-MMU-446107}</t>
  </si>
  <si>
    <t>sp|Q61191|HCFC1_MOUSE</t>
  </si>
  <si>
    <t>HCF C-terminal chain 6</t>
  </si>
  <si>
    <t>C1 factor</t>
  </si>
  <si>
    <t>HCFC1_MOUSE</t>
  </si>
  <si>
    <t>Q61191</t>
  </si>
  <si>
    <t>B1AUX1; Q684R1; Q7TSB0; Q8C2D0; Q9QWH2</t>
  </si>
  <si>
    <t>MGI:105942</t>
  </si>
  <si>
    <t>3D-structure; Acetylation; Autocatalytic cleavage; Cell cycle; Chromatin regulator; Cytoplasm; Glycoprotein; Isopeptide bond; Kelch repeat; Methylation; Nucleus; Phosphoprotein; Repeat; Ubl conjugation</t>
  </si>
  <si>
    <t>Kelch repeat; Repeat</t>
  </si>
  <si>
    <t>Acetylation; Autocatalytic cleavage; Glycoprotein; Isopeptide bond; Methylation; Phosphoprotein; Ubl conjugation</t>
  </si>
  <si>
    <t>blastocyst hatching {GO:0001835}; cell cycle {GO:0007049}; chromatin remodeling {GO:0006338}; histone H4-K16 acetylation {GO:0043984}; histone H4-K5 acetylation {GO:0043981}; histone H4-K8 acetylation {GO:0043982}; negative regulation of transcription by RNA polymerase II {GO:0000122}; positive regulation of DNA-templated transcription {GO:0045893}; positive regulation of gene expression {GO:0010628}; positive regulation of histone H3-K4 methylation {GO:0051571}; positive regulation of insulin secretion involved in cellular response to glucose stimulus {GO:0035774}; positive regulation of transcription by RNA polymerase II {GO:0045944}; protein stabilization {GO:0050821}; regulation of DNA-templated transcription {GO:0006355}; regulation of dosage compensation by inactivation of X chromosome {GO:1900095}; regulation of protein-containing complex assembly {GO:0043254}; release from viral latency {GO:0019046}</t>
  </si>
  <si>
    <t>axon {GO:0030424}; collagen-containing extracellular matrix {GO:0062023}; cytoplasm {GO:0005737}; dendrite {GO:0030425}; histone acetyltransferase complex {GO:0000123}; histone methyltransferase complex {GO:0035097}; MLL1 complex {GO:0071339}; MLL1/2 complex {GO:0044665}; neuronal cell body {GO:0043025}; NSL complex {GO:0044545}; nuclear chromosome {GO:0000228}; nucleoplasm {GO:0005654}; nucleus {GO:0005634}; protein-containing complex {GO:0032991}; Set1C/COMPASS complex {GO:0048188}</t>
  </si>
  <si>
    <t>chromatin binding {GO:0003682}; chromatin DNA binding {GO:0031490}; DNA-binding transcription factor binding {GO:0140297}; identical protein binding {GO:0042802}; protein-macromolecule adaptor activity {GO:0030674}; RNA polymerase II cis-regulatory region sequence-specific DNA binding {GO:0000978}; transcription coactivator activity {GO:0003713}</t>
  </si>
  <si>
    <t>HATs acetylate histones {R-MMU-3214847}; UCH proteinases {R-MMU-5689603}</t>
  </si>
  <si>
    <t>sp|Q61035|HARS1_MOUSE</t>
  </si>
  <si>
    <t>Histidine--tRNA ligase, cytoplasmic</t>
  </si>
  <si>
    <t>Histidyl-tRNA synthetase (HisRS)</t>
  </si>
  <si>
    <t>HARS1_MOUSE</t>
  </si>
  <si>
    <t>Q61035</t>
  </si>
  <si>
    <t>Q3TKU3</t>
  </si>
  <si>
    <t>Hars</t>
  </si>
  <si>
    <t>MGI:108087</t>
  </si>
  <si>
    <t>histidyl-tRNA aminoacylation {GO:0006427}; mitochondrial translation {GO:0032543}</t>
  </si>
  <si>
    <t>ATP binding {GO:0005524}; histidine-tRNA ligase activity {GO:0004821}; identical protein binding {GO:0042802}; protein homodimerization activity {GO:0042803}</t>
  </si>
  <si>
    <t>sp|Q60749|KHDR1_MOUSE</t>
  </si>
  <si>
    <t>KH domain-containing, RNA-binding, signal transduction-associated protein 1</t>
  </si>
  <si>
    <t>GAP-associated tyrosine phosphoprotein p62; Src-associated in mitosis 68 kDa protein (Sam68); p21 Ras GTPase-activating protein-associated p62; p68</t>
  </si>
  <si>
    <t>KHDR1_MOUSE</t>
  </si>
  <si>
    <t>Q60749</t>
  </si>
  <si>
    <t>A2ACH3; B2KG38; Q3U8T3; Q60735; Q7M4N5; Q99M33</t>
  </si>
  <si>
    <t>MGI:893579</t>
  </si>
  <si>
    <t>Acetylation; Cell cycle; Cytoplasm; Isopeptide bond; Membrane; Methylation; mRNA processing; Nucleus; Phosphoprotein; RNA-binding; SH3-binding; Transcription; Transcription regulation; Ubl conjugation</t>
  </si>
  <si>
    <t>Cell cycle; Transcription; Transcription regulation; mRNA processing</t>
  </si>
  <si>
    <t>cell cycle {GO:0007049}; cell surface receptor signaling pathway {GO:0007166}; mRNA processing {GO:0006397}; negative regulation of transcription by RNA polymerase II {GO:0000122}; positive regulation of RNA export from nucleus {GO:0046833}; positive regulation of translational initiation {GO:0045948}; regulation of alternative mRNA splicing, via spliceosome {GO:0000381}; regulation of mRNA splicing, via spliceosome {GO:0048024}; regulation of RNA export from nucleus {GO:0046831}; spermatogenesis {GO:0007283}; T cell receptor signaling pathway {GO:0050852}</t>
  </si>
  <si>
    <t>cytoplasm {GO:0005737}; Grb2-Sos complex {GO:0070618}; membrane {GO:0016020}; nucleoplasm {GO:0005654}; nucleus {GO:0005634}; protein-containing complex {GO:0032991}</t>
  </si>
  <si>
    <t>identical protein binding {GO:0042802}; mRNA binding {GO:0003729}; poly(A) binding {GO:0008143}; poly(U) RNA binding {GO:0008266}; protein domain specific binding {GO:0019904}; protein tyrosine kinase binding {GO:1990782}; protein-containing complex binding {GO:0044877}; RNA binding {GO:0003723}; SH2 domain binding {GO:0042169}; SH3 domain binding {GO:0017124}; signaling adaptor activity {GO:0035591}</t>
  </si>
  <si>
    <t>sp|P23492|PNPH_MOUSE</t>
  </si>
  <si>
    <t>Purine nucleoside phosphorylase (PNP)</t>
  </si>
  <si>
    <t>Inosine phosphorylase; Inosine-guanosine phosphorylase</t>
  </si>
  <si>
    <t>PNPH_MOUSE</t>
  </si>
  <si>
    <t>P23492</t>
  </si>
  <si>
    <t>Q4FJT6</t>
  </si>
  <si>
    <t>Np; Pnp1</t>
  </si>
  <si>
    <t>MGI:97365</t>
  </si>
  <si>
    <t>Acetylation; Cytoplasm; Glycosyltransferase; Purine salvage; Transferase</t>
  </si>
  <si>
    <t>adenosine catabolic process {GO:0006154}; allantoin metabolic process {GO:0000255}; alpha-beta T cell differentiation {GO:0046632}; AMP catabolic process {GO:0006196}; AMP salvage {GO:0044209}; apoptotic mitochondrial changes {GO:0008637}; B cell differentiation {GO:0030183}; dAMP catabolic process {GO:0046059}; deoxyadenosine catabolic process {GO:0006157}; deoxyguanosine catabolic process {GO:0006161}; deoxyinosine catabolic process {GO:0006149}; dGMP catabolic process {GO:0046055}; dGTP metabolic process {GO:0046070}; DNA repair {GO:0006281}; GMP catabolic process {GO:0046038}; GMP catabolic process to guanine {GO:0006202}; GMP salvage {GO:0032263}; GTP biosynthetic process {GO:0006183}; guanosine catabolic process {GO:0046115}; immune response {GO:0006955}; IMP catabolic process {GO:0006204}; IMP salvage {GO:0032264}; inosine catabolic process {GO:0006148}; intrinsic apoptotic signaling pathway in response to DNA damage {GO:0008630}; negative regulation of T cell apoptotic process {GO:0070233}; nicotinamide riboside catabolic process {GO:0006738}; nucleobase-containing compound metabolic process {GO:0006139}; nucleotide biosynthetic process {GO:0009165}; positive regulation of alpha-beta T cell differentiation {GO:0046638}; positive regulation of B cell differentiation {GO:0045579}; positive regulation of DNA repair {GO:0045739}; positive regulation of interleukin-2 production {GO:0032743}; positive regulation of T cell mediated cytotoxicity {GO:0001916}; positive regulation of T cell proliferation {GO:0042102}; purine nucleoside metabolic process {GO:0042278}; purine ribonucleoside salvage {GO:0006166}; purine-containing compound salvage {GO:0043101}; response to gamma radiation {GO:0010332}; response to xenobiotic stimulus {GO:0009410}; T cell apoptotic process {GO:0070231}; T cell proliferation {GO:0042098}; urate biosynthetic process {GO:0034418}</t>
  </si>
  <si>
    <t>cytoplasm {GO:0005737}; cytosol {GO:0005829}; extracellular region {GO:0005576}; nucleus {GO:0005634}</t>
  </si>
  <si>
    <t>guanosine phosphorylase activity {GO:0047975}; identical protein binding {GO:0042802}; nucleoside binding {GO:0001882}; phosphate ion binding {GO:0042301}; purine nucleobase binding {GO:0002060}; purine-nucleoside phosphorylase activity {GO:0004731}</t>
  </si>
  <si>
    <t>Purine metabolism; purine nucleoside salvage.</t>
  </si>
  <si>
    <t>Neutrophil degranulation {R-MMU-6798695}; Purine salvage {R-MMU-74217}; Purine catabolism {R-MMU-74259}</t>
  </si>
  <si>
    <t>sp|Q80TM9|NISCH_MOUSE</t>
  </si>
  <si>
    <t>Nischarin</t>
  </si>
  <si>
    <t>Imidazoline receptor 1 (I-1; IR1); Imidazoline receptor I-1-like protein; Imidazoline-1 receptor (I1R)</t>
  </si>
  <si>
    <t>NISCH_MOUSE</t>
  </si>
  <si>
    <t>Q80TM9</t>
  </si>
  <si>
    <t>Q2YDV7; Q8C354; Q8C4X9; Q8CBH0; Q91XW6; Q99LG6; Q9EPW8; Q9WUM6</t>
  </si>
  <si>
    <t>Kiaa0975</t>
  </si>
  <si>
    <t>MGI:1928323</t>
  </si>
  <si>
    <t>Alternative splicing; Apoptosis; Cell membrane; Coiled coil; Cytoplasm; Endosome; Leucine-rich repeat; Membrane; Phosphoprotein; Receptor; Repeat</t>
  </si>
  <si>
    <t>Cell membrane; Cytoplasm; Endosome; Membrane</t>
  </si>
  <si>
    <t>actin cytoskeleton organization {GO:0030036}; apoptotic process {GO:0006915}; glucose metabolic process {GO:0006006}; negative regulation of cell migration {GO:0030336}; norepinephrine secretion {GO:0048243}; Rac protein signal transduction {GO:0016601}; regulation of blood pressure {GO:0008217}; regulation of synaptic transmission, GABAergic {GO:0032228}</t>
  </si>
  <si>
    <t>cytoplasm {GO:0005737}; cytosol {GO:0005829}; early endosome {GO:0005769}; intercellular bridge {GO:0045171}; intracellular membrane-bounded organelle {GO:0043231}; microtubule cytoskeleton {GO:0015630}; nucleoplasm {GO:0005654}; plasma membrane {GO:0005886}; recycling endosome {GO:0055037}</t>
  </si>
  <si>
    <t>identical protein binding {GO:0042802}; integrin binding {GO:0005178}; phosphatidylinositol binding {GO:0035091}; protein kinase binding {GO:0019901}</t>
  </si>
  <si>
    <t>RAC1 GTPase cycle {R-MMU-9013149}; RND3 GTPase cycle {R-MMU-9696264}; RND2 GTPase cycle {R-MMU-9696270}</t>
  </si>
  <si>
    <t>sp|Q8K2T1|NMRL1_MOUSE</t>
  </si>
  <si>
    <t>NmrA-like family domain-containing protein 1</t>
  </si>
  <si>
    <t>NMRL1_MOUSE</t>
  </si>
  <si>
    <t>Q8K2T1</t>
  </si>
  <si>
    <t>Q8BVF0; Q9CZP2</t>
  </si>
  <si>
    <t>MGI:1915074</t>
  </si>
  <si>
    <t>Alternative splicing; Cytoplasm; NADP; Nucleus</t>
  </si>
  <si>
    <t>nucleoplasm {GO:0005654}; perinuclear region of cytoplasm {GO:0048471}</t>
  </si>
  <si>
    <t>sp|Q91Z53|GRHPR_MOUSE</t>
  </si>
  <si>
    <t>Glyoxylate reductase/hydroxypyruvate reductase</t>
  </si>
  <si>
    <t>GRHPR_MOUSE</t>
  </si>
  <si>
    <t>Q91Z53</t>
  </si>
  <si>
    <t>Glxr</t>
  </si>
  <si>
    <t>MGI:1923488</t>
  </si>
  <si>
    <t>NADP; Oxidoreductase; Phosphoprotein</t>
  </si>
  <si>
    <t>dicarboxylic acid metabolic process {GO:0043648}; glyoxylate metabolic process {GO:0046487}</t>
  </si>
  <si>
    <t>catalytic complex {GO:1902494}; cytoplasm {GO:0005737}; cytosol {GO:0005829}</t>
  </si>
  <si>
    <t>carboxylic acid binding {GO:0031406}; glycerate dehydrogenase activity {GO:0008465}; glyoxylate reductase (NADP+) activity {GO:0030267}; hydroxypyruvate reductase activity {GO:0016618}; NAD binding {GO:0051287}; NADP binding {GO:0050661}; NADPH binding {GO:0070402}; protein homodimerization activity {GO:0042803}</t>
  </si>
  <si>
    <t>Glyoxylate metabolism and glycine degradation {R-MMU-389661}</t>
  </si>
  <si>
    <t>sp|Q9Z1R2|BAG6_MOUSE</t>
  </si>
  <si>
    <t>Large proline-rich protein BAG6</t>
  </si>
  <si>
    <t>BAG family molecular chaperone regulator 6; BCL2-associated athanogene 6 (BAG-6); HLA-B-associated transcript 3; Protein Scythe</t>
  </si>
  <si>
    <t>BAG6_MOUSE</t>
  </si>
  <si>
    <t>Q9Z1R2</t>
  </si>
  <si>
    <t>Q8SNA3</t>
  </si>
  <si>
    <t>MGI:1919439</t>
  </si>
  <si>
    <t>Acetylation; Apoptosis; Chaperone; Chromatin regulator; Cytoplasm; Differentiation; Immunity; Nucleus; Phosphoprotein; Repeat; Secreted; Spermatogenesis; Transport</t>
  </si>
  <si>
    <t>Apoptosis; Differentiation; Immunity; Spermatogenesis; Transport</t>
  </si>
  <si>
    <t>Chaperone; Chromatin regulator</t>
  </si>
  <si>
    <t>antigen processing and presentation of peptide antigen via MHC class I {GO:0002474}; apoptotic process {GO:0006915}; brain development {GO:0007420}; cell differentiation {GO:0030154}; chromatin organization {GO:0006325}; endoplasmic reticulum stress-induced pre-emptive quality control {GO:0061857}; ER-associated misfolded protein catabolic process {GO:0071712}; immune response-activating cell surface receptor signaling pathway {GO:0002429}; internal peptidyl-lysine acetylation {GO:0018393}; intrinsic apoptotic signaling pathway in response to DNA damage by p53 class mediator {GO:0042771}; intrinsic apoptotic signaling pathway in response to endoplasmic reticulum stress {GO:0070059}; kidney development {GO:0001822}; lung development {GO:0030324}; maintenance of unfolded protein involved in ERAD pathway {GO:1904378}; natural killer cell activation {GO:0030101}; negative regulation of apoptotic process {GO:0043066}; negative regulation of proteasomal ubiquitin-dependent protein catabolic process {GO:0032435}; negative regulation of proteolysis {GO:0045861}; positive regulation of ERAD pathway {GO:1904294}; post-translational protein targeting to endoplasmic reticulum membrane {GO:0006620}; proteasomal protein catabolic process {GO:0010498}; proteasome-mediated ubiquitin-dependent protein catabolic process {GO:0043161}; protein stabilization {GO:0050821}; regulation of apoptotic process {GO:0042981}; regulation of embryonic development {GO:0045995}; regulation of protein stability {GO:0031647}; spermatogenesis {GO:0007283}; synaptonemal complex assembly {GO:0007130}; tail-anchored membrane protein insertion into ER membrane {GO:0071816}; ubiquitin-dependent ERAD pathway {GO:0030433}; ubiquitin-dependent protein catabolic process {GO:0006511}</t>
  </si>
  <si>
    <t>BAT3 complex {GO:0071818}; cytoplasm {GO:0005737}; cytosol {GO:0005829}; extracellular exosome {GO:0070062}; intracellular membrane-bounded organelle {GO:0043231}; membrane {GO:0016020}; nucleoplasm {GO:0005654}; nucleus {GO:0005634}</t>
  </si>
  <si>
    <t>Hsp70 protein binding {GO:0030544}; identical protein binding {GO:0042802}; misfolded protein binding {GO:0051787}; polyubiquitin modification-dependent protein binding {GO:0031593}; proteasome binding {GO:0070628}; ribosome binding {GO:0043022}; signaling receptor binding {GO:0005102}; ubiquitin protein ligase binding {GO:0031625}; ubiquitin-specific protease binding {GO:1990381}</t>
  </si>
  <si>
    <t>sp|Q9CQC9|SAR1B_MOUSE</t>
  </si>
  <si>
    <t>GTP-binding protein SAR1b</t>
  </si>
  <si>
    <t>SAR1B_MOUSE</t>
  </si>
  <si>
    <t>Q9CQC9</t>
  </si>
  <si>
    <t>Q3UBL6</t>
  </si>
  <si>
    <t>MGI:1913647</t>
  </si>
  <si>
    <t>Endoplasmic reticulum; ER-Golgi transport; Golgi apparatus; GTP-binding; Magnesium; Membrane; Metal-binding; Nucleotide-binding; Phosphoprotein; Protein transport; Transport</t>
  </si>
  <si>
    <t>endoplasmic reticulum to Golgi vesicle-mediated transport {GO:0006888}; intracellular protein transport {GO:0006886}; lipid homeostasis {GO:0055088}; lipoprotein transport {GO:0042953}; membrane organization {GO:0061024}; positive regulation of protein exit from endoplasmic reticulum {GO:0070863}; regulation of COPII vesicle coating {GO:0003400}; regulation of lipid transport {GO:0032368}; vesicle organization {GO:0016050}</t>
  </si>
  <si>
    <t>COPII vesicle coat {GO:0030127}; endoplasmic reticulum exit site {GO:0070971}; endoplasmic reticulum membrane {GO:0005789}; Golgi cisterna membrane {GO:0032580}</t>
  </si>
  <si>
    <t>GTP binding {GO:0005525}; GTPase activity {GO:0003924}; metal ion binding {GO:0046872}</t>
  </si>
  <si>
    <t>COPII-mediated vesicle transport {R-MMU-204005}; MHC class II antigen presentation {R-MMU-2132295}; Cargo concentration in the ER {R-MMU-5694530}; Chylomicron assembly {R-MMU-8963888}; Antigen Presentation: Folding, assembly and peptide loading of class I MHC {R-MMU-983170}</t>
  </si>
  <si>
    <t>sp|Q8CH18|CCAR1_MOUSE</t>
  </si>
  <si>
    <t>Cell division cycle and apoptosis regulator protein 1</t>
  </si>
  <si>
    <t>Cell cycle and apoptosis regulatory protein 1 (CARP-1)</t>
  </si>
  <si>
    <t>CCAR1_MOUSE</t>
  </si>
  <si>
    <t>Q8CH18</t>
  </si>
  <si>
    <t>Q05BR1; Q05DK6; Q6AXC9; Q6PAR2; Q80XE4; Q8BJY0; Q8BVN2; Q8CGG1; Q9CSR5</t>
  </si>
  <si>
    <t>Carp1</t>
  </si>
  <si>
    <t>MGI:1914750</t>
  </si>
  <si>
    <t>Activator; Alternative splicing; Apoptosis; Cell cycle; Coiled coil; Cytoplasm; Isopeptide bond; Phosphoprotein; Repressor; Transcription; Transcription regulation; Ubl conjugation</t>
  </si>
  <si>
    <t>Apoptosis; Cell cycle; Transcription; Transcription regulation</t>
  </si>
  <si>
    <t>apoptotic process {GO:0006915}; cell cycle {GO:0007049}; positive regulation of apoptotic process {GO:0043065}; positive regulation of cell migration {GO:0030335}; positive regulation of cell population proliferation {GO:0008284}; regulation of DNA-templated transcription {GO:0006355}</t>
  </si>
  <si>
    <t>nuclear envelope lumen {GO:0005641}; nucleus {GO:0005634}; perinuclear region of cytoplasm {GO:0048471}</t>
  </si>
  <si>
    <t>nuclear receptor coactivator activity {GO:0030374}; RNA polymerase II cis-regulatory region sequence-specific DNA binding {GO:0000978}; transcription coactivator activity {GO:0003713}; transcription corepressor activity {GO:0003714}</t>
  </si>
  <si>
    <t>sp|P54726|RD23A_MOUSE</t>
  </si>
  <si>
    <t>UV excision repair protein RAD23 homolog A (HR23A; mHR23A)</t>
  </si>
  <si>
    <t>RD23A_MOUSE</t>
  </si>
  <si>
    <t>P54726</t>
  </si>
  <si>
    <t>B7ZNQ1</t>
  </si>
  <si>
    <t>Mhr23a</t>
  </si>
  <si>
    <t>MGI:105126</t>
  </si>
  <si>
    <t>DNA damage; DNA repair; Isopeptide bond; Nucleus; Phosphoprotein; Proteasome; Repeat; Ubl conjugation</t>
  </si>
  <si>
    <t>DNA damage; DNA repair</t>
  </si>
  <si>
    <t>Nucleus; Proteasome</t>
  </si>
  <si>
    <t>cellular response to DNA damage stimulus {GO:0006974}; nucleotide-excision repair {GO:0006289}; positive regulation of cell cycle {GO:0045787}; positive regulation of proteasomal ubiquitin-dependent protein catabolic process {GO:0032436}; positive regulation of viral genome replication {GO:0045070}; proteasome-mediated ubiquitin-dependent protein catabolic process {GO:0043161}; protein destabilization {GO:0031648}; regulation of proteasomal ubiquitin-dependent protein catabolic process {GO:0032434}</t>
  </si>
  <si>
    <t>cytoplasm {GO:0005737}; cytosol {GO:0005829}; Golgi apparatus {GO:0005794}; intracellular membrane-bounded organelle {GO:0043231}; nucleoplasm {GO:0005654}; nucleus {GO:0005634}; proteasome complex {GO:0000502}; protein-containing complex {GO:0032991}</t>
  </si>
  <si>
    <t>damaged DNA binding {GO:0003684}; kinase binding {GO:0019900}; polyubiquitin modification-dependent protein binding {GO:0031593}; proteasome binding {GO:0070628}; ubiquitin binding {GO:0043130}; ubiquitin-specific protease binding {GO:1990381}</t>
  </si>
  <si>
    <t>Josephin domain DUBs {R-MMU-5689877}; DNA Damage Recognition in GG-NER {R-MMU-5696394}; Formation of Incision Complex in GG-NER {R-MMU-5696395}</t>
  </si>
  <si>
    <t>sp|Q9Z1W9|STK39_MOUSE</t>
  </si>
  <si>
    <t>STE20/SPS1-related proline-alanine-rich protein kinase (Ste-20-related kinase)</t>
  </si>
  <si>
    <t>Serine/threonine-protein kinase 39</t>
  </si>
  <si>
    <t>STK39_MOUSE</t>
  </si>
  <si>
    <t>Q9Z1W9</t>
  </si>
  <si>
    <t>Q80W13</t>
  </si>
  <si>
    <t>Spak</t>
  </si>
  <si>
    <t>MGI:1858416</t>
  </si>
  <si>
    <t>3D-structure; Acetylation; ATP-binding; Cytoplasm; Kinase; Nucleotide-binding; Nucleus; Phosphoprotein; Serine/threonine-protein kinase; Transferase</t>
  </si>
  <si>
    <t>cellular chloride ion homeostasis {GO:0030644}; cellular hypotonic response {GO:0071476}; cellular response to chemokine {GO:1990869}; cellular response to potassium ion {GO:0035865}; chemokine (C-X-C motif) ligand 12 signaling pathway {GO:0038146}; inflammatory response {GO:0006954}; intracellular signal transduction {GO:0035556}; ion homeostasis {GO:0050801}; macrophage activation {GO:0042116}; maintenance of lens transparency {GO:0036438}; negative regulation of creatine transmembrane transporter activity {GO:1905408}; negative regulation of pancreatic juice secretion {GO:0090188}; negative regulation of potassium ion transmembrane transport {GO:1901380}; negative regulation of potassium ion transmembrane transporter activity {GO:1901017}; negative regulation of sodium ion transmembrane transporter activity {GO:2000650}; peptidyl-serine phosphorylation {GO:0018105}; peptidyl-threonine phosphorylation {GO:0018107}; positive regulation of ion transmembrane transporter activity {GO:0032414}; positive regulation of p38MAPK cascade {GO:1900745}; positive regulation of potassium ion transport {GO:0043268}; positive regulation of T cell chemotaxis {GO:0010820}; protein autophosphorylation {GO:0046777}; protein phosphorylation {GO:0006468}; regulation of blood pressure {GO:0008217}; regulation of inflammatory response {GO:0050727}; response to aldosterone {GO:1904044}; response to dietary excess {GO:0002021}; signal transduction {GO:0007165}; sodium ion transmembrane transport {GO:0035725}</t>
  </si>
  <si>
    <t>apical plasma membrane {GO:0016324}; basolateral plasma membrane {GO:0016323}; cell body {GO:0044297}; cytoplasm {GO:0005737}; cytoskeleton {GO:0005856}; cytosol {GO:0005829}; extrinsic component of membrane {GO:0019898}; intracellular membrane-bounded organelle {GO:0043231}; membrane {GO:0016020}; nucleoplasm {GO:0005654}</t>
  </si>
  <si>
    <t>ATP binding {GO:0005524}; kinase activity {GO:0016301}; protein kinase binding {GO:0019901}; protein serine kinase activity {GO:0106310}; protein serine/threonine kinase activity {GO:0004674}</t>
  </si>
  <si>
    <t>sp|Q9QUR7|PIN1_MOUSE</t>
  </si>
  <si>
    <t>Peptidyl-prolyl cis-trans isomerase NIMA-interacting 1</t>
  </si>
  <si>
    <t>Peptidyl-prolyl cis-trans isomerase Pin1 (PPIase Pin1)</t>
  </si>
  <si>
    <t>PIN1_MOUSE</t>
  </si>
  <si>
    <t>Q9QUR7</t>
  </si>
  <si>
    <t>Q543B3</t>
  </si>
  <si>
    <t>MGI:1346036</t>
  </si>
  <si>
    <t>Acetylation; Cell cycle; Cytoplasm; Isomerase; Nucleus; Phosphoprotein; Rotamase</t>
  </si>
  <si>
    <t>cell cycle {GO:0007049}; negative regulation of amyloid-beta formation {GO:1902430}; negative regulation of cell motility {GO:2000146}; negative regulation of ERK1 and ERK2 cascade {GO:0070373}; negative regulation of neuron apoptotic process {GO:0043524}; negative regulation of protein binding {GO:0032091}; negative regulation of protein catabolic process {GO:0042177}; negative regulation of transforming growth factor beta receptor signaling pathway {GO:0030512}; neuron differentiation {GO:0030182}; positive regulation of canonical Wnt signaling pathway {GO:0090263}; positive regulation of cell growth involved in cardiac muscle cell development {GO:0061051}; positive regulation of GTPase activity {GO:0043547}; positive regulation of neuron apoptotic process {GO:0043525}; positive regulation of protein binding {GO:0032092}; positive regulation of protein dephosphorylation {GO:0035307}; positive regulation of protein phosphorylation {GO:0001934}; positive regulation of transcription by RNA polymerase II {GO:0045944}; positive regulation of ubiquitin-protein transferase activity {GO:0051443}; protein peptidyl-prolyl isomerization {GO:0000413}; protein stabilization {GO:0050821}; regulation of cell population proliferation {GO:0042127}; regulation of cytokinesis {GO:0032465}; regulation of gene expression {GO:0010468}; regulation of pathway-restricted SMAD protein phosphorylation {GO:0060393}; regulation of protein localization to nucleus {GO:1900180}; regulation of protein phosphorylation {GO:0001932}; regulation of protein stability {GO:0031647}; response to hypoxia {GO:0001666}; synapse organization {GO:0050808}</t>
  </si>
  <si>
    <t>ciliary basal body {GO:0036064}; cytoplasm {GO:0005737}; cytosol {GO:0005829}; glutamatergic synapse {GO:0098978}; midbody {GO:0030496}; mitochondrion {GO:0005739}; neuron projection {GO:0043005}; nuclear speck {GO:0016607}; nucleoplasm {GO:0005654}; nucleus {GO:0005634}; postsynaptic cytosol {GO:0099524}</t>
  </si>
  <si>
    <t>beta-catenin binding {GO:0008013}; cis-trans isomerase activity {GO:0016859}; cytoskeletal motor activity {GO:0003774}; GTPase activating protein binding {GO:0032794}; mitogen-activated protein kinase kinase binding {GO:0031434}; peptidyl-prolyl cis-trans isomerase activity {GO:0003755}; phosphoprotein binding {GO:0051219}; phosphoserine residue binding {GO:0050815}; phosphothreonine residue binding {GO:0050816}</t>
  </si>
  <si>
    <t>RHO GTPases Activate NADPH Oxidases {R-MMU-5668599}; Regulation of TP53 Activity through Phosphorylation {R-MMU-6804756}; PI5P Regulates TP53 Acetylation {R-MMU-6811555}; Negative regulators of DDX58/IFIH1 signaling {R-MMU-936440}</t>
  </si>
  <si>
    <t>sp|Q9JM76|ARPC3_MOUSE</t>
  </si>
  <si>
    <t>Actin-related protein 2/3 complex subunit 3</t>
  </si>
  <si>
    <t>Arp2/3 complex 21 kDa subunit (p21-ARC)</t>
  </si>
  <si>
    <t>ARPC3_MOUSE</t>
  </si>
  <si>
    <t>Q9JM76</t>
  </si>
  <si>
    <t>Q3TAT0</t>
  </si>
  <si>
    <t>MGI:1928375</t>
  </si>
  <si>
    <t>3D-structure; Acetylation; Actin-binding; Cell projection; Cytoplasm; Cytoskeleton; Isopeptide bond; Nucleus; Phosphoprotein; Ubl conjugation</t>
  </si>
  <si>
    <t>Arp2/3 protein complex {GO:0005885}; cell leading edge {GO:0031252}; cytoplasm {GO:0005737}; filamentous actin {GO:0031941}; growth cone leading edge {GO:0061850}; lamellipodium {GO:0030027}; nucleus {GO:0005634}; site of double-strand break {GO:0035861}</t>
  </si>
  <si>
    <t>actin filament binding {GO:0051015}; structural constituent of cytoskeleton {GO:0005200}</t>
  </si>
  <si>
    <t>sp|Q9QX47|SON_MOUSE</t>
  </si>
  <si>
    <t>Protein SON</t>
  </si>
  <si>
    <t>Negative regulatory element-binding protein (NRE-binding protein)</t>
  </si>
  <si>
    <t>SON_MOUSE</t>
  </si>
  <si>
    <t>Q9QX47</t>
  </si>
  <si>
    <t>E3WC91; E9PXW2; E9Q3H8; E9Q3I0; E9Q6M4; E9Q7G2; E9QAR8; E9QMT0; Q811G3; Q9CQ12; Q9CQK6; Q9QXP5</t>
  </si>
  <si>
    <t>Nrebp</t>
  </si>
  <si>
    <t>MGI:98353</t>
  </si>
  <si>
    <t>Acetylation; Alternative splicing; Cell cycle; DNA-binding; Isopeptide bond; Methylation; mRNA processing; mRNA splicing; Nucleus; Phosphoprotein; Repeat; RNA-binding; Transcription; Transcription regulation; Ubl conjugation</t>
  </si>
  <si>
    <t>Cell cycle; Transcription; Transcription regulation; mRNA processing; mRNA splicing</t>
  </si>
  <si>
    <t>microtubule cytoskeleton organization {GO:0000226}; mitotic cytokinesis {GO:0000281}; mRNA processing {GO:0006397}; negative regulation of apoptotic process {GO:0043066}; regulation of cell cycle {GO:0051726}; regulation of mRNA splicing, via spliceosome {GO:0048024}; regulation of RNA splicing {GO:0043484}; RNA splicing {GO:0008380}</t>
  </si>
  <si>
    <t>DNA binding {GO:0003677}; RNA binding {GO:0003723}; RS domain binding {GO:0050733}</t>
  </si>
  <si>
    <t>sp|Q9DB34|CHM2A_MOUSE</t>
  </si>
  <si>
    <t>Charged multivesicular body protein 2a</t>
  </si>
  <si>
    <t>Chromatin-modifying protein 2a (CHMP2a); Vacuolar protein sorting-associated protein 2 (mVps2)</t>
  </si>
  <si>
    <t>CHM2A_MOUSE</t>
  </si>
  <si>
    <t>Q9DB34</t>
  </si>
  <si>
    <t>MGI:1916203</t>
  </si>
  <si>
    <t>autophagosome maturation {GO:0097352}; autophagy {GO:0006914}; endosome transport via multivesicular body sorting pathway {GO:0032509}; establishment of protein localization {GO:0045184}; exit from mitosis {GO:0010458}; late endosome to lysosome transport {GO:1902774}; late endosome to vacuole transport {GO:0045324}; membrane fission {GO:0090148}; membrane invagination {GO:0010324}; midbody abscission {GO:0061952}; mitotic metaphase plate congression {GO:0007080}; multivesicular body assembly {GO:0036258}; multivesicular body sorting pathway {GO:0071985}; multivesicular body-lysosome fusion {GO:0061763}; negative regulation of cell death {GO:0060548}; negative regulation of centriole elongation {GO:1903723}; nuclear membrane reassembly {GO:0031468}; nucleus organization {GO:0006997}; plasma membrane repair {GO:0001778}; positive regulation of exosomal secretion {GO:1903543}; protein homooligomerization {GO:0051260}; protein polymerization {GO:0051258}; protein transport {GO:0015031}; regulation of centrosome duplication {GO:0010824}; regulation of mitotic spindle assembly {GO:1901673}; ubiquitin-dependent protein catabolic process via the multivesicular body sorting pathway {GO:0043162}; vesicle fusion with vacuole {GO:0051469}; viral budding from plasma membrane {GO:0046761}; viral budding via host ESCRT complex {GO:0039702}; viral release from host cell {GO:0019076}</t>
  </si>
  <si>
    <t>amphisome membrane {GO:1904930}; autophagosome membrane {GO:0000421}; chromatin {GO:0000785}; cytosol {GO:0005829}; ESCRT III complex {GO:0000815}; kinetochore {GO:0000776}; kinetochore microtubule {GO:0005828}; lysosomal membrane {GO:0005765}; membrane coat {GO:0030117}; midbody {GO:0030496}; multivesicular body {GO:0005771}; multivesicular body membrane {GO:0032585}; nuclear envelope {GO:0005635}; nuclear pore {GO:0005643}; plasma membrane {GO:0005886}</t>
  </si>
  <si>
    <t>phosphatidylcholine binding {GO:0031210}; protein domain specific binding {GO:0019904}</t>
  </si>
  <si>
    <t>Macroautophagy {R-MMU-1632852}; Lysosome Vesicle Biogenesis {R-MMU-432720}; Pyroptosis {R-MMU-5620971}; Endosomal Sorting Complex Required For Transport (ESCRT) {R-MMU-917729}; Sealing of the nuclear envelope (NE) by ESCRT-III {R-MMU-9668328}</t>
  </si>
  <si>
    <t>sp|P05201|AATC_MOUSE</t>
  </si>
  <si>
    <t>Aspartate aminotransferase, cytoplasmic (cAspAT)</t>
  </si>
  <si>
    <t>Cysteine aminotransferase, cytoplasmic; Cysteine transaminase, cytoplasmic (cCAT); Glutamate oxaloacetate transaminase 1; Transaminase A</t>
  </si>
  <si>
    <t>AATC_MOUSE</t>
  </si>
  <si>
    <t>P05201</t>
  </si>
  <si>
    <t>Q3UJH8</t>
  </si>
  <si>
    <t>MGI:95791</t>
  </si>
  <si>
    <t>Amino-acid biosynthesis; Aminotransferase; Cytoplasm; Phosphoprotein; Pyridoxal phosphate; Transferase</t>
  </si>
  <si>
    <t>Amino-acid biosynthesis</t>
  </si>
  <si>
    <t>2-oxoglutarate metabolic process {GO:0006103}; aspartate biosynthetic process {GO:0006532}; aspartate catabolic process {GO:0006533}; aspartate metabolic process {GO:0006531}; cellular response to insulin stimulus {GO:0032869}; cellular response to mechanical stimulus {GO:0071260}; dicarboxylic acid metabolic process {GO:0043648}; fatty acid homeostasis {GO:0055089}; glutamate catabolic process to 2-oxoglutarate {GO:0019551}; glutamate catabolic process to aspartate {GO:0019550}; glutamate metabolic process {GO:0006536}; glycerol biosynthetic process {GO:0006114}; negative regulation of collagen biosynthetic process {GO:0032966}; negative regulation of cytosolic calcium ion concentration {GO:0051481}; negative regulation of mitochondrial depolarization {GO:0051902}; Notch signaling pathway {GO:0007219}; oxaloacetate metabolic process {GO:0006107}; positive regulation of transforming growth factor beta receptor signaling pathway {GO:0030511}; response to glucocorticoid {GO:0051384}; response to transition metal nanoparticle {GO:1990267}; transdifferentiation {GO:0060290}</t>
  </si>
  <si>
    <t>axon terminus {GO:0043679}; cytoplasm {GO:0005737}; cytosol {GO:0005829}; lysosome {GO:0005764}; nucleoplasm {GO:0005654}</t>
  </si>
  <si>
    <t>carboxylic acid binding {GO:0031406}; L-aspartate:2-oxoglutarate aminotransferase activity {GO:0004069}; L-cysteine transaminase activity {GO:0047801}; phosphatidylserine decarboxylase activity {GO:0004609}; pyridoxal phosphate binding {GO:0030170}</t>
  </si>
  <si>
    <t>Gluconeogenesis {R-MMU-70263}; Aspartate and asparagine metabolism {R-MMU-8963693}</t>
  </si>
  <si>
    <t>sp|Q80SZ7|GBG5_MOUSE</t>
  </si>
  <si>
    <t>Guanine nucleotide-binding protein G(I)/G(S)/G(O) subunit gamma-5</t>
  </si>
  <si>
    <t>GBG5_MOUSE</t>
  </si>
  <si>
    <t>Q80SZ7</t>
  </si>
  <si>
    <t>P30670; Q5I0W4; Q61015</t>
  </si>
  <si>
    <t>Gngt5</t>
  </si>
  <si>
    <t>MGI:109164</t>
  </si>
  <si>
    <t>Acetylation; Cell membrane; Lipoprotein; Membrane; Methylation; Phosphoprotein; Prenylation; Transducer</t>
  </si>
  <si>
    <t>G protein-coupled receptor signaling pathway {GO:0007186}; positive regulation of neural precursor cell proliferation {GO:2000179}; positive regulation of secondary heart field cardioblast proliferation {GO:0072513}</t>
  </si>
  <si>
    <t>G-protein beta/gamma-subunit complex {GO:0031680}; heterotrimeric G-protein complex {GO:0005834}; mitochondrion {GO:0005739}</t>
  </si>
  <si>
    <t>G-protein beta-subunit binding {GO:0031681}; PDZ domain binding {GO:0030165}</t>
  </si>
  <si>
    <t>Activation of G protein gated Potassium channels {R-MMU-1296041}; G-protein activation {R-MMU-202040}; Glucagon-like Peptide-1 (GLP1) regulates insulin secretion {R-MMU-381676}; ADP signalling through P2Y purinoceptor 12 {R-MMU-392170}; G beta:gamma signalling through PI3Kgamma {R-MMU-392451}; Prostacyclin signalling through prostacyclin receptor {R-MMU-392851}; Adrenaline,noradrenaline inhibits insulin secretion {R-MMU-400042}; Ca2+ pathway {R-MMU-4086398}; G alpha (q) signalling events {R-MMU-416476}; G alpha (12/13) signalling events {R-MMU-416482}; G beta:gamma signalling through PLC beta {R-MMU-418217}; G alpha (s) signalling events {R-MMU-418555}; ADP signalling through P2Y purinoceptor 1 {R-MMU-418592}; G alpha (i) signalling events {R-MMU-418594}; G alpha (z) signalling events {R-MMU-418597}; Glucagon-type ligand receptors {R-MMU-420092}; Thromboxane signalling through TP receptor {R-MMU-428930}; Vasopressin regulates renal water homeostasis via Aquaporins {R-MMU-432040}; Thrombin signalling through proteinase activated receptors (PARs) {R-MMU-456926}; Presynaptic function of Kainate receptors {R-MMU-500657}; Cooperation of PDCL (PhLP1) and TRiC/CCT in G-protein beta folding {R-MMU-6814122}; G beta:gamma signalling through BTK {R-MMU-8964315}; G beta:gamma signalling through CDC42 {R-MMU-8964616}; Extra-nuclear estrogen signaling {R-MMU-9009391}; GPER1 signaling {R-MMU-9634597}; Inhibition of voltage gated Ca2+ channels via Gbeta/gamma subunits {R-MMU-997272}</t>
  </si>
  <si>
    <t>sp|Q99JX4|EIF3M_MOUSE</t>
  </si>
  <si>
    <t>Eukaryotic translation initiation factor 3 subunit M (eIF3m)</t>
  </si>
  <si>
    <t>PCI domain-containing protein 1</t>
  </si>
  <si>
    <t>EIF3M_MOUSE</t>
  </si>
  <si>
    <t>Q99JX4</t>
  </si>
  <si>
    <t>Q3TI04; Q5EBI5</t>
  </si>
  <si>
    <t>Pcid1</t>
  </si>
  <si>
    <t>MGI:1351744</t>
  </si>
  <si>
    <t>cytoplasmic translational initiation {GO:0002183}; formation of cytoplasmic translation initiation complex {GO:0001732}; translation {GO:0006412}</t>
  </si>
  <si>
    <t>translation initiation factor activity {GO:0003743}; translation initiation factor binding {GO:0031369}</t>
  </si>
  <si>
    <t>sp|Q3THS6|METK2_MOUSE</t>
  </si>
  <si>
    <t>S-adenosylmethionine synthase isoform type-2 (AdoMet synthase 2)</t>
  </si>
  <si>
    <t>Methionine adenosyltransferase 2 (MAT 2)</t>
  </si>
  <si>
    <t>METK2_MOUSE</t>
  </si>
  <si>
    <t>Q3THS6</t>
  </si>
  <si>
    <t>Q3TL60; Q76LX3</t>
  </si>
  <si>
    <t>MGI:2443731</t>
  </si>
  <si>
    <t>Acetylation; ATP-binding; Isopeptide bond; Magnesium; Metal-binding; Nucleotide-binding; One-carbon metabolism; Phosphoprotein; Potassium; Transferase; Ubl conjugation</t>
  </si>
  <si>
    <t>ATP-binding; Magnesium; Metal-binding; Nucleotide-binding; Potassium</t>
  </si>
  <si>
    <t>cellular response to leukemia inhibitory factor {GO:1990830}; circadian rhythm {GO:0007623}; one-carbon metabolic process {GO:0006730}; protein heterooligomerization {GO:0051291}; protein hexamerization {GO:0034214}; response to cAMP {GO:0051591}; response to hormone {GO:0009725}; response to xenobiotic stimulus {GO:0009410}; S-adenosylmethionine biosynthetic process {GO:0006556}</t>
  </si>
  <si>
    <t>cytosol {GO:0005829}; methionine adenosyltransferase complex {GO:0048269}</t>
  </si>
  <si>
    <t>amino acid binding {GO:0016597}; ATP binding {GO:0005524}; identical protein binding {GO:0042802}; metal ion binding {GO:0046872}; methionine adenosyltransferase activity {GO:0004478}</t>
  </si>
  <si>
    <t>Amino-acid biosynthesis; S-adenosyl-L-methionine biosynthesis; S-adenosyl-L-methionine from L-methionine: step 1/1.</t>
  </si>
  <si>
    <t>sp|Q6ZWU9|RS27_MOUSE</t>
  </si>
  <si>
    <t>40S ribosomal protein S27</t>
  </si>
  <si>
    <t>RS27_MOUSE</t>
  </si>
  <si>
    <t>Q6ZWU9</t>
  </si>
  <si>
    <t>Q3TLE3</t>
  </si>
  <si>
    <t>MGI:1888676</t>
  </si>
  <si>
    <t>3D-structure; Metal-binding; Phosphoprotein; Ribonucleoprotein; Ribosomal protein; Zinc; Zinc-finger</t>
  </si>
  <si>
    <t>ribosomal small subunit assembly {GO:0000028}; rRNA processing {GO:0006364}; translation {GO:0006412}</t>
  </si>
  <si>
    <t>cytosol {GO:0005829}; cytosolic ribosome {GO:0022626}; cytosolic small ribosomal subunit {GO:0022627}; GABA-ergic synapse {GO:0098982}; glutamatergic synapse {GO:0098978}; nucleus {GO:0005634}; postsynaptic density {GO:0014069}; presynapse {GO:0098793}</t>
  </si>
  <si>
    <t>metal ion binding {GO:0046872}; RNA binding {GO:0003723}; structural constituent of ribosome {GO:0003735}</t>
  </si>
  <si>
    <t>Amplification of signal from unattached kinetochores via a MAD2 inhibitory signal {R-MMU-141444}; L13a-mediated translational silencing of Ceruloplasmin expression {R-MMU-156827}; SRP-dependent cotranslational protein targeting to membrane {R-MMU-1799339}; Separation of Sister Chromatids {R-MMU-2467813}; Resolution of Sister Chromatid Cohesion {R-MMU-2500257}; RHO GTPases Activate Formins {R-MMU-5663220}; Major pathway of rRNA processing in the nucleolus and cytosol {R-MMU-6791226}; Mitotic Prometaphase {R-MMU-68877}; Translation initiation complex formation {R-MMU-72649}; Formation of a pool of free 40S subunits {R-MMU-72689}; Formation of the ternary complex, and subsequently, the 43S complex {R-MMU-72695}; Ribosomal scanning and start codon recognition {R-MMU-72702}; GTP hydrolysis and joining of the 60S ribosomal subunit {R-MMU-72706}; EML4 and NUDC in mitotic spindle formation {R-MMU-9648025}; Nonsense Mediated Decay (NMD) independent of the Exon Junction Complex (EJC) {R-MMU-975956}; Nonsense Mediated Decay (NMD) enhanced by the Exon Junction Complex (EJC) {R-MMU-975957}</t>
  </si>
  <si>
    <t>sp|O54962|BAF_MOUSE</t>
  </si>
  <si>
    <t>Barrier-to-autointegration factor, N-terminally processed</t>
  </si>
  <si>
    <t>LAP2-binding protein 1</t>
  </si>
  <si>
    <t>BAF_MOUSE</t>
  </si>
  <si>
    <t>O54962</t>
  </si>
  <si>
    <t>Q542E6</t>
  </si>
  <si>
    <t>MGI:1346330</t>
  </si>
  <si>
    <t>Acetylation; Chromosome; Cytoplasm; DNA-binding; Nucleus; Phosphoprotein</t>
  </si>
  <si>
    <t>chromatin organization {GO:0006325}; chromosome condensation {GO:0030261}; chromosome segregation {GO:0007059}; DNA integration {GO:0015074}; establishment of integrated proviral latency {GO:0075713}; mitotic nuclear membrane reassembly {GO:0007084}; negative regulation of innate immune response {GO:0045824}; negative regulation of protein ADP-ribosylation {GO:0010836}; negative regulation of type I interferon production {GO:0032480}; negative regulation of viral genome replication {GO:0045071}; response to oxidative stress {GO:0006979}</t>
  </si>
  <si>
    <t>chromatin {GO:0000785}; condensed chromosome {GO:0000793}; cytoplasm {GO:0005737}; cytosol {GO:0005829}; nuclear envelope {GO:0005635}; nucleoplasm {GO:0005654}; nucleus {GO:0005634}</t>
  </si>
  <si>
    <t>DNA binding {GO:0003677}; double-stranded DNA binding {GO:0003690}; enzyme binding {GO:0019899}; identical protein binding {GO:0042802}; LEM domain binding {GO:0097726}; protein C-terminus binding {GO:0008022}; protein homodimerization activity {GO:0042803}; protein N-terminus binding {GO:0047485}</t>
  </si>
  <si>
    <t>Nuclear Envelope Breakdown {R-MMU-2980766}; Initiation of Nuclear Envelope (NE) Reformation {R-MMU-2995383}</t>
  </si>
  <si>
    <t>sp|Q3TIV5|ZC3HF_MOUSE</t>
  </si>
  <si>
    <t>Zinc finger CCCH domain-containing protein 15</t>
  </si>
  <si>
    <t>DRG family-regulatory protein 1; Epo-immediate response gene protein FM22</t>
  </si>
  <si>
    <t>ZC3HF_MOUSE</t>
  </si>
  <si>
    <t>Q3TIV5</t>
  </si>
  <si>
    <t>Q3TWQ0; Q3U855; Q8K2B6; Q8K346; Q9CVM4; Q9DAP2</t>
  </si>
  <si>
    <t>Dfrp1</t>
  </si>
  <si>
    <t>MGI:1919747</t>
  </si>
  <si>
    <t>Alternative splicing; Coiled coil; Cytoplasm; Metal-binding; Nucleus; Phosphoprotein; Repeat; Zinc; Zinc-finger</t>
  </si>
  <si>
    <t>Coiled coil; Repeat; Zinc-finger</t>
  </si>
  <si>
    <t>cytokine-mediated signaling pathway {GO:0019221}; cytoplasmic translation {GO:0002181}; positive regulation of GTPase activity {GO:0043547}</t>
  </si>
  <si>
    <t>sp|P62996|TRA2B_MOUSE</t>
  </si>
  <si>
    <t>Transformer-2 protein homolog beta (TRA-2 beta; TRA2-beta)</t>
  </si>
  <si>
    <t>Silica-induced gene 41 protein (SIG-41); Splicing factor, arginine/serine-rich 10; Transformer-2 protein homolog B</t>
  </si>
  <si>
    <t>TRA2B_MOUSE</t>
  </si>
  <si>
    <t>P62996</t>
  </si>
  <si>
    <t>O15449; Q15815; Q64283</t>
  </si>
  <si>
    <t>Sfrs10; Silg41</t>
  </si>
  <si>
    <t>MGI:106016</t>
  </si>
  <si>
    <t>Acetylation; Activator; Alternative splicing; Isopeptide bond; Methylation; mRNA processing; mRNA splicing; Nucleus; Phosphoprotein; Repressor; RNA-binding; Ubl conjugation</t>
  </si>
  <si>
    <t>cellular response to glucose stimulus {GO:0071333}; cerebral cortex regionalization {GO:0021796}; embryonic brain development {GO:1990403}; mRNA splicing, via spliceosome {GO:0000398}; positive regulation of mRNA splicing, via spliceosome {GO:0048026}; regulation of alternative mRNA splicing, via spliceosome {GO:0000381}; regulation of RNA splicing {GO:0043484}</t>
  </si>
  <si>
    <t>nuclear inner membrane {GO:0005637}; nucleoplasm {GO:0005654}; nucleus {GO:0005634}; perinuclear region of cytoplasm {GO:0048471}; protein-containing complex {GO:0032991}; spliceosomal complex {GO:0005681}</t>
  </si>
  <si>
    <t>identical protein binding {GO:0042802}; mRNA binding {GO:0003729}; pre-mRNA binding {GO:0036002}; protein domain specific binding {GO:0019904}; RNA binding {GO:0003723}</t>
  </si>
  <si>
    <t>mRNA Splicing - Major Pathway {R-MMU-72163}; RHOBTB2 GTPase cycle {R-MMU-9013418}; RHOBTB1 GTPase cycle {R-MMU-9013422}</t>
  </si>
  <si>
    <t>sp|P43275|H11_MOUSE</t>
  </si>
  <si>
    <t>Histone H1.1</t>
  </si>
  <si>
    <t>H1 VAR.3; Histone H1a (H1a)</t>
  </si>
  <si>
    <t>H11_MOUSE</t>
  </si>
  <si>
    <t>P43275</t>
  </si>
  <si>
    <t>Q5SZ98</t>
  </si>
  <si>
    <t>MGI:1931523</t>
  </si>
  <si>
    <t>Acetylation; Chromosome; Citrullination; DNA-binding; Hydroxylation; Nucleus; Phosphoprotein</t>
  </si>
  <si>
    <t>Acetylation; Citrullination; Hydroxylation; Phosphoprotein</t>
  </si>
  <si>
    <t>chromosome condensation {GO:0030261}; negative regulation of DNA recombination {GO:0045910}; nucleosome assembly {GO:0006334}; positive regulation of receptor-mediated endocytosis {GO:0048260}; spermatogenesis {GO:0007283}</t>
  </si>
  <si>
    <t>cell surface {GO:0009986}; chromatin {GO:0000785}; euchromatin {GO:0000791}; nucleoplasm {GO:0005654}; nucleosome {GO:0000786}; nucleus {GO:0005634}; vesicle {GO:0031982}</t>
  </si>
  <si>
    <t>chromatin DNA binding {GO:0031490}; DNA binding {GO:0003677}; double-stranded DNA binding {GO:0003690}; heparin binding {GO:0008201}; nucleosomal DNA binding {GO:0031492}; structural constituent of chromatin {GO:0030527}</t>
  </si>
  <si>
    <t>sp|Q9Z110|P5CS_MOUSE</t>
  </si>
  <si>
    <t>Gamma-glutamyl phosphate reductase</t>
  </si>
  <si>
    <t>Aldehyde dehydrogenase family 18 member A1 (GK); Gamma-glutamyl kinase (GPR); Glutamate-5-semialdehyde dehydrogenase; Glutamyl-gamma-semialdehyde dehydrogenase</t>
  </si>
  <si>
    <t>P5CS_MOUSE</t>
  </si>
  <si>
    <t>Q9Z110</t>
  </si>
  <si>
    <t>Q8BGM2; Q9R1P6</t>
  </si>
  <si>
    <t>P5cs; Pycs</t>
  </si>
  <si>
    <t>MGI:1888908</t>
  </si>
  <si>
    <t>Alternative splicing; Amino-acid biosynthesis; ATP-binding; Kinase; Membrane; Mitochondrion; Mitochondrion inner membrane; Multifunctional enzyme; NADP; Nucleotide-binding; Oxidoreductase; Proline biosynthesis; Transferase</t>
  </si>
  <si>
    <t>Amino-acid biosynthesis; Proline biosynthesis</t>
  </si>
  <si>
    <t>Kinase; Multifunctional enzyme; Oxidoreductase; Transferase</t>
  </si>
  <si>
    <t>cellular amino acid biosynthetic process {GO:0008652}; citrulline biosynthetic process {GO:0019240}; glutamate metabolic process {GO:0006536}; L-proline biosynthetic process {GO:0055129}; ornithine biosynthetic process {GO:0006592}; phosphorylation {GO:0016310}; proline biosynthetic process {GO:0006561}; response to temperature stimulus {GO:0009266}</t>
  </si>
  <si>
    <t>mitochondrial inner membrane {GO:0005743}; mitochondrial membrane {GO:0031966}; mitochondrion {GO:0005739}</t>
  </si>
  <si>
    <t>ATP binding {GO:0005524}; glutamate 5-kinase activity {GO:0004349}; glutamate-5-semialdehyde dehydrogenase activity {GO:0004350}; identical protein binding {GO:0042802}</t>
  </si>
  <si>
    <t>Amino-acid biosynthesis; L-proline biosynthesis; L-glutamate 5-semialdehyde from L-glutamate: step 2/2.</t>
  </si>
  <si>
    <t>sp|P00405|COX2_MOUSE</t>
  </si>
  <si>
    <t>Cytochrome c oxidase subunit 2</t>
  </si>
  <si>
    <t>Cytochrome c oxidase polypeptide II</t>
  </si>
  <si>
    <t>COX2_MOUSE</t>
  </si>
  <si>
    <t>P00405</t>
  </si>
  <si>
    <t>Q85K21</t>
  </si>
  <si>
    <t>COII; COX2; mt-Co2</t>
  </si>
  <si>
    <t>MGI:102503</t>
  </si>
  <si>
    <t>3D-structure; Copper; Electron transport; Magnesium; Membrane; Metal-binding; Mitochondrion; Mitochondrion inner membrane; Phosphoprotein; Respiratory chain; Translocase; Transmembrane; Transmembrane helix; Transport</t>
  </si>
  <si>
    <t>Copper; Magnesium; Metal-binding</t>
  </si>
  <si>
    <t>ATP synthesis coupled electron transport {GO:0042773}; lactation {GO:0007595}; positive regulation of ATP biosynthetic process {GO:2001171}; positive regulation of hydrogen peroxide biosynthetic process {GO:0010729}; positive regulation of necrotic cell death {GO:0010940}; response to cold {GO:0009409}</t>
  </si>
  <si>
    <t>integral component of membrane {GO:0016021}; mitochondrial inner membrane {GO:0005743}; mitochondrial membrane {GO:0031966}; mitochondrial respiratory chain complex IV {GO:0005751}; mitochondrion {GO:0005739}; respiratory chain complex IV {GO:0045277}</t>
  </si>
  <si>
    <t>copper ion binding {GO:0005507}; cytochrome-c oxidase activity {GO:0004129}</t>
  </si>
  <si>
    <t>sp|P97355|SPSY_MOUSE</t>
  </si>
  <si>
    <t>Spermine synthase (SPMSY)</t>
  </si>
  <si>
    <t>Spermidine aminopropyltransferase</t>
  </si>
  <si>
    <t>SPSY_MOUSE</t>
  </si>
  <si>
    <t>P97355</t>
  </si>
  <si>
    <t>A2AC82; Q3TL65; Q3TUP0; Q3UDT8; Q8C7P4; Q9CT09; Q9R282</t>
  </si>
  <si>
    <t>MGI:109490</t>
  </si>
  <si>
    <t>Acetylation; Phosphoprotein; Polyamine biosynthesis; Transferase</t>
  </si>
  <si>
    <t>Polyamine biosynthesis</t>
  </si>
  <si>
    <t>spermine biosynthetic process {GO:0006597}; spermine metabolic process {GO:0008215}</t>
  </si>
  <si>
    <t>spermine synthase activity {GO:0016768}</t>
  </si>
  <si>
    <t>Amine and polyamine biosynthesis; spermine biosynthesis; spermine from spermidine: step 1/1..</t>
  </si>
  <si>
    <t>Metabolism of polyamines {R-MMU-351202}</t>
  </si>
  <si>
    <t>sp|Q9ERS2|NDUAD_MOUSE</t>
  </si>
  <si>
    <t>NADH dehydrogenase [ubiquinone] 1 alpha subcomplex subunit 13</t>
  </si>
  <si>
    <t>Cell death regulatory protein GRIM-19; Complex I-B16.6 (CI-B16.6); Gene associated with retinoic and interferon-induced mortality 19 protein (GRIM-19; Gene associated with retinoic and IFN-induced mortality 19 protein); NADH-ubiquinone oxidoreductase B16.6 subunit</t>
  </si>
  <si>
    <t>NDUAD_MOUSE</t>
  </si>
  <si>
    <t>Q9ERS2</t>
  </si>
  <si>
    <t>Q9DC98; Q9DCA1</t>
  </si>
  <si>
    <t>Grim19</t>
  </si>
  <si>
    <t>MGI:1914434</t>
  </si>
  <si>
    <t>3D-structure; Acetylation; Apoptosis; Electron transport; Membrane; Mitochondrion; Mitochondrion inner membrane; Nucleus; Respiratory chain; Transmembrane; Transmembrane helix; Transport</t>
  </si>
  <si>
    <t>Membrane; Mitochondrion; Mitochondrion inner membrane; Nucleus</t>
  </si>
  <si>
    <t>aerobic respiration {GO:0009060}; apoptotic signaling pathway {GO:0097190}; cellular response to interferon-beta {GO:0035458}; cellular response to retinoic acid {GO:0071300}; extrinsic apoptotic signaling pathway {GO:0097191}; mitochondrial respiratory chain complex I assembly {GO:0032981}; negative regulation of cell growth {GO:0030308}; negative regulation of DNA-templated transcription {GO:0045892}; negative regulation of intrinsic apoptotic signaling pathway {GO:2001243}; positive regulation of cysteine-type endopeptidase activity involved in apoptotic process {GO:0043280}; positive regulation of protein catabolic process {GO:0045732}; protein insertion into mitochondrial inner membrane {GO:0045039}; proton motive force-driven mitochondrial ATP synthesis {GO:0042776}; reactive oxygen species metabolic process {GO:0072593}</t>
  </si>
  <si>
    <t>cytoplasm {GO:0005737}; mitochondrial inner membrane {GO:0005743}; mitochondrial membrane {GO:0031966}; mitochondrial respirasome {GO:0005746}; mitochondrial respiratory chain complex I {GO:0005747}; mitochondrion {GO:0005739}; nucleoplasm {GO:0005654}; nucleus {GO:0005634}</t>
  </si>
  <si>
    <t>ATP binding {GO:0005524}</t>
  </si>
  <si>
    <t>sp|O89086|RBM3_MOUSE</t>
  </si>
  <si>
    <t>RNA-binding protein 3</t>
  </si>
  <si>
    <t>RNA-binding motif protein 3</t>
  </si>
  <si>
    <t>RBM3_MOUSE</t>
  </si>
  <si>
    <t>O89086</t>
  </si>
  <si>
    <t>MGI:1099460</t>
  </si>
  <si>
    <t>Cell projection; Cytoplasm; Methylation; Nucleus; Phosphoprotein; RNA-binding; Stress response</t>
  </si>
  <si>
    <t>miRNA processing {GO:0035196}; positive regulation of mRNA splicing, via spliceosome {GO:0048026}; positive regulation of translation {GO:0045727}; regulation of translation {GO:0006417}; response to cold {GO:0009409}; translation {GO:0006412}</t>
  </si>
  <si>
    <t>cytoplasm {GO:0005737}; dendrite {GO:0030425}; nucleoplasm {GO:0005654}; nucleus {GO:0005634}; spliceosomal complex {GO:0005681}</t>
  </si>
  <si>
    <t>ribosomal large subunit binding {GO:0043023}; RNA binding {GO:0003723}</t>
  </si>
  <si>
    <t>sp|Q9QY76|VAPB_MOUSE</t>
  </si>
  <si>
    <t>Vesicle-associated membrane protein-associated protein B (VAMP-B; VAMP-associated protein B; VAP-B)</t>
  </si>
  <si>
    <t>VAMP-associated protein 33b</t>
  </si>
  <si>
    <t>VAPB_MOUSE</t>
  </si>
  <si>
    <t>Q9QY76</t>
  </si>
  <si>
    <t>MGI:1928744</t>
  </si>
  <si>
    <t>Acetylation; Coiled coil; Endoplasmic reticulum; Isopeptide bond; Membrane; Phosphoprotein; Transmembrane; Transmembrane helix; Ubl conjugation; Unfolded protein response</t>
  </si>
  <si>
    <t>Unfolded protein response</t>
  </si>
  <si>
    <t>cellular calcium ion homeostasis {GO:0006874}; COPII-coated vesicle budding {GO:0090114}; endoplasmic reticulum membrane organization {GO:0090158}; endoplasmic reticulum organization {GO:0007029}; endoplasmic reticulum to Golgi vesicle-mediated transport {GO:0006888}; endoplasmic reticulum unfolded protein response {GO:0030968}; endoplasmic reticulum-plasma membrane tethering {GO:0061817}; IRE1-mediated unfolded protein response {GO:0036498}; modulation by host of viral RNA genome replication {GO:0044830}; negative regulation by host of viral genome replication {GO:0044828}; negative regulation by virus of viral protein levels in host cell {GO:0046725}; positive regulation by host of viral genome replication {GO:0044829}; positive regulation of viral genome replication {GO:0045070}; suppression of viral release by host {GO:0044790}; viral release from host cell {GO:0019076}</t>
  </si>
  <si>
    <t>cytoplasm {GO:0005737}; endoplasmic reticulum {GO:0005783}; endoplasmic reticulum membrane {GO:0005789}; Golgi apparatus {GO:0005794}; integral component of membrane {GO:0016021}; membrane {GO:0016020}; plasma membrane {GO:0005886}</t>
  </si>
  <si>
    <t>beta-tubulin binding {GO:0048487}; enzyme binding {GO:0019899}; FFAT motif binding {GO:0033149}; microtubule binding {GO:0008017}; protein heterodimerization activity {GO:0046982}; protein homodimerization activity {GO:0042803}</t>
  </si>
  <si>
    <t>RHOA GTPase cycle {R-MMU-8980692}; RHOC GTPase cycle {R-MMU-9013106}; RAC2 GTPase cycle {R-MMU-9013404}; RHOD GTPase cycle {R-MMU-9013405}; RHOG GTPase cycle {R-MMU-9013408}</t>
  </si>
  <si>
    <t>sp|Q8JZK9|HMCS1_MOUSE</t>
  </si>
  <si>
    <t>Hydroxymethylglutaryl-CoA synthase, cytoplasmic (HMG-CoA synthase)</t>
  </si>
  <si>
    <t>3-hydroxy-3-methylglutaryl coenzyme A synthase</t>
  </si>
  <si>
    <t>HMCS1_MOUSE</t>
  </si>
  <si>
    <t>Q8JZK9</t>
  </si>
  <si>
    <t>Q3UXI4</t>
  </si>
  <si>
    <t>MGI:107592</t>
  </si>
  <si>
    <t>Acetylation; Cholesterol biosynthesis; Cholesterol metabolism; Cytoplasm; Lipid biosynthesis; Lipid metabolism; Phosphoprotein; Steroid biosynthesis; Steroid metabolism; Sterol biosynthesis; Sterol metabolism; Transferase</t>
  </si>
  <si>
    <t>acetyl-CoA metabolic process {GO:0006084}; cellular response to low-density lipoprotein particle stimulus {GO:0071404}; cholesterol biosynthetic process {GO:0006695}; farnesyl diphosphate biosynthetic process, mevalonate pathway {GO:0010142}; response to purine-containing compound {GO:0014074}</t>
  </si>
  <si>
    <t>hydroxymethylglutaryl-CoA synthase activity {GO:0004421}; isomerase activity {GO:0016853}; organic acid binding {GO:0043177}; protein homodimerization activity {GO:0042803}; small molecule binding {GO:0036094}</t>
  </si>
  <si>
    <t>Metabolic intermediate biosynthesis; (R)-mevalonate biosynthesis; (R)-mevalonate from acetyl-CoA: step 2/3.</t>
  </si>
  <si>
    <t>sp|P35279|RAB6A_MOUSE</t>
  </si>
  <si>
    <t>Ras-related protein Rab-6A (Rab-6)</t>
  </si>
  <si>
    <t>RAB6A_MOUSE</t>
  </si>
  <si>
    <t>P35279</t>
  </si>
  <si>
    <t>Q542M6; Q8R2Z7; Q8VEE5; Q9JJD4</t>
  </si>
  <si>
    <t>Rab6</t>
  </si>
  <si>
    <t>MGI:894313</t>
  </si>
  <si>
    <t>Acetylation; Alternative splicing; Cytoplasmic vesicle; ER-Golgi transport; Golgi apparatus; GTP-binding; Lipoprotein; Membrane; Methylation; Nucleotide-binding; Phosphoprotein; Prenylation; Protein transport; Transport</t>
  </si>
  <si>
    <t>antigen processing and presentation {GO:0019882}; early endosome to Golgi transport {GO:0034498}; intra-Golgi vesicle-mediated transport {GO:0006891}; intracellular protein transport {GO:0006886}; peptidyl-cysteine methylation {GO:0018125}; protein localization to Golgi apparatus {GO:0034067}; protein localization to Golgi membrane {GO:1903292}; retrograde transport, endosome to Golgi {GO:0042147}; retrograde vesicle-mediated transport, Golgi to endoplasmic reticulum {GO:0006890}</t>
  </si>
  <si>
    <t>acrosomal membrane {GO:0002080}; cytoplasmic vesicle {GO:0031410}; cytosol {GO:0005829}; endosome to plasma membrane transport vesicle {GO:0070381}; Golgi apparatus {GO:0005794}; Golgi membrane {GO:0000139}; membrane {GO:0016020}; presynapse {GO:0098793}; trans-Golgi network {GO:0005802}</t>
  </si>
  <si>
    <t>ATPase activator activity {GO:0001671}; ATPase binding {GO:0051117}; GTP binding {GO:0005525}; GTPase activity {GO:0003924}; myosin V binding {GO:0031489}; protein domain specific binding {GO:0019904}; protein N-terminus binding {GO:0047485}</t>
  </si>
  <si>
    <t>Neutrophil degranulation {R-MMU-6798695}; COPI-independent Golgi-to-ER retrograde traffic {R-MMU-6811436}; Retrograde transport at the Trans-Golgi-Network {R-MMU-6811440}; TBC/RABGAPs {R-MMU-8854214}; RAB geranylgeranylation {R-MMU-8873719}; RAB GEFs exchange GTP for GDP on RABs {R-MMU-8876198}</t>
  </si>
  <si>
    <t>sp|Q60902|EP15R_MOUSE</t>
  </si>
  <si>
    <t>Epidermal growth factor receptor substrate 15-like 1</t>
  </si>
  <si>
    <t>Epidermal growth factor receptor pathway substrate 15-related sequence (Eps15-rs); Eps15-related protein (Eps15R)</t>
  </si>
  <si>
    <t>EP15R_MOUSE</t>
  </si>
  <si>
    <t>Q60902</t>
  </si>
  <si>
    <t>Q3U7L9; Q3UIS9; Q8CB60; Q8CB70; Q91WH8</t>
  </si>
  <si>
    <t>Eps15-rs; Eps15R</t>
  </si>
  <si>
    <t>MGI:104582</t>
  </si>
  <si>
    <t>Acetylation; Alternative splicing; Calcium; Cell membrane; Coated pit; Coiled coil; Endocytosis; Membrane; Metal-binding; Nucleus; Phosphoprotein; Repeat</t>
  </si>
  <si>
    <t>Cell membrane; Coated pit; Membrane; Nucleus</t>
  </si>
  <si>
    <t>endocytosis {GO:0006897}; endosomal transport {GO:0016197}</t>
  </si>
  <si>
    <t>clathrin coat of coated pit {GO:0030132}; nucleus {GO:0005634}</t>
  </si>
  <si>
    <t>EGFR downregulation {R-MMU-182971}; Cargo recognition for clathrin-mediated endocytosis {R-MMU-8856825}; Clathrin-mediated endocytosis {R-MMU-8856828}</t>
  </si>
  <si>
    <t>sp|Q6ZQI3|MLEC_MOUSE</t>
  </si>
  <si>
    <t>Malectin</t>
  </si>
  <si>
    <t>MLEC_MOUSE</t>
  </si>
  <si>
    <t>Q6ZQI3</t>
  </si>
  <si>
    <t>Q8C6C3; Q8CD40; Q8CI91</t>
  </si>
  <si>
    <t>Kiaa0152</t>
  </si>
  <si>
    <t>MGI:1924015</t>
  </si>
  <si>
    <t>Carbohydrate metabolism; Endoplasmic reticulum; Glycoprotein; Membrane; Signal; Transmembrane; Transmembrane helix</t>
  </si>
  <si>
    <t>carbohydrate metabolic process {GO:0005975}; protein N-linked glycosylation {GO:0006487}</t>
  </si>
  <si>
    <t>endoplasmic reticulum {GO:0005783}; endoplasmic reticulum membrane {GO:0005789}; integral component of membrane {GO:0016021}; membrane {GO:0016020}; oligosaccharyltransferase complex {GO:0008250}</t>
  </si>
  <si>
    <t>carbohydrate binding {GO:0030246}; enzyme binding {GO:0019899}</t>
  </si>
  <si>
    <t>sp|Q9D1M0|SEC13_MOUSE</t>
  </si>
  <si>
    <t>Protein SEC13 homolog</t>
  </si>
  <si>
    <t>GATOR complex protein SEC13; SEC13-like protein 1; SEC13-related protein</t>
  </si>
  <si>
    <t>SEC13_MOUSE</t>
  </si>
  <si>
    <t>Q9D1M0</t>
  </si>
  <si>
    <t>Q99M12; Q9D712</t>
  </si>
  <si>
    <t>Sec13l1</t>
  </si>
  <si>
    <t>MGI:99832</t>
  </si>
  <si>
    <t>Acetylation; Cytoplasmic vesicle; Endoplasmic reticulum; ER-Golgi transport; Lysosome; Membrane; mRNA transport; Nuclear pore complex; Nucleus; Phosphoprotein; Protein transport; Repeat; Translocation; Transport; WD repeat</t>
  </si>
  <si>
    <t>ER-Golgi transport; Protein transport; Translocation; Transport; mRNA transport</t>
  </si>
  <si>
    <t>Cytoplasmic vesicle; Endoplasmic reticulum; Lysosome; Membrane; Nuclear pore complex; Nucleus</t>
  </si>
  <si>
    <t>COPII-coated vesicle budding {GO:0090114}; COPII-coated vesicle cargo loading {GO:0090110}; endoplasmic reticulum to Golgi vesicle-mediated transport {GO:0006888}; mRNA transport {GO:0051028}; nucleocytoplasmic transport {GO:0006913}; positive regulation of TOR signaling {GO:0032008}; positive regulation of TORC1 signaling {GO:1904263}; protein exit from endoplasmic reticulum {GO:0032527}; protein import into nucleus {GO:0006606}; protein localization to plasma membrane {GO:0072659}</t>
  </si>
  <si>
    <t>COPII vesicle coat {GO:0030127}; cytosol {GO:0005829}; endoplasmic reticulum {GO:0005783}; endoplasmic reticulum membrane {GO:0005789}; GATOR2 complex {GO:0061700}; intracellular membrane-bounded organelle {GO:0043231}; kinetochore {GO:0000776}; lysosomal membrane {GO:0005765}; nuclear envelope {GO:0005635}; nuclear pore {GO:0005643}; nuclear pore outer ring {GO:0031080}; nucleoplasm {GO:0005654}; protein-containing complex {GO:0032991}</t>
  </si>
  <si>
    <t>identical protein binding {GO:0042802}; structural molecule activity {GO:0005198}</t>
  </si>
  <si>
    <t>Amplification of signal from unattached kinetochores via a MAD2 inhibitory signal {R-MMU-141444}; 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{R-MMU-159236}; Regulation of Glucokinase by Glucokinase Regulatory Protein {R-MMU-170822}; snRNP Assembly {R-MMU-191859}; COPII-mediated vesicle transport {R-MMU-204005}; MHC class II antigen presentation {R-MMU-2132295}; Separation of Sister Chromatids {R-MMU-2467813}; Resolution of Sister Chromatid Cohesion {R-MMU-2500257}; SUMOylation of DNA damage response and repair proteins {R-MMU-3108214}; SUMOylation of ubiquitinylation proteins {R-MMU-3232142}; Nuclear Pore Complex (NPC) Disassembly {R-MMU-3301854}; Regulation of HSF1-mediated heat shock response {R-MMU-3371453}; SUMOylation of SUMOylation proteins {R-MMU-4085377}; SUMOylation of chromatin organization proteins {R-MMU-4551638}; SUMOylation of RNA binding proteins {R-MMU-4570464}; Transcriptional regulation by small RNAs {R-MMU-5578749}; RHO GTPases Activate Formins {R-MMU-5663220}; Mitotic Prometaphase {R-MMU-68877}; Postmitotic nuclear pore complex (NPC) reformation {R-MMU-9615933}; Amino acids regulate mTORC1 {R-MMU-9639288}; EML4 and NUDC in mitotic spindle formation {R-MMU-9648025}; Antigen Presentation: Folding, assembly and peptide loading of class I MHC {R-MMU-983170}</t>
  </si>
  <si>
    <t>sp|O35344|IMA4_MOUSE</t>
  </si>
  <si>
    <t>Importin subunit alpha-4</t>
  </si>
  <si>
    <t>Importin alpha Q2 (Qip2); Karyopherin subunit alpha-3</t>
  </si>
  <si>
    <t>IMA4_MOUSE</t>
  </si>
  <si>
    <t>O35344</t>
  </si>
  <si>
    <t>Qip2</t>
  </si>
  <si>
    <t>MGI:1100863</t>
  </si>
  <si>
    <t>Acetylation; Cytoplasm; Nucleus; Phosphoprotein; Protein transport; Repeat; Transport</t>
  </si>
  <si>
    <t>NLS-bearing protein import into nucleus {GO:0006607}; protein import into nucleus {GO:0006606}</t>
  </si>
  <si>
    <t>cytosol {GO:0005829}; NLS-dependent protein nuclear import complex {GO:0042564}; nucleoplasm {GO:0005654}; nucleus {GO:0005634}</t>
  </si>
  <si>
    <t>nuclear import signal receptor activity {GO:0061608}; nuclear localization sequence binding {GO:0008139}; protein C-terminus binding {GO:0008022}</t>
  </si>
  <si>
    <t>sp|Q9EQ80|NIF3L_MOUSE</t>
  </si>
  <si>
    <t>NIF3-like protein 1</t>
  </si>
  <si>
    <t>NIF3L_MOUSE</t>
  </si>
  <si>
    <t>Q9EQ80</t>
  </si>
  <si>
    <t>Q6P1B7; Q9D098</t>
  </si>
  <si>
    <t>MGI:1929485</t>
  </si>
  <si>
    <t>negative regulation of nucleic acid-templated transcription {GO:1903507}; neuron differentiation {GO:0030182}; positive regulation of DNA-templated transcription {GO:0045893}</t>
  </si>
  <si>
    <t>cytoplasm {GO:0005737}; mitochondrion {GO:0005739}; nucleus {GO:0005634}</t>
  </si>
  <si>
    <t>identical protein binding {GO:0042802}; RNA polymerase II-specific DNA-binding transcription factor binding {GO:0061629}</t>
  </si>
  <si>
    <t>sp|P54823|DDX6_MOUSE</t>
  </si>
  <si>
    <t>Probable ATP-dependent RNA helicase DDX6</t>
  </si>
  <si>
    <t>ATP-dependent RNA helicase p54; DEAD box protein 6; Oncogene RCK homolog</t>
  </si>
  <si>
    <t>DDX6_MOUSE</t>
  </si>
  <si>
    <t>P54823</t>
  </si>
  <si>
    <t>O54979; Q3UFI3; Q8BW68</t>
  </si>
  <si>
    <t>Hlr2; Rck</t>
  </si>
  <si>
    <t>MGI:104976</t>
  </si>
  <si>
    <t>ATP-binding; Cytoplasm; Helicase; Hydrolase; Nucleotide-binding; Nucleus; Phosphoprotein; RNA-binding; Ubl conjugation</t>
  </si>
  <si>
    <t>miRNA-mediated gene silencing by inhibition of translation {GO:0035278}; negative regulation of neuron differentiation {GO:0045665}; negative regulation of translation {GO:0017148}; neuron differentiation {GO:0030182}; P-body assembly {GO:0033962}; stem cell population maintenance {GO:0019827}; stress granule assembly {GO:0034063}; viral RNA genome packaging {GO:0019074}</t>
  </si>
  <si>
    <t>adherens junction {GO:0005912}; chromatoid body {GO:0033391}; concave side of sperm head {GO:0061830}; cytoplasm {GO:0005737}; cytoplasmic ribonucleoprotein granule {GO:0036464}; cytoplasmic stress granule {GO:0010494}; cytosol {GO:0005829}; heterochromatin {GO:0000792}; mitochondrion {GO:0005739}; nucleolus {GO:0005730}; nucleus {GO:0005634}; outer dense fiber {GO:0001520}; P-body {GO:0000932}; perinuclear region of cytoplasm {GO:0048471}; RISC complex {GO:0016442}; sperm annulus {GO:0097227}</t>
  </si>
  <si>
    <t>ATP binding {GO:0005524}; ATP hydrolysis activity {GO:0016887}; mRNA binding {GO:0003729}; protein domain specific binding {GO:0019904}; RNA helicase activity {GO:0003724}</t>
  </si>
  <si>
    <t>mRNA decay by 5' to 3' exoribonuclease {R-MMU-430039}</t>
  </si>
  <si>
    <t>sp|P13707|GPDA_MOUSE</t>
  </si>
  <si>
    <t>Glycerol-3-phosphate dehydrogenase [NAD(+)], cytoplasmic (GPD-C; GPDH-C)</t>
  </si>
  <si>
    <t>GPDA_MOUSE</t>
  </si>
  <si>
    <t>P13707</t>
  </si>
  <si>
    <t>Q3UVM3; Q5DTS5</t>
  </si>
  <si>
    <t>Gdc-1; Gdc1; Kiaa4010</t>
  </si>
  <si>
    <t>MGI:95679</t>
  </si>
  <si>
    <t>Cytoplasm; NAD; Oxidoreductase; Phosphoprotein</t>
  </si>
  <si>
    <t>carbohydrate metabolic process {GO:0005975}; cellular response to cAMP {GO:0071320}; cellular response to tumor necrosis factor {GO:0071356}; gluconeogenesis {GO:0006094}; glycerol-3-phosphate catabolic process {GO:0046168}; glycerol-3-phosphate metabolic process {GO:0006072}; glycerolipid metabolic process {GO:0046486}; glycerophosphate shuttle {GO:0006127}; NADH metabolic process {GO:0006734}; NADH oxidation {GO:0006116}; positive regulation of glycolytic process {GO:0045821}</t>
  </si>
  <si>
    <t>cytosol {GO:0005829}; glycerol-3-phosphate dehydrogenase complex {GO:0009331}; mitochondrion {GO:0005739}</t>
  </si>
  <si>
    <t>glycerol-3-phosphate dehydrogenase (quinone) activity {GO:0004368}; glycerol-3-phosphate dehydrogenase [NAD+] activity {GO:0004367}; NAD binding {GO:0051287}; protein homodimerization activity {GO:0042803}</t>
  </si>
  <si>
    <t>sp|B2RY56|RBM25_MOUSE</t>
  </si>
  <si>
    <t>RNA-binding protein 25</t>
  </si>
  <si>
    <t>RNA-binding motif protein 25</t>
  </si>
  <si>
    <t>RBM25_MOUSE</t>
  </si>
  <si>
    <t>B2RY56</t>
  </si>
  <si>
    <t>Q3TPH6; Q3U976; Q3UQU7; Q6NWW2; Q8BVT8; Q91XE6; Q9CT27; Q9CT49</t>
  </si>
  <si>
    <t>MGI:1914289</t>
  </si>
  <si>
    <t>Acetylation; Apoptosis; Cytoplasm; Isopeptide bond; mRNA processing; mRNA splicing; Nucleus; Phosphoprotein; RNA-binding; Ubl conjugation</t>
  </si>
  <si>
    <t>apoptotic process {GO:0006915}; mRNA processing {GO:0006397}; regulation of alternative mRNA splicing, via spliceosome {GO:0000381}; regulation of apoptotic process {GO:0042981}; RNA splicing {GO:0008380}</t>
  </si>
  <si>
    <t>cytoplasm {GO:0005737}; nuclear speck {GO:0016607}</t>
  </si>
  <si>
    <t>sp|Q8BMF4|ODP2_MOUSE</t>
  </si>
  <si>
    <t>Dihydrolipoyllysine-residue acetyltransferase component of pyruvate dehydrogenase complex, mitochondrial</t>
  </si>
  <si>
    <t>Dihydrolipoamide acetyltransferase component of pyruvate dehydrogenase complex; Pyruvate dehydrogenase complex component E2 (PDC-E2; PDCE2)</t>
  </si>
  <si>
    <t>ODP2_MOUSE</t>
  </si>
  <si>
    <t>Q8BMF4</t>
  </si>
  <si>
    <t>Q8K2G8; Q8R339; Q91ZB1</t>
  </si>
  <si>
    <t>MGI:2385311</t>
  </si>
  <si>
    <t>Acetylation; Acyltransferase; Carbohydrate metabolism; Glucose metabolism; Lipoyl; Mitochondrion; Phosphoprotein; Repeat; Transferase; Transit peptide; Tricarboxylic acid cycle</t>
  </si>
  <si>
    <t>Carbohydrate metabolism; Glucose metabolism; Tricarboxylic acid cycle</t>
  </si>
  <si>
    <t>Lipoyl; Repeat; Transit peptide</t>
  </si>
  <si>
    <t>acetyl-CoA biosynthetic process from pyruvate {GO:0006086}; glucose metabolic process {GO:0006006}; mitochondrial acetyl-CoA biosynthetic process from pyruvate {GO:0061732}; tricarboxylic acid cycle {GO:0006099}</t>
  </si>
  <si>
    <t>intracellular membrane-bounded organelle {GO:0043231}; mitochondrial pyruvate dehydrogenase complex {GO:0005967}; mitochondrion {GO:0005739}; myelin sheath {GO:0043209}; pyruvate dehydrogenase complex {GO:0045254}</t>
  </si>
  <si>
    <t>dihydrolipoyllysine-residue acetyltransferase activity {GO:0004742}; identical protein binding {GO:0042802}; pyruvate dehydrogenase (NAD+) activity {GO:0034604}</t>
  </si>
  <si>
    <t>Regulation of pyruvate dehydrogenase (PDH) complex {R-MMU-204174}; Glyoxylate metabolism and glycine degradation {R-MMU-389661}; Signaling by Retinoic Acid {R-MMU-5362517}; Pyruvate metabolism {R-MMU-70268}</t>
  </si>
  <si>
    <t>sp|Q6ZQ58|LARP1_MOUSE</t>
  </si>
  <si>
    <t>La-related protein 1</t>
  </si>
  <si>
    <t>La ribonucleoprotein domain family member 1</t>
  </si>
  <si>
    <t>LARP1_MOUSE</t>
  </si>
  <si>
    <t>Q6ZQ58</t>
  </si>
  <si>
    <t>A2AFQ8; J3QNB1; Q7TSF7</t>
  </si>
  <si>
    <t>Kiaa0731; Larp</t>
  </si>
  <si>
    <t>MGI:1890165</t>
  </si>
  <si>
    <t>Acetylation; Alternative splicing; Cytoplasm; Isopeptide bond; Methylation; Phosphoprotein; Repressor; RNA-binding; Translation regulation; Ubl conjugation</t>
  </si>
  <si>
    <t>cell population proliferation {GO:0008283}; cellular response to rapamycin {GO:0072752}; mRNA stabilization {GO:0048255}; negative regulation of translation {GO:0017148}; negative regulation of translational initiation {GO:0045947}; positive regulation of macroautophagy {GO:0016239}; positive regulation of translation {GO:0045727}; positive regulation of translational initiation {GO:0045948}; positive regulation of viral genome replication {GO:0045070}; post-transcriptional regulation of gene expression {GO:0010608}; response to amino acid starvation {GO:1990928}; TOR signaling {GO:0031929}; TORC1 signaling {GO:0038202}; translational initiation {GO:0006413}</t>
  </si>
  <si>
    <t>cytoplasm {GO:0005737}; cytoplasmic stress granule {GO:0010494}; cytosol {GO:0005829}; polysomal ribosome {GO:0042788}; polysome {GO:0005844}; TORC1 complex {GO:0031931}</t>
  </si>
  <si>
    <t>eukaryotic initiation factor 4E binding {GO:0008190}; mRNA 3'-UTR binding {GO:0003730}; mRNA 5'-UTR binding {GO:0048027}; ribosomal small subunit binding {GO:0043024}; RNA 7-methylguanosine cap binding {GO:0000340}; RNA binding {GO:0003723}; RNA cap binding {GO:0000339}; translation activator activity {GO:0008494}; translation initiation factor binding {GO:0031369}</t>
  </si>
  <si>
    <t>sp|A6H5Y3|METH_MOUSE</t>
  </si>
  <si>
    <t>Methionine synthase (MS)</t>
  </si>
  <si>
    <t>5-methyltetrahydrofolate--homocysteine methyltransferase; Cobalamin-dependent methionine synthase; Vitamin-B12 dependent methionine synthase</t>
  </si>
  <si>
    <t>METH_MOUSE</t>
  </si>
  <si>
    <t>A6H5Y3</t>
  </si>
  <si>
    <t>Q3UQP2</t>
  </si>
  <si>
    <t>MGI:894292</t>
  </si>
  <si>
    <t>Amino-acid biosynthesis; Cobalamin; Cobalt; Cytoplasm; Metal-binding; Methionine biosynthesis; Methyltransferase; Phosphoprotein; Repeat; S-adenosyl-L-methionine; Transferase; Zinc</t>
  </si>
  <si>
    <t>Amino-acid biosynthesis; Methionine biosynthesis</t>
  </si>
  <si>
    <t>Cobalamin; Cobalt; Metal-binding; S-adenosyl-L-methionine; Zinc</t>
  </si>
  <si>
    <t>axon regeneration {GO:0031103}; cellular response to nitric oxide {GO:0071732}; cobalamin metabolic process {GO:0009235}; homocysteine metabolic process {GO:0050667}; methionine biosynthetic process {GO:0009086}; methionine metabolic process {GO:0006555}; protein methylation {GO:0006479}; response to axon injury {GO:0048678}; tetrahydrofolate metabolic process {GO:0046653}</t>
  </si>
  <si>
    <t>amino acid binding {GO:0016597}; cobalamin binding {GO:0031419}; folic acid binding {GO:0005542}; methionine synthase activity {GO:0008705}; methyltransferase activity {GO:0008168}; zinc ion binding {GO:0008270}</t>
  </si>
  <si>
    <t>Amino-acid biosynthesis; L-methionine biosynthesis via de novo pathway; L-methionine from L-homocysteine (MetH route): step 1/1.</t>
  </si>
  <si>
    <t>Methylation {R-MMU-156581}; Sulfur amino acid metabolism {R-MMU-1614635}; RHOH GTPase cycle {R-MMU-9013407}; Cobalamin (Cbl) metabolism {R-MMU-9759218}</t>
  </si>
  <si>
    <t>sp|Q8BZW8|NHLC2_MOUSE</t>
  </si>
  <si>
    <t>NHL repeat-containing protein 2</t>
  </si>
  <si>
    <t>NHLC2_MOUSE</t>
  </si>
  <si>
    <t>Q8BZW8</t>
  </si>
  <si>
    <t>Q80XU0</t>
  </si>
  <si>
    <t>MGI:1914116</t>
  </si>
  <si>
    <t>Cytoplasm; Repeat</t>
  </si>
  <si>
    <t>sp|E9Q912|GDS1_MOUSE</t>
  </si>
  <si>
    <t>Rap1 GTPase-GDP dissociation stimulator 1</t>
  </si>
  <si>
    <t>GDS1_MOUSE</t>
  </si>
  <si>
    <t>E9Q912</t>
  </si>
  <si>
    <t>E9Q6Q4; I6L967; Q3TA69; Q3TLU4; Q3TPS9; Q3TU36</t>
  </si>
  <si>
    <t>MGI:2385189</t>
  </si>
  <si>
    <t>Acetylation; Alternative splicing; Cytoplasm; Endoplasmic reticulum; Guanine-nucleotide releasing factor; Mitochondrion; Nucleus; Repeat</t>
  </si>
  <si>
    <t>angiotensin-activated signaling pathway involved in heart process {GO:0086098}; CAAX-box protein maturation {GO:0080120}; cardiac muscle hypertrophy {GO:0003300}; myosin filament assembly {GO:0031034}; negative regulation of endoplasmic reticulum calcium ion concentration {GO:0032471}; negative regulation of GTPase activity {GO:0034260}; positive regulation of GTPase activity {GO:0043547}; positive regulation of mitochondrial calcium ion concentration {GO:0051561}; protein localization to nucleus {GO:0034504}; regulation of ERK5 cascade {GO:0070376}; regulation of matrix metallopeptidase secretion {GO:1904464}; regulation of mitochondrion organization {GO:0010821}; vascular associated smooth muscle contraction {GO:0014829}</t>
  </si>
  <si>
    <t>cytosol {GO:0005829}; endoplasmic reticulum {GO:0005783}; extracellular space {GO:0005615}; mitochondrion {GO:0005739}; nucleus {GO:0005634}</t>
  </si>
  <si>
    <t>GTPase regulator activity {GO:0030695}; guanyl-nucleotide exchange factor activity {GO:0005085}</t>
  </si>
  <si>
    <t>sp|Q8BJ71|NUP93_MOUSE</t>
  </si>
  <si>
    <t>Nuclear pore complex protein Nup93</t>
  </si>
  <si>
    <t>93 kDa nucleoporin; CBP-interacting protein 4; Nucleoporin Nup93</t>
  </si>
  <si>
    <t>NUP93_MOUSE</t>
  </si>
  <si>
    <t>Q8BJ71</t>
  </si>
  <si>
    <t>Q3TED9; Q8BIK7; Q8K1R4; Q8R592</t>
  </si>
  <si>
    <t>Cip4; Kiaa0095</t>
  </si>
  <si>
    <t>MGI:1919055</t>
  </si>
  <si>
    <t>Alternative splicing; Membrane; mRNA transport; Nuclear pore complex; Nucleus; Phosphoprotein; Protein transport; Translocation; Transport</t>
  </si>
  <si>
    <t>nuclear envelope organization {GO:0006998}; nuclear pore complex assembly {GO:0051292}; nucleocytoplasmic transport {GO:0006913}; poly(A)+ mRNA export from nucleus {GO:0016973}; positive regulation of SMAD protein signal transduction {GO:0060391}; protein import into nucleus {GO:0006606}; SMAD protein signal transduction {GO:0060395}</t>
  </si>
  <si>
    <t>centrosome {GO:0005813}; nuclear envelope {GO:0005635}; nuclear membrane {GO:0031965}; nuclear periphery {GO:0034399}; nuclear pore {GO:0005643}</t>
  </si>
  <si>
    <t>structural constituent of nuclear pore {GO:0017056}</t>
  </si>
  <si>
    <t>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{R-MMU-159236}; Regulation of Glucokinase by Glucokinase Regulatory Protein {R-MMU-170822}; snRNP Assembly {R-MMU-191859}; SUMOylation of DNA damage response and repair proteins {R-MMU-3108214}; SUMOylation of ubiquitinylation proteins {R-MMU-3232142}; Nuclear Pore Complex (NPC) Disassembly {R-MMU-3301854}; Regulation of HSF1-mediated heat shock response {R-MMU-3371453}; SUMOylation of SUMOylation proteins {R-MMU-4085377}; SUMOylation of chromatin organization proteins {R-MMU-4551638}; SUMOylation of RNA binding proteins {R-MMU-4570464}; SUMOylation of DNA replication proteins {R-MMU-4615885}; Transcriptional regulation by small RNAs {R-MMU-5578749}; Postmitotic nuclear pore complex (NPC) reformation {R-MMU-9615933}</t>
  </si>
  <si>
    <t>sp|Q99KB8|GLO2_MOUSE</t>
  </si>
  <si>
    <t>Hydroxyacylglutathione hydrolase, mitochondrial</t>
  </si>
  <si>
    <t>Glyoxalase II (Glx II)</t>
  </si>
  <si>
    <t>GLO2_MOUSE</t>
  </si>
  <si>
    <t>Q99KB8</t>
  </si>
  <si>
    <t>Q3TMR4; Q3UCF6; Q8WUR9</t>
  </si>
  <si>
    <t>Glo2</t>
  </si>
  <si>
    <t>MGI:95745</t>
  </si>
  <si>
    <t>Acetylation; Alternative initiation; Alternative splicing; Cytoplasm; Hydrolase; Metal-binding; Mitochondrion; Transit peptide; Zinc</t>
  </si>
  <si>
    <t>carbohydrate metabolic process {GO:0005975}; glutathione biosynthetic process {GO:0006750}; glutathione metabolic process {GO:0006749}; methylglyoxal catabolic process to D-lactate via S-lactoyl-glutathione {GO:0019243}</t>
  </si>
  <si>
    <t>cytoplasm {GO:0005737}; mitochondrial matrix {GO:0005759}; mitochondrion {GO:0005739}</t>
  </si>
  <si>
    <t>hydroxyacylglutathione hydrolase activity {GO:0004416}; metal ion binding {GO:0046872}</t>
  </si>
  <si>
    <t>Secondary metabolite metabolism; methylglyoxal degradation; (R)-lactate from methylglyoxal: step 2/2.</t>
  </si>
  <si>
    <t>sp|P08122|CO4A2_MOUSE</t>
  </si>
  <si>
    <t>Canstatin</t>
  </si>
  <si>
    <t>CO4A2_MOUSE</t>
  </si>
  <si>
    <t>P08122</t>
  </si>
  <si>
    <t>Q3B7C2; Q3TPV9; Q61375; Q66JS5; Q6RCT6; Q6RCT7; Q6U9X1; Q8BPI9; Q8BPK3; Q91VI3</t>
  </si>
  <si>
    <t>MGI:88455</t>
  </si>
  <si>
    <t>Angiogenesis; Basement membrane; Bromination; Collagen; Disulfide bond; Extracellular matrix; Glycoprotein; Hydroxylation; Repeat; Secreted; Signal</t>
  </si>
  <si>
    <t>Bromination; Disulfide bond; Glycoprotein; Hydroxylation</t>
  </si>
  <si>
    <t>aging {GO:0007568}; angiogenesis {GO:0001525}; cellular response to transforming growth factor beta stimulus {GO:0071560}; collagen-activated tyrosine kinase receptor signaling pathway {GO:0038063}; DNA-templated transcription {GO:0006351}; endodermal cell differentiation {GO:0035987}; extracellular matrix organization {GO:0030198}; negative regulation of angiogenesis {GO:0016525}; response to activity {GO:0014823}</t>
  </si>
  <si>
    <t>basement membrane {GO:0005604}; collagen type IV trimer {GO:0005587}; collagen-containing extracellular matrix {GO:0062023}; extracellular matrix {GO:0031012}; extracellular region {GO:0005576}; extracellular space {GO:0005615}</t>
  </si>
  <si>
    <t>extracellular matrix structural constituent {GO:0005201}</t>
  </si>
  <si>
    <t>Collagen degradation {R-MMU-1442490}; Extracellular matrix organization {R-MMU-1474244}; Collagen biosynthesis and modifying enzymes {R-MMU-1650814}; Signaling by PDGF {R-MMU-186797}; Assembly of collagen fibrils and other multimeric structures {R-MMU-2022090}; Integrin cell surface interactions {R-MMU-216083}; Crosslinking of collagen fibrils {R-MMU-2243919}; Laminin interactions {R-MMU-3000157}; Non-integrin membrane-ECM interactions {R-MMU-3000171}; NCAM1 interactions {R-MMU-419037}</t>
  </si>
  <si>
    <t>sp|Q9D0F3|LMAN1_MOUSE</t>
  </si>
  <si>
    <t>Protein ERGIC-53</t>
  </si>
  <si>
    <t>ER-Golgi intermediate compartment 53 kDa protein; Lectin mannose-binding 1; p58</t>
  </si>
  <si>
    <t>LMAN1_MOUSE</t>
  </si>
  <si>
    <t>Q9D0F3</t>
  </si>
  <si>
    <t>Ergic53</t>
  </si>
  <si>
    <t>MGI:1917611</t>
  </si>
  <si>
    <t>Disulfide bond; Endoplasmic reticulum; ER-Golgi transport; Golgi apparatus; Lectin; Membrane; Metal-binding; Phosphoprotein; Protein transport; Signal; Transmembrane; Transmembrane helix; Transport</t>
  </si>
  <si>
    <t>Lectin; Metal-binding</t>
  </si>
  <si>
    <t>endoplasmic reticulum organization {GO:0007029}; endoplasmic reticulum to Golgi vesicle-mediated transport {GO:0006888}; Golgi organization {GO:0007030}; positive regulation of organelle organization {GO:0010638}; protein transport {GO:0015031}</t>
  </si>
  <si>
    <t>collagen-containing extracellular matrix {GO:0062023}; 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Golgi apparatus {GO:0005794}; Golgi membrane {GO:0000139}; integral component of membrane {GO:0016021}; intracellular membrane-bounded organelle {GO:0043231}; sarcomere {GO:0030017}</t>
  </si>
  <si>
    <t>identical protein binding {GO:0042802}; mannose binding {GO:0005537}; metal ion binding {GO:0046872}</t>
  </si>
  <si>
    <t>COPII-mediated vesicle transport {R-MMU-204005}; Cargo concentration in the ER {R-MMU-5694530}; RHOA GTPase cycle {R-MMU-8980692}; RHOC GTPase cycle {R-MMU-9013106}; RAC2 GTPase cycle {R-MMU-9013404}; RHOD GTPase cycle {R-MMU-9013405}; RHOG GTPase cycle {R-MMU-9013408}; RAC3 GTPase cycle {R-MMU-9013423}</t>
  </si>
  <si>
    <t>sp|P32233|DRG1_MOUSE</t>
  </si>
  <si>
    <t>Developmentally-regulated GTP-binding protein 1 (DRG-1)</t>
  </si>
  <si>
    <t>Neural precursor cell expressed developmentally down-regulated protein 3 (NEDD-3); Translation factor GTPase DRG1 (TRAFAC GTPase DRG1)</t>
  </si>
  <si>
    <t>DRG1_MOUSE</t>
  </si>
  <si>
    <t>P32233</t>
  </si>
  <si>
    <t>Drg; Nedd-3; Nedd3</t>
  </si>
  <si>
    <t>MGI:1343297</t>
  </si>
  <si>
    <t>Acetylation; Cytoplasm; GTP-binding; Hydrolase; Hydroxylation; Magnesium; Metal-binding; Nucleotide-binding; Nucleus; Phosphoprotein; Ubl conjugation</t>
  </si>
  <si>
    <t>Acetylation; Hydroxylation; Phosphoprotein; Ubl conjugation</t>
  </si>
  <si>
    <t>cytoplasmic translation {GO:0002181}; positive regulation of microtubule polymerization {GO:0031116}; regulation of mitotic spindle assembly {GO:1901673}</t>
  </si>
  <si>
    <t>cytoplasm {GO:0005737}; cytosol {GO:0005829}; nuclear body {GO:0016604}; nucleoplasm {GO:0005654}; nucleus {GO:0005634}; polysome {GO:0005844}</t>
  </si>
  <si>
    <t>GTP binding {GO:0005525}; GTPase activity {GO:0003924}; identical protein binding {GO:0042802}; microtubule binding {GO:0008017}; potassium ion binding {GO:0030955}</t>
  </si>
  <si>
    <t>sp|P49717|MCM4_MOUSE</t>
  </si>
  <si>
    <t>DNA replication licensing factor MCM4</t>
  </si>
  <si>
    <t>CDC21 homolog; P1-CDC21</t>
  </si>
  <si>
    <t>MCM4_MOUSE</t>
  </si>
  <si>
    <t>P49717</t>
  </si>
  <si>
    <t>O89056</t>
  </si>
  <si>
    <t>Cdc21; Mcmd4</t>
  </si>
  <si>
    <t>MGI:103199</t>
  </si>
  <si>
    <t>Acetylation; ATP-binding; Cell cycle; Chromosome; DNA replication; DNA-binding; Helicase; Hydrolase; Isopeptide bond; Nucleotide-binding; Nucleus; Phosphoprotein; Ubl conjugation</t>
  </si>
  <si>
    <t>sp|Q8BRF7|SCFD1_MOUSE</t>
  </si>
  <si>
    <t>Sec1 family domain-containing protein 1</t>
  </si>
  <si>
    <t>Syntaxin-binding protein 1-like 2</t>
  </si>
  <si>
    <t>SCFD1_MOUSE</t>
  </si>
  <si>
    <t>Q8BRF7</t>
  </si>
  <si>
    <t>Q8BRZ2; Q8K179; Q9CXR8</t>
  </si>
  <si>
    <t>Stxbp1l2</t>
  </si>
  <si>
    <t>MGI:1924233</t>
  </si>
  <si>
    <t>Alternative splicing; Cytoplasm; Endoplasmic reticulum; ER-Golgi transport; Golgi apparatus; Membrane; Phosphoprotein; Protein transport; Transport</t>
  </si>
  <si>
    <t>cell morphogenesis {GO:0000902}; endoplasmic reticulum to Golgi vesicle-mediated transport {GO:0006888}; intracellular protein transport {GO:0006886}; negative regulation of autophagosome assembly {GO:1902902}; post-Golgi vesicle-mediated transport {GO:0006892}; regulation of ER to Golgi vesicle-mediated transport {GO:0060628}; regulation of protein transport {GO:0051223}; response to hypoxia {GO:0001666}; response to toxic substance {GO:0009636}; retrograde vesicle-mediated transport, Golgi to endoplasmic reticulum {GO:0006890}; toxin transport {GO:1901998}; vesicle-mediated transport {GO:0016192}</t>
  </si>
  <si>
    <t>cis-Golgi network {GO:0005801}; endoplasmic reticulum membrane {GO:0005789}; Golgi cisterna membrane {GO:0032580}; Golgi membrane {GO:0000139}; Golgi-associated vesicle {GO:0005798}; plasma membrane {GO:0005886}</t>
  </si>
  <si>
    <t>protein N-terminus binding {GO:0047485}; protein-containing complex binding {GO:0044877}; syntaxin binding {GO:0019905}</t>
  </si>
  <si>
    <t>COPII-mediated vesicle transport {R-MMU-204005}; RHOA GTPase cycle {R-MMU-8980692}</t>
  </si>
  <si>
    <t>sp|P67984|RL22_MOUSE</t>
  </si>
  <si>
    <t>60S ribosomal protein L22</t>
  </si>
  <si>
    <t>Heparin-binding protein HBp15</t>
  </si>
  <si>
    <t>RL22_MOUSE</t>
  </si>
  <si>
    <t>P67984</t>
  </si>
  <si>
    <t>P41104</t>
  </si>
  <si>
    <t>MGI:99262</t>
  </si>
  <si>
    <t>3D-structure; Cytoplasm; Heparin-binding; Phosphoprotein; Ribonucleoprotein; Ribosomal protein; RNA-binding</t>
  </si>
  <si>
    <t>Heparin-binding; RNA-binding; Ribonucleoprotein; Ribosomal protein</t>
  </si>
  <si>
    <t>alpha-beta T cell differentiation {GO:0046632}; cytoplasmic translation {GO:0002181}; regulation of translation at presynapse, modulating synaptic transmission {GO:0099577}</t>
  </si>
  <si>
    <t>cytoplasm {GO:0005737}; cytosol {GO:0005829}; cytosolic large ribosomal subunit {GO:0022625}; cytosolic ribosome {GO:0022626}; glutamatergic synapse {GO:0098978}; nucleus {GO:0005634}; presynapse {GO:0098793}; ribonucleoprotein complex {GO:1990904}; ribosome {GO:0005840}</t>
  </si>
  <si>
    <t>heparin binding {GO:0008201}; identical protein binding {GO:0042802}; RNA binding {GO:0003723}; structural constituent of ribosome {GO:0003735}; translation regulator activity {GO:0045182}</t>
  </si>
  <si>
    <t>sp|P13439|UMPS_MOUSE</t>
  </si>
  <si>
    <t>Orotidine 5'-phosphate decarboxylase (UMP synthase; OPRTase)</t>
  </si>
  <si>
    <t>OMPdecase</t>
  </si>
  <si>
    <t>UMPS_MOUSE</t>
  </si>
  <si>
    <t>P13439</t>
  </si>
  <si>
    <t>Q99L26</t>
  </si>
  <si>
    <t>MGI:1298388</t>
  </si>
  <si>
    <t>Decarboxylase; Glycosyltransferase; Lyase; Multifunctional enzyme; Phosphoprotein; Pyrimidine biosynthesis; Transferase</t>
  </si>
  <si>
    <t>Decarboxylase; Glycosyltransferase; Lyase; Multifunctional enzyme; Transferase</t>
  </si>
  <si>
    <t>'de novo' pyrimidine nucleobase biosynthetic process {GO:0006207}; 'de novo' UMP biosynthetic process {GO:0044205}; cellular response to xenobiotic stimulus {GO:0071466}; female pregnancy {GO:0007565}; lactation {GO:0007595}; pyrimidine nucleobase biosynthetic process {GO:0019856}; UDP biosynthetic process {GO:0006225}; UMP biosynthetic process {GO:0006222}</t>
  </si>
  <si>
    <t>identical protein binding {GO:0042802}; orotate phosphoribosyltransferase activity {GO:0004588}; orotidine-5'-phosphate decarboxylase activity {GO:0004590}</t>
  </si>
  <si>
    <t>Pyrimidine metabolism; UMP biosynthesis via de novo pathway; UMP from orotate: step 2/2..</t>
  </si>
  <si>
    <t>sp|P62274|RS29_MOUSE</t>
  </si>
  <si>
    <t>40S ribosomal protein S29</t>
  </si>
  <si>
    <t>RS29_MOUSE</t>
  </si>
  <si>
    <t>P62274</t>
  </si>
  <si>
    <t>P30054</t>
  </si>
  <si>
    <t>MGI:107681</t>
  </si>
  <si>
    <t>3D-structure; Acetylation; Cytoplasm; Endoplasmic reticulum; Metal-binding; Methylation; Phosphoprotein; Ribonucleoprotein; Ribosomal protein; Zinc</t>
  </si>
  <si>
    <t>structural constituent of ribosome {GO:0003735}; zinc ion binding {GO:0008270}</t>
  </si>
  <si>
    <t>sp|Q9D172|GAL3A_MOUSE</t>
  </si>
  <si>
    <t>Glutamine amidotransferase-like class 1 domain-containing protein 3, mitochondrial</t>
  </si>
  <si>
    <t>GAL3A_MOUSE</t>
  </si>
  <si>
    <t>Q9D172</t>
  </si>
  <si>
    <t>D10Jhu81e; Gatd3a</t>
  </si>
  <si>
    <t>MGI:1351861</t>
  </si>
  <si>
    <t>Acetylation; Mitochondrion; Transit peptide</t>
  </si>
  <si>
    <t>sp|Q60960|IMA5_MOUSE</t>
  </si>
  <si>
    <t>Importin subunit alpha-5</t>
  </si>
  <si>
    <t>Importin alpha-S1; Karyopherin subunit alpha-1; Nucleoprotein interactor 1 (NPI-1); RAG cohort protein 2; SRP1-beta</t>
  </si>
  <si>
    <t>IMA5_MOUSE</t>
  </si>
  <si>
    <t>Q60960</t>
  </si>
  <si>
    <t>Q3TF32</t>
  </si>
  <si>
    <t>Rch2</t>
  </si>
  <si>
    <t>MGI:103560</t>
  </si>
  <si>
    <t>Acetylation; Cytoplasm; Nucleus; Phosphoprotein; Protein transport; Repeat; Transport; Ubl conjugation</t>
  </si>
  <si>
    <t>NLS-bearing protein import into nucleus {GO:0006607}; postsynapse to nucleus signaling pathway {GO:0099527}; protein import into nucleus {GO:0006606}; regulation of apoptotic process {GO:0042981}; regulation of canonical Wnt signaling pathway {GO:0060828}; satellite cell activation involved in skeletal muscle regeneration {GO:0014901}; skeletal muscle satellite cell proliferation {GO:0014841}; skeletal muscle tissue regeneration {GO:0043403}</t>
  </si>
  <si>
    <t>cytosol {GO:0005829}; dendrite {GO:0030425}; glutamatergic synapse {GO:0098978}; NLS-dependent protein nuclear import complex {GO:0042564}; nucleoplasm {GO:0005654}; nucleus {GO:0005634}; postsynaptic density {GO:0014069}</t>
  </si>
  <si>
    <t>nuclear import signal receptor activity {GO:0061608}; nuclear localization sequence binding {GO:0008139}</t>
  </si>
  <si>
    <t>Apoptosis induced DNA fragmentation {R-MMU-140342}; Assembly of the ORC complex at the origin of replication {R-MMU-68616}; Interferon alpha/beta signaling {R-MMU-909733}</t>
  </si>
  <si>
    <t>sp|P62320|SMD3_MOUSE</t>
  </si>
  <si>
    <t>Small nuclear ribonucleoprotein Sm D3 (Sm-D3)</t>
  </si>
  <si>
    <t>snRNP core protein D3</t>
  </si>
  <si>
    <t>SMD3_MOUSE</t>
  </si>
  <si>
    <t>P62320</t>
  </si>
  <si>
    <t>P43331; Q3TV81</t>
  </si>
  <si>
    <t>MGI:1914582</t>
  </si>
  <si>
    <t>Acetylation; Cytoplasm; Methylation; mRNA processing; mRNA splicing; Nucleus; Repeat; Ribonucleoprotein; RNA-binding; Spliceosome</t>
  </si>
  <si>
    <t>mRNA splicing, via spliceosome {GO:0000398}; protein methylation {GO:0006479}; spliceosomal snRNP assembly {GO:0000387}</t>
  </si>
  <si>
    <t>catalytic step 2 spliceosome {GO:0071013}; commitment complex {GO:0000243}; cytoplasm {GO:0005737}; cytosol {GO:0005829}; methylosome {GO:0034709}; nuclear body {GO:0016604}; nucleoplasm {GO:0005654}; nucleus {GO:0005634}; pICln-Sm protein complex {GO:0034715}; precatalytic spliceosome {GO:0071011}; SMN-Sm protein complex {GO:0034719}; spliceosomal complex {GO:0005681}; spliceosomal tri-snRNP complex {GO:0097526}; telomerase holoenzyme complex {GO:0005697}; U1 snRNP {GO:0005685}; U12-type spliceosomal complex {GO:0005689}; U2 snRNP {GO:0005686}; U2-type catalytic step 2 spliceosome {GO:0071007}; U2-type precatalytic spliceosome {GO:0071005}; U4 snRNP {GO:0005687}; U4/U6 x U5 tri-snRNP complex {GO:0046540}; U5 snRNP {GO:0005682}; U7 snRNP {GO:0005683}</t>
  </si>
  <si>
    <t>enzyme binding {GO:0019899}; histone pre-mRNA DCP binding {GO:0071208}; RNA binding {GO:0003723}; telomerase RNA binding {GO:0070034}; U1 snRNP binding {GO:1990446}; U7 snRNA binding {GO:0071209}</t>
  </si>
  <si>
    <t>sp|O70591|PFD2_MOUSE</t>
  </si>
  <si>
    <t>Prefoldin subunit 2</t>
  </si>
  <si>
    <t>PFD2_MOUSE</t>
  </si>
  <si>
    <t>O70591</t>
  </si>
  <si>
    <t>Q8R0H2</t>
  </si>
  <si>
    <t>Pfd2</t>
  </si>
  <si>
    <t>MGI:1276111</t>
  </si>
  <si>
    <t>Chaperone; Cytoplasm; Mitochondrion; Nucleus</t>
  </si>
  <si>
    <t>negative regulation of amyloid fibril formation {GO:1905907}; positive regulation of cytoskeleton organization {GO:0051495}; protein folding {GO:0006457}</t>
  </si>
  <si>
    <t>cytoplasm {GO:0005737}; cytosol {GO:0005829}; mitochondrion {GO:0005739}; nucleus {GO:0005634}; prefoldin complex {GO:0016272}; RPAP3/R2TP/prefoldin-like complex {GO:1990062}</t>
  </si>
  <si>
    <t>sp|O55126|NIPS2_MOUSE</t>
  </si>
  <si>
    <t>Protein NipSnap homolog 2 (NipSnap2)</t>
  </si>
  <si>
    <t>Glioblastoma-amplified sequence</t>
  </si>
  <si>
    <t>NIPS2_MOUSE</t>
  </si>
  <si>
    <t>O55126</t>
  </si>
  <si>
    <t>Gbas</t>
  </si>
  <si>
    <t>MGI:1278343</t>
  </si>
  <si>
    <t>mitochondrion organization {GO:0007005}; oxidative phosphorylation {GO:0006119}; positive regulation of high voltage-gated calcium channel activity {GO:1901843}</t>
  </si>
  <si>
    <t>cytoplasm {GO:0005737}; mitochondrial outer membrane {GO:0005741}; mitochondrion {GO:0005739}</t>
  </si>
  <si>
    <t>sp|Q8VH51|RBM39_MOUSE</t>
  </si>
  <si>
    <t>RNA-binding protein 39</t>
  </si>
  <si>
    <t>Coactivator of activating protein 1 and estrogen receptors (Coactivator of AP-1 and ERs); RNA-binding motif protein 39; RNA-binding region-containing protein 2</t>
  </si>
  <si>
    <t>RBM39_MOUSE</t>
  </si>
  <si>
    <t>Q8VH51</t>
  </si>
  <si>
    <t>Q5RJI0; Q99KV0</t>
  </si>
  <si>
    <t>Caper; Rnpc2</t>
  </si>
  <si>
    <t>MGI:2157953</t>
  </si>
  <si>
    <t>3D-structure; Acetylation; Activator; Alternative splicing; Isopeptide bond; mRNA processing; mRNA splicing; Nucleus; Phosphoprotein; Repeat; RNA-binding; Transcription; Transcription regulation; Ubl conjugation</t>
  </si>
  <si>
    <t>mRNA processing {GO:0006397}; regulation of mRNA splicing, via spliceosome {GO:0048024}; RNA splicing {GO:0008380}</t>
  </si>
  <si>
    <t>centriolar satellite {GO:0034451}; microtubule cytoskeleton {GO:0015630}; nuclear speck {GO:0016607}; nucleoplasm {GO:0005654}; protein-containing complex {GO:0032991}</t>
  </si>
  <si>
    <t>RNA binding {GO:0003723}; RS domain binding {GO:0050733}</t>
  </si>
  <si>
    <t>Nuclear Envelope Breakdown {R-MMU-2980766}; Initiation of Nuclear Envelope (NE) Reformation {R-MMU-2995383}; Depolymerisation of the Nuclear Lamina {R-MMU-4419969}; RAC1 GTPase cycle {R-MMU-9013149}; RAC2 GTPase cycle {R-MMU-9013404}; RHOD GTPase cycle {R-MMU-9013405}; RHOG GTPase cycle {R-MMU-9013408}; RAC3 GTPase cycle {R-MMU-9013423}; RND3 GTPase cycle {R-MMU-9696264}; RND2 GTPase cycle {R-MMU-9696270}; RND1 GTPase cycle {R-MMU-9696273}</t>
  </si>
  <si>
    <t>sp|Q9CQH3|NDUB5_MOUSE</t>
  </si>
  <si>
    <t>NADH dehydrogenase [ubiquinone] 1 beta subcomplex subunit 5, mitochondrial</t>
  </si>
  <si>
    <t>Complex I-SGDH (CI-SGDH); NADH-ubiquinone oxidoreductase SGDH subunit</t>
  </si>
  <si>
    <t>NDUB5_MOUSE</t>
  </si>
  <si>
    <t>Q9CQH3</t>
  </si>
  <si>
    <t>MGI:1913296</t>
  </si>
  <si>
    <t>3D-structure; Electron transport; Membrane; Mitochondrion; Mitochondrion inner membrane; Respiratory chain; Transit peptide; Transmembrane; Transmembrane helix; Transport</t>
  </si>
  <si>
    <t>aerobic respiration {GO:0009060}; mitochondrial respiratory chain complex I assembly {GO:0032981}; proton motive force-driven mitochondrial ATP synthesis {GO:0042776}</t>
  </si>
  <si>
    <t>sp|O09131|GSTO1_MOUSE</t>
  </si>
  <si>
    <t>Glutathione S-transferase omega-1 (GSTO-1)</t>
  </si>
  <si>
    <t>Glutathione S-transferase omega 1-1 (GSTO 1-1); Glutathione-dependent dehydroascorbate reductase; Monomethylarsonic acid reductase (MMA(V) reductase); S-(Phenacyl)glutathione reductase (SPG-R); p28</t>
  </si>
  <si>
    <t>GSTO1_MOUSE</t>
  </si>
  <si>
    <t>O09131</t>
  </si>
  <si>
    <t>Q3TH87</t>
  </si>
  <si>
    <t>Gstx; Gtsttl</t>
  </si>
  <si>
    <t>MGI:1342273</t>
  </si>
  <si>
    <t>Acetylation; Cytoplasm; Oxidoreductase; Phosphoprotein; Transferase</t>
  </si>
  <si>
    <t>cellular response to arsenic-containing substance {GO:0071243}; glutathione metabolic process {GO:0006749}; L-ascorbic acid biosynthetic process {GO:0019853}; L-ascorbic acid metabolic process {GO:0019852}; negative regulation of ryanodine-sensitive calcium-release channel activity {GO:0060315}; positive regulation of ryanodine-sensitive calcium-release channel activity {GO:0060316}; regulation of release of sequestered calcium ion into cytosol by sarcoplasmic reticulum {GO:0010880}; xenobiotic catabolic process {GO:0042178}</t>
  </si>
  <si>
    <t>axon {GO:0030424}; basement membrane {GO:0005604}; cell body {GO:0044297}; cytoplasm {GO:0005737}; cytosol {GO:0005829}; myelin sheath {GO:0043209}; nuclear membrane {GO:0031965}</t>
  </si>
  <si>
    <t>glutathione dehydrogenase (ascorbate) activity {GO:0045174}; glutathione transferase activity {GO:0004364}; methylarsonate reductase activity {GO:0050610}; oxidoreductase activity {GO:0016491}</t>
  </si>
  <si>
    <t>Methylation {R-MMU-156581}; Glutathione conjugation {R-MMU-156590}; Vitamin C (ascorbate) metabolism {R-MMU-196836}</t>
  </si>
  <si>
    <t>sp|Q61234|SNTA1_MOUSE</t>
  </si>
  <si>
    <t>Alpha-1-syntrophin</t>
  </si>
  <si>
    <t>59 kDa dystrophin-associated protein A1 acidic component 1; Syntrophin-1</t>
  </si>
  <si>
    <t>SNTA1_MOUSE</t>
  </si>
  <si>
    <t>Q61234</t>
  </si>
  <si>
    <t>Q8VEF3</t>
  </si>
  <si>
    <t>Snt1</t>
  </si>
  <si>
    <t>MGI:101772</t>
  </si>
  <si>
    <t>3D-structure; Actin-binding; Calcium; Calmodulin-binding; Cell junction; Cell membrane; Cytoplasm; Cytoskeleton; Membrane; Phosphoprotein; Repeat</t>
  </si>
  <si>
    <t>negative regulation of peptidyl-cysteine S-nitrosylation {GO:1902083}; neuromuscular junction development {GO:0007528}; regulation of heart rate {GO:0002027}; regulation of sodium ion transmembrane transport {GO:1902305}; regulation of vasoconstriction by circulating norepinephrine {GO:0003117}; regulation of ventricular cardiac muscle cell membrane repolarization {GO:0060307}; ventricular cardiac muscle cell action potential {GO:0086005}</t>
  </si>
  <si>
    <t>anchoring junction {GO:0070161}; cytoplasm {GO:0005737}; cytoskeleton {GO:0005856}; dystrophin-associated glycoprotein complex {GO:0016010}; neuromuscular junction {GO:0031594}; postsynaptic membrane {GO:0045211}; protein-containing complex {GO:0032991}; sarcolemma {GO:0042383}; synapse {GO:0045202}</t>
  </si>
  <si>
    <t>actin binding {GO:0003779}; ATPase binding {GO:0051117}; calmodulin binding {GO:0005516}; nitric-oxide synthase binding {GO:0050998}; PDZ domain binding {GO:0030165}; sodium channel regulator activity {GO:0017080}; structural molecule activity {GO:0005198}; transmembrane transporter binding {GO:0044325}</t>
  </si>
  <si>
    <t>sp|P17809|GTR1_MOUSE</t>
  </si>
  <si>
    <t>Solute carrier family 2, facilitated glucose transporter member 1</t>
  </si>
  <si>
    <t>Glucose transporter type 1, erythrocyte/brain (GLUT-1; GT1)</t>
  </si>
  <si>
    <t>GTR1_MOUSE</t>
  </si>
  <si>
    <t>P17809</t>
  </si>
  <si>
    <t>Q61608; Q6GTI3</t>
  </si>
  <si>
    <t>MGI:95755</t>
  </si>
  <si>
    <t>Acetylation; Cell membrane; Glycoprotein; Membrane; Phosphoprotein; Sugar transport; Transmembrane; Transmembrane helix; Transport</t>
  </si>
  <si>
    <t>Sugar transport; Transport</t>
  </si>
  <si>
    <t>cellular hyperosmotic response {GO:0071474}; cellular response to glucose starvation {GO:0042149}; cellular response to mechanical stimulus {GO:0071260}; central nervous system development {GO:0007417}; cerebral cortex development {GO:0021987}; dehydroascorbic acid transport {GO:0070837}; female pregnancy {GO:0007565}; glucose import {GO:0046323}; glucose import across plasma membrane {GO:0098708}; glucose transmembrane transport {GO:1904659}; long-chain fatty acid import across plasma membrane {GO:0015911}; monosaccharide transmembrane transport {GO:0015749}; photoreceptor cell maintenance {GO:0045494}; protein-containing complex assembly {GO:0065003}; response to hypoxia {GO:0001666}; response to insulin {GO:0032868}; response to Thyroglobulin triiodothyronine {GO:1904016}; transport across blood-brain barrier {GO:0150104}; xenobiotic transport {GO:0042908}</t>
  </si>
  <si>
    <t>apical plasma membrane {GO:0016324}; basolateral plasma membrane {GO:0016323}; caveola {GO:0005901}; cell-cell junction {GO:0005911}; cortical actin cytoskeleton {GO:0030864}; cytoplasm {GO:0005737}; cytosol {GO:0005829}; female germ cell nucleus {GO:0001674}; female pronucleus {GO:0001939}; Golgi membrane {GO:0000139}; integral component of plasma membrane {GO:0005887}; intercalated disc {GO:0014704}; membrane {GO:0016020}; membrane raft {GO:0045121}; midbody {GO:0030496}; photoreceptor inner segment {GO:0001917}; plasma membrane {GO:0005886}; presynapse {GO:0098793}; sarcolemma {GO:0042383}; synapse {GO:0045202}; vesicle {GO:0031982}; Z disc {GO:0030018}</t>
  </si>
  <si>
    <t>D-glucose transmembrane transporter activity {GO:0055056}; dehydroascorbic acid transmembrane transporter activity {GO:0033300}; glucose transmembrane transporter activity {GO:0005355}; hexose transmembrane transporter activity {GO:0015149}; identical protein binding {GO:0042802}; kinase binding {GO:0019900}; long-chain fatty acid transporter activity {GO:0005324}; protein self-association {GO:0043621}; xenobiotic transmembrane transporter activity {GO:0042910}</t>
  </si>
  <si>
    <t>Cellular hexose transport {R-MMU-189200}; Vitamin C (ascorbate) metabolism {R-MMU-196836}; Regulation of insulin secretion {R-MMU-422356}; Lactose synthesis {R-MMU-5653890}</t>
  </si>
  <si>
    <t>sp|Q921F4|HNRLL_MOUSE</t>
  </si>
  <si>
    <t>Heterogeneous nuclear ribonucleoprotein L-like</t>
  </si>
  <si>
    <t>HNRLL_MOUSE</t>
  </si>
  <si>
    <t>Q921F4</t>
  </si>
  <si>
    <t>Q3UIK6; Q6IR44; Q8BIP6; Q91W02; Q99J40</t>
  </si>
  <si>
    <t>Hnrpll</t>
  </si>
  <si>
    <t>MGI:1919942</t>
  </si>
  <si>
    <t>3D-structure; Alternative splicing; Isopeptide bond; Phosphoprotein; Repeat; Ribonucleoprotein; RNA-binding; Ubl conjugation</t>
  </si>
  <si>
    <t>mRNA processing {GO:0006397}; positive regulation of RNA splicing {GO:0033120}; regulation of RNA splicing {GO:0043484}</t>
  </si>
  <si>
    <t>nucleus {GO:0005634}; ribonucleoprotein complex {GO:1990904}</t>
  </si>
  <si>
    <t>sp|A2AQ25|SKT_MOUSE</t>
  </si>
  <si>
    <t>Sickle tail protein</t>
  </si>
  <si>
    <t>Enhancer trap locus 4</t>
  </si>
  <si>
    <t>SKT_MOUSE</t>
  </si>
  <si>
    <t>A2AQ25</t>
  </si>
  <si>
    <t>A2AUE9; A2AUF0; A2AUF1; Q75UV8; Q75UV9; Q80VK2; Q8BHX8; Q8BHY1; Q8CHA8; Q8R0K6</t>
  </si>
  <si>
    <t>MGI:95454</t>
  </si>
  <si>
    <t>Alternative splicing; Coiled coil; Cytoplasm; Developmental protein; Glycoprotein; Phosphoprotein</t>
  </si>
  <si>
    <t>embryonic skeletal system development {GO:0048706}</t>
  </si>
  <si>
    <t>sp|Q9D5V5|CUL5_MOUSE</t>
  </si>
  <si>
    <t>Cullin-5 (CUL-5)</t>
  </si>
  <si>
    <t>CUL5_MOUSE</t>
  </si>
  <si>
    <t>Q9D5V5</t>
  </si>
  <si>
    <t>Q8BMQ6; Q8BV53; Q8C098</t>
  </si>
  <si>
    <t>MGI:1922967</t>
  </si>
  <si>
    <t>3D-structure; Isopeptide bond; Phosphoprotein; Ubl conjugation; Ubl conjugation pathway</t>
  </si>
  <si>
    <t>cerebral cortex radially oriented cell migration {GO:0021799}; protein ubiquitination {GO:0016567}; radial glia guided migration of Purkinje cell {GO:0021942}; regulation of cytosolic calcium ion concentration {GO:0051480}; SCF-dependent proteasomal ubiquitin-dependent protein catabolic process {GO:0031146}</t>
  </si>
  <si>
    <t>Cul5-RING ubiquitin ligase complex {GO:0031466}; cullin-RING ubiquitin ligase complex {GO:0031461}; cytoplasm {GO:0005737}; cytosol {GO:0005829}; nucleus {GO:0005634}; plasma membrane {GO:0005886}; SCF ubiquitin ligase complex {GO:0019005}; site of DNA damage {GO:0090734}</t>
  </si>
  <si>
    <t>Downregulation of ERBB2 signaling {R-MMU-8863795}; Neddylation {R-MMU-8951664}; Inactivation of CSF3 (G-CSF) signaling {R-MMU-9705462}; Antigen processing: Ubiquitination &amp; Proteasome degradation {R-MMU-983168}</t>
  </si>
  <si>
    <t>sp|P97346|NXN_MOUSE</t>
  </si>
  <si>
    <t>Nucleoredoxin</t>
  </si>
  <si>
    <t>Protein Red-1</t>
  </si>
  <si>
    <t>NXN_MOUSE</t>
  </si>
  <si>
    <t>P97346</t>
  </si>
  <si>
    <t>Q5H8T6; Q5H8U0; Q99KF3</t>
  </si>
  <si>
    <t>Gn25</t>
  </si>
  <si>
    <t>MGI:109331</t>
  </si>
  <si>
    <t>Acetylation; Alternative splicing; Cytoplasm; Developmental protein; Differentiation; NAD; Nucleus; Oxidoreductase; Wnt signaling pathway</t>
  </si>
  <si>
    <t>Developmental protein; Oxidoreductase</t>
  </si>
  <si>
    <t>cell differentiation {GO:0030154}; circulatory system development {GO:0072359}; in utero embryonic development {GO:0001701}; negative regulation of protein ubiquitination {GO:0031397}; negative regulation of Wnt signaling pathway {GO:0030178}; Wnt signaling pathway {GO:0016055}</t>
  </si>
  <si>
    <t>thioredoxin-disulfide reductase activity {GO:0004791}</t>
  </si>
  <si>
    <t>sp|Q9CQR6|PPP6_MOUSE</t>
  </si>
  <si>
    <t>Serine/threonine-protein phosphatase 6 catalytic subunit (PP6C)</t>
  </si>
  <si>
    <t>PPP6_MOUSE</t>
  </si>
  <si>
    <t>Q9CQR6</t>
  </si>
  <si>
    <t>A2ASL7</t>
  </si>
  <si>
    <t>MGI:1915107</t>
  </si>
  <si>
    <t>Acetylation; Cell cycle; Cytoplasm; Hydrolase; Immunity; Innate immunity; Manganese; Metal-binding; Mitochondrion; Protein phosphatase</t>
  </si>
  <si>
    <t>Cell cycle; Immunity; Innate immunity</t>
  </si>
  <si>
    <t>G1/S transition of mitotic cell cycle {GO:0000082}; innate immune response {GO:0045087}; protein dephosphorylation {GO:0006470}</t>
  </si>
  <si>
    <t>metal ion binding {GO:0046872}; myosin phosphatase activity {GO:0017018}; protein serine/threonine phosphatase activity {GO:0004722}</t>
  </si>
  <si>
    <t>Telomere Extension By Telomerase {R-MMU-171319}; COPII-mediated vesicle transport {R-MMU-204005}</t>
  </si>
  <si>
    <t>sp|P08032|SPTA1_MOUSE</t>
  </si>
  <si>
    <t>Spectrin alpha chain, erythrocytic 1</t>
  </si>
  <si>
    <t>Erythroid alpha-spectrin</t>
  </si>
  <si>
    <t>SPTA1_MOUSE</t>
  </si>
  <si>
    <t>P08032</t>
  </si>
  <si>
    <t>B2RWX6; P97502</t>
  </si>
  <si>
    <t>Spna1; Spta</t>
  </si>
  <si>
    <t>MGI:98385</t>
  </si>
  <si>
    <t>Actin capping; Actin-binding; Calcium; Cell shape; Cytoplasm; Cytoskeleton; Metal-binding; Phosphoprotein; Repeat; SH3 domain</t>
  </si>
  <si>
    <t>actin cytoskeleton organization {GO:0030036}; actin filament capping {GO:0051693}; hemopoiesis {GO:0030097}; lymphocyte homeostasis {GO:0002260}; plasma membrane organization {GO:0007009}; porphyrin-containing compound biosynthetic process {GO:0006779}; positive regulation of protein binding {GO:0032092}; positive regulation of T cell proliferation {GO:0042102}; regulation of cell shape {GO:0008360}</t>
  </si>
  <si>
    <t>axon {GO:0030424}; cell junction {GO:0030054}; cell projection {GO:0042995}; cortical actin cytoskeleton {GO:0030864}; cortical cytoskeleton {GO:0030863}; cuticular plate {GO:0032437}; cytoplasmic side of plasma membrane {GO:0009898}; membrane {GO:0016020}; plasma membrane {GO:0005886}; spectrin {GO:0008091}; spectrin-associated cytoskeleton {GO:0014731}</t>
  </si>
  <si>
    <t>actin filament binding {GO:0051015}; calcium ion binding {GO:0005509}</t>
  </si>
  <si>
    <t>sp|Q8CGP7|H2A1K_MOUSE</t>
  </si>
  <si>
    <t>Histone H2A type 1-K</t>
  </si>
  <si>
    <t>H2A1K_MOUSE</t>
  </si>
  <si>
    <t>Q8CGP7</t>
  </si>
  <si>
    <t>Q0VE75</t>
  </si>
  <si>
    <t>Hist1h2ak</t>
  </si>
  <si>
    <t>MGI:2448297</t>
  </si>
  <si>
    <t>Acetylation; Chromosome; Citrullination; DNA-binding; Hydroxylation; Isopeptide bond; Methylation; Nucleosome core; Nucleus; Phosphoprotein; Ubl conjugation</t>
  </si>
  <si>
    <t>nucleosome {GO:0000786}; nucleus {GO:0005634}</t>
  </si>
  <si>
    <t>PRC2 methylates histones and DNA {R-MMU-212300}; Condensation of Prophase Chromosomes {R-MMU-2299718}; RMTs methylate histone arginines {R-MMU-3214858}; UCH proteinases {R-MMU-5689603}; Ub-specific processing proteases {R-MMU-5689880}; Metalloprotease DUBs {R-MMU-5689901}; Deposition of new CENPA-containing nucleosomes at the centromere {R-MMU-606279}; RUNX1 regulates genes involved in megakaryocyte differentiation and platelet function {R-MMU-8936459}</t>
  </si>
  <si>
    <t>sp|Q9CR00|PSMD9_MOUSE</t>
  </si>
  <si>
    <t>26S proteasome non-ATPase regulatory subunit 9</t>
  </si>
  <si>
    <t>26S proteasome regulatory subunit p27</t>
  </si>
  <si>
    <t>PSMD9_MOUSE</t>
  </si>
  <si>
    <t>Q9CR00</t>
  </si>
  <si>
    <t>Q3TG66</t>
  </si>
  <si>
    <t>MGI:1914401</t>
  </si>
  <si>
    <t>Chaperone; Phosphoprotein</t>
  </si>
  <si>
    <t>negative regulation of insulin secretion {GO:0046676}; positive regulation of DNA-templated transcription {GO:0045893}; positive regulation of insulin secretion {GO:0032024}; positive regulation of transcription by RNA polymerase II {GO:0045944}; proteasome regulatory particle assembly {GO:0070682}; type B pancreatic cell apoptotic process {GO:0097050}</t>
  </si>
  <si>
    <t>cytoplasm {GO:0005737}; nucleus {GO:0005634}; proteasome regulatory particle, base subcomplex {GO:0008540}</t>
  </si>
  <si>
    <t>bHLH transcription factor binding {GO:0043425}; protein C-terminus binding {GO:0008022}; transcription coactivator activity {GO:0003713}</t>
  </si>
  <si>
    <t>sp|P98083|SHC1_MOUSE</t>
  </si>
  <si>
    <t>SHC-transforming protein 1</t>
  </si>
  <si>
    <t>SHC-transforming protein A; Src homology 2 domain-containing-transforming protein C1 (SH2 domain protein C1)</t>
  </si>
  <si>
    <t>SHC1_MOUSE</t>
  </si>
  <si>
    <t>P98083</t>
  </si>
  <si>
    <t>Q3U2Q7; Q8BFY3; Q8K4C6; Q8K4C7</t>
  </si>
  <si>
    <t>Shc; ShcA</t>
  </si>
  <si>
    <t>MGI:98296</t>
  </si>
  <si>
    <t>Acetylation; Alternative initiation; Alternative splicing; Angiogenesis; Cytoplasm; Growth regulation; Mitochondrion; Phosphoprotein; SH2 domain</t>
  </si>
  <si>
    <t>Angiogenesis; Growth regulation</t>
  </si>
  <si>
    <t>SH2 domain</t>
  </si>
  <si>
    <t>actin cytoskeleton organization {GO:0030036}; actin cytoskeleton reorganization {GO:0031532}; aging {GO:0007568}; angiogenesis {GO:0001525}; cell-cell adhesion {GO:0098609}; cellular response to growth factor stimulus {GO:0071363}; defense response to bacterium {GO:0042742}; epidermal growth factor receptor signaling pathway {GO:0007173}; heart development {GO:0007507}; insulin receptor signaling pathway {GO:0008286}; intracellular signal transduction {GO:0035556}; negative regulation of angiogenesis {GO:0016525}; negative regulation of apoptotic process {GO:0043066}; negative regulation of DNA-templated transcription {GO:0045892}; neuron differentiation {GO:0030182}; neuron projection development {GO:0031175}; positive regulation of cell population proliferation {GO:0008284}; positive regulation of cell proliferation in bone marrow {GO:0071864}; positive regulation of DNA-templated transcription {GO:0045893}; positive regulation of ERK1 and ERK2 cascade {GO:0070374}; positive regulation of MAPK cascade {GO:0043410}; positive regulation of smooth muscle cell proliferation {GO:0048661}; positive regulation of vasoconstriction {GO:0045907}; regulation of cell population proliferation {GO:0042127}; regulation of smooth muscle contraction {GO:0006940}; regulation of superoxide metabolic process {GO:0090322}; response to endothelin {GO:1990839}; transmembrane receptor protein tyrosine kinase signaling pathway {GO:0007169}</t>
  </si>
  <si>
    <t>cytoplasm {GO:0005737}; cytosol {GO:0005829}; endosome membrane {GO:0010008}; mitochondrial matrix {GO:0005759}; nucleus {GO:0005634}; plasma membrane {GO:0005886}; Shc-EGFR complex {GO:0070435}</t>
  </si>
  <si>
    <t>ephrin receptor binding {GO:0046875}; epidermal growth factor binding {GO:0048408}; epidermal growth factor receptor binding {GO:0005154}; identical protein binding {GO:0042802}; insulin receptor binding {GO:0005158}; insulin-like growth factor receptor binding {GO:0005159}; neurotrophin TRKA receptor binding {GO:0005168}; phosphoprotein binding {GO:0051219}; phosphotyrosine residue binding {GO:0001784}; protein kinase binding {GO:0019901}; protein phosphatase 2A binding {GO:0051721}; protein-containing complex binding {GO:0044877}; receptor tyrosine kinase binding {GO:0030971}</t>
  </si>
  <si>
    <t>SHC1 events in ERBB2 signaling. [P98083-2] {R-MMU-1250196}; SHC1 events in ERBB4 signaling. [P98083-2] {R-MMU-1250347}; Signalling to RAS. [P98083-2] {R-MMU-167044}; SHC1 events in EGFR signaling. [P98083-2] {R-MMU-180336}; Signaling by ALK. [P98083-2] {R-MMU-201556}; Tie2 Signaling. [P98083-2] {R-MMU-210993}; DAP12 signaling. [P98083-2] {R-MMU-2424491}; SHC-related events triggered by IGF1R. [P98083-2] {R-MMU-2428933}; Role of LAT2/NTAL/LAB on calcium mobilization. [P98083-2] {R-MMU-2730905}; FCERI mediated MAPK activation. [P98083-2] {R-MMU-2871796}; FCERI mediated Ca+2 mobilization. [P98083-2] {R-MMU-2871809}; Integrin signaling. [P98083-2] {R-MMU-354192}; Interleukin-3, Interleukin-5 and GM-CSF signaling. [P98083-2] {R-MMU-512988}; SHC-mediated cascade:FGFR1. [P98083-2] {R-MMU-5654688}; SHC-mediated cascade:FGFR2. [P98083-2] {R-MMU-5654699}; SHC-mediated cascade:FGFR3. [P98083-2] {R-MMU-5654704}; SHC-mediated cascade:FGFR4. [P98083-2] {R-MMU-5654719}; RAF/MAP kinase cascade. [P98083-2] {R-MMU-5673001}; Signal attenuation. [P98083-2] {R-MMU-74749}; Insulin receptor signalling cascade. [P98083-2] {R-MMU-74751}; MET activates RAS signaling. [P98083-2] {R-MMU-8851805}; RET signaling. [P98083-2] {R-MMU-8853659}; Interleukin-15 signaling. [P98083-2] {R-MMU-8983432}; Extra-nuclear estrogen signaling. [P98083-2] {R-MMU-9009391}; Interleukin-2 signaling. [P98083-2] {R-MMU-9020558}; Erythropoietin activates RAS. [P98083-2] {R-MMU-9027284}; Interleukin receptor SHC signaling. [P98083-2] {R-MMU-912526}; GPER1 signaling. [P98083-2] {R-MMU-9634597}; Signaling by CSF3 (G-CSF). [P98083-2] {R-MMU-9674555}</t>
  </si>
  <si>
    <t>sp|Q8BH97|RCN3_MOUSE</t>
  </si>
  <si>
    <t>Reticulocalbin-3</t>
  </si>
  <si>
    <t>RCN3_MOUSE</t>
  </si>
  <si>
    <t>Q8BH97</t>
  </si>
  <si>
    <t>Q58E50; Q8R137; Q99K35; Q9CTD4</t>
  </si>
  <si>
    <t>D7Ertd671e</t>
  </si>
  <si>
    <t>MGI:1277122</t>
  </si>
  <si>
    <t>Calcium; Chaperone; Endoplasmic reticulum; Glycoprotein; Metal-binding; Repeat; Signal</t>
  </si>
  <si>
    <t>collagen biosynthetic process {GO:0032964}; ERAD pathway {GO:0036503}; lung epithelium development {GO:0060428}; phospholipid homeostasis {GO:0055091}; positive regulation of peptidase activity {GO:0010952}; protein secretion {GO:0009306}; protein transport {GO:0015031}; regulation of protein kinase B signaling {GO:0051896}; surfactant homeostasis {GO:0043129}</t>
  </si>
  <si>
    <t>endoplasmic reticulum {GO:0005783}; endoplasmic reticulum lumen {GO:0005788}; intracellular membrane-bounded organelle {GO:0043231}</t>
  </si>
  <si>
    <t>sp|P08752|GNAI2_MOUSE</t>
  </si>
  <si>
    <t>Guanine nucleotide-binding protein G(i) subunit alpha-2</t>
  </si>
  <si>
    <t>Adenylate cyclase-inhibiting G alpha protein</t>
  </si>
  <si>
    <t>GNAI2_MOUSE</t>
  </si>
  <si>
    <t>P08752</t>
  </si>
  <si>
    <t>Q3TXK7; Q6P1C0</t>
  </si>
  <si>
    <t>Gnai-2</t>
  </si>
  <si>
    <t>MGI:95772</t>
  </si>
  <si>
    <t>Cell cycle; Cell division; Cell membrane; Cytoplasm; Cytoskeleton; GTP-binding; Lipoprotein; Magnesium; Membrane; Metal-binding; Myristate; Nucleotide-binding; Palmitate; Transducer</t>
  </si>
  <si>
    <t>Lipoprotein; Myristate; Palmitate</t>
  </si>
  <si>
    <t>adenylate cyclase-activating G protein-coupled receptor signaling pathway {GO:0007189}; adenylate cyclase-inhibiting G protein-coupled receptor signaling pathway {GO:0007193}; adenylate cyclase-modulating G protein-coupled receptor signaling pathway {GO:0007188}; cell cycle {GO:0007049}; cell division {GO:0051301}; cell population proliferation {GO:0008283}; G protein-coupled acetylcholine receptor signaling pathway {GO:0007213}; G protein-coupled adenosine receptor signaling pathway {GO:0001973}; G protein-coupled receptor signaling pathway {GO:0007186}; gamma-aminobutyric acid signaling pathway {GO:0007214}; negative regulation of adenylate cyclase-activating adrenergic receptor signaling pathway involved in heart process {GO:0140199}; negative regulation of apoptotic signaling pathway {GO:2001234}; negative regulation of calcium ion-dependent exocytosis {GO:0045955}; negative regulation of protein tyrosine phosphatase activity {GO:1903614}; negative regulation of synaptic transmission {GO:0050805}; positive regulation of cell migration {GO:0030335}; positive regulation of cell population proliferation {GO:0008284}; positive regulation of ERK1 and ERK2 cascade {GO:0070374}; positive regulation of insulin receptor signaling pathway {GO:0046628}; positive regulation of NAD(P)H oxidase activity {GO:0033864}; positive regulation of neural precursor cell proliferation {GO:2000179}; positive regulation of renal sodium excretion {GO:0035815}; positive regulation of superoxide anion generation {GO:0032930}; positive regulation of urine volume {GO:0035810}; positive regulation of vascular associated smooth muscle cell proliferation {GO:1904707}; regulation of calcium ion transport {GO:0051924}</t>
  </si>
  <si>
    <t>cell body {GO:0044297}; centrosome {GO:0005813}; cytoplasm {GO:0005737}; cytosol {GO:0005829}; dendrite {GO:0030425}; heterotrimeric G-protein complex {GO:0005834}; membrane {GO:0016020}; membrane raft {GO:0045121}; midbody {GO:0030496}; nucleoplasm {GO:0005654}; nucleus {GO:0005634}; plasma membrane {GO:0005886}; synapse {GO:0045202}</t>
  </si>
  <si>
    <t>G protein-coupled receptor binding {GO:0001664}; G-protein beta/gamma-subunit complex binding {GO:0031683}; GTP binding {GO:0005525}; GTPase activity {GO:0003924}; metal ion binding {GO:0046872}</t>
  </si>
  <si>
    <t>Adenylate cyclase inhibitory pathway {R-MMU-170670}; ADP signalling through P2Y purinoceptor 12 {R-MMU-392170}; Adrenaline,noradrenaline inhibits insulin secretion {R-MMU-400042}; G alpha (i) signalling events {R-MMU-418594}; Extra-nuclear estrogen signaling {R-MMU-9009391}</t>
  </si>
  <si>
    <t>sp|Q6A0A9|F120A_MOUSE</t>
  </si>
  <si>
    <t>Constitutive coactivator of PPAR-gamma-like protein 1</t>
  </si>
  <si>
    <t>Oxidative stress-associated Src activator; Protein FAM120A</t>
  </si>
  <si>
    <t>F120A_MOUSE</t>
  </si>
  <si>
    <t>Q6A0A9</t>
  </si>
  <si>
    <t>A0PJK6; B3DFJ0; Q91Z16</t>
  </si>
  <si>
    <t>Kiaa0183; Ossa</t>
  </si>
  <si>
    <t>MGI:2446163</t>
  </si>
  <si>
    <t>Acetylation; Cell membrane; Cytoplasm; Membrane; Methylation; Phosphoprotein; RNA-binding</t>
  </si>
  <si>
    <t>cytosol {GO:0005829}; nucleus {GO:0005634}; plasma membrane {GO:0005886}</t>
  </si>
  <si>
    <t>sp|O88456|CPNS1_MOUSE</t>
  </si>
  <si>
    <t>Calpain small subunit 1 (CSS1)</t>
  </si>
  <si>
    <t>Calcium-activated neutral proteinase small subunit (CANP small subunit); Calcium-dependent protease small subunit (CDPS); Calcium-dependent protease small subunit 1; Calpain regulatory subunit</t>
  </si>
  <si>
    <t>CPNS1_MOUSE</t>
  </si>
  <si>
    <t>O88456</t>
  </si>
  <si>
    <t>A0A0R4IZW8; D3YW48; Q3V0X5; Q5BKQ2; Q8CEI2; Q8VEK4; Q9R1C5</t>
  </si>
  <si>
    <t>Capn4</t>
  </si>
  <si>
    <t>MGI:88266</t>
  </si>
  <si>
    <t>Acetylation; Calcium; Cell membrane; Cytoplasm; Membrane; Metal-binding; Phosphoprotein; Repeat</t>
  </si>
  <si>
    <t>calpain complex {GO:0110158}; cytosol {GO:0005829}; membrane {GO:0016020}; plasma membrane {GO:0005886}</t>
  </si>
  <si>
    <t>calcium ion binding {GO:0005509}; calcium-dependent cysteine-type endopeptidase activity {GO:0004198}; protein-containing complex binding {GO:0044877}</t>
  </si>
  <si>
    <t>sp|Q920Q8|NS1BP_MOUSE</t>
  </si>
  <si>
    <t>Influenza virus NS1A-binding protein homolog (NS1-BP; NS1-binding protein homolog)</t>
  </si>
  <si>
    <t>Kelch family protein Nd1-L; ND1-L2; Nd1-S</t>
  </si>
  <si>
    <t>NS1BP_MOUSE</t>
  </si>
  <si>
    <t>Q920Q8</t>
  </si>
  <si>
    <t>Q06BK6; Q3TXI1; Q3UJE3; Q3UJS1; Q3UKH9; Q3UMK9; Q6ZQ34; Q99KN0; Q9D978</t>
  </si>
  <si>
    <t>Kiaa0850; Nd1; Nd1L; Nd1S; Ns1; Ns1bp</t>
  </si>
  <si>
    <t>MGI:2152389</t>
  </si>
  <si>
    <t>Alternative splicing; Cytoplasm; Cytoskeleton; Kelch repeat; Nucleus; Phosphoprotein; Repeat</t>
  </si>
  <si>
    <t>intrinsic apoptotic signaling pathway {GO:0097193}; negative regulation of intrinsic apoptotic signaling pathway {GO:2001243}; negative regulation of protein ubiquitination {GO:0031397}; response to virus {GO:0009615}; RNA splicing {GO:0008380}</t>
  </si>
  <si>
    <t>cytoskeleton {GO:0005856}; cytosol {GO:0005829}; nucleus {GO:0005634}</t>
  </si>
  <si>
    <t>sp|Q9Z2I8|SUCB2_MOUSE</t>
  </si>
  <si>
    <t>Succinate--CoA ligase [GDP-forming] subunit beta, mitochondrial</t>
  </si>
  <si>
    <t>GTP-specific succinyl-CoA synthetase subunit beta (G-SCS; GTPSCS); Succinyl-CoA synthetase beta-G chain (SCS-betaG)</t>
  </si>
  <si>
    <t>SUCB2_MOUSE</t>
  </si>
  <si>
    <t>Q9Z2I8</t>
  </si>
  <si>
    <t>Q3T9B8; Q3TJQ5; Q3TK63; Q66JT3; Q7TMY3; Q80VV1; Q8K2K9</t>
  </si>
  <si>
    <t>MGI:1306824</t>
  </si>
  <si>
    <t>Acetylation; Alternative splicing; GTP-binding; Ligase; Magnesium; Metal-binding; Mitochondrion; Nucleotide-binding; Phosphoprotein; Transit peptide; Tricarboxylic acid cycle</t>
  </si>
  <si>
    <t>mitochondrion {GO:0005739}; plasma membrane {GO:0005886}; protein-containing complex {GO:0032991}; succinate-CoA ligase complex {GO:0042709}; succinate-CoA ligase complex (GDP-forming) {GO:0045244}</t>
  </si>
  <si>
    <t>ATP binding {GO:0005524}; GDP binding {GO:0019003}; GTP binding {GO:0005525}; magnesium ion binding {GO:0000287}; protein-containing complex binding {GO:0044877}; succinate-CoA ligase (GDP-forming) activity {GO:0004776}; succinate-semialdehyde dehydrogenase (NAD+) activity {GO:0004777}</t>
  </si>
  <si>
    <t>Carbohydrate metabolism; tricarboxylic acid cycle; succinate from succinyl-CoA (ligase route): step 1/1. {ECO:0000255|HAMAP- Rule:MF_03221}.</t>
  </si>
  <si>
    <t>sp|Q9QY81|PO210_MOUSE</t>
  </si>
  <si>
    <t>Nuclear pore membrane glycoprotein 210 (Nuclear pore protein gp210)</t>
  </si>
  <si>
    <t>Nuclear envelope pore membrane protein POM 210 (POM210); Nucleoporin Nup210; Pore membrane protein of 210 kDa</t>
  </si>
  <si>
    <t>PO210_MOUSE</t>
  </si>
  <si>
    <t>Q9QY81</t>
  </si>
  <si>
    <t>Q3U031; Q69ZW2; Q7TQM1</t>
  </si>
  <si>
    <t>Kiaa0906</t>
  </si>
  <si>
    <t>MGI:1859555</t>
  </si>
  <si>
    <t>Endoplasmic reticulum; Glycoprotein; Membrane; mRNA transport; Nuclear pore complex; Nucleus; Phosphoprotein; Protein transport; Signal; Translocation; Transmembrane; Transmembrane helix; Transport</t>
  </si>
  <si>
    <t>Endoplasmic reticulum; Membrane; Nuclear pore complex; Nucleus</t>
  </si>
  <si>
    <t>mRNA transport {GO:0051028}; nucleocytoplasmic transport {GO:0006913}; protein transport {GO:0015031}; protein-containing complex assembly {GO:0065003}</t>
  </si>
  <si>
    <t>endoplasmic reticulum membrane {GO:0005789}; integral component of membrane {GO:0016021}; nuclear envelope {GO:0005635}; nuclear membrane {GO:0031965}; nuclear pore {GO:0005643}</t>
  </si>
  <si>
    <t>sp|Q62465|VAT1_MOUSE</t>
  </si>
  <si>
    <t>Synaptic vesicle membrane protein VAT-1 homolog</t>
  </si>
  <si>
    <t>VAT1_MOUSE</t>
  </si>
  <si>
    <t>Q62465</t>
  </si>
  <si>
    <t>Q8R3G0; Q8R3T8</t>
  </si>
  <si>
    <t>Vat-1</t>
  </si>
  <si>
    <t>MGI:1349450</t>
  </si>
  <si>
    <t>Acetylation; Cytoplasm; Membrane; Mitochondrion; Mitochondrion outer membrane; Oxidoreductase; Phosphoprotein</t>
  </si>
  <si>
    <t>negative regulation of mitochondrial fusion {GO:0010637}</t>
  </si>
  <si>
    <t>mitochondrial outer membrane {GO:0005741}</t>
  </si>
  <si>
    <t>oxidoreductase activity {GO:0016491}; zinc ion binding {GO:0008270}</t>
  </si>
  <si>
    <t>tr|Q9Z1A1|Q9Z1A1_MOUSE</t>
  </si>
  <si>
    <t>sp|P51863|VA0D1_MOUSE</t>
  </si>
  <si>
    <t>V-type proton ATPase subunit d 1 (V-ATPase subunit d 1)</t>
  </si>
  <si>
    <t>P39; Physophilin; V-ATPase 40 kDa accessory protein; V-ATPase AC39 subunit; Vacuolar proton pump subunit d 1</t>
  </si>
  <si>
    <t>VA0D1_MOUSE</t>
  </si>
  <si>
    <t>P51863</t>
  </si>
  <si>
    <t>Q54A57; Q9QWJ2</t>
  </si>
  <si>
    <t>Atp6d</t>
  </si>
  <si>
    <t>MGI:1201778</t>
  </si>
  <si>
    <t>Cilium biogenesis/degradation; Cytoplasmic vesicle; Hydrogen ion transport; Ion transport; Lysosome; Membrane; Phosphoprotein; Transport</t>
  </si>
  <si>
    <t>Cilium biogenesis/degradation; Hydrogen ion transport; Ion transport; Transport</t>
  </si>
  <si>
    <t>Cytoplasmic vesicle; Lysosome; Membrane</t>
  </si>
  <si>
    <t>brain development {GO:0007420}; cellular iron ion homeostasis {GO:0006879}; cellular response to increased oxygen levels {GO:0036295}; cilium assembly {GO:0060271}; vacuolar acidification {GO:0007035}; vacuolar transport {GO:0007034}</t>
  </si>
  <si>
    <t>apical plasma membrane {GO:0016324}; axon terminus {GO:0043679}; centrosome {GO:0005813}; clathrin-coated vesicle membrane {GO:0030665}; early endosome {GO:0005769}; lysosomal membrane {GO:0005765}; membrane {GO:0016020}; neuron projection {GO:0043005}; plasma membrane proton-transporting V-type ATPase complex {GO:0033181}; protein-containing complex {GO:0032991}; synaptic vesicle {GO:0008021}; vacuolar proton-transporting V-type ATPase complex {GO:0016471}; vacuolar proton-transporting V-type ATPase, V0 domain {GO:0000220}</t>
  </si>
  <si>
    <t>protein-containing complex binding {GO:0044877}; proton-transporting ATPase activity, rotational mechanism {GO:0046961}</t>
  </si>
  <si>
    <t>sp|Q3UMY5|EMAL4_MOUSE</t>
  </si>
  <si>
    <t>Echinoderm microtubule-associated protein-like 4 (EMAP-4)</t>
  </si>
  <si>
    <t>EMAL4_MOUSE</t>
  </si>
  <si>
    <t>Q3UMY5</t>
  </si>
  <si>
    <t>Q6NS73; Q6NXL8; Q6NZJ8; Q6P1A7</t>
  </si>
  <si>
    <t>MGI:1926048</t>
  </si>
  <si>
    <t>Acetylation; Alternative splicing; Cell cycle; Cell division; Coiled coil; Cytoplasm; Cytoskeleton; Microtubule; Mitosis; Phosphoprotein; Repeat; WD repeat</t>
  </si>
  <si>
    <t>attachment of spindle microtubules to kinetochore {GO:0008608}; cell division {GO:0051301}; microtubule cytoskeleton organization {GO:0000226}; mitotic metaphase plate congression {GO:0007080}; negative regulation of microtubule depolymerization {GO:0007026}</t>
  </si>
  <si>
    <t>cytoplasm {GO:0005737}; cytosol {GO:0005829}; microtubule {GO:0005874}; microtubule cytoskeleton {GO:0015630}; microtubule organizing center {GO:0005815}; midbody {GO:0030496}; mitotic spindle {GO:0072686}</t>
  </si>
  <si>
    <t>alpha-tubulin binding {GO:0043014}; beta-tubulin binding {GO:0048487}; microtubule binding {GO:0008017}; protein self-association {GO:0043621}</t>
  </si>
  <si>
    <t>EML4 and NUDC in mitotic spindle formation {R-MMU-9648025}</t>
  </si>
  <si>
    <t>sp|Q922F4|TBB6_MOUSE</t>
  </si>
  <si>
    <t>Tubulin beta-6 chain</t>
  </si>
  <si>
    <t>TBB6_MOUSE</t>
  </si>
  <si>
    <t>Q922F4</t>
  </si>
  <si>
    <t>MGI:1915201</t>
  </si>
  <si>
    <t>Cytoplasm; Cytoskeleton; GTP-binding; Isopeptide bond; Magnesium; Metal-binding; Microtubule; Nucleotide-binding; Phosphoprotein</t>
  </si>
  <si>
    <t>Isopeptide bond; Phosphoprotein</t>
  </si>
  <si>
    <t>sp|Q9JHS9|CWC15_MOUSE</t>
  </si>
  <si>
    <t>Spliceosome-associated protein CWC15 homolog</t>
  </si>
  <si>
    <t>Embryonic development factor 1 (mED1)</t>
  </si>
  <si>
    <t>CWC15_MOUSE</t>
  </si>
  <si>
    <t>Q9JHS9</t>
  </si>
  <si>
    <t>Q3TH98; Q9CTH0</t>
  </si>
  <si>
    <t>Ed1</t>
  </si>
  <si>
    <t>MGI:1913320</t>
  </si>
  <si>
    <t>Acetylation; Coiled coil; mRNA processing; mRNA splicing; Nucleus; Phosphoprotein; Spliceosome</t>
  </si>
  <si>
    <t>mRNA cis splicing, via spliceosome {GO:0045292}; mRNA splicing, via spliceosome {GO:0000398}</t>
  </si>
  <si>
    <t>catalytic step 2 spliceosome {GO:0071013}; mitochondrion {GO:0005739}; nuclear speck {GO:0016607}; nucleus {GO:0005634}; Prp19 complex {GO:0000974}; spliceosomal complex {GO:0005681}; U2-type catalytic step 2 spliceosome {GO:0071007}</t>
  </si>
  <si>
    <t>sp|P21619|LMNB2_MOUSE</t>
  </si>
  <si>
    <t>Lamin-B2</t>
  </si>
  <si>
    <t>LMNB2_MOUSE</t>
  </si>
  <si>
    <t>P21619</t>
  </si>
  <si>
    <t>P48680; Q8CGB1</t>
  </si>
  <si>
    <t>MGI:96796</t>
  </si>
  <si>
    <t>Acetylation; Alternative splicing; Coiled coil; Intermediate filament; Isopeptide bond; Lipoprotein; Methylation; Nucleus; Phosphoprotein; Prenylation; Ubl conjugation</t>
  </si>
  <si>
    <t>heterochromatin assembly {GO:0031507}; nuclear envelope organization {GO:0006998}; nuclear migration {GO:0007097}; nuclear pore localization {GO:0051664}; protein localization to nuclear envelope {GO:0090435}</t>
  </si>
  <si>
    <t>lamin filament {GO:0005638}; nuclear envelope {GO:0005635}; nuclear lamina {GO:0005652}; nuclear membrane {GO:0031965}; nucleus {GO:0005634}</t>
  </si>
  <si>
    <t>identical protein binding {GO:0042802}; structural constituent of cytoskeleton {GO:0005200}</t>
  </si>
  <si>
    <t>sp|Q60963|PAFA_MOUSE</t>
  </si>
  <si>
    <t>Platelet-activating factor acetylhydrolase (PAF acetylhydrolase)</t>
  </si>
  <si>
    <t>1-alkyl-2-acetylglycerophosphocholine esterase; 2-acetyl-1-alkylglycerophosphocholine esterase; LDL-associated phospholipase A2 (LDL-PLA(2)); PAF 2-acylhydrolase</t>
  </si>
  <si>
    <t>PAFA_MOUSE</t>
  </si>
  <si>
    <t>Q60963</t>
  </si>
  <si>
    <t>Q8BKM3; Q921T4</t>
  </si>
  <si>
    <t>Pafah</t>
  </si>
  <si>
    <t>MGI:1351327</t>
  </si>
  <si>
    <t>Glycoprotein; HDL; Hydrolase; Lipid degradation; Lipid metabolism; Phospholipid degradation; Phospholipid metabolism; Secreted; Signal</t>
  </si>
  <si>
    <t>Lipid degradation; Lipid metabolism; Phospholipid degradation; Phospholipid metabolism</t>
  </si>
  <si>
    <t>inflammatory response {GO:0006954}; lipid oxidation {GO:0034440}; low-density lipoprotein particle remodeling {GO:0034374}; phosphatidylcholine catabolic process {GO:0034638}; plasma lipoprotein particle oxidation {GO:0034441}; platelet activating factor catabolic process {GO:0062234}; platelet activating factor metabolic process {GO:0046469}; positive regulation of monocyte chemotaxis {GO:0090026}</t>
  </si>
  <si>
    <t>cytoplasm {GO:0005737}; extracellular space {GO:0005615}; high-density lipoprotein particle {GO:0034364}; low-density lipoprotein particle {GO:0034362}</t>
  </si>
  <si>
    <t>1-alkyl-2-acetylglycerophosphocholine esterase activity {GO:0003847}; calcium-independent phospholipase A2 activity {GO:0047499}; phospholipid binding {GO:0005543}</t>
  </si>
  <si>
    <t>Synthesis, secretion, and deacylation of Ghrelin {R-MMU-422085}</t>
  </si>
  <si>
    <t>sp|Q9JMA1|UBP14_MOUSE</t>
  </si>
  <si>
    <t>Ubiquitin carboxyl-terminal hydrolase 14</t>
  </si>
  <si>
    <t>Deubiquitinating enzyme 14; Ubiquitin thioesterase 14; Ubiquitin-specific-processing protease 14</t>
  </si>
  <si>
    <t>UBP14_MOUSE</t>
  </si>
  <si>
    <t>Q9JMA1</t>
  </si>
  <si>
    <t>Q543U5; Q923F2; Q9D0L0</t>
  </si>
  <si>
    <t>MGI:1928898</t>
  </si>
  <si>
    <t>3D-structure; Acetylation; Cell membrane; Cytoplasm; Hydrolase; Immunity; Innate immunity; Membrane; Phosphoprotein; Protease; Proteasome; Thiol protease; Ubl conjugation pathway</t>
  </si>
  <si>
    <t>Immunity; Innate immunity; Ubl conjugation pathway</t>
  </si>
  <si>
    <t>Cell membrane; Cytoplasm; Membrane; Proteasome</t>
  </si>
  <si>
    <t>chemical synaptic transmission {GO:0007268}; innate immune response {GO:0045087}; negative regulation of ER-associated ubiquitin-dependent protein catabolic process {GO:1903070}; proteasome-mediated ubiquitin-dependent protein catabolic process {GO:0043161}; protein deubiquitination {GO:0016579}; regulation of chemotaxis {GO:0050920}; regulation of proteasomal protein catabolic process {GO:0061136}</t>
  </si>
  <si>
    <t>cell surface {GO:0009986}; cytoplasmic vesicle {GO:0031410}; cytosol {GO:0005829}; plasma membrane {GO:0005886}; proteasome complex {GO:0000502}; synapse {GO:0045202}</t>
  </si>
  <si>
    <t>cysteine-type deubiquitinase activity {GO:0004843}; endopeptidase inhibitor activity {GO:0004866}; proteasome binding {GO:0070628}</t>
  </si>
  <si>
    <t>Ub-specific processing proteases {R-MMU-5689880}; Regulation of NF-kappa B signaling {R-MMU-9758274}</t>
  </si>
  <si>
    <t>sp|Q9DC61|MPPA_MOUSE</t>
  </si>
  <si>
    <t>Mitochondrial-processing peptidase subunit alpha</t>
  </si>
  <si>
    <t>Alpha-MPP; Inactive zinc metalloprotease alpha; P-55</t>
  </si>
  <si>
    <t>MPPA_MOUSE</t>
  </si>
  <si>
    <t>Q9DC61</t>
  </si>
  <si>
    <t>Q3TF19</t>
  </si>
  <si>
    <t>Inpp5e</t>
  </si>
  <si>
    <t>MGI:1918568</t>
  </si>
  <si>
    <t>Acetylation; Membrane; Mitochondrion; Mitochondrion inner membrane; Transit peptide</t>
  </si>
  <si>
    <t>protein processing {GO:0016485}; protein processing involved in protein targeting to mitochondrion {GO:0006627}</t>
  </si>
  <si>
    <t>endopeptidase activity {GO:0004175}; metal ion binding {GO:0046872}; metalloendopeptidase activity {GO:0004222}; metallopeptidase activity {GO:0008237}</t>
  </si>
  <si>
    <t>sp|Q8CCJ3|UFL1_MOUSE</t>
  </si>
  <si>
    <t>E3 UFM1-protein ligase 1</t>
  </si>
  <si>
    <t>E3 UFM1-protein transferase 1; Multiple alpha-helix protein located at ER; Regulator of C53/LZAP and DDRGK1</t>
  </si>
  <si>
    <t>UFL1_MOUSE</t>
  </si>
  <si>
    <t>Q8CCJ3</t>
  </si>
  <si>
    <t>A2RSP7; B1AXU5; B1AXU6; Q3V145; Q6ZQ50; Q8BT70; Q8C484; Q9D8I8</t>
  </si>
  <si>
    <t>MGI:1914740</t>
  </si>
  <si>
    <t>Acetylation; Alternative splicing; Chromosome; Cytoplasm; DNA damage; DNA repair; Endoplasmic reticulum; Membrane; Methylation; Nucleus; Phosphoprotein; Transferase; Ubl conjugation; Ubl conjugation pathway</t>
  </si>
  <si>
    <t>Chromosome; Cytoplasm; Endoplasmic reticulum; Membrane; Nucleus</t>
  </si>
  <si>
    <t>cellular response to DNA damage stimulus {GO:0006974}; DNA repair {GO:0006281}; erythrocyte differentiation {GO:0030218}; hematopoietic stem cell differentiation {GO:0060218}; histone modification {GO:0016570}; negative regulation of apoptotic process {GO:0043066}; negative regulation of IRE1-mediated unfolded protein response {GO:1903895}; negative regulation of NF-kappaB transcription factor activity {GO:0032088}; negative regulation of protein ubiquitination {GO:0031397}; positive regulation of autophagy {GO:0010508}; positive regulation of cell population proliferation {GO:0008284}; positive regulation of glial cell proliferation {GO:0060252}; positive regulation of protein binding {GO:0032092}; protein K69-linked ufmylation {GO:1990592}; protein ufmylation {GO:0071569}; regulation of gene expression {GO:0010468}; regulation of I-kappaB kinase/NF-kappaB signaling {GO:0043122}; regulation of inflammatory response {GO:0050727}; regulation of intracellular estrogen receptor signaling pathway {GO:0033146}; regulation of proteasomal ubiquitin-dependent protein catabolic process {GO:0032434}; regulation of protein localization {GO:0032880}; response to endoplasmic reticulum stress {GO:0034976}; response to L-glutamate {GO:1902065}; reticulophagy {GO:0061709}</t>
  </si>
  <si>
    <t>cytoplasm {GO:0005737}; cytosol {GO:0005829}; endoplasmic reticulum {GO:0005783}; endoplasmic reticulum membrane {GO:0005789}; neuron projection {GO:0043005}; nucleus {GO:0005634}; protein-containing complex {GO:0032991}; site of double-strand break {GO:0035861}</t>
  </si>
  <si>
    <t>protein kinase binding {GO:0019901}; UFM1 ligase activity {GO:0061666}; UFM1 transferase activity {GO:0071568}</t>
  </si>
  <si>
    <t>tr|D4AFX7|D4AFX7_MOUSE</t>
  </si>
  <si>
    <t>sp|Q8BMA6|SRP68_MOUSE</t>
  </si>
  <si>
    <t>Signal recognition particle subunit SRP68 (SRP68)</t>
  </si>
  <si>
    <t>Signal recognition particle 68 kDa protein</t>
  </si>
  <si>
    <t>SRP68_MOUSE</t>
  </si>
  <si>
    <t>Q8BMA6</t>
  </si>
  <si>
    <t>A2AAN1; Q6NS76</t>
  </si>
  <si>
    <t>MGI:1917447</t>
  </si>
  <si>
    <t>Acetylation; Cytoplasm; Endoplasmic reticulum; Nucleus; Phosphoprotein; Ribonucleoprotein; RNA-binding; Signal recognition particle</t>
  </si>
  <si>
    <t>response to xenobiotic stimulus {GO:0009410}; SRP-dependent cotranslational protein targeting to membrane {GO:0006614}</t>
  </si>
  <si>
    <t>cytosol {GO:0005829}; endoplasmic reticulum {GO:0005783}; focal adhesion {GO:0005925}; nucleolus {GO:0005730}; signal recognition particle {GO:0048500}; signal recognition particle, endoplasmic reticulum targeting {GO:0005786}</t>
  </si>
  <si>
    <t>7S RNA binding {GO:0008312}; endoplasmic reticulum signal peptide binding {GO:0030942}; protein domain specific binding {GO:0019904}; ribosome binding {GO:0043022}; signal recognition particle binding {GO:0005047}</t>
  </si>
  <si>
    <t>sp|O88322|NID2_MOUSE</t>
  </si>
  <si>
    <t>Nidogen-2 (NID-2)</t>
  </si>
  <si>
    <t>Entactin-2</t>
  </si>
  <si>
    <t>NID2_MOUSE</t>
  </si>
  <si>
    <t>O88322</t>
  </si>
  <si>
    <t>Q7TQF0</t>
  </si>
  <si>
    <t>MGI:1298229</t>
  </si>
  <si>
    <t>Basement membrane; Calcium; Cell adhesion; Disulfide bond; EGF-like domain; Extracellular matrix; Glycoprotein; Methylation; Repeat; Secreted; Signal</t>
  </si>
  <si>
    <t>Disulfide bond; Glycoprotein; Methylation</t>
  </si>
  <si>
    <t>cell-matrix adhesion {GO:0007160}</t>
  </si>
  <si>
    <t>basement membrane {GO:0005604}; cell surface {GO:0009986}; collagen-containing extracellular matrix {GO:0062023}; extracellular matrix {GO:0031012}; extracellular region {GO:0005576}; extracellular space {GO:0005615}; plasma membrane {GO:0005886}</t>
  </si>
  <si>
    <t>Laminin interactions {R-MMU-3000157}</t>
  </si>
  <si>
    <t>sp|Q6PGC1|DHX29_MOUSE</t>
  </si>
  <si>
    <t>ATP-dependent RNA helicase DHX29</t>
  </si>
  <si>
    <t>DEAH box protein 29</t>
  </si>
  <si>
    <t>DHX29_MOUSE</t>
  </si>
  <si>
    <t>Q6PGC1</t>
  </si>
  <si>
    <t>Q8BQJ4; Q8BT01; Q8C9B7; Q8C9H9</t>
  </si>
  <si>
    <t>MGI:2145374</t>
  </si>
  <si>
    <t>ATP-binding; Coiled coil; Cytoplasm; Helicase; Hydrolase; Initiation factor; Nucleotide-binding; Phosphoprotein; Protein biosynthesis</t>
  </si>
  <si>
    <t>Helicase; Hydrolase; Initiation factor</t>
  </si>
  <si>
    <t>formation of translation preinitiation complex {GO:0001731}; positive regulation of translational initiation {GO:0045948}; ribosome assembly {GO:0042255}</t>
  </si>
  <si>
    <t>cytosolic small ribosomal subunit {GO:0022627}; eukaryotic 43S preinitiation complex {GO:0016282}; mitochondrion {GO:0005739}</t>
  </si>
  <si>
    <t>ATP binding {GO:0005524}; ATP hydrolysis activity {GO:0016887}; ribonucleoside triphosphate phosphatase activity {GO:0017111}; ribosomal small subunit binding {GO:0043024}; RNA binding {GO:0003723}; RNA helicase activity {GO:0003724}; translation activator activity {GO:0008494}; translation initiation factor activity {GO:0003743}</t>
  </si>
  <si>
    <t>sp|Q99JT9|MTND_MOUSE</t>
  </si>
  <si>
    <t>Acireductone dioxygenase</t>
  </si>
  <si>
    <t>Acireductone dioxygenase (Fe(2+)-requiring) (ARD'; Fe-ARD); Acireductone dioxygenase (Ni(2+)-requiring) (ARD; Ni-ARD); Membrane-type 1 matrix metalloproteinase cytoplasmic tail-binding protein 1 (MTCBP-1)</t>
  </si>
  <si>
    <t>MTND_MOUSE</t>
  </si>
  <si>
    <t>Q99JT9</t>
  </si>
  <si>
    <t>Mtcbp1</t>
  </si>
  <si>
    <t>MGI:2144929</t>
  </si>
  <si>
    <t>3D-structure; Amino-acid biosynthesis; Cell membrane; Cytoplasm; Dioxygenase; Iron; Membrane; Metal-binding; Methionine biosynthesis; Nickel; Nucleus; Oxidoreductase</t>
  </si>
  <si>
    <t>Iron; Metal-binding; Nickel</t>
  </si>
  <si>
    <t>L-methionine salvage from methylthioadenosine {GO:0019509}; methionine metabolic process {GO:0006555}</t>
  </si>
  <si>
    <t>cytoplasm {GO:0005737}; nucleus {GO:0005634}; plasma membrane {GO:0005886}</t>
  </si>
  <si>
    <t>acireductone dioxygenase (Ni2+-requiring) activity {GO:0010308}; acireductone dioxygenase [iron(II)-requiring] activity {GO:0010309}; iron ion binding {GO:0005506}; oxidoreductase activity {GO:0016491}</t>
  </si>
  <si>
    <t>Amino-acid biosynthesis; L-methionine biosynthesis via salvage pathway; L-methionine from S-methyl-5-thio-alpha-D-ribose 1-phosphate: step 5/6..</t>
  </si>
  <si>
    <t>sp|Q9DBB4|NAA16_MOUSE</t>
  </si>
  <si>
    <t>N-alpha-acetyltransferase 16, NatA auxiliary subunit</t>
  </si>
  <si>
    <t>NMDA receptor-regulated 1-like protein (NARG1-like protein)</t>
  </si>
  <si>
    <t>NAA16_MOUSE</t>
  </si>
  <si>
    <t>Q9DBB4</t>
  </si>
  <si>
    <t>Q3U7V2</t>
  </si>
  <si>
    <t>Narg1l; Nat2</t>
  </si>
  <si>
    <t>MGI:1914147</t>
  </si>
  <si>
    <t>N-terminal peptidyl-methionine acetylation {GO:0017196}; N-terminal protein amino acid acetylation {GO:0006474}; negative regulation of apoptotic process {GO:0043066}; protein stabilization {GO:0050821}</t>
  </si>
  <si>
    <t>cytoplasm {GO:0005737}; cytosol {GO:0005829}; NatA complex {GO:0031415}</t>
  </si>
  <si>
    <t>sp|O35900|LSM2_MOUSE</t>
  </si>
  <si>
    <t>U6 snRNA-associated Sm-like protein LSm2</t>
  </si>
  <si>
    <t>Protein G7b; snRNP core Sm-like protein Sm-x5</t>
  </si>
  <si>
    <t>LSM2_MOUSE</t>
  </si>
  <si>
    <t>O35900</t>
  </si>
  <si>
    <t>G7b</t>
  </si>
  <si>
    <t>MGI:90676</t>
  </si>
  <si>
    <t>mRNA processing; mRNA splicing; Nucleus; Phosphoprotein; Ribonucleoprotein; RNA-binding; Spliceosome</t>
  </si>
  <si>
    <t>mRNA catabolic process {GO:0006402}; mRNA splicing, via spliceosome {GO:0000398}; spliceosomal tri-snRNP complex assembly {GO:0000244}</t>
  </si>
  <si>
    <t>catalytic step 2 spliceosome {GO:0071013}; cytoplasm {GO:0005737}; Lsm1-7-Pat1 complex {GO:1990726}; Lsm2-8 complex {GO:0120115}; nucleoplasm {GO:0005654}; nucleus {GO:0005634}; P-body {GO:0000932}; precatalytic spliceosome {GO:0071011}; U2-type precatalytic spliceosome {GO:0071005}; U4/U6 x U5 tri-snRNP complex {GO:0046540}; U6 snRNP {GO:0005688}</t>
  </si>
  <si>
    <t>protein kinase binding {GO:0019901}; RNA binding {GO:0003723}; small GTPase binding {GO:0031267}</t>
  </si>
  <si>
    <t>mRNA decay by 5' to 3' exoribonuclease {R-MMU-430039}; mRNA Splicing - Major Pathway {R-MMU-72163}</t>
  </si>
  <si>
    <t>sp|Q3UPH1|PRRC1_MOUSE</t>
  </si>
  <si>
    <t>Protein PRRC1</t>
  </si>
  <si>
    <t>Proline-rich and coiled-coil-containing protein 1</t>
  </si>
  <si>
    <t>PRRC1_MOUSE</t>
  </si>
  <si>
    <t>Q3UPH1</t>
  </si>
  <si>
    <t>Q91YT1</t>
  </si>
  <si>
    <t>MGI:1916106</t>
  </si>
  <si>
    <t>Golgi apparatus; Phosphoprotein</t>
  </si>
  <si>
    <t>Golgi apparatus</t>
  </si>
  <si>
    <t>activation of protein kinase A activity {GO:0034199}</t>
  </si>
  <si>
    <t>cytoplasm {GO:0005737}; Golgi apparatus {GO:0005794}</t>
  </si>
  <si>
    <t>protein kinase A regulatory subunit binding {GO:0034237}</t>
  </si>
  <si>
    <t>sp|Q7TQ95|LNP_MOUSE</t>
  </si>
  <si>
    <t>Endoplasmic reticulum junction formation protein lunapark</t>
  </si>
  <si>
    <t>ER junction formation factor lunapark; Protein ulnaless</t>
  </si>
  <si>
    <t>LNP_MOUSE</t>
  </si>
  <si>
    <t>Q7TQ95</t>
  </si>
  <si>
    <t>A2ASL9; Q69ZC5; Q6PAQ1; Q6PEN8</t>
  </si>
  <si>
    <t>Kiaa1715; Lnp; Uln</t>
  </si>
  <si>
    <t>MGI:1918115</t>
  </si>
  <si>
    <t>Coiled coil; Developmental protein; Endoplasmic reticulum; Lipoprotein; Membrane; Metal-binding; Myristate; Phosphoprotein; Transmembrane; Transmembrane helix; Zinc; Zinc-finger</t>
  </si>
  <si>
    <t>Coiled coil; Transmembrane; Transmembrane helix; Zinc-finger</t>
  </si>
  <si>
    <t>blood coagulation {GO:0007596}; embryonic digit morphogenesis {GO:0042733}; embryonic forelimb morphogenesis {GO:0035115}; endoplasmic reticulum organization {GO:0007029}; endoplasmic reticulum tubular network maintenance {GO:0071788}; endoplasmic reticulum tubular network organization {GO:0071786}; positive regulation of endoplasmic reticulum tubular network organization {GO:1903373}; regulation of chondrocyte differentiation {GO:0032330}</t>
  </si>
  <si>
    <t>endoplasmic reticulum {GO:0005783}; endoplasmic reticulum membrane {GO:0005789}; endoplasmic reticulum tubular network {GO:0071782}; endoplasmic reticulum tubular network membrane {GO:0098826}; integral component of endoplasmic reticulum membrane {GO:0030176}; nucleoplasm {GO:0005654}</t>
  </si>
  <si>
    <t>identical protein binding {GO:0042802}; metal ion binding {GO:0046872}</t>
  </si>
  <si>
    <t>sp|Q9DCT1|AKCL2_MOUSE</t>
  </si>
  <si>
    <t>1,5-anhydro-D-fructose reductase (AF reductase)</t>
  </si>
  <si>
    <t>Aldo-keto reductase family 1 member C-like protein 2; Aldo-keto reductase family 1 member E1; Aldo-keto reductase family 1 member E2</t>
  </si>
  <si>
    <t>AKCL2_MOUSE</t>
  </si>
  <si>
    <t>Q9DCT1</t>
  </si>
  <si>
    <t>O09125</t>
  </si>
  <si>
    <t>Akr1cl2; Akr1e1</t>
  </si>
  <si>
    <t>MGI:1914758</t>
  </si>
  <si>
    <t>Cytoplasm; NADP; Oxidoreductase</t>
  </si>
  <si>
    <t>1,5-anhydro-D-fructose reductase activity {GO:0050571}; alditol:NADP+ 1-oxidoreductase activity {GO:0004032}; oxidoreductase activity {GO:0016491}</t>
  </si>
  <si>
    <t>sp|Q6TXD4|DNMBP_MOUSE</t>
  </si>
  <si>
    <t>Dynamin-binding protein</t>
  </si>
  <si>
    <t>Scaffold protein Tuba</t>
  </si>
  <si>
    <t>DNMBP_MOUSE</t>
  </si>
  <si>
    <t>Q6TXD4</t>
  </si>
  <si>
    <t>Q6ZQ05; Q8CEW8; Q8R0Y2</t>
  </si>
  <si>
    <t>MGI:1917352</t>
  </si>
  <si>
    <t>Acetylation; Alternative splicing; Cell junction; Coiled coil; Cytoplasm; Cytoskeleton; Golgi apparatus; Guanine-nucleotide releasing factor; Phosphoprotein; Repeat; SH3 domain; Synapse</t>
  </si>
  <si>
    <t>Cell junction; Cytoplasm; Cytoskeleton; Golgi apparatus; Synapse</t>
  </si>
  <si>
    <t>intracellular signal transduction {GO:0035556}; regulation of cell shape {GO:0008360}</t>
  </si>
  <si>
    <t>cell-cell junction {GO:0005911}; cytoskeleton {GO:0005856}; Golgi apparatus {GO:0005794}; Golgi stack {GO:0005795}; presynapse {GO:0098793}; synapse {GO:0045202}</t>
  </si>
  <si>
    <t>guanyl-nucleotide exchange factor activity {GO:0005085}</t>
  </si>
  <si>
    <t>CDC42 GTPase cycle {R-MMU-9013148}</t>
  </si>
  <si>
    <t>sp|Q9D2M8|UB2V2_MOUSE</t>
  </si>
  <si>
    <t>Ubiquitin-conjugating enzyme E2 variant 2</t>
  </si>
  <si>
    <t>Ubc-like protein MMS2</t>
  </si>
  <si>
    <t>UB2V2_MOUSE</t>
  </si>
  <si>
    <t>Q9D2M8</t>
  </si>
  <si>
    <t>A6X924; Q8BGH6; Q8CE99; Q8K2V7; Q9CYD7; Q9ERI8</t>
  </si>
  <si>
    <t>Mms2; Uev2</t>
  </si>
  <si>
    <t>MGI:1917870</t>
  </si>
  <si>
    <t>Acetylation; Alternative splicing; Ubl conjugation pathway</t>
  </si>
  <si>
    <t>DNA double-strand break processing {GO:0000729}; error-free postreplication DNA repair {GO:0042275}; negative regulation of neuron apoptotic process {GO:0043524}; positive regulation of DNA repair {GO:0045739}; positive regulation of double-strand break repair {GO:2000781}; positive regulation of neuron projection development {GO:0010976}; positive regulation of proteasomal ubiquitin-dependent protein catabolic process {GO:0032436}; positive regulation of protein K63-linked ubiquitination {GO:1902523}; positive regulation of synapse assembly {GO:0051965}; postreplication repair {GO:0006301}; protein K63-linked ubiquitination {GO:0070534}; protein polyubiquitination {GO:0000209}</t>
  </si>
  <si>
    <t>nucleoplasm {GO:0005654}; nucleus {GO:0005634}; UBC13-MMS2 complex {GO:0031372}</t>
  </si>
  <si>
    <t>Recruitment and ATM-mediated phosphorylation of repair and signaling proteins at DNA double strand breaks {R-MMU-5693565}; Nonhomologous End-Joining (NHEJ) {R-MMU-5693571}; Processing of DNA double-strand break ends {R-MMU-5693607}; Formation of Incision Complex in GG-NER {R-MMU-5696395}; G2/M DNA damage checkpoint {R-MMU-69473}; E3 ubiquitin ligases ubiquitinate target proteins {R-MMU-8866654}; Antigen processing: Ubiquitination &amp; Proteasome degradation {R-MMU-983168}</t>
  </si>
  <si>
    <t>sp|Q80XU3|NUCKS_MOUSE</t>
  </si>
  <si>
    <t>Nuclear ubiquitous casein and cyclin-dependent kinase substrate 1</t>
  </si>
  <si>
    <t>JC7</t>
  </si>
  <si>
    <t>NUCKS_MOUSE</t>
  </si>
  <si>
    <t>Q80XU3</t>
  </si>
  <si>
    <t>Q8BVD8</t>
  </si>
  <si>
    <t>Nucks</t>
  </si>
  <si>
    <t>MGI:1934811</t>
  </si>
  <si>
    <t>Chromosome; DNA damage; DNA repair; Nucleus; Phosphoprotein</t>
  </si>
  <si>
    <t>cellular glucose homeostasis {GO:0001678}; cellular response to X-ray {GO:0071481}; chromatin organization {GO:0006325}; double-strand break repair via homologous recombination {GO:0000724}; glucose homeostasis {GO:0042593}; interstrand cross-link repair {GO:0036297}; modulation by host of RNA binding by virus {GO:1990968}; modulation by host of viral genome replication {GO:0044827}; modulation by host of viral RNA-binding transcription factor activity {GO:1990969}; positive regulation by host of viral genome replication {GO:0044829}; positive regulation by host of viral transcription {GO:0043923}; positive regulation of insulin receptor signaling pathway {GO:0046628}; positive regulation of transcription by RNA polymerase II {GO:0045944}; regulation of DNA replication {GO:0006275}; regulation of DNA strand elongation {GO:0060382}; regulation of insulin receptor signaling pathway {GO:0046626}; regulation of transcription by RNA polymerase II {GO:0006357}; replication fork processing {GO:0031297}</t>
  </si>
  <si>
    <t>chromatin {GO:0000785}; cytoplasm {GO:0005737}; nucleolus {GO:0005730}; nucleoplasm {GO:0005654}; nucleus {GO:0005634}</t>
  </si>
  <si>
    <t>chromatin binding {GO:0003682}; DNA-binding transcription factor binding {GO:0140297}; double-stranded DNA binding {GO:0003690}; single-stranded DNA binding {GO:0003697}; transcription coactivator activity {GO:0003713}</t>
  </si>
  <si>
    <t>sp|Q99J99|THTM_MOUSE</t>
  </si>
  <si>
    <t>3-mercaptopyruvate sulfurtransferase (MST)</t>
  </si>
  <si>
    <t>THTM_MOUSE</t>
  </si>
  <si>
    <t>Q99J99</t>
  </si>
  <si>
    <t>Q3UW66; Q505N7</t>
  </si>
  <si>
    <t>MGI:2179733</t>
  </si>
  <si>
    <t>3D-structure; Acetylation; Cytoplasm; Disulfide bond; Mitochondrion; Phosphoprotein; Redox-active center; Repeat; Synapse; Synaptosome; Transferase</t>
  </si>
  <si>
    <t>Cytoplasm; Mitochondrion; Synapse; Synaptosome</t>
  </si>
  <si>
    <t>Redox-active center; Repeat</t>
  </si>
  <si>
    <t>hydrogen sulfide biosynthetic process {GO:0070814}; kidney development {GO:0001822}; liver development {GO:0001889}; spinal cord development {GO:0021510}; transsulfuration {GO:0019346}</t>
  </si>
  <si>
    <t>anchoring junction {GO:0070161}; cytoplasm {GO:0005737}; cytosol {GO:0005829}; mitochondrial inner membrane {GO:0005743}; mitochondrion {GO:0005739}; neuron projection {GO:0043005}; synapse {GO:0045202}</t>
  </si>
  <si>
    <t>3-mercaptopyruvate sulfurtransferase activity {GO:0016784}; identical protein binding {GO:0042802}; thiosulfate sulfurtransferase activity {GO:0004792}</t>
  </si>
  <si>
    <t>Degradation of cysteine and homocysteine {R-MMU-1614558}</t>
  </si>
  <si>
    <t>sp|Q9Z0P4|PALM_MOUSE</t>
  </si>
  <si>
    <t>Paralemmin-1</t>
  </si>
  <si>
    <t>Paralemmin</t>
  </si>
  <si>
    <t>PALM_MOUSE</t>
  </si>
  <si>
    <t>Q9Z0P4</t>
  </si>
  <si>
    <t>Q9Z0P3</t>
  </si>
  <si>
    <t>MGI:1261814</t>
  </si>
  <si>
    <t>Acetylation; Alternative splicing; Cell membrane; Cell projection; Cell shape; Coiled coil; Lipoprotein; Membrane; Methylation; Palmitate; Phosphoprotein; Prenylation; Synapse</t>
  </si>
  <si>
    <t>Cell membrane; Cell projection; Membrane; Synapse</t>
  </si>
  <si>
    <t>Acetylation; Lipoprotein; Methylation; Palmitate; Phosphoprotein; Prenylation</t>
  </si>
  <si>
    <t>adenylate cyclase-inhibiting G protein-coupled receptor signaling pathway {GO:0007193}; cellular response to electrical stimulus {GO:0071257}; cytoskeleton organization {GO:0007010}; negative regulation of adenylate cyclase activity {GO:0007194}; negative regulation of dopamine receptor signaling pathway {GO:0060160}; positive regulation of dendritic spine development {GO:0060999}; positive regulation of filopodium assembly {GO:0051491}; protein localization {GO:0008104}; protein localization to plasma membrane {GO:0072659}; regulation of cell shape {GO:0008360}; synapse maturation {GO:0060074}</t>
  </si>
  <si>
    <t>anchoring junction {GO:0070161}; apicolateral plasma membrane {GO:0016327}; axon {GO:0030424}; basolateral plasma membrane {GO:0016323}; cytoplasm {GO:0005737}; dendrite membrane {GO:0032590}; dendritic spine membrane {GO:0032591}; filopodium {GO:0030175}; filopodium membrane {GO:0031527}; neuron spine {GO:0044309}; nucleoplasm {GO:0005654}; plasma membrane {GO:0005886}; postsynaptic density {GO:0014069}</t>
  </si>
  <si>
    <t>D3 dopamine receptor binding {GO:0031750}</t>
  </si>
  <si>
    <t>sp|P28738|KIF5C_MOUSE</t>
  </si>
  <si>
    <t>Kinesin heavy chain isoform 5C</t>
  </si>
  <si>
    <t>Kinesin heavy chain neuron-specific 2; Kinesin-1</t>
  </si>
  <si>
    <t>KIF5C_MOUSE</t>
  </si>
  <si>
    <t>P28738</t>
  </si>
  <si>
    <t>Q6NXI9; Q9Z2F8</t>
  </si>
  <si>
    <t>Nkhc2</t>
  </si>
  <si>
    <t>MGI:1098269</t>
  </si>
  <si>
    <t>3D-structure; ATP-binding; Cell projection; Coiled coil; Cytoplasm; Cytoskeleton; Hydrolase; Microtubule; Motor protein; Nucleotide-binding; Phosphoprotein; Transport</t>
  </si>
  <si>
    <t>Cell projection; Cytoplasm; Cytoskeleton; Microtubule</t>
  </si>
  <si>
    <t>Hydrolase; Motor protein</t>
  </si>
  <si>
    <t>anterograde axonal protein transport {GO:0099641}; anterograde dendritic transport of messenger ribonucleoprotein complex {GO:0098964}; anterograde dendritic transport of neurotransmitter receptor complex {GO:0098971}; ATP metabolic process {GO:0046034}; axon guidance {GO:0007411}; cytoskeleton-dependent intracellular transport {GO:0030705}; intracellular mRNA localization {GO:0008298}; microtubule-based movement {GO:0007018}; motor neuron axon guidance {GO:0008045}; mRNA transport {GO:0051028}; synaptic vesicle transport {GO:0048489}</t>
  </si>
  <si>
    <t>axon cytoplasm {GO:1904115}; axonal growth cone {GO:0044295}; ciliary rootlet {GO:0035253}; cytoplasm {GO:0005737}; dendrite {GO:0030425}; dendrite cytoplasm {GO:0032839}; distal axon {GO:0150034}; kinesin complex {GO:0005871}; microtubule {GO:0005874}; neuron projection {GO:0043005}; neuronal cell body {GO:0043025}</t>
  </si>
  <si>
    <t>apolipoprotein receptor binding {GO:0034190}; ATP binding {GO:0005524}; ATP hydrolysis activity {GO:0016887}; microtubule binding {GO:0008017}; microtubule motor activity {GO:0003777}; plus-end-directed microtubule motor activity {GO:0008574}</t>
  </si>
  <si>
    <t>sp|Q9D1M4|MCA3_MOUSE</t>
  </si>
  <si>
    <t>Eukaryotic translation elongation factor 1 epsilon-1</t>
  </si>
  <si>
    <t>Elongation factor p18; Multisynthase complex auxiliary component p18</t>
  </si>
  <si>
    <t>MCA3_MOUSE</t>
  </si>
  <si>
    <t>Q9D1M4</t>
  </si>
  <si>
    <t>MGI:1913393</t>
  </si>
  <si>
    <t>Acetylation; Coiled coil; Cytoplasm; Nucleus; Protein biosynthesis</t>
  </si>
  <si>
    <t>cellular response to leukemia inhibitory factor {GO:1990830}; negative regulation of cell population proliferation {GO:0008285}; positive regulation of apoptotic process {GO:0043065}; positive regulation of apoptotic signaling pathway {GO:2001235}; positive regulation of cellular senescence {GO:2000774}; positive regulation of DNA damage response, signal transduction by p53 class mediator {GO:0043517}; translation {GO:0006412}</t>
  </si>
  <si>
    <t>aminoacyl-tRNA synthetase multienzyme complex {GO:0017101}; cytoplasm {GO:0005737}; cytosol {GO:0005829}; nucleolus {GO:0005730}; nucleoplasm {GO:0005654}; nucleus {GO:0005634}</t>
  </si>
  <si>
    <t>sp|Q3UKJ7|SMU1_MOUSE</t>
  </si>
  <si>
    <t>WD40 repeat-containing protein SMU1, N-terminally processed</t>
  </si>
  <si>
    <t>Smu-1 suppressor of mec-8 and unc-52 protein homolog</t>
  </si>
  <si>
    <t>SMU1_MOUSE</t>
  </si>
  <si>
    <t>Q3UKJ7</t>
  </si>
  <si>
    <t>Q6PFR6; Q8BMY4; Q9D1I8; Q9JJ70</t>
  </si>
  <si>
    <t>MGI:1915546</t>
  </si>
  <si>
    <t>Acetylation; Alternative splicing; Cytoplasm; Isopeptide bond; mRNA processing; mRNA splicing; Nucleus; Repeat; Spliceosome; Ubl conjugation; WD repeat</t>
  </si>
  <si>
    <t>mRNA splicing, via spliceosome {GO:0000398}; regulation of alternative mRNA splicing, via spliceosome {GO:0000381}; RNA splicing {GO:0008380}</t>
  </si>
  <si>
    <t>cytoplasm {GO:0005737}; nuclear speck {GO:0016607}; nucleus {GO:0005634}; precatalytic spliceosome {GO:0071011}; U2-type precatalytic spliceosome {GO:0071005}</t>
  </si>
  <si>
    <t>sp|P47791|GSHR_MOUSE</t>
  </si>
  <si>
    <t>Glutathione reductase, mitochondrial (GR; GRase)</t>
  </si>
  <si>
    <t>GSHR_MOUSE</t>
  </si>
  <si>
    <t>P47791</t>
  </si>
  <si>
    <t>Q7TNC2; Q8BN97; Q8C9Z6</t>
  </si>
  <si>
    <t>Gr1</t>
  </si>
  <si>
    <t>MGI:95804</t>
  </si>
  <si>
    <t>Acetylation; Alternative initiation; Cytoplasm; Disulfide bond; FAD; Flavoprotein; Mitochondrion; NADP; Oxidoreductase; Redox-active center; Transit peptide</t>
  </si>
  <si>
    <t>cell redox homeostasis {GO:0045454}; cellular response to oxidative stress {GO:0034599}; glutathione metabolic process {GO:0006749}; spermatogenesis {GO:0007283}</t>
  </si>
  <si>
    <t>cytosol {GO:0005829}; external side of plasma membrane {GO:0009897}; mitochondrion {GO:0005739}</t>
  </si>
  <si>
    <t>flavin adenine dinucleotide binding {GO:0050660}; glutathione binding {GO:0043295}; glutathione-disulfide reductase (NADPH) activity {GO:0004362}; identical protein binding {GO:0042802}; NADP binding {GO:0050661}</t>
  </si>
  <si>
    <t>Detoxification of Reactive Oxygen Species {R-MMU-3299685}; Interconversion of nucleotide di- and triphosphates {R-MMU-499943}; TP53 Regulates Metabolic Genes {R-MMU-5628897}</t>
  </si>
  <si>
    <t>sp|P01027|CO3_MOUSE</t>
  </si>
  <si>
    <t>Complement C3c alpha' chain fragment 2</t>
  </si>
  <si>
    <t>HSE-MSF (C3bc; ASP); C3adesArg</t>
  </si>
  <si>
    <t>CO3_MOUSE</t>
  </si>
  <si>
    <t>P01027</t>
  </si>
  <si>
    <t>Q61370; Q80XP1</t>
  </si>
  <si>
    <t>MGI:88227</t>
  </si>
  <si>
    <t>3D-structure; Alternative initiation; Cleavage on pair of basic residues; Complement alternate pathway; Complement pathway; Disulfide bond; Fatty acid metabolism; Glycoprotein; Immunity; Inflammatory response; Innate immunity; Lipid metabolism; Phosphoprotein; Secreted; Signal; Thioester bond</t>
  </si>
  <si>
    <t>Complement alternate pathway; Complement pathway; Fatty acid metabolism; Immunity; Inflammatory response; Innate immunity; Lipid metabolism</t>
  </si>
  <si>
    <t>Cleavage on pair of basic residues; Disulfide bond; Glycoprotein; Phosphoprotein; Thioester bond</t>
  </si>
  <si>
    <t>amyloid-beta clearance {GO:0097242}; blood coagulation {GO:0007596}; cell surface receptor signaling pathway involved in cell-cell signaling {GO:1905114}; complement activation {GO:0006956}; complement activation, alternative pathway {GO:0006957}; complement activation, classical pathway {GO:0006958}; complement-dependent cytotoxicity {GO:0097278}; complement-mediated synapse pruning {GO:0150062}; fatty acid metabolic process {GO:0006631}; inflammatory response {GO:0006954}; neuron remodeling {GO:0016322}; opsonization {GO:0008228}; oviduct epithelium development {GO:0035846}; positive regulation of activation of membrane attack complex {GO:0001970}; positive regulation of angiogenesis {GO:0045766}; positive regulation of apoptotic cell clearance {GO:2000427}; positive regulation of apoptotic process in another organism {GO:0044533}; positive regulation of developmental growth {GO:0048639}; positive regulation of ERK1 and ERK2 cascade {GO:0070374}; positive regulation of G protein-coupled receptor signaling pathway {GO:0045745}; positive regulation of glucose transmembrane transport {GO:0010828}; positive regulation of immune response {GO:0050778}; positive regulation of lipid storage {GO:0010884}; positive regulation of opsonization {GO:1903028}; positive regulation of phagocytosis {GO:0050766}; positive regulation of phagocytosis, engulfment {GO:0060100}; positive regulation of protein phosphorylation {GO:0001934}; positive regulation of receptor-mediated endocytosis {GO:0048260}; positive regulation of type IIa hypersensitivity {GO:0001798}; positive regulation of vascular endothelial growth factor production {GO:0010575}; proteolysis {GO:0006508}; regulation of complement activation {GO:0030449}; regulation of complement activation, alternative pathway {GO:0030451}; regulation of triglyceride biosynthetic process {GO:0010866}; response to bacterium {GO:0009617}; vertebrate eye-specific patterning {GO:0150064}</t>
  </si>
  <si>
    <t>cell surface {GO:0009986}; extracellular region {GO:0005576}; extracellular space {GO:0005615}; plasma membrane {GO:0005886}; protein-containing complex {GO:0032991}; serine-type endopeptidase complex {GO:1905370}</t>
  </si>
  <si>
    <t>C5L2 anaphylatoxin chemotactic receptor binding {GO:0031715}; endopeptidase inhibitor activity {GO:0004866}; lipid binding {GO:0008289}</t>
  </si>
  <si>
    <t>Alternative complement activation {R-MMU-173736}; Activation of C3 and C5 {R-MMU-174577}; Immunoregulatory interactions between a Lymphoid and a non-Lymphoid cell {R-MMU-198933}; Peptide ligand-binding receptors {R-MMU-375276}; Regulation of Insulin-like Growth Factor (IGF) transport and uptake by Insulin-like Growth Factor Binding Proteins (IGFBPs) {R-MMU-381426}; G alpha (i) signalling events {R-MMU-418594}; Neutrophil degranulation {R-MMU-6798695}; Post-translational protein phosphorylation {R-MMU-8957275}; Regulation of Complement cascade {R-MMU-977606}</t>
  </si>
  <si>
    <t>sp|P18572|BASI_MOUSE</t>
  </si>
  <si>
    <t>Basigin</t>
  </si>
  <si>
    <t>Basic immunoglobulin superfamily; HT7 antigen; Membrane glycoprotein gp42; CD_antigen=CD147</t>
  </si>
  <si>
    <t>BASI_MOUSE</t>
  </si>
  <si>
    <t>P18572</t>
  </si>
  <si>
    <t>Q6LDB0; Q7TSC0</t>
  </si>
  <si>
    <t>MGI:88208</t>
  </si>
  <si>
    <t>Alternative splicing; Angiogenesis; Cell membrane; Cell projection; Differentiation; Disulfide bond; Endoplasmic reticulum; Glycoprotein; Immunoglobulin domain; Lectin; Mannose-binding; Membrane; Phosphoprotein; Receptor; Signal; Spermatogenesis; Transmembrane; Transmembrane helix</t>
  </si>
  <si>
    <t>Angiogenesis; Differentiation; Spermatogenesis</t>
  </si>
  <si>
    <t>Cell membrane; Cell projection; Endoplasmic reticulum; Membrane</t>
  </si>
  <si>
    <t>Immunoglobulin domain; Signal; Transmembrane; Transmembrane helix</t>
  </si>
  <si>
    <t>Lectin; Mannose-binding</t>
  </si>
  <si>
    <t>angiogenesis {GO:0001525}; axon guidance {GO:0007411}; decidualization {GO:0046697}; dendrite self-avoidance {GO:0070593}; embryo implantation {GO:0007566}; endothelial tube morphogenesis {GO:0061154}; homophilic cell adhesion via plasma membrane adhesion molecules {GO:0007156}; neural retina development {GO:0003407}; neutrophil chemotaxis {GO:0030593}; odontogenesis of dentin-containing tooth {GO:0042475}; photoreceptor cell maintenance {GO:0045494}; positive regulation of endothelial cell migration {GO:0010595}; positive regulation of interleukin-6 production {GO:0032755}; positive regulation of matrix metallopeptidase secretion {GO:1904466}; positive regulation of vascular endothelial growth factor production {GO:0010575}; positive regulation of viral entry into host cell {GO:0046598}; protein localization to plasma membrane {GO:0072659}; response to cAMP {GO:0051591}; response to mercury ion {GO:0046689}; response to peptide hormone {GO:0043434}; spermatogenesis {GO:0007283}</t>
  </si>
  <si>
    <t>acrosomal membrane {GO:0002080}; axon {GO:0030424}; basolateral plasma membrane {GO:0016323}; endoplasmic reticulum membrane {GO:0005789}; endosome {GO:0005768}; integral component of plasma membrane {GO:0005887}; intracellular membrane-bounded organelle {GO:0043231}; membrane raft {GO:0045121}; mitochondrion {GO:0005739}; photoreceptor inner segment {GO:0001917}; photoreceptor outer segment {GO:0001750}; plasma membrane {GO:0005886}; sarcolemma {GO:0042383}</t>
  </si>
  <si>
    <t>cell-cell adhesion mediator activity {GO:0098632}; mannose binding {GO:0005537}; signaling receptor activity {GO:0038023}; virus receptor activity {GO:0001618}</t>
  </si>
  <si>
    <t>sp|Q9D855|QCR7_MOUSE</t>
  </si>
  <si>
    <t>Cytochrome b-c1 complex subunit 7</t>
  </si>
  <si>
    <t>Complex III subunit 7; Complex III subunit VII; Ubiquinol-cytochrome c reductase complex 14 kDa protein</t>
  </si>
  <si>
    <t>QCR7_MOUSE</t>
  </si>
  <si>
    <t>Q9D855</t>
  </si>
  <si>
    <t>Q8K2E2</t>
  </si>
  <si>
    <t>MGI:1914780</t>
  </si>
  <si>
    <t>Acetylation; Electron transport; Membrane; Mitochondrion; Mitochondrion inner membrane; Respiratory chain; Transport</t>
  </si>
  <si>
    <t>cellular respiration {GO:0045333}; mitochondrial electron transport, ubiquinol to cytochrome c {GO:0006122}</t>
  </si>
  <si>
    <t>mitochondrial inner membrane {GO:0005743}; mitochondrial respiratory chain complex III {GO:0005750}; mitochondrion {GO:0005739}</t>
  </si>
  <si>
    <t>sp|Q9QYI5|DNJB2_MOUSE</t>
  </si>
  <si>
    <t>DnaJ homolog subfamily B member 2</t>
  </si>
  <si>
    <t>DnaJ homolog subfamily B member 10; mDj8</t>
  </si>
  <si>
    <t>DNJB2_MOUSE</t>
  </si>
  <si>
    <t>Q9QYI5</t>
  </si>
  <si>
    <t>Q3TB24; Q8BPF6; Q921S2</t>
  </si>
  <si>
    <t>MGI:1928739</t>
  </si>
  <si>
    <t>Acetylation; Alternative splicing; Chaperone; Cytoplasm; Endoplasmic reticulum; Lipoprotein; Membrane; Methylation; Nucleus; Phosphoprotein; Prenylation; Repeat; Ubl conjugation</t>
  </si>
  <si>
    <t>Acetylation; Lipoprotein; Methylation; Phosphoprotein; Prenylation; Ubl conjugation</t>
  </si>
  <si>
    <t>chaperone-mediated protein folding {GO:0061077}; negative regulation of cell growth {GO:0030308}; negative regulation of cell population proliferation {GO:0008285}; negative regulation of inclusion body assembly {GO:0090084}; negative regulation of protein binding {GO:0032091}; negative regulation of protein deubiquitination {GO:0090086}; positive regulation of ATP-dependent activity {GO:0032781}; positive regulation of proteasomal ubiquitin-dependent protein catabolic process {GO:0032436}; positive regulation of protein ubiquitination {GO:0031398}; proteasome-mediated ubiquitin-dependent protein catabolic process {GO:0043161}; protein refolding {GO:0042026}; regulation of chaperone-mediated protein folding {GO:1903644}; regulation of protein localization {GO:0032880}; regulation of protein ubiquitination {GO:0031396}; ubiquitin-dependent ERAD pathway {GO:0030433}</t>
  </si>
  <si>
    <t>cytoplasm {GO:0005737}; cytosol {GO:0005829}; inclusion body {GO:0016234}; intrinsic component of endoplasmic reticulum membrane {GO:0031227}; nuclear membrane {GO:0031965}; nucleus {GO:0005634}; perinuclear region of cytoplasm {GO:0048471}; proteasome complex {GO:0000502}</t>
  </si>
  <si>
    <t>ATPase activator activity {GO:0001671}; chaperone binding {GO:0051087}; Hsp70 protein binding {GO:0030544}; polyubiquitin modification-dependent protein binding {GO:0031593}; proteasome binding {GO:0070628}; ubiquitin binding {GO:0043130}; ubiquitin protein ligase binding {GO:0031625}; ubiquitin-dependent protein binding {GO:0140036}; unfolded protein binding {GO:0051082}</t>
  </si>
  <si>
    <t>sp|Q3UHJ0|AAK1_MOUSE</t>
  </si>
  <si>
    <t>AP2-associated protein kinase 1</t>
  </si>
  <si>
    <t>Adaptor-associated kinase 1</t>
  </si>
  <si>
    <t>AAK1_MOUSE</t>
  </si>
  <si>
    <t>Q3UHJ0</t>
  </si>
  <si>
    <t>B2RUJ0; Q3TY53; Q6ZPZ6; Q80XP6</t>
  </si>
  <si>
    <t>Kiaa1048</t>
  </si>
  <si>
    <t>MGI:1098687</t>
  </si>
  <si>
    <t>3D-structure; Acetylation; Alternative splicing; ATP-binding; Cell membrane; Cell projection; Coated pit; Endocytosis; Kinase; Membrane; Methylation; Nucleotide-binding; Phosphoprotein; Serine/threonine-protein kinase; Synapse; Transferase</t>
  </si>
  <si>
    <t>Cell membrane; Cell projection; Coated pit; Membrane; Synapse</t>
  </si>
  <si>
    <t>endocytosis {GO:0006897}; positive regulation of Notch signaling pathway {GO:0045747}; protein autophosphorylation {GO:0046777}; protein phosphorylation {GO:0006468}; protein stabilization {GO:0050821}; regulation of clathrin-dependent endocytosis {GO:2000369}; regulation of protein localization {GO:0032880}</t>
  </si>
  <si>
    <t>anchoring junction {GO:0070161}; cell leading edge {GO:0031252}; clathrin complex {GO:0071439}; clathrin-coated pit {GO:0005905}; clathrin-coated vesicle {GO:0030136}; cytoplasm {GO:0005737}; extrinsic component of plasma membrane {GO:0019897}; presynapse {GO:0098793}; terminal bouton {GO:0043195}</t>
  </si>
  <si>
    <t>AP-2 adaptor complex binding {GO:0035612}; ATP binding {GO:0005524}; Notch binding {GO:0005112}; protein serine kinase activity {GO:0106310}; protein serine/threonine kinase activity {GO:0004674}</t>
  </si>
  <si>
    <t>Cargo recognition for clathrin-mediated endocytosis {R-MMU-8856825}; Clathrin-mediated endocytosis {R-MMU-8856828}</t>
  </si>
  <si>
    <t>sp|Q03958|PFD6_MOUSE</t>
  </si>
  <si>
    <t>Prefoldin subunit 6</t>
  </si>
  <si>
    <t>Protein Ke2</t>
  </si>
  <si>
    <t>PFD6_MOUSE</t>
  </si>
  <si>
    <t>Q03958</t>
  </si>
  <si>
    <t>H2-Ke2; Pfd6</t>
  </si>
  <si>
    <t>MGI:95908</t>
  </si>
  <si>
    <t>Acetylation; Chaperone; Isopeptide bond; Ubl conjugation</t>
  </si>
  <si>
    <t>chaperone-mediated protein complex assembly {GO:0051131}; negative regulation of amyloid fibril formation {GO:1905907}; protein folding {GO:0006457}</t>
  </si>
  <si>
    <t>cytoplasm {GO:0005737}; prefoldin complex {GO:0016272}; RPAP3/R2TP/prefoldin-like complex {GO:1990062}</t>
  </si>
  <si>
    <t>amyloid-beta binding {GO:0001540}; chaperone binding {GO:0051087}; unfolded protein binding {GO:0051082}</t>
  </si>
  <si>
    <t>sp|Q9Z0G0|GIPC1_MOUSE</t>
  </si>
  <si>
    <t>PDZ domain-containing protein GIPC1</t>
  </si>
  <si>
    <t>GAIP C-terminus-interacting protein; RGS-GAIP-interacting protein; RGS19-interacting protein 1; SemaF cytoplasmic domain-associated protein 1 (SEMCAP-1); Synectin</t>
  </si>
  <si>
    <t>GIPC1_MOUSE</t>
  </si>
  <si>
    <t>Q9Z0G0</t>
  </si>
  <si>
    <t>Gipc; Rgs19ip1; Semcap1</t>
  </si>
  <si>
    <t>MGI:1926252</t>
  </si>
  <si>
    <t>3D-structure; Cytoplasm; Membrane; Phosphoprotein</t>
  </si>
  <si>
    <t>cellular response to interleukin-7 {GO:0098761}; chemical synaptic transmission {GO:0007268}; endothelial cell migration {GO:0043542}; G protein-coupled receptor signaling pathway {GO:0007186}; glutamate secretion {GO:0014047}; negative regulation of proteasomal ubiquitin-dependent protein catabolic process {GO:0032435}; positive regulation of cytokinesis {GO:0032467}; positive regulation of melanin biosynthetic process {GO:0048023}; positive regulation of transforming growth factor beta receptor signaling pathway {GO:0030511}; protein targeting {GO:0006605}; regulation of protein stability {GO:0031647}; regulation of synaptic plasticity {GO:0048167}; regulation of synaptic vesicle exocytosis {GO:2000300}</t>
  </si>
  <si>
    <t>brush border {GO:0005903}; cell cortex {GO:0005938}; cytoplasm {GO:0005737}; cytoplasmic vesicle {GO:0031410}; cytosol {GO:0005829}; dendritic shaft {GO:0043198}; dendritic spine {GO:0043197}; endocytic vesicle {GO:0030139}; glutamatergic synapse {GO:0098978}; membrane {GO:0016020}; postsynapse {GO:0098794}; presynapse {GO:0098793}; Schaffer collateral - CA1 synapse {GO:0098685}; synaptic vesicle {GO:0008021}; vesicle membrane {GO:0012506}</t>
  </si>
  <si>
    <t>actin binding {GO:0003779}; GTPase activator activity {GO:0005096}; identical protein binding {GO:0042802}; myosin binding {GO:0017022}; PDZ domain binding {GO:0030165}; signaling receptor binding {GO:0005102}</t>
  </si>
  <si>
    <t>sp|Q9CXI5|MANF_MOUSE</t>
  </si>
  <si>
    <t>Mesencephalic astrocyte-derived neurotrophic factor</t>
  </si>
  <si>
    <t>Arginine-rich protein; Protein ARMET</t>
  </si>
  <si>
    <t>MANF_MOUSE</t>
  </si>
  <si>
    <t>Q9CXI5</t>
  </si>
  <si>
    <t>Armet</t>
  </si>
  <si>
    <t>MGI:1922090</t>
  </si>
  <si>
    <t>3D-structure; Disulfide bond; Endoplasmic reticulum; Growth factor; Lipid-binding; Phosphoprotein; Sarcoplasmic reticulum; Secreted; Signal; Stress response; Unfolded protein response</t>
  </si>
  <si>
    <t>Stress response; Unfolded protein response</t>
  </si>
  <si>
    <t>Endoplasmic reticulum; Sarcoplasmic reticulum; Secreted</t>
  </si>
  <si>
    <t>dopaminergic neuron differentiation {GO:0071542}; neuron projection development {GO:0031175}; regulation of response to endoplasmic reticulum stress {GO:1905897}; response to unfolded protein {GO:0006986}; vasoconstriction of artery involved in ischemic response to lowering of systemic arterial blood pressure {GO:0002014}</t>
  </si>
  <si>
    <t>endoplasmic reticulum {GO:0005783}; endoplasmic reticulum lumen {GO:0005788}; extracellular space {GO:0005615}; perinuclear region of cytoplasm {GO:0048471}; sarcoplasmic reticulum lumen {GO:0033018}</t>
  </si>
  <si>
    <t>growth factor activity {GO:0008083}; sulfatide binding {GO:0120146}</t>
  </si>
  <si>
    <t>sp|Q6P8I4|PCNP_MOUSE</t>
  </si>
  <si>
    <t>PEST proteolytic signal-containing nuclear protein (PCNP; PEST-containing nuclear protein)</t>
  </si>
  <si>
    <t>PCNP_MOUSE</t>
  </si>
  <si>
    <t>Q6P8I4</t>
  </si>
  <si>
    <t>MGI:1923552</t>
  </si>
  <si>
    <t>Acetylation; Cell cycle; Nucleus; Phosphoprotein; Ubl conjugation</t>
  </si>
  <si>
    <t>cell cycle {GO:0007049}; proteasome-mediated ubiquitin-dependent protein catabolic process {GO:0043161}; protein ubiquitination {GO:0016567}</t>
  </si>
  <si>
    <t>nuclear body {GO:0016604}; nucleoplasm {GO:0005654}; nucleus {GO:0005634}</t>
  </si>
  <si>
    <t>sp|P45878|FKBP2_MOUSE</t>
  </si>
  <si>
    <t>Peptidyl-prolyl cis-trans isomerase FKBP2 (PPIase FKBP2)</t>
  </si>
  <si>
    <t>13 kDa FK506-binding protein (13 kDa FKBP; FKBP-13); FK506-binding protein 2 (FKBP-2); Immunophilin FKBP13; Rotamase</t>
  </si>
  <si>
    <t>FKBP2_MOUSE</t>
  </si>
  <si>
    <t>P45878</t>
  </si>
  <si>
    <t>Fkbp13</t>
  </si>
  <si>
    <t>MGI:95542</t>
  </si>
  <si>
    <t>Endoplasmic reticulum; Isomerase; Membrane; Rotamase; Signal</t>
  </si>
  <si>
    <t>chaperone-mediated protein folding {GO:0061077}; protein peptidyl-prolyl isomerization {GO:0000413}</t>
  </si>
  <si>
    <t>endoplasmic reticulum {GO:0005783}; endoplasmic reticulum membrane {GO:0005789}</t>
  </si>
  <si>
    <t>sp|Q6PB44|PTN23_MOUSE</t>
  </si>
  <si>
    <t>Tyrosine-protein phosphatase non-receptor type 23</t>
  </si>
  <si>
    <t>PTN23_MOUSE</t>
  </si>
  <si>
    <t>Q6PB44</t>
  </si>
  <si>
    <t>Q69ZJ0; Q8R1Z5; Q923E6</t>
  </si>
  <si>
    <t>Kiaa1471</t>
  </si>
  <si>
    <t>MGI:2144837</t>
  </si>
  <si>
    <t>3D-structure; Alternative splicing; Cell projection; Cilium; Cilium biogenesis/degradation; Coiled coil; Cytoplasm; Cytoplasmic vesicle; Cytoskeleton; Endosome; Hydrolase; Methylation; Nucleus; Phosphoprotein; Protein phosphatase; Protein transport; Repeat; TPR repeat; Transport</t>
  </si>
  <si>
    <t>Cell projection; Cilium; Cytoplasm; Cytoplasmic vesicle; Cytoskeleton; Endosome; Nucleus</t>
  </si>
  <si>
    <t>cilium assembly {GO:0060271}; early endosome to late endosome transport {GO:0045022}; endocytic recycling {GO:0032456}; negative regulation of epithelial cell migration {GO:0010633}; positive regulation of adherens junction organization {GO:1903393}; positive regulation of early endosome to late endosome transport {GO:2000643}; positive regulation of homophilic cell adhesion {GO:1903387}; positive regulation of Wnt protein secretion {GO:0061357}; protein dephosphorylation {GO:0006470}; protein transport to vacuole involved in ubiquitin-dependent protein catabolic process via the multivesicular body sorting pathway {GO:0043328}; ubiquitin-dependent protein catabolic process via the multivesicular body sorting pathway {GO:0043162}</t>
  </si>
  <si>
    <t>ciliary basal body {GO:0036064}; cytoplasm {GO:0005737}; cytosol {GO:0005829}; early endosome {GO:0005769}; endosome {GO:0005768}; intracellular membrane-bounded organelle {GO:0043231}; nuclear body {GO:0016604}; nucleoplasm {GO:0005654}; nucleus {GO:0005634}</t>
  </si>
  <si>
    <t>protein kinase binding {GO:0019901}; protein tyrosine phosphatase activity {GO:0004725}</t>
  </si>
  <si>
    <t>sp|Q3THE2|ML12B_MOUSE</t>
  </si>
  <si>
    <t>Myosin regulatory light chain 12B</t>
  </si>
  <si>
    <t>Myosin regulatory light chain 2-B, smooth muscle isoform; Myosin regulatory light chain 20 kDa (MLC20); Myosin regulatory light chain MRLC2</t>
  </si>
  <si>
    <t>ML12B_MOUSE</t>
  </si>
  <si>
    <t>Q3THE2</t>
  </si>
  <si>
    <t>Q3TVH2; Q9CQL8</t>
  </si>
  <si>
    <t>Mrlc2; Mylc2b</t>
  </si>
  <si>
    <t>MGI:107494</t>
  </si>
  <si>
    <t>Calcium; Metal-binding; Motor protein; Muscle protein; Myosin; Phosphoprotein; Repeat</t>
  </si>
  <si>
    <t>apical part of cell {GO:0045177}; brush border {GO:0005903}; cell cortex {GO:0005938}; cytoplasm {GO:0005737}; myofibril {GO:0030016}; myosin II complex {GO:0016460}; protein-containing complex {GO:0032991}; stress fiber {GO:0001725}; Z disc {GO:0030018}</t>
  </si>
  <si>
    <t>calcium ion binding {GO:0005509}; myosin heavy chain binding {GO:0032036}</t>
  </si>
  <si>
    <t>sp|P49194|RET3_MOUSE</t>
  </si>
  <si>
    <t>Retinol-binding protein 3</t>
  </si>
  <si>
    <t>Interphotoreceptor retinoid-binding protein (IRBP); Interstitial retinol-binding protein</t>
  </si>
  <si>
    <t>RET3_MOUSE</t>
  </si>
  <si>
    <t>P49194</t>
  </si>
  <si>
    <t>Q6B4R6; Q8VD34; Q9R0H8</t>
  </si>
  <si>
    <t>MGI:97878</t>
  </si>
  <si>
    <t>Extracellular matrix; Glycoprotein; Repeat; Secreted; Signal; Transport; Vitamin A</t>
  </si>
  <si>
    <t>Vitamin A</t>
  </si>
  <si>
    <t>cone matrix sheath {GO:0090658}; extracellular space {GO:0005615}; interphotoreceptor matrix {GO:0033165}</t>
  </si>
  <si>
    <t>retinal binding {GO:0016918}; retinol binding {GO:0019841}; serine-type peptidase activity {GO:0008236}</t>
  </si>
  <si>
    <t>The retinoid cycle in cones (daylight vision) {R-MMU-2187335}; The canonical retinoid cycle in rods (twilight vision) {R-MMU-2453902}</t>
  </si>
  <si>
    <t>sp|P35486|ODPA_MOUSE</t>
  </si>
  <si>
    <t>Pyruvate dehydrogenase E1 component subunit alpha, somatic form, mitochondrial</t>
  </si>
  <si>
    <t>PDHE1-A type I</t>
  </si>
  <si>
    <t>ODPA_MOUSE</t>
  </si>
  <si>
    <t>P35486</t>
  </si>
  <si>
    <t>Pdha-1</t>
  </si>
  <si>
    <t>MGI:97532</t>
  </si>
  <si>
    <t>Acetylation; Carbohydrate metabolism; Glucose metabolism; Mitochondrion; Oxidoreductase; Phosphoprotein; Pyruvate; Thiamine pyrophosphate; Transit peptide; Tricarboxylic acid cycle</t>
  </si>
  <si>
    <t>Pyruvate; Thiamine pyrophosphate</t>
  </si>
  <si>
    <t>mitochondrial pyruvate dehydrogenase complex {GO:0005967}; mitochondrion {GO:0005739}; myelin sheath {GO:0043209}; nucleolus {GO:0005730}; pyruvate dehydrogenase complex {GO:0045254}</t>
  </si>
  <si>
    <t>pyruvate dehydrogenase (acetyl-transferring) activity {GO:0004739}; pyruvate dehydrogenase (NAD+) activity {GO:0034604}; pyruvate dehydrogenase activity {GO:0004738}</t>
  </si>
  <si>
    <t>sp|Q9CQF3|CPSF5_MOUSE</t>
  </si>
  <si>
    <t>Cleavage and polyadenylation specificity factor subunit 5</t>
  </si>
  <si>
    <t>Nucleoside diphosphate-linked moiety X motif 21 (Nudix motif 21); Nudix hydrolase 21</t>
  </si>
  <si>
    <t>CPSF5_MOUSE</t>
  </si>
  <si>
    <t>Q9CQF3</t>
  </si>
  <si>
    <t>Q3UJK1</t>
  </si>
  <si>
    <t>MGI:1915469</t>
  </si>
  <si>
    <t>Acetylation; Cytoplasm; Differentiation; Methylation; mRNA processing; Nucleus; Phosphoprotein; RNA-binding</t>
  </si>
  <si>
    <t>Differentiation; mRNA processing</t>
  </si>
  <si>
    <t>cell differentiation {GO:0030154}; messenger ribonucleoprotein complex assembly {GO:1990120}; mRNA 3'-end processing {GO:0031124}; mRNA alternative polyadenylation {GO:0110104}; mRNA cleavage {GO:0006379}; mRNA polyadenylation {GO:0006378}; mRNA processing {GO:0006397}; positive regulation of mRNA cleavage {GO:0031439}; positive regulation of mRNA polyadenylation {GO:1900365}; positive regulation of pro-B cell differentiation {GO:2000975}; positive regulation of stem cell differentiation {GO:2000738}; post-transcriptional regulation of gene expression {GO:0010608}; pre-mRNA cleavage required for polyadenylation {GO:0098789}; protein heterotetramerization {GO:0051290}; protein tetramerization {GO:0051262}</t>
  </si>
  <si>
    <t>centriolar satellite {GO:0034451}; centrosome {GO:0005813}; cytoplasm {GO:0005737}; mRNA cleavage and polyadenylation specificity factor complex {GO:0005847}; mRNA cleavage factor complex {GO:0005849}; nuclear body {GO:0016604}; nucleus {GO:0005634}; paraspeckles {GO:0042382}</t>
  </si>
  <si>
    <t>chromatin binding {GO:0003682}; histone deacetylase binding {GO:0042826}; identical protein binding {GO:0042802}; mRNA 3'-UTR AU-rich region binding {GO:0035925}; mRNA binding {GO:0003729}; protein homodimerization activity {GO:0042803}; RNA binding {GO:0003723}</t>
  </si>
  <si>
    <t>mRNA Splicing - Major Pathway {R-MMU-72163}; mRNA 3'-end processing {R-MMU-72187}; RNA Polymerase II Transcription Termination {R-MMU-73856}; Processing of Intronless Pre-mRNAs {R-MMU-77595}</t>
  </si>
  <si>
    <t>sp|P22892|AP1G1_MOUSE</t>
  </si>
  <si>
    <t>AP-1 complex subunit gamma-1</t>
  </si>
  <si>
    <t>Adaptor protein complex AP-1 subunit gamma-1; Adaptor-related protein complex 1 subunit gamma-1; Clathrin assembly protein complex 1 gamma-1 large chain; Gamma-adaptin; Gamma1-adaptin; Golgi adaptor HA1/AP1 adaptin subunit gamma-1</t>
  </si>
  <si>
    <t>AP1G1_MOUSE</t>
  </si>
  <si>
    <t>P22892</t>
  </si>
  <si>
    <t>Adtg; Clapg1</t>
  </si>
  <si>
    <t>MGI:101919</t>
  </si>
  <si>
    <t>3D-structure; Coated pit; Cytoplasm; Cytoplasmic vesicle; Golgi apparatus; Membrane; Protein transport; Transport</t>
  </si>
  <si>
    <t>Coated pit; Cytoplasm; Cytoplasmic vesicle; Golgi apparatus; Membrane</t>
  </si>
  <si>
    <t>basolateral protein secretion {GO:0110010}; endosome to melanosome transport {GO:0035646}; Golgi to lysosome transport {GO:0090160}; Golgi to vacuole transport {GO:0006896}; intracellular protein transport {GO:0006886}; melanosome assembly {GO:1903232}; platelet dense granule organization {GO:0060155}; positive regulation of natural killer cell degranulation {GO:0043323}; positive regulation of natural killer cell mediated cytotoxicity {GO:0045954}; receptor-mediated endocytosis {GO:0006898}; vesicle-mediated transport {GO:0016192}</t>
  </si>
  <si>
    <t>AP-1 adaptor complex {GO:0030121}; clathrin-coated vesicle {GO:0030136}; cytosol {GO:0005829}; early endosome {GO:0005769}; Golgi apparatus {GO:0005794}; intracellular membrane-bounded organelle {GO:0043231}; lysosomal membrane {GO:0005765}; perinuclear region of cytoplasm {GO:0048471}; recycling endosome {GO:0055037}; trans-Golgi network {GO:0005802}; trans-Golgi network membrane {GO:0032588}</t>
  </si>
  <si>
    <t>cargo adaptor activity {GO:0140312}; clathrin adaptor activity {GO:0035615}; GTP-dependent protein binding {GO:0030742}; kinesin binding {GO:0019894}; small GTPase binding {GO:0031267}</t>
  </si>
  <si>
    <t>sp|O55201|SPT5H_MOUSE</t>
  </si>
  <si>
    <t>Transcription elongation factor SPT5</t>
  </si>
  <si>
    <t>DRB sensitivity-inducing factor large subunit (DSIF large subunit)</t>
  </si>
  <si>
    <t>SPT5H_MOUSE</t>
  </si>
  <si>
    <t>O55201</t>
  </si>
  <si>
    <t>Q3UJ77; Q3UJH1; Q3UKD7; Q3UM54; Q6PB73; Q6PDP0; Q6PFR4</t>
  </si>
  <si>
    <t>Supt5</t>
  </si>
  <si>
    <t>MGI:1202400</t>
  </si>
  <si>
    <t>Acetylation; Activator; Alternative splicing; Isopeptide bond; Methylation; Nucleus; Phosphoprotein; Repeat; Repressor; Transcription; Transcription regulation; Ubl conjugation</t>
  </si>
  <si>
    <t>negative regulation of DNA-templated transcription, elongation {GO:0032785}; negative regulation of transcription by RNA polymerase II {GO:0000122}; positive regulation of DNA-templated transcription, elongation {GO:0032786}; positive regulation of macroautophagy {GO:0016239}; positive regulation of transcription by RNA polymerase II {GO:0045944}; regulation of DNA-templated transcription {GO:0006355}; regulation of transcription by RNA polymerase II {GO:0006357}; transcription elongation by RNA polymerase II promoter {GO:0006368}</t>
  </si>
  <si>
    <t>DSIF complex {GO:0032044}; nucleoplasm {GO:0005654}; nucleus {GO:0005634}</t>
  </si>
  <si>
    <t>chromatin binding {GO:0003682}; enzyme binding {GO:0019899}; mRNA binding {GO:0003729}; protein heterodimerization activity {GO:0046982}</t>
  </si>
  <si>
    <t>Formation of RNA Pol II elongation complex {R-MMU-112382}; Formation of the Early Elongation Complex {R-MMU-113418}; RNA Polymerase II Pre-transcription Events {R-MMU-674695}; TP53 Regulates Transcription of DNA Repair Genes {R-MMU-6796648}; RNA polymerase II transcribes snRNA genes {R-MMU-6807505}; mRNA Capping {R-MMU-72086}; RNA Polymerase II Transcription Elongation {R-MMU-75955}; RNA Pol II CTD phosphorylation and interaction with CE {R-MMU-77075}</t>
  </si>
  <si>
    <t>sp|Q8R326|PSPC1_MOUSE</t>
  </si>
  <si>
    <t>Paraspeckle component 1</t>
  </si>
  <si>
    <t>Paraspeckle protein 1 (mPSP1)</t>
  </si>
  <si>
    <t>PSPC1_MOUSE</t>
  </si>
  <si>
    <t>Q8R326</t>
  </si>
  <si>
    <t>Q3TUK2; Q9CYH1; Q9D0M8</t>
  </si>
  <si>
    <t>Psp1</t>
  </si>
  <si>
    <t>MGI:1913895</t>
  </si>
  <si>
    <t>Acetylation; Activator; Alternative splicing; Biological rhythms; Coiled coil; Cytoplasm; Immunity; Innate immunity; Methylation; Nucleus; Phosphoprotein; Repeat; Repressor; RNA-binding; Transcription; Transcription regulation</t>
  </si>
  <si>
    <t>Biological rhythms; Immunity; Innate immunity; Transcription; Transcription regulation</t>
  </si>
  <si>
    <t>activation of innate immune response {GO:0002218}; innate immune response {GO:0045087}; negative regulation of DNA-templated transcription {GO:0045892}; regulation of circadian rhythm {GO:0042752}; regulation of DNA-templated transcription {GO:0006355}; rhythmic process {GO:0048511}</t>
  </si>
  <si>
    <t>cytoplasm {GO:0005737}; fibrillar center {GO:0001650}; nuclear matrix {GO:0016363}; nuclear speck {GO:0016607}; nucleoplasm {GO:0005654}; nucleus {GO:0005634}; paraspeckles {GO:0042382}</t>
  </si>
  <si>
    <t>sp|P63054|PCP4_MOUSE</t>
  </si>
  <si>
    <t>Calmodulin regulator protein PCP4</t>
  </si>
  <si>
    <t>Brain-specific antigen PCP-4; Brain-specific polypeptide PEP-19; Purkinje cell protein 4</t>
  </si>
  <si>
    <t>PCP4_MOUSE</t>
  </si>
  <si>
    <t>P63054</t>
  </si>
  <si>
    <t>P07734; Q63890</t>
  </si>
  <si>
    <t>Pep19</t>
  </si>
  <si>
    <t>MGI:97509</t>
  </si>
  <si>
    <t>Calcium; Calmodulin-binding</t>
  </si>
  <si>
    <t>calmodulin dependent kinase signaling pathway {GO:0099004}; negative regulation of neuron apoptotic process {GO:0043524}; negative regulation of protein kinase activity {GO:0006469}; positive regulation of dopamine secretion {GO:0033603}; positive regulation of neuron differentiation {GO:0045666}; positive regulation of neuron projection development {GO:0010976}</t>
  </si>
  <si>
    <t>axon {GO:0030424}; cytoplasm {GO:0005737}; neurofilament {GO:0005883}; neuron projection {GO:0043005}; protein-containing complex {GO:0032991}</t>
  </si>
  <si>
    <t>calcium ion binding {GO:0005509}; calmodulin binding {GO:0005516}; RNA binding {GO:0003723}</t>
  </si>
  <si>
    <t>sp|O88543|CSN3_MOUSE</t>
  </si>
  <si>
    <t>COP9 signalosome complex subunit 3 (SGN3; Signalosome subunit 3)</t>
  </si>
  <si>
    <t>JAB1-containing signalosome subunit 3</t>
  </si>
  <si>
    <t>CSN3_MOUSE</t>
  </si>
  <si>
    <t>O88543</t>
  </si>
  <si>
    <t>Csn3</t>
  </si>
  <si>
    <t>MGI:1349409</t>
  </si>
  <si>
    <t>Acetylation; Cytoplasm; Nucleus; Phosphoprotein; Signalosome</t>
  </si>
  <si>
    <t>in utero embryonic development {GO:0001701}; protein deneddylation {GO:0000338}; regulation of DNA damage response, signal transduction by p53 class mediator resulting in transcription of p21 class mediator {GO:1902162}; ubiquitin-dependent protein catabolic process {GO:0006511}</t>
  </si>
  <si>
    <t>COP9 signalosome {GO:0008180}; cytoplasm {GO:0005737}; cytosol {GO:0005829}; nucleoplasm {GO:0005654}; nucleus {GO:0005634}; perinuclear region of cytoplasm {GO:0048471}</t>
  </si>
  <si>
    <t>sp|Q9EST5|AN32B_MOUSE</t>
  </si>
  <si>
    <t>Acidic leucine-rich nuclear phosphoprotein 32 family member B</t>
  </si>
  <si>
    <t>Proliferation-related acidic leucine-rich protein PAL31</t>
  </si>
  <si>
    <t>AN32B_MOUSE</t>
  </si>
  <si>
    <t>Q9EST5</t>
  </si>
  <si>
    <t>B1AVH9; Q566J4</t>
  </si>
  <si>
    <t>Pal31</t>
  </si>
  <si>
    <t>MGI:1914878</t>
  </si>
  <si>
    <t>Alternative splicing; Chaperone; Leucine-rich repeat; Nucleus; Phosphoprotein; Repeat</t>
  </si>
  <si>
    <t>activation of cysteine-type endopeptidase activity involved in apoptotic process {GO:0006919}; G1/S transition of mitotic cell cycle {GO:0000082}; inner ear development {GO:0048839}; negative regulation of apoptotic process {GO:0043066}; negative regulation of cell differentiation {GO:0045596}; nucleosome assembly {GO:0006334}; positive regulation of cell population proliferation {GO:0008284}; positive regulation of G1/S transition of mitotic cell cycle {GO:1900087}; positive regulation of protein export from nucleus {GO:0046827}; regulation of apoptotic process {GO:0042981}; roof of mouth development {GO:0060021}; vasculature development {GO:0001944}; ventricular system development {GO:0021591}</t>
  </si>
  <si>
    <t>cytoplasm {GO:0005737}; nucleolus {GO:0005730}; nucleoplasm {GO:0005654}; nucleus {GO:0005634}</t>
  </si>
  <si>
    <t>histone binding {GO:0042393}; RNA polymerase binding {GO:0070063}</t>
  </si>
  <si>
    <t>sp|O08539|BIN1_MOUSE</t>
  </si>
  <si>
    <t>Myc box-dependent-interacting protein 1</t>
  </si>
  <si>
    <t>Amphiphysin II; Amphiphysin-like protein; Bridging integrator 1; SH3 domain-containing protein 9</t>
  </si>
  <si>
    <t>BIN1_MOUSE</t>
  </si>
  <si>
    <t>O08539</t>
  </si>
  <si>
    <t>Q62434</t>
  </si>
  <si>
    <t>Amphl; Sh3p9</t>
  </si>
  <si>
    <t>MGI:108092</t>
  </si>
  <si>
    <t>Acetylation; Alternative splicing; Cell membrane; Coiled coil; Cytoplasm; Developmental protein; Differentiation; Endocytosis; Endosome; Membrane; Nucleus; Phosphoprotein; SH3 domain</t>
  </si>
  <si>
    <t>Differentiation; Endocytosis</t>
  </si>
  <si>
    <t>Cell membrane; Cytoplasm; Endosome; Membrane; Nucleus</t>
  </si>
  <si>
    <t>endosome to lysosome transport {GO:0008333}; lipid tube assembly {GO:0060988}; muscle cell differentiation {GO:0042692}; negative regulation of amyloid-beta formation {GO:1902430}; negative regulation of aspartic-type endopeptidase activity involved in amyloid precursor protein catabolic process {GO:1902960}; negative regulation of calcium ion transmembrane transport via high voltage-gated calcium channel {GO:1904878}; negative regulation of potassium ion transmembrane transport {GO:1901380}; negative regulation of transcription by RNA polymerase II {GO:0000122}; negative regulation of ventricular cardiac muscle cell action potential {GO:1903946}; nucleus localization {GO:0051647}; nucleus organization {GO:0006997}; positive regulation of actin filament polymerization {GO:0030838}; positive regulation of apoptotic process {GO:0043065}; positive regulation of astrocyte differentiation {GO:0048711}; positive regulation of endocytosis {GO:0045807}; positive regulation of GTPase activity {GO:0043547}; regulation of cell cycle process {GO:0010564}; regulation of heart rate by cardiac conduction {GO:0086091}; regulation of neuron differentiation {GO:0045664}; synaptic vesicle endocytosis {GO:0048488}; T-tubule organization {GO:0033292}</t>
  </si>
  <si>
    <t>axon {GO:0030424}; axon initial segment {GO:0043194}; axon terminus {GO:0043679}; cerebellar mossy fiber {GO:0044300}; cytoplasm {GO:0005737}; cytoskeleton {GO:0005856}; cytosol {GO:0005829}; dendrite {GO:0030425}; endosome {GO:0005768}; extrinsic component of synaptic vesicle membrane {GO:0098850}; glutamatergic synapse {GO:0098978}; I band {GO:0031674}; lipid tube {GO:0060987}; membrane {GO:0016020}; microtubule {GO:0005874}; node of Ranvier {GO:0033268}; nuclear envelope {GO:0005635}; nucleus {GO:0005634}; plasma membrane {GO:0005886}; RNA polymerase II transcription repressor complex {GO:0090571}; synapse {GO:0045202}; synaptic vesicle {GO:0008021}; T-tubule {GO:0030315}; varicosity {GO:0043196}; vesicle {GO:0031982}; Z disc {GO:0030018}</t>
  </si>
  <si>
    <t>actin filament binding {GO:0051015}; aspartic-type endopeptidase inhibitor activity {GO:0019828}; chaperone binding {GO:0051087}; GTPase binding {GO:0051020}; identical protein binding {GO:0042802}; phospholipid binding {GO:0005543}; protease binding {GO:0002020}; protein-containing complex binding {GO:0044877}; RNA polymerase binding {GO:0070063}; tau protein binding {GO:0048156}</t>
  </si>
  <si>
    <t>sp|Q8C079|STRP1_MOUSE</t>
  </si>
  <si>
    <t>Striatin-interacting protein 1</t>
  </si>
  <si>
    <t>Protein FAM40A</t>
  </si>
  <si>
    <t>STRP1_MOUSE</t>
  </si>
  <si>
    <t>Q8C079</t>
  </si>
  <si>
    <t>Q80T92; Q8BZC6; Q8CIF7</t>
  </si>
  <si>
    <t>Fam40a; Kiaa1761</t>
  </si>
  <si>
    <t>MGI:2443884</t>
  </si>
  <si>
    <t>cortical actin cytoskeleton organization {GO:0030866}; cytoskeleton organization {GO:0007010}; regulation of cell morphogenesis {GO:0022604}</t>
  </si>
  <si>
    <t>protein kinase binding {GO:0019901}; small GTPase binding {GO:0031267}</t>
  </si>
  <si>
    <t>tr|Q3UIX4|Q3UIX4_MOUSE</t>
  </si>
  <si>
    <t>sp|Q8VCI5|PEX19_MOUSE</t>
  </si>
  <si>
    <t>Peroxisomal biogenesis factor 19</t>
  </si>
  <si>
    <t>Peroxin-19; Peroxisomal farnesylated protein (PxF)</t>
  </si>
  <si>
    <t>PEX19_MOUSE</t>
  </si>
  <si>
    <t>Q8VCI5</t>
  </si>
  <si>
    <t>Q4FJU7; Q8CEE1; Q921H0; Q9CZC1; Q9QUQ1</t>
  </si>
  <si>
    <t>Pxf</t>
  </si>
  <si>
    <t>MGI:1334458</t>
  </si>
  <si>
    <t>Acetylation; Alternative splicing; Cytoplasm; Lipoprotein; Membrane; Methylation; Peroxisome; Peroxisome biogenesis; Phosphoprotein; Prenylation</t>
  </si>
  <si>
    <t>Peroxisome biogenesis</t>
  </si>
  <si>
    <t>Cytoplasm; Membrane; Peroxisome</t>
  </si>
  <si>
    <t>chaperone-mediated protein folding {GO:0061077}; establishment of protein localization to peroxisome {GO:0072663}; negative regulation of lipid binding {GO:1900131}; peroxisome fission {GO:0016559}; peroxisome membrane biogenesis {GO:0016557}; peroxisome organization {GO:0007031}; protein import into peroxisome membrane {GO:0045046}; protein stabilization {GO:0050821}; protein targeting to peroxisome {GO:0006625}</t>
  </si>
  <si>
    <t>brush border membrane {GO:0031526}; cytoplasm {GO:0005737}; cytosol {GO:0005829}; integral component of membrane {GO:0016021}; nucleoplasm {GO:0005654}; nucleus {GO:0005634}; peroxisomal membrane {GO:0005778}; peroxisome {GO:0005777}; protein-containing complex {GO:0032991}</t>
  </si>
  <si>
    <t>ATPase binding {GO:0051117}; peroxisome membrane class-1 targeting sequence binding {GO:0036105}; peroxisome membrane targeting sequence binding {GO:0033328}; protein carrier chaperone {GO:0140597}; protein N-terminus binding {GO:0047485}</t>
  </si>
  <si>
    <t>ABC transporters in lipid homeostasis {R-MMU-1369062}; Class I peroxisomal membrane protein import {R-MMU-9603798}</t>
  </si>
  <si>
    <t>sp|Q6DFW4|NOP58_MOUSE</t>
  </si>
  <si>
    <t>Nucleolar protein 58</t>
  </si>
  <si>
    <t>MSSP; Nucleolar protein 5; SIK-similar protein</t>
  </si>
  <si>
    <t>NOP58_MOUSE</t>
  </si>
  <si>
    <t>Q6DFW4</t>
  </si>
  <si>
    <t>O70396; Q3UYX9; Q3UZA3; Q8C8Y7</t>
  </si>
  <si>
    <t>Nol5</t>
  </si>
  <si>
    <t>MGI:1933184</t>
  </si>
  <si>
    <t>Isopeptide bond; Nucleus; Phosphoprotein; Ribonucleoprotein; Ribosome biogenesis; Ubl conjugation</t>
  </si>
  <si>
    <t>ribosome biogenesis {GO:0042254}; snoRNA localization {GO:0048254}</t>
  </si>
  <si>
    <t>box C/D RNP complex {GO:0031428}; Cajal body {GO:0015030}; cytosol {GO:0005829}; fibrillar center {GO:0001650}; nucleolus {GO:0005730}; nucleoplasm {GO:0005654}; nucleus {GO:0005634}; pre-snoRNP complex {GO:0070761}; small-subunit processome {GO:0032040}; sno(s)RNA-containing ribonucleoprotein complex {GO:0005732}</t>
  </si>
  <si>
    <t>ATPase binding {GO:0051117}; snoRNA binding {GO:0030515}; TFIID-class transcription factor complex binding {GO:0001094}</t>
  </si>
  <si>
    <t>SUMOylation of RNA binding proteins {R-MMU-4570464}; Major pathway of rRNA processing in the nucleolus and cytosol {R-MMU-6791226}</t>
  </si>
  <si>
    <t>sp|Q8CCK0|H2AW_MOUSE</t>
  </si>
  <si>
    <t>Core histone macro-H2A.2 (Histone macroH2A2; mH2A2)</t>
  </si>
  <si>
    <t>H2AW_MOUSE</t>
  </si>
  <si>
    <t>Q8CCK0</t>
  </si>
  <si>
    <t>A0JP36; Q3TNT4; Q925I6</t>
  </si>
  <si>
    <t>MGI:3037658</t>
  </si>
  <si>
    <t>Chromatin regulator; Chromosome; DNA-binding; Isopeptide bond; Nucleosome core; Nucleus; Ubl conjugation</t>
  </si>
  <si>
    <t>brain development {GO:0007420}; dosage compensation {GO:0007549}; establishment of protein localization to chromatin {GO:0071169}; negative regulation of gene expression, epigenetic {GO:0045814}; negative regulation of transcription by RNA polymerase II {GO:0000122}; negative regulation of transcription of nucleolar large rRNA by RNA polymerase I {GO:1901837}; nucleosome assembly {GO:0006334}; positive regulation of keratinocyte differentiation {GO:0045618}</t>
  </si>
  <si>
    <t>Barr body {GO:0001740}; chromatin {GO:0000785}; nucleoplasm {GO:0005654}; nucleosome {GO:0000786}; nucleus {GO:0005634}</t>
  </si>
  <si>
    <t>chromatin DNA binding {GO:0031490}; DNA binding {GO:0003677}; protein heterodimerization activity {GO:0046982}; RNA polymerase II transcription regulatory region sequence-specific DNA binding {GO:0000977}; structural constituent of chromatin {GO:0030527}; transcription cis-regulatory region binding {GO:0000976}</t>
  </si>
  <si>
    <t>sp|P35123|UBP4_MOUSE</t>
  </si>
  <si>
    <t>Ubiquitin carboxyl-terminal hydrolase 4</t>
  </si>
  <si>
    <t>Deubiquitinating enzyme 4; Ubiquitin thioesterase 4; Ubiquitin-specific-processing protease 4; Ubiquitous nuclear protein</t>
  </si>
  <si>
    <t>UBP4_MOUSE</t>
  </si>
  <si>
    <t>P35123</t>
  </si>
  <si>
    <t>O54704; Q8BTL9</t>
  </si>
  <si>
    <t>Unp</t>
  </si>
  <si>
    <t>MGI:98905</t>
  </si>
  <si>
    <t>3D-structure; Cytoplasm; Hydrolase; Metal-binding; Nucleus; Phosphoprotein; Protease; Proto-oncogene; Repeat; Thiol protease; Ubl conjugation; Ubl conjugation pathway; Zinc</t>
  </si>
  <si>
    <t>negative regulation of protein ubiquitination {GO:0031397}; protein deubiquitination {GO:0016579}; protein localization to cell surface {GO:0034394}; regulation of protein stability {GO:0031647}; spliceosomal tri-snRNP complex assembly {GO:0000244}; ubiquitin-dependent protein catabolic process {GO:0006511}</t>
  </si>
  <si>
    <t>adenosine receptor binding {GO:0031685}; cysteine-type deubiquitinase activity {GO:0004843}; identical protein binding {GO:0042802}; metal ion binding {GO:0046872}</t>
  </si>
  <si>
    <t>TNFR1-induced proapoptotic signaling {R-MMU-5357786}; Regulation of TNFR1 signaling {R-MMU-5357905}; TNFR1-induced NFkappaB signaling pathway {R-MMU-5357956}; Ub-specific processing proteases {R-MMU-5689880}</t>
  </si>
  <si>
    <t>sp|Q9CZH7|MXRA7_MOUSE</t>
  </si>
  <si>
    <t>Matrix-remodeling-associated protein 7</t>
  </si>
  <si>
    <t>MXRA7_MOUSE</t>
  </si>
  <si>
    <t>Q9CZH7</t>
  </si>
  <si>
    <t>A2AA24; B2RVR9; Q8C6F8</t>
  </si>
  <si>
    <t>MGI:1914872</t>
  </si>
  <si>
    <t>Membrane; Phosphoprotein; Transmembrane; Transmembrane helix</t>
  </si>
  <si>
    <t>endoplasmic reticulum {GO:0005783}; integral component of membrane {GO:0016021}</t>
  </si>
  <si>
    <t>sp|Q61881|MCM7_MOUSE</t>
  </si>
  <si>
    <t>DNA replication licensing factor MCM7</t>
  </si>
  <si>
    <t>CDC47 homolog</t>
  </si>
  <si>
    <t>MCM7_MOUSE</t>
  </si>
  <si>
    <t>Q61881</t>
  </si>
  <si>
    <t>Cdc47; Mcmd7</t>
  </si>
  <si>
    <t>MGI:1298398</t>
  </si>
  <si>
    <t>Acetylation; ATP-binding; Cell cycle; Chromosome; DNA replication; DNA-binding; Glycoprotein; Helicase; Hydrolase; Isopeptide bond; Nucleotide-binding; Nucleus; Phosphoprotein; Ubl conjugation</t>
  </si>
  <si>
    <t>cell cycle {GO:0007049}; cell population proliferation {GO:0008283}; cellular response to DNA damage stimulus {GO:0006974}; cellular response to epidermal growth factor stimulus {GO:0071364}; cellular response to xenobiotic stimulus {GO:0071466}; DNA replication initiation {GO:0006270}; DNA strand elongation involved in DNA replication {GO:0006271}; DNA unwinding involved in DNA replication {GO:0006268}; double-strand break repair via break-induced replication {GO:0000727}; regulation of DNA-templated DNA replication initiation {GO:0030174}; regulation of phosphorylation {GO:0042325}</t>
  </si>
  <si>
    <t>CMG complex {GO:0071162}; cytosol {GO:0005829}; MCM complex {GO:0042555}; nucleoplasm {GO:0005654}; nucleus {GO:0005634}</t>
  </si>
  <si>
    <t>sp|Q9CWZ3|RBM8A_MOUSE</t>
  </si>
  <si>
    <t>RNA-binding protein 8A</t>
  </si>
  <si>
    <t>RNA-binding motif protein 8A; Ribonucleoprotein RBM8A</t>
  </si>
  <si>
    <t>RBM8A_MOUSE</t>
  </si>
  <si>
    <t>Q9CWZ3</t>
  </si>
  <si>
    <t>A0A023T672; Q3UT38; Q6GTD4; Q9D6U5</t>
  </si>
  <si>
    <t>Rbm8</t>
  </si>
  <si>
    <t>MGI:1913129</t>
  </si>
  <si>
    <t>Acetylation; Alternative splicing; Cytoplasm; Isopeptide bond; mRNA processing; mRNA splicing; mRNA transport; Nonsense-mediated mRNA decay; Nucleus; Phosphoprotein; RNA-binding; Spliceosome; Translation regulation; Transport; Ubl conjugation</t>
  </si>
  <si>
    <t>Nonsense-mediated mRNA decay; Translation regulation; Transport; mRNA processing; mRNA splicing; mRNA transport</t>
  </si>
  <si>
    <t>mRNA export from nucleus {GO:0006406}; mRNA splicing, via spliceosome {GO:0000398}; nuclear-transcribed mRNA catabolic process, nonsense-mediated decay {GO:0000184}; regulation of alternative mRNA splicing, via spliceosome {GO:0000381}; regulation of mRNA processing {GO:0050684}; regulation of nuclear-transcribed mRNA catabolic process, nonsense-mediated decay {GO:2000622}; regulation of translation {GO:0006417}; RNA splicing {GO:0008380}</t>
  </si>
  <si>
    <t>catalytic step 2 spliceosome {GO:0071013}; cytosol {GO:0005829}; dendrite {GO:0030425}; exon-exon junction complex {GO:0035145}; exon-exon junction subcomplex mago-y14 {GO:1990501}; neuronal cell body {GO:0043025}; nuclear speck {GO:0016607}; nucleus {GO:0005634}; U2-type catalytic step 1 spliceosome {GO:0071006}</t>
  </si>
  <si>
    <t>Transport of Mature mRNA derived from an Intron-Containing Transcript {R-MMU-159236}; mRNA Splicing - Major Pathway {R-MMU-72163}; mRNA 3'-end processing {R-MMU-72187}; RNA Polymerase II Transcription Termination {R-MMU-73856}; Nonsense Mediated Decay (NMD) enhanced by the Exon Junction Complex (EJC) {R-MMU-975957}</t>
  </si>
  <si>
    <t>sp|Q922Y1|UBXN1_MOUSE</t>
  </si>
  <si>
    <t>UBX domain-containing protein 1</t>
  </si>
  <si>
    <t>Protein 2B28; SAPK substrate protein 1; UBA/UBX 33.3 kDa protein (mY33K)</t>
  </si>
  <si>
    <t>UBXN1_MOUSE</t>
  </si>
  <si>
    <t>Q922Y1</t>
  </si>
  <si>
    <t>Q3UCP8</t>
  </si>
  <si>
    <t>D19Ertd721e; Saks1</t>
  </si>
  <si>
    <t>MGI:1289301</t>
  </si>
  <si>
    <t>3D-structure; Acetylation; Coiled coil; Cytoplasm; Phosphoprotein</t>
  </si>
  <si>
    <t>negative regulation of ERAD pathway {GO:1904293}; negative regulation of proteasomal ubiquitin-dependent protein catabolic process {GO:0032435}; negative regulation of protein K48-linked deubiquitination {GO:1903094}; negative regulation of protein ubiquitination {GO:0031397}; negative regulation of ubiquitin-specific protease activity {GO:2000157}</t>
  </si>
  <si>
    <t>cytoplasm {GO:0005737}; cytosol {GO:0005829}; dendrite {GO:0030425}; endoplasmic reticulum {GO:0005783}; neuronal cell body {GO:0043025}; nucleoplasm {GO:0005654}; nucleus {GO:0005634}; VCP-NPL4-UFD1 AAA ATPase complex {GO:0034098}</t>
  </si>
  <si>
    <t>ATPase binding {GO:0051117}; K48-linked polyubiquitin modification-dependent protein binding {GO:0036435}; K6-linked polyubiquitin modification-dependent protein binding {GO:0071796}; polyubiquitin modification-dependent protein binding {GO:0031593}; proteasome regulatory particle binding {GO:1904855}; ubiquitin binding {GO:0043130}; ubiquitin protein ligase binding {GO:0031625}</t>
  </si>
  <si>
    <t>N-glycan trimming in the ER and Calnexin/Calreticulin cycle {R-MMU-532668}; Recruitment and ATM-mediated phosphorylation of repair and signaling proteins at DNA double strand breaks {R-MMU-5693565}</t>
  </si>
  <si>
    <t>sp|O70305|ATX2_MOUSE</t>
  </si>
  <si>
    <t>Ataxin-2</t>
  </si>
  <si>
    <t>Spinocerebellar ataxia type 2 protein homolog</t>
  </si>
  <si>
    <t>ATX2_MOUSE</t>
  </si>
  <si>
    <t>O70305</t>
  </si>
  <si>
    <t>P97421</t>
  </si>
  <si>
    <t>Atx2; Sca2</t>
  </si>
  <si>
    <t>MGI:1277223</t>
  </si>
  <si>
    <t>Alternative splicing; Cytoplasm; Isopeptide bond; Methylation; Phosphoprotein; Ubl conjugation</t>
  </si>
  <si>
    <t>cerebellar Purkinje cell differentiation {GO:0021702}; homeostasis of number of cells {GO:0048872}; negative regulation of multicellular organism growth {GO:0040015}; negative regulation of receptor internalization {GO:0002091}; neuromuscular process {GO:0050905}; neuron projection morphogenesis {GO:0048812}; P-body assembly {GO:0033962}; stress granule assembly {GO:0034063}</t>
  </si>
  <si>
    <t>cytoplasm {GO:0005737}; cytoplasmic stress granule {GO:0010494}; cytosol {GO:0005829}; Golgi apparatus {GO:0005794}; perinuclear region of cytoplasm {GO:0048471}; polysome {GO:0005844}; ribonucleoprotein complex {GO:1990904}; trans-Golgi network {GO:0005802}</t>
  </si>
  <si>
    <t>epidermal growth factor receptor binding {GO:0005154}; protein C-terminus binding {GO:0008022}; RNA binding {GO:0003723}</t>
  </si>
  <si>
    <t>sp|P49718|MCM5_MOUSE</t>
  </si>
  <si>
    <t>DNA replication licensing factor MCM5</t>
  </si>
  <si>
    <t>CDC46 homolog; P1-CDC46</t>
  </si>
  <si>
    <t>MCM5_MOUSE</t>
  </si>
  <si>
    <t>P49718</t>
  </si>
  <si>
    <t>Q52KC3</t>
  </si>
  <si>
    <t>Cdc46; Mcmd5</t>
  </si>
  <si>
    <t>MGI:103197</t>
  </si>
  <si>
    <t>Acetylation; ATP-binding; Cell cycle; Chromosome; Cytoplasm; DNA replication; DNA-binding; Helicase; Hydrolase; Nucleotide-binding; Nucleus; Phosphoprotein</t>
  </si>
  <si>
    <t>cell cycle {GO:0007049}; DNA replication initiation {GO:0006270}; DNA unwinding involved in DNA replication {GO:0006268}; double-strand break repair via break-induced replication {GO:0000727}; regulation of DNA-templated DNA replication initiation {GO:0030174}</t>
  </si>
  <si>
    <t>ATP binding {GO:0005524}; ATP hydrolysis activity {GO:0016887}; DNA helicase activity {GO:0003678}; DNA replication origin binding {GO:0003688}; single-stranded DNA binding {GO:0003697}</t>
  </si>
  <si>
    <t>sp|Q7TMY8|HUWE1_MOUSE</t>
  </si>
  <si>
    <t>E3 ubiquitin-protein ligase HUWE1</t>
  </si>
  <si>
    <t>E3Histone; HECT, UBA and WWE domain-containing protein 1; HECT-type E3 ubiquitin transferase HUWE1; Upstream regulatory element-binding protein 1 (URE-B1; URE-binding protein 1)</t>
  </si>
  <si>
    <t>HUWE1_MOUSE</t>
  </si>
  <si>
    <t>Q7TMY8</t>
  </si>
  <si>
    <t>A2AFQ1; Q4G2Z1; Q5BMM7; Q6NS61; Q8BNJ7; Q8CFH2; Q8VD14; Q921M5; Q9R0P2</t>
  </si>
  <si>
    <t>Kiaa0312; Ureb1</t>
  </si>
  <si>
    <t>MGI:1926884</t>
  </si>
  <si>
    <t>Acetylation; Alternative splicing; Biological rhythms; Cytoplasm; Differentiation; DNA damage; DNA repair; DNA-binding; Methylation; Mitochondrion; Nucleus; Phosphoprotein; Transferase; Ubl conjugation pathway</t>
  </si>
  <si>
    <t>Biological rhythms; DNA damage; DNA repair; Differentiation; Ubl conjugation pathway</t>
  </si>
  <si>
    <t>DNA-binding; Transferase</t>
  </si>
  <si>
    <t>base-excision repair {GO:0006284}; cell differentiation {GO:0030154}; circadian regulation of gene expression {GO:0032922}; Golgi organization {GO:0007030}; histone ubiquitination {GO:0016574}; membrane fusion {GO:0061025}; negative regulation of mitochondrial fusion {GO:0010637}; positive regulation of mitophagy in response to mitochondrial depolarization {GO:0098779}; positive regulation of protein ubiquitination {GO:0031398}; proteasome-mediated ubiquitin-dependent protein catabolic process {GO:0043161}; protein monoubiquitination {GO:0006513}; protein polyubiquitination {GO:0000209}; protein ubiquitination {GO:0016567}</t>
  </si>
  <si>
    <t>cytoplasm {GO:0005737}; cytosol {GO:0005829}; Golgi membrane {GO:0000139}; mitochondrion {GO:0005739}; nucleoplasm {GO:0005654}; nucleus {GO:0005634}</t>
  </si>
  <si>
    <t>DNA binding {GO:0003677}; ubiquitin protein ligase activity {GO:0061630}; ubiquitin-protein transferase activity {GO:0004842}</t>
  </si>
  <si>
    <t>sp|Q3TDQ1|STT3B_MOUSE</t>
  </si>
  <si>
    <t>Dolichyl-diphosphooligosaccharide--protein glycosyltransferase subunit STT3B (Oligosaccharyl transferase subunit STT3B; STT3-B)</t>
  </si>
  <si>
    <t>B6dom1 antigen; Source of immunodominant MHC-associated peptides</t>
  </si>
  <si>
    <t>STT3B_MOUSE</t>
  </si>
  <si>
    <t>Q3TDQ1</t>
  </si>
  <si>
    <t>Q7TT24; Q921E3; Q99LL0; Q9D2V2</t>
  </si>
  <si>
    <t>Simp</t>
  </si>
  <si>
    <t>MGI:1915542</t>
  </si>
  <si>
    <t>Acetylation; Endoplasmic reticulum; Glycoprotein; Glycosyltransferase; Magnesium; Manganese; Membrane; Metal-binding; Phosphoprotein; Transferase; Transmembrane; Transmembrane helix</t>
  </si>
  <si>
    <t>co-translational protein modification {GO:0043686}; glycoprotein catabolic process {GO:0006516}; post-translational protein modification {GO:0043687}; protein N-linked glycosylation {GO:0006487}; protein N-linked glycosylation via asparagine {GO:0018279}; response to unfolded protein {GO:0006986}; ubiquitin-dependent ERAD pathway {GO:0030433}</t>
  </si>
  <si>
    <t>endoplasmic reticulum {GO:0005783}; endoplasmic reticulum membrane {GO:0005789}; integral component of membrane {GO:0016021}; oligosaccharyltransferase complex {GO:0008250}; oligosaccharyltransferase I complex {GO:0034998}; protein-containing complex {GO:0032991}</t>
  </si>
  <si>
    <t>dolichyl-diphosphooligosaccharide-protein glycotransferase activity {GO:0004579}; metal ion binding {GO:0046872}</t>
  </si>
  <si>
    <t>sp|Q9WU28|PFD5_MOUSE</t>
  </si>
  <si>
    <t>Prefoldin subunit 5</t>
  </si>
  <si>
    <t>EIG-1; Myc modulator 1; c-Myc-binding protein Mm-1</t>
  </si>
  <si>
    <t>PFD5_MOUSE</t>
  </si>
  <si>
    <t>Q9WU28</t>
  </si>
  <si>
    <t>Q3UKS8; Q9JMJ8</t>
  </si>
  <si>
    <t>Eig1; Mm1; Pfd5</t>
  </si>
  <si>
    <t>MGI:1928753</t>
  </si>
  <si>
    <t>Acetylation; Chaperone; Nucleus; Phosphoprotein</t>
  </si>
  <si>
    <t>negative regulation of amyloid fibril formation {GO:1905907}; negative regulation of canonical Wnt signaling pathway {GO:0090090}; negative regulation of DNA-templated transcription {GO:0045892}; protein folding {GO:0006457}; regulation of DNA-templated transcription {GO:0006355}; retina development in camera-type eye {GO:0060041}</t>
  </si>
  <si>
    <t>cytoplasm {GO:0005737}; cytosol {GO:0005829}; intermediate filament cytoskeleton {GO:0045111}; nucleus {GO:0005634}; prefoldin complex {GO:0016272}</t>
  </si>
  <si>
    <t>amyloid-beta binding {GO:0001540}; unfolded protein binding {GO:0051082}</t>
  </si>
  <si>
    <t>sp|O54774|AP3D1_MOUSE</t>
  </si>
  <si>
    <t>AP-3 complex subunit delta-1</t>
  </si>
  <si>
    <t>AP-3 complex subunit delta; Adaptor-related protein complex 3 subunit delta-1; Delta-adaptin (mBLVR1)</t>
  </si>
  <si>
    <t>AP3D1_MOUSE</t>
  </si>
  <si>
    <t>O54774</t>
  </si>
  <si>
    <t>Ap3d</t>
  </si>
  <si>
    <t>MGI:107734</t>
  </si>
  <si>
    <t>Acetylation; Coiled coil; Cytoplasm; Golgi apparatus; Membrane; Phosphoprotein; Protein transport; Repeat; Transport</t>
  </si>
  <si>
    <t>anterograde axonal transport {GO:0008089}; anterograde synaptic vesicle transport {GO:0048490}; antigen processing and presentation {GO:0019882}; antigen processing and presentation, exogenous lipid antigen via MHC class Ib {GO:0048007}; clathrin-coated vesicle cargo loading, AP-3-mediated {GO:0035654}; endosome to melanosome transport {GO:0035646}; Golgi to vacuole transport {GO:0006896}; intracellular protein transport {GO:0006886}; intracellular transport {GO:0046907}; melanosome assembly {GO:1903232}; neurotransmitter receptor transport, postsynaptic endosome to lysosome {GO:0098943}; platelet dense granule organization {GO:0060155}; positive regulation of NK T cell differentiation {GO:0051138}; positive regulation of transcription by RNA polymerase II {GO:0045944}; protein localization to membrane {GO:0072657}; protein localization to organelle {GO:0033365}; protein targeting to vacuole {GO:0006623}; regulation of sequestering of zinc ion {GO:0061088}; synaptic vesicle budding from endosome {GO:0016182}; synaptic vesicle coating {GO:0016183}; synaptic vesicle membrane organization {GO:0048499}; synaptic vesicle recycling {GO:0036465}; vesicle-mediated transport {GO:0016192}; vesicle-mediated transport in synapse {GO:0099003}; zinc ion transport {GO:0006829}</t>
  </si>
  <si>
    <t>AP-3 adaptor complex {GO:0030123}; axon {GO:0030424}; axon cytoplasm {GO:1904115}; early endosome {GO:0005769}; endosome membrane {GO:0010008}; glutamatergic synapse {GO:0098978}; Golgi membrane {GO:0000139}; postsynapse {GO:0098794}; presynapse {GO:0098793}; presynaptic endosome {GO:0098830}; terminal bouton {GO:0043195}; trans-Golgi network {GO:0005802}</t>
  </si>
  <si>
    <t>sp|Q3TKT4|SMCA4_MOUSE</t>
  </si>
  <si>
    <t>Transcription activator BRG1</t>
  </si>
  <si>
    <t>ATP-dependent helicase SMARCA4; BRG1-associated factor 190A (BAF190A); Protein brahma homolog 1; SNF2-beta; SWI/SNF-related matrix-associated actin-dependent regulator of chromatin subfamily A member 4</t>
  </si>
  <si>
    <t>SMCA4_MOUSE</t>
  </si>
  <si>
    <t>Q3TKT4</t>
  </si>
  <si>
    <t>Q3TUD7; Q6AXG8</t>
  </si>
  <si>
    <t>Baf190a; Brg1; Snf2b; Snf2l4</t>
  </si>
  <si>
    <t>MGI:88192</t>
  </si>
  <si>
    <t>Acetylation; Activator; Alternative splicing; ATP-binding; Bromodomain; Chromatin regulator; Helicase; Hydrolase; Isopeptide bond; Neurogenesis; Nucleotide-binding; Nucleus; Phosphoprotein; Repressor; RNA-binding; Transcription; Transcription regulation; Ubl conjugation</t>
  </si>
  <si>
    <t>Bromodomain</t>
  </si>
  <si>
    <t>Activator; Chromatin regulator; Helicase; Hydrolase; RNA-binding; Repressor</t>
  </si>
  <si>
    <t>aorta development {GO:0035904}; aortic smooth muscle cell differentiation {GO:0035887}; blastocyst growth {GO:0001832}; blastocyst hatching {GO:0001835}; blood vessel development {GO:0001568}; cell morphogenesis {GO:0000902}; chromatin remodeling {GO:0006338}; coronary vasculature development {GO:0060976}; definitive erythrocyte differentiation {GO:0060318}; DNA methylation on cytosine within a CG sequence {GO:0010424}; DNA methylation-dependent heterochromatin assembly {GO:0006346}; embryonic hindlimb morphogenesis {GO:0035116}; embryonic organ morphogenesis {GO:0048562}; epidermis morphogenesis {GO:0048730}; extracellular matrix organization {GO:0030198}; forebrain development {GO:0030900}; gene expression {GO:0010467}; glial cell fate determination {GO:0007403}; heart development {GO:0007507}; heart trabecula formation {GO:0060347}; hindbrain development {GO:0030902}; histone H3 acetylation {GO:0043966}; in utero embryonic development {GO:0001701}; keratinocyte differentiation {GO:0030216}; lens fiber cell development {GO:0070307}; liver development {GO:0001889}; negative regulation of androgen receptor signaling pathway {GO:0060766}; negative regulation of apoptotic process {GO:0043066}; negative regulation of cell differentiation {GO:0045596}; negative regulation of cell growth {GO:0030308}; negative regulation of DNA-templated transcription {GO:0045892}; negative regulation of transcription by RNA polymerase II {GO:0000122}; nervous system development {GO:0007399}; neurogenesis {GO:0022008}; nucleosome assembly {GO:0006334}; nucleosome disassembly {GO:0006337}; outflow tract morphogenesis {GO:0003151}; pharyngeal arch artery morphogenesis {GO:0061626}; positive regulation by host of viral transcription {GO:0043923}; positive regulation of cell differentiation {GO:0045597}; positive regulation of cell population proliferation {GO:0008284}; positive regulation of DNA binding {GO:0043388}; positive regulation of DNA-binding transcription factor activity {GO:0051091}; positive regulation of DNA-templated transcription {GO:0045893}; positive regulation of double-strand break repair {GO:2000781}; positive regulation of glucose mediated signaling pathway {GO:1902661}; positive regulation of miRNA transcription {GO:1902895}; positive regulation of myoblast differentiation {GO:0045663}; positive regulation of stem cell population maintenance {GO:1902459}; positive regulation of T cell differentiation {GO:0045582}; positive regulation of transcription by RNA polymerase II {GO:0045944}; positive regulation of transcription of nucleolar large rRNA by RNA polymerase I {GO:1901838}; positive regulation of Wnt signaling pathway {GO:0030177}; primitive erythrocyte differentiation {GO:0060319}; regulation of cell migration {GO:0030334};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{GO:0006357}; stem cell population maintenance {GO:0019827}; transcription by RNA polymerase II {GO:0006366}; vasculogenesis {GO:0001570}; ventricular septum development {GO:0003281}</t>
  </si>
  <si>
    <t>bBAF complex {GO:0140092}; chromatin {GO:0000785}; euchromatin {GO:0000791}; fibrillar center {GO:0001650}; GBAF complex {GO:0140288}; heterochromatin {GO:0000792}; kinetochore {GO:0000776}; male germ cell nucleus {GO:0001673}; nBAF complex {GO:0071565}; npBAF complex {GO:0071564}; nuclear matrix {GO:0016363}; nucleoplasm {GO:0005654}; nucleus {GO:0005634}; perichromatin fibrils {GO:0005726}; RSC-type complex {GO:0016586}; SWI/SNF complex {GO:0016514}</t>
  </si>
  <si>
    <t>ATP binding {GO:0005524}; ATP hydrolysis activity {GO:0016887}; ATP-dependent activity, acting on DNA {GO:0008094}; ATP-dependent chromatin remodeler activity {GO:0140658}; chromatin binding {GO:0003682}; DNA binding {GO:0003677}; DNA polymerase binding {GO:0070182}; helicase activity {GO:0004386}; lncRNA binding {GO:0106222}; lysine-acetylated histone binding {GO:0070577}; nuclear androgen receptor binding {GO:0050681}; p53 binding {GO:0002039}; protein N-terminus binding {GO:0047485}; protein-containing complex binding {GO:0044877}; RNA polymerase I core promoter sequence-specific DNA binding {GO:0001164}; RNA polymerase II cis-regulatory region sequence-specific DNA binding {GO:0000978}; RNA polymerase II transcription regulatory region sequence-specific DNA binding {GO:0000977}; Tat protein binding {GO:0030957}; transcription coactivator activity {GO:0003713}; transcription coregulator binding {GO:0001221}; transcription corepressor activity {GO:0003714}</t>
  </si>
  <si>
    <t>Interleukin-7 signaling {R-MMU-1266695}; Formation of the beta-catenin:TCF transactivating complex {R-MMU-201722}; RMTs methylate histone arginines {R-MMU-3214858}; Chromatin modifying enzymes {R-MMU-3247509}; RUNX1 interacts with co-factors whose precise effect on RUNX1 targets is not known {R-MMU-8939243}</t>
  </si>
  <si>
    <t>sp|Q9D8X2|CC124_MOUSE</t>
  </si>
  <si>
    <t>Coiled-coil domain-containing protein 124</t>
  </si>
  <si>
    <t>CC124_MOUSE</t>
  </si>
  <si>
    <t>Q9D8X2</t>
  </si>
  <si>
    <t>Q8C2T0</t>
  </si>
  <si>
    <t>MGI:1916403</t>
  </si>
  <si>
    <t>Cell cycle; Cell division; Coiled coil; Cytoplasm; Cytoskeleton; Phosphoprotein</t>
  </si>
  <si>
    <t>cell cycle {GO:0007049}; cell division {GO:0051301}; transcription by RNA polymerase II {GO:0006366}</t>
  </si>
  <si>
    <t>cytosol {GO:0005829}; microtubule organizing center {GO:0005815}; midbody {GO:0030496}; nucleus {GO:0005634}; plasma membrane {GO:0005886}</t>
  </si>
  <si>
    <t>transcription coactivator activity {GO:0003713}</t>
  </si>
  <si>
    <t>sp|Q62393|TPD52_MOUSE</t>
  </si>
  <si>
    <t>Tumor protein D52 (mD52)</t>
  </si>
  <si>
    <t>TPD52_MOUSE</t>
  </si>
  <si>
    <t>Q62393</t>
  </si>
  <si>
    <t>Q545M5; Q8CCU1; Q8K564; Q99KP8</t>
  </si>
  <si>
    <t>MGI:107749</t>
  </si>
  <si>
    <t>Alternative splicing; Coiled coil; Phosphoprotein</t>
  </si>
  <si>
    <t>B cell differentiation {GO:0030183}; positive regulation of cell population proliferation {GO:0008284}</t>
  </si>
  <si>
    <t>cytoplasm {GO:0005737}; endoplasmic reticulum {GO:0005783}; glutamatergic synapse {GO:0098978}; perinuclear region of cytoplasm {GO:0048471}; synapse {GO:0045202}</t>
  </si>
  <si>
    <t>calcium ion binding {GO:0005509}; identical protein binding {GO:0042802}; protein homodimerization activity {GO:0042803}</t>
  </si>
  <si>
    <t>sp|Q61074|PPM1G_MOUSE</t>
  </si>
  <si>
    <t>Protein phosphatase 1G</t>
  </si>
  <si>
    <t>Fibroblast growth factor-inducible protein 13 (FIN13); Protein phosphatase 1C; Protein phosphatase 2C isoform gamma (PP2C-gamma); Protein phosphatase magnesium-dependent 1 gamma</t>
  </si>
  <si>
    <t>PPM1G_MOUSE</t>
  </si>
  <si>
    <t>Q61074</t>
  </si>
  <si>
    <t>Fin13; Ppm1c</t>
  </si>
  <si>
    <t>MGI:106065</t>
  </si>
  <si>
    <t>Acetylation; Cell cycle; Hydrolase; Lipoprotein; Magnesium; Manganese; Membrane; Metal-binding; Methylation; Myristate; Nucleus; Phosphoprotein; Protein phosphatase; Repeat</t>
  </si>
  <si>
    <t>Membrane; Nucleus</t>
  </si>
  <si>
    <t>Acetylation; Lipoprotein; Methylation; Myristate; Phosphoprotein</t>
  </si>
  <si>
    <t>cell cycle {GO:0007049}; peptidyl-threonine dephosphorylation {GO:0035970}; protein dephosphorylation {GO:0006470}; regulation of cell cycle {GO:0051726}</t>
  </si>
  <si>
    <t>membrane {GO:0016020}; nucleoplasm {GO:0005654}; nucleus {GO:0005634}</t>
  </si>
  <si>
    <t>metal ion binding {GO:0046872}; myosin phosphatase activity {GO:0017018}; phosphoprotein phosphatase activity {GO:0004721}; protein serine/threonine phosphatase activity {GO:0004722}</t>
  </si>
  <si>
    <t>sp|Q9DCT2|NDUS3_MOUSE</t>
  </si>
  <si>
    <t>NADH dehydrogenase [ubiquinone] iron-sulfur protein 3, mitochondrial</t>
  </si>
  <si>
    <t>Complex I-30kD (CI-30kD); NADH-ubiquinone oxidoreductase 30 kDa subunit</t>
  </si>
  <si>
    <t>NDUS3_MOUSE</t>
  </si>
  <si>
    <t>Q9DCT2</t>
  </si>
  <si>
    <t>Q8BTZ3; Q8R073</t>
  </si>
  <si>
    <t>MGI:1915599</t>
  </si>
  <si>
    <t>3D-structure; Electron transport; Membrane; Mitochondrion; Mitochondrion inner membrane; NAD; Oxidoreductase; Respiratory chain; Transit peptide; Translocase; Transport; Ubiquinone</t>
  </si>
  <si>
    <t>NAD; Ubiquinone</t>
  </si>
  <si>
    <t>aerobic respiration {GO:0009060}; mitochondrial electron transport, NADH to ubiquinone {GO:0006120}; mitochondrial respiratory chain complex I assembly {GO:0032981}; negative regulation of cell growth {GO:0030308}; negative regulation of intrinsic apoptotic signaling pathway {GO:2001243}; proton motive force-driven mitochondrial ATP synthesis {GO:0042776}; reactive oxygen species metabolic process {GO:0072593}</t>
  </si>
  <si>
    <t>mitochondrial inner membrane {GO:0005743}; mitochondrial membrane {GO:0031966}; mitochondrial respiratory chain complex I {GO:0005747}; mitochondrion {GO:0005739}; myelin sheath {GO:0043209}; nuclear body {GO:0016604}</t>
  </si>
  <si>
    <t>NADH dehydrogenase (ubiquinone) activity {GO:0008137}; NADH dehydrogenase activity {GO:0003954}</t>
  </si>
  <si>
    <t>Respiratory electron transport {R-MMU-611105}; Complex I biogenesis {R-MMU-6799198}; RHOG GTPase cycle {R-MMU-9013408}</t>
  </si>
  <si>
    <t>sp|Q8CI51|PDLI5_MOUSE</t>
  </si>
  <si>
    <t>PDZ and LIM domain protein 5</t>
  </si>
  <si>
    <t>Enigma homolog; Enigma-like PDZ and LIM domains protein</t>
  </si>
  <si>
    <t>PDLI5_MOUSE</t>
  </si>
  <si>
    <t>Q8CI51</t>
  </si>
  <si>
    <t>Q3UGD0; Q9QYN0; Q9QYN1; Q9QYN2</t>
  </si>
  <si>
    <t>MGI:1927489</t>
  </si>
  <si>
    <t>3D-structure; Acetylation; Alternative splicing; Cell projection; Cytoplasm; Isopeptide bond; LIM domain; Metal-binding; Phosphoprotein; Repeat; Synapse; Ubl conjugation; Zinc</t>
  </si>
  <si>
    <t>Cell projection; Cytoplasm; Synapse</t>
  </si>
  <si>
    <t>actin cytoskeleton organization {GO:0030036}; cell growth involved in cardiac muscle cell development {GO:0061049}; heart development {GO:0007507}; muscle structure development {GO:0061061}; regulation of dendritic spine morphogenesis {GO:0061001}; regulation of synapse assembly {GO:0051963}</t>
  </si>
  <si>
    <t>actin cytoskeleton {GO:0015629}; adherens junction {GO:0005912}; cell projection {GO:0042995}; cytosol {GO:0005829}; filamentous actin {GO:0031941}; membrane {GO:0016020}; postsynaptic density {GO:0014069}; presynapse {GO:0098793}; stress fiber {GO:0001725}; Z disc {GO:0030018}</t>
  </si>
  <si>
    <t>actin binding {GO:0003779}; actinin binding {GO:0042805}; metal ion binding {GO:0046872}; muscle alpha-actinin binding {GO:0051371}; protein kinase C binding {GO:0005080}; protein N-terminus binding {GO:0047485}</t>
  </si>
  <si>
    <t>sp|P32261|ANT3_MOUSE</t>
  </si>
  <si>
    <t>Antithrombin-III (ATIII)</t>
  </si>
  <si>
    <t>Serpin C1</t>
  </si>
  <si>
    <t>ANT3_MOUSE</t>
  </si>
  <si>
    <t>P32261</t>
  </si>
  <si>
    <t>At3</t>
  </si>
  <si>
    <t>MGI:88095</t>
  </si>
  <si>
    <t>Blood coagulation; Disulfide bond; Glycoprotein; Hemostasis; Heparin-binding; Phosphoprotein; Protease inhibitor; Secreted; Serine protease inhibitor; Signal</t>
  </si>
  <si>
    <t>Heparin-binding; Protease inhibitor; Serine protease inhibitor</t>
  </si>
  <si>
    <t>blood coagulation {GO:0007596}; negative regulation of endopeptidase activity {GO:0010951}; regulation of blood coagulation, intrinsic pathway {GO:2000266}; response to nutrient {GO:0007584}</t>
  </si>
  <si>
    <t>heparin binding {GO:0008201}; identical protein binding {GO:0042802}; protease binding {GO:0002020}; serine-type endopeptidase inhibitor activity {GO:0004867}</t>
  </si>
  <si>
    <t>Intrinsic Pathway of Fibrin Clot Formation {R-MMU-140837}; Common Pathway of Fibrin Clot Formation {R-MMU-140875}; Regulation of Insulin-like Growth Factor (IGF) transport and uptake by Insulin-like Growth Factor Binding Proteins (IGFBPs) {R-MMU-381426}; Post-translational protein phosphorylation {R-MMU-8957275}</t>
  </si>
  <si>
    <t>sp|O35691|PININ_MOUSE</t>
  </si>
  <si>
    <t>Pinin</t>
  </si>
  <si>
    <t>PININ_MOUSE</t>
  </si>
  <si>
    <t>O35691</t>
  </si>
  <si>
    <t>Q8CD89; Q8CGU3</t>
  </si>
  <si>
    <t>MGI:1100514</t>
  </si>
  <si>
    <t>Acetylation; Activator; Cell junction; Coiled coil; DNA-binding; Isopeptide bond; Methylation; mRNA processing; mRNA splicing; Nucleus; Phosphoprotein; Spliceosome; Transcription; Transcription regulation; Ubl conjugation</t>
  </si>
  <si>
    <t>Cell junction; Nucleus; Spliceosome</t>
  </si>
  <si>
    <t>cell-cell adhesion {GO:0098609}; mRNA processing {GO:0006397}; RNA splicing {GO:0008380}</t>
  </si>
  <si>
    <t>catalytic step 2 spliceosome {GO:0071013}; cytoplasm {GO:0005737}; desmosome {GO:0030057}; exon-exon junction complex {GO:0035145}; nuclear speck {GO:0016607}</t>
  </si>
  <si>
    <t>DNA binding {GO:0003677}</t>
  </si>
  <si>
    <t>sp|Q9D4H8|CUL2_MOUSE</t>
  </si>
  <si>
    <t>Cullin-2 (CUL-2)</t>
  </si>
  <si>
    <t>CUL2_MOUSE</t>
  </si>
  <si>
    <t>Q9D4H8</t>
  </si>
  <si>
    <t>Q3TUR8</t>
  </si>
  <si>
    <t>MGI:1918995</t>
  </si>
  <si>
    <t>Acetylation; Alternative splicing; Isopeptide bond; Nucleus; Phosphoprotein; Ubl conjugation; Ubl conjugation pathway</t>
  </si>
  <si>
    <t>protein catabolic process {GO:0030163}; protein ubiquitination {GO:0016567}; SCF-dependent proteasomal ubiquitin-dependent protein catabolic process {GO:0031146}</t>
  </si>
  <si>
    <t>Cul2-RING ubiquitin ligase complex {GO:0031462}; cullin-RING ubiquitin ligase complex {GO:0031461}; nucleolus {GO:0005730}; nucleoplasm {GO:0005654}; SCF ubiquitin ligase complex {GO:0019005}; VCB complex {GO:0030891}</t>
  </si>
  <si>
    <t>protein-containing complex binding {GO:0044877}; protein-macromolecule adaptor activity {GO:0030674}; ubiquitin protein ligase binding {GO:0031625}</t>
  </si>
  <si>
    <t>Oxygen-dependent proline hydroxylation of Hypoxia-inducible Factor Alpha {R-MMU-1234176}; Neddylation {R-MMU-8951664}; Antigen processing: Ubiquitination &amp; Proteasome degradation {R-MMU-983168}</t>
  </si>
  <si>
    <t>sp|O35639|ANXA3_MOUSE</t>
  </si>
  <si>
    <t>Annexin A3</t>
  </si>
  <si>
    <t>35-alpha calcimedin; Annexin III; Annexin-3; Lipocortin III; Placental anticoagulant protein III (PAP-III)</t>
  </si>
  <si>
    <t>ANXA3_MOUSE</t>
  </si>
  <si>
    <t>O35639</t>
  </si>
  <si>
    <t>Q3UBI0</t>
  </si>
  <si>
    <t>Anx3</t>
  </si>
  <si>
    <t>MGI:1201378</t>
  </si>
  <si>
    <t>Acetylation; Annexin; Calcium; Calcium/phospholipid-binding; Phospholipase A2 inhibitor; Phosphoprotein; Repeat</t>
  </si>
  <si>
    <t>animal organ regeneration {GO:0031100}; defense response to bacterium {GO:0042742}; hippocampus development {GO:0021766}; neutrophil degranulation {GO:0043312}; phagocytosis {GO:0006909}; positive regulation of angiogenesis {GO:0045766}; positive regulation of DNA metabolic process {GO:0051054}; positive regulation of DNA-binding transcription factor activity {GO:0051091}; positive regulation of endothelial cell migration {GO:0010595}; response to glucocorticoid {GO:0051384}; response to growth factor {GO:0070848}</t>
  </si>
  <si>
    <t>axon {GO:0030424}; collagen-containing extracellular matrix {GO:0062023}; cytoplasm {GO:0005737}; dendrite {GO:0030425}; membrane {GO:0016020}; neuronal cell body {GO:0043025}; phagocytic vesicle membrane {GO:0030670}; plasma membrane {GO:0005886}; specific granule {GO:0042581}</t>
  </si>
  <si>
    <t>calcium ion binding {GO:0005509}; calcium-dependent phospholipid binding {GO:0005544}; calcium-dependent protein binding {GO:0048306}; phospholipase A2 inhibitor activity {GO:0019834}</t>
  </si>
  <si>
    <t>sp|P50518|VATE1_MOUSE</t>
  </si>
  <si>
    <t>V-type proton ATPase subunit E 1 (V-ATPase subunit E 1)</t>
  </si>
  <si>
    <t>V-ATPase 31 kDa subunit (p31); Vacuolar proton pump subunit E 1</t>
  </si>
  <si>
    <t>VATE1_MOUSE</t>
  </si>
  <si>
    <t>P50518</t>
  </si>
  <si>
    <t>Q3UK59; Q8K5D6; Q99LD0</t>
  </si>
  <si>
    <t>Atp6e; Atp6e2</t>
  </si>
  <si>
    <t>MGI:894326</t>
  </si>
  <si>
    <t>Acetylation; Cell membrane; Cytoplasmic vesicle; Hydrogen ion transport; Ion transport; Membrane; Phosphoprotein; Synapse; Transport</t>
  </si>
  <si>
    <t>Cell membrane; Cytoplasmic vesicle; Membrane; Synapse</t>
  </si>
  <si>
    <t>proton transmembrane transport {GO:1902600}</t>
  </si>
  <si>
    <t>anchoring junction {GO:0070161}; apical plasma membrane {GO:0016324}; clathrin-coated vesicle membrane {GO:0030665}; cytoplasm {GO:0005737}; cytosol {GO:0005829}; endosome {GO:0005768}; microvillus {GO:0005902}; mitochondrion {GO:0005739}; synaptic vesicle membrane {GO:0030672}; vacuolar proton-transporting V-type ATPase, V1 domain {GO:0000221}</t>
  </si>
  <si>
    <t>ATPase binding {GO:0051117}; proton-transporting ATPase activity, rotational mechanism {GO:0046961}</t>
  </si>
  <si>
    <t>sp|Q8C878|UBA3_MOUSE</t>
  </si>
  <si>
    <t>NEDD8-activating enzyme E1 catalytic subunit</t>
  </si>
  <si>
    <t>NEDD8-activating enzyme E1C; Ubiquitin-activating enzyme E1C; Ubiquitin-like modifier-activating enzyme 3 (Ubiquitin-activating enzyme 3)</t>
  </si>
  <si>
    <t>UBA3_MOUSE</t>
  </si>
  <si>
    <t>Q8C878</t>
  </si>
  <si>
    <t>O88598; Q3TG68; Q9D6B7</t>
  </si>
  <si>
    <t>Ube1c</t>
  </si>
  <si>
    <t>MGI:1341217</t>
  </si>
  <si>
    <t>Acetylation; Alternative splicing; ATP-binding; Cell cycle; Ligase; Nucleotide-binding; Ubl conjugation pathway</t>
  </si>
  <si>
    <t>Cell cycle; Ubl conjugation pathway</t>
  </si>
  <si>
    <t>endomitotic cell cycle {GO:0007113}; mitotic cell cycle {GO:0000278}; negative regulation of DNA-templated transcription {GO:0045892}; protein modification by small protein conjugation {GO:0032446}; protein neddylation {GO:0045116}; regulation of cell cycle {GO:0051726}</t>
  </si>
  <si>
    <t>ATP binding {GO:0005524}; identical protein binding {GO:0042802}; NEDD8 activating enzyme activity {GO:0019781}; nuclear receptor binding {GO:0016922}; protein heterodimerization activity {GO:0046982}; protein-containing complex binding {GO:0044877}</t>
  </si>
  <si>
    <t>Dectin-1 mediated noncanonical NF-kB signaling {R-MMU-5607761}; NIK--&gt;noncanonical NF-kB signaling {R-MMU-5676590}; Neddylation {R-MMU-8951664}; Antigen processing: Ubiquitination &amp; Proteasome degradation {R-MMU-983168}</t>
  </si>
  <si>
    <t>sp|P17710|HXK1_MOUSE</t>
  </si>
  <si>
    <t>Hexokinase-1</t>
  </si>
  <si>
    <t>Hexokinase type I (HK I); Hexokinase, tumor isozyme</t>
  </si>
  <si>
    <t>HXK1_MOUSE</t>
  </si>
  <si>
    <t>P17710</t>
  </si>
  <si>
    <t>E9PXQ3; Q61659; Q64476; Q64479</t>
  </si>
  <si>
    <t>MGI:96103</t>
  </si>
  <si>
    <t>Allosteric enzyme; Alternative initiation; Alternative splicing; ATP-binding; Cytoplasm; Glycolysis; Immunity; Inflammatory response; Innate immunity; Kinase; Membrane; Mitochondrion; Mitochondrion outer membrane; Nucleotide-binding; Phosphoprotein; Repeat; Transferase</t>
  </si>
  <si>
    <t>Glycolysis; Immunity; Inflammatory response; Innate immunity</t>
  </si>
  <si>
    <t>canonical glycolysis {GO:0061621}; carbohydrate phosphorylation {GO:0046835}; cellular glucose homeostasis {GO:0001678}; establishment of protein localization to mitochondrion {GO:0072655}; fructose 6-phosphate metabolic process {GO:0006002}; glucose 6-phosphate metabolic process {GO:0051156}; glucose metabolic process {GO:0006006}; glycolytic process {GO:0006096}; inflammatory response {GO:0006954}; innate immune response {GO:0045087}; maintenance of protein location in mitochondrion {GO:0072656}; mannose metabolic process {GO:0006013}; negative regulation of apoptotic process {GO:0043066}; peptidyl-serine phosphorylation {GO:0018105}; peptidyl-threonine phosphorylation {GO:0018107}; peptidyl-tyrosine phosphorylation {GO:0018108}; positive regulation of cytokine production involved in immune response {GO:0002720}; positive regulation of interleukin-1 beta production {GO:0032731}; protein autophosphorylation {GO:0046777}; protein phosphorylation {GO:0006468}; regulation of anion channel activity {GO:0010359}; response to ischemia {GO:0002931}</t>
  </si>
  <si>
    <t>caveola {GO:0005901}; cytosol {GO:0005829}; membrane raft {GO:0045121}; mitochondrial outer membrane {GO:0005741}; mitochondrion {GO:0005739}; protein-containing complex {GO:0032991}</t>
  </si>
  <si>
    <t>ATP binding {GO:0005524}; fructokinase activity {GO:0008865}; glucokinase activity {GO:0004340}; glucosamine kinase activity {GO:0047931}; glucose binding {GO:0005536}; hexokinase activity {GO:0004396}; identical protein binding {GO:0042802}; mannokinase activity {GO:0019158}; peptidoglycan binding {GO:0042834}; protein kinase activity {GO:0004672}; protein-containing complex binding {GO:0044877}</t>
  </si>
  <si>
    <t>sp|Q9CYG7|TOM34_MOUSE</t>
  </si>
  <si>
    <t>Mitochondrial import receptor subunit TOM34</t>
  </si>
  <si>
    <t>Translocase of outer membrane 34 kDa subunit</t>
  </si>
  <si>
    <t>TOM34_MOUSE</t>
  </si>
  <si>
    <t>Q9CYG7</t>
  </si>
  <si>
    <t>A2A5N5; A2A5N6; Q3THD0; Q812F1; Q812F2; Q9D059</t>
  </si>
  <si>
    <t>MGI:1914395</t>
  </si>
  <si>
    <t>Alternative splicing; Chaperone; Cytoplasm; Isopeptide bond; Membrane; Mitochondrion; Mitochondrion outer membrane; Phosphoprotein; Repeat; TPR repeat; Ubl conjugation</t>
  </si>
  <si>
    <t>protein targeting to mitochondrion {GO:0006626}</t>
  </si>
  <si>
    <t>cytosol {GO:0005829}; intracellular membrane-bounded organelle {GO:0043231}; mitochondrial outer membrane {GO:0005741}; mitochondrion {GO:0005739}</t>
  </si>
  <si>
    <t>sp|P39054|DYN2_MOUSE</t>
  </si>
  <si>
    <t>Dynamin-2</t>
  </si>
  <si>
    <t>Dynamin UDNM</t>
  </si>
  <si>
    <t>DYN2_MOUSE</t>
  </si>
  <si>
    <t>P39054</t>
  </si>
  <si>
    <t>Q9DBE1</t>
  </si>
  <si>
    <t>Dyn2</t>
  </si>
  <si>
    <t>MGI:109547</t>
  </si>
  <si>
    <t>Acetylation; Alternative splicing; Cell junction; Cell projection; Coated pit; Cytoplasm; Cytoplasmic vesicle; Cytoskeleton; Endocytosis; GTP-binding; Hydrolase; Membrane; Microtubule; Motor protein; Nucleotide-binding; Phagocytosis; Phosphoprotein; Synapse</t>
  </si>
  <si>
    <t>Endocytosis; Phagocytosis</t>
  </si>
  <si>
    <t>Cell junction; Cell projection; Coated pit; Cytoplasm; Cytoplasmic vesicle; Cytoskeleton; Membrane; Microtubule; Synapse</t>
  </si>
  <si>
    <t>aorta development {GO:0035904}; cellular response to dopamine {GO:1903351}; coronary vasculature development {GO:0060976}; endocytosis {GO:0006897}; G protein-coupled receptor internalization {GO:0002031}; Golgi to plasma membrane transport {GO:0006893}; macropinocytosis {GO:0044351}; negative regulation of membrane tubulation {GO:1903526}; negative regulation of non-motile cilium assembly {GO:1902856}; negative regulation of transforming growth factor beta receptor signaling pathway {GO:0030512}; neuron projection morphogenesis {GO:0048812}; phagocytosis {GO:0006909}; positive regulation of clathrin-dependent endocytosis {GO:2000370}; positive regulation of endocytosis {GO:0045807}; positive regulation of lamellipodium assembly {GO:0010592}; positive regulation of nitric oxide biosynthetic process {GO:0045429}; positive regulation of P-type sodium:potassium-exchanging transporter activity {GO:1903408}; positive regulation of phagocytosis {GO:0050766}; positive regulation of substrate adhesion-dependent cell spreading {GO:1900026}; receptor internalization {GO:0031623}; receptor-mediated endocytosis {GO:0006898}; regulation of axon extension {GO:0030516}; regulation of Golgi organization {GO:1903358}; regulation of Rac protein signal transduction {GO:0035020}; synaptic vesicle endocytosis {GO:0048488}; transferrin transport {GO:0033572}; ventricular septum development {GO:0003281}</t>
  </si>
  <si>
    <t>anchoring junction {GO:0070161}; cell junction {GO:0030054}; centrosome {GO:0005813}; clathrin-coated endocytic vesicle {GO:0045334}; clathrin-coated pit {GO:0005905}; cytoplasm {GO:0005737}; cytosol {GO:0005829}; endosome {GO:0005768}; glutamatergic synapse {GO:0098978}; Golgi apparatus {GO:0005794}; Golgi membrane {GO:0000139}; growth cone {GO:0030426}; lamellipodium {GO:0030027}; membrane {GO:0016020}; microtubule {GO:0005874}; midbody {GO:0030496}; nucleus {GO:0005634}; perinuclear region of cytoplasm {GO:0048471}; phagocytic cup {GO:0001891}; phagocytic vesicle membrane {GO:0030670}; photoreceptor inner segment {GO:0001917}; plasma membrane {GO:0005886}; postsynaptic density, intracellular component {GO:0099092}; postsynaptic membrane {GO:0045211}; presynapse {GO:0098793}; protein-containing complex {GO:0032991}; ruffle membrane {GO:0032587}; synapse {GO:0045202}; trans-Golgi network {GO:0005802}</t>
  </si>
  <si>
    <t>D2 dopamine receptor binding {GO:0031749}; GTP binding {GO:0005525}; GTPase activity {GO:0003924}; microtubule binding {GO:0008017}; nitric-oxide synthase binding {GO:0050998}; phosphatidylinositol 3-kinase regulatory subunit binding {GO:0036312}; protein kinase binding {GO:0019901}; protein-containing complex binding {GO:0044877}; SH3 domain binding {GO:0017124}; WW domain binding {GO:0050699}</t>
  </si>
  <si>
    <t>Toll Like Receptor 4 (TLR4) Cascade {R-MMU-166016}; Gap junction degradation {R-MMU-190873}; Formation of annular gap junctions {R-MMU-196025}; NOSTRIN mediated eNOS trafficking {R-MMU-203641}; MHC class II antigen presentation {R-MMU-2132295}; Lysosome Vesicle Biogenesis {R-MMU-432720}; Golgi Associated Vesicle Biogenesis {R-MMU-432722}; Recycling pathway of L1 {R-MMU-437239}; Clathrin-mediated endocytosis {R-MMU-8856828}</t>
  </si>
  <si>
    <t>sp|Q8C0M9|ASGL1_MOUSE</t>
  </si>
  <si>
    <t>Isoaspartyl peptidase/L-asparaginase beta chain</t>
  </si>
  <si>
    <t>Asparaginase-like protein 1; Beta-aspartyl-peptidase; Isoaspartyl dipeptidase; L-asparagine amidohydrolase</t>
  </si>
  <si>
    <t>ASGL1_MOUSE</t>
  </si>
  <si>
    <t>Q8C0M9</t>
  </si>
  <si>
    <t>Q91WC8; Q9CVX3</t>
  </si>
  <si>
    <t>MGI:1913764</t>
  </si>
  <si>
    <t>Autocatalytic cleavage; Cytoplasm; Hydrolase; Protease</t>
  </si>
  <si>
    <t>Hydrolase; Protease</t>
  </si>
  <si>
    <t>Autocatalytic cleavage</t>
  </si>
  <si>
    <t>asparagine catabolic process via L-aspartate {GO:0033345}; proteolysis {GO:0006508}</t>
  </si>
  <si>
    <t>cytoplasm {GO:0005737}; photoreceptor inner segment {GO:0001917}</t>
  </si>
  <si>
    <t>asparaginase activity {GO:0004067}; beta-aspartyl-peptidase activity {GO:0008798}</t>
  </si>
  <si>
    <t>Phenylalanine metabolism {R-MMU-8964208}</t>
  </si>
  <si>
    <t>sp|Q8BH69|SPS1_MOUSE</t>
  </si>
  <si>
    <t>Selenide, water dikinase 1</t>
  </si>
  <si>
    <t>Selenium donor protein 1; Selenophosphate synthase 1</t>
  </si>
  <si>
    <t>SPS1_MOUSE</t>
  </si>
  <si>
    <t>Q8BH69</t>
  </si>
  <si>
    <t>Sps1</t>
  </si>
  <si>
    <t>MGI:1923580</t>
  </si>
  <si>
    <t>Acetylation; ATP-binding; Cell membrane; Kinase; Magnesium; Membrane; Metal-binding; Nucleotide-binding; Nucleus; Selenium; Transferase</t>
  </si>
  <si>
    <t>Cell membrane; Membrane; Nucleus</t>
  </si>
  <si>
    <t>ATP-binding; Magnesium; Metal-binding; Nucleotide-binding; Selenium</t>
  </si>
  <si>
    <t>phosphorylation {GO:0016310}; selenocysteine biosynthetic process {GO:0016260}</t>
  </si>
  <si>
    <t>cytoplasm {GO:0005737}; nuclear membrane {GO:0031965}; plasma membrane {GO:0005886}</t>
  </si>
  <si>
    <t>ATP binding {GO:0005524}; identical protein binding {GO:0042802}; metal ion binding {GO:0046872}; protein heterodimerization activity {GO:0046982}; protein homodimerization activity {GO:0042803}; selenide, water dikinase activity {GO:0004756}</t>
  </si>
  <si>
    <t>sp|P26883|FKB1A_MOUSE</t>
  </si>
  <si>
    <t>Peptidyl-prolyl cis-trans isomerase FKBP1A (PPIase FKBP1A)</t>
  </si>
  <si>
    <t>12 kDa FK506-binding protein (12 kDa FKBP; FKBP-12); Calstabin-1; FK506-binding protein 1A (FKBP-1A); Immunophilin FKBP12; Rotamase</t>
  </si>
  <si>
    <t>FKB1A_MOUSE</t>
  </si>
  <si>
    <t>P26883</t>
  </si>
  <si>
    <t>Q545E9</t>
  </si>
  <si>
    <t>Fkbp1</t>
  </si>
  <si>
    <t>MGI:95541</t>
  </si>
  <si>
    <t>Acetylation; Cytoplasm; Isomerase; Membrane; Rotamase; Sarcoplasmic reticulum</t>
  </si>
  <si>
    <t>chaperone-mediated protein folding {GO:0061077}; cytokine-mediated signaling pathway {GO:0019221}; heart morphogenesis {GO:0003007}; heart trabecula formation {GO:0060347}; muscle contraction {GO:0006936}; protein peptidyl-prolyl isomerization {GO:0000413}; regulation of ryanodine-sensitive calcium-release channel activity {GO:0060314}; release of sequestered calcium ion into cytosol {GO:0051209}; response to caffeine {GO:0031000}; T cell proliferation {GO:0042098}; ventricular cardiac muscle tissue morphogenesis {GO:0055010}</t>
  </si>
  <si>
    <t>axon terminus {GO:0043679}; cytoplasm {GO:0005737}; cytoplasmic side of membrane {GO:0098562}; cytosol {GO:0005829}; extrinsic component of organelle membrane {GO:0031312}; intracellular membrane-bounded organelle {GO:0043231}; membrane {GO:0016020}; ryanodine receptor complex {GO:1990425}; sarcoplasmic reticulum {GO:0016529}; sarcoplasmic reticulum membrane {GO:0033017}; synapse {GO:0045202}; Z disc {GO:0030018}</t>
  </si>
  <si>
    <t>activin binding {GO:0048185}; enzyme binding {GO:0019899}; FK506 binding {GO:0005528}; Hsp70 protein binding {GO:0030544}; identical protein binding {GO:0042802}; peptidyl-prolyl cis-trans isomerase activity {GO:0003755}; SMAD binding {GO:0046332}; transforming growth factor beta receptor binding {GO:0005160}; transmembrane transporter binding {GO:0044325}; type I transforming growth factor beta receptor binding {GO:0034713}</t>
  </si>
  <si>
    <t>mTORC1-mediated signalling {R-MMU-166208}; Calcineurin activates NFAT {R-MMU-2025928}; TGF-beta receptor signaling activates SMADs {R-MMU-2173789}</t>
  </si>
  <si>
    <t>sp|Q9D8B7|JAM3_MOUSE</t>
  </si>
  <si>
    <t>Soluble form of JAM-C</t>
  </si>
  <si>
    <t>JAM-2; Junctional adhesion molecule 3 (JAM-3; sJAM-C)</t>
  </si>
  <si>
    <t>JAM3_MOUSE</t>
  </si>
  <si>
    <t>Q9D8B7</t>
  </si>
  <si>
    <t>Q8BT59; Q9D1M9; Q9EPK4</t>
  </si>
  <si>
    <t>MGI:1933825</t>
  </si>
  <si>
    <t>3D-structure; Angiogenesis; Cell adhesion; Cell junction; Cell membrane; Differentiation; Disulfide bond; Glycoprotein; Immunoglobulin domain; Lipoprotein; Membrane; Palmitate; Secreted; Signal; Spermatogenesis; Tight junction; Transmembrane; Transmembrane helix</t>
  </si>
  <si>
    <t>Angiogenesis; Cell adhesion; Differentiation; Spermatogenesis</t>
  </si>
  <si>
    <t>Disulfide bond; Glycoprotein; Lipoprotein; Palmitate</t>
  </si>
  <si>
    <t>adaptive immune response {GO:0002250}; adherens junction assembly {GO:0034333}; angiogenesis {GO:0001525}; apical protein localization {GO:0045176}; cell adhesion {GO:0007155}; cell migration {GO:0016477}; cell-cell adhesion {GO:0098609}; cell-matrix adhesion {GO:0007160}; establishment of cell polarity {GO:0030010}; granulocyte migration {GO:0097530}; hematopoietic stem cell migration to bone marrow {GO:0097241}; heterotypic cell-cell adhesion {GO:0034113}; leukocyte migration involved in inflammatory response {GO:0002523}; myelination {GO:0042552}; myeloid progenitor cell differentiation {GO:0002318}; negative regulation of cell adhesion mediated by integrin {GO:0033629}; negative regulation of integrin activation {GO:0033624}; neutrophil homeostasis {GO:0001780}; positive regulation of cellular extravasation {GO:0002693}; positive regulation of membrane permeability {GO:1905710}; protein localization to cell junction {GO:1902414}; protein localization to cell surface {GO:0034394}; regulation of actin cytoskeleton organization by cell-cell adhesion {GO:0090138}; regulation of neutrophil chemotaxis {GO:0090022}; spermatid development {GO:0007286}; spermatogenesis {GO:0007283}; transmission of nerve impulse {GO:0019226}</t>
  </si>
  <si>
    <t>bicellular tight junction {GO:0005923}; cell surface {GO:0009986}; cell-cell contact zone {GO:0044291}; cell-cell junction {GO:0005911}; desmosome {GO:0030057}; extracellular space {GO:0005615}; filamentous actin {GO:0031941}; Golgi apparatus {GO:0005794}; integral component of plasma membrane {GO:0005887}; microvillus {GO:0005902}; paranodal junction {GO:0033010}; plasma membrane {GO:0005886}; protein complex involved in cell adhesion {GO:0098636}; Schmidt-Lanterman incisure {GO:0043220}; tight junction {GO:0070160}</t>
  </si>
  <si>
    <t>cell-cell adhesion mediator activity {GO:0098632}; identical protein binding {GO:0042802}; integrin binding {GO:0005178}; protein heterodimerization activity {GO:0046982}; protein homodimerization activity {GO:0042803}</t>
  </si>
  <si>
    <t>Cell surface interactions at the vascular wall {R-MMU-202733}; Integrin cell surface interactions {R-MMU-216083}</t>
  </si>
  <si>
    <t>sp|Q9EPK7|XPO7_MOUSE</t>
  </si>
  <si>
    <t>Exportin-7 (Exp7)</t>
  </si>
  <si>
    <t>Ran-binding protein 16</t>
  </si>
  <si>
    <t>XPO7_MOUSE</t>
  </si>
  <si>
    <t>Q9EPK7</t>
  </si>
  <si>
    <t>Q3TP94; Q80TS9; Q8BSK5; Q8C9M7; Q8CB42; Q8CBL8; Q8CEF5</t>
  </si>
  <si>
    <t>Kiaa0745; Ranbp16</t>
  </si>
  <si>
    <t>MGI:1929705</t>
  </si>
  <si>
    <t>Acetylation; Alternative splicing; Cytoplasm; Nucleus; Phosphoprotein; Protein transport; Transport</t>
  </si>
  <si>
    <t>nucleocytoplasmic transport {GO:0006913}; protein export from nucleus {GO:0006611}</t>
  </si>
  <si>
    <t>cytoplasm {GO:0005737}; nuclear pore {GO:0005643}; nucleus {GO:0005634}</t>
  </si>
  <si>
    <t>sp|Q9JKB3|YBOX3_MOUSE</t>
  </si>
  <si>
    <t>Y-box-binding protein 3</t>
  </si>
  <si>
    <t>Cold shock domain-containing protein A; DNA-binding protein A; Y-box protein 3</t>
  </si>
  <si>
    <t>YBOX3_MOUSE</t>
  </si>
  <si>
    <t>Q9JKB3</t>
  </si>
  <si>
    <t>Q80WG4; Q9EQF7; Q9EQF8</t>
  </si>
  <si>
    <t>Csda; Msy4</t>
  </si>
  <si>
    <t>MGI:2137670</t>
  </si>
  <si>
    <t>Acetylation; Alternative splicing; Cytoplasm; DNA-binding; Methylation; Nucleus; Phosphoprotein; Repressor; RNA-binding; Transcription; Transcription regulation</t>
  </si>
  <si>
    <t>apoptotic process {GO:0006915}; cellular hyperosmotic response {GO:0071474}; cellular response to tumor necrosis factor {GO:0071356}; ectopic germ cell programmed cell death {GO:0035234}; fertilization {GO:0009566}; in utero embryonic development {GO:0001701}; male gonad development {GO:0008584}; negative regulation of apoptotic process {GO:0043066}; negative regulation of developmental process {GO:0051093}; negative regulation of intrinsic apoptotic signaling pathway in response to osmotic stress {GO:1902219}; negative regulation of necroptotic process {GO:0060546}; negative regulation of reproductive process {GO:2000242}; negative regulation of skeletal muscle tissue development {GO:0048642}; negative regulation of transcription by RNA polymerase II {GO:0000122}; positive regulation of organ growth {GO:0046622}; regulation of gene expression {GO:0010468}; spermatogenesis {GO:0007283}</t>
  </si>
  <si>
    <t>cytoplasm {GO:0005737}; cytosol {GO:0005829}; gap junction {GO:0005921}; nucleus {GO:0005634}</t>
  </si>
  <si>
    <t>DNA binding {GO:0003677}; mRNA 3'-UTR binding {GO:0003730}; nucleic acid binding {GO:0003676}; polysome binding {GO:1905538}; ribonucleoprotein complex binding {GO:0043021}; RNA polymerase II transcription regulatory region sequence-specific DNA binding {GO:0000977}; single-stranded DNA binding {GO:0003697}</t>
  </si>
  <si>
    <t>sp|Q8CG48|SMC2_MOUSE</t>
  </si>
  <si>
    <t>Structural maintenance of chromosomes protein 2 (SMC protein 2; SMC-2)</t>
  </si>
  <si>
    <t>Chromosome-associated protein E; FGF-inducible protein 16; XCAP-E homolog</t>
  </si>
  <si>
    <t>SMC2_MOUSE</t>
  </si>
  <si>
    <t>Q8CG48</t>
  </si>
  <si>
    <t>Q52KE9; Q61076; Q9CS17; Q9CSD8</t>
  </si>
  <si>
    <t>Cape; Fin16; Smc2l1</t>
  </si>
  <si>
    <t>MGI:106067</t>
  </si>
  <si>
    <t>3D-structure; Acetylation; ATP-binding; Cell cycle; Cell division; Chromosome; Coiled coil; Cytoplasm; DNA condensation; Mitosis; Nucleotide-binding; Nucleus</t>
  </si>
  <si>
    <t>Cell cycle; Cell division; DNA condensation; Mitosis</t>
  </si>
  <si>
    <t>cell division {GO:0051301}; kinetochore organization {GO:0051383}; meiotic chromosome condensation {GO:0010032}; meiotic chromosome segregation {GO:0045132}; mitotic chromosome condensation {GO:0007076}; positive regulation of chromosome condensation {GO:1905821}; positive regulation of chromosome segregation {GO:0051984}; positive regulation of chromosome separation {GO:1905820}; single strand break repair {GO:0000012}</t>
  </si>
  <si>
    <t>chromatin {GO:0000785}; condensed chromosome {GO:0000793}; condensed nuclear chromosome {GO:0000794}; condensin complex {GO:0000796}; cytoplasm {GO:0005737}; nuclear chromosome {GO:0000228}; nucleolus {GO:0005730}; nucleoplasm {GO:0005654}; nucleus {GO:0005634}</t>
  </si>
  <si>
    <t>ATP binding {GO:0005524}; ATP hydrolysis activity {GO:0016887}; chromatin binding {GO:0003682}; single-stranded DNA binding {GO:0003697}</t>
  </si>
  <si>
    <t>Condensation of Prophase Chromosomes {R-MMU-2299718}; Condensation of Prometaphase Chromosomes {R-MMU-2514853}</t>
  </si>
  <si>
    <t>sp|Q8CGF7|TCRG1_MOUSE</t>
  </si>
  <si>
    <t>Transcription elongation regulator 1</t>
  </si>
  <si>
    <t>Formin-binding protein 28 (FBP 28); TATA box-binding protein-associated factor 2S; Transcription factor CA150; p144</t>
  </si>
  <si>
    <t>TCRG1_MOUSE</t>
  </si>
  <si>
    <t>Q8CGF7</t>
  </si>
  <si>
    <t>Q61051; Q8C490; Q8CHT8; Q9R0R5</t>
  </si>
  <si>
    <t>Taf2s</t>
  </si>
  <si>
    <t>MGI:1926421</t>
  </si>
  <si>
    <t>3D-structure; Alternative splicing; Coiled coil; Isopeptide bond; Methylation; Nucleus; Phosphoprotein; Repeat; Repressor; Transcription; Transcription regulation; Ubl conjugation</t>
  </si>
  <si>
    <t>DNA-templated transcription {GO:0006351}; mRNA processing {GO:0006397}; negative regulation of transcription by RNA polymerase II {GO:0000122}; positive regulation of transcription by RNA polymerase II {GO:0045944}; RNA splicing {GO:0008380}</t>
  </si>
  <si>
    <t>DNA-binding transcription factor activity {GO:0003700}; identical protein binding {GO:0042802}; proline-rich region binding {GO:0070064}; RNA polymerase binding {GO:0070063}; RNA polymerase II-specific DNA-binding transcription factor binding {GO:0061629}; transcription coregulator activity {GO:0003712}; transcription corepressor activity {GO:0003714}; ubiquitin-like protein conjugating enzyme binding {GO:0044390}</t>
  </si>
  <si>
    <t>sp|P97822|AN32E_MOUSE</t>
  </si>
  <si>
    <t>Acidic leucine-rich nuclear phosphoprotein 32 family member E</t>
  </si>
  <si>
    <t>Cerebellar postnatal development protein 1; LANP-like protein (LANP-L)</t>
  </si>
  <si>
    <t>AN32E_MOUSE</t>
  </si>
  <si>
    <t>P97822</t>
  </si>
  <si>
    <t>E9Q5H9; Q3TH89; Q3TX26; Q8BPF8; Q8C2L4; Q8C7Q8; Q9CZD2</t>
  </si>
  <si>
    <t>Cpd1</t>
  </si>
  <si>
    <t>MGI:1913721</t>
  </si>
  <si>
    <t>Acetylation; Alternative splicing; Chaperone; Chromatin regulator; Cytoplasm; Isopeptide bond; Leucine-rich repeat; Nucleus; Phosphoprotein; Repeat; Ubl conjugation</t>
  </si>
  <si>
    <t>histone exchange {GO:0043486}; regulation of apoptotic process {GO:0042981}</t>
  </si>
  <si>
    <t>cytoplasm {GO:0005737}; cytoplasmic vesicle {GO:0031410}; nucleus {GO:0005634}; Swr1 complex {GO:0000812}</t>
  </si>
  <si>
    <t>histone binding {GO:0042393}; histone chaperone activity {GO:0140713}; phosphatase inhibitor activity {GO:0019212}</t>
  </si>
  <si>
    <t>sp|Q9ESX5|DKC1_MOUSE</t>
  </si>
  <si>
    <t>H/ACA ribonucleoprotein complex subunit DKC1</t>
  </si>
  <si>
    <t>Dyskerin; Nopp140-associated protein of 57 kDa; Nucleolar protein NAP57; Nucleolar protein family A member 4; snoRNP protein DKC1</t>
  </si>
  <si>
    <t>DKC1_MOUSE</t>
  </si>
  <si>
    <t>Q9ESX5</t>
  </si>
  <si>
    <t>Q3UWE5</t>
  </si>
  <si>
    <t>MGI:1861727</t>
  </si>
  <si>
    <t>Acetylation; Isomerase; Isopeptide bond; Nucleus; Phosphoprotein; Ribonucleoprotein; Ribosome biogenesis; RNA-binding; rRNA processing; Ubl conjugation</t>
  </si>
  <si>
    <t>Ribosome biogenesis; rRNA processing</t>
  </si>
  <si>
    <t>Isomerase; RNA-binding; Ribonucleoprotein</t>
  </si>
  <si>
    <t>box H/ACA RNA 3'-end processing {GO:0000495}; box H/ACA RNA metabolic process {GO:0033979}; enzyme-directed rRNA pseudouridine synthesis {GO:0000455}; mRNA pseudouridine synthesis {GO:1990481}; positive regulation of cell population proliferation {GO:0008284}; positive regulation of establishment of protein localization to telomere {GO:1904851}; positive regulation of telomerase activity {GO:0051973}; positive regulation of telomerase RNA localization to Cajal body {GO:1904874}; positive regulation of telomere maintenance via telomerase {GO:0032212}; regulation of telomerase RNA localization to Cajal body {GO:1904872}; rRNA pseudouridine synthesis {GO:0031118}; scaRNA localization to Cajal body {GO:0090666}; snoRNA guided rRNA pseudouridine synthesis {GO:0000454}; snRNA pseudouridine synthesis {GO:0031120}; telomerase RNA stabilization {GO:0090669}; telomere maintenance via telomerase {GO:0007004}</t>
  </si>
  <si>
    <t>box H/ACA snoRNP complex {GO:0031429}; box H/ACA telomerase RNP complex {GO:0090661}; Cajal body {GO:0015030}; fibrillar center {GO:0001650}; nucleolus {GO:0005730}; nucleoplasm {GO:0005654}; nucleus {GO:0005634}; telomerase holoenzyme complex {GO:0005697}</t>
  </si>
  <si>
    <t>box H/ACA snoRNA binding {GO:0034513}; pseudouridine synthase activity {GO:0009982}; RNA binding {GO:0003723}; telomerase activity {GO:0003720}; telomerase RNA binding {GO:0070034}</t>
  </si>
  <si>
    <t>Telomere Extension By Telomerase {R-MMU-171319}</t>
  </si>
  <si>
    <t>sp|Q61140|BCAR1_MOUSE</t>
  </si>
  <si>
    <t>Breast cancer anti-estrogen resistance protein 1</t>
  </si>
  <si>
    <t>CRK-associated substrate; p130cas</t>
  </si>
  <si>
    <t>BCAR1_MOUSE</t>
  </si>
  <si>
    <t>Q61140</t>
  </si>
  <si>
    <t>Q60869; Q6PFF9</t>
  </si>
  <si>
    <t>Cas; Crkas</t>
  </si>
  <si>
    <t>MGI:108091</t>
  </si>
  <si>
    <t>3D-structure; Acetylation; Alternative splicing; Cell adhesion; Cell junction; Cell projection; Cytoplasm; Phosphoprotein; SH3 domain; SH3-binding</t>
  </si>
  <si>
    <t>SH3 domain; SH3-binding</t>
  </si>
  <si>
    <t>actin cytoskeleton organization {GO:0030036}; actin filament organization {GO:0007015}; actin filament reorganization {GO:0090527}; antigen receptor-mediated signaling pathway {GO:0050851}; B cell receptor signaling pathway {GO:0050853}; cell adhesion {GO:0007155}; cell chemotaxis {GO:0060326}; cell migration {GO:0016477}; cellular response to endothelin {GO:1990859}; cellular response to hepatocyte growth factor stimulus {GO:0035729}; cellular response to nitric oxide {GO:0071732}; endothelin receptor signaling pathway {GO:0086100}; epidermal growth factor receptor signaling pathway {GO:0007173}; G protein-coupled receptor signaling pathway {GO:0007186}; hepatocyte growth factor receptor signaling pathway {GO:0048012}; insulin receptor signaling pathway {GO:0008286}; integrin-mediated signaling pathway {GO:0007229}; negative regulation of substrate adhesion-dependent cell spreading {GO:1900025}; neurotrophin TRK receptor signaling pathway {GO:0048011}; platelet-derived growth factor receptor signaling pathway {GO:0048008}; positive regulation of cell migration {GO:0030335}; positive regulation of endothelial cell migration {GO:0010595}; transmembrane receptor protein tyrosine kinase signaling pathway {GO:0007169}; vascular endothelial growth factor receptor signaling pathway {GO:0048010}</t>
  </si>
  <si>
    <t>actin cytoskeleton {GO:0015629}; axon {GO:0030424}; cytoplasm {GO:0005737}; cytosol {GO:0005829}; focal adhesion {GO:0005925}; lamellipodium {GO:0030027}; membrane {GO:0016020}; plasma membrane {GO:0005886}; ruffle {GO:0001726}</t>
  </si>
  <si>
    <t>protein domain specific binding {GO:0019904}; protein kinase binding {GO:0019901}; SH3 domain binding {GO:0017124}</t>
  </si>
  <si>
    <t>Downstream signal transduction {R-MMU-186763}; p130Cas linkage to MAPK signaling for integrins {R-MMU-372708}; VEGFA-VEGFR2 Pathway {R-MMU-4420097}; PTK6 Regulates RHO GTPases, RAS GTPase and MAP kinases {R-MMU-8849471}</t>
  </si>
  <si>
    <t>sp|Q8BL97|SRSF7_MOUSE</t>
  </si>
  <si>
    <t>Serine/arginine-rich splicing factor 7</t>
  </si>
  <si>
    <t>Splicing factor, arginine/serine-rich 7</t>
  </si>
  <si>
    <t>SRSF7_MOUSE</t>
  </si>
  <si>
    <t>Q8BL97</t>
  </si>
  <si>
    <t>Q8BMC6; Q8BUR2; Q8R2N4; Q8R3E9; Q91YS1</t>
  </si>
  <si>
    <t>Sfrs7</t>
  </si>
  <si>
    <t>MGI:1926232</t>
  </si>
  <si>
    <t>Acetylation; Alternative splicing; Cytoplasm; Isopeptide bond; Metal-binding; mRNA processing; mRNA splicing; mRNA transport; Nucleus; Phosphoprotein; Repeat; Repressor; RNA-binding; Transport; Ubl conjugation; Zinc; Zinc-finger</t>
  </si>
  <si>
    <t>cellular response to leukemia inhibitory factor {GO:1990830}; mRNA splicing, via spliceosome {GO:0000398}; mRNA transport {GO:0051028}; negative regulation of mRNA splicing, via spliceosome {GO:0048025}; RNA splicing {GO:0008380}</t>
  </si>
  <si>
    <t>cytoplasm {GO:0005737}; nuclear speck {GO:0016607}; nucleoplasm {GO:0005654}</t>
  </si>
  <si>
    <t>protein domain specific binding {GO:0019904}; RNA binding {GO:0003723}; zinc ion binding {GO:0008270}</t>
  </si>
  <si>
    <t>sp|P42669|PURA_MOUSE</t>
  </si>
  <si>
    <t>Transcriptional activator protein Pur-alpha</t>
  </si>
  <si>
    <t>Purine-rich single-stranded DNA-binding protein alpha</t>
  </si>
  <si>
    <t>PURA_MOUSE</t>
  </si>
  <si>
    <t>P42669</t>
  </si>
  <si>
    <t>MGI:103079</t>
  </si>
  <si>
    <t>Acetylation; Activator; DNA-binding; Nucleus; Phosphoprotein; Transcription; Transcription regulation</t>
  </si>
  <si>
    <t>cell differentiation {GO:0030154}; cell population proliferation {GO:0008283}; dendritic transport of messenger ribonucleoprotein complex {GO:0098963}; DNA unwinding involved in DNA replication {GO:0006268}; epithelial cell proliferation {GO:0050673}; lymphocyte proliferation {GO:0046651}; negative regulation of DNA-binding transcription factor activity {GO:0043433}; negative regulation of DNA-templated transcription {GO:0045892}; negative regulation of transcription by RNA polymerase II {GO:0000122}; nervous system development {GO:0007399}; positive regulation of cell population proliferation {GO:0008284}; regulation of transcription by RNA polymerase II {GO:0006357}</t>
  </si>
  <si>
    <t>cytoplasm {GO:0005737}; dendrite {GO:0030425}; dendrite cytoplasm {GO:0032839}; glutamatergic synapse {GO:0098978}; neuronal cell body {GO:0043025}; nucleus {GO:0005634}; postsynapse {GO:0098794}; postsynaptic density {GO:0014069}</t>
  </si>
  <si>
    <t>DNA binding {GO:0003677}; DNA-binding transcription factor activity {GO:0003700}; DNA-binding transcription factor activity, RNA polymerase II-specific {GO:0000981}; DNA-binding transcription factor binding {GO:0140297}; double-stranded DNA binding {GO:0003690}; double-stranded telomeric DNA binding {GO:0003691}; mRNA regulatory element binding translation repressor activity {GO:0000900}; purine-rich negative regulatory element binding {GO:0032422}; RNA binding {GO:0003723}; RNA polymerase II transcription regulatory region sequence-specific DNA binding {GO:0000977}; single-stranded DNA binding {GO:0003697}; SMAD binding {GO:0046332}; transcription regulator inhibitor activity {GO:0140416}</t>
  </si>
  <si>
    <t>sp|P47856|GFPT1_MOUSE</t>
  </si>
  <si>
    <t>Glutamine--fructose-6-phosphate aminotransferase [isomerizing] 1</t>
  </si>
  <si>
    <t>D-fructose-6-phosphate amidotransferase 1; Glutamine:fructose-6-phosphate amidotransferase 1 (GFAT 1; GFAT1); Hexosephosphate aminotransferase 1</t>
  </si>
  <si>
    <t>GFPT1_MOUSE</t>
  </si>
  <si>
    <t>P47856</t>
  </si>
  <si>
    <t>Q91XG9; Q99LP7; Q99MJ4</t>
  </si>
  <si>
    <t>Gfpt</t>
  </si>
  <si>
    <t>MGI:95698</t>
  </si>
  <si>
    <t>Alternative splicing; Aminotransferase; Biological rhythms; Glutamine amidotransferase; Phosphoprotein; Repeat; Transferase</t>
  </si>
  <si>
    <t>circadian regulation of gene expression {GO:0032922}; fructose 6-phosphate metabolic process {GO:0006002}; glucosamine biosynthetic process {GO:0006042}; glutamine metabolic process {GO:0006541}; negative regulation of glycogen biosynthetic process {GO:0045719}; protein N-linked glycosylation {GO:0006487}; UDP-N-acetylglucosamine biosynthetic process {GO:0006048}; UDP-N-acetylglucosamine metabolic process {GO:0006047}</t>
  </si>
  <si>
    <t>amino acid binding {GO:0016597}; carbohydrate binding {GO:0030246}; carbohydrate derivative binding {GO:0097367}; glutamine-fructose-6-phosphate transaminase (isomerizing) activity {GO:0004360}; identical protein binding {GO:0042802}</t>
  </si>
  <si>
    <t>Nucleotide-sugar biosynthesis; UDP-N-acetyl-alpha-D- glucosamine biosynthesis; alpha-D-glucosamine 6-phosphate from D- fructose 6-phosphate: step 1/1..</t>
  </si>
  <si>
    <t>Synthesis of UDP-N-acetyl-glucosamine {R-MMU-446210}</t>
  </si>
  <si>
    <t>sp|Q8BWW4|LARP4_MOUSE</t>
  </si>
  <si>
    <t>La-related protein 4</t>
  </si>
  <si>
    <t>La ribonucleoprotein domain family member 4</t>
  </si>
  <si>
    <t>LARP4_MOUSE</t>
  </si>
  <si>
    <t>Q8BWW4</t>
  </si>
  <si>
    <t>Q3UR69</t>
  </si>
  <si>
    <t>MGI:2443114</t>
  </si>
  <si>
    <t>Acetylation; Cytoplasm; Methylation; Phosphoprotein; Protein biosynthesis; RNA-binding</t>
  </si>
  <si>
    <t>cytoskeleton organization {GO:0007010}; positive regulation of translation {GO:0045727}; post-transcriptional regulation of gene expression {GO:0010608}; regulation of cell morphogenesis {GO:0022604}; translation {GO:0006412}</t>
  </si>
  <si>
    <t>cytoplasmic stress granule {GO:0010494}; cytosol {GO:0005829}; cytosolic small ribosomal subunit {GO:0022627}; polysome {GO:0005844}</t>
  </si>
  <si>
    <t>mRNA 3'-UTR binding {GO:0003730}; poly(A) binding {GO:0008143}; RNA binding {GO:0003723}</t>
  </si>
  <si>
    <t>sp|Q9CPW4|ARPC5_MOUSE</t>
  </si>
  <si>
    <t>Actin-related protein 2/3 complex subunit 5</t>
  </si>
  <si>
    <t>Arp2/3 complex 16 kDa subunit (p16-ARC)</t>
  </si>
  <si>
    <t>ARPC5_MOUSE</t>
  </si>
  <si>
    <t>Q9CPW4</t>
  </si>
  <si>
    <t>Q3U9T3; Q9D8E7</t>
  </si>
  <si>
    <t>MGI:1915021</t>
  </si>
  <si>
    <t>3D-structure; Acetylation; Actin-binding; Cell projection; Cytoplasm; Cytoskeleton; Nucleus; Ubl conjugation</t>
  </si>
  <si>
    <t>actin filament network formation {GO:0051639}; Arp2/3 complex-mediated actin nucleation {GO:0034314}; cell migration {GO:0016477}; lamellipodium organization {GO:0097581}; maintenance of cell polarity {GO:0030011}; microtubule organizing center localization {GO:0061842}; regulation of actin filament polymerization {GO:0030833}; smooth muscle cell migration {GO:0014909}</t>
  </si>
  <si>
    <t>Arp2/3 protein complex {GO:0005885}; cytoplasm {GO:0005737}; endosome {GO:0005768}; growth cone {GO:0030426}; lamellipodium {GO:0030027}; neuron projection {GO:0043005}; nucleus {GO:0005634}; site of double-strand break {GO:0035861}</t>
  </si>
  <si>
    <t>sp|Q9JMG1|EDF1_MOUSE</t>
  </si>
  <si>
    <t>Endothelial differentiation-related factor 1 (EDF-1)</t>
  </si>
  <si>
    <t>Multiprotein-bridging factor 1 (MBF1)</t>
  </si>
  <si>
    <t>EDF1_MOUSE</t>
  </si>
  <si>
    <t>Q9JMG1</t>
  </si>
  <si>
    <t>Q99NE6</t>
  </si>
  <si>
    <t>MGI:1891227</t>
  </si>
  <si>
    <t>Acetylation; Activator; Calmodulin-binding; Cytoplasm; Developmental protein; Differentiation; DNA-binding; Methylation; Nucleus; Phosphoprotein; Transcription; Transcription regulation</t>
  </si>
  <si>
    <t>Differentiation; Transcription; Transcription regulation</t>
  </si>
  <si>
    <t>Activator; Calmodulin-binding; DNA-binding; Developmental protein</t>
  </si>
  <si>
    <t>cell differentiation {GO:0030154}; positive regulation of DNA binding {GO:0043388}</t>
  </si>
  <si>
    <t>cytoplasm {GO:0005737}; cytosol {GO:0005829}; nucleolus {GO:0005730}; nucleoplasm {GO:0005654}; nucleus {GO:0005634}</t>
  </si>
  <si>
    <t>calmodulin binding {GO:0005516}; DNA binding {GO:0003677}; TFIID-class transcription factor complex binding {GO:0001094}; transcription coactivator activity {GO:0003713}</t>
  </si>
  <si>
    <t>sp|Q9CR21|ACPM_MOUSE</t>
  </si>
  <si>
    <t>Acyl carrier protein, mitochondrial (ACP)</t>
  </si>
  <si>
    <t>CI-SDAP; NADH-ubiquinone oxidoreductase 9.6 kDa subunit</t>
  </si>
  <si>
    <t>ACPM_MOUSE</t>
  </si>
  <si>
    <t>Q9CR21</t>
  </si>
  <si>
    <t>Q9D726; Q9D7V5</t>
  </si>
  <si>
    <t>MGI:1917566</t>
  </si>
  <si>
    <t>3D-structure; Acetylation; Electron transport; Fatty acid biosynthesis; Fatty acid metabolism; Lipid biosynthesis; Lipid metabolism; Mitochondrion; Phosphopantetheine; Phosphoprotein; Respiratory chain; Transit peptide; Transport</t>
  </si>
  <si>
    <t>Electron transport; Fatty acid biosynthesis; Fatty acid metabolism; Lipid biosynthesis; Lipid metabolism; Respiratory chain; Transport</t>
  </si>
  <si>
    <t>Acetylation; Phosphopantetheine; Phosphoprotein</t>
  </si>
  <si>
    <t>aerobic respiration {GO:0009060}; iron-sulfur cluster assembly {GO:0016226}; mitochondrial respiratory chain complex I assembly {GO:0032981}; protein lipoylation {GO:0009249}; proton motive force-driven mitochondrial ATP synthesis {GO:0042776}</t>
  </si>
  <si>
    <t>iron-sulfur cluster assembly complex {GO:1990229}; mitochondrial inner membrane {GO:0005743}; mitochondrial large ribosomal subunit {GO:0005762}; mitochondrial respiratory chain complex I {GO:0005747}; mitochondrion {GO:0005739}; nucleoplasm {GO:0005654}</t>
  </si>
  <si>
    <t>acyl binding {GO:0000035}; acyl carrier activity {GO:0000036}</t>
  </si>
  <si>
    <t>Glyoxylate metabolism and glycine degradation {R-MMU-389661}; Respiratory electron transport {R-MMU-611105}; Complex I biogenesis {R-MMU-6799198}; Mitochondrial Fatty Acid Beta-Oxidation {R-MMU-77289}</t>
  </si>
  <si>
    <t>sp|Q9ERE7|MESD_MOUSE</t>
  </si>
  <si>
    <t>LRP chaperone MESD</t>
  </si>
  <si>
    <t>LDLR chaperone MESD; Mesoderm development candidate 2; Mesoderm development protein</t>
  </si>
  <si>
    <t>MESD_MOUSE</t>
  </si>
  <si>
    <t>Q9ERE7</t>
  </si>
  <si>
    <t>Q8C611; Q8CCX7; Q91WK8; Q9CVB9</t>
  </si>
  <si>
    <t>Mesdc2</t>
  </si>
  <si>
    <t>MGI:1891421</t>
  </si>
  <si>
    <t>3D-structure; Chaperone; Endoplasmic reticulum; Glycoprotein; Signal; Wnt signaling pathway</t>
  </si>
  <si>
    <t>mesoderm development {GO:0007498}; ossification {GO:0001503}; phagocytosis {GO:0006909}; positive regulation of skeletal muscle acetylcholine-gated channel clustering {GO:1904395}; protein folding {GO:0006457}; protein localization to cell surface {GO:0034394}; Wnt signaling pathway {GO:0016055}</t>
  </si>
  <si>
    <t>endoplasmic reticulum {GO:0005783}; plasma membrane {GO:0005886}</t>
  </si>
  <si>
    <t>identical protein binding {GO:0042802}; low-density lipoprotein particle receptor binding {GO:0050750}</t>
  </si>
  <si>
    <t>sp|Q9DBH5|LMAN2_MOUSE</t>
  </si>
  <si>
    <t>Vesicular integral-membrane protein VIP36</t>
  </si>
  <si>
    <t>Lectin mannose-binding 2; Vesicular integral-membrane protein 36 (VIP36)</t>
  </si>
  <si>
    <t>LMAN2_MOUSE</t>
  </si>
  <si>
    <t>Q9DBH5</t>
  </si>
  <si>
    <t>Q8BJL4; Q9CXG7</t>
  </si>
  <si>
    <t>MGI:1914140</t>
  </si>
  <si>
    <t>Calcium; Disulfide bond; Glycoprotein; Golgi apparatus; Lectin; Membrane; Metal-binding; Protein transport; Signal; Transmembrane; Transmembrane helix; Transport</t>
  </si>
  <si>
    <t>Golgi apparatus; Membrane</t>
  </si>
  <si>
    <t>endoplasmic reticulum organization {GO:0007029}; endoplasmic reticulum to Golgi vesicle-mediated transport {GO:0006888}; Golgi organization {GO:0007030}; positive regulation of phagocytosis {GO:0050766}; protein transport {GO:0015031}; retrograde vesicle-mediated transport, Golgi to endoplasmic reticulum {GO:0006890}</t>
  </si>
  <si>
    <t>cell surface {GO:0009986}; COPII-coated ER to Golgi transport vesicle {GO:0030134}; endoplasmic reticulum membrane {GO:0005789}; endoplasmic reticulum-Golgi intermediate compartment {GO:0005793}; extracellular space {GO:0005615}; Golgi apparatus {GO:0005794}; Golgi membrane {GO:0000139}; integral component of plasma membrane {GO:0005887}</t>
  </si>
  <si>
    <t>carbohydrate binding {GO:0030246}; heat shock protein binding {GO:0031072}; mannose binding {GO:0005537}; metal ion binding {GO:0046872}</t>
  </si>
  <si>
    <t>COPII-mediated vesicle transport {R-MMU-204005}; Cargo concentration in the ER {R-MMU-5694530}</t>
  </si>
  <si>
    <t>sp|Q9WVE8|PACN2_MOUSE</t>
  </si>
  <si>
    <t>Protein kinase C and casein kinase substrate in neurons protein 2</t>
  </si>
  <si>
    <t>Syndapin-2; Syndapin-II (SdpII)</t>
  </si>
  <si>
    <t>PACN2_MOUSE</t>
  </si>
  <si>
    <t>Q9WVE8</t>
  </si>
  <si>
    <t>MGI:1345153</t>
  </si>
  <si>
    <t>3D-structure; Acetylation; Cell membrane; Cell projection; Coiled coil; Cytoplasm; Cytoplasmic vesicle; Cytoskeleton; Endocytosis; Endosome; Lipid-binding; Membrane; Phosphoprotein; SH3 domain</t>
  </si>
  <si>
    <t>Cell membrane; Cell projection; Cytoplasm; Cytoplasmic vesicle; Cytoskeleton; Endosome; Membrane</t>
  </si>
  <si>
    <t>actin cytoskeleton organization {GO:0030036}; caveola assembly {GO:0070836}; caveolin-mediated endocytosis {GO:0072584}; cell projection morphogenesis {GO:0048858}; cytoskeleton organization {GO:0007010}; modulation of chemical synaptic transmission {GO:0050804}; negative regulation of endocytosis {GO:0045806}; plasma membrane tubulation {GO:0097320}; protein localization to endosome {GO:0036010}; regulation of endocytosis {GO:0030100}; signal transduction {GO:0007165}</t>
  </si>
  <si>
    <t>caveola {GO:0005901}; cell-cell junction {GO:0005911}; cytoplasm {GO:0005737}; cytoskeleton {GO:0005856}; cytosol {GO:0005829}; early endosome {GO:0005769}; endosome {GO:0005768}; extrinsic component of membrane {GO:0019898}; glutamatergic synapse {GO:0098978}; intracellular membrane-bounded organelle {GO:0043231}; nuclear speck {GO:0016607}; plasma membrane {GO:0005886}; recycling endosome membrane {GO:0055038}; ruffle membrane {GO:0032587}</t>
  </si>
  <si>
    <t>cytoskeletal protein binding {GO:0008092}; identical protein binding {GO:0042802}; lipid binding {GO:0008289}; phosphatidic acid binding {GO:0070300}; phospholipid binding {GO:0005543}</t>
  </si>
  <si>
    <t>sp|Q99LG2|TNPO2_MOUSE</t>
  </si>
  <si>
    <t>Transportin-2</t>
  </si>
  <si>
    <t>Karyopherin beta-2b</t>
  </si>
  <si>
    <t>TNPO2_MOUSE</t>
  </si>
  <si>
    <t>Q99LG2</t>
  </si>
  <si>
    <t>Q8C0U9</t>
  </si>
  <si>
    <t>MGI:2384849</t>
  </si>
  <si>
    <t>negative regulation of muscle cell differentiation {GO:0051148}; protein import into nucleus {GO:0006606}</t>
  </si>
  <si>
    <t>sp|Q62189|SNRPA_MOUSE</t>
  </si>
  <si>
    <t>U1 small nuclear ribonucleoprotein A (U1 snRNP A; U1-A; U1A)</t>
  </si>
  <si>
    <t>SNRPA_MOUSE</t>
  </si>
  <si>
    <t>Q62189</t>
  </si>
  <si>
    <t>Q52LA2</t>
  </si>
  <si>
    <t>Rnu1a-1</t>
  </si>
  <si>
    <t>MGI:1855690</t>
  </si>
  <si>
    <t>Acetylation; Methylation; mRNA processing; mRNA splicing; Nucleus; Repeat; Ribonucleoprotein; RNA-binding; Spliceosome</t>
  </si>
  <si>
    <t>mRNA splicing, via spliceosome {GO:0000398}; regulation of mRNA polyadenylation {GO:1900363}</t>
  </si>
  <si>
    <t>nucleoplasm {GO:0005654}; nucleus {GO:0005634}; spliceosomal complex {GO:0005681}; U1 snRNP {GO:0005685}; U4/U6 x U5 tri-snRNP complex {GO:0046540}</t>
  </si>
  <si>
    <t>identical protein binding {GO:0042802}; RNA binding {GO:0003723}; U1 snRNA binding {GO:0030619}; U1 snRNP binding {GO:1990446}</t>
  </si>
  <si>
    <t>sp|P07742|RIR1_MOUSE</t>
  </si>
  <si>
    <t>Ribonucleoside-diphosphate reductase large subunit</t>
  </si>
  <si>
    <t>Ribonucleoside-diphosphate reductase subunit M1; Ribonucleotide reductase large subunit</t>
  </si>
  <si>
    <t>RIR1_MOUSE</t>
  </si>
  <si>
    <t>P07742</t>
  </si>
  <si>
    <t>Q91YM8</t>
  </si>
  <si>
    <t>MGI:98180</t>
  </si>
  <si>
    <t>Acetylation; Allosteric enzyme; ATP-binding; Cytoplasm; Deoxyribonucleotide synthesis; Disulfide bond; Nucleotide-binding; Oxidoreductase; Phosphoprotein</t>
  </si>
  <si>
    <t>Deoxyribonucleotide synthesis</t>
  </si>
  <si>
    <t>Allosteric enzyme; Oxidoreductase</t>
  </si>
  <si>
    <t>2'-deoxyribonucleotide biosynthetic process {GO:0009265}; deoxyribonucleotide biosynthetic process {GO:0009263}; DNA repair {GO:0006281}; DNA synthesis involved in DNA repair {GO:0000731}; mitochondrial DNA replication {GO:0006264}; positive regulation of G0 to G1 transition {GO:0070318}; positive regulation of G1/S transition of mitotic cell cycle {GO:1900087}; positive regulation of G2/M transition of mitotic cell cycle {GO:0010971}; protein heterotetramerization {GO:0051290}; ribonucleoside diphosphate metabolic process {GO:0009185}</t>
  </si>
  <si>
    <t>cell projection {GO:0042995}; cytoplasm {GO:0005737}; cytosol {GO:0005829}; mitochondrion {GO:0005739}; neuronal cell body {GO:0043025}; nuclear envelope {GO:0005635}; ribonucleoside-diphosphate reductase complex {GO:0005971}</t>
  </si>
  <si>
    <t>ATP binding {GO:0005524}; disordered domain specific binding {GO:0097718}; identical protein binding {GO:0042802}; purine nucleotide binding {GO:0017076}; ribonucleoside-diphosphate reductase activity {GO:0061731}; ribonucleoside-diphosphate reductase activity, thioredoxin disulfide as acceptor {GO:0004748}</t>
  </si>
  <si>
    <t>Genetic information processing; DNA replication.</t>
  </si>
  <si>
    <t>sp|P16675|PPGB_MOUSE</t>
  </si>
  <si>
    <t>Lysosomal protective protein 20 kDa chain</t>
  </si>
  <si>
    <t>Carboxypeptidase C; Carboxypeptidase L; Cathepsin A; Protective protein cathepsin A (PPCA); Protective protein for beta-galactosidase</t>
  </si>
  <si>
    <t>PPGB_MOUSE</t>
  </si>
  <si>
    <t>P16675</t>
  </si>
  <si>
    <t>Q8VEF6</t>
  </si>
  <si>
    <t>Ppgb</t>
  </si>
  <si>
    <t>MGI:97748</t>
  </si>
  <si>
    <t>3D-structure; Carboxypeptidase; Disulfide bond; Glycoprotein; Hydrolase; Lysosome; Protease; Signal; Zymogen</t>
  </si>
  <si>
    <t>Lysosome</t>
  </si>
  <si>
    <t>Carboxypeptidase; Hydrolase; Protease</t>
  </si>
  <si>
    <t>negative regulation of chaperone-mediated autophagy {GO:1904715}; proteolysis {GO:0006508}; regulation of protein stability {GO:0031647}</t>
  </si>
  <si>
    <t>intracellular membrane-bounded organelle {GO:0043231}; lysosome {GO:0005764}; mitochondrion {GO:0005739}</t>
  </si>
  <si>
    <t>serine-type carboxypeptidase activity {GO:0004185}</t>
  </si>
  <si>
    <t>Glycosphingolipid metabolism {R-MMU-1660662}; MHC class II antigen presentation {R-MMU-2132295}; Sialic acid metabolism {R-MMU-4085001}; Neutrophil degranulation {R-MMU-6798695}</t>
  </si>
  <si>
    <t>sp|Q3UL36|ARGL1_MOUSE</t>
  </si>
  <si>
    <t>Arginine and glutamate-rich protein 1</t>
  </si>
  <si>
    <t>ARGL1_MOUSE</t>
  </si>
  <si>
    <t>Q3UL36</t>
  </si>
  <si>
    <t>Q80XJ0</t>
  </si>
  <si>
    <t>MGI:2442985</t>
  </si>
  <si>
    <t>Alternative splicing; Phosphoprotein</t>
  </si>
  <si>
    <t>sp|Q60631|GRB2_MOUSE</t>
  </si>
  <si>
    <t>Growth factor receptor-bound protein 2</t>
  </si>
  <si>
    <t>Adapter protein GRB2; SH2/SH3 adapter GRB2</t>
  </si>
  <si>
    <t>GRB2_MOUSE</t>
  </si>
  <si>
    <t>Q60631</t>
  </si>
  <si>
    <t>Q61240</t>
  </si>
  <si>
    <t>MGI:95805</t>
  </si>
  <si>
    <t>3D-structure; Acetylation; Alternative splicing; Cytoplasm; Endosome; Golgi apparatus; Nucleus; Phosphoprotein; Repeat; SH2 domain; SH3 domain</t>
  </si>
  <si>
    <t>Cytoplasm; Endosome; Golgi apparatus; Nucleus</t>
  </si>
  <si>
    <t>actin cytoskeleton reorganization {GO:0031532}; aging {GO:0007568}; anatomical structure formation involved in morphogenesis {GO:0048646}; branching involved in labyrinthine layer morphogenesis {GO:0060670}; cellular response to ionizing radiation {GO:0071479}; endodermal cell differentiation {GO:0035987}; epidermal growth factor receptor signaling pathway {GO:0007173}; fibroblast growth factor receptor signaling pathway {GO:0008543}; insulin receptor signaling pathway {GO:0008286}; positive regulation of actin filament polymerization {GO:0030838}; positive regulation of reactive oxygen species metabolic process {GO:2000379}; Ras protein signal transduction {GO:0007265}; receptor internalization {GO:0031623}; regulation of MAPK cascade {GO:0043408}; signal transduction {GO:0007165}; signal transduction in response to DNA damage {GO:0042770}</t>
  </si>
  <si>
    <t>cell-cell junction {GO:0005911}; COP9 signalosome {GO:0008180}; cytoplasm {GO:0005737}; cytosol {GO:0005829}; endosome {GO:0005768}; Golgi apparatus {GO:0005794}; Grb2-EGFR complex {GO:0070436}; membrane {GO:0016020}; nucleolus {GO:0005730}; nucleoplasm {GO:0005654}; nucleus {GO:0005634}; plasma membrane {GO:0005886}; protein-containing complex {GO:0032991}; vesicle membrane {GO:0012506}</t>
  </si>
  <si>
    <t>enzyme binding {GO:0019899}; ephrin receptor binding {GO:0046875}; epidermal growth factor receptor binding {GO:0005154}; identical protein binding {GO:0042802}; insulin receptor substrate binding {GO:0043560}; neurotrophin TRKA receptor binding {GO:0005168}; phosphoprotein binding {GO:0051219}; phosphotyrosine residue binding {GO:0001784}; protein domain specific binding {GO:0019904}; protein kinase binding {GO:0019901}; protein phosphatase binding {GO:0019903}; protein-containing complex binding {GO:0044877}; protein-macromolecule adaptor activity {GO:0030674}; SH3 domain binding {GO:0017124}; transmembrane receptor protein tyrosine kinase adaptor activity {GO:0005068}</t>
  </si>
  <si>
    <t>PI3K Cascade {R-MMU-109704}; SOS-mediated signalling {R-MMU-112412}; SHC1 events in ERBB4 signaling {R-MMU-1250347}; PIP3 activates AKT signaling {R-MMU-1257604}; Spry regulation of FGF signaling {R-MMU-1295596}; Signaling by SCF-KIT {R-MMU-1433557}; Regulation of KIT signaling {R-MMU-1433559}; Signalling to RAS {R-MMU-167044}; GRB2 events in EGFR signaling {R-MMU-179812}; GAB1 signalosome {R-MMU-180292}; SHC1 events in EGFR signaling {R-MMU-180336}; EGFR downregulation {R-MMU-182971}; Downstream signal transduction {R-MMU-186763}; GRB2 events in ERBB2 signaling {R-MMU-1963640}; PI3K events in ERBB2 signaling {R-MMU-1963642}; Regulation of actin dynamics for phagocytic cup formation {R-MMU-2029482}; Tie2 Signaling {R-MMU-210993}; EGFR Transactivation by Gastrin {R-MMU-2179392}; DAP12 signaling {R-MMU-2424491}; SHC-related events triggered by IGF1R {R-MMU-2428933}; Role of LAT2/NTAL/LAB on calcium mobilization {R-MMU-2730905}; FCERI mediated MAPK activation {R-MMU-2871796}; FCERI mediated Ca+2 mobilization {R-MMU-2871809}; GRB2:SOS provides linkage to MAPK signaling for Integrins {R-MMU-354194}; NCAM signaling for neurite out-growth {R-MMU-375165}; Costimulation by the CD28 family {R-MMU-388841}; CD28 dependent Vav1 pathway {R-MMU-389359}; Signal regulatory protein family interactions {R-MMU-391160}; SHC-mediated cascade:FGFR1 {R-MMU-5654688}; PI-3K cascade:FGFR1 {R-MMU-5654689}; FRS-mediated FGFR1 signaling {R-MMU-5654693}; PI-3K cascade:FGFR2 {R-MMU-5654695}; SHC-mediated cascade:FGFR2 {R-MMU-5654699}; FRS-mediated FGFR2 signaling {R-MMU-5654700}; SHC-mediated cascade:FGFR3 {R-MMU-5654704}; FRS-mediated FGFR3 signaling {R-MMU-5654706}; PI-3K cascade:FGFR3 {R-MMU-5654710}; FRS-mediated FGFR4 signaling {R-MMU-5654712}; SHC-mediated cascade:FGFR4 {R-MMU-5654719}; PI-3K cascade:FGFR4 {R-MMU-5654720}; Negative regulation of FGFR1 signaling {R-MMU-5654726}; Negative regulation of FGFR2 signaling {R-MMU-5654727}; Negative regulation of FGFR3 signaling {R-MMU-5654732}; Negative regulation of FGFR4 signaling {R-MMU-5654733}; RHO GTPases Activate WASPs and WAVEs {R-MMU-5663213}; RAF/MAP kinase cascade {R-MMU-5673001}; Negative regulation of MET activity {R-MMU-6807004}; PI5P, PP2A and IER3 Regulate PI3K/AKT Signaling {R-MMU-6811558}; Signal attenuation {R-MMU-74749}; Insulin receptor signalling cascade {R-MMU-74751}; MET activates RAS signaling {R-MMU-8851805}; MET activates PI3K/AKT signaling {R-MMU-8851907}; RET signaling {R-MMU-8853659}; Cargo recognition for clathrin-mediated endocytosis {R-MMU-8856825}; Clathrin-mediated endocytosis {R-MMU-8856828}; MET activates PTPN11 {R-MMU-8865999}; MET activates RAP1 and RAC1 {R-MMU-8875555}; MET receptor recycling {R-MMU-8875656}; Interleukin-15 signaling {R-MMU-8983432}; RHOU GTPase cycle {R-MMU-9013420}; Erythropoietin activates RAS {R-MMU-9027284}; Activated NTRK2 signals through FRS2 and FRS3 {R-MMU-9028731}; Interleukin receptor SHC signaling {R-MMU-912526}; Regulation of signaling by CBL {R-MMU-912631}; FLT3 Signaling {R-MMU-9607240}; Signaling by CSF3 (G-CSF) {R-MMU-9674555}; Antigen activates B Cell Receptor (BCR) leading to generation of second messengers {R-MMU-983695}</t>
  </si>
  <si>
    <t>sp|Q8CGY8|OGT1_MOUSE</t>
  </si>
  <si>
    <t>UDP-N-acetylglucosamine--peptide N-acetylglucosaminyltransferase 110 kDa subunit</t>
  </si>
  <si>
    <t>O-GlcNAc transferase subunit p110; O-linked N-acetylglucosamine transferase 110 kDa subunit (OGT)</t>
  </si>
  <si>
    <t>OGT1_MOUSE</t>
  </si>
  <si>
    <t>Q8CGY8</t>
  </si>
  <si>
    <t>A2ALY1; Q6PG10; Q8BXH6; Q91Y38</t>
  </si>
  <si>
    <t>MGI:1339639</t>
  </si>
  <si>
    <t>Acetylation; Alternative splicing; Biological rhythms; Cell membrane; Cell projection; Chromatin regulator; Cytoplasm; Glycoprotein; Glycosyltransferase; Lipid-binding; Membrane; Mitochondrion; Nucleus; Phosphoprotein; Repeat; TPR repeat; Transferase; Ubl conjugation</t>
  </si>
  <si>
    <t>Cell membrane; Cell projection; Cytoplasm; Membrane; Mitochondrion; Nucleus</t>
  </si>
  <si>
    <t>Chromatin regulator; Glycosyltransferase; Transferase</t>
  </si>
  <si>
    <t>Acetylation; Glycoprotein; Phosphoprotein; Ubl conjugation</t>
  </si>
  <si>
    <t>apoptotic process {GO:0006915}; cellular response to glucose stimulus {GO:0071333}; cellular response to lipopolysaccharide {GO:0071222}; chromatin organization {GO:0006325}; circadian regulation of gene expression {GO:0032922}; glucosamine metabolic process {GO:0006041}; hemopoiesis {GO:0030097}; histone H3-K4 trimethylation {GO:0080182}; histone H4-K16 acetylation {GO:0043984}; histone H4-K5 acetylation {GO:0043981}; histone H4-K8 acetylation {GO:0043982}; intracellular distribution of mitochondria {GO:0048312}; mitophagy {GO:0000423}; negative regulation of cell death {GO:0060548}; negative regulation of cell migration {GO:0030336}; negative regulation of cellular response to hypoxia {GO:1900038}; negative regulation of peptidyl-serine phosphorylation {GO:0033137}; negative regulation of peptidyl-threonine phosphorylation {GO:0010801}; negative regulation of proteasomal ubiquitin-dependent protein catabolic process {GO:0032435}; negative regulation of protein phosphorylation {GO:0001933}; negative regulation of protein targeting to membrane {GO:0090315}; negative regulation of protein ubiquitination {GO:0031397}; negative regulation of stem cell population maintenance {GO:1902455}; negative regulation of transcription by RNA polymerase II {GO:0000122}; negative regulation of transforming growth factor beta receptor signaling pathway {GO:0030512}; phosphatidylinositol-mediated signaling {GO:0048015}; positive regulation of cell size {GO:0045793}; positive regulation of cold-induced thermogenesis {GO:0120162}; positive regulation of DNA-templated transcription {GO:0045893}; positive regulation of gene expression {GO:0010628}; positive regulation of histone H3-K27 methylation {GO:0061087}; positive regulation of histone H3-K4 methylation {GO:0051571}; positive regulation of protein localization to nucleus {GO:1900182}; positive regulation of protein phosphorylation {GO:0001934}; positive regulation of proteolysis {GO:0045862}; positive regulation of reactive oxygen species biosynthetic process {GO:1903428}; positive regulation of stem cell population maintenance {GO:1902459}; positive regulation of transcription by RNA polymerase II {GO:0045944}; protein O-linked glycosylation {GO:0006493}; protein processing {GO:0016485}; regulation of dosage compensation by inactivation of X chromosome {GO:1900095}; regulation of gluconeogenesis {GO:0006111}; regulation of glycolytic process {GO:0006110}; regulation of insulin receptor signaling pathway {GO:0046626}; regulation of Rac protein signal transduction {GO:0035020}; regulation of transcription by RNA polymerase II {GO:0006357}; response to insulin {GO:0032868}</t>
  </si>
  <si>
    <t>cytoplasm {GO:0005737}; cytosol {GO:0005829}; euchromatin {GO:0000791}; histone acetyltransferase complex {GO:0000123}; mitochondrial membrane {GO:0031966}; mitochondrion {GO:0005739}; neuron projection {GO:0043005}; neuronal cell body {GO:0043025}; NSL complex {GO:0044545}; nucleoplasm {GO:0005654}; nucleus {GO:0005634}; plasma membrane {GO:0005886}; protein N-acetylglucosaminyltransferase complex {GO:0017122}; protein-containing complex {GO:0032991}; Sin3 complex {GO:0016580}; zymogen granule {GO:0042588}</t>
  </si>
  <si>
    <t>catalytic activity {GO:0003824}; chromatin DNA binding {GO:0031490}; identical protein binding {GO:0042802}; N-acetyltransferase activity {GO:0008080}; peptide binding {GO:0042277}; phosphatidylinositol-3,4,5-trisphosphate binding {GO:0005547}; protein domain specific binding {GO:0019904}; protein N-acetylglucosaminyltransferase activity {GO:0016262}; protein O-GlcNAc transferase activity {GO:0097363}; protein-containing complex binding {GO:0044877}</t>
  </si>
  <si>
    <t>HATs acetylate histones {R-MMU-3214847}; Regulation of necroptotic cell death {R-MMU-5675482}; UCH proteinases {R-MMU-5689603}</t>
  </si>
  <si>
    <t>sp|Q9DC16|ERGI1_MOUSE</t>
  </si>
  <si>
    <t>Endoplasmic reticulum-Golgi intermediate compartment protein 1</t>
  </si>
  <si>
    <t>ER-Golgi intermediate compartment 32 kDa protein (ERGIC-32)</t>
  </si>
  <si>
    <t>ERGI1_MOUSE</t>
  </si>
  <si>
    <t>Q9DC16</t>
  </si>
  <si>
    <t>Ergic32</t>
  </si>
  <si>
    <t>MGI:1914708</t>
  </si>
  <si>
    <t>Endoplasmic reticulum; ER-Golgi transport; Glycoprotein; Golgi apparatus; Membrane; Transmembrane; Transmembrane helix; Transport</t>
  </si>
  <si>
    <t>ER-Golgi transport; Transport</t>
  </si>
  <si>
    <t>endoplasmic reticulum to Golgi vesicle-mediated transport {GO:0006888}; retrograde vesicle-mediated transport, Golgi to endoplasmic reticulum {GO:0006890}</t>
  </si>
  <si>
    <t>COPII-coated ER to Golgi transport vesicle {GO:0030134}; endoplasmic reticulum {GO:0005783}; endoplasmic reticulum-Golgi intermediate compartment {GO:0005793}; endoplasmic reticulum-Golgi intermediate compartment membrane {GO:0033116}; integral component of endoplasmic reticulum membrane {GO:0030176}; integral component of Golgi membrane {GO:0030173}; intracellular membrane-bounded organelle {GO:0043231}; membrane {GO:0016020}; nucleoplasm {GO:0005654}</t>
  </si>
  <si>
    <t>sp|Q99LE6|ABCF2_MOUSE</t>
  </si>
  <si>
    <t>ATP-binding cassette sub-family F member 2</t>
  </si>
  <si>
    <t>ABCF2_MOUSE</t>
  </si>
  <si>
    <t>Q99LE6</t>
  </si>
  <si>
    <t>Q3UA24; Q8C1S5; Q9JL48</t>
  </si>
  <si>
    <t>MGI:1351657</t>
  </si>
  <si>
    <t>Acetylation; ATP-binding; Nucleotide-binding; Phosphoprotein; Repeat</t>
  </si>
  <si>
    <t>sp|Q7M6Y3|PICAL_MOUSE</t>
  </si>
  <si>
    <t>sp|P37040|NCPR_MOUSE</t>
  </si>
  <si>
    <t>NADPH--cytochrome P450 reductase (CPR; P450R)</t>
  </si>
  <si>
    <t>NCPR_MOUSE</t>
  </si>
  <si>
    <t>P37040</t>
  </si>
  <si>
    <t>MGI:97744</t>
  </si>
  <si>
    <t>Acetylation; Endoplasmic reticulum; FAD; Flavoprotein; FMN; Membrane; NADP; Oxidoreductase; Transmembrane; Transmembrane helix</t>
  </si>
  <si>
    <t>FAD; FMN; Flavoprotein; NADP</t>
  </si>
  <si>
    <t>carnitine metabolic process {GO:0009437}; cellular organofluorine metabolic process {GO:0090346}; cellular response to follicle-stimulating hormone stimulus {GO:0071372}; cellular response to peptide hormone stimulus {GO:0071375}; demethylation {GO:0070988}; electron transport chain {GO:0022900}; fatty acid oxidation {GO:0019395}; flavonoid metabolic process {GO:0009812}; internal peptidyl-lysine acetylation {GO:0018393}; negative regulation of apoptotic process {GO:0043066}; negative regulation of cysteine-type endopeptidase activity involved in apoptotic process {GO:0043154}; negative regulation of lipase activity {GO:0060192}; nitrate catabolic process {GO:0043602}; nitric oxide catabolic process {GO:0046210}; positive regulation of cholesterol biosynthetic process {GO:0045542}; positive regulation of chondrocyte differentiation {GO:0032332}; positive regulation of monooxygenase activity {GO:0032770}; positive regulation of smoothened signaling pathway {GO:0045880}; positive regulation of steroid hormone biosynthetic process {GO:0090031}; regulation of cholesterol metabolic process {GO:0090181}; regulation of growth plate cartilage chondrocyte proliferation {GO:0003420}; response to dexamethasone {GO:0071548}; response to hormone {GO:0009725}; response to nutrient {GO:0007584}; response to xenobiotic stimulus {GO:0009410}</t>
  </si>
  <si>
    <t>cytosol {GO:0005829}; endoplasmic reticulum membrane {GO:0005789}; integral component of membrane {GO:0016021}; intracellular membrane-bounded organelle {GO:0043231}; membrane {GO:0016020}; mitochondrion {GO:0005739}</t>
  </si>
  <si>
    <t>cytochrome-b5 reductase activity, acting on NAD(P)H {GO:0004128}; electron transfer activity {GO:0009055}; enzyme binding {GO:0019899}; flavin adenine dinucleotide binding {GO:0050660}; FMN binding {GO:0010181}; hydrolase activity {GO:0016787}; iron-cytochrome-c reductase activity {GO:0047726}; NADP binding {GO:0050661}; NADPH-hemoprotein reductase activity {GO:0003958}; nitric oxide dioxygenase activity {GO:0008941}; oxidoreductase activity {GO:0016491}</t>
  </si>
  <si>
    <t>sp|Q00915|RET1_MOUSE</t>
  </si>
  <si>
    <t>Retinol-binding protein 1</t>
  </si>
  <si>
    <t>Cellular retinol-binding protein (CRBP); Cellular retinol-binding protein I (CRBP-I; mCRBPI)</t>
  </si>
  <si>
    <t>RET1_MOUSE</t>
  </si>
  <si>
    <t>Q00915</t>
  </si>
  <si>
    <t>Crbpi; Rbp-1</t>
  </si>
  <si>
    <t>MGI:97876</t>
  </si>
  <si>
    <t>Cytoplasm; Lipid droplet; Retinol-binding; Transport; Vitamin A</t>
  </si>
  <si>
    <t>Cytoplasm; Lipid droplet</t>
  </si>
  <si>
    <t>Retinol-binding; Vitamin A</t>
  </si>
  <si>
    <t>fatty acid transport {GO:0015908}; lipid homeostasis {GO:0055088}; regulation of granulocyte differentiation {GO:0030852}; response to benzoic acid {GO:0080021}; response to retinoic acid {GO:0032526}; response to vitamin A {GO:0033189}; retinoic acid biosynthetic process {GO:0002138}; retinoic acid metabolic process {GO:0042573}; retinol metabolic process {GO:0042572}; vitamin A metabolic process {GO:0006776}</t>
  </si>
  <si>
    <t>cell body {GO:0044297}; cytosol {GO:0005829}; lipid droplet {GO:0005811}; nucleoplasm {GO:0005654}; nucleus {GO:0005634}</t>
  </si>
  <si>
    <t>all-trans-retinol binding {GO:1904768}; fatty acid binding {GO:0005504}; retinal binding {GO:0016918}; retinoid binding {GO:0005501}; retinol binding {GO:0019841}</t>
  </si>
  <si>
    <t>The canonical retinoid cycle in rods (twilight vision) {R-MMU-2453902}; Retinoid metabolism and transport {R-MMU-975634}</t>
  </si>
  <si>
    <t>sp|Q9CR26|VTA1_MOUSE</t>
  </si>
  <si>
    <t>Vacuolar protein sorting-associated protein VTA1 homolog</t>
  </si>
  <si>
    <t>SKD1-binding protein 1 (SBP1)</t>
  </si>
  <si>
    <t>VTA1_MOUSE</t>
  </si>
  <si>
    <t>Q9CR26</t>
  </si>
  <si>
    <t>MGI:1913451</t>
  </si>
  <si>
    <t>Acetylation; Cytoplasm; Endosome; Membrane; Protein transport; Transport</t>
  </si>
  <si>
    <t>late endosome to vacuole transport via multivesicular body sorting pathway {GO:0032511}; multivesicular body sorting pathway {GO:0071985}; protein transport {GO:0015031}; viral budding {GO:0046755}</t>
  </si>
  <si>
    <t>cytoplasm {GO:0005737}; cytosol {GO:0005829}; endosome membrane {GO:0010008}; intracellular membrane-bounded organelle {GO:0043231}; multivesicular body {GO:0005771}; nucleoplasm {GO:0005654}</t>
  </si>
  <si>
    <t>Endosomal Sorting Complex Required For Transport (ESCRT) {R-MMU-917729}</t>
  </si>
  <si>
    <t>sp|P67871|CSK2B_MOUSE</t>
  </si>
  <si>
    <t>Casein kinase II subunit beta (CK II beta)</t>
  </si>
  <si>
    <t>Phosvitin</t>
  </si>
  <si>
    <t>CSK2B_MOUSE</t>
  </si>
  <si>
    <t>P67871</t>
  </si>
  <si>
    <t>P07312; P13862; Q3TTJ7</t>
  </si>
  <si>
    <t>Ck2n</t>
  </si>
  <si>
    <t>MGI:88548</t>
  </si>
  <si>
    <t>Acetylation; Isopeptide bond; Metal-binding; Phosphoprotein; Ubl conjugation; Wnt signaling pathway; Zinc</t>
  </si>
  <si>
    <t>adiponectin-activated signaling pathway {GO:0033211}; endothelial tube morphogenesis {GO:0061154}; negative regulation of blood vessel endothelial cell migration {GO:0043537}; peptidyl-threonine phosphorylation {GO:0018107}; positive regulation of activin receptor signaling pathway {GO:0032927}; positive regulation of pathway-restricted SMAD protein phosphorylation {GO:0010862}; postsynaptic modulation of chemical synaptic transmission {GO:0099170}; protein phosphorylation {GO:0006468}; regulation of protein serine/threonine phosphatase activity {GO:0080163}; Wnt signaling pathway {GO:0016055}</t>
  </si>
  <si>
    <t>cell projection {GO:0042995}; chromatin {GO:0000785}; cilium {GO:0005929}; cytoplasm {GO:0005737}; cytosol {GO:0005829}; glutamatergic synapse {GO:0098978}; nuclear matrix {GO:0016363}; nucleus {GO:0005634}; PcG protein complex {GO:0031519}; plasma membrane {GO:0005886}; postsynapse {GO:0098794}; protein kinase CK2 complex {GO:0005956}; Schaffer collateral - CA1 synapse {GO:0098685}</t>
  </si>
  <si>
    <t>chromatin binding {GO:0003682}; identical protein binding {GO:0042802}; metal ion binding {GO:0046872}; protein domain specific binding {GO:0019904}; protein kinase regulator activity {GO:0019887}; protein serine/threonine kinase activity {GO:0004674}; ribonucleoprotein complex binding {GO:0043021}; RNA polymerase II-specific DNA-binding transcription factor binding {GO:0061629}; signaling receptor binding {GO:0005102}</t>
  </si>
  <si>
    <t>Synthesis of PC {R-MMU-1483191}; WNT mediated activation of DVL {R-MMU-201688}; Condensation of Prometaphase Chromosomes {R-MMU-2514853}; Signal transduction by L1 {R-MMU-445144}; Neutrophil degranulation {R-MMU-6798695}; Regulation of TP53 Activity through Phosphorylation {R-MMU-6804756}; Cooperation of PDCL (PhLP1) and TRiC/CCT in G-protein beta folding {R-MMU-6814122}; Receptor Mediated Mitophagy {R-MMU-8934903}; RUNX1 interacts with co-factors whose precise effect on RUNX1 targets is not known {R-MMU-8939243}; Regulation of PTEN stability and activity {R-MMU-8948751}</t>
  </si>
  <si>
    <t>sp|Q64674|SPEE_MOUSE</t>
  </si>
  <si>
    <t>Spermidine synthase (SPDSY)</t>
  </si>
  <si>
    <t>Putrescine aminopropyltransferase</t>
  </si>
  <si>
    <t>SPEE_MOUSE</t>
  </si>
  <si>
    <t>Q64674</t>
  </si>
  <si>
    <t>MGI:102690</t>
  </si>
  <si>
    <t>Acetylation; Polyamine biosynthesis; Spermidine biosynthesis; Transferase</t>
  </si>
  <si>
    <t>Polyamine biosynthesis; Spermidine biosynthesis</t>
  </si>
  <si>
    <t>cellular response to leukemia inhibitory factor {GO:1990830}; polyamine biosynthetic process {GO:0006596}; spermidine biosynthetic process {GO:0008295}</t>
  </si>
  <si>
    <t>identical protein binding {GO:0042802}; protein homodimerization activity {GO:0042803}; spermidine synthase activity {GO:0004766}</t>
  </si>
  <si>
    <t>Amine and polyamine biosynthesis; spermidine biosynthesis; spermidine from putrescine: step 1/1.</t>
  </si>
  <si>
    <t>sp|Q6PDI5|ECM29_MOUSE</t>
  </si>
  <si>
    <t>Proteasome adapter and scaffold protein ECM29</t>
  </si>
  <si>
    <t>Proteasome-associated protein ECM29 homolog</t>
  </si>
  <si>
    <t>ECM29_MOUSE</t>
  </si>
  <si>
    <t>Q6PDI5</t>
  </si>
  <si>
    <t>A2ALW0; Q6ZQC9; Q8BSW7; Q8CAH0; Q8R3M6</t>
  </si>
  <si>
    <t>Ecm29; Kiaa0368</t>
  </si>
  <si>
    <t>MGI:2140220</t>
  </si>
  <si>
    <t>Alternative splicing; Cytoplasm; Cytoplasmic vesicle; Cytoskeleton; Endoplasmic reticulum; Endosome; Isopeptide bond; Nucleus; Phosphoprotein; Proteasome; Repeat; Ubl conjugation</t>
  </si>
  <si>
    <t>Cytoplasm; Cytoplasmic vesicle; Cytoskeleton; Endoplasmic reticulum; Endosome; Nucleus; Proteasome</t>
  </si>
  <si>
    <t>proteasome assembly {GO:0043248}; ubiquitin-dependent ERAD pathway {GO:0030433}</t>
  </si>
  <si>
    <t>centrosome {GO:0005813}; COPII-coated ER to Golgi transport vesicle {GO:0030134}; cytoplasm {GO:0005737}; cytoplasmic vesicle {GO:0031410}; early endosome {GO:0005769}; endocytic vesicle {GO:0030139}; endoplasmic reticulum {GO:0005783}; endoplasmic reticulum-Golgi intermediate compartment {GO:0005793}; late endosome {GO:0005770}; multivesicular body {GO:0005771}; nucleoplasm {GO:0005654}; nucleus {GO:0005634}; proteasome complex {GO:0000502}</t>
  </si>
  <si>
    <t>molecular adaptor activity {GO:0060090}; proteasome binding {GO:0070628}</t>
  </si>
  <si>
    <t>sp|Q80WJ7|LYRIC_MOUSE</t>
  </si>
  <si>
    <t>Protein LYRIC</t>
  </si>
  <si>
    <t>3D3/LYRIC; Lysine-rich CEACAM1 co-isolated protein; Metadherin; Metastasis adhesion protein</t>
  </si>
  <si>
    <t>LYRIC_MOUSE</t>
  </si>
  <si>
    <t>Q80WJ7</t>
  </si>
  <si>
    <t>B2RSG8; Q05CM0; Q3U9F8; Q3UAQ8; Q8BN67; Q8CBT9; Q8CDL0; Q8CGI7; Q9D052</t>
  </si>
  <si>
    <t>Lyric</t>
  </si>
  <si>
    <t>MGI:1914404</t>
  </si>
  <si>
    <t>Acetylation; Cell junction; Cytoplasm; Endoplasmic reticulum; Membrane; Nucleus; Phosphoprotein; Tight junction; Transmembrane; Transmembrane helix</t>
  </si>
  <si>
    <t>Cell junction; Cytoplasm; Endoplasmic reticulum; Membrane; Nucleus; Tight junction</t>
  </si>
  <si>
    <t>lipopolysaccharide-mediated signaling pathway {GO:0031663}; negative regulation of apoptotic process {GO:0043066}; negative regulation of transcription by RNA polymerase II {GO:0000122}; positive regulation of angiogenesis {GO:0045766}; positive regulation of autophagy {GO:0010508}; positive regulation of I-kappaB kinase/NF-kappaB signaling {GO:0043123}; positive regulation of NF-kappaB transcription factor activity {GO:0051092}; positive regulation of protein kinase B signaling {GO:0051897}; regulation of transcription by RNA polymerase II {GO:0006357}</t>
  </si>
  <si>
    <t>apical plasma membrane {GO:0016324}; bicellular tight junction {GO:0005923}; cytoplasm {GO:0005737}; endoplasmic reticulum {GO:0005783}; endoplasmic reticulum membrane {GO:0005789}; fibrillar center {GO:0001650}; integral component of membrane {GO:0016021}; intercellular canaliculus {GO:0046581}; nuclear body {GO:0016604}; nuclear membrane {GO:0031965}; nucleolus {GO:0005730}; nucleus {GO:0005634}; perinuclear region of cytoplasm {GO:0048471}</t>
  </si>
  <si>
    <t>double-stranded RNA binding {GO:0003725}; NF-kappaB binding {GO:0051059}; RNA polymerase II-specific DNA-binding transcription factor binding {GO:0061629}; transcription coactivator activity {GO:0003713}; transcription coregulator activity {GO:0003712}</t>
  </si>
  <si>
    <t>sp|Q9CX00|IST1_MOUSE</t>
  </si>
  <si>
    <t>IST1 homolog</t>
  </si>
  <si>
    <t>Charged multivesicular body protein 8 (CHMP8)</t>
  </si>
  <si>
    <t>IST1_MOUSE</t>
  </si>
  <si>
    <t>Q9CX00</t>
  </si>
  <si>
    <t>Q80U68</t>
  </si>
  <si>
    <t>Kiaa0174</t>
  </si>
  <si>
    <t>MGI:1919205</t>
  </si>
  <si>
    <t>Cell cycle; Cell division; Cytoplasm; Cytoplasmic vesicle; Cytoskeleton; Nucleus; Phosphoprotein</t>
  </si>
  <si>
    <t>Cytoplasm; Cytoplasmic vesicle; Cytoskeleton; Nucleus</t>
  </si>
  <si>
    <t>abscission {GO:0009838}; cell division {GO:0051301}; collateral sprouting {GO:0048668}; cytoskeleton-dependent cytokinesis {GO:0061640}; establishment of protein localization {GO:0045184}; positive regulation of collateral sprouting {GO:0048672}; positive regulation of proteolysis {GO:0045862}; protein localization {GO:0008104}; protein transport {GO:0015031}; viral capsid secondary envelopment {GO:0046745}; viral release from host cell {GO:0019076}</t>
  </si>
  <si>
    <t>centrosome {GO:0005813}; chromatin {GO:0000785}; cytoplasmic vesicle {GO:0031410}; cytosol {GO:0005829}; endoplasmic reticulum-Golgi intermediate compartment {GO:0005793}; extracellular exosome {GO:0070062}; Flemming body {GO:0090543}; intracellular membrane-bounded organelle {GO:0043231}; midbody {GO:0030496}; nuclear envelope {GO:0005635}</t>
  </si>
  <si>
    <t>identical protein binding {GO:0042802}; MIT domain binding {GO:0090541}; protein domain specific binding {GO:0019904}; protein-containing complex binding {GO:0044877}</t>
  </si>
  <si>
    <t>Neutrophil degranulation {R-MMU-6798695}; Sealing of the nuclear envelope (NE) by ESCRT-III {R-MMU-9668328}</t>
  </si>
  <si>
    <t>sp|Q91V41|RAB14_MOUSE</t>
  </si>
  <si>
    <t>Ras-related protein Rab-14</t>
  </si>
  <si>
    <t>RAB14_MOUSE</t>
  </si>
  <si>
    <t>Q91V41</t>
  </si>
  <si>
    <t>MGI:1915615</t>
  </si>
  <si>
    <t>Acetylation; Cytoplasmic vesicle; Endosome; Golgi apparatus; GTP-binding; Lipoprotein; Membrane; Methylation; Nucleotide-binding; Prenylation; Protein transport; Transport</t>
  </si>
  <si>
    <t>Cytoplasmic vesicle; Endosome; Golgi apparatus; Membrane</t>
  </si>
  <si>
    <t>Acetylation; Lipoprotein; Methylation; Prenylation</t>
  </si>
  <si>
    <t>apical protein localization {GO:0045176}; body fluid secretion {GO:0007589}; defense response to bacterium {GO:0042742}; endocytic recycling {GO:0032456}; fibroblast growth factor receptor signaling pathway {GO:0008543}; Golgi to endosome transport {GO:0006895}; intracellular protein transport {GO:0006886}; phagolysosome assembly involved in apoptotic cell clearance {GO:0090387}; regulation of embryonic development {GO:0045995}; regulation of protein localization {GO:0032880}</t>
  </si>
  <si>
    <t>alveolar lamellar body {GO:0097208}; anchored component of synaptic vesicle membrane {GO:0098993}; apical plasma membrane {GO:0016324}; cytoplasmic vesicle membrane {GO:0030659}; cytosol {GO:0005829}; early endosome {GO:0005769}; early endosome membrane {GO:0031901}; Golgi membrane {GO:0000139}; Golgi stack {GO:0005795}; intracellular membrane-bounded organelle {GO:0043231}; late endosome {GO:0005770}; lysosome {GO:0005764}; nuclear outer membrane-endoplasmic reticulum membrane network {GO:0042175}; perinuclear region of cytoplasm {GO:0048471}; phagocytic vesicle {GO:0045335}; plasma membrane {GO:0005886}; recycling endosome {GO:0055037}; rough endoplasmic reticulum {GO:0005791}; trans-Golgi network {GO:0005802}; trans-Golgi network transport vesicle {GO:0030140}; transport vesicle {GO:0030133}</t>
  </si>
  <si>
    <t>GDP binding {GO:0019003}; GTP binding {GO:0005525}; GTPase activity {GO:0003924}; myosin V binding {GO:0031489}</t>
  </si>
  <si>
    <t>Synthesis of PIPs at the plasma membrane {R-MMU-1660499}; Neutrophil degranulation {R-MMU-6798695}; RAB geranylgeranylation {R-MMU-8873719}; RAB GEFs exchange GTP for GDP on RABs {R-MMU-8876198}</t>
  </si>
  <si>
    <t>sp|Q7TNV0|DEK_MOUSE</t>
  </si>
  <si>
    <t>Protein DEK</t>
  </si>
  <si>
    <t>DEK_MOUSE</t>
  </si>
  <si>
    <t>Q7TNV0</t>
  </si>
  <si>
    <t>Q80VC5; Q8BZV6</t>
  </si>
  <si>
    <t>MGI:1926209</t>
  </si>
  <si>
    <t>ADP-ribosylation; Chromatin regulator; DNA-binding; Nucleus; Phosphoprotein</t>
  </si>
  <si>
    <t>chromatin remodeling {GO:0006338}; positive regulation of histone acetylation {GO:0035066}; positive regulation of transcription by RNA polymerase I {GO:0045943}; positive regulation of transcription by RNA polymerase II {GO:0045944}; positive regulation of transcription by RNA polymerase III {GO:0045945}; regulation of double-strand break repair {GO:2000779}; regulation of double-strand break repair via nonhomologous end joining {GO:2001032}</t>
  </si>
  <si>
    <t>B-WICH complex {GO:0110016}; contractile fiber {GO:0043292}; nucleolus {GO:0005730}; nucleoplasm {GO:0005654}; nucleus {GO:0005634}</t>
  </si>
  <si>
    <t>DNA binding {GO:0003677}; histone binding {GO:0042393}</t>
  </si>
  <si>
    <t>B-WICH complex positively regulates rRNA expression {R-MMU-5250924}; Transcriptional regulation by the AP-2 (TFAP2) family of transcription factors {R-MMU-8864260}</t>
  </si>
  <si>
    <t>sp|Q9CYR6|AGM1_MOUSE</t>
  </si>
  <si>
    <t>Phosphoacetylglucosamine mutase (PAGM)</t>
  </si>
  <si>
    <t>Acetylglucosamine phosphomutase; N-acetylglucosamine-phosphate mutase; Phosphoglucomutase-3 (PGM 3)</t>
  </si>
  <si>
    <t>AGM1_MOUSE</t>
  </si>
  <si>
    <t>Q9CYR6</t>
  </si>
  <si>
    <t>B2RS40; Q543F9</t>
  </si>
  <si>
    <t>Agm1; Pgm-3</t>
  </si>
  <si>
    <t>MGI:97566</t>
  </si>
  <si>
    <t>3D-structure; Acetylation; Carbohydrate metabolism; Isomerase; Magnesium; Metal-binding; Phosphoprotein</t>
  </si>
  <si>
    <t>carbohydrate metabolic process {GO:0005975}; hemopoiesis {GO:0030097}; protein N-linked glycosylation {GO:0006487}; protein O-linked glycosylation {GO:0006493}; spermatogenesis {GO:0007283}; UDP-N-acetylglucosamine biosynthetic process {GO:0006048}</t>
  </si>
  <si>
    <t>magnesium ion binding {GO:0000287}; phosphoacetylglucosamine mutase activity {GO:0004610}</t>
  </si>
  <si>
    <t>Nucleotide-sugar biosynthesis; UDP-N-acetyl-alpha-D- glucosamine biosynthesis; N-acetyl-alpha-D-glucosamine 1-phosphate from alpha-D-glucosamine 6-phosphate (route I): step 2/2.</t>
  </si>
  <si>
    <t>sp|Q9WUU7|CATZ_MOUSE</t>
  </si>
  <si>
    <t>Cathepsin Z</t>
  </si>
  <si>
    <t>CATZ_MOUSE</t>
  </si>
  <si>
    <t>Q9WUU7</t>
  </si>
  <si>
    <t>MGI:1891190</t>
  </si>
  <si>
    <t>Disulfide bond; Glycoprotein; Hydrolase; Lysosome; Protease; Signal; Thiol protease; Zymogen</t>
  </si>
  <si>
    <t>epithelial tube branching involved in lung morphogenesis {GO:0060441}; negative regulation of neuron projection development {GO:0010977}; negative regulation of plasminogen activation {GO:0010757}; negative regulation of protein binding {GO:0032091}; positive regulation of neural precursor cell proliferation {GO:2000179}; positive regulation of neuron apoptotic process {GO:0043525}; proteolysis {GO:0006508}; proteolysis involved in protein catabolic process {GO:0051603}; regulation of neuron death {GO:1901214}</t>
  </si>
  <si>
    <t>cell cortex {GO:0005938}; cell surface {GO:0009986}; collagen-containing extracellular matrix {GO:0062023}; cytoplasmic vesicle {GO:0031410}; endoplasmic reticulum {GO:0005783}; extracellular space {GO:0005615}; growth cone {GO:0030426}; intracellular membrane-bounded organelle {GO:0043231}; lysosome {GO:0005764}</t>
  </si>
  <si>
    <t>carboxypeptidase activity {GO:0004180}; cysteine-type endopeptidase activity {GO:0004197}</t>
  </si>
  <si>
    <t>Metabolism of Angiotensinogen to Angiotensins {R-MMU-2022377}; COPII-mediated vesicle transport {R-MMU-204005}; Lysosome Vesicle Biogenesis {R-MMU-432720}; Cargo concentration in the ER {R-MMU-5694530}; Neutrophil degranulation {R-MMU-6798695}</t>
  </si>
  <si>
    <t>sp|P61290|PSME3_MOUSE</t>
  </si>
  <si>
    <t>Proteasome activator complex subunit 3</t>
  </si>
  <si>
    <t>11S regulator complex subunit gamma (REG-gamma); Activator of multicatalytic protease subunit 3; Ki nuclear autoantigen; Proteasome activator 28 subunit gamma (PA28g; PA28gamma)</t>
  </si>
  <si>
    <t>PSME3_MOUSE</t>
  </si>
  <si>
    <t>P61290</t>
  </si>
  <si>
    <t>O35563; P97373; Q12920; Q13172; Q9BQD9</t>
  </si>
  <si>
    <t>MGI:1096366</t>
  </si>
  <si>
    <t>Acetylation; Apoptosis; Cell cycle; Cytoplasm; Nucleus; Phosphoprotein; Proteasome</t>
  </si>
  <si>
    <t>apoptotic process {GO:0006915}; cell cycle {GO:0007049}; negative regulation of extrinsic apoptotic signaling pathway {GO:2001237}; positive regulation of endopeptidase activity {GO:0010950}; regulation of G1/S transition of mitotic cell cycle {GO:2000045}; regulation of proteasomal protein catabolic process {GO:0061136}</t>
  </si>
  <si>
    <t>cytoplasm {GO:0005737}; cytosol {GO:0005829}; nucleoplasm {GO:0005654}; proteasome activator complex {GO:0008537}</t>
  </si>
  <si>
    <t>endopeptidase activator activity {GO:0061133}; identical protein binding {GO:0042802}; MDM2/MDM4 family protein binding {GO:0097371}; p53 binding {GO:0002039}</t>
  </si>
  <si>
    <t>sp|O08848|RO60_MOUSE</t>
  </si>
  <si>
    <t>RNA-binding protein Ro60</t>
  </si>
  <si>
    <t>60 kDa SS-A/Ro ribonucleoprotein (60 kDa Ro protein; 60 kDa ribonucleoprotein Ro; RoRNP); TROVE domain family member 2</t>
  </si>
  <si>
    <t>RO60_MOUSE</t>
  </si>
  <si>
    <t>O08848</t>
  </si>
  <si>
    <t>Q9QYD8</t>
  </si>
  <si>
    <t>MGI:106652</t>
  </si>
  <si>
    <t>Acetylation; Cilium biogenesis/degradation; Cytoplasm; Metal-binding; Phosphoprotein; Repeat; Ribonucleoprotein; RNA-binding</t>
  </si>
  <si>
    <t>cellular response to interferon-alpha {GO:0035457}; cilium assembly {GO:0060271}; immune system development {GO:0002520}; regulation of gene expression {GO:0010468}; response to UV {GO:0009411}; smoothened signaling pathway {GO:0007224}</t>
  </si>
  <si>
    <t>cytoplasm {GO:0005737}; cytosol {GO:0005829}; nuclear body {GO:0016604}; nucleoplasm {GO:0005654}; nucleus {GO:0005634}; ribonucleoprotein complex {GO:1990904}</t>
  </si>
  <si>
    <t>metal ion binding {GO:0046872}; misfolded RNA binding {GO:0034336}; RNA binding {GO:0003723}; U2 snRNA binding {GO:0030620}</t>
  </si>
  <si>
    <t>sp|O35658|C1QBP_MOUSE</t>
  </si>
  <si>
    <t>Complement component 1 Q subcomponent-binding protein, mitochondrial</t>
  </si>
  <si>
    <t>GC1q-R protein; Glycoprotein gC1qBP (C1qBP)</t>
  </si>
  <si>
    <t>C1QBP_MOUSE</t>
  </si>
  <si>
    <t>O35658</t>
  </si>
  <si>
    <t>Gc1qbp</t>
  </si>
  <si>
    <t>MGI:1194505</t>
  </si>
  <si>
    <t>Acetylation; Adaptive immunity; Apoptosis; Cell membrane; Complement pathway; Cytoplasm; Immunity; Innate immunity; Membrane; Mitochondrion; mRNA processing; mRNA splicing; Nucleus; Phosphoprotein; Ribosome biogenesis; Secreted; Transcription; Transcription regulation; Transit peptide</t>
  </si>
  <si>
    <t>Adaptive immunity; Apoptosis; Complement pathway; Immunity; Innate immunity; Ribosome biogenesis; Transcription; Transcription regulation; mRNA processing; mRNA splicing</t>
  </si>
  <si>
    <t>Cell membrane; Cytoplasm; Membrane; Mitochondrion; Nucleus; Secreted</t>
  </si>
  <si>
    <t>apoptotic process {GO:0006915}; complement activation, classical pathway {GO:0006958}; innate immune response {GO:0045087}; mature ribosome assembly {GO:0042256}; mRNA processing {GO:0006397}; negative regulation of defense response to virus {GO:0050687}; negative regulation of interferon-gamma production {GO:0032689}; negative regulation of interleukin-12 production {GO:0032695}; negative regulation of MDA-5 signaling pathway {GO:0039534}; negative regulation of mRNA splicing, via spliceosome {GO:0048025}; negative regulation of RIG-I signaling pathway {GO:0039536}; negative regulation of transcription by RNA polymerase II {GO:0000122}; phosphatidylinositol 3-kinase signaling {GO:0014065}; positive regulation of apoptotic process {GO:0043065}; positive regulation of cell adhesion {GO:0045785}; positive regulation of dendritic cell chemotaxis {GO:2000510}; positive regulation of mitochondrial translation {GO:0070131}; positive regulation of neutrophil chemotaxis {GO:0090023}; positive regulation of protein kinase B signaling {GO:0051897}; positive regulation of substrate adhesion-dependent cell spreading {GO:1900026}; positive regulation of trophoblast cell migration {GO:1901165}; regulation of complement activation {GO:0030449}; RNA splicing {GO:0008380}</t>
  </si>
  <si>
    <t>cell surface {GO:0009986}; cytoplasm {GO:0005737}; cytosol {GO:0005829}; extracellular space {GO:0005615}; GABA-ergic synapse {GO:0098982}; glutamatergic synapse {GO:0098978}; membrane {GO:0016020}; mitochondrial matrix {GO:0005759}; mitochondrion {GO:0005739}; nucleolus {GO:0005730}; nucleus {GO:0005634}; plasma membrane {GO:0005886}; presynapse {GO:0098793}; presynaptic active zone {GO:0048786}</t>
  </si>
  <si>
    <t>adrenergic receptor binding {GO:0031690}; complement component C1q complex binding {GO:0001849}; hyaluronic acid binding {GO:0005540}; kininogen binding {GO:0030984}; mitochondrial ribosome binding {GO:0097177}; mRNA binding {GO:0003729}; protein kinase C binding {GO:0005080}; transcription corepressor activity {GO:0003714}</t>
  </si>
  <si>
    <t>Intrinsic Pathway of Fibrin Clot Formation {R-MMU-140837}; RHOA GTPase cycle {R-MMU-8980692}; RHOC GTPase cycle {R-MMU-9013106}</t>
  </si>
  <si>
    <t>sp|Q9CQM5|TXD17_MOUSE</t>
  </si>
  <si>
    <t>Thioredoxin domain-containing protein 17</t>
  </si>
  <si>
    <t>14 kDa thioredoxin-related protein (TRP14); Protein 42-9-9; Thioredoxin-like protein 5</t>
  </si>
  <si>
    <t>TXD17_MOUSE</t>
  </si>
  <si>
    <t>Q9CQM5</t>
  </si>
  <si>
    <t>Q3TE14; Q921A9; Q9D0Y4</t>
  </si>
  <si>
    <t>Txnl5</t>
  </si>
  <si>
    <t>MGI:1289248</t>
  </si>
  <si>
    <t>3D-structure; Acetylation; Cytoplasm; Disulfide bond; Redox-active center</t>
  </si>
  <si>
    <t>tumor necrosis factor-mediated signaling pathway {GO:0033209}</t>
  </si>
  <si>
    <t>peroxidase activity {GO:0004601}; protein-disulfide reductase (NAD(P)) activity {GO:0047134}</t>
  </si>
  <si>
    <t>sp|P52503|NDUS6_MOUSE</t>
  </si>
  <si>
    <t>NADH dehydrogenase [ubiquinone] iron-sulfur protein 6, mitochondrial</t>
  </si>
  <si>
    <t>Complex I-13kD-A (CI-13kD-A); NADH-ubiquinone oxidoreductase 13 kDa-A subunit</t>
  </si>
  <si>
    <t>NDUS6_MOUSE</t>
  </si>
  <si>
    <t>P52503</t>
  </si>
  <si>
    <t>Q5M9J7</t>
  </si>
  <si>
    <t>Ip13</t>
  </si>
  <si>
    <t>MGI:107932</t>
  </si>
  <si>
    <t>3D-structure; Acetylation; Electron transport; Membrane; Mitochondrion; Mitochondrion inner membrane; Respiratory chain; Transit peptide; Transport</t>
  </si>
  <si>
    <t>aerobic respiration {GO:0009060}; circulatory system development {GO:0072359}; fatty acid metabolic process {GO:0006631}; kidney development {GO:0001822}; mitochondrial electron transport, NADH to ubiquinone {GO:0006120}; mitochondrial respiratory chain complex I assembly {GO:0032981}; mitochondrion morphogenesis {GO:0070584}; multicellular organism aging {GO:0010259}; multicellular organism growth {GO:0035264}; muscle contraction {GO:0006936}; proton motive force-driven mitochondrial ATP synthesis {GO:0042776}; reproductive system development {GO:0061458}; respiratory electron transport chain {GO:0022904}</t>
  </si>
  <si>
    <t>mitochondrial inner membrane {GO:0005743}; mitochondrial respiratory chain complex I {GO:0005747}; mitochondrion {GO:0005739}</t>
  </si>
  <si>
    <t>sp|Q9QYH6|MAGD1_MOUSE</t>
  </si>
  <si>
    <t>Melanoma-associated antigen D1</t>
  </si>
  <si>
    <t>Dlxin-1; MAGE-D1 antigen; Neurotrophin receptor-interacting MAGE homolog</t>
  </si>
  <si>
    <t>MAGD1_MOUSE</t>
  </si>
  <si>
    <t>Q9QYH6</t>
  </si>
  <si>
    <t>Q543L6; Q99PB5; Q9CYX1</t>
  </si>
  <si>
    <t>Nrage</t>
  </si>
  <si>
    <t>MGI:1930187</t>
  </si>
  <si>
    <t>Biological rhythms; Cell membrane; Cytoplasm; Membrane; Nucleus; Repeat; Tumor antigen; Ubl conjugation pathway</t>
  </si>
  <si>
    <t>Biological rhythms; Ubl conjugation pathway</t>
  </si>
  <si>
    <t>circadian regulation of gene expression {GO:0032922}; negative regulation of DNA-templated transcription {GO:0045892}; negative regulation of epithelial cell proliferation {GO:0050680}; negative regulation of protein localization to nucleus {GO:1900181}; negative regulation of transcription by RNA polymerase II {GO:0000122}; positive regulation of apoptotic signaling pathway {GO:2001235}; positive regulation of branching involved in ureteric bud morphogenesis {GO:0090190}; positive regulation of DNA-templated transcription {GO:0045893}; positive regulation of MAP kinase activity {GO:0043406}; protein localization to nucleus {GO:0034504}; regulation of circadian rhythm {GO:0042752}; regulation of transcription by RNA polymerase II {GO:0006357}</t>
  </si>
  <si>
    <t>chromatin {GO:0000785}; cytosol {GO:0005829}; nucleus {GO:0005634}; plasma membrane {GO:0005886}; protein-containing complex {GO:0032991}</t>
  </si>
  <si>
    <t>identical protein binding {GO:0042802}; transcription coactivator activity {GO:0003713}</t>
  </si>
  <si>
    <t>sp|Q8R3V5|SHLB2_MOUSE</t>
  </si>
  <si>
    <t>Endophilin-B2</t>
  </si>
  <si>
    <t>SH3 domain-containing GRB2-like protein B2</t>
  </si>
  <si>
    <t>SHLB2_MOUSE</t>
  </si>
  <si>
    <t>Q8R3V5</t>
  </si>
  <si>
    <t>Q3TIQ1; Q3U2J4; Q3U824; Q8K140; Q91ZI7</t>
  </si>
  <si>
    <t>Kiaa1848</t>
  </si>
  <si>
    <t>MGI:2385131</t>
  </si>
  <si>
    <t>Acetylation; Alternative splicing; Coiled coil; Cytoplasm; Phosphoprotein; SH3 domain</t>
  </si>
  <si>
    <t>membrane organization {GO:0061024}</t>
  </si>
  <si>
    <t>cytoplasm {GO:0005737}; cytosol {GO:0005829}; membrane {GO:0016020}; nucleoplasm {GO:0005654}</t>
  </si>
  <si>
    <t>Caspase-mediated cleavage of cytoskeletal proteins {R-MMU-264870}; Neurexins and neuroligins {R-MMU-6794361}; Neutrophil degranulation {R-MMU-6798695}</t>
  </si>
  <si>
    <t>sp|P56563|LMIP_MOUSE</t>
  </si>
  <si>
    <t>Lens fiber membrane intrinsic protein</t>
  </si>
  <si>
    <t>MP17; MP18; MP19; MP20</t>
  </si>
  <si>
    <t>LMIP_MOUSE</t>
  </si>
  <si>
    <t>P56563</t>
  </si>
  <si>
    <t>Q0VEF3; Q3TNV8; Q99PA6</t>
  </si>
  <si>
    <t>MGI:104698</t>
  </si>
  <si>
    <t>Disease variant; Disulfide bond; Eye lens protein; Glycoprotein; Membrane; Phosphoprotein; Transmembrane; Transmembrane helix</t>
  </si>
  <si>
    <t>camera-type eye development {GO:0043010}; lens development in camera-type eye {GO:0002088}</t>
  </si>
  <si>
    <t>bicellular tight junction {GO:0005923}; integral component of membrane {GO:0016021}; plasma membrane {GO:0005886}; vesicle {GO:0031982}</t>
  </si>
  <si>
    <t>sp|Q8BI84|TGO1_MOUSE</t>
  </si>
  <si>
    <t>Transport and Golgi organization protein 1 homolog (TANGO1)</t>
  </si>
  <si>
    <t>Melanoma inhibitory activity protein 3</t>
  </si>
  <si>
    <t>TGO1_MOUSE</t>
  </si>
  <si>
    <t>Q8BI84</t>
  </si>
  <si>
    <t>A0JLX8; Q3UFI9; Q571D7; Q8BJE9; Q8BL31; Q8C5B9</t>
  </si>
  <si>
    <t>MGI:2443183</t>
  </si>
  <si>
    <t>Alternative splicing; Coiled coil; Endoplasmic reticulum; ER-Golgi transport; Exocytosis; Glycoprotein; Membrane; Methylation; Phosphoprotein; Protein transport; SH3 domain; Signal; Transmembrane; Transmembrane helix; Transport</t>
  </si>
  <si>
    <t>ER-Golgi transport; Exocytosis; Protein transport; Transport</t>
  </si>
  <si>
    <t>Coiled coil; SH3 domain; Signal; Transmembrane; Transmembrane helix</t>
  </si>
  <si>
    <t>Glycoprotein; Methylation; Phosphoprotein</t>
  </si>
  <si>
    <t>cell migration involved in sprouting angiogenesis {GO:0002042}; cellular response to oxidised low-density lipoprotein particle stimulus {GO:0140052}; chondrocyte development {GO:0002063}; collagen fibril organization {GO:0030199}; COPII-coated vesicle cargo loading {GO:0090110}; endoplasmic reticulum organization {GO:0007029}; endoplasmic reticulum to Golgi vesicle-mediated transport {GO:0006888}; exocytosis {GO:0006887}; lipoprotein transport {GO:0042953}; negative regulation of cell adhesion {GO:0007162}; negative regulation of cell migration {GO:0030336}; negative regulation of leukocyte cell-cell adhesion {GO:1903038}; negative regulation of lymphocyte migration {GO:2000402}; positive regulation of bone mineralization {GO:0030501}; positive regulation of leukocyte migration {GO:0002687}; protein localization to endoplasmic reticulum exit site {GO:0070973}; protein secretion {GO:0009306}; protein transport {GO:0015031}; vesicle cargo loading {GO:0035459}; wound healing {GO:0042060}</t>
  </si>
  <si>
    <t>endoplasmic reticulum exit site {GO:0070971}; endoplasmic reticulum membrane {GO:0005789}; integral component of membrane {GO:0016021}; intracellular membrane-bounded organelle {GO:0043231}</t>
  </si>
  <si>
    <t>cargo receptor activity {GO:0038024}</t>
  </si>
  <si>
    <t>Regulation of Insulin-like Growth Factor (IGF) transport and uptake by Insulin-like Growth Factor Binding Proteins (IGFBPs) {R-MMU-381426}; Cargo concentration in the ER {R-MMU-5694530}; Post-translational protein phosphorylation {R-MMU-8957275}</t>
  </si>
  <si>
    <t>sp|Q921Z5|TFIP8_MOUSE</t>
  </si>
  <si>
    <t>Tumor necrosis factor alpha-induced protein 8 (TNF alpha-induced protein 8)</t>
  </si>
  <si>
    <t>TFIP8_MOUSE</t>
  </si>
  <si>
    <t>Q921Z5</t>
  </si>
  <si>
    <t>Q3TQS5; Q3U9V7; Q3UBG8; Q8BTH4</t>
  </si>
  <si>
    <t>MGI:2147191</t>
  </si>
  <si>
    <t>3D-structure; Alternative splicing; Apoptosis; Coiled coil; Cytoplasm</t>
  </si>
  <si>
    <t>defense response to Gram-positive bacterium {GO:0050830}; positive regulation of apoptotic process {GO:0043065}</t>
  </si>
  <si>
    <t>cytoplasm {GO:0005737}; nucleoplasm {GO:0005654}</t>
  </si>
  <si>
    <t>cysteine-type endopeptidase inhibitor activity involved in apoptotic process {GO:0043027}; molecular sequestering activity {GO:0140313}; small molecule binding {GO:0036094}</t>
  </si>
  <si>
    <t>PI Metabolism {R-MMU-1483255}</t>
  </si>
  <si>
    <t>sp|P34914|HYES_MOUSE</t>
  </si>
  <si>
    <t>Lipid-phosphate phosphatase</t>
  </si>
  <si>
    <t>Epoxide hydratase; Soluble epoxide hydrolase (SEH)</t>
  </si>
  <si>
    <t>HYES_MOUSE</t>
  </si>
  <si>
    <t>P34914</t>
  </si>
  <si>
    <t>Q8CGV0</t>
  </si>
  <si>
    <t>Eph2</t>
  </si>
  <si>
    <t>MGI:99500</t>
  </si>
  <si>
    <t>3D-structure; Acetylation; Alternative splicing; Aromatic hydrocarbons catabolism; Cytoplasm; Detoxification; Hydrolase; Lipid metabolism; Lipoprotein; Magnesium; Metal-binding; Multifunctional enzyme; Peroxisome; Phosphoprotein</t>
  </si>
  <si>
    <t>Aromatic hydrocarbons catabolism; Detoxification; Lipid metabolism</t>
  </si>
  <si>
    <t>Cytoplasm; Peroxisome</t>
  </si>
  <si>
    <t>Hydrolase; Multifunctional enzyme</t>
  </si>
  <si>
    <t>Acetylation; Lipoprotein; Phosphoprotein</t>
  </si>
  <si>
    <t>cholesterol homeostasis {GO:0042632}; dephosphorylation {GO:0016311}; epoxide metabolic process {GO:0097176}; inflammatory response {GO:0006954}; linoleic acid metabolic process {GO:0043651}; phospholipid dephosphorylation {GO:0046839}; positive regulation of blood pressure {GO:0045777}; positive regulation of gene expression {GO:0010628}; prostaglandin production involved in inflammatory response {GO:0002539}; regulation of cholesterol metabolic process {GO:0090181}; response to toxic substance {GO:0009636}; sensory perception of pain {GO:0019233}; stilbene catabolic process {GO:0046272}</t>
  </si>
  <si>
    <t>cytosol {GO:0005829}; peroxisome {GO:0005777}</t>
  </si>
  <si>
    <t>10-hydroxy-9-(phosphonooxy)octadecanoate phosphatase activity {GO:0033885}; epoxide hydrolase activity {GO:0004301}; hydrolase activity {GO:0016787}; lipid phosphatase activity {GO:0042577}; lysophosphatidic acid phosphatase activity {GO:0052642}; magnesium ion binding {GO:0000287}; phosphatase activity {GO:0016791}; protein homodimerization activity {GO:0042803}; toxic substance binding {GO:0015643}</t>
  </si>
  <si>
    <t>Synthesis of epoxy (EET) and dihydroxyeicosatrienoic acids (DHET) {R-MMU-2142670}; Biosynthesis of maresins {R-MMU-9018682}; Peroxisomal protein import {R-MMU-9033241}</t>
  </si>
  <si>
    <t>sp|Q9CZX0|ELP3_MOUSE</t>
  </si>
  <si>
    <t>Elongator complex protein 3</t>
  </si>
  <si>
    <t>tRNA uridine(34) acetyltransferase</t>
  </si>
  <si>
    <t>ELP3_MOUSE</t>
  </si>
  <si>
    <t>Q9CZX0</t>
  </si>
  <si>
    <t>Q8C2K2; Q8R369</t>
  </si>
  <si>
    <t>MGI:1921445</t>
  </si>
  <si>
    <t>4Fe-4S; Acyltransferase; Alternative splicing; Cytoplasm; Iron; Iron-sulfur; Metal-binding; Methylation; Neurogenesis; Nucleus; Phosphoprotein; RNA-binding; S-adenosyl-L-methionine; Transferase; tRNA processing; tRNA-binding</t>
  </si>
  <si>
    <t>Neurogenesis; tRNA processing</t>
  </si>
  <si>
    <t>4Fe-4S; Iron; Iron-sulfur; Metal-binding; S-adenosyl-L-methionine</t>
  </si>
  <si>
    <t>Acyltransferase; RNA-binding; Transferase; tRNA-binding</t>
  </si>
  <si>
    <t>central nervous system development {GO:0007417}; neuron migration {GO:0001764}; positive regulation of cell migration {GO:0030335}; regulation of transcription by RNA polymerase II {GO:0006357}; tRNA wobble base 5-methoxycarbonylmethyl-2-thiouridinylation {GO:0002926}; tRNA wobble uridine modification {GO:0002098}</t>
  </si>
  <si>
    <t>cytoplasm {GO:0005737}; cytosol {GO:0005829}; elongator holoenzyme complex {GO:0033588}; nucleolus {GO:0005730}; nucleus {GO:0005634}</t>
  </si>
  <si>
    <t>4 iron, 4 sulfur cluster binding {GO:0051539}; acetyltransferase activity {GO:0016407}; metal ion binding {GO:0046872}; phosphorylase kinase regulator activity {GO:0008607}; tRNA binding {GO:0000049}; tRNA uridine(34) acetyltransferase activity {GO:0106261}</t>
  </si>
  <si>
    <t>sp|P51807|DYLT1_MOUSE</t>
  </si>
  <si>
    <t>Dynein light chain Tctex-type 1</t>
  </si>
  <si>
    <t>Activator of G-protein signaling 2 (AGS2); T-complex testis-specific protein 1; TCTEX-1</t>
  </si>
  <si>
    <t>DYLT1_MOUSE</t>
  </si>
  <si>
    <t>P51807</t>
  </si>
  <si>
    <t>Q5M8S6</t>
  </si>
  <si>
    <t>Tctel1; Tctex-1; Tctex1</t>
  </si>
  <si>
    <t>MGI:98643</t>
  </si>
  <si>
    <t>3D-structure; Acetylation; Cell cycle; Cell division; Cytoplasm; Cytoskeleton; Dynein; Golgi apparatus; Microtubule; Mitosis; Motor protein; Neurogenesis; Phosphoprotein; Transport</t>
  </si>
  <si>
    <t>Cell cycle; Cell division; Mitosis; Neurogenesis; Transport</t>
  </si>
  <si>
    <t>Cytoplasm; Cytoskeleton; Dynein; Golgi apparatus; Microtubule</t>
  </si>
  <si>
    <t>axon development {GO:0061564}; cell division {GO:0051301}; dendrite development {GO:0016358}; establishment of mitotic spindle orientation {GO:0000132}; intracellular transport of viral protein in host cell {GO:0019060}; microtubule-based movement {GO:0007018}; negative regulation of cell death {GO:0060548}; negative regulation of ERK1 and ERK2 cascade {GO:0070373}; negative regulation of mitochondrial membrane permeability {GO:0035795}; negative regulation of neurogenesis {GO:0050768}; neuron projection morphogenesis {GO:0048812}; positive regulation of neuron projection development {GO:0010976}; positive regulation of Rac protein signal transduction {GO:0035022}; regulation of cytoskeleton organization {GO:0051493}; regulation of G protein-coupled receptor signaling pathway {GO:0008277}; regulation of GTPase activity {GO:0043087}</t>
  </si>
  <si>
    <t>axonal growth cone {GO:0044295}; cytoplasm {GO:0005737}; cytoplasmic dynein complex {GO:0005868}; cytoplasmic microtubule {GO:0005881}; dynein complex {GO:0030286}; Golgi apparatus {GO:0005794}; growth cone {GO:0030426}; host cell {GO:0043657}; lamellipodium {GO:0030027}; mitochondrion {GO:0005739}; neuronal cell body {GO:0043025}; photoreceptor inner segment {GO:0001917}; secretory vesicle {GO:0099503}; spindle {GO:0005819}</t>
  </si>
  <si>
    <t>dynein intermediate chain binding {GO:0045505}; G-protein beta-subunit binding {GO:0031681}; GTP-dependent protein binding {GO:0030742}; identical protein binding {GO:0042802}; protein C-terminus binding {GO:0008022}</t>
  </si>
  <si>
    <t>sp|Q9CWZ7|SNAG_MOUSE</t>
  </si>
  <si>
    <t>Gamma-soluble NSF attachment protein (SNAP-gamma)</t>
  </si>
  <si>
    <t>N-ethylmaleimide-sensitive factor attachment protein gamma</t>
  </si>
  <si>
    <t>SNAG_MOUSE</t>
  </si>
  <si>
    <t>Q9CWZ7</t>
  </si>
  <si>
    <t>Q3TPT4</t>
  </si>
  <si>
    <t>MGI:104561</t>
  </si>
  <si>
    <t>ER-Golgi transport; Golgi apparatus; Membrane; Phosphoprotein; Protein transport; Transport</t>
  </si>
  <si>
    <t>intracellular protein transport {GO:0006886}; vesicle-mediated transport {GO:0016192}</t>
  </si>
  <si>
    <t>Golgi apparatus {GO:0005794}; mitochondrion {GO:0005739}; myelin sheath {GO:0043209}; SNARE complex {GO:0031201}; synapse {GO:0045202}</t>
  </si>
  <si>
    <t>soluble NSF attachment protein activity {GO:0005483}; syntaxin binding {GO:0019905}</t>
  </si>
  <si>
    <t>COPII-mediated vesicle transport {R-MMU-204005}; COPI-mediated anterograde transport {R-MMU-6807878}; COPI-dependent Golgi-to-ER retrograde traffic {R-MMU-6811434}; Intra-Golgi traffic {R-MMU-6811438}; Retrograde transport at the Trans-Golgi-Network {R-MMU-6811440}</t>
  </si>
  <si>
    <t>sp|Q6A068|CDC5L_MOUSE</t>
  </si>
  <si>
    <t>Cell division cycle 5-like protein</t>
  </si>
  <si>
    <t>Cdc5-like protein</t>
  </si>
  <si>
    <t>CDC5L_MOUSE</t>
  </si>
  <si>
    <t>Q6A068</t>
  </si>
  <si>
    <t>Q8K1J9</t>
  </si>
  <si>
    <t>Kiaa0432</t>
  </si>
  <si>
    <t>MGI:1918952</t>
  </si>
  <si>
    <t>Activator; Cell cycle; Coiled coil; Cytoplasm; DNA damage; DNA repair; DNA-binding; Isopeptide bond; mRNA processing; mRNA splicing; Nucleus; Phosphoprotein; Repeat; RNA-binding; Spliceosome; Transcription; Transcription regulation; Ubl conjugation</t>
  </si>
  <si>
    <t>Cell cycle; DNA damage; DNA repair; Transcription; Transcription regulation; mRNA processing; mRNA splicing</t>
  </si>
  <si>
    <t>Activator; DNA-binding; RNA-binding</t>
  </si>
  <si>
    <t>cellular response to nerve growth factor stimulus {GO:1990090}; cellular response to wortmannin {GO:1904568}; DNA damage checkpoint signaling {GO:0000077}; DNA repair {GO:0006281}; mitotic cell cycle {GO:0000278}; mRNA splicing, via spliceosome {GO:0000398}; positive regulation of transcription by RNA polymerase II {GO:0045944}; regulation of transcription by RNA polymerase II {GO:0006357}</t>
  </si>
  <si>
    <t>catalytic step 2 spliceosome {GO:0071013}; cytoplasm {GO:0005737}; DNA replication factor A complex {GO:0005662}; nuclear speck {GO:0016607}; nucleoplasm {GO:0005654}; nucleus {GO:0005634}; perinuclear region of cytoplasm {GO:0048471}; protein-DNA complex {GO:0032993}; Prp19 complex {GO:0000974}; spliceosomal complex {GO:0005681}; U2-type catalytic step 2 spliceosome {GO:0071007}</t>
  </si>
  <si>
    <t>DNA-binding transcription activator activity, RNA polymerase II-specific {GO:0001228}; DNA-binding transcription factor activity, RNA polymerase II-specific {GO:0000981}; identical protein binding {GO:0042802}; leucine zipper domain binding {GO:0043522}; protein kinase binding {GO:0019901}; protein phosphatase 1 binding {GO:0008157}; RNA binding {GO:0003723}; RNA polymerase II transcription regulatory region sequence-specific DNA binding {GO:0000977}; transcription corepressor binding {GO:0001222}; WD40-repeat domain binding {GO:0071987}</t>
  </si>
  <si>
    <t>sp|Q9QYS9|QKI_MOUSE</t>
  </si>
  <si>
    <t>Protein quaking (MqkI; qkI)</t>
  </si>
  <si>
    <t>QKI_MOUSE</t>
  </si>
  <si>
    <t>Q9QYS9</t>
  </si>
  <si>
    <t>O88972; Q61110; Q78ZE4; Q78ZE5; Q8K4X9; Q8K4Y0; Q9CW34; Q9QUH4; Q9R2A8; Q9Z246</t>
  </si>
  <si>
    <t>Qk; Qk1; Qka1</t>
  </si>
  <si>
    <t>MGI:97837</t>
  </si>
  <si>
    <t>3D-structure; Alternative splicing; Cytoplasm; Developmental protein; Differentiation; Methylation; mRNA processing; mRNA splicing; mRNA transport; Nucleus; Phosphoprotein; RNA-binding; SH3-binding; Translation regulation; Transport</t>
  </si>
  <si>
    <t>Differentiation; Translation regulation; Transport; mRNA processing; mRNA splicing; mRNA transport</t>
  </si>
  <si>
    <t>axon ensheathment {GO:0008366}; long-chain fatty acid biosynthetic process {GO:0042759}; mRNA processing {GO:0006397}; mRNA transport {GO:0051028}; myelination {GO:0042552}; positive regulation of gene expression {GO:0010628}; regulation of mRNA splicing, via spliceosome {GO:0048024}; regulation of translation {GO:0006417}; RNA splicing {GO:0008380}; spermatid development {GO:0007286}; vascular associated smooth muscle cell differentiation {GO:0035886}; vasculogenesis {GO:0001570}</t>
  </si>
  <si>
    <t>cytoplasm {GO:0005737}; nucleus {GO:0005634}; synapse {GO:0045202}</t>
  </si>
  <si>
    <t>mRNA binding {GO:0003729}; RNA binding {GO:0003723}; SH3 domain binding {GO:0017124}</t>
  </si>
  <si>
    <t>sp|G5E8K5|ANK3_MOUSE</t>
  </si>
  <si>
    <t>Ankyrin-3 (ANK-3)</t>
  </si>
  <si>
    <t>Ankyrin-G</t>
  </si>
  <si>
    <t>ANK3_MOUSE</t>
  </si>
  <si>
    <t>G5E8K5</t>
  </si>
  <si>
    <t>G5E8K4; O08866; O08867; Q3TSJ8; Q4U205; Q4U206; Q4U256; Q4U260; Q61305; Q61306; Q61307; Q61308; Q61309; Q61310; Q8CBN3; Q8VC68</t>
  </si>
  <si>
    <t>MGI:88026</t>
  </si>
  <si>
    <t>Alternative splicing; ANK repeat; Cell membrane; Cell projection; Cytoplasm; Cytoskeleton; Lysosome; Membrane; Phosphoprotein; Postsynaptic cell membrane; Repeat; Synapse</t>
  </si>
  <si>
    <t>Cell membrane; Cell projection; Cytoplasm; Cytoskeleton; Lysosome; Membrane; Postsynaptic cell membrane; Synapse</t>
  </si>
  <si>
    <t>axon guidance {GO:0007411}; axonogenesis {GO:0007409}; cellular response to magnesium ion {GO:0071286}; clustering of voltage-gated sodium channels {GO:0045162}; establishment of protein localization {GO:0045184}; Golgi to plasma membrane protein transport {GO:0043001}; magnesium ion homeostasis {GO:0010960}; maintenance of protein location in plasma membrane {GO:0072660}; membrane assembly {GO:0071709}; mitotic cytokinesis {GO:0000281}; negative regulation of delayed rectifier potassium channel activity {GO:1902260}; neuromuscular junction development {GO:0007528}; neuronal action potential {GO:0019228}; plasma membrane organization {GO:0007009}; positive regulation of action potential {GO:0045760}; positive regulation of cation channel activity {GO:2001259}; positive regulation of cell communication by electrical coupling {GO:0010650}; positive regulation of gene expression {GO:0010628}; positive regulation of homotypic cell-cell adhesion {GO:0034112}; positive regulation of membrane depolarization during cardiac muscle cell action potential {GO:1900827}; positive regulation of membrane potential {GO:0045838}; positive regulation of protein targeting to membrane {GO:0090314}; positive regulation of sodium ion transmembrane transporter activity {GO:2000651}; positive regulation of sodium ion transport {GO:0010765}; protein localization to axon {GO:0099612}; protein localization to plasma membrane {GO:0072659}; regulation of potassium ion transport {GO:0043266}; signal transduction {GO:0007165}; synapse organization {GO:0050808}</t>
  </si>
  <si>
    <t>axon {GO:0030424}; axon initial segment {GO:0043194}; basal plasma membrane {GO:0009925}; basolateral plasma membrane {GO:0016323}; bicellular tight junction {GO:0005923}; cell surface {GO:0009986}; dendrite {GO:0030425}; intercalated disc {GO:0014704}; lateral plasma membrane {GO:0016328}; lysosome {GO:0005764}; membrane {GO:0016020}; neuromuscular junction {GO:0031594}; neuron projection {GO:0043005}; node of Ranvier {GO:0033268}; paranode region of axon {GO:0033270}; plasma membrane {GO:0005886}; postsynaptic membrane {GO:0045211}; sarcolemma {GO:0042383}; sarcoplasmic reticulum {GO:0016529}; spectrin-associated cytoskeleton {GO:0014731}; synapse {GO:0045202}; T-tubule {GO:0030315}; Z disc {GO:0030018}</t>
  </si>
  <si>
    <t>cadherin binding {GO:0045296}; cytoskeletal protein binding {GO:0008092}; phosphorylation-dependent protein binding {GO:0140031}; protein-macromolecule adaptor activity {GO:0030674}; spectrin binding {GO:0030507}; structural constituent of cytoskeleton {GO:0005200}; transmembrane transporter binding {GO:0044325}</t>
  </si>
  <si>
    <t>sp|O55023|IMPA1_MOUSE</t>
  </si>
  <si>
    <t>Inositol monophosphatase 1 (IMP 1; IMPase 1)</t>
  </si>
  <si>
    <t>D-galactose 1-phosphate phosphatase; Inositol-1(or 4)-monophosphatase 1; Lithium-sensitive myo-inositol monophosphatase A1</t>
  </si>
  <si>
    <t>IMPA1_MOUSE</t>
  </si>
  <si>
    <t>O55023</t>
  </si>
  <si>
    <t>MGI:1933158</t>
  </si>
  <si>
    <t>3D-structure; Cytoplasm; Hydrolase; Lithium; Magnesium; Metal-binding</t>
  </si>
  <si>
    <t>inositol biosynthetic process {GO:0006021}; inositol metabolic process {GO:0006020}; inositol phosphate dephosphorylation {GO:0046855}; phosphate-containing compound metabolic process {GO:0006796}; phosphatidylinositol biosynthetic process {GO:0006661}; phosphatidylinositol phosphate biosynthetic process {GO:0046854}; signal transduction {GO:0007165}</t>
  </si>
  <si>
    <t>axon {GO:0030424}; cytoplasm {GO:0005737}; neuronal cell body {GO:0043025}</t>
  </si>
  <si>
    <t>identical protein binding {GO:0042802}; inositol monophosphate 1-phosphatase activity {GO:0008934}; inositol monophosphate 3-phosphatase activity {GO:0052832}; inositol monophosphate 4-phosphatase activity {GO:0052833}; inositol monophosphate phosphatase activity {GO:0052834}; lithium ion binding {GO:0031403}; magnesium ion binding {GO:0000287}; manganese ion binding {GO:0030145}; protein homodimerization activity {GO:0042803}</t>
  </si>
  <si>
    <t>Polyol metabolism; myo-inositol biosynthesis; myo-inositol from D-glucose 6-phosphate: step 2/2.</t>
  </si>
  <si>
    <t>Synthesis of IP2, IP, and Ins in the cytosol {R-MMU-1855183}</t>
  </si>
  <si>
    <t>sp|Q9JK48|SHLB1_MOUSE</t>
  </si>
  <si>
    <t>Endophilin-B1</t>
  </si>
  <si>
    <t>SH3 domain-containing GRB2-like protein B1</t>
  </si>
  <si>
    <t>SHLB1_MOUSE</t>
  </si>
  <si>
    <t>Q9JK48</t>
  </si>
  <si>
    <t>Q3TYR7; Q6A059; Q8CDS9; Q8VI52; Q9CT31</t>
  </si>
  <si>
    <t>Kiaa0491</t>
  </si>
  <si>
    <t>MGI:1859730</t>
  </si>
  <si>
    <t>3D-structure; Acetylation; Alternative splicing; Apoptosis; Coiled coil; Cytoplasm; Cytoplasmic vesicle; Golgi apparatus; Lipid-binding; Membrane; Mitochondrion; Mitochondrion outer membrane; Phosphoprotein; SH3 domain</t>
  </si>
  <si>
    <t>Cytoplasm; Cytoplasmic vesicle; Golgi apparatus; Membrane; Mitochondrion; Mitochondrion outer membrane</t>
  </si>
  <si>
    <t>'de novo' post-translational protein folding {GO:0051084}; apoptotic process {GO:0006915}; autophagic cell death {GO:0048102}; cellular response to amino acid starvation {GO:0034198}; cellular response to glucose starvation {GO:0042149}; membrane fission {GO:0090148}; membrane organization {GO:0061024}; mitochondrion organization {GO:0007005}; negative regulation of intrinsic apoptotic signaling pathway by p53 class mediator {GO:1902254}; phosphatidic acid biosynthetic process {GO:0006654}; phospholipid biosynthetic process {GO:0008654}; positive regulation of autophagosome assembly {GO:2000786}; positive regulation of autophagy {GO:0010508}; positive regulation of dendrite extension {GO:1903861}; positive regulation of dendrite morphogenesis {GO:0050775}; positive regulation of intrinsic apoptotic signaling pathway by p53 class mediator {GO:1902255}; positive regulation of membrane tubulation {GO:1903527}; positive regulation of neurotrophin TRK receptor signaling pathway {GO:0051388}; positive regulation of phosphatidylinositol 3-kinase activity {GO:0043552}; positive regulation of protein insertion into mitochondrial membrane involved in apoptotic signaling pathway {GO:1900740}; positive regulation of protein-containing complex assembly {GO:0031334}; protein localization to vacuolar membrane {GO:1903778}; receptor catabolic process {GO:0032801}; regulation of cytokinesis {GO:0032465}; regulation of early endosome to late endosome transport {GO:2000641}</t>
  </si>
  <si>
    <t>autophagosome membrane {GO:0000421}; cytoplasm {GO:0005737}; cytosol {GO:0005829}; early endosome {GO:0005769}; endoplasmic reticulum {GO:0005783}; Golgi membrane {GO:0000139}; membrane {GO:0016020}; midbody {GO:0030496}; mitochondrial envelope {GO:0005740}; mitochondrial outer membrane {GO:0005741}; neuron projection {GO:0043005}; neuronal cell body {GO:0043025}; protein-containing complex {GO:0032991}; synaptic vesicle {GO:0008021}</t>
  </si>
  <si>
    <t>fatty acid binding {GO:0005504}; identical protein binding {GO:0042802}; lysophosphatidic acid acyltransferase activity {GO:0042171}; protein homodimerization activity {GO:0042803}</t>
  </si>
  <si>
    <t>sp|Q3UJB9|EDC4_MOUSE</t>
  </si>
  <si>
    <t>Enhancer of mRNA-decapping protein 4</t>
  </si>
  <si>
    <t>EDC4_MOUSE</t>
  </si>
  <si>
    <t>Q3UJB9</t>
  </si>
  <si>
    <t>Q3U6U8; Q7TS78; Q8R223</t>
  </si>
  <si>
    <t>MGI:2446249</t>
  </si>
  <si>
    <t>Acetylation; Alternative splicing; Coiled coil; Cytoplasm; Nucleus; Phosphoprotein; Repeat; WD repeat</t>
  </si>
  <si>
    <t>deadenylation-independent decapping of nuclear-transcribed mRNA {GO:0031087}</t>
  </si>
  <si>
    <t>cytoplasmic ribonucleoprotein granule {GO:0036464}; nucleoplasm {GO:0005654}; nucleus {GO:0005634}; P-body {GO:0000932}</t>
  </si>
  <si>
    <t>sp|Q99J36|THUM1_MOUSE</t>
  </si>
  <si>
    <t>THUMP domain-containing protein 1</t>
  </si>
  <si>
    <t>THUM1_MOUSE</t>
  </si>
  <si>
    <t>Q99J36</t>
  </si>
  <si>
    <t>Q3U6Y3</t>
  </si>
  <si>
    <t>MGI:2444479</t>
  </si>
  <si>
    <t>tRNA modification {GO:0006400}</t>
  </si>
  <si>
    <t>sp|Q9R226|KHDR3_MOUSE</t>
  </si>
  <si>
    <t>KH domain-containing, RNA-binding, signal transduction-associated protein 3</t>
  </si>
  <si>
    <t>RNA-binding protein Etoile; Sam68-like mammalian protein 2 (SLM-2)</t>
  </si>
  <si>
    <t>KHDR3_MOUSE</t>
  </si>
  <si>
    <t>Q9R226</t>
  </si>
  <si>
    <t>O88624</t>
  </si>
  <si>
    <t>Salp; Slm2</t>
  </si>
  <si>
    <t>MGI:1313312</t>
  </si>
  <si>
    <t>Isopeptide bond; mRNA processing; Nucleus; Phosphoprotein; RNA-binding; SH3-binding; Transcription; Transcription regulation; Ubl conjugation</t>
  </si>
  <si>
    <t>Transcription; Transcription regulation; mRNA processing</t>
  </si>
  <si>
    <t>mRNA processing {GO:0006397}; positive regulation of RNA splicing {GO:0033120}; regulation of alternative mRNA splicing, via spliceosome {GO:0000381}; regulation of mRNA splicing, via spliceosome {GO:0048024}</t>
  </si>
  <si>
    <t>nucleoplasm {GO:0005654}; nucleus {GO:0005634}; protein-containing complex {GO:0032991}</t>
  </si>
  <si>
    <t>identical protein binding {GO:0042802}; mRNA binding {GO:0003729}; protein domain specific binding {GO:0019904}; RNA binding {GO:0003723}; SH3 domain binding {GO:0017124}; single-stranded RNA binding {GO:0003727}</t>
  </si>
  <si>
    <t>sp|O89079|COPE_MOUSE</t>
  </si>
  <si>
    <t>Coatomer subunit epsilon</t>
  </si>
  <si>
    <t>Epsilon-coat protein (Epsilon-COP)</t>
  </si>
  <si>
    <t>COPE_MOUSE</t>
  </si>
  <si>
    <t>O89079</t>
  </si>
  <si>
    <t>Q9JM65</t>
  </si>
  <si>
    <t>Cope1</t>
  </si>
  <si>
    <t>MGI:1891702</t>
  </si>
  <si>
    <t>3D-structure; Cytoplasm; Cytoplasmic vesicle; ER-Golgi transport; Golgi apparatus; Membrane; Phosphoprotein; Protein transport; Transport; Ubl conjugation</t>
  </si>
  <si>
    <t>endoplasmic reticulum to Golgi vesicle-mediated transport {GO:0006888}; intra-Golgi vesicle-mediated transport {GO:0006891}; protein localization to axon {GO:0099612}; protein transport {GO:0015031}; retrograde vesicle-mediated transport, Golgi to endoplasmic reticulum {GO:0006890}</t>
  </si>
  <si>
    <t>COPI vesicle coat {GO:0030126}; COPI-coated vesicle {GO:0030137}; Golgi apparatus {GO:0005794}; Golgi membrane {GO:0000139}; nucleoplasm {GO:0005654}</t>
  </si>
  <si>
    <t>sp|Q9CZY3|UB2V1_MOUSE</t>
  </si>
  <si>
    <t>Ubiquitin-conjugating enzyme E2 variant 1 (UEV-1)</t>
  </si>
  <si>
    <t>CROC-1</t>
  </si>
  <si>
    <t>UB2V1_MOUSE</t>
  </si>
  <si>
    <t>Q9CZY3</t>
  </si>
  <si>
    <t>A2A467; Q8VEB5; Q9ERI7</t>
  </si>
  <si>
    <t>Croc1</t>
  </si>
  <si>
    <t>MGI:1913839</t>
  </si>
  <si>
    <t>Acetylation; Alternative splicing; Nucleus; Ubl conjugation pathway</t>
  </si>
  <si>
    <t>error-free postreplication DNA repair {GO:0042275}; postreplication repair {GO:0006301}; protein K63-linked ubiquitination {GO:0070534}; protein polyubiquitination {GO:0000209}</t>
  </si>
  <si>
    <t>cytoplasm {GO:0005737}; cytosol {GO:0005829}; nucleoplasm {GO:0005654}; nucleus {GO:0005634}; protein-containing complex {GO:0032991}; UBC13-UEV1A complex {GO:0035370}; ubiquitin conjugating enzyme complex {GO:0031371}; ubiquitin ligase complex {GO:0000151}</t>
  </si>
  <si>
    <t>ubiquitin conjugating enzyme activity {GO:0061631}; ubiquitin conjugating enzyme binding {GO:0031624}</t>
  </si>
  <si>
    <t>NOD1/2 Signaling Pathway {R-MMU-168638}; Downstream TCR signaling {R-MMU-202424}; FCERI mediated NF-kB activation {R-MMU-2871837}; TAK1-dependent IKK and NF-kappa-B activation {R-MMU-445989}; activated TAK1 mediates p38 MAPK activation {R-MMU-450302}; JNK (c-Jun kinases) phosphorylation and activation mediated by activated human TAK1 {R-MMU-450321}; CLEC7A (Dectin-1) signaling {R-MMU-5607764}; Interleukin-1 signaling {R-MMU-9020702}; IRAK1 recruits IKK complex {R-MMU-937039}; IKK complex recruitment mediated by RIP1 {R-MMU-937041}; Aggrephagy {R-MMU-9646399}; IRAK1 recruits IKK complex upon TLR7/8 or 9 stimulation {R-MMU-975144}; Antigen processing: Ubiquitination &amp; Proteasome degradation {R-MMU-983168}</t>
  </si>
  <si>
    <t>sp|Q60676|PPP5_MOUSE</t>
  </si>
  <si>
    <t>Serine/threonine-protein phosphatase 5 (PP5)</t>
  </si>
  <si>
    <t>Protein phosphatase T (PPT)</t>
  </si>
  <si>
    <t>PPP5_MOUSE</t>
  </si>
  <si>
    <t>Q60676</t>
  </si>
  <si>
    <t>G5E819; O35299</t>
  </si>
  <si>
    <t>MGI:102666</t>
  </si>
  <si>
    <t>Acetylation; Cell membrane; Cytoplasm; Hydrolase; Magnesium; Manganese; Membrane; Metal-binding; Nucleus; Protein phosphatase; Repeat; TPR repeat</t>
  </si>
  <si>
    <t>negative regulation of cell death {GO:0060548}; negative regulation of neuron death {GO:1901215}; negative regulation of protein phosphorylation {GO:0001933}; peptidyl-serine dephosphorylation {GO:0070262}; positive regulation of glucocorticoid receptor signaling pathway {GO:2000324}; protein dephosphorylation {GO:0006470}; response to arachidonic acid {GO:1904550}; response to lead ion {GO:0010288}; response to morphine {GO:0043278}</t>
  </si>
  <si>
    <t>cell periphery {GO:0071944}; chaperone complex {GO:0101031}; cytoplasm {GO:0005737}; cytosol {GO:0005829}; intracellular membrane-bounded organelle {GO:0043231}; neuron projection {GO:0043005}; neuronal cell body {GO:0043025}; nucleus {GO:0005634}; perikaryon {GO:0043204}; plasma membrane {GO:0005886}; protein-containing complex {GO:0032991}; proximal dendrite {GO:1990635}</t>
  </si>
  <si>
    <t>ADP binding {GO:0043531}; ATP binding {GO:0005524}; G-protein alpha-subunit binding {GO:0001965}; heat shock protein binding {GO:0031072}; Hsp90 protein binding {GO:0051879}; identical protein binding {GO:0042802}; metal ion binding {GO:0046872}; microtubule binding {GO:0008017}; myosin phosphatase activity {GO:0017018}; phosphatase activity {GO:0016791}; phosphoprotein phosphatase activity {GO:0004721}; protein serine/threonine phosphatase activity {GO:0004722}; protein-containing complex binding {GO:0044877}; RNA binding {GO:0003723}</t>
  </si>
  <si>
    <t>Negative regulation of MAPK pathway {R-MMU-5675221}; Recruitment and ATM-mediated phosphorylation of repair and signaling proteins at DNA double strand breaks {R-MMU-5693565}; ESR-mediated signaling {R-MMU-8939211}</t>
  </si>
  <si>
    <t>sp|Q9WVQ5|MTNB_MOUSE</t>
  </si>
  <si>
    <t>Methylthioribulose-1-phosphate dehydratase (MTRu-1-P dehydratase)</t>
  </si>
  <si>
    <t>APAF1-interacting protein; Monocyte/macrophage protein 19</t>
  </si>
  <si>
    <t>MTNB_MOUSE</t>
  </si>
  <si>
    <t>Q9WVQ5</t>
  </si>
  <si>
    <t>Q8BP46</t>
  </si>
  <si>
    <t>Mmrp19</t>
  </si>
  <si>
    <t>MGI:1926788</t>
  </si>
  <si>
    <t>Amino-acid biosynthesis; Apoptosis; Cytoplasm; Lyase; Metal-binding; Methionine biosynthesis; Zinc</t>
  </si>
  <si>
    <t>Amino-acid biosynthesis; Apoptosis; Methionine biosynthesis</t>
  </si>
  <si>
    <t>apoptotic process {GO:0006915}; L-methionine salvage from methylthioadenosine {GO:0019509}; L-methionine salvage from S-adenosylmethionine {GO:0019284}; negative regulation of apoptotic process {GO:0043066}; protein homotetramerization {GO:0051289}; pyroptosis {GO:0070269}; regulation of ERK1 and ERK2 cascade {GO:0070372}</t>
  </si>
  <si>
    <t>identical protein binding {GO:0042802}; methylthioribulose 1-phosphate dehydratase activity {GO:0046570}; zinc ion binding {GO:0008270}</t>
  </si>
  <si>
    <t>Amino-acid biosynthesis; L-methionine biosynthesis via salvage pathway; L-methionine from S-methyl-5-thio-alpha-D-ribose 1-phosphate: step 2/6..</t>
  </si>
  <si>
    <t>Formation of apoptosome {R-MMU-111458}; Regulation of the apoptosome activity {R-MMU-9627069}</t>
  </si>
  <si>
    <t>sp|Q8R570|SNP47_MOUSE</t>
  </si>
  <si>
    <t>Synaptosomal-associated protein 47 (SNAP-47)</t>
  </si>
  <si>
    <t>Synaptosomal-associated 47 kDa protein</t>
  </si>
  <si>
    <t>SNP47_MOUSE</t>
  </si>
  <si>
    <t>Q8R570</t>
  </si>
  <si>
    <t>Q3UNK4; Q8BK87</t>
  </si>
  <si>
    <t>MGI:1915076</t>
  </si>
  <si>
    <t>Alternative splicing; Coiled coil; Cytoplasm; Membrane; Repeat</t>
  </si>
  <si>
    <t>exocytic insertion of neurotransmitter receptor to postsynaptic membrane {GO:0098967}; exocytosis {GO:0006887}; long-term synaptic potentiation {GO:0060291}; synaptic vesicle fusion to presynaptic active zone membrane {GO:0031629}; synaptic vesicle priming {GO:0016082}; vesicle fusion {GO:0006906}; vesicle-mediated transport in synapse {GO:0099003}</t>
  </si>
  <si>
    <t>asymmetric synapse {GO:0032279}; BLOC-1 complex {GO:0031083}; dendrite {GO:0030425}; glutamatergic synapse {GO:0098978}; hippocampal mossy fiber to CA3 synapse {GO:0098686}; membrane {GO:0016020}; neuronal cell body {GO:0043025}; perinuclear region of cytoplasm {GO:0048471}; plasma membrane {GO:0005886}; postsynaptic density {GO:0014069}; SNARE complex {GO:0031201}; synaptic vesicle membrane {GO:0030672}</t>
  </si>
  <si>
    <t>SNAP receptor activity {GO:0005484}; syntaxin binding {GO:0019905}</t>
  </si>
  <si>
    <t>sp|Q6PB93|GALT2_MOUSE</t>
  </si>
  <si>
    <t>Polypeptide N-acetylgalactosaminyltransferase 2 soluble form</t>
  </si>
  <si>
    <t>Polypeptide GalNAc transferase 2 (GalNAc-T2; pp-GaNTase 2); Protein-UDP acetylgalactosaminyltransferase 2; UDP-GalNAc:polypeptide N-acetylgalactosaminyltransferase 2</t>
  </si>
  <si>
    <t>GALT2_MOUSE</t>
  </si>
  <si>
    <t>Q6PB93</t>
  </si>
  <si>
    <t>Q7TSI5; Q8BL27; Q922K5; Q99ME1</t>
  </si>
  <si>
    <t>MGI:894694</t>
  </si>
  <si>
    <t>Alternative splicing; Disulfide bond; Glycoprotein; Glycosyltransferase; Golgi apparatus; Lectin; Manganese; Membrane; Metal-binding; Phosphoprotein; Secreted; Signal-anchor; Transferase; Transmembrane; Transmembrane helix</t>
  </si>
  <si>
    <t>Golgi apparatus; Membrane; Secreted</t>
  </si>
  <si>
    <t>Lectin; Manganese; Metal-binding</t>
  </si>
  <si>
    <t>O-glycan processing {GO:0016266}; protein maturation {GO:0051604}; protein O-linked glycosylation {GO:0006493}; protein O-linked glycosylation via serine {GO:0018242}; protein O-linked glycosylation via threonine {GO:0018243}</t>
  </si>
  <si>
    <t>extracellular region {GO:0005576}; Golgi apparatus {GO:0005794}; Golgi cisterna membrane {GO:0032580}; Golgi lumen {GO:0005796}; Golgi stack {GO:0005795}; integral component of membrane {GO:0016021}; perinuclear region of cytoplasm {GO:0048471}</t>
  </si>
  <si>
    <t>carbohydrate binding {GO:0030246}; manganese ion binding {GO:0030145}; polypeptide N-acetylgalactosaminyltransferase activity {GO:0004653}</t>
  </si>
  <si>
    <t>COPI-independent Golgi-to-ER retrograde traffic {R-MMU-6811436}; O-linked glycosylation of mucins {R-MMU-913709}</t>
  </si>
  <si>
    <t>tr|Q91VA7|Q91VA7_MOUSE</t>
  </si>
  <si>
    <t>sp|Q6NZB0|DNJC8_MOUSE</t>
  </si>
  <si>
    <t>DnaJ homolog subfamily C member 8</t>
  </si>
  <si>
    <t>DNJC8_MOUSE</t>
  </si>
  <si>
    <t>Q6NZB0</t>
  </si>
  <si>
    <t>Q6PG72; Q8C2M6</t>
  </si>
  <si>
    <t>MGI:1915848</t>
  </si>
  <si>
    <t>cytosol {GO:0005829}; intercellular bridge {GO:0045171}; nucleoplasm {GO:0005654}; nucleus {GO:0005634}</t>
  </si>
  <si>
    <t>Hsp70 protein binding {GO:0030544}</t>
  </si>
  <si>
    <t>sp|Q8C570|RAE1L_MOUSE</t>
  </si>
  <si>
    <t>mRNA export factor</t>
  </si>
  <si>
    <t>Rae1 protein homolog; mRNA-associated protein mrnp 41</t>
  </si>
  <si>
    <t>RAE1L_MOUSE</t>
  </si>
  <si>
    <t>Q8C570</t>
  </si>
  <si>
    <t>Q3UKD4</t>
  </si>
  <si>
    <t>Mrnp41</t>
  </si>
  <si>
    <t>MGI:1913929</t>
  </si>
  <si>
    <t>3D-structure; Cell cycle; Cell division; Cytoplasm; Cytoskeleton; Mitosis; Nucleus; Phosphoprotein; Repeat; Transport; WD repeat</t>
  </si>
  <si>
    <t>cell cycle {GO:0007049}; cell division {GO:0051301}; cellular response to organic cyclic compound {GO:0071407}; mRNA export from nucleus {GO:0006406}; nucleocytoplasmic transport {GO:0006913}; regulation of mitotic spindle organization {GO:0060236}; RNA export from nucleus {GO:0006405}; transcription-dependent tethering of RNA polymerase II gene DNA at nuclear periphery {GO:0000972}</t>
  </si>
  <si>
    <t>cytoplasm {GO:0005737}; fibrillar center {GO:0001650}; mitotic spindle pole {GO:0097431}; nuclear envelope {GO:0005635}; nuclear pore {GO:0005643}; nucleoplasm {GO:0005654}</t>
  </si>
  <si>
    <t>RNA binding {GO:0003723}; ubiquitin binding {GO:0043130}</t>
  </si>
  <si>
    <t>sp|O09172|GSH0_MOUSE</t>
  </si>
  <si>
    <t>Glutamate--cysteine ligase regulatory subunit</t>
  </si>
  <si>
    <t>GCS light chain; Gamma-ECS regulatory subunit; Gamma-glutamylcysteine synthetase regulatory subunit; Glutamate--cysteine ligase modifier subunit</t>
  </si>
  <si>
    <t>GSH0_MOUSE</t>
  </si>
  <si>
    <t>O09172</t>
  </si>
  <si>
    <t>Glclr</t>
  </si>
  <si>
    <t>MGI:104995</t>
  </si>
  <si>
    <t>Acetylation; Glutathione biosynthesis; Phosphoprotein</t>
  </si>
  <si>
    <t>aging {GO:0007568}; apoptotic mitochondrial changes {GO:0008637}; blood vessel diameter maintenance {GO:0097746}; cellular response to fibroblast growth factor stimulus {GO:0044344}; cellular response to follicle-stimulating hormone stimulus {GO:0071372}; cellular response to glucose stimulus {GO:0071333}; cellular response to hepatocyte growth factor stimulus {GO:0035729}; cellular response to leukemia inhibitory factor {GO:1990830}; cellular response to thyroxine stimulus {GO:0097069}; cysteine metabolic process {GO:0006534}; glutamate metabolic process {GO:0006536}; glutathione biosynthetic process {GO:0006750}; glutathione metabolic process {GO:0006749}; hepatic stellate cell activation {GO:0035733}; negative regulation of extrinsic apoptotic signaling pathway {GO:2001237}; negative regulation of neuron apoptotic process {GO:0043524}; positive regulation of glutamate-cysteine ligase activity {GO:0035229}; regulation of mitochondrial depolarization {GO:0051900}; response to activity {GO:0014823}; response to human chorionic gonadotropin {GO:0044752}; response to nitrosative stress {GO:0051409}; response to nutrient {GO:0007584}; response to oxidative stress {GO:0006979}; response to xenobiotic stimulus {GO:0009410}</t>
  </si>
  <si>
    <t>glutamate-cysteine ligase complex {GO:0017109}</t>
  </si>
  <si>
    <t>enzyme regulator activity {GO:0030234}; glutamate-cysteine ligase activity {GO:0004357}; glutamate-cysteine ligase catalytic subunit binding {GO:0035226}; protein-containing complex binding {GO:0044877}</t>
  </si>
  <si>
    <t>Sulfur metabolism; glutathione biosynthesis; glutathione from L-cysteine and L-glutamate: step 1/2.</t>
  </si>
  <si>
    <t>sp|Q9WUM3|COR1B_MOUSE</t>
  </si>
  <si>
    <t>Coronin-1B</t>
  </si>
  <si>
    <t>Coronin-2</t>
  </si>
  <si>
    <t>COR1B_MOUSE</t>
  </si>
  <si>
    <t>Q9WUM3</t>
  </si>
  <si>
    <t>Q3UEB1; Q9CVA2</t>
  </si>
  <si>
    <t>MGI:1345963</t>
  </si>
  <si>
    <t>Actin-binding; Coiled coil; Cytoplasm; Cytoskeleton; Phosphoprotein; Repeat; WD repeat</t>
  </si>
  <si>
    <t>actin cytoskeleton organization {GO:0030036}; actin filament branching {GO:0090135}; actin filament bundle assembly {GO:0051017}; actin filament organization {GO:0007015}; cell migration {GO:0016477}; cellular response to platelet-derived growth factor stimulus {GO:0036120}; endothelial cell chemotaxis {GO:0035767}; negative regulation of Arp2/3 complex-mediated actin nucleation {GO:0034316}; negative regulation of lamellipodium morphogenesis {GO:2000393}; negative regulation of smooth muscle cell chemotaxis {GO:0071672}; positive regulation of lamellipodium morphogenesis {GO:2000394}; protein kinase C signaling {GO:0070528}; protein localization to cell leading edge {GO:1902463}; ruffle organization {GO:0031529}; wound healing {GO:0042060}</t>
  </si>
  <si>
    <t>actin filament {GO:0005884}; cell leading edge {GO:0031252}; cell periphery {GO:0071944}; cytoplasm {GO:0005737}; cytosol {GO:0005829}; lamellipodium {GO:0030027}; perinuclear region of cytoplasm {GO:0048471}; plasma membrane {GO:0005886}; stress fiber {GO:0001725}</t>
  </si>
  <si>
    <t>actin filament binding {GO:0051015}; Arp2/3 complex binding {GO:0071933}; cytoskeletal protein binding {GO:0008092}; identical protein binding {GO:0042802}; protein-containing complex binding {GO:0044877}</t>
  </si>
  <si>
    <t>sp|Q8BHG2|CZIB_MOUSE</t>
  </si>
  <si>
    <t>CXXC motif containing zinc binding protein</t>
  </si>
  <si>
    <t>UPF0587 protein C1orf123 homolog</t>
  </si>
  <si>
    <t>CZIB_MOUSE</t>
  </si>
  <si>
    <t>Q8BHG2</t>
  </si>
  <si>
    <t>A2A8E3; A2A8E5; Q8C7D6; Q9D1H2; Q9DCH5</t>
  </si>
  <si>
    <t>MGI:1921348</t>
  </si>
  <si>
    <t>Alternative splicing; Metal-binding; Phosphoprotein; Zinc</t>
  </si>
  <si>
    <t>zinc ion binding {GO:0008270}</t>
  </si>
  <si>
    <t>sp|P51174|ACADL_MOUSE</t>
  </si>
  <si>
    <t>Long-chain specific acyl-CoA dehydrogenase, mitochondrial (LCAD)</t>
  </si>
  <si>
    <t>ACADL_MOUSE</t>
  </si>
  <si>
    <t>P51174</t>
  </si>
  <si>
    <t>B2KGC6; O35302; Q8QZR6; Q9CU29; Q9DB83</t>
  </si>
  <si>
    <t>MGI:87866</t>
  </si>
  <si>
    <t>carnitine catabolic process {GO:0042413}; carnitine metabolic process, CoA-linked {GO:0019254}; cellular lipid catabolic process {GO:0044242}; fatty acid beta-oxidation using acyl-CoA dehydrogenase {GO:0033539}; fatty acid catabolic process {GO:0009062}; long-chain fatty acid catabolic process {GO:0042758}; negative regulation of fatty acid biosynthetic process {GO:0045717}; negative regulation of fatty acid oxidation {GO:0046322}; positive regulation of cold-induced thermogenesis {GO:0120162}; regulation of cholesterol metabolic process {GO:0090181}; response to cold {GO:0009409}; temperature homeostasis {GO:0001659}</t>
  </si>
  <si>
    <t>cytoplasm {GO:0005737}; mitochondrial matrix {GO:0005759}; mitochondrial membrane {GO:0031966}; mitochondrion {GO:0005739}</t>
  </si>
  <si>
    <t>acyl-CoA dehydrogenase activity {GO:0003995}; fatty-acyl-CoA binding {GO:0000062}; flavin adenine dinucleotide binding {GO:0050660}; identical protein binding {GO:0042802}; long-chain-acyl-CoA dehydrogenase activity {GO:0004466}; palmitoyl-CoA oxidase activity {GO:0016401}</t>
  </si>
  <si>
    <t>Beta oxidation of myristoyl-CoA to lauroyl-CoA {R-MMU-77285}; Beta oxidation of lauroyl-CoA to decanoyl-CoA-CoA {R-MMU-77310}</t>
  </si>
  <si>
    <t>sp|Q62426|CYTB_MOUSE</t>
  </si>
  <si>
    <t>Cystatin-B</t>
  </si>
  <si>
    <t>Stefin-B</t>
  </si>
  <si>
    <t>CYTB_MOUSE</t>
  </si>
  <si>
    <t>Q62426</t>
  </si>
  <si>
    <t>Q3UAW2</t>
  </si>
  <si>
    <t>Cst6; Stfb</t>
  </si>
  <si>
    <t>MGI:109514</t>
  </si>
  <si>
    <t>Acetylation; Cytoplasm; Protease inhibitor; Thiol protease inhibitor</t>
  </si>
  <si>
    <t>Protease inhibitor; Thiol protease inhibitor</t>
  </si>
  <si>
    <t>adult locomotory behavior {GO:0008344}; amyloid fibril formation {GO:1990000}; negative regulation of peptidase activity {GO:0010466}; negative regulation of proteolysis {GO:0045861}</t>
  </si>
  <si>
    <t>collagen-containing extracellular matrix {GO:0062023}; cytoplasm {GO:0005737}; cytosol {GO:0005829}; extracellular space {GO:0005615}; nucleolus {GO:0005730}; nucleus {GO:0005634}</t>
  </si>
  <si>
    <t>cysteine-type endopeptidase inhibitor activity {GO:0004869}; endopeptidase inhibitor activity {GO:0004866}; protease binding {GO:0002020}</t>
  </si>
  <si>
    <t>sp|P70122|SBDS_MOUSE</t>
  </si>
  <si>
    <t>Ribosome maturation protein SBDS</t>
  </si>
  <si>
    <t>Protein 22A3; Shwachman-Bodian-Diamond syndrome protein homolog</t>
  </si>
  <si>
    <t>SBDS_MOUSE</t>
  </si>
  <si>
    <t>P70122</t>
  </si>
  <si>
    <t>Q3TG78; Q9CR18</t>
  </si>
  <si>
    <t>MGI:1913961</t>
  </si>
  <si>
    <t>Acetylation; Cytoplasm; Cytoskeleton; Nucleus; Phosphoprotein; Ribosome biogenesis</t>
  </si>
  <si>
    <t>bone marrow development {GO:0048539}; bone mineralization {GO:0030282}; hematopoietic progenitor cell differentiation {GO:0002244}; inner cell mass cell proliferation {GO:0001833}; leukocyte chemotaxis {GO:0030595}; mature ribosome assembly {GO:0042256}; mitotic spindle organization {GO:0007052}; rRNA processing {GO:0006364}</t>
  </si>
  <si>
    <t>cytoplasm {GO:0005737}; cytosol {GO:0005829}; nucleolus {GO:0005730}; nucleoplasm {GO:0005654}; nucleus {GO:0005634}; spindle pole {GO:0000922}</t>
  </si>
  <si>
    <t>microtubule binding {GO:0008017}; ribosome binding {GO:0043022}; rRNA binding {GO:0019843}</t>
  </si>
  <si>
    <t>sp|Q99KN9|EPN4_MOUSE</t>
  </si>
  <si>
    <t>Clathrin interactor 1</t>
  </si>
  <si>
    <t>Enthoprotin; Epsin-4; Epsin-related protein (EpsinR)</t>
  </si>
  <si>
    <t>EPN4_MOUSE</t>
  </si>
  <si>
    <t>Q99KN9</t>
  </si>
  <si>
    <t>Q8CFH4</t>
  </si>
  <si>
    <t>Enth; Epn4; Epnr; Kiaa0171</t>
  </si>
  <si>
    <t>MGI:2144243</t>
  </si>
  <si>
    <t>Alternative splicing; Cytoplasm; Cytoplasmic vesicle; Endocytosis; Lipid-binding; Membrane; Phosphoprotein</t>
  </si>
  <si>
    <t>Cytoplasm; Cytoplasmic vesicle; Membrane</t>
  </si>
  <si>
    <t>clathrin coat assembly {GO:0048268}; endocytosis {GO:0006897}</t>
  </si>
  <si>
    <t>clathrin vesicle coat {GO:0030125}; clathrin-coated vesicle {GO:0030136}; endosome {GO:0005768}; Golgi apparatus {GO:0005794}; intracellular membrane-bounded organelle {GO:0043231}; nucleoplasm {GO:0005654}; perinuclear region of cytoplasm {GO:0048471}; plasma membrane {GO:0005886}</t>
  </si>
  <si>
    <t>clathrin binding {GO:0030276}; phospholipid binding {GO:0005543}</t>
  </si>
  <si>
    <t>sp|O88587|COMT_MOUSE</t>
  </si>
  <si>
    <t>Catechol O-methyltransferase</t>
  </si>
  <si>
    <t>COMT_MOUSE</t>
  </si>
  <si>
    <t>O88587</t>
  </si>
  <si>
    <t>Q91XH4</t>
  </si>
  <si>
    <t>Comt1</t>
  </si>
  <si>
    <t>MGI:88470</t>
  </si>
  <si>
    <t>3D-structure; Alternative initiation; Catecholamine metabolism; Cell membrane; Cytoplasm; Lipid metabolism; Magnesium; Membrane; Metal-binding; Methyltransferase; Neurotransmitter degradation; Phosphoprotein; S-adenosyl-L-methionine; Signal-anchor; Transferase; Transmembrane; Transmembrane helix</t>
  </si>
  <si>
    <t>Catecholamine metabolism; Lipid metabolism; Neurotransmitter degradation</t>
  </si>
  <si>
    <t>Magnesium; Metal-binding; S-adenosyl-L-methionine</t>
  </si>
  <si>
    <t>catecholamine catabolic process {GO:0042424}; cellular response to phosphate starvation {GO:0016036}; developmental process {GO:0032502}; dopamine catabolic process {GO:0042420}; dopamine metabolic process {GO:0042417}; estrogen metabolic process {GO:0008210}; female pregnancy {GO:0007565}; learning {GO:0007612}; methylation {GO:0032259}; multicellular organismal reproductive process {GO:0048609}; negative regulation of dopamine metabolic process {GO:0045963}; negative regulation of renal sodium excretion {GO:0035814}; negative regulation of smooth muscle cell proliferation {GO:0048662}; neurotransmitter catabolic process {GO:0042135}; positive regulation of homocysteine metabolic process {GO:0050668}; regulation of sensory perception of pain {GO:0051930}; response to pain {GO:0048265}; short-term memory {GO:0007614}</t>
  </si>
  <si>
    <t>axon {GO:0030424}; cell body {GO:0044297}; cytosol {GO:0005829}; dendrite {GO:0030425}; dendritic spine {GO:0043197}; integral component of membrane {GO:0016021}; intracellular membrane-bounded organelle {GO:0043231}; membrane {GO:0016020}; mitochondrion {GO:0005739}; postsynaptic membrane {GO:0045211}</t>
  </si>
  <si>
    <t>catechol O-methyltransferase activity {GO:0016206}; L-dopa O-methyltransferase activity {GO:0102084}; magnesium ion binding {GO:0000287}; O-methyltransferase activity {GO:0008171}; orcinol O-methyltransferase activity {GO:0102938}</t>
  </si>
  <si>
    <t>Methylation {R-MMU-156581}; Enzymatic degradation of dopamine by COMT {R-MMU-379397}; Enzymatic degradation of Dopamine by monoamine oxidase {R-MMU-379398}</t>
  </si>
  <si>
    <t>sp|Q8VBW6|ULA1_MOUSE</t>
  </si>
  <si>
    <t>NEDD8-activating enzyme E1 regulatory subunit</t>
  </si>
  <si>
    <t>Amyloid beta precursor protein-binding protein 1, 59 kDa (APP-BP1); Amyloid protein-binding protein 1</t>
  </si>
  <si>
    <t>ULA1_MOUSE</t>
  </si>
  <si>
    <t>Q8VBW6</t>
  </si>
  <si>
    <t>Q8CFL6</t>
  </si>
  <si>
    <t>Appbp1</t>
  </si>
  <si>
    <t>MGI:2384561</t>
  </si>
  <si>
    <t>Acetylation; Apoptosis; Cell cycle; Cell membrane; Membrane; Ubl conjugation; Ubl conjugation pathway</t>
  </si>
  <si>
    <t>Apoptosis; Cell cycle; Ubl conjugation pathway</t>
  </si>
  <si>
    <t>mitotic DNA replication checkpoint signaling {GO:0033314}; neuron apoptotic process {GO:0051402}; protein modification by small protein conjugation {GO:0032446}; protein neddylation {GO:0045116}; regulation of apoptotic process {GO:0042981}; regulation of neuron apoptotic process {GO:0043523}</t>
  </si>
  <si>
    <t>cytoplasm {GO:0005737}; early endosome {GO:0005769}; membrane raft {GO:0045121}; plasma membrane {GO:0005886}; protein-containing complex {GO:0032991}</t>
  </si>
  <si>
    <t>NEDD8 activating enzyme activity {GO:0019781}; protein heterodimerization activity {GO:0046982}; ubiquitin protein ligase binding {GO:0031625}</t>
  </si>
  <si>
    <t>Neddylation {R-MMU-8951664}</t>
  </si>
  <si>
    <t>sp|Q61838|PZP_MOUSE</t>
  </si>
  <si>
    <t>Alpha-2-macroglobulin 35 kDa subunit</t>
  </si>
  <si>
    <t>Alpha-2-macroglobulin (Alpha-2-M)</t>
  </si>
  <si>
    <t>PZP_MOUSE</t>
  </si>
  <si>
    <t>Q61838</t>
  </si>
  <si>
    <t>E9QPW0; Q60628; Q6PEM2</t>
  </si>
  <si>
    <t>A2m</t>
  </si>
  <si>
    <t>MGI:87854</t>
  </si>
  <si>
    <t>Bait region; Disulfide bond; Glycoprotein; Protease inhibitor; Secreted; Serine protease inhibitor; Signal; Thioester bond</t>
  </si>
  <si>
    <t>Bait region; Signal</t>
  </si>
  <si>
    <t>Disulfide bond; Glycoprotein; Thioester bond</t>
  </si>
  <si>
    <t>embryo implantation {GO:0007566}</t>
  </si>
  <si>
    <t>collagen-containing extracellular matrix {GO:0062023}; extracellular region {GO:0005576}; extracellular space {GO:0005615}</t>
  </si>
  <si>
    <t>brain-derived neurotrophic factor binding {GO:0048403}; endopeptidase inhibitor activity {GO:0004866}; nerve growth factor binding {GO:0048406}; protease binding {GO:0002020}; protein-containing complex binding {GO:0044877}; serine-type endopeptidase inhibitor activity {GO:0004867}</t>
  </si>
  <si>
    <t>sp|Q6ZWQ0|SYNE2_MOUSE</t>
  </si>
  <si>
    <t>Nesprin-2</t>
  </si>
  <si>
    <t>KASH domain-containing protein 2 (KASH2); Nuclear envelope spectrin repeat protein 2; Nucleus and actin connecting element protein (Protein NUANCE); Synaptic nuclear envelope protein 2 (Syne-2)</t>
  </si>
  <si>
    <t>SYNE2_MOUSE</t>
  </si>
  <si>
    <t>Q6ZWQ0</t>
  </si>
  <si>
    <t>Q640M5</t>
  </si>
  <si>
    <t>MGI:2449316</t>
  </si>
  <si>
    <t>Actin-binding; Alternative splicing; Cell membrane; Coiled coil; Cytoplasm; Cytoskeleton; Disulfide bond; Membrane; Mitochondrion; Nucleus; Phosphoprotein; Repeat; Sarcoplasmic reticulum; Transmembrane; Transmembrane helix</t>
  </si>
  <si>
    <t>Cell membrane; Cytoplasm; Cytoskeleton; Membrane; Mitochondrion; Nucleus; Sarcoplasmic reticulum</t>
  </si>
  <si>
    <t>Coiled coil; Repeat; Transmembrane; Transmembrane helix</t>
  </si>
  <si>
    <t>centrosome localization {GO:0051642}; nuclear migration {GO:0007097}; nuclear migration along microfilament {GO:0031022}; nucleokinesis involved in cell motility in cerebral cortex radial glia guided migration {GO:0021817}; positive regulation of cell migration {GO:0030335}; regulation of cilium assembly {GO:1902017}</t>
  </si>
  <si>
    <t>cytoplasm {GO:0005737}; filopodium membrane {GO:0031527}; focal adhesion {GO:0005925}; integral component of membrane {GO:0016021}; intermediate filament cytoskeleton {GO:0045111}; lamellipodium membrane {GO:0031258}; meiotic nuclear membrane microtubule tethering complex {GO:0034993}; mitochondrion {GO:0005739}; myofibril {GO:0030016}; nuclear envelope {GO:0005635}; nuclear lumen {GO:0031981}; nuclear membrane {GO:0031965}; nuclear outer membrane {GO:0005640}; nucleoplasm {GO:0005654}; nucleus {GO:0005634}; sarcoplasmic reticulum {GO:0016529}; sarcoplasmic reticulum membrane {GO:0033017}; Z disc {GO:0030018}</t>
  </si>
  <si>
    <t>actin binding {GO:0003779}; actin filament binding {GO:0051015}; cytoskeleton-nuclear membrane anchor activity {GO:0140444}</t>
  </si>
  <si>
    <t>sp|Q91VM9|IPYR2_MOUSE</t>
  </si>
  <si>
    <t>Inorganic pyrophosphatase 2, mitochondrial</t>
  </si>
  <si>
    <t>Pyrophosphate phospho-hydrolase 2 (PPase 2)</t>
  </si>
  <si>
    <t>IPYR2_MOUSE</t>
  </si>
  <si>
    <t>Q91VM9</t>
  </si>
  <si>
    <t>Q3UPK3; Q8BTG5; Q9D1E3</t>
  </si>
  <si>
    <t>MGI:1922026</t>
  </si>
  <si>
    <t>Acetylation; Alternative splicing; Hydrolase; Magnesium; Metal-binding; Mitochondrion; Transit peptide</t>
  </si>
  <si>
    <t>diphosphate metabolic process {GO:0071344}; phosphate-containing compound metabolic process {GO:0006796}; regulation of mitochondrial membrane potential {GO:0051881}</t>
  </si>
  <si>
    <t>inorganic diphosphate phosphatase activity {GO:0004427}; magnesium ion binding {GO:0000287}; protein serine/threonine phosphatase activity {GO:0004722}</t>
  </si>
  <si>
    <t>Mitochondrial tRNA aminoacylation {R-MMU-379726}; Pyrophosphate hydrolysis {R-MMU-71737}</t>
  </si>
  <si>
    <t>sp|Q5SWU9|ACACA_MOUSE</t>
  </si>
  <si>
    <t>Acetyl-CoA carboxylase 1 (ACC1)</t>
  </si>
  <si>
    <t>ACC-alpha; Acetyl-CoA carboxylase 265</t>
  </si>
  <si>
    <t>ACACA_MOUSE</t>
  </si>
  <si>
    <t>Q5SWU9</t>
  </si>
  <si>
    <t>A2A6H4; Q5SWU6; Q5SWU7; Q5SWU8; Q6JIZ1; Q6PHL9; Q705X8; Q705X9; Q91VC8; Q925C4; Q925C5</t>
  </si>
  <si>
    <t>MGI:108451</t>
  </si>
  <si>
    <t>Acetylation; Allosteric enzyme; Alternative promoter usage; ATP-binding; Biotin; Cytoplasm; Fatty acid biosynthesis; Fatty acid metabolism; Ligase; Lipid biosynthesis; Lipid metabolism; Magnesium; Manganese; Metal-binding; Multifunctional enzyme; Nucleotide-binding; Phosphoprotein</t>
  </si>
  <si>
    <t>ATP-binding; Biotin; Magnesium; Manganese; Metal-binding; Nucleotide-binding</t>
  </si>
  <si>
    <t>Allosteric enzyme; Ligase; Multifunctional enzyme</t>
  </si>
  <si>
    <t>acetyl-CoA metabolic process {GO:0006084}; cellular response to prostaglandin E stimulus {GO:0071380}; fatty acid biosynthetic process {GO:0006633}; lipid homeostasis {GO:0055088}; lipid metabolic process {GO:0006629}; malonyl-CoA biosynthetic process {GO:2001295}; protein homotetramerization {GO:0051289}; protein metabolic process {GO:0019538}; response to organic cyclic compound {GO:0014070}; tissue homeostasis {GO:0001894}</t>
  </si>
  <si>
    <t>actin cytoskeleton {GO:0015629}; cytosol {GO:0005829}; fibrillar center {GO:0001650}; mitochondrion {GO:0005739}</t>
  </si>
  <si>
    <t>acetyl-CoA carboxylase activity {GO:0003989}; ATP binding {GO:0005524}; biotin binding {GO:0009374}; identical protein binding {GO:0042802}; kinase binding {GO:0019900}; metal ion binding {GO:0046872}</t>
  </si>
  <si>
    <t>Lipid metabolism; malonyl-CoA biosynthesis; malonyl-CoA from acetyl-CoA: step 1/1..</t>
  </si>
  <si>
    <t>ChREBP activates metabolic gene expression {R-MMU-163765}; Biotin transport and metabolism {R-MMU-196780}; Carnitine metabolism {R-MMU-200425}; Fatty acyl-CoA biosynthesis {R-MMU-75105}</t>
  </si>
  <si>
    <t>sp|P61087|UBE2K_MOUSE</t>
  </si>
  <si>
    <t>Ubiquitin-conjugating enzyme E2 K</t>
  </si>
  <si>
    <t>E2 ubiquitin-conjugating enzyme K; Huntingtin-interacting protein 2 (HIP-2); Ubiquitin carrier protein; Ubiquitin-conjugating enzyme E2-25 kDa (Ubiquitin-conjugating enzyme E2(25K); Ubiquitin-conjugating enzyme E2-25K); Ubiquitin-protein ligase</t>
  </si>
  <si>
    <t>UBE2K_MOUSE</t>
  </si>
  <si>
    <t>P61087</t>
  </si>
  <si>
    <t>O54806; P27924; Q16721; Q9CVV9</t>
  </si>
  <si>
    <t>Hip2</t>
  </si>
  <si>
    <t>MGI:1858216</t>
  </si>
  <si>
    <t>Acetylation; ATP-binding; Cytoplasm; Isopeptide bond; Nucleotide-binding; Phosphoprotein; Transferase; Ubl conjugation; Ubl conjugation pathway</t>
  </si>
  <si>
    <t>cellular response to interferon-beta {GO:0035458}; free ubiquitin chain polymerization {GO:0010994}; intrinsic apoptotic signaling pathway in response to endoplasmic reticulum stress {GO:0070059}; positive regulation of peptidyl-threonine phosphorylation {GO:0010800}; positive regulation of tumor necrosis factor-mediated signaling pathway {GO:1903265}; positive regulation of type I interferon-mediated signaling pathway {GO:0060340}; proteasome-mediated ubiquitin-dependent protein catabolic process {GO:0043161}; protein K48-linked ubiquitination {GO:0070936}; protein polyubiquitination {GO:0000209}; regulation of proteasomal ubiquitin-dependent protein catabolic process {GO:0032434}</t>
  </si>
  <si>
    <t>cytoplasm {GO:0005737}; filopodium tip {GO:0032433}; nucleus {GO:0005634}</t>
  </si>
  <si>
    <t>ATP binding {GO:0005524}; ubiquitin conjugating enzyme activity {GO:0061631}; ubiquitin protein ligase binding {GO:0031625}; ubiquitin-protein transferase activity {GO:0004842}; ubiquitin-ubiquitin ligase activity {GO:0034450}</t>
  </si>
  <si>
    <t>sp|P97447|FHL1_MOUSE</t>
  </si>
  <si>
    <t>Four and a half LIM domains protein 1 (FHL-1)</t>
  </si>
  <si>
    <t>KyoT; RBP-associated molecule 14-1 (RAM14-1); Skeletal muscle LIM-protein 1 (SLIM; SLIM-1)</t>
  </si>
  <si>
    <t>FHL1_MOUSE</t>
  </si>
  <si>
    <t>P97447</t>
  </si>
  <si>
    <t>O55181; Q8K318</t>
  </si>
  <si>
    <t>MGI:1298387</t>
  </si>
  <si>
    <t>3D-structure; Acetylation; Alternative splicing; Cytoplasm; Developmental protein; Differentiation; Isopeptide bond; LIM domain; Metal-binding; Nucleus; Repeat; Ubl conjugation; Zinc; Zinc-finger</t>
  </si>
  <si>
    <t>cell differentiation {GO:0030154}; muscle organ development {GO:0007517}; negative regulation of cell growth {GO:0030308}; negative regulation of G1/S transition of mitotic cell cycle {GO:2000134}; negative regulation of G2/M transition of mitotic cell cycle {GO:0010972}; positive regulation of potassium ion transport {GO:0043268}; regulation of membrane depolarization {GO:0003254}; regulation of potassium ion transmembrane transporter activity {GO:1901016}</t>
  </si>
  <si>
    <t>metal ion binding {GO:0046872}; transmembrane transporter binding {GO:0044325}</t>
  </si>
  <si>
    <t>sp|Q99KK2|NEUA_MOUSE</t>
  </si>
  <si>
    <t>N-acylneuraminate cytidylyltransferase</t>
  </si>
  <si>
    <t>CMP-N-acetylneuraminic acid synthase (CMP-NeuNAc synthase)</t>
  </si>
  <si>
    <t>NEUA_MOUSE</t>
  </si>
  <si>
    <t>Q99KK2</t>
  </si>
  <si>
    <t>O88719; Q8C330; Q8K2G7</t>
  </si>
  <si>
    <t>MGI:1337124</t>
  </si>
  <si>
    <t>3D-structure; Acetylation; Alternative splicing; Methylation; Nucleotidyltransferase; Nucleus; Transferase</t>
  </si>
  <si>
    <t>CMP-N-acetylneuraminate biosynthetic process {GO:0006055}; N-acetylneuraminate metabolic process {GO:0006054}</t>
  </si>
  <si>
    <t>N-acylneuraminate cytidylyltransferase activity {GO:0008781}</t>
  </si>
  <si>
    <t>Amino-sugar metabolism; N-acetylneuraminate metabolism.</t>
  </si>
  <si>
    <t>sp|Q78PG9|CCD25_MOUSE</t>
  </si>
  <si>
    <t>Coiled-coil domain-containing protein 25</t>
  </si>
  <si>
    <t>CCD25_MOUSE</t>
  </si>
  <si>
    <t>Q78PG9</t>
  </si>
  <si>
    <t>Q9CSQ8; Q9CUF8</t>
  </si>
  <si>
    <t>MGI:1914429</t>
  </si>
  <si>
    <t>Acetylation; Cell membrane; Coiled coil; DNA-binding; Membrane; Phosphoprotein; Transmembrane; Transmembrane helix</t>
  </si>
  <si>
    <t>positive regulation of cell motility {GO:2000147}</t>
  </si>
  <si>
    <t>endomembrane system {GO:0012505}; integral component of plasma membrane {GO:0005887}</t>
  </si>
  <si>
    <t>sp|Q9D883|U2AF1_MOUSE</t>
  </si>
  <si>
    <t>Splicing factor U2AF 35 kDa subunit</t>
  </si>
  <si>
    <t>U2 auxiliary factor 35 kDa subunit; U2 snRNP auxiliary factor small subunit</t>
  </si>
  <si>
    <t>U2AF1_MOUSE</t>
  </si>
  <si>
    <t>Q9D883</t>
  </si>
  <si>
    <t>Q564E4; Q99LX2; Q9CZ98</t>
  </si>
  <si>
    <t>MGI:98884</t>
  </si>
  <si>
    <t>Acetylation; Metal-binding; Methylation; mRNA processing; mRNA splicing; Nucleus; Phosphoprotein; Repeat; RNA-binding; Spliceosome; Zinc; Zinc-finger</t>
  </si>
  <si>
    <t>catalytic step 2 spliceosome {GO:0071013}; nuclear speck {GO:0016607}; nucleoplasm {GO:0005654}; spliceosomal complex {GO:0005681}; U2AF complex {GO:0089701}</t>
  </si>
  <si>
    <t>metal ion binding {GO:0046872}; pre-mRNA 3'-splice site binding {GO:0030628}; RS domain binding {GO:0050733}</t>
  </si>
  <si>
    <t>sp|O70493|SNX12_MOUSE</t>
  </si>
  <si>
    <t>Sorting nexin-12</t>
  </si>
  <si>
    <t>SDP8 protein</t>
  </si>
  <si>
    <t>SNX12_MOUSE</t>
  </si>
  <si>
    <t>O70493</t>
  </si>
  <si>
    <t>Q9D0N3</t>
  </si>
  <si>
    <t>MGI:1919331</t>
  </si>
  <si>
    <t>Acetylation; Lipid-binding; Membrane; Phosphoprotein; Protein transport; Transport</t>
  </si>
  <si>
    <t>endocytic recycling {GO:0032456}; late endosome to Golgi transport {GO:0034499}; negative regulation of early endosome to late endosome transport {GO:2000642}; negative regulation of gene expression {GO:0010629}; negative regulation of protein catabolic process {GO:0042177}; negative regulation of protein processing {GO:0010955}; negative regulation of protein transport {GO:0051224}; protein transport {GO:0015031}; regulation of endocytosis {GO:0030100}</t>
  </si>
  <si>
    <t>early endosome {GO:0005769}; early endosome membrane {GO:0031901}; retromer complex {GO:0030904}</t>
  </si>
  <si>
    <t>enzyme binding {GO:0019899}; phosphatidylinositol binding {GO:0035091}; phosphatidylinositol-3-phosphate binding {GO:0032266}</t>
  </si>
  <si>
    <t>sp|Q9JHU9|INO1_MOUSE</t>
  </si>
  <si>
    <t>Inositol-3-phosphate synthase 1 (IPS 1)</t>
  </si>
  <si>
    <t>Myo-inositol 1-phosphate synthase (MI-1-P synthase; MIP synthase)</t>
  </si>
  <si>
    <t>INO1_MOUSE</t>
  </si>
  <si>
    <t>Q9JHU9</t>
  </si>
  <si>
    <t>Ino1</t>
  </si>
  <si>
    <t>MGI:1919030</t>
  </si>
  <si>
    <t>Cytoplasm; Inositol biosynthesis; Isomerase; Lipid biosynthesis; Lipid metabolism; NAD; Phospholipid biosynthesis; Phospholipid metabolism; Phosphoprotein</t>
  </si>
  <si>
    <t>Inositol biosynthesis; Lipid biosynthesis; Lipid metabolism; Phospholipid biosynthesis; Phospholipid metabolism</t>
  </si>
  <si>
    <t>inositol biosynthetic process {GO:0006021}; phospholipid biosynthetic process {GO:0008654}</t>
  </si>
  <si>
    <t>inositol-3-phosphate synthase activity {GO:0004512}</t>
  </si>
  <si>
    <t>Polyol metabolism; myo-inositol biosynthesis; myo-inositol from D-glucose 6-phosphate: step 1/2.</t>
  </si>
  <si>
    <t>sp|Q3UH60|DIP2B_MOUSE</t>
  </si>
  <si>
    <t>Disco-interacting protein 2 homolog B (DIP2 homolog B)</t>
  </si>
  <si>
    <t>DIP2B_MOUSE</t>
  </si>
  <si>
    <t>Q3UH60</t>
  </si>
  <si>
    <t>Q8C1W5; Q8CDG9; Q8CHA2</t>
  </si>
  <si>
    <t>Kiaa1463</t>
  </si>
  <si>
    <t>MGI:2145977</t>
  </si>
  <si>
    <t>Alternative splicing; Cell projection; Neurogenesis; Phosphoprotein</t>
  </si>
  <si>
    <t>negative regulation of axon extension {GO:0030517}; nervous system development {GO:0007399}; positive regulation of peptidyl-lysine acetylation {GO:2000758}</t>
  </si>
  <si>
    <t>axon {GO:0030424}; cytoplasm {GO:0005737}; dendrite {GO:0030425}; nucleus {GO:0005634}; perikaryon {GO:0043204}</t>
  </si>
  <si>
    <t>alpha-tubulin binding {GO:0043014}</t>
  </si>
  <si>
    <t>sp|Q8CG76|ARK72_MOUSE</t>
  </si>
  <si>
    <t>Aflatoxin B1 aldehyde reductase member 2</t>
  </si>
  <si>
    <t>Succinic semialdehyde reductase (SSA reductase)</t>
  </si>
  <si>
    <t>ARK72_MOUSE</t>
  </si>
  <si>
    <t>Q8CG76</t>
  </si>
  <si>
    <t>A2AMV3; Q3UPU2; Q8CG77; Q8JZQ8; Q9D157</t>
  </si>
  <si>
    <t>MGI:107796</t>
  </si>
  <si>
    <t>3D-structure; Acetylation; Cytoplasm; Golgi apparatus; Lipid metabolism; NADP; Oxidoreductase; Phosphoprotein</t>
  </si>
  <si>
    <t>lipid metabolic process {GO:0006629}</t>
  </si>
  <si>
    <t>cytoplasm {GO:0005737}; cytosol {GO:0005829}; Golgi apparatus {GO:0005794}; mitochondrion {GO:0005739}; nuclear envelope {GO:0005635}</t>
  </si>
  <si>
    <t>alditol:NADP+ 1-oxidoreductase activity {GO:0004032}; aldo-keto reductase (NADP) activity {GO:0004033}; identical protein binding {GO:0042802}; phenanthrene-9,10-epoxide hydrolase activity {GO:0019119}</t>
  </si>
  <si>
    <t>Aflatoxin activation and detoxification {R-MMU-5423646}</t>
  </si>
  <si>
    <t>sp|Q8CGZ0|CHERP_MOUSE</t>
  </si>
  <si>
    <t>Calcium homeostasis endoplasmic reticulum protein</t>
  </si>
  <si>
    <t>SR-related CTD-associated factor 6</t>
  </si>
  <si>
    <t>CHERP_MOUSE</t>
  </si>
  <si>
    <t>Q8CGZ0</t>
  </si>
  <si>
    <t>Q8K291; Q8VCD2</t>
  </si>
  <si>
    <t>MGI:106417</t>
  </si>
  <si>
    <t>Acetylation; Cytoplasm; Endoplasmic reticulum; Isopeptide bond; Phosphoprotein; Ubl conjugation</t>
  </si>
  <si>
    <t>cellular calcium ion homeostasis {GO:0006874}; negative regulation of cell population proliferation {GO:0008285}; positive regulation of calcineurin-NFAT signaling cascade {GO:0070886}; release of sequestered calcium ion into cytosol {GO:0051209}; RNA processing {GO:0006396}</t>
  </si>
  <si>
    <t>cytoplasm {GO:0005737}; perinuclear region of cytoplasm {GO:0048471}; sarcoplasmic reticulum membrane {GO:0033017}</t>
  </si>
  <si>
    <t>RNA binding {GO:0003723}; transmembrane transporter binding {GO:0044325}</t>
  </si>
  <si>
    <t>sp|P00493|HPRT_MOUSE</t>
  </si>
  <si>
    <t>Hypoxanthine-guanine phosphoribosyltransferase (HGPRT; HGPRTase)</t>
  </si>
  <si>
    <t>HPRT B</t>
  </si>
  <si>
    <t>HPRT_MOUSE</t>
  </si>
  <si>
    <t>P00493</t>
  </si>
  <si>
    <t>Q545Y2</t>
  </si>
  <si>
    <t>Hprt</t>
  </si>
  <si>
    <t>MGI:96217</t>
  </si>
  <si>
    <t>Acetylation; Cytoplasm; Glycosyltransferase; Isopeptide bond; Magnesium; Metal-binding; Nucleotide-binding; Phosphoprotein; Purine salvage; Transferase; Ubl conjugation</t>
  </si>
  <si>
    <t>Magnesium; Metal-binding; Nucleotide-binding</t>
  </si>
  <si>
    <t>adenine metabolic process {GO:0046083}; AMP salvage {GO:0044209}; central nervous system neuron development {GO:0021954}; cerebral cortex neuron differentiation {GO:0021895}; dendrite morphogenesis {GO:0048813}; dopamine metabolic process {GO:0042417}; dopaminergic neuron differentiation {GO:0071542}; GMP catabolic process {GO:0046038}; GMP salvage {GO:0032263}; grooming behavior {GO:0007625}; guanine salvage {GO:0006178}; hypoxanthine metabolic process {GO:0046100}; hypoxanthine salvage {GO:0043103}; IMP metabolic process {GO:0046040}; IMP salvage {GO:0032264}; locomotory behavior {GO:0007626}; lymphocyte proliferation {GO:0046651}; positive regulation of dopamine metabolic process {GO:0045964}; protein homotetramerization {GO:0051289}; purine nucleotide biosynthetic process {GO:0006164}; purine ribonucleoside salvage {GO:0006166}; response to amphetamine {GO:0001975}; striatum development {GO:0021756}; T cell mediated cytotoxicity {GO:0001913}</t>
  </si>
  <si>
    <t>guanine phosphoribosyltransferase activity {GO:0052657}; hypoxanthine phosphoribosyltransferase activity {GO:0004422}; identical protein binding {GO:0042802}; magnesium ion binding {GO:0000287}; nucleotide binding {GO:0000166}</t>
  </si>
  <si>
    <t>Purine metabolism; IMP biosynthesis via salvage pathway; IMP from hypoxanthine: step 1/1.</t>
  </si>
  <si>
    <t>Purine salvage {R-MMU-74217}; Azathioprine ADME {R-MMU-9748787}</t>
  </si>
  <si>
    <t>sp|Q9CQ62|DECR_MOUSE</t>
  </si>
  <si>
    <t>2,4-dienoyl-CoA reductase [(3E)-enoyl-CoA-producing], mitochondrial</t>
  </si>
  <si>
    <t>2,4-dienoyl-CoA reductase [NADPH] (4-enoyl-CoA reductase [NADPH])</t>
  </si>
  <si>
    <t>DECR_MOUSE</t>
  </si>
  <si>
    <t>Q9CQ62</t>
  </si>
  <si>
    <t>Q9DCI7</t>
  </si>
  <si>
    <t>MGI:1914710</t>
  </si>
  <si>
    <t>Acetylation; Fatty acid metabolism; Lipid metabolism; Mitochondrion; NADP; Oxidoreductase; Phosphoprotein; Transit peptide</t>
  </si>
  <si>
    <t>fatty acid beta-oxidation {GO:0006635}; positive regulation of cold-induced thermogenesis {GO:0120162}</t>
  </si>
  <si>
    <t>catalytic complex {GO:1902494}; cytosol {GO:0005829}; mitochondrion {GO:0005739}; nucleoplasm {GO:0005654}</t>
  </si>
  <si>
    <t>2,4-dienoyl-CoA reductase (NADPH) activity {GO:0008670}; identical protein binding {GO:0042802}; NADPH binding {GO:0070402}</t>
  </si>
  <si>
    <t>sp|Q6PER3|MARE3_MOUSE</t>
  </si>
  <si>
    <t>Microtubule-associated protein RP/EB family member 3</t>
  </si>
  <si>
    <t>EB1 protein family member 3 (EBF3); End-binding protein 3 (EB3); RP3</t>
  </si>
  <si>
    <t>MARE3_MOUSE</t>
  </si>
  <si>
    <t>Q6PER3</t>
  </si>
  <si>
    <t>Q61167</t>
  </si>
  <si>
    <t>MGI:2140967</t>
  </si>
  <si>
    <t>Cell cycle; Cell division; Cytoplasm; Cytoskeleton; Microtubule; Mitosis; Phosphoprotein</t>
  </si>
  <si>
    <t>cell division {GO:0051301}; positive regulation of cyclin-dependent protein serine/threonine kinase activity {GO:0045737}; positive regulation of DNA-templated transcription {GO:0045893}; positive regulation of microtubule plus-end binding {GO:1903033}; positive regulation of protein kinase activity {GO:0045860}; protein localization to microtubule plus-end {GO:1904825}; regulation of microtubule polymerization {GO:0031113}; regulation of microtubule polymerization or depolymerization {GO:0031110}; spindle assembly {GO:0051225}</t>
  </si>
  <si>
    <t>cytoplasm {GO:0005737}; cytoplasmic microtubule {GO:0005881}; microtubule cytoskeleton {GO:0015630}; microtubule organizing center {GO:0005815}; microtubule plus-end {GO:0035371}; midbody {GO:0030496}; mitotic spindle astral microtubule end {GO:1905721}; perinuclear region of cytoplasm {GO:0048471}; spindle midzone {GO:0051233}</t>
  </si>
  <si>
    <t>identical protein binding {GO:0042802}; microtubule binding {GO:0008017}; microtubule plus-end binding {GO:0051010}; protein C-terminus binding {GO:0008022}; protein kinase binding {GO:0019901}</t>
  </si>
  <si>
    <t>sp|Q62351|TFR1_MOUSE</t>
  </si>
  <si>
    <t>Transferrin receptor protein 1 (TR; TfR; TfR1; Trfr)</t>
  </si>
  <si>
    <t>CD_antigen=CD71</t>
  </si>
  <si>
    <t>TFR1_MOUSE</t>
  </si>
  <si>
    <t>Q62351</t>
  </si>
  <si>
    <t>Q61560</t>
  </si>
  <si>
    <t>Trfr</t>
  </si>
  <si>
    <t>MGI:98822</t>
  </si>
  <si>
    <t>Cell membrane; Disulfide bond; Endocytosis; Glycoprotein; Lipoprotein; Membrane; Palmitate; Phosphoprotein; Receptor; Signal-anchor; Transmembrane; Transmembrane helix</t>
  </si>
  <si>
    <t>acute-phase response {GO:0006953}; aging {GO:0007568}; cellular iron ion homeostasis {GO:0006879}; cellular response to extracellular stimulus {GO:0031668}; cellular response to iron ion {GO:0071281}; cellular response to leukemia inhibitory factor {GO:1990830}; cellular response to xenobiotic stimulus {GO:0071466}; intracellular signal transduction {GO:0035556}; iron ion transport {GO:0006826}; negative regulation of apoptotic process {GO:0043066}; negative regulation of mitochondrial fusion {GO:0010637}; osteoclast differentiation {GO:0030316}; positive regulation of B cell proliferation {GO:0030890}; positive regulation of bone resorption {GO:0045780}; positive regulation of gene expression {GO:0010628}; positive regulation of I-kappaB kinase/NF-kappaB signaling {GO:0043123}; positive regulation of isotype switching {GO:0045830}; positive regulation of NF-kappaB transcription factor activity {GO:0051092}; positive regulation of peptidyl-serine phosphorylation {GO:0033138}; positive regulation of protein localization to nucleus {GO:1900182}; positive regulation of protein phosphorylation {GO:0001934}; positive regulation of protein-containing complex assembly {GO:0031334}; positive regulation of T cell proliferation {GO:0042102}; receptor internalization {GO:0031623}; response to copper ion {GO:0046688}; response to hypoxia {GO:0001666}; response to manganese ion {GO:0010042}; response to nutrient {GO:0007584}; response to retinoic acid {GO:0032526}; transferrin transport {GO:0033572}</t>
  </si>
  <si>
    <t>basolateral plasma membrane {GO:0016323}; cell surface {GO:0009986}; clathrin-coated pit {GO:0005905}; cytoplasm {GO:0005737}; cytoplasmic vesicle {GO:0031410}; early endosome {GO:0005769}; endosome {GO:0005768}; endosome membrane {GO:0010008}; external side of plasma membrane {GO:0009897}; extracellular exosome {GO:0070062}; extracellular region {GO:0005576}; extracellular space {GO:0005615}; HFE-transferrin receptor complex {GO:1990712}; integral component of plasma membrane {GO:0005887}; intracellular membrane-bounded organelle {GO:0043231}; melanosome {GO:0042470}; membrane {GO:0016020}; mitochondrion {GO:0005739}; nucleus {GO:0005634}; perinuclear region of cytoplasm {GO:0048471}; plasma membrane {GO:0005886}; recycling endosome {GO:0055037}; recycling endosome membrane {GO:0055038}</t>
  </si>
  <si>
    <t>chaperone binding {GO:0051087}; double-stranded RNA binding {GO:0003725}; Hsp70 protein binding {GO:0030544}; identical protein binding {GO:0042802}; iron ion transmembrane transporter activity {GO:0005381}; protein homodimerization activity {GO:0042803}; protein kinase binding {GO:0019901}; protein-containing complex binding {GO:0044877}; transferrin receptor activity {GO:0004998}</t>
  </si>
  <si>
    <t>Golgi Associated Vesicle Biogenesis {R-MMU-432722}; Cargo recognition for clathrin-mediated endocytosis {R-MMU-8856825}; Clathrin-mediated endocytosis {R-MMU-8856828}; RHOA GTPase cycle {R-MMU-8980692}; RHOB GTPase cycle {R-MMU-9013026}; RHOC GTPase cycle {R-MMU-9013106}; RAC1 GTPase cycle {R-MMU-9013149}; RAC2 GTPase cycle {R-MMU-9013404}; RHOQ GTPase cycle {R-MMU-9013406}; RHOH GTPase cycle {R-MMU-9013407}; RHOG GTPase cycle {R-MMU-9013408}; RAC3 GTPase cycle {R-MMU-9013423}; Transferrin endocytosis and recycling {R-MMU-917977}; RND2 GTPase cycle {R-MMU-9696270}; RND1 GTPase cycle {R-MMU-9696273}</t>
  </si>
  <si>
    <t>sp|G3X9J0|SI1L3_MOUSE</t>
  </si>
  <si>
    <t>Signal-induced proliferation-associated 1-like protein 3 (SIPA1-like protein 3)</t>
  </si>
  <si>
    <t>SPA-1-like protein 3</t>
  </si>
  <si>
    <t>SI1L3_MOUSE</t>
  </si>
  <si>
    <t>G3X9J0</t>
  </si>
  <si>
    <t>Spal3</t>
  </si>
  <si>
    <t>MGI:1921456</t>
  </si>
  <si>
    <t>Acetylation; Cell membrane; Coiled coil; GTPase activation; Membrane; Phosphoprotein</t>
  </si>
  <si>
    <t>activation of GTPase activity {GO:0090630}; cytoskeleton organization {GO:0007010}; epithelial cell morphogenesis {GO:0003382}; establishment of epithelial cell polarity {GO:0090162}; eye development {GO:0001654}; hematopoietic progenitor cell differentiation {GO:0002244}; regulation of small GTPase mediated signal transduction {GO:0051056}</t>
  </si>
  <si>
    <t>apical part of cell {GO:0045177}; apical plasma membrane {GO:0016324}; cytoplasm {GO:0005737}; Golgi apparatus {GO:0005794}; nucleoplasm {GO:0005654}; plasma membrane {GO:0005886}; stress fiber {GO:0001725}; tricellular tight junction {GO:0061689}</t>
  </si>
  <si>
    <t>GTPase activator activity {GO:0005096}</t>
  </si>
  <si>
    <t>sp|Q8VHI5|VITRN_MOUSE</t>
  </si>
  <si>
    <t>Vitrin</t>
  </si>
  <si>
    <t>Akhirin</t>
  </si>
  <si>
    <t>VITRN_MOUSE</t>
  </si>
  <si>
    <t>Q8VHI5</t>
  </si>
  <si>
    <t>Q3TZ47; Q8BQ41; Q8K047; Q9CYZ1</t>
  </si>
  <si>
    <t>Akh</t>
  </si>
  <si>
    <t>MGI:1921449</t>
  </si>
  <si>
    <t>Alternative splicing; Disulfide bond; Extracellular matrix; Glycoprotein; Neurogenesis; Repeat; Secreted; Signal</t>
  </si>
  <si>
    <t>extracellular matrix organization {GO:0030198}; positive regulation of cell-substrate adhesion {GO:0010811}; spinal cord development {GO:0021510}</t>
  </si>
  <si>
    <t>collagen-containing extracellular matrix {GO:0062023}; extracellular matrix {GO:0031012}; extracellular region {GO:0005576}; interstitial matrix {GO:0005614}</t>
  </si>
  <si>
    <t>glycosaminoglycan binding {GO:0005539}</t>
  </si>
  <si>
    <t>sp|P02463|CO4A1_MOUSE</t>
  </si>
  <si>
    <t>Arresten</t>
  </si>
  <si>
    <t>CO4A1_MOUSE</t>
  </si>
  <si>
    <t>P02463</t>
  </si>
  <si>
    <t>Q3UHJ4; Q3UJE7; Q3UQV2; Q53X35; Q6GQS7; Q6PHB5; Q99LQ8</t>
  </si>
  <si>
    <t>MGI:88454</t>
  </si>
  <si>
    <t>Angiogenesis; Basement membrane; Collagen; Disulfide bond; Extracellular matrix; Glycoprotein; Hydroxylation; Repeat; Secreted; Signal</t>
  </si>
  <si>
    <t>Disulfide bond; Glycoprotein; Hydroxylation</t>
  </si>
  <si>
    <t>basement membrane organization {GO:0071711}; blood vessel morphogenesis {GO:0048514}; brain development {GO:0007420}; branching involved in blood vessel morphogenesis {GO:0001569}; cellular response to amino acid stimulus {GO:0071230}; collagen-activated tyrosine kinase receptor signaling pathway {GO:0038063}; epithelial cell differentiation {GO:0030855}; extracellular matrix organization {GO:0030198}; neuromuscular junction development {GO:0007528}; renal tubule morphogenesis {GO:0061333}; retinal blood vessel morphogenesis {GO:0061304}</t>
  </si>
  <si>
    <t>extracellular matrix structural constituent {GO:0005201}; extracellular matrix structural constituent conferring tensile strength {GO:0030020}; platelet-derived growth factor binding {GO:0048407}</t>
  </si>
  <si>
    <t>sp|Q9WVA3|BUB3_MOUSE</t>
  </si>
  <si>
    <t>Mitotic checkpoint protein BUB3</t>
  </si>
  <si>
    <t>WD repeat type I transmembrane protein A72.5</t>
  </si>
  <si>
    <t>BUB3_MOUSE</t>
  </si>
  <si>
    <t>Q9WVA3</t>
  </si>
  <si>
    <t>P97397; Q6ZWM5</t>
  </si>
  <si>
    <t>MGI:1343463</t>
  </si>
  <si>
    <t>Acetylation; ADP-ribosylation; Cell cycle; Cell division; Centromere; Chromosome; Chromosome partition; Isopeptide bond; Kinetochore; Meiosis; Mitosis; Nucleus; Phosphoprotein; Repeat; Ubl conjugation; WD repeat</t>
  </si>
  <si>
    <t>Cell cycle; Cell division; Chromosome partition; Meiosis; Mitosis</t>
  </si>
  <si>
    <t>attachment of spindle microtubules to kinetochore {GO:0008608}; cell division {GO:0051301}; chromosome segregation {GO:0007059}; meiotic cell cycle {GO:0051321}; mitotic sister chromatid segregation {GO:0000070}; mitotic spindle assembly checkpoint signaling {GO:0007094}; negative regulation of ubiquitin-protein transferase activity {GO:0051444}; protein localization to kinetochore {GO:0034501}; regulation of chromosome segregation {GO:0051983}</t>
  </si>
  <si>
    <t>bub1-bub3 complex {GO:1990298}; kinetochore {GO:0000776}; mitotic checkpoint complex {GO:0033597}; nucleoplasm {GO:0005654}</t>
  </si>
  <si>
    <t>ubiquitin binding {GO:0043130}</t>
  </si>
  <si>
    <t>Inactivation of APC/C via direct inhibition of the APC/C complex {R-MMU-141430}; Amplification of signal from unattached kinetochores via a MAD2 inhibitory signal {R-MMU-141444}; Cdc20:Phospho-APC/C mediated degradation of Cyclin A {R-MMU-174184}; APC/C:Cdc20 mediated degradation of mitotic proteins {R-MMU-176409}; APC-Cdc20 mediated degradation of Nek2A {R-MMU-179409}; Separation of Sister Chromatids {R-MMU-2467813}; Resolution of Sister Chromatid Cohesion {R-MMU-2500257}; RHO GTPases Activate Formins {R-MMU-5663220}; Mitotic Prometaphase {R-MMU-68877}; EML4 and NUDC in mitotic spindle formation {R-MMU-9648025}</t>
  </si>
  <si>
    <t>sp|Q9CQF9|PCYOX_MOUSE</t>
  </si>
  <si>
    <t>Prenylcysteine oxidase 1</t>
  </si>
  <si>
    <t>Prenylcysteine lyase</t>
  </si>
  <si>
    <t>PCYOX_MOUSE</t>
  </si>
  <si>
    <t>Q9CQF9</t>
  </si>
  <si>
    <t>Q3UHV6; Q69ZW0; Q8BZX1</t>
  </si>
  <si>
    <t>MGI:1914131</t>
  </si>
  <si>
    <t>FAD; Flavoprotein; Glycoprotein; Lysosome; Oxidoreductase; Signal</t>
  </si>
  <si>
    <t>chloride transmembrane transport {GO:1902476}; prenylated protein catabolic process {GO:0030327}; prenylcysteine catabolic process {GO:0030328}</t>
  </si>
  <si>
    <t>lysosome {GO:0005764}; plasma membrane {GO:0005886}; very-low-density lipoprotein particle {GO:0034361}</t>
  </si>
  <si>
    <t>FAD binding {GO:0071949}; farnesylcysteine lyase activity {GO:0102149}; prenylcysteine oxidase activity {GO:0001735}</t>
  </si>
  <si>
    <t>sp|O35143|ATIF1_MOUSE</t>
  </si>
  <si>
    <t>ATPase inhibitor, mitochondrial</t>
  </si>
  <si>
    <t>ATP synthase F1 subunit epsilon; Inhibitor of F(1)F(o)-ATPase (IF(1); IF1)</t>
  </si>
  <si>
    <t>ATIF1_MOUSE</t>
  </si>
  <si>
    <t>O35143</t>
  </si>
  <si>
    <t>Q9D879</t>
  </si>
  <si>
    <t>MGI:1196457</t>
  </si>
  <si>
    <t>Coiled coil; Mitochondrion; Phosphoprotein; Transit peptide</t>
  </si>
  <si>
    <t>Coiled coil; Transit peptide</t>
  </si>
  <si>
    <t>erythrocyte differentiation {GO:0030218}; heme biosynthetic process {GO:0006783}; mitochondrial depolarization {GO:0051882}; negative regulation of ATP-dependent activity {GO:0032780}; negative regulation of endothelial cell proliferation {GO:0001937}; negative regulation of hydrolase activity {GO:0051346}; positive regulation of autophagy of mitochondrion in response to mitochondrial depolarization {GO:1904925}; positive regulation of mitochondrial outer membrane permeabilization involved in apoptotic signaling pathway {GO:1901030}; positive regulation of proteolysis involved in protein catabolic process {GO:1903052}; reactive oxygen species metabolic process {GO:0072593}; regulation of ATP metabolic process {GO:1903578}; regulation of protein targeting to mitochondrion {GO:1903214}</t>
  </si>
  <si>
    <t>cell surface {GO:0009986}; mitochondrion {GO:0005739}; protein-containing complex {GO:0032991}</t>
  </si>
  <si>
    <t>angiostatin binding {GO:0043532}; ATPase binding {GO:0051117}; ATPase inhibitor activity {GO:0042030}; calmodulin binding {GO:0005516}; enzyme binding {GO:0019899}; identical protein binding {GO:0042802}; mitochondrial proton-transporting ATP synthase complex binding {GO:0140260}</t>
  </si>
  <si>
    <t>sp|Q8BQM7|SMCO3_MOUSE</t>
  </si>
  <si>
    <t>Single-pass membrane and coiled-coil domain-containing protein 3</t>
  </si>
  <si>
    <t>SMCO3_MOUSE</t>
  </si>
  <si>
    <t>Q8BQM7</t>
  </si>
  <si>
    <t>Q8BNZ4; Q8BR60</t>
  </si>
  <si>
    <t>MGI:2443451</t>
  </si>
  <si>
    <t>Coiled coil; Membrane; Transmembrane; Transmembrane helix</t>
  </si>
  <si>
    <t>integral component of membrane {GO:0016021}</t>
  </si>
  <si>
    <t>sp|Q569Z5|DDX46_MOUSE</t>
  </si>
  <si>
    <t>Probable ATP-dependent RNA helicase DDX46</t>
  </si>
  <si>
    <t>DEAD box protein 46</t>
  </si>
  <si>
    <t>DDX46_MOUSE</t>
  </si>
  <si>
    <t>Q569Z5</t>
  </si>
  <si>
    <t>Q6ZQ42; Q8R0R6</t>
  </si>
  <si>
    <t>Kiaa0801</t>
  </si>
  <si>
    <t>MGI:1920895</t>
  </si>
  <si>
    <t>Acetylation; Alternative splicing; ATP-binding; Coiled coil; Helicase; Hydrolase; Isopeptide bond; Lipoprotein; Membrane; mRNA processing; mRNA splicing; Myristate; Nucleotide-binding; Nucleus; Phosphoprotein; RNA-binding; Ubl conjugation</t>
  </si>
  <si>
    <t>Cajal body {GO:0015030}; fibrillar center {GO:0001650}; membrane {GO:0016020}; nuclear speck {GO:0016607}; nucleus {GO:0005634}</t>
  </si>
  <si>
    <t>sp|Q8CI95|OSB11_MOUSE</t>
  </si>
  <si>
    <t>Oxysterol-binding protein-related protein 11 (ORP-11; OSBP-related protein 11)</t>
  </si>
  <si>
    <t>OSB11_MOUSE</t>
  </si>
  <si>
    <t>Q8CI95</t>
  </si>
  <si>
    <t>MGI:2146553</t>
  </si>
  <si>
    <t>Acetylation; Endosome; Golgi apparatus; Lipid transport; Lipid-binding; Membrane; Phosphoprotein; Transport</t>
  </si>
  <si>
    <t>fat cell differentiation {GO:0045444}; positive regulation of sequestering of triglyceride {GO:0010890}</t>
  </si>
  <si>
    <t>cytosol {GO:0005829}; Golgi apparatus {GO:0005794}; intracellular membrane-bounded organelle {GO:0043231}; late endosome membrane {GO:0031902}; membrane {GO:0016020}; nucleoplasm {GO:0005654}</t>
  </si>
  <si>
    <t>sterol binding {GO:0032934}; sterol transporter activity {GO:0015248}</t>
  </si>
  <si>
    <t>sp|P60840|ENSA_MOUSE</t>
  </si>
  <si>
    <t>Alpha-endosulfine</t>
  </si>
  <si>
    <t>ARPP-19e</t>
  </si>
  <si>
    <t>ENSA_MOUSE</t>
  </si>
  <si>
    <t>P60840</t>
  </si>
  <si>
    <t>Q5D069; Q6PBG4; Q9CQZ9; Q9Z0G1</t>
  </si>
  <si>
    <t>MGI:1891189</t>
  </si>
  <si>
    <t>Acetylation; Alternative splicing; Cell cycle; Cell division; Cytoplasm; Mitosis; Phosphoprotein; Protein phosphatase inhibitor</t>
  </si>
  <si>
    <t>Protein phosphatase inhibitor</t>
  </si>
  <si>
    <t>cell division {GO:0051301}; G2/M transition of mitotic cell cycle {GO:0000086}; mitotic cell cycle {GO:0000278}; negative regulation of protein dephosphorylation {GO:0035308}; regulation of insulin secretion {GO:0050796}</t>
  </si>
  <si>
    <t>phosphatase inhibitor activity {GO:0019212}; potassium channel inhibitor activity {GO:0019870}; protein phosphatase 2A binding {GO:0051721}; protein phosphatase inhibitor activity {GO:0004864}; protein phosphatase regulator activity {GO:0019888}; signaling receptor binding {GO:0005102}</t>
  </si>
  <si>
    <t>sp|P61327|MGN_MOUSE</t>
  </si>
  <si>
    <t>Protein mago nashi homolog</t>
  </si>
  <si>
    <t>MGN_MOUSE</t>
  </si>
  <si>
    <t>P61327</t>
  </si>
  <si>
    <t>A2A8E0; O35169; P50606</t>
  </si>
  <si>
    <t>MGI:1330312</t>
  </si>
  <si>
    <t>Acetylation; Cytoplasm; mRNA processing; mRNA splicing; mRNA transport; Nonsense-mediated mRNA decay; Nucleus; RNA-binding; Spliceosome; Translation regulation; Transport</t>
  </si>
  <si>
    <t>female gamete generation {GO:0007292}; mRNA export from nucleus {GO:0006406}; mRNA processing {GO:0006397}; nuclear-transcribed mRNA catabolic process, nonsense-mediated decay {GO:0000184}; regulation of alternative mRNA splicing, via spliceosome {GO:0000381}; regulation of mRNA processing {GO:0050684}; regulation of nuclear-transcribed mRNA catabolic process, nonsense-mediated decay {GO:2000622}; regulation of translation {GO:0006417}; RNA splicing {GO:0008380}</t>
  </si>
  <si>
    <t>catalytic step 2 spliceosome {GO:0071013}; cytosol {GO:0005829}; exon-exon junction complex {GO:0035145}; exon-exon junction subcomplex mago-y14 {GO:1990501}; nuclear speck {GO:0016607}; nucleus {GO:0005634}</t>
  </si>
  <si>
    <t>sp|P21107|TPM3_MOUSE</t>
  </si>
  <si>
    <t>Tropomyosin alpha-3 chain</t>
  </si>
  <si>
    <t>Gamma-tropomyosin; Tropomyosin-3</t>
  </si>
  <si>
    <t>TPM3_MOUSE</t>
  </si>
  <si>
    <t>P21107</t>
  </si>
  <si>
    <t>Q09021; Q60606; Q80SW6; Q9EPW3</t>
  </si>
  <si>
    <t>Tpm-5; Tpm5</t>
  </si>
  <si>
    <t>MGI:1890149</t>
  </si>
  <si>
    <t>Acetylation; Actin-binding; Alternative splicing; Coiled coil; Cytoplasm; Cytoskeleton; Muscle protein; Phosphoprotein</t>
  </si>
  <si>
    <t>actin cytoskeleton {GO:0015629}; actin filament {GO:0005884}; cleavage furrow {GO:0032154}; cortical cytoskeleton {GO:0030863}; cytoplasm {GO:0005737}; cytosol {GO:0005829}; growth cone {GO:0030426}; neuron projection {GO:0043005}; podosome {GO:0002102}; stress fiber {GO:0001725}</t>
  </si>
  <si>
    <t>sp|Q5SSW2|PSME4_MOUSE</t>
  </si>
  <si>
    <t>Proteasome activator complex subunit 4</t>
  </si>
  <si>
    <t>Proteasome activator PA200; Protein TEMO</t>
  </si>
  <si>
    <t>PSME4_MOUSE</t>
  </si>
  <si>
    <t>Q5SSW2</t>
  </si>
  <si>
    <t>C4IXU5; Q3TER7; Q3V2B7; Q6ZQJ7; Q7TMY9; Q8K0K0; Q99KM2; Q9ESY1</t>
  </si>
  <si>
    <t>Kiaa0077</t>
  </si>
  <si>
    <t>MGI:2143994</t>
  </si>
  <si>
    <t>Alternative splicing; Cytoplasm; Developmental protein; Differentiation; DNA damage; DNA repair; Nucleus; Phosphoprotein; Proteasome; Repeat; Spermatogenesis</t>
  </si>
  <si>
    <t>DNA damage; DNA repair; Differentiation; Spermatogenesis</t>
  </si>
  <si>
    <t>cellular response to DNA damage stimulus {GO:0006974}; DNA repair {GO:0006281}; proteasomal ubiquitin-independent protein catabolic process {GO:0010499}; spermatogenesis, exchange of chromosomal proteins {GO:0035093}</t>
  </si>
  <si>
    <t>cytosol {GO:0005829}; nuclear speck {GO:0016607}; nucleoplasm {GO:0005654}; nucleus {GO:0005634}; spermatoproteasome complex {GO:1990111}</t>
  </si>
  <si>
    <t>lysine-acetylated histone binding {GO:0070577}; peptidase activator activity {GO:0016504}; proteasome binding {GO:0070628}</t>
  </si>
  <si>
    <t>Activation of NF-kappaB in B cells {R-MMU-1169091}; Oxygen-dependent proline hydroxylation of Hypoxia-inducible Factor Alpha {R-MMU-1234176}; Cross-presentation of soluble exogenous antigens (endosomes) {R-MMU-1236978}; APC/C:Cdc20 mediated degradation of Securin {R-MMU-174154}; APC/C:Cdh1 mediated degradation of Cdc20 and other APC/C:Cdh1 targeted proteins in late mitosis/early G1 {R-MMU-174178}; Cdc20:Phospho-APC/C mediated degradation of Cyclin A {R-MMU-174184}; Degradation of beta-catenin by the destruction complex {R-MMU-195253}; Downstream TCR signaling {R-MMU-202424}; Separation of Sister Chromatids {R-MMU-2467813}; FCERI mediated NF-kB activation {R-MMU-2871837}; Autodegradation of the E3 ubiquitin ligase COP1 {R-MMU-349425}; Regulation of ornithine decarboxylase (ODC) {R-MMU-350562}; ABC-family proteins mediated transport {R-MMU-382556}; AUF1 (hnRNP D0) binds and destabilizes mRNA {R-MMU-450408}; Asymmetric localization of PCP proteins {R-MMU-4608870}; Degradation of AXIN {R-MMU-4641257}; Degradation of DVL {R-MMU-4641258}; Hedgehog ligand biogenesis {R-MMU-5358346}; Dectin-1 mediated noncanonical NF-kB signaling {R-MMU-5607761}; CLEC7A (Dectin-1) signaling {R-MMU-5607764}; Degradation of GLI1 by the proteasome {R-MMU-5610780}; GLI3 is processed to GLI3R by the proteasome {R-MMU-5610785}; Hedgehog 'on' state {R-MMU-5632684}; Regulation of RAS by GAPs {R-MMU-5658442}; TNFR2 non-canonical NF-kB pathway {R-MMU-5668541}; NIK--&gt;noncanonical NF-kB signaling {R-MMU-5676590}; MAPK6/MAPK4 signaling {R-MMU-5687128}; UCH proteinases {R-MMU-5689603}; Ub-specific processing proteases {R-MMU-5689880}; Orc1 removal from chromatin {R-MMU-68949}; CDK-mediated phosphorylation and removal of Cdc6 {R-MMU-69017}; G2/M Checkpoints {R-MMU-69481}; Ubiquitin Mediated Degradation of Phosphorylated Cdc25A {R-MMU-69601}; Ubiquitin-dependent degradation of Cyclin D {R-MMU-75815}; The role of GTSE1 in G2/M progression after G2 checkpoint {R-MMU-8852276}; FBXL7 down-regulates AURKA during mitotic entry and in early mitosis {R-MMU-8854050}; RUNX1 regulates transcription of genes involved in differentiation of HSCs {R-MMU-8939236}; Regulation of PTEN stability and activity {R-MMU-8948751}; Neddylation {R-MMU-8951664}; Interleukin-1 signaling {R-MMU-9020702}; KEAP1-NFE2L2 pathway {R-MMU-9755511}; Antigen processing: Ubiquitination &amp; Proteasome degradation {R-MMU-983168}</t>
  </si>
  <si>
    <t>sp|P54822|PUR8_MOUSE</t>
  </si>
  <si>
    <t>Adenylosuccinate lyase (ASL)</t>
  </si>
  <si>
    <t>Adenylosuccinase (ASase)</t>
  </si>
  <si>
    <t>PUR8_MOUSE</t>
  </si>
  <si>
    <t>P54822</t>
  </si>
  <si>
    <t>Q8VCD4</t>
  </si>
  <si>
    <t>Adl</t>
  </si>
  <si>
    <t>MGI:103202</t>
  </si>
  <si>
    <t>Acetylation; Isopeptide bond; Lyase; Purine biosynthesis; Ubl conjugation</t>
  </si>
  <si>
    <t>'de novo' AMP biosynthetic process {GO:0044208}; 'de novo' IMP biosynthetic process {GO:0006189}; 'de novo' XMP biosynthetic process {GO:0097294}; aerobic respiration {GO:0009060}; AMP biosynthetic process {GO:0006167}; AMP salvage {GO:0044209}; GMP biosynthetic process {GO:0006177}; purine nucleotide metabolic process {GO:0006163}; response to hypoxia {GO:0001666}; response to muscle activity {GO:0014850}; response to nutrient {GO:0007584}; response to starvation {GO:0042594}; ribonucleoside monophosphate biosynthetic process {GO:0009156}</t>
  </si>
  <si>
    <t>cytosol {GO:0005829}; mitochondrion {GO:0005739}; protein-containing complex {GO:0032991}</t>
  </si>
  <si>
    <t>(S)-2-(5-amino-1-(5-phospho-D-ribosyl)imidazole-4-carboxamido) succinate lyase (fumarate-forming) activity {GO:0070626}; identical protein binding {GO:0042802}; N6-(1,2-dicarboxyethyl)AMP AMP-lyase (fumarate-forming) activity {GO:0004018}</t>
  </si>
  <si>
    <t>Purine metabolism; IMP biosynthesis via de novo pathway; 5- amino-1-(5-phospho-D-ribosyl)imidazole-4-carboxamide from 5-amino-1-(5- phospho-D-ribosyl)imidazole-4-carboxylate: step 2/2.</t>
  </si>
  <si>
    <t>sp|P20060|HEXB_MOUSE</t>
  </si>
  <si>
    <t>Beta-hexosaminidase subunit beta</t>
  </si>
  <si>
    <t>Beta-N-acetylhexosaminidase subunit beta (Hexosaminidase subunit B); N-acetyl-beta-glucosaminidase subunit beta</t>
  </si>
  <si>
    <t>HEXB_MOUSE</t>
  </si>
  <si>
    <t>P20060</t>
  </si>
  <si>
    <t>MGI:96074</t>
  </si>
  <si>
    <t>Cytoplasmic vesicle; Disulfide bond; Glycoprotein; Glycosidase; Hydrolase; Lipid metabolism; Lysosome; Signal</t>
  </si>
  <si>
    <t>Cytoplasmic vesicle; Lysosome</t>
  </si>
  <si>
    <t>astrocyte cell migration {GO:0043615}; cellular calcium ion homeostasis {GO:0006874}; chondroitin sulfate catabolic process {GO:0030207}; ganglioside catabolic process {GO:0006689}; glycosaminoglycan metabolic process {GO:0030203}; glycosphingolipid metabolic process {GO:0006687}; hyaluronan catabolic process {GO:0030214}; lipid storage {GO:0019915}; locomotory behavior {GO:0007626}; lysosome organization {GO:0007040}; maintenance of location in cell {GO:0051651}; male courtship behavior {GO:0008049}; myelination {GO:0042552}; N-acetylglucosamine metabolic process {GO:0006044}; neuromuscular process {GO:0050905}; neuromuscular process controlling balance {GO:0050885}; neuron cellular homeostasis {GO:0070050}; oligosaccharide catabolic process {GO:0009313}; oogenesis {GO:0048477}; penetration of zona pellucida {GO:0007341}; phospholipid biosynthetic process {GO:0008654}; positive regulation of transcription by RNA polymerase II {GO:0045944}; protein metabolic process {GO:0019538}; regulation of cell shape {GO:0008360}; sensory perception of sound {GO:0007605}; sexual reproduction {GO:0019953}; single fertilization {GO:0007338}; skeletal system development {GO:0001501}</t>
  </si>
  <si>
    <t>acrosomal vesicle {GO:0001669}; azurophil granule {GO:0042582}; beta-N-acetylhexosaminidase complex {GO:1905379}; cortical granule {GO:0060473}; extracellular space {GO:0005615}; lysosomal lumen {GO:0043202}; lysosome {GO:0005764}; membrane {GO:0016020}</t>
  </si>
  <si>
    <t>acetylglucosaminyltransferase activity {GO:0008375}; beta-N-acetylglucosaminidase activity {GO:0016231}; beta-N-acetylhexosaminidase activity {GO:0004563}; carbohydrate binding {GO:0030246}; hexosaminidase activity {GO:0015929}; hydrolase activity {GO:0016787}; identical protein binding {GO:0042802}; N-acetyl-beta-D-galactosaminidase activity {GO:0102148}; protein-containing complex binding {GO:0044877}</t>
  </si>
  <si>
    <t>Glycosphingolipid metabolism {R-MMU-1660662}; Keratan sulfate degradation {R-MMU-2022857}; CS/DS degradation {R-MMU-2024101}; Hyaluronan uptake and degradation {R-MMU-2160916}; Neutrophil degranulation {R-MMU-6798695}</t>
  </si>
  <si>
    <t>sp|Q9DCD6|GBRAP_MOUSE</t>
  </si>
  <si>
    <t>Gamma-aminobutyric acid receptor-associated protein</t>
  </si>
  <si>
    <t>GABA(A) receptor-associated protein</t>
  </si>
  <si>
    <t>GBRAP_MOUSE</t>
  </si>
  <si>
    <t>Q9DCD6</t>
  </si>
  <si>
    <t>B1AR49; Q9QUI7</t>
  </si>
  <si>
    <t>MGI:1861742</t>
  </si>
  <si>
    <t>3D-structure; Apoptosis; Autophagy; Cytoplasm; Cytoplasmic vesicle; Cytoskeleton; Golgi apparatus; Lipoprotein; Membrane; Microtubule; Protein transport; Transport</t>
  </si>
  <si>
    <t>Apoptosis; Autophagy; Protein transport; Transport</t>
  </si>
  <si>
    <t>Cytoplasm; Cytoplasmic vesicle; Cytoskeleton; Golgi apparatus; Membrane; Microtubule</t>
  </si>
  <si>
    <t>Lipoprotein</t>
  </si>
  <si>
    <t>autophagosome assembly {GO:0000045}; autophagy of mitochondrion {GO:0000422}; cellular response to nitrogen starvation {GO:0006995}; extrinsic apoptotic signaling pathway via death domain receptors {GO:0008625}; macroautophagy {GO:0016236}; microtubule cytoskeleton organization {GO:0000226}; positive regulation of proteasomal ubiquitin-dependent protein catabolic process {GO:0032436}; positive regulation of protein K48-linked ubiquitination {GO:1902524}; protein transport {GO:0015031}; regulation of Rac protein signal transduction {GO:0035020}</t>
  </si>
  <si>
    <t>actin cytoskeleton {GO:0015629}; autophagosome {GO:0005776}; autophagosome membrane {GO:0000421}; axoneme {GO:0005930}; cell body {GO:0044297}; cytoplasmic vesicle {GO:0031410}; cytosol {GO:0005829}; Golgi apparatus {GO:0005794}; Golgi membrane {GO:0000139}; lysosome {GO:0005764}; microtubule {GO:0005874}; microtubule associated complex {GO:0005875}; perinuclear region of cytoplasm {GO:0048471}; plasma membrane {GO:0005886}; smooth endoplasmic reticulum {GO:0005790}; sperm midpiece {GO:0097225}</t>
  </si>
  <si>
    <t>beta-tubulin binding {GO:0048487}; GABA receptor binding {GO:0050811}; microtubule binding {GO:0008017}; ubiquitin protein ligase binding {GO:0031625}</t>
  </si>
  <si>
    <t>Macroautophagy {R-MMU-1632852}; TBC/RABGAPs {R-MMU-8854214}</t>
  </si>
  <si>
    <t>sp|Q924M7|MPI_MOUSE</t>
  </si>
  <si>
    <t>Mannose-6-phosphate isomerase</t>
  </si>
  <si>
    <t>Phosphohexomutase; Phosphomannose isomerase (PMI)</t>
  </si>
  <si>
    <t>MPI_MOUSE</t>
  </si>
  <si>
    <t>Q924M7</t>
  </si>
  <si>
    <t>Mpi1; Pmi</t>
  </si>
  <si>
    <t>MGI:97075</t>
  </si>
  <si>
    <t>Acetylation; Cytoplasm; Isomerase; Metal-binding; Phosphoprotein; Zinc</t>
  </si>
  <si>
    <t>GDP-mannose biosynthetic process {GO:0009298}; glycolytic process from mannose through fructose-6-phosphate {GO:0061619}; mannose to fructose-6-phosphate metabolic process {GO:0061611}</t>
  </si>
  <si>
    <t>mannose-6-phosphate isomerase activity {GO:0004476}; zinc ion binding {GO:0008270}</t>
  </si>
  <si>
    <t>Nucleotide-sugar biosynthesis; GDP-alpha-D-mannose biosynthesis; alpha-D-mannose 1-phosphate from D-fructose 6-phosphate: step 1/2.</t>
  </si>
  <si>
    <t>Synthesis of GDP-mannose {R-MMU-446205}</t>
  </si>
  <si>
    <t>sp|O35215|DOPD_MOUSE</t>
  </si>
  <si>
    <t>D-dopachrome decarboxylase</t>
  </si>
  <si>
    <t>D-dopachrome tautomerase</t>
  </si>
  <si>
    <t>DOPD_MOUSE</t>
  </si>
  <si>
    <t>O35215</t>
  </si>
  <si>
    <t>MGI:1298381</t>
  </si>
  <si>
    <t>3D-structure; Acetylation; Cytoplasm; Lyase; Melanin biosynthesis; Phosphoprotein</t>
  </si>
  <si>
    <t>Melanin biosynthesis</t>
  </si>
  <si>
    <t>melanin biosynthetic process {GO:0042438}; positive regulation of inflammatory response {GO:0050729}</t>
  </si>
  <si>
    <t>cytoplasm {GO:0005737}; extracellular space {GO:0005615}</t>
  </si>
  <si>
    <t>cytokine receptor binding {GO:0005126}; D-dopachrome decarboxylase activity {GO:0033981}; phenylpyruvate tautomerase activity {GO:0050178}; protease binding {GO:0002020}</t>
  </si>
  <si>
    <t>sp|Q9CQV6|MLP3B_MOUSE</t>
  </si>
  <si>
    <t>Microtubule-associated proteins 1A/1B light chain 3B</t>
  </si>
  <si>
    <t>Autophagy-related protein LC3 B; Autophagy-related ubiquitin-like modifier LC3 B; MAP1 light chain 3-like protein 2; MAP1A/MAP1B light chain 3 B (MAP1A/MAP1B LC3 B); Microtubule-associated protein 1 light chain 3 beta</t>
  </si>
  <si>
    <t>MLP3B_MOUSE</t>
  </si>
  <si>
    <t>Q9CQV6</t>
  </si>
  <si>
    <t>Q3U9W5; Q9D1R0</t>
  </si>
  <si>
    <t>Map1alc3; Map1lc3</t>
  </si>
  <si>
    <t>MGI:1914693</t>
  </si>
  <si>
    <t>3D-structure; Autophagy; Cytoplasm; Cytoplasmic vesicle; Cytoskeleton; Lipoprotein; Membrane; Microtubule; Mitochondrion; Phosphoprotein; Ubl conjugation pathway</t>
  </si>
  <si>
    <t>Autophagy; Ubl conjugation pathway</t>
  </si>
  <si>
    <t>Cytoplasm; Cytoplasmic vesicle; Cytoskeleton; Membrane; Microtubule; Mitochondrion</t>
  </si>
  <si>
    <t>autophagosome assembly {GO:0000045}; autophagosome maturation {GO:0097352}; autophagy {GO:0006914}; autophagy of mitochondrion {GO:0000422}; cellular response to nitrogen starvation {GO:0006995}; cellular response to starvation {GO:0009267}; establishment of localization in cell {GO:0051649}; macroautophagy {GO:0016236}; mitophagy {GO:0000423}; mucus secretion {GO:0070254}; positive regulation of mucus secretion {GO:0070257}; positive regulation of protein binding {GO:0032092}</t>
  </si>
  <si>
    <t>autolysosome {GO:0044754}; autophagosome {GO:0005776}; autophagosome membrane {GO:0000421}; axon {GO:0030424}; axoneme {GO:0005930}; cytoplasm {GO:0005737}; cytoplasmic vesicle {GO:0031410}; cytosol {GO:0005829}; dendrite {GO:0030425}; endomembrane system {GO:0012505}; intracellular membrane-bounded organelle {GO:0043231}; membrane {GO:0016020}; microtubule {GO:0005874}; microtubule associated complex {GO:0005875}; mitochondrial membrane {GO:0031966}; mitochondrion {GO:0005739}; neuronal cell body {GO:0043025}</t>
  </si>
  <si>
    <t>ceramide binding {GO:0097001}; microtubule binding {GO:0008017}; protein domain specific binding {GO:0019904}; tubulin binding {GO:0015631}; ubiquitin protein ligase binding {GO:0031625}</t>
  </si>
  <si>
    <t>Macroautophagy {R-MMU-1632852}; PINK1-PRKN Mediated Mitophagy {R-MMU-5205685}; TBC/RABGAPs {R-MMU-8854214}; Receptor Mediated Mitophagy {R-MMU-8934903}; Pexophagy {R-MMU-9664873}; KEAP1-NFE2L2 pathway {R-MMU-9755511}</t>
  </si>
  <si>
    <t>sp|Q7TSC1|PRC2A_MOUSE</t>
  </si>
  <si>
    <t>Protein PRRC2A</t>
  </si>
  <si>
    <t>HLA-B-associated transcript 2; Proline-rich and coiled-coil-containing protein 2A</t>
  </si>
  <si>
    <t>PRC2A_MOUSE</t>
  </si>
  <si>
    <t>Q7TSC1</t>
  </si>
  <si>
    <t>Q923A9; Q9Z1R1</t>
  </si>
  <si>
    <t>Bat2</t>
  </si>
  <si>
    <t>MGI:1915467</t>
  </si>
  <si>
    <t>Acetylation; Cytoplasm; Methylation; Nucleus; Phosphoprotein; Repeat</t>
  </si>
  <si>
    <t>cell differentiation {GO:0030154}</t>
  </si>
  <si>
    <t>sp|Q8K2F8|LS14A_MOUSE</t>
  </si>
  <si>
    <t>Protein LSM14 homolog A</t>
  </si>
  <si>
    <t>Protein FAM61A; RNA-associated protein 55A (mRAP55A)</t>
  </si>
  <si>
    <t>LS14A_MOUSE</t>
  </si>
  <si>
    <t>Q8K2F8</t>
  </si>
  <si>
    <t>Q9CTG8</t>
  </si>
  <si>
    <t>Fam61a; Rap55a</t>
  </si>
  <si>
    <t>MGI:1914320</t>
  </si>
  <si>
    <t>Acetylation; Cytoplasm; Cytoskeleton; Developmental protein; Methylation; Phosphoprotein; Repressor; Ribonucleoprotein; Translation regulation</t>
  </si>
  <si>
    <t>Developmental protein; Repressor; Ribonucleoprotein</t>
  </si>
  <si>
    <t>defense response to virus {GO:0051607}; mitotic spindle assembly {GO:0090307}; negative regulation of translation {GO:0017148}; P-body assembly {GO:0033962}; positive regulation of type I interferon-mediated signaling pathway {GO:0060340}; RIG-I signaling pathway {GO:0039529}; stress granule assembly {GO:0034063}</t>
  </si>
  <si>
    <t>cytoplasm {GO:0005737}; cytoplasmic ribonucleoprotein granule {GO:0036464}; cytoplasmic stress granule {GO:0010494}; cytosol {GO:0005829}; messenger ribonucleoprotein complex {GO:1990124}; mitotic spindle {GO:0072686}; P-body {GO:0000932}</t>
  </si>
  <si>
    <t>double-stranded DNA binding {GO:0003690}; double-stranded RNA binding {GO:0003725}; mRNA binding {GO:0003729}; single-stranded RNA binding {GO:0003727}</t>
  </si>
  <si>
    <t>sp|Q99KV1|DJB11_MOUSE</t>
  </si>
  <si>
    <t>DnaJ homolog subfamily B member 11</t>
  </si>
  <si>
    <t>APOBEC1-binding protein 2 (ABBP-2); ER-associated DNAJ; ER-associated Hsp40 co-chaperone; Endoplasmic reticulum DNA J domain-containing protein 3 (ER-resident protein ERdj3; ERdj3; ERj3p)</t>
  </si>
  <si>
    <t>DJB11_MOUSE</t>
  </si>
  <si>
    <t>Q99KV1</t>
  </si>
  <si>
    <t>A6X957; Q543I7; Q8BK79; Q8VCY1; Q8VHB1</t>
  </si>
  <si>
    <t>MGI:1915088</t>
  </si>
  <si>
    <t>Chaperone; Disulfide bond; Endoplasmic reticulum; Glycoprotein; Phosphoprotein; Signal</t>
  </si>
  <si>
    <t>mRNA modification {GO:0016556}; negative regulation of neurogenesis {GO:0050768}; positive regulation of ATP-dependent activity {GO:0032781}; protein folding {GO:0006457}; protein maturation {GO:0051604}</t>
  </si>
  <si>
    <t>chaperone complex {GO:0101031}; cytoplasm {GO:0005737}; endoplasmic reticulum {GO:0005783}; endoplasmic reticulum chaperone complex {GO:0034663}; endoplasmic reticulum lumen {GO:0005788}; extracellular space {GO:0005615}; nucleus {GO:0005634}</t>
  </si>
  <si>
    <t>misfolded protein binding {GO:0051787}; signaling receptor binding {GO:0005102}; unfolded protein binding {GO:0051082}</t>
  </si>
  <si>
    <t>sp|Q5SUR0|PUR4_MOUSE</t>
  </si>
  <si>
    <t>Phosphoribosylformylglycinamidine synthase (FGAM synthase; FGAMS)</t>
  </si>
  <si>
    <t>Formylglycinamide ribonucleotide amidotransferase (FGAR amidotransferase; FGAR-AT); Formylglycinamide ribotide amidotransferase</t>
  </si>
  <si>
    <t>PUR4_MOUSE</t>
  </si>
  <si>
    <t>Q5SUR0</t>
  </si>
  <si>
    <t>A4FUJ6; Q6A080</t>
  </si>
  <si>
    <t>Kiaa0361</t>
  </si>
  <si>
    <t>MGI:2684864</t>
  </si>
  <si>
    <t>ATP-binding; Cytoplasm; Glutamine amidotransferase; Ligase; Magnesium; Metal-binding; Nucleotide-binding; Phosphoprotein; Purine biosynthesis</t>
  </si>
  <si>
    <t>'de novo' AMP biosynthetic process {GO:0044208}; 'de novo' IMP biosynthetic process {GO:0006189}; 'de novo' XMP biosynthetic process {GO:0097294}; anterior head development {GO:0097065}; glutamine metabolic process {GO:0006541}; GMP biosynthetic process {GO:0006177}; response to xenobiotic stimulus {GO:0009410}</t>
  </si>
  <si>
    <t>ATP binding {GO:0005524}; metal ion binding {GO:0046872}; phosphoribosylformylglycinamidine synthase activity {GO:0004642}</t>
  </si>
  <si>
    <t>Purine metabolism; IMP biosynthesis via de novo pathway; 5- amino-1-(5-phospho-D-ribosyl)imidazole from N(2)-formyl-N(1)-(5- phospho-D-ribosyl)glycinamide: step 1/2.</t>
  </si>
  <si>
    <t>sp|P13864|DNMT1_MOUSE</t>
  </si>
  <si>
    <t>DNA (cytosine-5)-methyltransferase 1 (Dnmt1; Met-1)</t>
  </si>
  <si>
    <t>DNA methyltransferase MmuI (DNA MTase MmuI; M.MmuI); MCMT</t>
  </si>
  <si>
    <t>DNMT1_MOUSE</t>
  </si>
  <si>
    <t>P13864</t>
  </si>
  <si>
    <t>P97413; Q80ZU3; Q9CSC6; Q9QXX6</t>
  </si>
  <si>
    <t>Dnmt; Met1; Uim</t>
  </si>
  <si>
    <t>MGI:94912</t>
  </si>
  <si>
    <t>3D-structure; Acetylation; Activator; Allosteric enzyme; Alternative splicing; Chromatin regulator; Cytoplasm; DNA-binding; Isopeptide bond; Metal-binding; Methylation; Methyltransferase; Nucleus; Phosphoprotein; Repeat; Repressor; S-adenosyl-L-methionine; Transcription; Transcription regulation; Transferase; Ubl conjugation; Zinc; Zinc-finger</t>
  </si>
  <si>
    <t>Metal-binding; S-adenosyl-L-methionine; Zinc</t>
  </si>
  <si>
    <t>Activator; Allosteric enzyme; Chromatin regulator; DNA-binding; Methyltransferase; Repressor; Transferase</t>
  </si>
  <si>
    <t>cellular response to amino acid stimulus {GO:0071230}; cellular response to bisphenol A {GO:1903926}; cellular response to transforming growth factor beta stimulus {GO:0071560}; DNA hypermethylation {GO:0044026}; DNA methylation {GO:0006306}; DNA methylation involved in embryo development {GO:0043045}; DNA methylation on cytosine {GO:0032776}; DNA methylation on cytosine within a CG sequence {GO:0010424}; DNA methylation-dependent heterochromatin assembly {GO:0006346}; DNA-templated transcription {GO:0006351}; maintenance of DNA methylation {GO:0010216}; negative regulation of DNA-templated transcription {GO:0045892}; negative regulation of gene expression {GO:0010629}; negative regulation of histone H3-K9 methylation {GO:0051573}; negative regulation of transcription by RNA polymerase II {GO:0000122}; negative regulation of vascular associated smooth muscle cell apoptotic process {GO:1905460}; negative regulation of vascular associated smooth muscle cell differentiation involved in phenotypic switching {GO:1905931}; positive regulation of DNA methylation-dependent heterochromatin assembly {GO:0090309}; positive regulation of gene expression {GO:0010628}; positive regulation of histone H3-K4 methylation {GO:0051571}; positive regulation of vascular associated smooth muscle cell proliferation {GO:1904707}; Ras protein signal transduction {GO:0007265}; regulation of cell population proliferation {GO:0042127}; regulation of gene expression {GO:0010468}; response to xenobiotic stimulus {GO:0009410}; S-adenosylmethionine metabolic process {GO:0046500}</t>
  </si>
  <si>
    <t>cytoplasm {GO:0005737}; female germ cell nucleus {GO:0001674}; germ cell nucleus {GO:0043073}; heterochromatin {GO:0000792}; neuronal cell body {GO:0043025}; nucleoplasm {GO:0005654}; nucleus {GO:0005634}; pericentric heterochromatin {GO:0005721}; protein-containing complex {GO:0032991}; replication fork {GO:0005657}</t>
  </si>
  <si>
    <t>chromatin binding {GO:0003682}; DNA (cytosine-5-)-methyltransferase activity {GO:0003886}; DNA (cytosine-5-)-methyltransferase activity, acting on CpG substrates {GO:0051718}; DNA binding {GO:0003677}; DNA-methyltransferase activity {GO:0009008}; histone deacetylase binding {GO:0042826}; methyl-CpG binding {GO:0008327}; methyltransferase activity {GO:0008168}; nuclear estrogen receptor binding {GO:0030331}; promoter-specific chromatin binding {GO:1990841}; protein domain specific binding {GO:0019904}; RNA binding {GO:0003723}; zinc ion binding {GO:0008270}</t>
  </si>
  <si>
    <t>PRC2 methylates histones and DNA {R-MMU-212300}; SUMOylation of DNA methylation proteins {R-MMU-4655427}</t>
  </si>
  <si>
    <t>sp|Q9CZ42|NNRD_MOUSE</t>
  </si>
  <si>
    <t>ATP-dependent (S)-NAD(P)H-hydrate dehydratase</t>
  </si>
  <si>
    <t>ATP-dependent NAD(P)HX dehydratase; Carbohydrate kinase domain-containing protein; NAD(P)HX dehydratase</t>
  </si>
  <si>
    <t>NNRD_MOUSE</t>
  </si>
  <si>
    <t>Q9CZ42</t>
  </si>
  <si>
    <t>Q9CQX9; Q9D7G7; Q9DC93</t>
  </si>
  <si>
    <t>Carkd</t>
  </si>
  <si>
    <t>MGI:1913353</t>
  </si>
  <si>
    <t>Acetylation; Alternative splicing; ATP-binding; Lyase; Mitochondrion; NAD; NADP; Nucleotide-binding; Phosphoprotein; Transit peptide</t>
  </si>
  <si>
    <t>ATP-binding; NAD; NADP; Nucleotide-binding</t>
  </si>
  <si>
    <t>metabolite repair {GO:0110051}; nicotinamide nucleotide metabolic process {GO:0046496}</t>
  </si>
  <si>
    <t>ATP binding {GO:0005524}; ATP-dependent NAD(P)H-hydrate dehydratase activity {GO:0047453}</t>
  </si>
  <si>
    <t>sp|Q99PG2|OGFR_MOUSE</t>
  </si>
  <si>
    <t>Opioid growth factor receptor (OGFr)</t>
  </si>
  <si>
    <t>Zeta-type opioid receptor</t>
  </si>
  <si>
    <t>OGFR_MOUSE</t>
  </si>
  <si>
    <t>Q99PG2</t>
  </si>
  <si>
    <t>A2ACT6; Q99L33</t>
  </si>
  <si>
    <t>MGI:1919325</t>
  </si>
  <si>
    <t>Acetylation; Alternative splicing; Cytoplasm; Growth regulation; Nucleus; Phosphoprotein; Receptor; Repeat</t>
  </si>
  <si>
    <t>Growth regulation</t>
  </si>
  <si>
    <t>cytoplasm {GO:0005737}; membrane {GO:0016020}; nucleus {GO:0005634}</t>
  </si>
  <si>
    <t>opioid growth factor receptor activity {GO:0140625}</t>
  </si>
  <si>
    <t>sp|P83870|PHF5A_MOUSE</t>
  </si>
  <si>
    <t>PHD finger-like domain-containing protein 5A (PHD finger-like domain protein 5A)</t>
  </si>
  <si>
    <t>Splicing factor 3B-associated 14 kDa protein (SF3b14b)</t>
  </si>
  <si>
    <t>PHF5A_MOUSE</t>
  </si>
  <si>
    <t>P83870</t>
  </si>
  <si>
    <t>Q3TQX7; Q9UH06</t>
  </si>
  <si>
    <t>MGI:2156864</t>
  </si>
  <si>
    <t>Acetylation; Activator; DNA-binding; Metal-binding; mRNA processing; mRNA splicing; Nucleus; Phosphoprotein; RNA-binding; Spliceosome; Transcription; Transcription regulation; Zinc</t>
  </si>
  <si>
    <t>mRNA splicing, via spliceosome {GO:0000398}; positive regulation of DNA-templated transcription {GO:0045893}; stem cell differentiation {GO:0048863}</t>
  </si>
  <si>
    <t>nuclear matrix {GO:0016363}; nuclear speck {GO:0016607}; nucleoplasm {GO:0005654}; nucleus {GO:0005634}; precatalytic spliceosome {GO:0071011}; U12-type spliceosomal complex {GO:0005689}; U2 snRNP {GO:0005686}; U2-type precatalytic spliceosome {GO:0071005}; U2-type spliceosomal complex {GO:0005684}</t>
  </si>
  <si>
    <t>DNA binding {GO:0003677}; RNA binding {GO:0003723}; zinc ion binding {GO:0008270}</t>
  </si>
  <si>
    <t>sp|O55128|SAP18_MOUSE</t>
  </si>
  <si>
    <t>Histone deacetylase complex subunit SAP18</t>
  </si>
  <si>
    <t>18 kDa Sin3-associated polypeptide; Sin3-associated polypeptide p18</t>
  </si>
  <si>
    <t>SAP18_MOUSE</t>
  </si>
  <si>
    <t>O55128</t>
  </si>
  <si>
    <t>Q545L4</t>
  </si>
  <si>
    <t>MGI:1277978</t>
  </si>
  <si>
    <t>3D-structure; Acetylation; Cytoplasm; Isopeptide bond; mRNA processing; mRNA splicing; Nucleus; Repressor; Transcription; Transcription regulation; Ubl conjugation</t>
  </si>
  <si>
    <t>mRNA processing {GO:0006397}; negative regulation of DNA-templated transcription {GO:0045892}; negative regulation of mRNA splicing, via spliceosome {GO:0048025}; positive regulation of apoptotic process {GO:0043065}; regulation of alternative mRNA splicing, via spliceosome {GO:0000381}; regulation of DNA-templated transcription {GO:0006355}; RNA splicing {GO:0008380}</t>
  </si>
  <si>
    <t>ASAP complex {GO:0061574}; cytosol {GO:0005829}; exon-exon junction complex {GO:0035145}; histone deacetylase complex {GO:0000118}; nuclear body {GO:0016604}; nuclear speck {GO:0016607}; nucleoplasm {GO:0005654}; nucleus {GO:0005634}; transcription regulator complex {GO:0005667}</t>
  </si>
  <si>
    <t>HDACs deacetylate histones {R-MMU-3214815}</t>
  </si>
  <si>
    <t>sp|Q8BVI4|DHPR_MOUSE</t>
  </si>
  <si>
    <t>Dihydropteridine reductase</t>
  </si>
  <si>
    <t>HDHPR; Quinoid dihydropteridine reductase</t>
  </si>
  <si>
    <t>DHPR_MOUSE</t>
  </si>
  <si>
    <t>Q8BVI4</t>
  </si>
  <si>
    <t>Q3TT09; Q9D0K4</t>
  </si>
  <si>
    <t>Dhpr</t>
  </si>
  <si>
    <t>MGI:97836</t>
  </si>
  <si>
    <t>NADP; Oxidoreductase; Tetrahydrobiopterin biosynthesis</t>
  </si>
  <si>
    <t>Tetrahydrobiopterin biosynthesis</t>
  </si>
  <si>
    <t>L-phenylalanine catabolic process {GO:0006559}; tetrahydrobiopterin biosynthetic process {GO:0006729}</t>
  </si>
  <si>
    <t>cytoplasm {GO:0005737}; cytosol {GO:0005829}; mitochondrion {GO:0005739}; neuron projection {GO:0043005}</t>
  </si>
  <si>
    <t>6,7-dihydropteridine reductase activity {GO:0004155}; identical protein binding {GO:0042802}; NADH binding {GO:0070404}; NADPH binding {GO:0070402}</t>
  </si>
  <si>
    <t>sp|O88746|TOM1_MOUSE</t>
  </si>
  <si>
    <t>Target of Myb1 membrane trafficking protein</t>
  </si>
  <si>
    <t>Target of Myb protein 1</t>
  </si>
  <si>
    <t>TOM1_MOUSE</t>
  </si>
  <si>
    <t>O88746</t>
  </si>
  <si>
    <t>Q3V4C6; Q9D120</t>
  </si>
  <si>
    <t>MGI:1338026</t>
  </si>
  <si>
    <t>Acetylation; Alternative splicing; Cytoplasm; Endosome; Isopeptide bond; Membrane; Phosphoprotein; Protein transport; Transport; Ubl conjugation</t>
  </si>
  <si>
    <t>autophagosome-lysosome fusion {GO:0061909}; endosomal transport {GO:0016197}; positive regulation of autophagosome maturation {GO:1901098}; protein transport {GO:0015031}; regulation of endosome organization {GO:1904978}; signal transduction {GO:0007165}; substrate localization to autophagosome {GO:0061753}</t>
  </si>
  <si>
    <t>cytoplasm {GO:0005737}; cytosol {GO:0005829}; early endosome {GO:0005769}; endosome {GO:0005768}; endosome membrane {GO:0010008}; membrane {GO:0016020}</t>
  </si>
  <si>
    <t>clathrin binding {GO:0030276}; clathrin heavy chain binding {GO:0032050}; myosin VI binding {GO:0070853}; phosphatidylinositol-5-phosphate binding {GO:0010314}; polyubiquitin modification-dependent protein binding {GO:0031593}; ubiquitin binding {GO:0043130}</t>
  </si>
  <si>
    <t>sp|P62880|GBB2_MOUSE</t>
  </si>
  <si>
    <t>Guanine nucleotide-binding protein G(I)/G(S)/G(T) subunit beta-2</t>
  </si>
  <si>
    <t>G protein subunit beta-2; Transducin beta chain 2</t>
  </si>
  <si>
    <t>GBB2_MOUSE</t>
  </si>
  <si>
    <t>P62880</t>
  </si>
  <si>
    <t>P11016; P54312</t>
  </si>
  <si>
    <t>MGI:95784</t>
  </si>
  <si>
    <t>Acetylation; Cell membrane; Cytoplasm; Membrane; Phosphoprotein; Repeat; Transducer; WD repeat</t>
  </si>
  <si>
    <t>G protein-coupled receptor signaling pathway {GO:0007186}; regulation of potassium ion transmembrane transport {GO:1901379}</t>
  </si>
  <si>
    <t>cell body {GO:0044297}; cytoplasm {GO:0005737}; heterotrimeric G-protein complex {GO:0005834}; myelin sheath {GO:0043209}; perinuclear region of cytoplasm {GO:0048471}; plasma membrane {GO:0005886}; protein-containing complex {GO:0032991}</t>
  </si>
  <si>
    <t>calcium channel regulator activity {GO:0005246}; GTPase activity {GO:0003924}; GTPase binding {GO:0051020}; protein-containing complex binding {GO:0044877}; signaling receptor complex adaptor activity {GO:0030159}</t>
  </si>
  <si>
    <t>sp|Q8VBT9|ASPC1_MOUSE</t>
  </si>
  <si>
    <t>Tether containing UBX domain for GLUT4</t>
  </si>
  <si>
    <t>Alveolar soft part sarcoma chromosomal region candidate gene 1 protein homolog</t>
  </si>
  <si>
    <t>ASPC1_MOUSE</t>
  </si>
  <si>
    <t>Q8VBT9</t>
  </si>
  <si>
    <t>A2ABZ7; A2AC06; Q3UKD1; Q6V7K5; Q9CT64</t>
  </si>
  <si>
    <t>Tug</t>
  </si>
  <si>
    <t>MGI:1916188</t>
  </si>
  <si>
    <t>3D-structure; Acetylation; Alternative splicing; Cytoplasm; Membrane; Nucleus; Phosphoprotein</t>
  </si>
  <si>
    <t>glucose homeostasis {GO:0042593}; intracellular protein transport {GO:0006886}; positive regulation of protein modification process {GO:0031401}; regulation of glucose import {GO:0046324}</t>
  </si>
  <si>
    <t>cytoplasm {GO:0005737}; cytoplasmic side of plasma membrane {GO:0009898}; cytoplasmic vesicle membrane {GO:0030659}; cytosol {GO:0005829}; endomembrane system {GO:0012505}; endoplasmic reticulum-Golgi intermediate compartment membrane {GO:0033116}; extrinsic component of membrane {GO:0019898}; intracellular membrane-bounded organelle {GO:0043231}; nucleoplasm {GO:0005654}; nucleus {GO:0005634}; perinuclear region of cytoplasm {GO:0048471}; plasma membrane {GO:0005886}; vesicle membrane {GO:0012506}</t>
  </si>
  <si>
    <t>sp|Q9D0T1|NH2L1_MOUSE</t>
  </si>
  <si>
    <t>sp|Q99LD9|EI2BB_MOUSE</t>
  </si>
  <si>
    <t>Translation initiation factor eIF-2B subunit beta</t>
  </si>
  <si>
    <t>eIF-2B GDP-GTP exchange factor subunit beta</t>
  </si>
  <si>
    <t>EI2BB_MOUSE</t>
  </si>
  <si>
    <t>Q99LD9</t>
  </si>
  <si>
    <t>MGI:2145118</t>
  </si>
  <si>
    <t>Initiation factor; Protein biosynthesis</t>
  </si>
  <si>
    <t>central nervous system development {GO:0007417}; myelination {GO:0042552}; oligodendrocyte development {GO:0014003}; ovarian follicle development {GO:0001541}; positive regulation of axon extension {GO:0045773}; response to glucose {GO:0009749}; response to heat {GO:0009408}; response to peptide hormone {GO:0043434}; T cell receptor signaling pathway {GO:0050852}; translational initiation {GO:0006413}</t>
  </si>
  <si>
    <t>axon {GO:0030424}; cytoplasm {GO:0005737}; eukaryotic translation initiation factor 2B complex {GO:0005851}</t>
  </si>
  <si>
    <t>ATP binding {GO:0005524}; GTP binding {GO:0005525}; guanyl-nucleotide exchange factor activity {GO:0005085}; translation initiation factor activity {GO:0003743}</t>
  </si>
  <si>
    <t>Recycling of eIF2:GDP {R-MMU-72731}</t>
  </si>
  <si>
    <t>sp|P63321|RALA_MOUSE</t>
  </si>
  <si>
    <t>Ras-related protein Ral-A</t>
  </si>
  <si>
    <t>RALA_MOUSE</t>
  </si>
  <si>
    <t>P63321</t>
  </si>
  <si>
    <t>P05810</t>
  </si>
  <si>
    <t>Ral; Ral-a</t>
  </si>
  <si>
    <t>MGI:1927243</t>
  </si>
  <si>
    <t>Cell cycle; Cell division; Cell membrane; Exocytosis; GTP-binding; Hydrolase; Lipoprotein; Membrane; Methylation; Mitochondrion; Nucleotide-binding; Phosphoprotein; Prenylation</t>
  </si>
  <si>
    <t>Cell cycle; Cell division; Exocytosis</t>
  </si>
  <si>
    <t>actin cytoskeleton reorganization {GO:0031532}; cell cycle {GO:0007049}; cell division {GO:0051301}; establishment of protein localization to mitochondrion {GO:0072655}; exocytosis {GO:0006887}; membrane raft localization {GO:0051665}; neural tube closure {GO:0001843}; positive regulation of epidermal growth factor receptor signaling pathway {GO:0045742}; positive regulation of filopodium assembly {GO:0051491}; positive regulation of mitochondrial fission {GO:0090141}; Ras protein signal transduction {GO:0007265}; receptor internalization {GO:0031623}; regulation of exocytosis {GO:0017157}</t>
  </si>
  <si>
    <t>cell surface {GO:0009986}; cleavage furrow {GO:0032154}; cytoplasmic vesicle membrane {GO:0030659}; endocytic vesicle {GO:0030139}; Flemming body {GO:0090543}; focal adhesion {GO:0005925}; mitochondrion {GO:0005739}; myelin sheath {GO:0043209}; plasma membrane {GO:0005886}</t>
  </si>
  <si>
    <t>ATPase binding {GO:0051117}; Edg-2 lysophosphatidic acid receptor binding {GO:0031755}; G protein activity {GO:0003925}; GDP binding {GO:0019003}; GTP binding {GO:0005525}; GTPase activity {GO:0003924}; myosin binding {GO:0017022}; ubiquitin protein ligase binding {GO:0031625}</t>
  </si>
  <si>
    <t>sp|Q9Z127|LAT1_MOUSE</t>
  </si>
  <si>
    <t>Large neutral amino acids transporter small subunit 1</t>
  </si>
  <si>
    <t>4F2 light chain (4F2 LC; 4F2LC); L-type amino acid transporter 1 (LAT1); Solute carrier family 7 member 5</t>
  </si>
  <si>
    <t>LAT1_MOUSE</t>
  </si>
  <si>
    <t>Q9Z127</t>
  </si>
  <si>
    <t>Q8R0X8; Q9JMI4</t>
  </si>
  <si>
    <t>Lat1</t>
  </si>
  <si>
    <t>MGI:1298205</t>
  </si>
  <si>
    <t>Amino-acid transport; Cell membrane; Disulfide bond; Lysosome; Membrane; Phosphoprotein; Transmembrane; Transmembrane helix; Transport</t>
  </si>
  <si>
    <t>Cell membrane; Lysosome; Membrane</t>
  </si>
  <si>
    <t>amino acid import across plasma membrane {GO:0089718}; cellular response to glucose starvation {GO:0042149}; cellular response to L-arginine {GO:1903577}; cellular response to lipopolysaccharide {GO:0071222}; isoleucine transport {GO:0015818}; L-amino acid transport {GO:0015807}; L-leucine import across plasma membrane {GO:1903801}; L-tryptophan transmembrane transport {GO:1904556}; leucine import across plasma membrane {GO:0098713}; liver regeneration {GO:0097421}; negative regulation of autophagy {GO:0010507}; negative regulation of gene expression {GO:0010629}; negative regulation of vascular associated smooth muscle cell apoptotic process {GO:1905460}; neutral amino acid transport {GO:0015804}; odontogenesis {GO:0042476}; phenylalanine transport {GO:0015823}; positive regulation of glial cell proliferation {GO:0060252}; positive regulation of interferon-gamma production {GO:0032729}; positive regulation of interleukin-17 production {GO:0032740}; positive regulation of interleukin-4 production {GO:0032753}; positive regulation of leucine import across plasma membrane {GO:1905534}; response to hyperoxia {GO:0055093}; response to muscle activity {GO:0014850}; thyroid hormone transport {GO:0070327}; valine transport {GO:0015829}; xenobiotic transport {GO:0042908}</t>
  </si>
  <si>
    <t>amino acid transport complex {GO:1990184}; apical plasma membrane {GO:0016324}; basal plasma membrane {GO:0009925}; basolateral plasma membrane {GO:0016323}; cytoplasm {GO:0005737}; cytosol {GO:0005829}; external side of apical plasma membrane {GO:0098591}; integral component of membrane {GO:0016021}; intracellular membrane-bounded organelle {GO:0043231}; lysosomal membrane {GO:0005765}; microvillus membrane {GO:0031528}; plasma membrane {GO:0005886}</t>
  </si>
  <si>
    <t>amino acid transmembrane transporter activity {GO:0015171}; antiporter activity {GO:0015297}; aromatic amino acid transmembrane transporter activity {GO:0015173}; L-amino acid transmembrane transporter activity {GO:0015179}; L-leucine transmembrane transporter activity {GO:0015190}; L-tryptophan transmembrane transporter activity {GO:0015196}; neutral amino acid transmembrane transporter activity {GO:0015175}; thyroid hormone transmembrane transporter activity {GO:0015349}</t>
  </si>
  <si>
    <t>sp|P84078|ARF1_MOUSE</t>
  </si>
  <si>
    <t>ADP-ribosylation factor 1</t>
  </si>
  <si>
    <t>ARF1_MOUSE</t>
  </si>
  <si>
    <t>P84078</t>
  </si>
  <si>
    <t>P10947; P32889; Q3THZ2; Q3U849; Q3UDG1; Q3UF76</t>
  </si>
  <si>
    <t>MGI:99431</t>
  </si>
  <si>
    <t>3D-structure; Acetylation; ER-Golgi transport; Golgi apparatus; GTP-binding; Hydrolase; Lipoprotein; Membrane; Myristate; Nucleotide-binding; Protein transport; Synapse; Synaptosome; Transport</t>
  </si>
  <si>
    <t>Golgi apparatus; Membrane; Synapse; Synaptosome</t>
  </si>
  <si>
    <t>Acetylation; Lipoprotein; Myristate</t>
  </si>
  <si>
    <t>actin filament organization {GO:0007015}; cellular copper ion homeostasis {GO:0006878}; cellular response to virus {GO:0098586}; dendritic spine organization {GO:0097061}; Golgi to transport vesicle transport {GO:0055108}; intracellular protein transport {GO:0006886}; long-term synaptic depression {GO:0060292}; lysosomal membrane organization {GO:0097212}; mitotic cleavage furrow ingression {GO:1990386}; positive regulation of calcium ion-dependent exocytosis {GO:0045956}; positive regulation of dendritic spine development {GO:0060999}; positive regulation of endocytosis {GO:0045807}; positive regulation of ER to Golgi vesicle-mediated transport {GO:1902953}; positive regulation of late endosome to lysosome transport {GO:1902824}; positive regulation of protein secretion {GO:0050714}; positive regulation of sodium ion transmembrane transport {GO:1902307}; postsynaptic actin cytoskeleton organization {GO:0098974}; protein transport {GO:0015031}; regulation of Arp2/3 complex-mediated actin nucleation {GO:0034315}; regulation of phospholipid metabolic process {GO:1903725}; regulation of receptor internalization {GO:0002090}; synaptic vesicle budding {GO:0070142}; very-low-density lipoprotein particle assembly {GO:0034379}; vesicle-mediated transport {GO:0016192}</t>
  </si>
  <si>
    <t>anchoring junction {GO:0070161}; cell leading edge {GO:0031252}; COPI-coated vesicle {GO:0030137}; cytosol {GO:0005829}; endomembrane system {GO:0012505}; glutamatergic synapse {GO:0098978}; Golgi apparatus {GO:0005794}; Golgi membrane {GO:0000139}; late endosome {GO:0005770}; neuron projection {GO:0043005}; perinuclear region of cytoplasm {GO:0048471}; peroxisomal membrane {GO:0005778}; plasma membrane {GO:0005886}; postsynaptic density {GO:0014069}; protein-containing complex {GO:0032991}; sarcomere {GO:0030017}; trans-Golgi network {GO:0005802}</t>
  </si>
  <si>
    <t>GDP binding {GO:0019003}; GTP binding {GO:0005525}; GTPase activity {GO:0003924}; magnesium ion binding {GO:0000287}; phospholipase D activator activity {GO:1990583}; protein domain specific binding {GO:0019904}</t>
  </si>
  <si>
    <t>Synthesis of PIPs at the plasma membrane {R-MMU-1660499}; Synthesis of PIPs at the Golgi membrane {R-MMU-1660514}; trans-Golgi Network Vesicle Budding {R-MMU-199992}; MHC class II antigen presentation {R-MMU-2132295}; Lysosome Vesicle Biogenesis {R-MMU-432720}; Golgi Associated Vesicle Biogenesis {R-MMU-432722}; COPI-mediated anterograde transport {R-MMU-6807878}; COPI-dependent Golgi-to-ER retrograde traffic {R-MMU-6811434}; Intra-Golgi traffic {R-MMU-6811438}</t>
  </si>
  <si>
    <t>sp|P70297|STAM1_MOUSE</t>
  </si>
  <si>
    <t>Signal transducing adapter molecule 1 (STAM-1)</t>
  </si>
  <si>
    <t>STAM1_MOUSE</t>
  </si>
  <si>
    <t>P70297</t>
  </si>
  <si>
    <t>Stam1</t>
  </si>
  <si>
    <t>MGI:1329014</t>
  </si>
  <si>
    <t>Cytoplasm; Endosome; Isopeptide bond; Membrane; Phosphoprotein; Protein transport; SH3 domain; Transport; Ubl conjugation</t>
  </si>
  <si>
    <t>positive regulation of exosomal secretion {GO:1903543}; protein transport to vacuole involved in ubiquitin-dependent protein catabolic process via the multivesicular body sorting pathway {GO:0043328}; regulation of extracellular exosome assembly {GO:1903551}</t>
  </si>
  <si>
    <t>early endosome membrane {GO:0031901}; ESCRT-0 complex {GO:0033565}; intracellular membrane-bounded organelle {GO:0043231}</t>
  </si>
  <si>
    <t>phosphatidylinositol binding {GO:0035091}; ubiquitin binding {GO:0043130}; ubiquitin-like protein ligase binding {GO:0044389}</t>
  </si>
  <si>
    <t>EGFR downregulation {R-MMU-182971}; Metalloprotease DUBs {R-MMU-5689901}; Negative regulation of MET activity {R-MMU-6807004}; Cargo recognition for clathrin-mediated endocytosis {R-MMU-8856825}; Clathrin-mediated endocytosis {R-MMU-8856828}; RHOU GTPase cycle {R-MMU-9013420}; Endosomal Sorting Complex Required For Transport (ESCRT) {R-MMU-917729}</t>
  </si>
  <si>
    <t>sp|Q9R1C7|PR40A_MOUSE</t>
  </si>
  <si>
    <t>Pre-mRNA-processing factor 40 homolog A</t>
  </si>
  <si>
    <t>Formin-binding protein 11 (FBP-11); Formin-binding protein 3</t>
  </si>
  <si>
    <t>PR40A_MOUSE</t>
  </si>
  <si>
    <t>Q9R1C7</t>
  </si>
  <si>
    <t>Q61049; Q8BQ76; Q8BRW4; Q8C2U1</t>
  </si>
  <si>
    <t>Fbp11; Fnbp3</t>
  </si>
  <si>
    <t>MGI:1860512</t>
  </si>
  <si>
    <t>Acetylation; Alternative splicing; Isopeptide bond; Methylation; mRNA processing; mRNA splicing; Nucleus; Phosphoprotein; Repeat; Ubl conjugation</t>
  </si>
  <si>
    <t>cell migration {GO:0016477}; cytoskeleton organization {GO:0007010}; mRNA cis splicing, via spliceosome {GO:0045292}; mRNA splicing, via spliceosome {GO:0000398}; regulation of cell shape {GO:0008360}; regulation of cytokinesis {GO:0032465}</t>
  </si>
  <si>
    <t>nuclear matrix {GO:0016363}; nuclear speck {GO:0016607}; nucleus {GO:0005634}; U1 snRNP {GO:0005685}; U2-type prespliceosome {GO:0071004}</t>
  </si>
  <si>
    <t>proline-rich region binding {GO:0070064}; RNA binding {GO:0003723}</t>
  </si>
  <si>
    <t>sp|P58389|PTPA_MOUSE</t>
  </si>
  <si>
    <t>Serine/threonine-protein phosphatase 2A activator</t>
  </si>
  <si>
    <t>PP2A, subunit B', PR53 isoform; Phosphotyrosyl phosphatase activator (PTPA); Serine/threonine-protein phosphatase 2A regulatory subunit 4; Serine/threonine-protein phosphatase 2A regulatory subunit B'</t>
  </si>
  <si>
    <t>PTPA_MOUSE</t>
  </si>
  <si>
    <t>P58389</t>
  </si>
  <si>
    <t>Ppp2r4</t>
  </si>
  <si>
    <t>MGI:1346006</t>
  </si>
  <si>
    <t>Acetylation; ATP-binding; Cytoplasm; Isomerase; Nucleotide-binding; Nucleus; Rotamase</t>
  </si>
  <si>
    <t>mitotic spindle organization {GO:0007052}; negative regulation of phosphoprotein phosphatase activity {GO:0032515}; negative regulation of protein dephosphorylation {GO:0035308}; positive regulation of apoptotic process {GO:0043065}; positive regulation of phosphoprotein phosphatase activity {GO:0032516}; positive regulation of protein dephosphorylation {GO:0035307}; regulation of phosphoprotein phosphatase activity {GO:0043666}</t>
  </si>
  <si>
    <t>ATPase complex {GO:1904949}; calcium channel complex {GO:0034704}; cytoplasm {GO:0005737}; nucleoplasm {GO:0005654}; nucleus {GO:0005634}; protein phosphatase type 2A complex {GO:0000159}</t>
  </si>
  <si>
    <t>ATP binding {GO:0005524}; peptidyl-prolyl cis-trans isomerase activity {GO:0003755}; phosphoprotein phosphatase activity {GO:0004721}; protein homodimerization activity {GO:0042803}; protein phosphatase 2A binding {GO:0051721}; protein phosphatase regulator activity {GO:0019888}; protein tyrosine phosphatase activator activity {GO:0008160}; signaling receptor binding {GO:0005102}</t>
  </si>
  <si>
    <t>sp|Q9CYZ2|TPD54_MOUSE</t>
  </si>
  <si>
    <t>Tumor protein D54</t>
  </si>
  <si>
    <t>Tumor protein D52-like 2</t>
  </si>
  <si>
    <t>TPD54_MOUSE</t>
  </si>
  <si>
    <t>Q9CYZ2</t>
  </si>
  <si>
    <t>Q3TVY1</t>
  </si>
  <si>
    <t>MGI:1913564</t>
  </si>
  <si>
    <t>Acetylation; Coiled coil; Phosphoprotein</t>
  </si>
  <si>
    <t>cytoplasm {GO:0005737}; perinuclear region of cytoplasm {GO:0048471}</t>
  </si>
  <si>
    <t>protein homodimerization activity {GO:0042803}</t>
  </si>
  <si>
    <t>sp|O88735|MAP7_MOUSE</t>
  </si>
  <si>
    <t>Ensconsin</t>
  </si>
  <si>
    <t>Epithelial microtubule-associated protein of 115 kDa (E-MAP-115); Microtubule-associated protein 7 (MAP-7)</t>
  </si>
  <si>
    <t>MAP7_MOUSE</t>
  </si>
  <si>
    <t>O88735</t>
  </si>
  <si>
    <t>Q3V0B9; Q7TQL9; Q80V60</t>
  </si>
  <si>
    <t>Mtap7</t>
  </si>
  <si>
    <t>MGI:1328328</t>
  </si>
  <si>
    <t>Acetylation; Alternative splicing; Cell membrane; Coiled coil; Cytoplasm; Cytoskeleton; Isopeptide bond; Membrane; Microtubule; Phosphoprotein; Ubl conjugation</t>
  </si>
  <si>
    <t>Cell membrane; Cytoplasm; Cytoskeleton; Membrane; Microtubule</t>
  </si>
  <si>
    <t>cell morphogenesis {GO:0000902}; cell population proliferation {GO:0008283}; fertilization {GO:0009566}; germ cell development {GO:0007281}; glycosphingolipid metabolic process {GO:0006687}; homeostasis of number of cells {GO:0048872}; Leydig cell differentiation {GO:0033327}; microtubule bundle formation {GO:0001578}; microtubule cytoskeleton organization {GO:0000226}; nucleus organization {GO:0006997}; organ growth {GO:0035265}; protein localization to plasma membrane {GO:0072659}; response to osmotic stress {GO:0006970}; response to retinoic acid {GO:0032526}; Sertoli cell development {GO:0060009}; spermatogenesis {GO:0007283}</t>
  </si>
  <si>
    <t>axon {GO:0030424}; basolateral plasma membrane {GO:0016323}; cytosol {GO:0005829}; microtubule {GO:0005874}; microtubule cytoskeleton {GO:0015630}; perinuclear region of cytoplasm {GO:0048471}; plasma membrane {GO:0005886}</t>
  </si>
  <si>
    <t>signaling receptor binding {GO:0005102}</t>
  </si>
  <si>
    <t>sp|Q9D0J4|ARL2_MOUSE</t>
  </si>
  <si>
    <t>ADP-ribosylation factor-like protein 2</t>
  </si>
  <si>
    <t>ARL2_MOUSE</t>
  </si>
  <si>
    <t>Q9D0J4</t>
  </si>
  <si>
    <t>Q9WUM1</t>
  </si>
  <si>
    <t>MGI:1928393</t>
  </si>
  <si>
    <t>3D-structure; Cell cycle; Cytoplasm; Cytoskeleton; GTP-binding; Isopeptide bond; Lipoprotein; Mitochondrion; Myristate; Nucleotide-binding; Nucleus; Phosphoprotein; Ubl conjugation</t>
  </si>
  <si>
    <t>Cytoplasm; Cytoskeleton; Mitochondrion; Nucleus</t>
  </si>
  <si>
    <t>acetylcholine transport {GO:0015870}; bicellular tight junction assembly {GO:0070830}; centrosome cycle {GO:0007098}; maintenance of protein location in nucleus {GO:0051457}; negative regulation of GTPase activity {GO:0034260}; positive regulation of cell-substrate adhesion {GO:0010811}; positive regulation of microtubule polymerization {GO:0031116}; protein folding {GO:0006457}; regulation of aerobic respiration {GO:1903715}; regulation of glycolytic process {GO:0006110}; regulation of microtubule polymerization {GO:0031113}</t>
  </si>
  <si>
    <t>centrosome {GO:0005813}; cytoplasm {GO:0005737}; cytosol {GO:0005829}; focal adhesion {GO:0005925}; Golgi apparatus {GO:0005794}; lateral plasma membrane {GO:0016328}; microtubule cytoskeleton {GO:0015630}; mitochondrial intermembrane space {GO:0005758}; mitochondrion {GO:0005739}; nucleolus {GO:0005730}; nucleoplasm {GO:0005654}; nucleus {GO:0005634}</t>
  </si>
  <si>
    <t>GDP binding {GO:0019003}; GTP binding {GO:0005525}; GTPase activity {GO:0003924}</t>
  </si>
  <si>
    <t>Transport of nucleosides and free purine and pyrimidine bases across the plasma membrane {R-MMU-83936}; RAS processing {R-MMU-9648002}</t>
  </si>
  <si>
    <t>sp|Q8CIV8|TBCE_MOUSE</t>
  </si>
  <si>
    <t>Tubulin-specific chaperone E</t>
  </si>
  <si>
    <t>Tubulin-folding cofactor E</t>
  </si>
  <si>
    <t>TBCE_MOUSE</t>
  </si>
  <si>
    <t>Q8CIV8</t>
  </si>
  <si>
    <t>MGI:1917680</t>
  </si>
  <si>
    <t>3D-structure; Acetylation; Chaperone; Cytoplasm; Cytoskeleton; Leucine-rich repeat; Phosphoprotein; Repeat</t>
  </si>
  <si>
    <t>adult locomotory behavior {GO:0008344}; axonogenesis {GO:0007409}; developmental growth {GO:0048589}; microtubule cytoskeleton organization {GO:0000226}; mitotic spindle organization {GO:0007052}; muscle atrophy {GO:0014889}; peripheral nervous system neuron axonogenesis {GO:0048936}; post-chaperonin tubulin folding pathway {GO:0007023}; post-embryonic development {GO:0009791}; protein folding {GO:0006457}; tubulin complex assembly {GO:0007021}</t>
  </si>
  <si>
    <t>cytoplasm {GO:0005737}; cytoskeleton {GO:0005856}</t>
  </si>
  <si>
    <t>alpha-tubulin binding {GO:0043014}; unfolded protein binding {GO:0051082}</t>
  </si>
  <si>
    <t>sp|Q6PFD9|NUP98_MOUSE</t>
  </si>
  <si>
    <t>Nuclear pore complex protein Nup96</t>
  </si>
  <si>
    <t>98 kDa nucleoporin; Nucleoporin Nup98 (Nup98); 96 kDa nucleoporin; Nucleoporin Nup96 (Nup96)</t>
  </si>
  <si>
    <t>NUP98_MOUSE</t>
  </si>
  <si>
    <t>Q6PFD9</t>
  </si>
  <si>
    <t>Q68G59</t>
  </si>
  <si>
    <t>MGI:109404</t>
  </si>
  <si>
    <t>3D-structure; Acetylation; Autocatalytic cleavage; Hydrolase; Isopeptide bond; Membrane; mRNA transport; Nuclear pore complex; Nucleus; Phosphoprotein; Protease; Protein transport; Repeat; Serine protease; Translocation; Transport; Ubl conjugation</t>
  </si>
  <si>
    <t>Acetylation; Autocatalytic cleavage; Isopeptide bond; Phosphoprotein; Ubl conjugation</t>
  </si>
  <si>
    <t>mRNA transport {GO:0051028}; nuclear pore complex assembly {GO:0051292}; nucleocytoplasmic transport {GO:0006913}; positive regulation of mRNA splicing, via spliceosome {GO:0048026}; protein import into nucleus {GO:0006606}; proteolysis {GO:0006508}</t>
  </si>
  <si>
    <t>kinetochore {GO:0000776}; nuclear body {GO:0016604}; nuclear envelope {GO:0005635}; nuclear inclusion body {GO:0042405}; nuclear membrane {GO:0031965}; nuclear periphery {GO:0034399}; nuclear pore {GO:0005643}; nuclear pore nuclear basket {GO:0044615}; nuclear pore outer ring {GO:0031080}; nucleoplasm {GO:0005654}; nucleus {GO:0005634}; ribonucleoprotein complex {GO:1990904}</t>
  </si>
  <si>
    <t>mRNA binding {GO:0003729}; nuclear localization sequence binding {GO:0008139}; peptide binding {GO:0042277}; promoter-specific chromatin binding {GO:1990841}; serine-type peptidase activity {GO:0008236}; structural constituent of nuclear pore {GO:0017056}; transcription coactivator activity {GO:0003713}</t>
  </si>
  <si>
    <t>Amplification of signal from unattached kinetochores via a MAD2 inhibitory signal {R-MMU-141444}; 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{R-MMU-159236}; Regulation of Glucokinase by Glucokinase Regulatory Protein {R-MMU-170822}; snRNP Assembly {R-MMU-191859}; Separation of Sister Chromatids {R-MMU-2467813}; Resolution of Sister Chromatid Cohesion {R-MMU-2500257}; SUMOylation of DNA damage response and repair proteins {R-MMU-3108214}; SUMOylation of ubiquitinylation proteins {R-MMU-3232142}; Nuclear Pore Complex (NPC) Disassembly {R-MMU-3301854}; Regulation of HSF1-mediated heat shock response {R-MMU-3371453}; SUMOylation of SUMOylation proteins {R-MMU-4085377}; SUMOylation of chromatin organization proteins {R-MMU-4551638}; SUMOylation of RNA binding proteins {R-MMU-4570464}; SUMOylation of DNA replication proteins {R-MMU-4615885}; Transcriptional regulation by small RNAs {R-MMU-5578749}; RHO GTPases Activate Formins {R-MMU-5663220}; Mitotic Prometaphase {R-MMU-68877}; Postmitotic nuclear pore complex (NPC) reformation {R-MMU-9615933}; EML4 and NUDC in mitotic spindle formation {R-MMU-9648025}</t>
  </si>
  <si>
    <t>sp|Q9CQ92|FIS1_MOUSE</t>
  </si>
  <si>
    <t>Mitochondrial fission 1 protein</t>
  </si>
  <si>
    <t>FIS1 homolog; Tetratricopeptide repeat protein 11 (TPR repeat protein 11)</t>
  </si>
  <si>
    <t>FIS1_MOUSE</t>
  </si>
  <si>
    <t>Q9CQ92</t>
  </si>
  <si>
    <t>Ttc11</t>
  </si>
  <si>
    <t>MGI:1913687</t>
  </si>
  <si>
    <t>3D-structure; Acetylation; Apoptosis; Membrane; Mitochondrion; Mitochondrion outer membrane; Peroxisome; Phosphoprotein; TPR repeat; Transmembrane; Transmembrane helix; Ubl conjugation</t>
  </si>
  <si>
    <t>Membrane; Mitochondrion; Mitochondrion outer membrane; Peroxisome</t>
  </si>
  <si>
    <t>TPR repeat; Transmembrane; Transmembrane helix</t>
  </si>
  <si>
    <t>autophagy of mitochondrion {GO:0000422}; calcium-mediated signaling using intracellular calcium source {GO:0035584}; cellular response to peptide {GO:1901653}; cellular response to thapsigargin {GO:1904579}; mitochondrial fission {GO:0000266}; mitochondrial fragmentation involved in apoptotic process {GO:0043653}; mitochondrial fusion {GO:0008053}; mitochondrion morphogenesis {GO:0070584}; negative regulation of ATP metabolic process {GO:1903579}; negative regulation of endoplasmic reticulum calcium ion concentration {GO:0032471}; negative regulation of fatty acid transport {GO:2000192}; peroxisome fission {GO:0016559}; positive regulation of cysteine-type endopeptidase activity involved in apoptotic process {GO:0043280}; positive regulation of cytosolic calcium ion concentration {GO:0007204}; positive regulation of intrinsic apoptotic signaling pathway {GO:2001244}; positive regulation of mitochondrial calcium ion concentration {GO:0051561}; positive regulation of mitochondrial fission {GO:0090141}; positive regulation of neuron apoptotic process {GO:0043525}; positive regulation of protein targeting to membrane {GO:0090314}; protein targeting to mitochondrion {GO:0006626}; regulation of mitochondrion organization {GO:0010821}; release of cytochrome c from mitochondria {GO:0001836}</t>
  </si>
  <si>
    <t>endoplasmic reticulum {GO:0005783}; integral component of mitochondrial outer membrane {GO:0031307}; integral component of peroxisomal membrane {GO:0005779}; mitochondrion {GO:0005739}; peroxisomal membrane {GO:0005778}; peroxisome {GO:0005777}; protein-containing complex {GO:0032991}</t>
  </si>
  <si>
    <t>identical protein binding {GO:0042802}; protein-containing complex binding {GO:0044877}</t>
  </si>
  <si>
    <t>Class I peroxisomal membrane protein import {R-MMU-9603798}</t>
  </si>
  <si>
    <t>sp|Q8K2K6|AGFG1_MOUSE</t>
  </si>
  <si>
    <t>Arf-GAP domain and FG repeat-containing protein 1</t>
  </si>
  <si>
    <t>HIV-1 Rev-binding protein homolog; Nucleoporin-like protein RIP</t>
  </si>
  <si>
    <t>AGFG1_MOUSE</t>
  </si>
  <si>
    <t>Q8K2K6</t>
  </si>
  <si>
    <t>O70448; Q8BQL5; Q8CDK9</t>
  </si>
  <si>
    <t>Hrb; Rip</t>
  </si>
  <si>
    <t>MGI:1333754</t>
  </si>
  <si>
    <t>Alternative splicing; Cytoplasmic vesicle; Developmental protein; Differentiation; DNA-binding; Glycoprotein; Metal-binding; Nucleus; Phosphoprotein; Repeat; Spermatogenesis; Transport; Zinc; Zinc-finger</t>
  </si>
  <si>
    <t>Differentiation; Spermatogenesis; Transport</t>
  </si>
  <si>
    <t>Cytoplasmic vesicle; Nucleus</t>
  </si>
  <si>
    <t>acrosome assembly {GO:0001675}; intermediate filament organization {GO:0045109}; spermatid nucleus differentiation {GO:0007289}</t>
  </si>
  <si>
    <t>cell projection {GO:0042995}; cytoplasm {GO:0005737}; cytoplasmic vesicle {GO:0031410}; intracellular membrane-bounded organelle {GO:0043231}; neuronal cell body {GO:0043025}; nucleus {GO:0005634}</t>
  </si>
  <si>
    <t>DNA binding {GO:0003677}; GTPase activator activity {GO:0005096}; metal ion binding {GO:0046872}</t>
  </si>
  <si>
    <t>sp|Q922Q1|MARC2_MOUSE</t>
  </si>
  <si>
    <t>Mitochondrial amidoxime reducing component 2 (mARC2)</t>
  </si>
  <si>
    <t>Molybdenum cofactor sulfurase C-terminal domain-containing protein 2 (MOSC domain-containing protein 2; Moco sulfurase C-terminal domain-containing protein 2)</t>
  </si>
  <si>
    <t>MARC2_MOUSE</t>
  </si>
  <si>
    <t>Q922Q1</t>
  </si>
  <si>
    <t>Marc2; Mg87; Mosc2</t>
  </si>
  <si>
    <t>MGI:1914497</t>
  </si>
  <si>
    <t>Acetylation; Isopeptide bond; Membrane; Mitochondrion; Mitochondrion outer membrane; Molybdenum; Oxidoreductase; Peroxisome; Transit peptide; Ubl conjugation</t>
  </si>
  <si>
    <t>Molybdenum</t>
  </si>
  <si>
    <t>cellular detoxification of nitrogen compound {GO:0070458}; nitrate metabolic process {GO:0042126}; nitric oxide biosynthetic process {GO:0006809}</t>
  </si>
  <si>
    <t>mitochondrial inner membrane {GO:0005743}; mitochondrial outer membrane {GO:0005741}; mitochondrion {GO:0005739}; peroxisome {GO:0005777}</t>
  </si>
  <si>
    <t>molybdenum ion binding {GO:0030151}; molybdopterin cofactor binding {GO:0043546}; nitrate reductase activity {GO:0008940}; nitrite reductase activity {GO:0098809}; oxidoreductase activity, acting on other nitrogenous compounds as donors {GO:0016661}; pyridoxal phosphate binding {GO:0030170}</t>
  </si>
  <si>
    <t>Phase I - Functionalization of compounds {R-MMU-211945}</t>
  </si>
  <si>
    <t>sp|P36916|GNL1_MOUSE</t>
  </si>
  <si>
    <t>Guanine nucleotide-binding protein-like 1</t>
  </si>
  <si>
    <t>GTP-binding protein MMR1</t>
  </si>
  <si>
    <t>GNL1_MOUSE</t>
  </si>
  <si>
    <t>P36916</t>
  </si>
  <si>
    <t>E9QPZ9; Q91Z20</t>
  </si>
  <si>
    <t>Gna-rs1; Mmr1</t>
  </si>
  <si>
    <t>MGI:95764</t>
  </si>
  <si>
    <t>Alternative splicing; GTP-binding; Nucleotide-binding; Phosphoprotein</t>
  </si>
  <si>
    <t>cellular response to DNA damage stimulus {GO:0006974}</t>
  </si>
  <si>
    <t>GTP binding {GO:0005525}; GTPase activity {GO:0003924}</t>
  </si>
  <si>
    <t>sp|P17563|SBP1_MOUSE</t>
  </si>
  <si>
    <t>Methanethiol oxidase (MTO)</t>
  </si>
  <si>
    <t>56 kDa selenium-binding protein (SBP56; SP56); Selenium-binding protein 1</t>
  </si>
  <si>
    <t>SBP1_MOUSE</t>
  </si>
  <si>
    <t>P17563</t>
  </si>
  <si>
    <t>Q91X87</t>
  </si>
  <si>
    <t>Lpsb</t>
  </si>
  <si>
    <t>MGI:96825</t>
  </si>
  <si>
    <t>Acetylation; Cytoplasm; Membrane; Nucleus; Oxidoreductase; Phosphoprotein; Protein transport; Selenium; Transport</t>
  </si>
  <si>
    <t>Selenium</t>
  </si>
  <si>
    <t>brown fat cell differentiation {GO:0050873}; protein transport {GO:0015031}</t>
  </si>
  <si>
    <t>cytosol {GO:0005829}; fibrillar center {GO:0001650}; membrane {GO:0016020}; nucleolus {GO:0005730}</t>
  </si>
  <si>
    <t>methanethiol oxidase activity {GO:0018549}; selenium binding {GO:0008430}</t>
  </si>
  <si>
    <t>Organosulfur degradation..</t>
  </si>
  <si>
    <t>sp|P84084|ARF5_MOUSE</t>
  </si>
  <si>
    <t>ADP-ribosylation factor 5</t>
  </si>
  <si>
    <t>ARF5_MOUSE</t>
  </si>
  <si>
    <t>P84084</t>
  </si>
  <si>
    <t>A2RTC5; P26437</t>
  </si>
  <si>
    <t>MGI:99434</t>
  </si>
  <si>
    <t>Cytoplasm; ER-Golgi transport; Golgi apparatus; GTP-binding; Lipoprotein; Membrane; Myristate; Nucleotide-binding; Protein transport; Transport</t>
  </si>
  <si>
    <t>Lipoprotein; Myristate</t>
  </si>
  <si>
    <t>intracellular protein transport {GO:0006886}; protein transport {GO:0015031}; retrograde vesicle-mediated transport, Golgi to endoplasmic reticulum {GO:0006890}; vesicle-mediated transport {GO:0016192}</t>
  </si>
  <si>
    <t>cytoplasm {GO:0005737}; Golgi apparatus {GO:0005794}; perinuclear region of cytoplasm {GO:0048471}; plasma membrane {GO:0005886}</t>
  </si>
  <si>
    <t>sp|Q9CQU5|ZWINT_MOUSE</t>
  </si>
  <si>
    <t>ZW10 interactor</t>
  </si>
  <si>
    <t>ZW10-interacting protein 1 (Zwint-1)</t>
  </si>
  <si>
    <t>ZWINT_MOUSE</t>
  </si>
  <si>
    <t>Q9CQU5</t>
  </si>
  <si>
    <t>Q3UYT8; Q91VI4; Q9D0W9</t>
  </si>
  <si>
    <t>D10Ertd749e</t>
  </si>
  <si>
    <t>MGI:1289227</t>
  </si>
  <si>
    <t>Cell cycle; Cell division; Centromere; Chromosome; Coiled coil; Kinetochore; Mitosis; Nucleus; Phosphoprotein</t>
  </si>
  <si>
    <t>cell division {GO:0051301}; establishment of localization in cell {GO:0051649}; mitotic sister chromatid segregation {GO:0000070}; mitotic spindle assembly checkpoint signaling {GO:0007094}</t>
  </si>
  <si>
    <t>cytoplasm {GO:0005737}; cytosol {GO:0005829}; dendrite {GO:0030425}; intracellular membrane-bounded organelle {GO:0043231}; kinetochore {GO:0000776}; neuron projection {GO:0043005}; NMS complex {GO:0031617}; nuclear body {GO:0016604}; nucleoplasm {GO:0005654}; nucleus {GO:0005634}</t>
  </si>
  <si>
    <t>protein N-terminus binding {GO:0047485}</t>
  </si>
  <si>
    <t>sp|Q9ERR7|SEP15_MOUSE</t>
  </si>
  <si>
    <t>Selenoprotein F</t>
  </si>
  <si>
    <t>15 kDa selenoprotein</t>
  </si>
  <si>
    <t>SEP15_MOUSE</t>
  </si>
  <si>
    <t>Q9ERR7</t>
  </si>
  <si>
    <t>Q3TXW1; Q544W8; Q8VE40</t>
  </si>
  <si>
    <t>MGI:1927947</t>
  </si>
  <si>
    <t>Endoplasmic reticulum; Selenocysteine; Signal</t>
  </si>
  <si>
    <t>'de novo' post-translational protein folding {GO:0051084}; sperm DNA condensation {GO:0035092}</t>
  </si>
  <si>
    <t>endoplasmic reticulum lumen {GO:0005788}</t>
  </si>
  <si>
    <t>oxidoreductase activity {GO:0016491}; selenium binding {GO:0008430}; thioredoxin peroxidase activity {GO:0008379}</t>
  </si>
  <si>
    <t>sp|Q8CAY6|THIC_MOUSE</t>
  </si>
  <si>
    <t>Acetyl-CoA acetyltransferase, cytosolic</t>
  </si>
  <si>
    <t>Cytosolic acetoacetyl-CoA thiolase</t>
  </si>
  <si>
    <t>THIC_MOUSE</t>
  </si>
  <si>
    <t>Q8CAY6</t>
  </si>
  <si>
    <t>Q3TJY7; Q62292; Q96EB7; Q99K88; Q9CYV2</t>
  </si>
  <si>
    <t>MGI:87871</t>
  </si>
  <si>
    <t>Acetylation; Acyltransferase; Cytoplasm; Transferase</t>
  </si>
  <si>
    <t>fatty acid beta-oxidation {GO:0006635}; positive regulation of intestinal cholesterol absorption {GO:0045797}</t>
  </si>
  <si>
    <t>acetyl-CoA C-acetyltransferase activity {GO:0003985}</t>
  </si>
  <si>
    <t>Lipid metabolism; fatty acid metabolism.</t>
  </si>
  <si>
    <t>sp|Q3UDE2|TTL12_MOUSE</t>
  </si>
  <si>
    <t>Tubulin--tyrosine ligase-like protein 12</t>
  </si>
  <si>
    <t>Inactive tubulin--tyrosine ligase-like protein 12</t>
  </si>
  <si>
    <t>TTL12_MOUSE</t>
  </si>
  <si>
    <t>Q3UDE2</t>
  </si>
  <si>
    <t>Q7TPC3</t>
  </si>
  <si>
    <t>MGI:3039573</t>
  </si>
  <si>
    <t>ATP-binding; Cytoplasm; Cytoskeleton; Immunity; Innate immunity; Nucleotide-binding; Nucleus</t>
  </si>
  <si>
    <t>innate immune response {GO:0045087}; negative regulation of type I interferon-mediated signaling pathway {GO:0060339}; protein modification process {GO:0036211}; regulation of mitotic cell cycle {GO:0007346}</t>
  </si>
  <si>
    <t>cytoplasm {GO:0005737}; microtubule organizing center {GO:0005815}; midbody {GO:0030496}; nucleus {GO:0005634}; spindle {GO:0005819}</t>
  </si>
  <si>
    <t>acid-amino acid ligase activity {GO:0016881}; ATP binding {GO:0005524}; H4K20me3 modified histone binding {GO:1990889}; tubulin binding {GO:0015631}</t>
  </si>
  <si>
    <t>Carboxyterminal post-translational modifications of tubulin {R-MMU-8955332}</t>
  </si>
  <si>
    <t>sp|P52624|UPP1_MOUSE</t>
  </si>
  <si>
    <t>Uridine phosphorylase 1 (UPase 1; UrdPase 1)</t>
  </si>
  <si>
    <t>UPP1_MOUSE</t>
  </si>
  <si>
    <t>P52624</t>
  </si>
  <si>
    <t>Q8JZX0</t>
  </si>
  <si>
    <t>Up; Upp</t>
  </si>
  <si>
    <t>MGI:1097668</t>
  </si>
  <si>
    <t>cellular response to glucose starvation {GO:0042149}; CMP catabolic process {GO:0006248}; dCMP catabolic process {GO:0006249}; dTMP catabolic process {GO:0046074}; dUMP catabolic process {GO:0046079}; pyrimidine nucleotide metabolic process {GO:0006220}; UMP catabolic process {GO:0046050}; UMP salvage {GO:0044206}; uridine catabolic process {GO:0006218}; uridine metabolic process {GO:0046108}</t>
  </si>
  <si>
    <t>deoxyuridine phosphorylase activity {GO:0047847}; identical protein binding {GO:0042802}; thymidine phosphorylase activity {GO:0009032}; uridine phosphorylase activity {GO:0004850}</t>
  </si>
  <si>
    <t>Pyrimidine metabolism; UMP biosynthesis via salvage pathway; uracil from uridine (phosphorylase route): step 1/1..</t>
  </si>
  <si>
    <t>Pyrimidine salvage {R-MMU-73614}; Pyrimidine catabolism {R-MMU-73621}</t>
  </si>
  <si>
    <t>sp|P25976|UBF1_MOUSE</t>
  </si>
  <si>
    <t>Nucleolar transcription factor 1</t>
  </si>
  <si>
    <t>Upstream-binding factor 1 (UBF-1)</t>
  </si>
  <si>
    <t>UBF1_MOUSE</t>
  </si>
  <si>
    <t>P25976</t>
  </si>
  <si>
    <t>Tcfubf; Ubf-1; Ubf1</t>
  </si>
  <si>
    <t>MGI:98512</t>
  </si>
  <si>
    <t>3D-structure; Acetylation; Activator; Alternative splicing; DNA-binding; Nucleus; Phosphoprotein; Repeat; Transcription; Transcription regulation</t>
  </si>
  <si>
    <t>cellular response to leukemia inhibitory factor {GO:1990830}; positive regulation of transcription by RNA polymerase I {GO:0045943}; transcription by RNA polymerase I {GO:0006360}; transcription elongation by RNA polymerase I {GO:0006362}; transcription initiation at RNA polymerase I promoter {GO:0006361}</t>
  </si>
  <si>
    <t>fibrillar center {GO:0001650}; nucleolus {GO:0005730}; nucleus {GO:0005634}</t>
  </si>
  <si>
    <t>chromatin binding {GO:0003682}; RNA polymerase I cis-regulatory region sequence-specific DNA binding {GO:0001165}; RNA polymerase I core promoter sequence-specific DNA binding {GO:0001164}; RNA polymerase I general transcription initiation factor activity {GO:0001181}; scaffold protein binding {GO:0097110}</t>
  </si>
  <si>
    <t>RNA Polymerase I Promoter Opening {R-MMU-73728}; RNA Polymerase I Transcription Initiation {R-MMU-73762}; RNA Polymerase I Promoter Escape {R-MMU-73772}; RNA Polymerase I Transcription Termination {R-MMU-73863}</t>
  </si>
  <si>
    <t>sp|P62631|EF1A2_MOUSE</t>
  </si>
  <si>
    <t>Elongation factor 1-alpha 2 (EF-1-alpha-2)</t>
  </si>
  <si>
    <t>Eukaryotic elongation factor 1 A-2 (eEF1A-2); Statin-S1</t>
  </si>
  <si>
    <t>EF1A2_MOUSE</t>
  </si>
  <si>
    <t>P62631</t>
  </si>
  <si>
    <t>P27706</t>
  </si>
  <si>
    <t>Eef1al; Stn</t>
  </si>
  <si>
    <t>MGI:1096317</t>
  </si>
  <si>
    <t>Acetylation; Elongation factor; GTP-binding; Methylation; Nucleotide-binding; Nucleus; Phosphoprotein; Protein biosynthesis</t>
  </si>
  <si>
    <t>positive regulation of apoptotic process {GO:0043065}; positive regulation of lipid kinase activity {GO:0090218}; translation {GO:0006412}; translational elongation {GO:0006414}</t>
  </si>
  <si>
    <t>cytoplasm {GO:0005737}; eukaryotic translation elongation factor 1 complex {GO:0005853}; myelin sheath {GO:0043209}; neuronal cell body {GO:0043025}; nucleus {GO:0005634}; synapse {GO:0045202}</t>
  </si>
  <si>
    <t>GTP binding {GO:0005525}; GTPase activity {GO:0003924}; protein kinase binding {GO:0019901}; translation elongation factor activity {GO:0003746}</t>
  </si>
  <si>
    <t>sp|O55135|IF6_MOUSE</t>
  </si>
  <si>
    <t>Eukaryotic translation initiation factor 6 (eIF-6)</t>
  </si>
  <si>
    <t>B4 integrin interactor; CAB; p27(BBP)</t>
  </si>
  <si>
    <t>IF6_MOUSE</t>
  </si>
  <si>
    <t>O55135</t>
  </si>
  <si>
    <t>Itgb4bp</t>
  </si>
  <si>
    <t>MGI:1196288</t>
  </si>
  <si>
    <t>Cytoplasm; Initiation factor; Nucleus; Phosphoprotein; Protein biosynthesis; Ribosome biogenesis; Ubl conjugation</t>
  </si>
  <si>
    <t>Protein biosynthesis; Ribosome biogenesis</t>
  </si>
  <si>
    <t>assembly of large subunit precursor of preribosome {GO:1902626}; maturation of 5.8S rRNA {GO:0000460}; maturation of LSU-rRNA {GO:0000470}; mature ribosome assembly {GO:0042256}; miRNA-mediated gene silencing {GO:0035195}; miRNA-mediated gene silencing by inhibition of translation {GO:0035278}; positive regulation of translation {GO:0045727}; regulation of fatty acid biosynthetic process {GO:0042304}; regulation of glycolytic process {GO:0006110}; regulation of megakaryocyte differentiation {GO:0045652}; regulation of reactive oxygen species metabolic process {GO:2000377}; response to insulin {GO:0032868}; ribosomal subunit export from nucleus {GO:0000054}</t>
  </si>
  <si>
    <t>cytoplasm {GO:0005737}; cytosol {GO:0005829}; intermediate filament {GO:0005882}; lamin filament {GO:0005638}; nucleolus {GO:0005730}; nucleoplasm {GO:0005654}; nucleus {GO:0005634}; preribosome, large subunit precursor {GO:0030687}</t>
  </si>
  <si>
    <t>ribosomal large subunit binding {GO:0043023}; ribosome binding {GO:0043022}; translation initiation factor activity {GO:0003743}</t>
  </si>
  <si>
    <t>sp|Q9D8Y0|EFHD2_MOUSE</t>
  </si>
  <si>
    <t>EF-hand domain-containing protein D2</t>
  </si>
  <si>
    <t>Swiprosin-1</t>
  </si>
  <si>
    <t>EFHD2_MOUSE</t>
  </si>
  <si>
    <t>Q9D8Y0</t>
  </si>
  <si>
    <t>Q9D0P4</t>
  </si>
  <si>
    <t>Sws1</t>
  </si>
  <si>
    <t>MGI:106504</t>
  </si>
  <si>
    <t>Acetylation; Calcium; Membrane; Metal-binding; Phosphoprotein; Repeat</t>
  </si>
  <si>
    <t>membrane raft {GO:0045121}</t>
  </si>
  <si>
    <t>RHOD GTPase cycle {R-MMU-9013405}</t>
  </si>
  <si>
    <t>sp|Q6IRU5|CLCB_MOUSE</t>
  </si>
  <si>
    <t>Clathrin light chain B (Lcb)</t>
  </si>
  <si>
    <t>CLCB_MOUSE</t>
  </si>
  <si>
    <t>Q6IRU5</t>
  </si>
  <si>
    <t>Q8BR04; Q8CDX9; Q9CV35</t>
  </si>
  <si>
    <t>MGI:1921575</t>
  </si>
  <si>
    <t>Acetylation; Alternative splicing; Calcium; Coated pit; Cytoplasmic vesicle; Disulfide bond; Membrane; Phosphoprotein</t>
  </si>
  <si>
    <t>Coated pit; Cytoplasmic vesicle; Membrane</t>
  </si>
  <si>
    <t>clathrin-dependent endocytosis {GO:0072583}; intracellular protein transport {GO:0006886}</t>
  </si>
  <si>
    <t>ciliary membrane {GO:0060170}; clathrin coat {GO:0030118}; clathrin coat of coated pit {GO:0030132}; clathrin coat of trans-Golgi network vesicle {GO:0030130}; clathrin vesicle coat {GO:0030125}; cytosol {GO:0005829}; intracellular membrane-bounded organelle {GO:0043231}; plasma membrane {GO:0005886}; postsynaptic endocytic zone cytoplasmic component {GO:0099631}; presynaptic endocytic zone membrane {GO:0098835}; synaptic vesicle membrane {GO:0030672}; trans-Golgi network {GO:0005802}</t>
  </si>
  <si>
    <t>clathrin heavy chain binding {GO:0032050}; peptide binding {GO:0042277}; structural molecule activity {GO:0005198}</t>
  </si>
  <si>
    <t>Gap junction degradation {R-MMU-190873}; Formation of annular gap junctions {R-MMU-196025}; Lysosome Vesicle Biogenesis {R-MMU-432720}; WNT5A-dependent internalization of FZD4 {R-MMU-5099900}; WNT5A-dependent internalization of FZD2, FZD5 and ROR2 {R-MMU-5140745}; Cargo recognition for clathrin-mediated endocytosis {R-MMU-8856825}; Clathrin-mediated endocytosis {R-MMU-8856828}</t>
  </si>
  <si>
    <t>sp|P21126|UBL4A_MOUSE</t>
  </si>
  <si>
    <t>Ubiquitin-like protein 4A</t>
  </si>
  <si>
    <t>Ubiquitin-like protein GDX</t>
  </si>
  <si>
    <t>UBL4A_MOUSE</t>
  </si>
  <si>
    <t>P21126</t>
  </si>
  <si>
    <t>MGI:95049</t>
  </si>
  <si>
    <t>Cytoplasm; Isopeptide bond; Nucleus; Phosphoprotein; Transport; Ubl conjugation</t>
  </si>
  <si>
    <t>post-translational protein targeting to endoplasmic reticulum membrane {GO:0006620}; regulation of protein stability {GO:0031647}; tail-anchored membrane protein insertion into ER membrane {GO:0071816}; ubiquitin-dependent protein catabolic process {GO:0006511}</t>
  </si>
  <si>
    <t>BAT3 complex {GO:0071818}; cytoplasm {GO:0005737}; cytosol {GO:0005829}; membrane {GO:0016020}; nucleoplasm {GO:0005654}; nucleus {GO:0005634}</t>
  </si>
  <si>
    <t>sp|Q9CQT1|MTNA_MOUSE</t>
  </si>
  <si>
    <t>Methylthioribose-1-phosphate isomerase (M1Pi; MTR-1-P isomerase)</t>
  </si>
  <si>
    <t>S-methyl-5-thioribose-1-phosphate isomerase; Translation initiation factor eIF-2B subunit alpha/beta/delta-like protein</t>
  </si>
  <si>
    <t>MTNA_MOUSE</t>
  </si>
  <si>
    <t>Q9CQT1</t>
  </si>
  <si>
    <t>Q8BXF6</t>
  </si>
  <si>
    <t>MGI:1915123</t>
  </si>
  <si>
    <t>Acetylation; Amino-acid biosynthesis; Cytoplasm; Isomerase; Methionine biosynthesis; Methylation; Nucleus; Phosphoprotein</t>
  </si>
  <si>
    <t>L-methionine salvage from methylthioadenosine {GO:0019509}; L-methionine salvage from S-adenosylmethionine {GO:0019284}</t>
  </si>
  <si>
    <t>cytosol {GO:0005829}; fibrillar center {GO:0001650}; nucleoplasm {GO:0005654}</t>
  </si>
  <si>
    <t>identical protein binding {GO:0042802}; S-methyl-5-thioribose-1-phosphate isomerase activity {GO:0046523}</t>
  </si>
  <si>
    <t>Amino-acid biosynthesis; L-methionine biosynthesis via salvage pathway; L-methionine from S-methyl-5-thio-alpha-D-ribose 1-phosphate: step 1/6..</t>
  </si>
  <si>
    <t>sp|P97450|ATP5J_MOUSE</t>
  </si>
  <si>
    <t>ATP synthase-coupling factor 6, mitochondrial (ATPase subunit F6)</t>
  </si>
  <si>
    <t>ATP synthase peripheral stalk subunit F6</t>
  </si>
  <si>
    <t>ATP5J_MOUSE</t>
  </si>
  <si>
    <t>P97450</t>
  </si>
  <si>
    <t>Atp5j</t>
  </si>
  <si>
    <t>MGI:107777</t>
  </si>
  <si>
    <t>Acetylation; CF(0); Hydrogen ion transport; Ion transport; Membrane; Mitochondrion; Mitochondrion inner membrane; Phosphoprotein; Transit peptide; Transport</t>
  </si>
  <si>
    <t>ATP metabolic process {GO:0046034}; negative regulation of arachidonic acid secretion {GO:1900139}; negative regulation of prostaglandin secretion {GO:0032307}; positive regulation of blood pressure {GO:0045777}; positive regulation of heart rate {GO:0010460}; proton motive force-driven mitochondrial ATP synthesis {GO:0042776}</t>
  </si>
  <si>
    <t>cell surface {GO:0009986}; extracellular space {GO:0005615}; mitochondrial inner membrane {GO:0005743}; mitochondrial proton-transporting ATP synthase complex {GO:0005753}; mitochondrial proton-transporting ATP synthase complex, coupling factor F(o) {GO:0000276}; mitochondrion {GO:0005739}</t>
  </si>
  <si>
    <t>sp|Q8C7R4|UBA6_MOUSE</t>
  </si>
  <si>
    <t>Ubiquitin-like modifier-activating enzyme 6 (Ubiquitin-activating enzyme 6)</t>
  </si>
  <si>
    <t>Ubiquitin-activating enzyme E1-like protein 2 (E1-L2)</t>
  </si>
  <si>
    <t>UBA6_MOUSE</t>
  </si>
  <si>
    <t>Q8C7R4</t>
  </si>
  <si>
    <t>Ube1l2</t>
  </si>
  <si>
    <t>MGI:1913894</t>
  </si>
  <si>
    <t>Acetylation; ATP-binding; Ligase; Nucleotide-binding; Phosphoprotein; Ubl conjugation pathway</t>
  </si>
  <si>
    <t>amygdala development {GO:0021764}; cellular response to DNA damage stimulus {GO:0006974}; dendritic spine development {GO:0060996}; hippocampus development {GO:0021766}; learning {GO:0007612}; locomotory behavior {GO:0007626}; protein modification by small protein conjugation {GO:0032446}; protein ubiquitination {GO:0016567}; ubiquitin-dependent protein catabolic process {GO:0006511}</t>
  </si>
  <si>
    <t>ATP binding {GO:0005524}; FAT10 activating enzyme activity {GO:0019780}; ubiquitin activating enzyme activity {GO:0004839}</t>
  </si>
  <si>
    <t>sp|O70503|DHB12_MOUSE</t>
  </si>
  <si>
    <t>Very-long-chain 3-oxoacyl-CoA reductase</t>
  </si>
  <si>
    <t>17-beta-hydroxysteroid dehydrogenase 12 (17-beta-HSD 12); 3-ketoacyl-CoA reductase (KAR); Estradiol 17-beta-dehydrogenase 12; KIK-I</t>
  </si>
  <si>
    <t>DHB12_MOUSE</t>
  </si>
  <si>
    <t>O70503</t>
  </si>
  <si>
    <t>Q3TID1; Q3U7V9; Q542N3; Q8CI39</t>
  </si>
  <si>
    <t>Kik1</t>
  </si>
  <si>
    <t>MGI:1926967</t>
  </si>
  <si>
    <t>Alternative splicing; Endoplasmic reticulum; Lipid biosynthesis; Lipid metabolism; Membrane; NADP; Oxidoreductase; Steroid biosynthesis; Transmembrane; Transmembrane helix</t>
  </si>
  <si>
    <t>Lipid biosynthesis; Lipid metabolism; Steroid biosynthesis</t>
  </si>
  <si>
    <t>estrogen biosynthetic process {GO:0006703}; extracellular matrix organization {GO:0030198}; fatty acid biosynthetic process {GO:0006633}; positive regulation of cell-substrate adhesion {GO:0010811}</t>
  </si>
  <si>
    <t>endoplasmic reticulum {GO:0005783}; extracellular matrix {GO:0031012}; fatty acid elongase complex {GO:0009923}; integral component of membrane {GO:0016021}</t>
  </si>
  <si>
    <t>17-beta-hydroxysteroid dehydrogenase (NAD+) activity {GO:0044594}; 3-oxo-arachidoyl-CoA reductase activity {GO:0102339}; 3-oxo-behenoyl-CoA reductase activity {GO:0102340}; 3-oxo-cerotoyl-CoA reductase activity {GO:0102342}; 3-oxo-lignoceroyl-CoA reductase activity {GO:0102341}; collagen binding {GO:0005518}; fibronectin binding {GO:0001968}; heparin binding {GO:0008201}; long-chain-3-hydroxyacyl-CoA dehydrogenase activity {GO:0016509}; long-chain-fatty-acyl-CoA reductase activity {GO:0050062}; oxidoreductase activity {GO:0016491}</t>
  </si>
  <si>
    <t>Steroid biosynthesis; estrogen biosynthesis.</t>
  </si>
  <si>
    <t>Androgen biosynthesis {R-MMU-193048}; Synthesis of very long-chain fatty acyl-CoAs {R-MMU-75876}</t>
  </si>
  <si>
    <t>sp|P56391|CX6B1_MOUSE</t>
  </si>
  <si>
    <t>Cytochrome c oxidase subunit 6B1</t>
  </si>
  <si>
    <t>Cytochrome c oxidase subunit VIb isoform 1 (COX VIb-1)</t>
  </si>
  <si>
    <t>CX6B1_MOUSE</t>
  </si>
  <si>
    <t>P56391</t>
  </si>
  <si>
    <t>Q545A3</t>
  </si>
  <si>
    <t>Cox6b</t>
  </si>
  <si>
    <t>MGI:107460</t>
  </si>
  <si>
    <t>3D-structure; Acetylation; Disulfide bond; Membrane; Mitochondrion; Mitochondrion inner membrane</t>
  </si>
  <si>
    <t>oxidative phosphorylation {GO:0006119}</t>
  </si>
  <si>
    <t>mitochondrial inner membrane {GO:0005743}; mitochondrial membrane {GO:0031966}; mitochondrial respiratory chain complex IV {GO:0005751}; mitochondrion {GO:0005739}; respiratory chain complex IV {GO:0045277}</t>
  </si>
  <si>
    <t>sp|P60904|DNJC5_MOUSE</t>
  </si>
  <si>
    <t>DnaJ homolog subfamily C member 5</t>
  </si>
  <si>
    <t>Cysteine string protein (CSP); Cysteine-string protein isoform alpha</t>
  </si>
  <si>
    <t>DNJC5_MOUSE</t>
  </si>
  <si>
    <t>P60904</t>
  </si>
  <si>
    <t>P54101</t>
  </si>
  <si>
    <t>MGI:892995</t>
  </si>
  <si>
    <t>3D-structure; Acetylation; Cell membrane; Chaperone; Cytoplasm; Cytoplasmic vesicle; Lipoprotein; Membrane; Palmitate; Phosphoprotein</t>
  </si>
  <si>
    <t>Cell membrane; Cytoplasm; Cytoplasmic vesicle; Membrane</t>
  </si>
  <si>
    <t>chaperone-mediated protein folding {GO:0061077}; negative regulation of neuron apoptotic process {GO:0043524}; neuron apoptotic process {GO:0051402}; regulation of synaptic vesicle cycle {GO:0098693}</t>
  </si>
  <si>
    <t>anchored component of membrane {GO:0031225}; anchored component of synaptic vesicle membrane {GO:0098993}; chromaffin granule membrane {GO:0042584}; clathrin-sculpted glutamate transport vesicle membrane {GO:0060203}; cytosol {GO:0005829}; Golgi apparatus {GO:0005794}; intracellular membrane-bounded organelle {GO:0043231}; melanosome {GO:0042470}; membrane {GO:0016020}; neuromuscular junction {GO:0031594}; plasma membrane {GO:0005886}; presynapse {GO:0098793}; synaptic vesicle {GO:0008021}</t>
  </si>
  <si>
    <t>ATP-dependent protein binding {GO:0043008}</t>
  </si>
  <si>
    <t>Neutrophil degranulation {R-MMU-6798695}; GABA synthesis, release, reuptake and degradation {R-MMU-888590}</t>
  </si>
  <si>
    <t>sp|Q91YR1|TWF1_MOUSE</t>
  </si>
  <si>
    <t>sp|Q6GQT9|NOMO1_MOUSE</t>
  </si>
  <si>
    <t>Nodal modulator 1</t>
  </si>
  <si>
    <t>NOMO1_MOUSE</t>
  </si>
  <si>
    <t>Q6GQT9</t>
  </si>
  <si>
    <t>Q3TKZ1; Q8BJM1; Q8BJM8; Q8BLS9; Q8K074; Q8R1I7</t>
  </si>
  <si>
    <t>MGI:2385850</t>
  </si>
  <si>
    <t>Coiled coil; Endoplasmic reticulum; Glycoprotein; Membrane; Phosphoprotein; Signal; Transmembrane; Transmembrane helix</t>
  </si>
  <si>
    <t>Coiled coil; Signal; Transmembrane; Transmembrane helix</t>
  </si>
  <si>
    <t>endoplasmic reticulum membrane {GO:0005789}; integral component of membrane {GO:0016021}; protein-containing complex {GO:0032991}</t>
  </si>
  <si>
    <t>carbohydrate binding {GO:0030246}; ribosome binding {GO:0043022}</t>
  </si>
  <si>
    <t>sp|Q9Z0X1|AIFM1_MOUSE</t>
  </si>
  <si>
    <t>Apoptosis-inducing factor 1, mitochondrial</t>
  </si>
  <si>
    <t>Programmed cell death protein 8</t>
  </si>
  <si>
    <t>AIFM1_MOUSE</t>
  </si>
  <si>
    <t>Q9Z0X1</t>
  </si>
  <si>
    <t>Q1L6K5</t>
  </si>
  <si>
    <t>Aif; Pdcd8</t>
  </si>
  <si>
    <t>MGI:1349419</t>
  </si>
  <si>
    <t>3D-structure; Acetylation; Alternative splicing; Apoptosis; Cytoplasm; DNA-binding; FAD; Flavoprotein; Isopeptide bond; Membrane; Mitochondrion; Mitochondrion inner membrane; NAD; Nucleus; Oxidoreductase; Phosphoprotein; Transit peptide; Ubl conjugation</t>
  </si>
  <si>
    <t>Cytoplasm; Membrane; Mitochondrion; Mitochondrion inner membrane; Nucleus</t>
  </si>
  <si>
    <t>DNA-binding; Oxidoreductase</t>
  </si>
  <si>
    <t>activation of cysteine-type endopeptidase activity involved in apoptotic process {GO:0006919}; apoptotic mitochondrial changes {GO:0008637}; apoptotic process {GO:0006915}; cellular response to aldosterone {GO:1904045}; cellular response to estradiol stimulus {GO:0071392}; cellular response to hydrogen peroxide {GO:0070301}; cellular response to nitric oxide {GO:0071732}; cellular response to oxygen-glucose deprivation {GO:0090650}; intrinsic apoptotic signaling pathway in response to endoplasmic reticulum stress {GO:0070059}; mitochondrial respiratory chain complex assembly {GO:0033108}; mitochondrial respiratory chain complex I assembly {GO:0032981}; neuron apoptotic process {GO:0051402}; neuron differentiation {GO:0030182}; positive regulation of apoptotic process {GO:0043065}; positive regulation of necroptotic process {GO:0060545}; positive regulation of neuron apoptotic process {GO:0043525}; programmed cell death {GO:0012501}; protein import into mitochondrial intermembrane space {GO:0045041}; regulation of apoptotic DNA fragmentation {GO:1902510}; response to ischemia {GO:0002931}; response to L-glutamate {GO:1902065}; response to oxidative stress {GO:0006979}; response to toxic substance {GO:0009636}</t>
  </si>
  <si>
    <t>cytoplasm {GO:0005737}; cytosol {GO:0005829}; mitochondrial inner membrane {GO:0005743}; mitochondrial intermembrane space {GO:0005758}; mitochondrial outer membrane {GO:0005741}; mitochondrion {GO:0005739}; nucleus {GO:0005634}; perinuclear region of cytoplasm {GO:0048471}</t>
  </si>
  <si>
    <t>DNA binding {GO:0003677}; electron-transferring-flavoprotein dehydrogenase activity {GO:0004174}; FAD binding {GO:0071949}; NAD(P)H oxidase H2O2-forming activity {GO:0016174}; NADH dehydrogenase activity {GO:0003954}; oxidoreductase activity, acting on NAD(P)H {GO:0016651}; poly-ADP-D-ribose binding {GO:0072572}; protein dimerization activity {GO:0046983}</t>
  </si>
  <si>
    <t>sp|Q6PDG5|SMRC2_MOUSE</t>
  </si>
  <si>
    <t>SWI/SNF complex subunit SMARCC2</t>
  </si>
  <si>
    <t>BRG1-associated factor 170 (BAF170); SWI/SNF complex 170 kDa subunit; SWI/SNF-related matrix-associated actin-dependent regulator of chromatin subfamily C member 2</t>
  </si>
  <si>
    <t>SMRC2_MOUSE</t>
  </si>
  <si>
    <t>Q6PDG5</t>
  </si>
  <si>
    <t>Q6P6P3</t>
  </si>
  <si>
    <t>Baf170</t>
  </si>
  <si>
    <t>MGI:1915344</t>
  </si>
  <si>
    <t>Acetylation; ADP-ribosylation; Alternative splicing; Chromatin regulator; Coiled coil; Isopeptide bond; Neurogenesis; Nucleus; Phosphoprotein; Transcription; Transcription regulation; Ubl conjugation</t>
  </si>
  <si>
    <t>chromatin remodeling {GO:0006338}; negative regulation of DNA-templated transcription {GO:0045892}; negative regulation of transcription by RNA polymerase II {GO:0000122}; nervous system development {GO:0007399}; nucleosome disassembly {GO:0006337}; positive regulation of cell differentiation {GO:0045597}; positive regulation of DNA-templated transcription {GO:0045893}; positive regulation of double-strand break repair {GO:2000781}; positive regulation of myoblast differentiation {GO:0045663}; positive regulation of T cell differentiation {GO:0045582};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{GO:0006357}; transcription by RNA polymerase II {GO:0006366}</t>
  </si>
  <si>
    <t>bBAF complex {GO:0140092}; brahma complex {GO:0035060}; chromatin {GO:0000785}; kinetochore {GO:0000776}; nBAF complex {GO:0071565}; npBAF complex {GO:0071564}; nuclear matrix {GO:0016363}; nucleoplasm {GO:0005654}; RSC-type complex {GO:0016586}; SWI/SNF complex {GO:0016514}</t>
  </si>
  <si>
    <t>chromatin binding {GO:0003682}; histone binding {GO:0042393}</t>
  </si>
  <si>
    <t>sp|Q6P2B1|TNPO3_MOUSE</t>
  </si>
  <si>
    <t>Transportin-3</t>
  </si>
  <si>
    <t>TNPO3_MOUSE</t>
  </si>
  <si>
    <t>Q6P2B1</t>
  </si>
  <si>
    <t>Q7TSL6; Q8BKX4; Q8BP42</t>
  </si>
  <si>
    <t>MGI:1196412</t>
  </si>
  <si>
    <t>annulate lamellae {GO:0005642}; cytoplasm {GO:0005737}; intracellular membrane-bounded organelle {GO:0043231}; nuclear envelope {GO:0005635}</t>
  </si>
  <si>
    <t>identical protein binding {GO:0042802}; small GTPase binding {GO:0031267}</t>
  </si>
  <si>
    <t>sp|Q9D554|SF3A3_MOUSE</t>
  </si>
  <si>
    <t>Splicing factor 3A subunit 3</t>
  </si>
  <si>
    <t>SF3a60; Spliceosome-associated protein 61 (SAP 61)</t>
  </si>
  <si>
    <t>SF3A3_MOUSE</t>
  </si>
  <si>
    <t>Q9D554</t>
  </si>
  <si>
    <t>Sap61</t>
  </si>
  <si>
    <t>MGI:1922312</t>
  </si>
  <si>
    <t>Acetylation; Metal-binding; mRNA processing; mRNA splicing; Nucleus; Phosphoprotein; Spliceosome; Zinc; Zinc-finger</t>
  </si>
  <si>
    <t>mRNA processing {GO:0006397}; mRNA splicing, via spliceosome {GO:0000398}; U2-type prespliceosome assembly {GO:1903241}</t>
  </si>
  <si>
    <t>catalytic step 2 spliceosome {GO:0071013}; nuclear speck {GO:0016607}; nucleoplasm {GO:0005654}; nucleus {GO:0005634}; spliceosomal complex {GO:0005681}; U2 snRNP {GO:0005686}; U2-type precatalytic spliceosome {GO:0071005}; U2-type spliceosomal complex {GO:0005684}</t>
  </si>
  <si>
    <t>RNA binding {GO:0003723}; zinc ion binding {GO:0008270}</t>
  </si>
  <si>
    <t>sp|Q9CQN1|TRAP1_MOUSE</t>
  </si>
  <si>
    <t>Heat shock protein 75 kDa, mitochondrial (HSP 75)</t>
  </si>
  <si>
    <t>TNFR-associated protein 1; Tumor necrosis factor type 1 receptor-associated protein (TRAP-1)</t>
  </si>
  <si>
    <t>TRAP1_MOUSE</t>
  </si>
  <si>
    <t>Q9CQN1</t>
  </si>
  <si>
    <t>Q542I4</t>
  </si>
  <si>
    <t>Hsp75</t>
  </si>
  <si>
    <t>MGI:1915265</t>
  </si>
  <si>
    <t>Acetylation; ATP-binding; Chaperone; Membrane; Mitochondrion; Mitochondrion inner membrane; Nucleotide-binding; Phosphoprotein; Transit peptide</t>
  </si>
  <si>
    <t>negative regulation of cellular respiration {GO:1901856}; negative regulation of intrinsic apoptotic signaling pathway in response to hydrogen peroxide {GO:1903751}; protein folding {GO:0006457}; translational attenuation {GO:0009386}</t>
  </si>
  <si>
    <t>cell periphery {GO:0071944}; mitochondrial inner membrane {GO:0005743}; mitochondrial intermembrane space {GO:0005758}; mitochondrial matrix {GO:0005759}; mitochondrion {GO:0005739}; nucleoplasm {GO:0005654}</t>
  </si>
  <si>
    <t>ATP binding {GO:0005524}; ATP hydrolysis activity {GO:0016887}; ATP-dependent protein folding chaperone {GO:0140662}; protein kinase binding {GO:0019901}; RNA binding {GO:0003723}; unfolded protein binding {GO:0051082}</t>
  </si>
  <si>
    <t>sp|O09111|NDUBB_MOUSE</t>
  </si>
  <si>
    <t>NADH dehydrogenase [ubiquinone] 1 beta subcomplex subunit 11, mitochondrial</t>
  </si>
  <si>
    <t>Complex I-ESSS (CI-ESSS); NADH-ubiquinone oxidoreductase ESSS subunit; Neuronal protein 15.6 (Np15.6; p15.6)</t>
  </si>
  <si>
    <t>NDUBB_MOUSE</t>
  </si>
  <si>
    <t>O09111</t>
  </si>
  <si>
    <t>Np15</t>
  </si>
  <si>
    <t>MGI:1349919</t>
  </si>
  <si>
    <t>sp|Q6PGL7|WASC2_MOUSE</t>
  </si>
  <si>
    <t>WASH complex subunit 2</t>
  </si>
  <si>
    <t>WASC2_MOUSE</t>
  </si>
  <si>
    <t>Q6PGL7</t>
  </si>
  <si>
    <t>Q3TQ99; Q80TW8; Q80UQ4; Q8CAP0</t>
  </si>
  <si>
    <t>MGI:106463</t>
  </si>
  <si>
    <t>Alternative splicing; Cell membrane; Endosome; Membrane; Phosphoprotein; Protein transport; Transport</t>
  </si>
  <si>
    <t>endosomal transport {GO:0016197}; protein localization to endosome {GO:0036010}; protein transport {GO:0015031}; regulation of Arp2/3 complex-mediated actin nucleation {GO:0034315}; retrograde transport, endosome to Golgi {GO:0042147}</t>
  </si>
  <si>
    <t>cytosol {GO:0005829}; early endosome {GO:0005769}; early endosome membrane {GO:0031901}; endosome {GO:0005768}; intracellular membrane-bounded organelle {GO:0043231}; nucleolus {GO:0005730}; plasma membrane {GO:0005886}; WASH complex {GO:0071203}</t>
  </si>
  <si>
    <t>phosphatidylinositol phosphate binding {GO:1901981}; phosphatidylinositol-3,4,5-trisphosphate binding {GO:0005547}; phosphatidylinositol-3,4-bisphosphate binding {GO:0043325}; phosphatidylinositol-3,5-bisphosphate binding {GO:0080025}; phosphatidylinositol-3-phosphate binding {GO:0032266}; phosphatidylinositol-4,5-bisphosphate binding {GO:0005546}; phosphatidylinositol-4-phosphate binding {GO:0070273}; phosphatidylinositol-5-phosphate binding {GO:0010314}; retromer complex binding {GO:1905394}</t>
  </si>
  <si>
    <t>sp|Q9EQF6|DPYL5_MOUSE</t>
  </si>
  <si>
    <t>Dihydropyrimidinase-related protein 5 (DRP-5)</t>
  </si>
  <si>
    <t>Collapsin response mediator protein 5 (CRMP-5)</t>
  </si>
  <si>
    <t>DPYL5_MOUSE</t>
  </si>
  <si>
    <t>Q9EQF6</t>
  </si>
  <si>
    <t>Crmp5</t>
  </si>
  <si>
    <t>MGI:1929772</t>
  </si>
  <si>
    <t>axon guidance {GO:0007411}; negative regulation of dendrite morphogenesis {GO:0050774}</t>
  </si>
  <si>
    <t>cytoplasm {GO:0005737}; dendrite {GO:0030425}; neuronal cell body {GO:0043025}; protein-containing complex {GO:0032991}</t>
  </si>
  <si>
    <t>hydrolase activity, acting on carbon-nitrogen (but not peptide) bonds {GO:0016810}; microtubule binding {GO:0008017}</t>
  </si>
  <si>
    <t>sp|P51125|ICAL_MOUSE</t>
  </si>
  <si>
    <t>Calpastatin</t>
  </si>
  <si>
    <t>Calpain inhibitor</t>
  </si>
  <si>
    <t>ICAL_MOUSE</t>
  </si>
  <si>
    <t>P51125</t>
  </si>
  <si>
    <t>Q9EQV4; Q9EQV5; Q9QXQ3; Q9QXQ4; Q9R0N1</t>
  </si>
  <si>
    <t>MGI:1098236</t>
  </si>
  <si>
    <t>Acetylation; Alternative splicing; Isopeptide bond; Phosphoprotein; Protease inhibitor; Repeat; Thiol protease inhibitor; Ubl conjugation</t>
  </si>
  <si>
    <t>egg activation {GO:0007343}; inhibition of cysteine-type endopeptidase activity {GO:0097340}; negative regulation of catalytic activity {GO:0043086}; negative regulation of peptidase activity {GO:0010466}; negative regulation of type B pancreatic cell apoptotic process {GO:2000675}; protein catabolic process {GO:0030163}; regulation of cell cycle {GO:0051726}</t>
  </si>
  <si>
    <t>cytoplasm {GO:0005737}; cytosol {GO:0005829}; endoplasmic reticulum {GO:0005783}; membrane {GO:0016020}; nucleus {GO:0005634}; postsynaptic density {GO:0014069}</t>
  </si>
  <si>
    <t>calcium-dependent cysteine-type endopeptidase inhibitor activity {GO:0010859}; protease binding {GO:0002020}</t>
  </si>
  <si>
    <t>sp|P61957|SUMO2_MOUSE</t>
  </si>
  <si>
    <t>Small ubiquitin-related modifier 2 (SUMO-2)</t>
  </si>
  <si>
    <t>SMT3 homolog 2; Ubiquitin-like protein SMT3B (Smt3B)</t>
  </si>
  <si>
    <t>SUMO2_MOUSE</t>
  </si>
  <si>
    <t>P61957</t>
  </si>
  <si>
    <t>A2A9X2; P55855; Q542L8</t>
  </si>
  <si>
    <t>MGI:2158813</t>
  </si>
  <si>
    <t>3D-structure; Acetylation; Isopeptide bond; Nucleus; Ubl conjugation; Ubl conjugation pathway</t>
  </si>
  <si>
    <t>negative regulation of DNA-templated transcription {GO:0045892}; positive regulation of proteasomal ubiquitin-dependent protein catabolic process {GO:0032436}; positive regulation of protein sumoylation {GO:0033235}; positive regulation of transcription by RNA polymerase II {GO:0045944}; protein localization {GO:0008104}; protein sumoylation {GO:0016925}</t>
  </si>
  <si>
    <t>nucleoplasm {GO:0005654}; nucleus {GO:0005634}; PML body {GO:0016605}</t>
  </si>
  <si>
    <t>nuclear retinoid X receptor binding {GO:0046965}; protein tag {GO:0031386}; SUMO transferase activity {GO:0019789}; ubiquitin protein ligase binding {GO:0031625}; ubiquitin-like protein ligase binding {GO:0044389}</t>
  </si>
  <si>
    <t>Vitamin D (calciferol) metabolism {R-MMU-196791}; SUMO is proteolytically processed {R-MMU-3065679}; SUMOylation of DNA damage response and repair proteins {R-MMU-3108214}; SUMOylation of transcription factors {R-MMU-3232118}; SUMOylation of transcription cofactors {R-MMU-3899300}; SUMOylation of SUMOylation proteins {R-MMU-4085377}; SUMOylation of intracellular receptors {R-MMU-4090294}; SUMOylation of chromatin organization proteins {R-MMU-4551638}; SUMOylation of RNA binding proteins {R-MMU-4570464}; SUMOylation of DNA replication proteins {R-MMU-4615885}; Processing of DNA double-strand break ends {R-MMU-5693607}; Formation of Incision Complex in GG-NER {R-MMU-5696395}</t>
  </si>
  <si>
    <t>sp|Q9CY64|BIEA_MOUSE</t>
  </si>
  <si>
    <t>Biliverdin reductase A (BVR A)</t>
  </si>
  <si>
    <t>Biliverdin-IX alpha-reductase</t>
  </si>
  <si>
    <t>BIEA_MOUSE</t>
  </si>
  <si>
    <t>Q9CY64</t>
  </si>
  <si>
    <t>Q3T9C6; Q80WR6; Q9DD21</t>
  </si>
  <si>
    <t>MGI:88170</t>
  </si>
  <si>
    <t>Acetylation; Cytoplasm; Metal-binding; NAD; NADP; Oxidoreductase; Phosphoprotein; Zinc</t>
  </si>
  <si>
    <t>Metal-binding; NAD; NADP; Zinc</t>
  </si>
  <si>
    <t>heme catabolic process {GO:0042167}</t>
  </si>
  <si>
    <t>biliberdin reductase NAD+ activity {GO:0106276}; biliverdin reductase (NAD(P)+) activity {GO:0004074}; biliverdin reductase (NADP+) activity {GO:0106277}; nucleotide binding {GO:0000166}; zinc ion binding {GO:0008270}</t>
  </si>
  <si>
    <t>Porphyrin-containing compound metabolism; protoheme degradation.</t>
  </si>
  <si>
    <t>Heme degradation {R-MMU-189483}; Cytoprotection by HMOX1 {R-MMU-9707564}</t>
  </si>
  <si>
    <t>sp|P35550|FBRL_MOUSE</t>
  </si>
  <si>
    <t>rRNA 2'-O-methyltransferase fibrillarin</t>
  </si>
  <si>
    <t>Histone-glutamine methyltransferase; Nucleolar protein 1; U6 snRNA 2'-O-methyltransferase fibrillarin</t>
  </si>
  <si>
    <t>FBRL_MOUSE</t>
  </si>
  <si>
    <t>P35550</t>
  </si>
  <si>
    <t>Q99L58</t>
  </si>
  <si>
    <t>MGI:95486</t>
  </si>
  <si>
    <t>Acetylation; Isopeptide bond; Methylation; Methyltransferase; Nucleus; Phosphoprotein; Ribonucleoprotein; RNA-binding; rRNA processing; S-adenosyl-L-methionine; Transferase; Ubl conjugation</t>
  </si>
  <si>
    <t>rRNA processing</t>
  </si>
  <si>
    <t>Methyltransferase; RNA-binding; Ribonucleoprotein; Transferase</t>
  </si>
  <si>
    <t>box C/D RNA 3'-end processing {GO:0000494}; histone glutamine methylation {GO:1990258}; rRNA methylation {GO:0031167}; sno(s)RNA metabolic process {GO:0016074}; snoRNA localization {GO:0048254}</t>
  </si>
  <si>
    <t>box C/D RNP complex {GO:0031428}; Cajal body {GO:0015030}; chromosome {GO:0005694}; dense fibrillar component {GO:0001651}; fibrillar center {GO:0001650}; granular component {GO:0001652}; nucleolus {GO:0005730}; nucleoplasm {GO:0005654}; nucleus {GO:0005634}; small-subunit processome {GO:0032040}</t>
  </si>
  <si>
    <t>ATPase binding {GO:0051117}; histone-glutamine methyltransferase activity {GO:1990259}; RNA binding {GO:0003723}; rRNA methyltransferase activity {GO:0008649}; TFIID-class transcription factor complex binding {GO:0001094}</t>
  </si>
  <si>
    <t>sp|Q9EQ20|MMSA_MOUSE</t>
  </si>
  <si>
    <t>Methylmalonate-semialdehyde dehydrogenase [acylating], mitochondrial (MMSDH; Malonate-semialdehyde dehydrogenase [acylating])</t>
  </si>
  <si>
    <t>Aldehyde dehydrogenase family 6 member A1</t>
  </si>
  <si>
    <t>MMSA_MOUSE</t>
  </si>
  <si>
    <t>Q9EQ20</t>
  </si>
  <si>
    <t>Q3TDA2; Q8CIB4</t>
  </si>
  <si>
    <t>MGI:1915077</t>
  </si>
  <si>
    <t>Acetylation; Mitochondrion; NAD; Oxidoreductase; Phosphoprotein; Transit peptide</t>
  </si>
  <si>
    <t>beta-alanine catabolic process {GO:0019484}; brown fat cell differentiation {GO:0050873}; thymine catabolic process {GO:0006210}; thymine metabolic process {GO:0019859}; valine catabolic process {GO:0006574}; valine metabolic process {GO:0006573}</t>
  </si>
  <si>
    <t>mitochondrion {GO:0005739}; nucleoplasm {GO:0005654}</t>
  </si>
  <si>
    <t>malonate-semialdehyde dehydrogenase (acetylating) activity {GO:0018478}; malonate-semialdehyde dehydrogenase (acetylating, NAD+) activity {GO:0102662}; methylmalonate-semialdehyde dehydrogenase (acylating) activity {GO:0004491}; thiolester hydrolase activity {GO:0016790}</t>
  </si>
  <si>
    <t>sp|Q9JIX0|ENY2_MOUSE</t>
  </si>
  <si>
    <t>Transcription and mRNA export factor ENY2</t>
  </si>
  <si>
    <t>Enhancer of yellow 2 transcription factor homolog</t>
  </si>
  <si>
    <t>ENY2_MOUSE</t>
  </si>
  <si>
    <t>Q9JIX0</t>
  </si>
  <si>
    <t>MGI:1919286</t>
  </si>
  <si>
    <t>Activator; Chromatin regulator; Isopeptide bond; mRNA transport; Nucleus; Protein transport; Transcription; Transcription regulation; Translocation; Transport; Ubl conjugation</t>
  </si>
  <si>
    <t>Protein transport; Transcription; Transcription regulation; Translocation; Transport; mRNA transport</t>
  </si>
  <si>
    <t>Activator; Chromatin regulator</t>
  </si>
  <si>
    <t>chromatin organization {GO:0006325}; histone deubiquitination {GO:0016578}; histone H3 acetylation {GO:0043966}; monoubiquitinated histone deubiquitination {GO:0035521}; monoubiquitinated histone H2A deubiquitination {GO:0035522}; negative regulation of insulin secretion involved in cellular response to glucose stimulus {GO:0061179}; poly(A)+ mRNA export from nucleus {GO:0016973}; positive regulation of DNA-templated transcription {GO:0045893}; protein transport {GO:0015031}; regulation of DNA repair {GO:0006282}; regulation of RNA splicing {GO:0043484}; regulation of transcription by RNA polymerase II {GO:0006357}; transcription elongation by RNA polymerase II promoter {GO:0006368}</t>
  </si>
  <si>
    <t>DUBm complex {GO:0071819}; mitochondrion {GO:0005739}; nuclear pore nuclear basket {GO:0044615}; nucleoplasm {GO:0005654}; SAGA complex {GO:0000124}; transcription export complex 2 {GO:0070390}; transcription factor TFTC complex {GO:0033276}</t>
  </si>
  <si>
    <t>chromatin binding {GO:0003682}; nuclear receptor coactivator activity {GO:0030374}; transcription coactivator activity {GO:0003713}</t>
  </si>
  <si>
    <t>sp|Q8CGK3|LONM_MOUSE</t>
  </si>
  <si>
    <t>Lon protease homolog, mitochondrial</t>
  </si>
  <si>
    <t>Lon protease-like protein (LONP); Mitochondrial ATP-dependent protease Lon; Serine protease 15</t>
  </si>
  <si>
    <t>LONM_MOUSE</t>
  </si>
  <si>
    <t>Q8CGK3</t>
  </si>
  <si>
    <t>Q3TSK9; Q3TVL2; Q3TXE4; Q3TZW3; Q9DBP9</t>
  </si>
  <si>
    <t>Prss15</t>
  </si>
  <si>
    <t>MGI:1921392</t>
  </si>
  <si>
    <t>ATP-binding; DNA-binding; Hydrolase; Mitochondrion; Nucleotide-binding; Protease; Serine protease; Transit peptide</t>
  </si>
  <si>
    <t>DNA-binding; Hydrolase; Protease; Serine protease</t>
  </si>
  <si>
    <t>aging {GO:0007568}; cellular response to oxidative stress {GO:0034599}; chaperone-mediated protein complex assembly {GO:0051131}; mitochondrion organization {GO:0007005}; negative regulation of insulin receptor signaling pathway {GO:0046627}; oxidation-dependent protein catabolic process {GO:0070407}; protein catabolic process {GO:0030163}; protein quality control for misfolded or incompletely synthesized proteins {GO:0006515}; protein-containing complex assembly {GO:0065003}; proteolysis {GO:0006508}; proteolysis involved in protein catabolic process {GO:0051603}; regulation of peptidyl-tyrosine phosphorylation {GO:0050730}; response to aluminum ion {GO:0010044}; response to hormone {GO:0009725}; response to hypoxia {GO:0001666}</t>
  </si>
  <si>
    <t>cytosol {GO:0005829}; mitochondrial matrix {GO:0005759}; mitochondrial nucleoid {GO:0042645}; mitochondrion {GO:0005739}; nucleoplasm {GO:0005654}</t>
  </si>
  <si>
    <t>ADP binding {GO:0043531}; ATP binding {GO:0005524}; ATP hydrolysis activity {GO:0016887}; ATP-dependent peptidase activity {GO:0004176}; DNA polymerase binding {GO:0070182}; G-quadruplex DNA binding {GO:0051880}; identical protein binding {GO:0042802}; insulin receptor substrate binding {GO:0043560}; mitochondrial promoter sequence-specific DNA binding {GO:0001018}; PH domain binding {GO:0042731}; sequence-specific DNA binding {GO:0043565}; serine-type endopeptidase activity {GO:0004252}; single-stranded DNA binding {GO:0003697}; single-stranded RNA binding {GO:0003727}</t>
  </si>
  <si>
    <t>sp|P21460|CYTC_MOUSE</t>
  </si>
  <si>
    <t>Cystatin-C</t>
  </si>
  <si>
    <t>Cystatin-3</t>
  </si>
  <si>
    <t>CYTC_MOUSE</t>
  </si>
  <si>
    <t>P21460</t>
  </si>
  <si>
    <t>Q544Y0</t>
  </si>
  <si>
    <t>MGI:102519</t>
  </si>
  <si>
    <t>Disulfide bond; Protease inhibitor; Secreted; Signal; Thiol protease inhibitor</t>
  </si>
  <si>
    <t>defense response {GO:0006952}; negative regulation of cell death {GO:0060548}; negative regulation of cysteine-type endopeptidase activity {GO:2000117}; negative regulation of elastin catabolic process {GO:0060311}; negative regulation of peptidase activity {GO:0010466}; negative regulation of proteolysis {GO:0045861}; positive regulation of cell population proliferation {GO:0008284}; positive regulation of DNA replication {GO:0045740}; regulation of programmed cell death {GO:0043067}; response to oxidative stress {GO:0006979}; supramolecular fiber organization {GO:0097435}</t>
  </si>
  <si>
    <t>axon {GO:0030424}; basement membrane {GO:0005604}; cell projection {GO:0042995}; collagen-containing extracellular matrix {GO:0062023}; contractile fiber {GO:0043292}; cytoplasm {GO:0005737}; endoplasmic reticulum {GO:0005783}; extracellular region {GO:0005576}; extracellular space {GO:0005615}; Golgi apparatus {GO:0005794}; lysosome {GO:0005764}; multivesicular body {GO:0005771}; neuronal cell body {GO:0043025}; nuclear membrane {GO:0031965}; perinuclear region of cytoplasm {GO:0048471}; plasma membrane {GO:0005886}; vesicle {GO:0031982}</t>
  </si>
  <si>
    <t>amyloid-beta binding {GO:0001540}; cysteine-type endopeptidase inhibitor activity {GO:0004869}; endopeptidase inhibitor activity {GO:0004866}; identical protein binding {GO:0042802}; peptidase inhibitor activity {GO:0030414}; protease binding {GO:0002020}</t>
  </si>
  <si>
    <t>Regulation of Insulin-like Growth Factor (IGF) transport and uptake by Insulin-like Growth Factor Binding Proteins (IGFBPs) {R-MMU-381426}; Neutrophil degranulation {R-MMU-6798695}; Post-translational protein phosphorylation {R-MMU-8957275}</t>
  </si>
  <si>
    <t>sp|Q9QUN9|DKK3_MOUSE</t>
  </si>
  <si>
    <t>Dickkopf-related protein 3 (Dickkopf-3; Dkk-3; mDkk-3)</t>
  </si>
  <si>
    <t>DKK3_MOUSE</t>
  </si>
  <si>
    <t>Q9QUN9</t>
  </si>
  <si>
    <t>MGI:1354952</t>
  </si>
  <si>
    <t>Coiled coil; Developmental protein; Disulfide bond; Glycoprotein; Secreted; Signal; Wnt signaling pathway</t>
  </si>
  <si>
    <t>adrenal gland development {GO:0030325}; negative regulation of aldosterone biosynthetic process {GO:0032348}; negative regulation of canonical Wnt signaling pathway {GO:0090090}; negative regulation of cortisol biosynthetic process {GO:2000065}; negative regulation of DNA-templated transcription {GO:0045892}; Wnt signaling pathway {GO:0016055}</t>
  </si>
  <si>
    <t>extracellular region {GO:0005576}; extracellular space {GO:0005615}</t>
  </si>
  <si>
    <t>co-receptor binding {GO:0039706}; receptor antagonist activity {GO:0048019}</t>
  </si>
  <si>
    <t>sp|Q9WTL7|LYPA2_MOUSE</t>
  </si>
  <si>
    <t>Acyl-protein thioesterase 2 (APT-2)</t>
  </si>
  <si>
    <t>Lysophospholipase 2; Lysophospholipase II (LPL-II; LysoPLA II; mLyso II); Palmitoyl-protein hydrolase</t>
  </si>
  <si>
    <t>LYPA2_MOUSE</t>
  </si>
  <si>
    <t>Q9WTL7</t>
  </si>
  <si>
    <t>Q3TJD6</t>
  </si>
  <si>
    <t>MGI:1347000</t>
  </si>
  <si>
    <t>Cytoplasm; Fatty acid metabolism; Hydrolase; Lipid metabolism; Lipoprotein; Palmitate; Phosphoprotein</t>
  </si>
  <si>
    <t>Lipoprotein; Palmitate; Phosphoprotein</t>
  </si>
  <si>
    <t>acylglycerol catabolic process {GO:0046464}; fatty acid metabolic process {GO:0006631}; prostaglandin catabolic process {GO:1905344}; protein depalmitoylation {GO:0002084}</t>
  </si>
  <si>
    <t>cytoplasm {GO:0005737}; Golgi stack {GO:0005795}</t>
  </si>
  <si>
    <t>carboxylic ester hydrolase activity {GO:0052689}; lysophospholipase activity {GO:0004622}; palmitoyl-(protein) hydrolase activity {GO:0008474}</t>
  </si>
  <si>
    <t>L1CAM interactions {R-MMU-373760}</t>
  </si>
  <si>
    <t>sp|Q6V4S5|SDK2_MOUSE</t>
  </si>
  <si>
    <t>Protein sidekick-2</t>
  </si>
  <si>
    <t>SDK2_MOUSE</t>
  </si>
  <si>
    <t>Q6V4S5</t>
  </si>
  <si>
    <t>Q3TTK1; Q5U5W7; Q6ZPP2</t>
  </si>
  <si>
    <t>MGI:2443847</t>
  </si>
  <si>
    <t>3D-structure; Alternative splicing; Cell adhesion; Cell membrane; Disulfide bond; Glycoprotein; Immunoglobulin domain; Membrane; Repeat; Signal; Synapse; Transmembrane; Transmembrane helix</t>
  </si>
  <si>
    <t>camera-type eye photoreceptor cell differentiation {GO:0060219}; homophilic cell adhesion via plasma membrane adhesion molecules {GO:0007156}; retina layer formation {GO:0010842}; synapse assembly {GO:0007416}</t>
  </si>
  <si>
    <t>anchoring junction {GO:0070161}; integral component of membrane {GO:0016021}; plasma membrane {GO:0005886}; synapse {GO:0045202}</t>
  </si>
  <si>
    <t>SDK interactions {R-MMU-373756}</t>
  </si>
  <si>
    <t>sp|O88448|KLC2_MOUSE</t>
  </si>
  <si>
    <t>Kinesin light chain 2 (KLC 2)</t>
  </si>
  <si>
    <t>KLC2_MOUSE</t>
  </si>
  <si>
    <t>O88448</t>
  </si>
  <si>
    <t>MGI:107953</t>
  </si>
  <si>
    <t>3D-structure; Coiled coil; Cytoplasm; Cytoskeleton; Lysosome; Membrane; Microtubule; Motor protein; Phosphoprotein; Repeat; TPR repeat</t>
  </si>
  <si>
    <t>axo-dendritic transport {GO:0008088}; lysosome localization {GO:0032418}; microtubule-based movement {GO:0007018}</t>
  </si>
  <si>
    <t>ciliary rootlet {GO:0035253}; cytoplasm {GO:0005737}; cytosol {GO:0005829}; kinesin complex {GO:0005871}; lysosomal membrane {GO:0005765}; microtubule {GO:0005874}; mitochondrion {GO:0005739}; neuron projection {GO:0043005}; nucleoplasm {GO:0005654}; plasma membrane {GO:0005886}; protein-containing complex {GO:0032991}</t>
  </si>
  <si>
    <t>sp|Q91YE6|IPO9_MOUSE</t>
  </si>
  <si>
    <t>Importin-9 (Imp9)</t>
  </si>
  <si>
    <t>Importin-9a (Imp9a); Importin-9b (Imp9b); Ran-binding protein 9 (RanBP9)</t>
  </si>
  <si>
    <t>IPO9_MOUSE</t>
  </si>
  <si>
    <t>Q91YE6</t>
  </si>
  <si>
    <t>Q924M3; Q924M4</t>
  </si>
  <si>
    <t>MGI:1918944</t>
  </si>
  <si>
    <t>Acetylation; Chaperone; Cytoplasm; Nucleus; Protein transport; Transport</t>
  </si>
  <si>
    <t>proteasome localization {GO:0031144}; protein import into nucleus {GO:0006606}; protein stabilization {GO:0050821}; ribosome biogenesis {GO:0042254}</t>
  </si>
  <si>
    <t>cytoplasm {GO:0005737}; cytosol {GO:0005829}; nuclear envelope {GO:0005635}</t>
  </si>
  <si>
    <t>histone binding {GO:0042393}; histone chaperone activity {GO:0140713}; nuclear import signal receptor activity {GO:0061608}; small GTPase binding {GO:0031267}</t>
  </si>
  <si>
    <t>sp|Q9R0P6|SC11A_MOUSE</t>
  </si>
  <si>
    <t>Signal peptidase complex catalytic subunit SEC11A</t>
  </si>
  <si>
    <t>Endopeptidase SP18; Microsomal signal peptidase 18 kDa subunit (SPase 18 kDa subunit); SEC11 homolog A; SEC11-like protein 1; SPC18; Sid 2895</t>
  </si>
  <si>
    <t>SC11A_MOUSE</t>
  </si>
  <si>
    <t>Q9R0P6</t>
  </si>
  <si>
    <t>Sec11l1; Sid2895; Spc18</t>
  </si>
  <si>
    <t>MGI:1929464</t>
  </si>
  <si>
    <t>Endoplasmic reticulum; Hydrolase; Membrane; Protease; Signal-anchor; Transmembrane; Transmembrane helix</t>
  </si>
  <si>
    <t>signal peptide processing {GO:0006465}</t>
  </si>
  <si>
    <t>endoplasmic reticulum membrane {GO:0005789}; integral component of membrane {GO:0016021}; signal peptidase complex {GO:0005787}</t>
  </si>
  <si>
    <t>peptidase activity {GO:0008233}; serine-type endopeptidase activity {GO:0004252}</t>
  </si>
  <si>
    <t>sp|Q9D3D9|ATPD_MOUSE</t>
  </si>
  <si>
    <t>ATP synthase subunit delta, mitochondrial</t>
  </si>
  <si>
    <t>ATP synthase F1 subunit delta; F-ATPase delta subunit</t>
  </si>
  <si>
    <t>ATPD_MOUSE</t>
  </si>
  <si>
    <t>Q9D3D9</t>
  </si>
  <si>
    <t>Atp5d</t>
  </si>
  <si>
    <t>MGI:1913293</t>
  </si>
  <si>
    <t>Acetylation; ATP synthesis; CF(1); Hydrogen ion transport; Ion transport; Membrane; Mitochondrion; Mitochondrion inner membrane; Transit peptide; Transport</t>
  </si>
  <si>
    <t>aerobic respiration {GO:0009060}; ATP metabolic process {GO:0046034}; mitochondrial proton-transporting ATP synthase complex assembly {GO:0033615}; proton motive force-driven ATP synthesis {GO:0015986}; proton motive force-driven mitochondrial ATP synthesis {GO:0042776}; proton transmembrane transport {GO:1902600}</t>
  </si>
  <si>
    <t>mitochondrial envelope {GO:0005740}; mitochondrial inner membrane {GO:0005743}; mitochondrial proton-transporting ATP synthase complex {GO:0005753}; mitochondrial proton-transporting ATP synthase complex, catalytic sector F(1) {GO:0000275}; mitochondrion {GO:0005739}; proton-transporting ATP synthase complex {GO:0045259}; proton-transporting ATP synthase complex, catalytic core F(1) {GO:0045261}</t>
  </si>
  <si>
    <t>ATP hydrolysis activity {GO:0016887}; protein-containing complex binding {GO:0044877}; proton transmembrane transporter activity {GO:0015078}; proton-transporting ATP synthase activity, rotational mechanism {GO:0046933}</t>
  </si>
  <si>
    <t>sp|Q8CI32|BAG5_MOUSE</t>
  </si>
  <si>
    <t>BAG family molecular chaperone regulator 5 (BAG-5)</t>
  </si>
  <si>
    <t>Bcl-2-associated athanogene 5</t>
  </si>
  <si>
    <t>BAG5_MOUSE</t>
  </si>
  <si>
    <t>Q8CI32</t>
  </si>
  <si>
    <t>Q3TVA8; Q8K175; Q9DAU0</t>
  </si>
  <si>
    <t>MGI:1917619</t>
  </si>
  <si>
    <t>3D-structure; Chaperone; Repeat</t>
  </si>
  <si>
    <t>Golgi organization {GO:0007030}; negative regulation of neuron projection development {GO:0010977}; negative regulation of oxidative stress-induced intrinsic apoptotic signaling pathway {GO:1902176}; negative regulation of proteasomal ubiquitin-dependent protein catabolic process {GO:0032435}; negative regulation of protein refolding {GO:0061084}; negative regulation of protein ubiquitination {GO:0031397}; negative regulation of ubiquitin-protein transferase activity {GO:0051444}; neuron death {GO:0070997}; protein stabilization {GO:0050821}; regulation of inclusion body assembly {GO:0090083}</t>
  </si>
  <si>
    <t>cytosol {GO:0005829}; inclusion body {GO:0016234}; membrane {GO:0016020}; mitochondrion {GO:0005739}; nucleus {GO:0005634}; perinuclear region of cytoplasm {GO:0048471}</t>
  </si>
  <si>
    <t>adenyl-nucleotide exchange factor activity {GO:0000774}; chaperone binding {GO:0051087}; protein kinase binding {GO:0019901}; ubiquitin protein ligase binding {GO:0031625}</t>
  </si>
  <si>
    <t>sp|Q8BFQ4|WDR82_MOUSE</t>
  </si>
  <si>
    <t>WD repeat-containing protein 82</t>
  </si>
  <si>
    <t>WDR82_MOUSE</t>
  </si>
  <si>
    <t>Q8BFQ4</t>
  </si>
  <si>
    <t>Q8K2G5; Q8VEE8</t>
  </si>
  <si>
    <t>MGI:1924555</t>
  </si>
  <si>
    <t>Chromosome; Nucleus; Repeat; Transcription; Transcription regulation; Transcription termination; WD repeat</t>
  </si>
  <si>
    <t>Transcription; Transcription regulation; Transcription termination</t>
  </si>
  <si>
    <t>DNA-templated transcription termination {GO:0006353}; histone H3-K4 methylation {GO:0051568}; histone H3-K4 trimethylation {GO:0080182}; lncRNA catabolic process {GO:0110064}; negative regulation of DNA-templated transcription, elongation {GO:0032785}; negative regulation of lncRNA transcription {GO:0140744}; nuclear RNA surveillance {GO:0071027}</t>
  </si>
  <si>
    <t>chromatin {GO:0000785}; chromosome, telomeric region {GO:0000781}; histone methyltransferase complex {GO:0035097}; nucleolus {GO:0005730}; nucleus {GO:0005634}; PTW/PP1 phosphatase complex {GO:0072357}; Set1C/COMPASS complex {GO:0048188}</t>
  </si>
  <si>
    <t>chromatin binding {GO:0003682}; histone methyltransferase activity (H3-K4 specific) {GO:0042800}</t>
  </si>
  <si>
    <t>sp|Q91YT0|NDUV1_MOUSE</t>
  </si>
  <si>
    <t>NADH dehydrogenase [ubiquinone] flavoprotein 1, mitochondrial</t>
  </si>
  <si>
    <t>Complex I-51kD (CI-51kD); NADH-ubiquinone oxidoreductase 51 kDa subunit</t>
  </si>
  <si>
    <t>NDUV1_MOUSE</t>
  </si>
  <si>
    <t>Q91YT0</t>
  </si>
  <si>
    <t>MGI:107851</t>
  </si>
  <si>
    <t>3D-structure; 4Fe-4S; Acetylation; Electron transport; Flavoprotein; FMN; Iron; Iron-sulfur; Membrane; Metal-binding; Methylation; Mitochondrion; Mitochondrion inner membrane; NAD; Oxidoreductase; Respiratory chain; Transit peptide; Translocase; Transport; Ubiquinone</t>
  </si>
  <si>
    <t>4Fe-4S; FMN; Flavoprotein; Iron; Iron-sulfur; Metal-binding; NAD; Ubiquinone</t>
  </si>
  <si>
    <t>aerobic respiration {GO:0009060}; mitochondrial ATP synthesis coupled electron transport {GO:0042775}; mitochondrial electron transport, NADH to ubiquinone {GO:0006120}; proton motive force-driven mitochondrial ATP synthesis {GO:0042776}</t>
  </si>
  <si>
    <t>cytosol {GO:0005829}; mitochondrial inner membrane {GO:0005743}; mitochondrial respiratory chain complex I {GO:0005747}; mitochondrion {GO:0005739}</t>
  </si>
  <si>
    <t>4 iron, 4 sulfur cluster binding {GO:0051539}; FMN binding {GO:0010181}; metal ion binding {GO:0046872}; NAD binding {GO:0051287}; NADH dehydrogenase (ubiquinone) activity {GO:0008137}</t>
  </si>
  <si>
    <t>tr|B9EJX2|B9EJX2_MOUSE</t>
  </si>
  <si>
    <t>sp|Q99LP6|GRPE1_MOUSE</t>
  </si>
  <si>
    <t>GrpE protein homolog 1, mitochondrial</t>
  </si>
  <si>
    <t>Mt-GrpE#1</t>
  </si>
  <si>
    <t>GRPE1_MOUSE</t>
  </si>
  <si>
    <t>Q99LP6</t>
  </si>
  <si>
    <t>Q3TSZ3</t>
  </si>
  <si>
    <t>MGI:1334417</t>
  </si>
  <si>
    <t>Acetylation; Chaperone; Mitochondrion; Transit peptide</t>
  </si>
  <si>
    <t>protein folding {GO:0006457}; protein import into mitochondrial matrix {GO:0030150}</t>
  </si>
  <si>
    <t>mitochondrial matrix {GO:0005759}; mitochondrion {GO:0005739}; nucleoplasm {GO:0005654}; PAM complex, Tim23 associated import motor {GO:0001405}</t>
  </si>
  <si>
    <t>adenyl-nucleotide exchange factor activity {GO:0000774}; ATPase activator activity {GO:0001671}; ATPase binding {GO:0051117}; chaperone binding {GO:0051087}; identical protein binding {GO:0042802}; protein homodimerization activity {GO:0042803}; unfolded protein binding {GO:0051082}</t>
  </si>
  <si>
    <t>sp|O88487|DC1I2_MOUSE</t>
  </si>
  <si>
    <t>Cytoplasmic dynein 1 intermediate chain 2</t>
  </si>
  <si>
    <t>Cytoplasmic dynein intermediate chain 2; Dynein intermediate chain 2, cytosolic (DH IC-2)</t>
  </si>
  <si>
    <t>DC1I2_MOUSE</t>
  </si>
  <si>
    <t>O88487</t>
  </si>
  <si>
    <t>Q3TGH7</t>
  </si>
  <si>
    <t>Dnci2; Dncic2</t>
  </si>
  <si>
    <t>MGI:107750</t>
  </si>
  <si>
    <t>Acetylation; Cytoplasm; Cytoskeleton; Dynein; Microtubule; Motor protein; Phosphoprotein; Repeat; Transport; WD repeat</t>
  </si>
  <si>
    <t>microtubule-based movement {GO:0007018}; negative regulation of neuron projection development {GO:0010977}; transport along microtubule {GO:0010970}</t>
  </si>
  <si>
    <t>centrosome {GO:0005813}; cytoplasm {GO:0005737}; cytoplasmic dynein complex {GO:0005868}; dynein complex {GO:0030286}; microtubule {GO:0005874}; outer dynein arm {GO:0036157}; vesicle {GO:0031982}</t>
  </si>
  <si>
    <t>dynein heavy chain binding {GO:0045504}; dynein light chain binding {GO:0045503}; protein-containing complex binding {GO:0044877}</t>
  </si>
  <si>
    <t>Amplification of signal from unattached kinetochores via a MAD2 inhibitory signal {R-MMU-141444}; MHC class II antigen presentation {R-MMU-2132295}; Separation of Sister Chromatids {R-MMU-2467813}; Resolution of Sister Chromatid Cohesion {R-MMU-2500257}; Regulation of PLK1 Activity at G2/M Transition {R-MMU-2565942}; HSP90 chaperone cycle for steroid hormone receptors (SHR) in the presence of ligand {R-MMU-3371497};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RHO GTPases Activate Formins {R-MMU-5663220}; COPI-mediated anterograde transport {R-MMU-6807878}; COPI-independent Golgi-to-ER retrograde traffic {R-MMU-6811436}; Mitotic Prometaphase {R-MMU-68877}; AURKA Activation by TPX2 {R-MMU-8854518}; Aggrephagy {R-MMU-9646399}; EML4 and NUDC in mitotic spindle formation {R-MMU-9648025}</t>
  </si>
  <si>
    <t>sp|Q8CJ40|CROCC_MOUSE</t>
  </si>
  <si>
    <t>Rootletin</t>
  </si>
  <si>
    <t>Ciliary rootlet coiled-coil protein</t>
  </si>
  <si>
    <t>CROCC_MOUSE</t>
  </si>
  <si>
    <t>Q8CJ40</t>
  </si>
  <si>
    <t>A2AA81; Q7TQL2; Q80U01; Q8R0B9</t>
  </si>
  <si>
    <t>MGI:3529431</t>
  </si>
  <si>
    <t>Alternative splicing; Cell cycle; Cell projection; Cilium; Cilium biogenesis/degradation; Coiled coil; Cytoplasm; Cytoskeleton; Phosphoprotein</t>
  </si>
  <si>
    <t>Cell cycle; Cilium biogenesis/degradation</t>
  </si>
  <si>
    <t>cellular homeostasis {GO:0019725}; centriole-centriole cohesion {GO:0010457}; centrosome cycle {GO:0007098}; ciliary basal body organization {GO:0032053}; epithelial structure maintenance {GO:0010669}; establishment of localization in cell {GO:0051649}; establishment of organelle localization {GO:0051656}; photoreceptor cell maintenance {GO:0045494}; positive regulation of cilium assembly {GO:0045724}; positive regulation of protein localization to cilium {GO:1903566}; protein localization {GO:0008104}; protein localization to organelle {GO:0033365}</t>
  </si>
  <si>
    <t>9+2 motile cilium {GO:0097729}; actin cytoskeleton {GO:0015629}; centriole {GO:0005814}; centrosome {GO:0005813}; ciliary rootlet {GO:0035253}; cytosol {GO:0005829}; photoreceptor inner segment {GO:0001917}; plasma membrane {GO:0005886}; subapical part of cell {GO:0120219}</t>
  </si>
  <si>
    <t>actin binding {GO:0003779}; kinesin binding {GO:0019894}; structural constituent of cytoskeleton {GO:0005200}; structural molecule activity {GO:0005198}</t>
  </si>
  <si>
    <t>sp|Q9QZE7|TSNAX_MOUSE</t>
  </si>
  <si>
    <t>Translin-associated protein X</t>
  </si>
  <si>
    <t>Translin-associated factor X</t>
  </si>
  <si>
    <t>TSNAX_MOUSE</t>
  </si>
  <si>
    <t>Q9QZE7</t>
  </si>
  <si>
    <t>Q3UJR2</t>
  </si>
  <si>
    <t>Trax</t>
  </si>
  <si>
    <t>MGI:1855672</t>
  </si>
  <si>
    <t>Cytoplasm; Developmental protein; Differentiation; DNA-binding; Golgi apparatus; Isopeptide bond; Magnesium; Metal-binding; Nucleus; Spermatogenesis; Ubl conjugation</t>
  </si>
  <si>
    <t>cell differentiation {GO:0030154}; siRNA processing {GO:0030422}; spermatogenesis {GO:0007283}</t>
  </si>
  <si>
    <t>cytoplasm {GO:0005737}; endoribonuclease complex {GO:1902555}; Golgi apparatus {GO:0005794}; nucleoplasm {GO:0005654}; nucleus {GO:0005634}; perinuclear region of cytoplasm {GO:0048471}</t>
  </si>
  <si>
    <t>A2A adenosine receptor binding {GO:0031687}; endoribonuclease activity {GO:0004521}; metal ion binding {GO:0046872}; protein-containing complex binding {GO:0044877}; RNA binding {GO:0003723}; sequence-specific DNA binding {GO:0043565}; single-stranded DNA binding {GO:0003697}</t>
  </si>
  <si>
    <t>sp|Q9Z0J0|NPC2_MOUSE</t>
  </si>
  <si>
    <t>NPC intracellular cholesterol transporter 2</t>
  </si>
  <si>
    <t>Epididymal secretory protein E1 (mE1); Niemann Pick type C2 protein homolog</t>
  </si>
  <si>
    <t>NPC2_MOUSE</t>
  </si>
  <si>
    <t>Q9Z0J0</t>
  </si>
  <si>
    <t>Q3UB23</t>
  </si>
  <si>
    <t>MGI:1915213</t>
  </si>
  <si>
    <t>Acetylation; Cholesterol metabolism; Disulfide bond; Endoplasmic reticulum; Glycoprotein; Lipid metabolism; Lipid transport; Lysosome; Secreted; Signal; Steroid metabolism; Sterol metabolism; Transport</t>
  </si>
  <si>
    <t>Endoplasmic reticulum; Lysosome; Secreted</t>
  </si>
  <si>
    <t>cholesterol efflux {GO:0033344}; cholesterol homeostasis {GO:0042632}; cholesterol metabolic process {GO:0008203}; cholesterol transport {GO:0030301}; intracellular cholesterol transport {GO:0032367}; intracellular sterol transport {GO:0032366}; response to virus {GO:0009615}; sterol transport {GO:0015918}</t>
  </si>
  <si>
    <t>endoplasmic reticulum {GO:0005783}; extracellular space {GO:0005615}; lysosome {GO:0005764}</t>
  </si>
  <si>
    <t>cholesterol binding {GO:0015485}; cholesterol transfer activity {GO:0120020}; enzyme binding {GO:0019899}; sterol binding {GO:0032934}</t>
  </si>
  <si>
    <t>Neutrophil degranulation {R-MMU-6798695}; LDL clearance {R-MMU-8964038}</t>
  </si>
  <si>
    <t>sp|O70252|HMOX2_MOUSE</t>
  </si>
  <si>
    <t>Heme oxygenase 2 soluble form (HO-2)</t>
  </si>
  <si>
    <t>HMOX2_MOUSE</t>
  </si>
  <si>
    <t>O70252</t>
  </si>
  <si>
    <t>O70626</t>
  </si>
  <si>
    <t>MGI:109373</t>
  </si>
  <si>
    <t>Acetylation; Endoplasmic reticulum; Heme; Iron; Membrane; Metal-binding; Microsome; Oxidoreductase; Phosphoprotein; Repeat; Transmembrane; Transmembrane helix</t>
  </si>
  <si>
    <t>Endoplasmic reticulum; Membrane; Microsome</t>
  </si>
  <si>
    <t>heme catabolic process {GO:0042167}; heme oxidation {GO:0006788}; iron ion homeostasis {GO:0055072}; response to hypoxia {GO:0001666}; response to oxidative stress {GO:0006979}</t>
  </si>
  <si>
    <t>endoplasmic reticulum membrane {GO:0005789}; integral component of membrane {GO:0016021}; plasma membrane {GO:0005886}</t>
  </si>
  <si>
    <t>heme binding {GO:0020037}; heme oxygenase (decyclizing) activity {GO:0004392}; metal ion binding {GO:0046872}</t>
  </si>
  <si>
    <t>Heme degradation {R-MMU-189483}; Neutrophil degranulation {R-MMU-6798695}; RHOA GTPase cycle {R-MMU-8980692}; Iron uptake and transport {R-MMU-917937}; Cytoprotection by HMOX1 {R-MMU-9707564}</t>
  </si>
  <si>
    <t>sp|Q9JHQ5|LZTL1_MOUSE</t>
  </si>
  <si>
    <t>Leucine zipper transcription factor-like protein 1</t>
  </si>
  <si>
    <t>LZTL1_MOUSE</t>
  </si>
  <si>
    <t>Q9JHQ5</t>
  </si>
  <si>
    <t>Q8BRX8; Q8CDS2</t>
  </si>
  <si>
    <t>MGI:1934860</t>
  </si>
  <si>
    <t>Coiled coil; Cytoplasm</t>
  </si>
  <si>
    <t>flagellated sperm motility {GO:0030317}; negative regulation of protein localization to ciliary membrane {GO:1903568}; negative regulation of protein localization to cilium {GO:1903565}; spermatogenesis {GO:0007283}</t>
  </si>
  <si>
    <t>cilium {GO:0005929}; cytoplasm {GO:0005737}; cytosol {GO:0005829}; manchette {GO:0002177}</t>
  </si>
  <si>
    <t>BBSome binding {GO:0062063}; identical protein binding {GO:0042802}; protein-containing complex binding {GO:0044877}</t>
  </si>
  <si>
    <t>BBSome-mediated cargo-targeting to cilium {R-MMU-5620922}</t>
  </si>
  <si>
    <t>sp|Q8VDM6|HNRL1_MOUSE</t>
  </si>
  <si>
    <t>Heterogeneous nuclear ribonucleoprotein U-like protein 1</t>
  </si>
  <si>
    <t>HNRL1_MOUSE</t>
  </si>
  <si>
    <t>Q8VDM6</t>
  </si>
  <si>
    <t>Q3U201; Q3UPB0; Q6AZA7; Q8BY45; Q8K365</t>
  </si>
  <si>
    <t>Hnrpul1</t>
  </si>
  <si>
    <t>MGI:2443517</t>
  </si>
  <si>
    <t>Activator; Alternative splicing; Isopeptide bond; Methylation; Nucleus; Phosphoprotein; Repeat; Repressor; Ribonucleoprotein; RNA-binding; Transcription; Transcription regulation; Ubl conjugation</t>
  </si>
  <si>
    <t>Activator; RNA-binding; Repressor; Ribonucleoprotein</t>
  </si>
  <si>
    <t>response to virus {GO:0009615}; RNA processing {GO:0006396}</t>
  </si>
  <si>
    <t>enzyme binding {GO:0019899}; RNA binding {GO:0003723}</t>
  </si>
  <si>
    <t>tr|B1AUN2|B1AUN2_MOUSE</t>
  </si>
  <si>
    <t>sp|Q9QXT0|CNPY2_MOUSE</t>
  </si>
  <si>
    <t>Protein canopy homolog 2</t>
  </si>
  <si>
    <t>MIR-interacting saposin-like protein; Putative secreted protein ZSIG9; Transmembrane protein 4</t>
  </si>
  <si>
    <t>CNPY2_MOUSE</t>
  </si>
  <si>
    <t>Q9QXT0</t>
  </si>
  <si>
    <t>Q3UBH8</t>
  </si>
  <si>
    <t>Msap; Tmem4; Zsig9</t>
  </si>
  <si>
    <t>MGI:1928477</t>
  </si>
  <si>
    <t>Disulfide bond; Endoplasmic reticulum; Phosphoprotein; Signal</t>
  </si>
  <si>
    <t>negative regulation of gene expression {GO:0010629}; positive regulation of low-density lipoprotein receptor activity {GO:1905599}; regulation of low-density lipoprotein particle clearance {GO:0010988}</t>
  </si>
  <si>
    <t>endoplasmic reticulum {GO:0005783}</t>
  </si>
  <si>
    <t>sp|Q60634|FLOT2_MOUSE</t>
  </si>
  <si>
    <t>Flotillin-2</t>
  </si>
  <si>
    <t>Epidermal surface antigen (ESA); Membrane component chromosome 17 surface marker 1 homolog</t>
  </si>
  <si>
    <t>FLOT2_MOUSE</t>
  </si>
  <si>
    <t>Q60634</t>
  </si>
  <si>
    <t>Q5SS82; Q6NS75</t>
  </si>
  <si>
    <t>Esa1; M17s1</t>
  </si>
  <si>
    <t>MGI:103309</t>
  </si>
  <si>
    <t>3D-structure; Alternative splicing; Cell adhesion; Cell membrane; Endosome; Lipoprotein; Membrane; Myristate; Palmitate; Phosphoprotein</t>
  </si>
  <si>
    <t>Lipoprotein; Myristate; Palmitate; Phosphoprotein</t>
  </si>
  <si>
    <t>anterograde dendritic transport {GO:0098937}; cell adhesion {GO:0007155}; negative regulation of amyloid precursor protein catabolic process {GO:1902992}; negative regulation of gene expression {GO:0010629}; positive regulation of establishment of T cell polarity {GO:1903905}; positive regulation of NF-kappaB transcription factor activity {GO:0051092}; protein localization to plasma membrane {GO:0072659}; protein localization to plasma membrane raft {GO:0044860}; protein stabilization {GO:0050821}; regulation of myoblast differentiation {GO:0045661}; regulation of postsynaptic membrane neurotransmitter receptor levels {GO:0099072}</t>
  </si>
  <si>
    <t>acrosomal membrane {GO:0002080}; adherens junction {GO:0005912}; anchored component of presynaptic active zone membrane {GO:0099029}; basolateral plasma membrane {GO:0016323}; caveola {GO:0005901}; cell-cell contact zone {GO:0044291}; cortical actin cytoskeleton {GO:0030864}; cytoplasmic vesicle {GO:0031410}; dendrite cytoplasm {GO:0032839}; endocytic vesicle {GO:0030139}; endosome {GO:0005768}; flotillin complex {GO:0016600}; glutamatergic synapse {GO:0098978}; intracellular membrane-bounded organelle {GO:0043231}; lamellipodium {GO:0030027}; membrane {GO:0016020}; membrane raft {GO:0045121}; perinuclear region of cytoplasm {GO:0048471}; plasma membrane {GO:0005886}; synapse {GO:0045202}; uropod {GO:0001931}; vesicle {GO:0031982}</t>
  </si>
  <si>
    <t>RIPK1-mediated regulated necrosis {R-MMU-5213460}; Regulation of necroptotic cell death {R-MMU-5675482}; Synaptic adhesion-like molecules {R-MMU-8849932}; RHOA GTPase cycle {R-MMU-8980692}; RHOB GTPase cycle {R-MMU-9013026}; RHOC GTPase cycle {R-MMU-9013106}; RND3 GTPase cycle {R-MMU-9696264}; RND1 GTPase cycle {R-MMU-9696273}</t>
  </si>
  <si>
    <t>sp|Q6A4J8|UBP7_MOUSE</t>
  </si>
  <si>
    <t>Ubiquitin carboxyl-terminal hydrolase 7</t>
  </si>
  <si>
    <t>Deubiquitinating enzyme 7; Herpesvirus-associated ubiquitin-specific protease (mHAUSP); Ubiquitin thioesterase 7; Ubiquitin-specific-processing protease 7</t>
  </si>
  <si>
    <t>UBP7_MOUSE</t>
  </si>
  <si>
    <t>Q6A4J8</t>
  </si>
  <si>
    <t>Q3UX92; Q496Y5; Q8BW01</t>
  </si>
  <si>
    <t>Hausp</t>
  </si>
  <si>
    <t>MGI:2182061</t>
  </si>
  <si>
    <t>Acetylation; Alternative splicing; Biological rhythms; Chromosome; Cytoplasm; Developmental protein; DNA damage; DNA repair; Hydrolase; Isopeptide bond; Nucleus; Phosphoprotein; Protease; Thiol protease; Ubl conjugation; Ubl conjugation pathway</t>
  </si>
  <si>
    <t>Developmental protein; Hydrolase; Protease; Thiol protease</t>
  </si>
  <si>
    <t>histone H2B conserved C-terminal lysine deubiquitination {GO:0035616}; maintenance of DNA methylation {GO:0010216}; monoubiquitinated protein deubiquitination {GO:0035520}; negative regulation of NF-kappaB transcription factor activity {GO:0032088}; negative regulation of proteasomal ubiquitin-dependent protein catabolic process {GO:0032435}; positive regulation of apoptotic process {GO:0043065}; positive regulation of DNA demethylation {GO:1901537}; protein deubiquitination {GO:0016579}; protein K63-linked deubiquitination {GO:0070536}; protein stabilization {GO:0050821}; regulation of circadian rhythm {GO:0042752}; regulation of DNA-binding transcription factor activity {GO:0051090}; regulation of gluconeogenesis {GO:0006111}; regulation of protein stability {GO:0031647}; regulation of retrograde transport, endosome to Golgi {GO:1905279}; rhythmic process {GO:0048511}; transcription-coupled nucleotide-excision repair {GO:0006283}; ubiquitin-dependent protein catabolic process {GO:0006511}</t>
  </si>
  <si>
    <t>cytoplasm {GO:0005737}; cytosol {GO:0005829}; nucleus {GO:0005634}; PML body {GO:0016605}; protein-containing complex {GO:0032991}; XY body {GO:0001741}</t>
  </si>
  <si>
    <t>cysteine-type deubiquitinase activity {GO:0004843}; cysteine-type endopeptidase activity {GO:0004197}; deubiquitinase activity {GO:0101005}; identical protein binding {GO:0042802}; Lys48-specific deubiquitinase activity {GO:1990380}; p53 binding {GO:0002039}; protein C-terminus binding {GO:0008022}; ubiquitin protein ligase binding {GO:0031625}</t>
  </si>
  <si>
    <t>Ub-specific processing proteases {R-MMU-5689880}; Formation of TC-NER Pre-Incision Complex {R-MMU-6781823}; Dual incision in TC-NER {R-MMU-6782135}; Gap-filling DNA repair synthesis and ligation in TC-NER {R-MMU-6782210}; Regulation of TP53 Degradation {R-MMU-6804757}; Synthesis of active ubiquitin: roles of E1 and E2 enzymes {R-MMU-8866652}; Regulation of PTEN localization {R-MMU-8948747}</t>
  </si>
  <si>
    <t>sp|Q9ERG2|STRN3_MOUSE</t>
  </si>
  <si>
    <t>Striatin-3</t>
  </si>
  <si>
    <t>Cell cycle autoantigen SG2NA; S/G2 antigen</t>
  </si>
  <si>
    <t>STRN3_MOUSE</t>
  </si>
  <si>
    <t>Q9ERG2</t>
  </si>
  <si>
    <t>Gs2na; Sg2na</t>
  </si>
  <si>
    <t>MGI:2151064</t>
  </si>
  <si>
    <t>Acetylation; Calmodulin-binding; Coiled coil; Cytoplasm; Membrane; Phosphoprotein; Repeat; WD repeat</t>
  </si>
  <si>
    <t>negative regulation of DNA-templated transcription {GO:0045892}; negative regulation of intracellular estrogen receptor signaling pathway {GO:0033147}; negative regulation of transcription by RNA polymerase II {GO:0000122}; positive regulation of transcription by RNA polymerase II {GO:0045944}; response to estradiol {GO:0032355}</t>
  </si>
  <si>
    <t>cytoplasm {GO:0005737}; dendrite {GO:0030425}; FAR/SIN/STRIPAK complex {GO:0090443}; Golgi apparatus {GO:0005794}; neuronal cell body {GO:0043025}; nucleoplasm {GO:0005654}; nucleus {GO:0005634}; plasma membrane {GO:0005886}; protein-containing complex {GO:0032991}</t>
  </si>
  <si>
    <t>armadillo repeat domain binding {GO:0070016}; calmodulin binding {GO:0005516}; protein phosphatase 2A binding {GO:0051721}; protein-containing complex binding {GO:0044877}; small GTPase binding {GO:0031267}</t>
  </si>
  <si>
    <t>sp|Q8C0D5|EFL1_MOUSE</t>
  </si>
  <si>
    <t>Elongation factor-like GTPase 1</t>
  </si>
  <si>
    <t>Elongation factor Tu GTP-binding domain-containing protein 1; Elongation factor-like 1; Protein FAM42A</t>
  </si>
  <si>
    <t>EFL1_MOUSE</t>
  </si>
  <si>
    <t>Q8C0D5</t>
  </si>
  <si>
    <t>Q80W46; Q8C198; Q8K0B8</t>
  </si>
  <si>
    <t>Eftud1</t>
  </si>
  <si>
    <t>MGI:2141969</t>
  </si>
  <si>
    <t>Acetylation; Elongation factor; GTP-binding; Nucleotide-binding; Protein biosynthesis; Ribosome biogenesis</t>
  </si>
  <si>
    <t>GTP metabolic process {GO:0046039}; mature ribosome assembly {GO:0042256}</t>
  </si>
  <si>
    <t>ribonucleoprotein complex {GO:1990904}</t>
  </si>
  <si>
    <t>GTP binding {GO:0005525}; GTPase activity {GO:0003924}; ribosome binding {GO:0043022}; translation elongation factor activity {GO:0003746}</t>
  </si>
  <si>
    <t>sp|P15626|GSTM2_MOUSE</t>
  </si>
  <si>
    <t>Glutathione S-transferase Mu 2</t>
  </si>
  <si>
    <t>GST 5-5; GST class-mu 2; Glutathione S-transferase pmGT2</t>
  </si>
  <si>
    <t>GSTM2_MOUSE</t>
  </si>
  <si>
    <t>P15626</t>
  </si>
  <si>
    <t>MGI:95861</t>
  </si>
  <si>
    <t>glutathione metabolic process {GO:0006749}; hepoxilin biosynthetic process {GO:0051122}; xenobiotic catabolic process {GO:0042178}</t>
  </si>
  <si>
    <t>cytoplasm {GO:0005737}; cytosol {GO:0005829}; intercellular bridge {GO:0045171}; plasma membrane {GO:0005886}; protein-containing complex {GO:0032991}</t>
  </si>
  <si>
    <t>Glutathione conjugation {R-MMU-156590}; Azathioprine ADME {R-MMU-9748787}; Paracetamol ADME {R-MMU-9753281}</t>
  </si>
  <si>
    <t>sp|P97427|DPYL1_MOUSE</t>
  </si>
  <si>
    <t>Dihydropyrimidinase-related protein 1 (DRP-1)</t>
  </si>
  <si>
    <t>Collapsin response mediator protein 1 (CRMP-1); Inactive dihydropyrimidinase; Unc-33-like phosphoprotein 3 (ULIP-3)</t>
  </si>
  <si>
    <t>DPYL1_MOUSE</t>
  </si>
  <si>
    <t>P97427</t>
  </si>
  <si>
    <t>O08554; O35097</t>
  </si>
  <si>
    <t>Dpysl1; Ulip3</t>
  </si>
  <si>
    <t>MGI:107793</t>
  </si>
  <si>
    <t>3D-structure; Cell projection; Cytoplasm; Cytoskeleton; Nitration; Phosphoprotein</t>
  </si>
  <si>
    <t>axon guidance {GO:0007411}; microtubule cytoskeleton organization {GO:0000226}; negative regulation of actin filament binding {GO:1904530}; negative regulation of neuron projection development {GO:0010977}; semaphorin-plexin signaling pathway {GO:0071526}</t>
  </si>
  <si>
    <t>actin cytoskeleton {GO:0015629}; centrosome {GO:0005813}; cytoplasm {GO:0005737}; cytosol {GO:0005829}; dendrite {GO:0030425}; growth cone {GO:0030426}; midbody {GO:0030496}; neuronal cell body {GO:0043025}; nucleus {GO:0005634}; perikaryon {GO:0043204}; spindle {GO:0005819}</t>
  </si>
  <si>
    <t>filamin binding {GO:0031005}; hydrolase activity, acting on carbon-nitrogen (but not peptide) bonds {GO:0016810}; identical protein binding {GO:0042802}; phosphoprotein binding {GO:0051219}</t>
  </si>
  <si>
    <t>sp|E9PV24|FIBA_MOUSE</t>
  </si>
  <si>
    <t>sp|O35737|HNRH1_MOUSE</t>
  </si>
  <si>
    <t>Heterogeneous nuclear ribonucleoprotein H, N-terminally processed (hnRNP H)</t>
  </si>
  <si>
    <t>HNRH1_MOUSE</t>
  </si>
  <si>
    <t>O35737</t>
  </si>
  <si>
    <t>Hnrph; Hnrph1</t>
  </si>
  <si>
    <t>MGI:1891925</t>
  </si>
  <si>
    <t>Acetylation; Isopeptide bond; Methylation; mRNA processing; mRNA splicing; Nucleus; Phosphoprotein; Repeat; Ribonucleoprotein; RNA-binding; Spliceosome; Ubl conjugation</t>
  </si>
  <si>
    <t>cellular response to interleukin-7 {GO:0098761}; mRNA processing {GO:0006397}; regulation of RNA splicing {GO:0043484}; RNA splicing {GO:0008380}</t>
  </si>
  <si>
    <t>catalytic step 2 spliceosome {GO:0071013}; cytosol {GO:0005829}; nucleoplasm {GO:0005654}; nucleus {GO:0005634}; postsynaptic density {GO:0014069}; ribonucleoprotein complex {GO:1990904}</t>
  </si>
  <si>
    <t>enzyme binding {GO:0019899}; identical protein binding {GO:0042802}; RNA binding {GO:0003723}</t>
  </si>
  <si>
    <t>sp|P61164|ACTZ_MOUSE</t>
  </si>
  <si>
    <t>Alpha-centractin (Centractin)</t>
  </si>
  <si>
    <t>ARP1; Actin-RPV; Centrosome-associated actin homolog</t>
  </si>
  <si>
    <t>ACTZ_MOUSE</t>
  </si>
  <si>
    <t>P61164</t>
  </si>
  <si>
    <t>P42024; Q3TJF9</t>
  </si>
  <si>
    <t>Ctrn1</t>
  </si>
  <si>
    <t>MGI:1858964</t>
  </si>
  <si>
    <t>Acetylation; ATP-binding; Cytoplasm; Cytoskeleton; Nucleotide-binding</t>
  </si>
  <si>
    <t>cell cortex {GO:0005938}; centriole {GO:0005814}; centrosome {GO:0005813}; COPI-coated vesicle {GO:0030137}; cytoplasm {GO:0005737}; manchette {GO:0002177}; microtubule cytoskeleton {GO:0015630}; myelin sheath {GO:0043209}</t>
  </si>
  <si>
    <t>sp|Q9R1P1|PSB3_MOUSE</t>
  </si>
  <si>
    <t>Proteasome subunit beta type-3</t>
  </si>
  <si>
    <t>Proteasome chain 13; Proteasome component C10-II; Proteasome theta chain</t>
  </si>
  <si>
    <t>PSB3_MOUSE</t>
  </si>
  <si>
    <t>Q9R1P1</t>
  </si>
  <si>
    <t>MGI:1347014</t>
  </si>
  <si>
    <t>proteasomal protein catabolic process {GO:0010498}; proteasome-mediated ubiquitin-dependent protein catabolic process {GO:0043161}; protein catabolic process {GO:0030163}</t>
  </si>
  <si>
    <t>endopeptidase activity {GO:0004175}</t>
  </si>
  <si>
    <t>sp|P00375|DYR_MOUSE</t>
  </si>
  <si>
    <t>Dihydrofolate reductase</t>
  </si>
  <si>
    <t>DYR_MOUSE</t>
  </si>
  <si>
    <t>P00375</t>
  </si>
  <si>
    <t>P70693; Q61485; Q61487; Q61579</t>
  </si>
  <si>
    <t>MGI:94890</t>
  </si>
  <si>
    <t>3D-structure; Acetylation; Cytoplasm; Methotrexate resistance; Mitochondrion; NADP; One-carbon metabolism; Oxidoreductase; RNA-binding</t>
  </si>
  <si>
    <t>Methotrexate resistance; One-carbon metabolism</t>
  </si>
  <si>
    <t>axon regeneration {GO:0031103}; dihydrofolate metabolic process {GO:0046452}; folic acid metabolic process {GO:0046655}; glycine biosynthetic process {GO:0006545}; positive regulation of nitric-oxide synthase activity {GO:0051000}; regulation of removal of superoxide radicals {GO:2000121}; response to methotrexate {GO:0031427}; response to nicotine {GO:0035094}; tetrahydrobiopterin biosynthetic process {GO:0006729}; tetrahydrofolate biosynthetic process {GO:0046654}; tetrahydrofolate interconversion {GO:0035999}; tetrahydrofolate metabolic process {GO:0046653}</t>
  </si>
  <si>
    <t>cytoplasm {GO:0005737}; cytosol {GO:0005829}; mitochondrial inner membrane {GO:0005743}; mitochondrial matrix {GO:0005759}; mitochondrion {GO:0005739}; nucleus {GO:0005634}</t>
  </si>
  <si>
    <t>dihydrofolate reductase activity {GO:0004146}; dihydrofolic acid binding {GO:0051871}; folic acid binding {GO:0005542}; mRNA binding {GO:0003729}; mRNA regulatory element binding translation repressor activity {GO:0000900}; NADP binding {GO:0050661}; NADPH binding {GO:0070402}; sequence-specific mRNA binding {GO:1990825}</t>
  </si>
  <si>
    <t>Cofactor biosynthesis; tetrahydrofolate biosynthesis; 5,6,7,8- tetrahydrofolate from 7,8-dihydrofolate: step 1/1.</t>
  </si>
  <si>
    <t>sp|Q8JZX4|SPF45_MOUSE</t>
  </si>
  <si>
    <t>Splicing factor 45</t>
  </si>
  <si>
    <t>45 kDa-splicing factor; RNA-binding motif protein 17</t>
  </si>
  <si>
    <t>SPF45_MOUSE</t>
  </si>
  <si>
    <t>Q8JZX4</t>
  </si>
  <si>
    <t>A2AP41; O75939</t>
  </si>
  <si>
    <t>Spf45</t>
  </si>
  <si>
    <t>MGI:1924188</t>
  </si>
  <si>
    <t>Acetylation; Isopeptide bond; mRNA processing; mRNA splicing; Nucleus; Phosphoprotein; RNA-binding; Spliceosome; Ubl conjugation</t>
  </si>
  <si>
    <t>alternative mRNA splicing, via spliceosome {GO:0000380}; mRNA cis splicing, via spliceosome {GO:0045292}; mRNA splicing, via spliceosome {GO:0000398}; RNA splicing, via transesterification reactions {GO:0000375}</t>
  </si>
  <si>
    <t>nucleoplasm {GO:0005654}; nucleus {GO:0005634}; protein-containing complex {GO:0032991}; spliceosomal complex {GO:0005681}</t>
  </si>
  <si>
    <t>sp|P48678|LMNA_MOUSE</t>
  </si>
  <si>
    <t>Lamin-A/C</t>
  </si>
  <si>
    <t>LMNA_MOUSE</t>
  </si>
  <si>
    <t>P48678</t>
  </si>
  <si>
    <t>B3RH23; B3RH24; P11516; P97859; Q3TIH0; Q3TTS8; Q3U733; Q3U7I5; Q3UCA0; Q3UCJ8; Q3UCU3; Q91WF2; Q9DC21</t>
  </si>
  <si>
    <t>Lmn1</t>
  </si>
  <si>
    <t>MGI:96794</t>
  </si>
  <si>
    <t>3D-structure; Acetylation; Alternative splicing; Coiled coil; Intermediate filament; Isopeptide bond; Lipoprotein; Methylation; Nucleus; Phosphoprotein; Prenylation; Ubl conjugation</t>
  </si>
  <si>
    <t>cellular response to hypoxia {GO:0071456}; cellular senescence {GO:0090398}; DNA double-strand break attachment to nuclear envelope {GO:1990683}; establishment of cell polarity {GO:0030010}; establishment or maintenance of microtubule cytoskeleton polarity {GO:0030951}; heterochromatin assembly {GO:0031507}; muscle organ development {GO:0007517}; negative regulation of adipose tissue development {GO:1904178}; negative regulation of cardiac muscle hypertrophy in response to stress {GO:1903243}; negative regulation of cell population proliferation {GO:0008285}; negative regulation of extrinsic apoptotic signaling pathway {GO:2001237}; negative regulation of mesenchymal cell proliferation {GO:0072201}; negative regulation of release of cytochrome c from mitochondria {GO:0090201}; nuclear envelope organization {GO:0006998}; nuclear migration {GO:0007097}; nuclear pore localization {GO:0051664}; nucleus organization {GO:0006997}; positive regulation of gene expression {GO:0010628}; positive regulation of histone H3-K9 trimethylation {GO:1900114}; positive regulation of osteoblast differentiation {GO:0045669}; protein import into nucleus {GO:0006606}; protein localization {GO:0008104}; protein localization to nuclear envelope {GO:0090435}; protein localization to nucleus {GO:0034504}; regulation of cell migration {GO:0030334}; regulation of protein localization to nucleus {GO:1900180}; regulation of protein stability {GO:0031647}; regulation of telomere maintenance {GO:0032204}; ventricular cardiac muscle cell development {GO:0055015}</t>
  </si>
  <si>
    <t>lamin filament {GO:0005638}; nuclear envelope {GO:0005635}; nuclear lamina {GO:0005652}; nuclear matrix {GO:0016363}; nuclear membrane {GO:0031965}; nuclear speck {GO:0016607}; nucleoplasm {GO:0005654}; nucleus {GO:0005634}; perinuclear region of cytoplasm {GO:0048471}; site of double-strand break {GO:0035861}</t>
  </si>
  <si>
    <t>identical protein binding {GO:0042802}; protein phosphatase 1 binding {GO:0008157}; structural constituent of cytoskeleton {GO:0005200}</t>
  </si>
  <si>
    <t>Nuclear Envelope Breakdown {R-MMU-2980766}; Initiation of Nuclear Envelope (NE) Reformation {R-MMU-2995383}; Breakdown of the nuclear lamina {R-MMU-352238}; Depolymerisation of the Nuclear Lamina {R-MMU-4419969}</t>
  </si>
  <si>
    <t>sp|Q91Z31|PTBP2_MOUSE</t>
  </si>
  <si>
    <t>Polypyrimidine tract-binding protein 2</t>
  </si>
  <si>
    <t>Brain-enriched polypyrimidine tract-binding protein (Brain-enriched PTB); Neural polypyrimidine tract-binding protein; RRM-type RNA-binding protein brPTB</t>
  </si>
  <si>
    <t>PTBP2_MOUSE</t>
  </si>
  <si>
    <t>Q91Z31</t>
  </si>
  <si>
    <t>Q7TNW7; Q9CUW2; Q9QYC2; Q9R0V9</t>
  </si>
  <si>
    <t>Brptb; Nptb</t>
  </si>
  <si>
    <t>MGI:1860489</t>
  </si>
  <si>
    <t>Acetylation; Alternative splicing; mRNA processing; mRNA splicing; Nucleus; Phosphoprotein; Repeat; RNA-binding</t>
  </si>
  <si>
    <t>cerebellum development {GO:0021549}; mRNA splice site selection {GO:0006376}; negative regulation of RNA splicing {GO:0033119}; regulation of neural precursor cell proliferation {GO:2000177}; regulation of RNA splicing {GO:0043484}; spinal cord development {GO:0021510}</t>
  </si>
  <si>
    <t>growth cone {GO:0030426}; neuronal cell body {GO:0043025}; nucleus {GO:0005634}; spliceosomal complex {GO:0005681}</t>
  </si>
  <si>
    <t>sp|Q99L04|DHRS1_MOUSE</t>
  </si>
  <si>
    <t>Dehydrogenase/reductase SDR family member 1</t>
  </si>
  <si>
    <t>Short chain dehydrogenase/reductase family 19C member 1 (Protein SDR19C1)</t>
  </si>
  <si>
    <t>DHRS1_MOUSE</t>
  </si>
  <si>
    <t>Q99L04</t>
  </si>
  <si>
    <t>Q3THW0; Q9D148</t>
  </si>
  <si>
    <t>D14ertd484e</t>
  </si>
  <si>
    <t>MGI:1196314</t>
  </si>
  <si>
    <t>Endoplasmic reticulum; Methylation; NAD; Oxidoreductase</t>
  </si>
  <si>
    <t>endoplasmic reticulum {GO:0005783}; mitochondrial inner membrane {GO:0005743}; mitochondrion {GO:0005739}</t>
  </si>
  <si>
    <t>carbonyl reductase (NADPH) activity {GO:0004090}; oxidoreductase activity, acting on the CH-OH group of donors, NAD or NADP as acceptor {GO:0016616}; testosterone 17-beta-dehydrogenase (NADP+) activity {GO:0047045}</t>
  </si>
  <si>
    <t>sp|Q9D6J5|NDUB8_MOUSE</t>
  </si>
  <si>
    <t>NADH dehydrogenase [ubiquinone] 1 beta subcomplex subunit 8, mitochondrial</t>
  </si>
  <si>
    <t>Complex I-ASHI (CI-ASHI); NADH-ubiquinone oxidoreductase ASHI subunit</t>
  </si>
  <si>
    <t>NDUB8_MOUSE</t>
  </si>
  <si>
    <t>Q9D6J5</t>
  </si>
  <si>
    <t>Q9D6M7</t>
  </si>
  <si>
    <t>MGI:1914514</t>
  </si>
  <si>
    <t>endoplasmic reticulum {GO:0005783}; mitochondrial inner membrane {GO:0005743}; mitochondrial respiratory chain complex I {GO:0005747}; mitochondrion {GO:0005739}</t>
  </si>
  <si>
    <t>Mitochondrial protein import {R-MMU-1268020}; Respiratory electron transport {R-MMU-611105}; Complex I biogenesis {R-MMU-6799198}</t>
  </si>
  <si>
    <t>sp|Q91X20|ASH2L_MOUSE</t>
  </si>
  <si>
    <t>Set1/Ash2 histone methyltransferase complex subunit ASH2</t>
  </si>
  <si>
    <t>ASH2-like protein</t>
  </si>
  <si>
    <t>ASH2L_MOUSE</t>
  </si>
  <si>
    <t>Q91X20</t>
  </si>
  <si>
    <t>Q3UIF9; Q9Z2X4</t>
  </si>
  <si>
    <t>MGI:1344416</t>
  </si>
  <si>
    <t>Chromatin regulator; DNA-binding; Metal-binding; Methylation; Nucleus; Phosphoprotein; Transcription; Transcription regulation; Zinc; Zinc-finger</t>
  </si>
  <si>
    <t>cellular response to DNA damage stimulus {GO:0006974}; epigenetic maintenance of chromatin in transcription-competent conformation {GO:0045815}; histone H3-K4 methylation {GO:0051568}; positive regulation of cell population proliferation {GO:0008284}; positive regulation of transcription by RNA polymerase II {GO:0045944}; response to estrogen {GO:0043627}</t>
  </si>
  <si>
    <t>euchromatin {GO:0000791}; histone methyltransferase complex {GO:0035097}; MLL1 complex {GO:0071339}; MLL1/2 complex {GO:0044665}; MLL3/4 complex {GO:0044666}; nucleoplasm {GO:0005654}; nucleus {GO:0005634}; Set1C/COMPASS complex {GO:0048188}</t>
  </si>
  <si>
    <t>beta-catenin binding {GO:0008013}; histone methyltransferase activity (H3-K4 specific) {GO:0042800}; metal ion binding {GO:0046872}; transcription cis-regulatory region binding {GO:0000976}</t>
  </si>
  <si>
    <t>Formation of the beta-catenin:TCF transactivating complex {R-MMU-201722}; PKMTs methylate histone lysines {R-MMU-3214841}; RUNX1 regulates genes involved in megakaryocyte differentiation and platelet function {R-MMU-8936459}</t>
  </si>
  <si>
    <t>sp|O55222|ILK_MOUSE</t>
  </si>
  <si>
    <t>Integrin-linked protein kinase</t>
  </si>
  <si>
    <t>59 kDa serine/threonine-protein kinase; Beta-integrin-linked kinase; ILK-1; ILK-2; p59ILK</t>
  </si>
  <si>
    <t>ILK_MOUSE</t>
  </si>
  <si>
    <t>O55222</t>
  </si>
  <si>
    <t>Q78KK2</t>
  </si>
  <si>
    <t>MGI:1195267</t>
  </si>
  <si>
    <t>Acetylation; ANK repeat; ATP-binding; Cell junction; Cell membrane; Cell projection; Cytoplasm; Kinase; Membrane; Nucleotide-binding; Phosphoprotein; Repeat; Serine/threonine-protein kinase; Transferase</t>
  </si>
  <si>
    <t>Cell junction; Cell membrane; Cell projection; Cytoplasm; Membrane</t>
  </si>
  <si>
    <t>branching involved in ureteric bud morphogenesis {GO:0001658}; cell morphogenesis {GO:0000902}; cell population proliferation {GO:0008283}; cell projection organization {GO:0030030}; cell-matrix adhesion {GO:0007160}; establishment or maintenance of epithelial cell apical/basal polarity {GO:0045197}; fibroblast migration {GO:0010761}; integrin-mediated signaling pathway {GO:0007229}; myelin assembly {GO:0032288}; myelination in peripheral nervous system {GO:0022011}; negative regulation of apoptotic process {GO:0043066}; negative regulation of cardiac muscle cell apoptotic process {GO:0010667}; negative regulation of neural precursor cell proliferation {GO:2000178}; negative regulation of neuron apoptotic process {GO:0043524}; negative regulation of protein kinase activity {GO:0006469}; negative regulation of smooth muscle cell migration {GO:0014912}; negative regulation of smooth muscle cell proliferation {GO:0048662}; nerve development {GO:0021675}; neural precursor cell proliferation {GO:0061351}; neuron projection morphogenesis {GO:0048812}; outflow tract morphogenesis {GO:0003151}; peptidyl-serine phosphorylation {GO:0018105}; positive regulation of axon extension {GO:0045773}; positive regulation of axonogenesis {GO:0050772}; positive regulation of BMP signaling pathway {GO:0030513}; positive regulation of canonical Wnt signaling pathway {GO:0090263}; positive regulation of cell migration {GO:0030335}; positive regulation of cell population proliferation {GO:0008284}; positive regulation of cell-matrix adhesion {GO:0001954}; positive regulation of cellular senescence {GO:2000774}; positive regulation of dendrite morphogenesis {GO:0050775}; positive regulation of DNA-templated transcription {GO:0045893}; positive regulation of MAP kinase activity {GO:0043406}; positive regulation of MAPK cascade {GO:0043410}; positive regulation of myoblast differentiation {GO:0045663}; positive regulation of NIK/NF-kappaB signaling {GO:1901224}; positive regulation of osteoblast differentiation {GO:0045669}; positive regulation of phosphorylation {GO:0042327}; positive regulation of protein kinase B signaling {GO:0051897}; positive regulation of protein phosphorylation {GO:0001934}; positive regulation of signal transduction {GO:0009967}; positive regulation of substrate adhesion-dependent cell spreading {GO:1900026}; protein kinase B signaling {GO:0043491}; protein phosphorylation {GO:0006468}; regulation of actin cytoskeleton organization {GO:0032956}; regulation of cell cycle {GO:0051726}; regulation of cell growth {GO:0001558}; Schwann cell development {GO:0014044}; substrate adhesion-dependent cell spreading {GO:0034446}; supramolecular fiber organization {GO:0097435}; tumor necrosis factor-mediated signaling pathway {GO:0033209}</t>
  </si>
  <si>
    <t>axon {GO:0030424}; cell-cell junction {GO:0005911}; costamere {GO:0043034}; cytoplasm {GO:0005737}; dendritic shaft {GO:0043198}; focal adhesion {GO:0005925}; lamellipodium {GO:0030027}; neuronal cell body {GO:0043025}; nucleoplasm {GO:0005654}; plasma membrane {GO:0005886}; protein-containing complex {GO:0032991}; sarcomere {GO:0030017}; stress fiber {GO:0001725}; terminal bouton {GO:0043195}</t>
  </si>
  <si>
    <t>ATP binding {GO:0005524}; integrin binding {GO:0005178}; protein domain specific binding {GO:0019904}; protein kinase activity {GO:0004672}; protein kinase binding {GO:0019901}; protein serine kinase activity {GO:0106310}; protein serine/threonine kinase activity {GO:0004674}; protein-containing complex binding {GO:0044877}; SH3 domain binding {GO:0017124}</t>
  </si>
  <si>
    <t>Localization of the PINCH-ILK-PARVIN complex to focal adhesions {R-MMU-446343}; Cell-extracellular matrix interactions {R-MMU-446353}</t>
  </si>
  <si>
    <t>sp|Q9D3H2|OBP1A_MOUSE</t>
  </si>
  <si>
    <t>Odorant-binding protein 1a</t>
  </si>
  <si>
    <t>Odorant-binding protein IA</t>
  </si>
  <si>
    <t>OBP1A_MOUSE</t>
  </si>
  <si>
    <t>Q9D3H2</t>
  </si>
  <si>
    <t>P97336</t>
  </si>
  <si>
    <t>MGI:1277949</t>
  </si>
  <si>
    <t>Disulfide bond; Olfaction; Secreted; Sensory transduction; Signal; Transport</t>
  </si>
  <si>
    <t>Olfaction; Sensory transduction; Transport</t>
  </si>
  <si>
    <t>response to stimulus {GO:0050896}; sensory perception of smell {GO:0007608}</t>
  </si>
  <si>
    <t>odorant binding {GO:0005549}; small molecule binding {GO:0036094}</t>
  </si>
  <si>
    <t>sp|Q9CSN1|SNW1_MOUSE</t>
  </si>
  <si>
    <t>SNW domain-containing protein 1</t>
  </si>
  <si>
    <t>Nuclear protein SkiP; Ski-interacting protein</t>
  </si>
  <si>
    <t>SNW1_MOUSE</t>
  </si>
  <si>
    <t>Q9CSN1</t>
  </si>
  <si>
    <t>Skiip</t>
  </si>
  <si>
    <t>MGI:1913604</t>
  </si>
  <si>
    <t>Acetylation; Isopeptide bond; mRNA processing; mRNA splicing; Nucleus; Phosphoprotein; Spliceosome; Transcription; Transcription regulation; Ubl conjugation</t>
  </si>
  <si>
    <t>cellular response to retinoic acid {GO:0071300}; intrinsic apoptotic signaling pathway in response to DNA damage by p53 class mediator {GO:0042771}; mRNA splicing, via spliceosome {GO:0000398}; negative regulation of DNA-templated transcription {GO:0045892}; negative regulation of transcription by RNA polymerase II {GO:0000122}; positive regulation by host of viral transcription {GO:0043923}; positive regulation of histone H3-K4 methylation {GO:0051571}; positive regulation of mRNA splicing, via spliceosome {GO:0048026}; positive regulation of neurogenesis {GO:0050769}; positive regulation of transcription by RNA polymerase II {GO:0045944}; positive regulation of transforming growth factor beta receptor signaling pathway {GO:0030511}; positive regulation of vitamin D receptor signaling pathway {GO:0070564}; regulation of retinoic acid receptor signaling pathway {GO:0048385}; regulation of vitamin D receptor signaling pathway {GO:0070562}; retinoic acid receptor signaling pathway {GO:0048384}; skeletal muscle cell differentiation {GO:0035914}</t>
  </si>
  <si>
    <t>catalytic step 2 spliceosome {GO:0071013}; chromatin {GO:0000785}; cyclin/CDK positive transcription elongation factor complex {GO:0008024}; cytoplasm {GO:0005737}; nuclear body {GO:0016604}; nuclear matrix {GO:0016363}; nuclear speck {GO:0016607}; nucleoplasm {GO:0005654}; nucleus {GO:0005634}; SMAD protein complex {GO:0071141}; spliceosomal complex {GO:0005681}; U2-type catalytic step 2 spliceosome {GO:0071007}</t>
  </si>
  <si>
    <t>enzyme binding {GO:0019899}; Notch binding {GO:0005112}; nuclear androgen receptor binding {GO:0050681}; nuclear receptor binding {GO:0016922}; nuclear retinoic acid receptor binding {GO:0042974}; nuclear vitamin D receptor binding {GO:0042809}; SMAD binding {GO:0046332}; transcription coactivator activity {GO:0003713}; transcription corepressor activity {GO:0003714}</t>
  </si>
  <si>
    <t>NOTCH1 Intracellular Domain Regulates Transcription {R-MMU-2122947}; Downregulation of SMAD2/3:SMAD4 transcriptional activity {R-MMU-2173795}; Notch-HLH transcription pathway {R-MMU-350054}; mRNA Splicing - Major Pathway {R-MMU-72163}; RUNX3 regulates NOTCH signaling {R-MMU-8941856}</t>
  </si>
  <si>
    <t>sp|Q62419|SH3G1_MOUSE</t>
  </si>
  <si>
    <t>Endophilin-A2</t>
  </si>
  <si>
    <t>Endophilin-2; SH3 domain protein 2B; SH3 domain-containing GRB2-like protein 1; SH3p8</t>
  </si>
  <si>
    <t>SH3G1_MOUSE</t>
  </si>
  <si>
    <t>Q62419</t>
  </si>
  <si>
    <t>Sh3d2b</t>
  </si>
  <si>
    <t>MGI:700010</t>
  </si>
  <si>
    <t>Cell junction; Cell projection; Coiled coil; Cytoplasm; Endocytosis; Endosome; Lipid-binding; Membrane; Phosphoprotein; SH3 domain</t>
  </si>
  <si>
    <t>Cell junction; Cell projection; Cytoplasm; Endosome; Membrane</t>
  </si>
  <si>
    <t>modulation of excitatory postsynaptic potential {GO:0098815}; positive regulation of synaptic vesicle endocytosis {GO:1900244}; regulation of synaptic vesicle endocytosis {GO:1900242}; synaptic vesicle uncoating {GO:0016191}</t>
  </si>
  <si>
    <t>anchoring junction {GO:0070161}; cell projection {GO:0042995}; cytoplasm {GO:0005737}; cytosol {GO:0005829}; early endosome membrane {GO:0031901}; glutamatergic synapse {GO:0098978}; hippocampal mossy fiber to CA3 synapse {GO:0098686}; membrane {GO:0016020}; podosome {GO:0002102}; postsynaptic density, intracellular component {GO:0099092}; presynapse {GO:0098793}; Schaffer collateral - CA1 synapse {GO:0098685}; synapse {GO:0045202}</t>
  </si>
  <si>
    <t>beta-1 adrenergic receptor binding {GO:0031697}; GTPase binding {GO:0051020}; identical protein binding {GO:0042802}; lipid binding {GO:0008289}; phosphatase binding {GO:0019902}; protein C-terminus binding {GO:0008022}; SH3 domain binding {GO:0017124}; transmembrane transporter binding {GO:0044325}</t>
  </si>
  <si>
    <t>EGFR downregulation {R-MMU-182971}; Negative regulation of MET activity {R-MMU-6807004}; Cargo recognition for clathrin-mediated endocytosis {R-MMU-8856825}; Clathrin-mediated endocytosis {R-MMU-8856828}</t>
  </si>
  <si>
    <t>sp|P28740|KIF2A_MOUSE</t>
  </si>
  <si>
    <t>Kinesin-like protein KIF2A</t>
  </si>
  <si>
    <t>Kinesin-2</t>
  </si>
  <si>
    <t>KIF2A_MOUSE</t>
  </si>
  <si>
    <t>P28740</t>
  </si>
  <si>
    <t>O54744; Q91W03</t>
  </si>
  <si>
    <t>Kif2; Kns2</t>
  </si>
  <si>
    <t>MGI:108390</t>
  </si>
  <si>
    <t>Acetylation; Alternative splicing; ATP-binding; Cell cycle; Cell division; Coiled coil; Cytoplasm; Cytoskeleton; Developmental protein; Differentiation; Lysosome; Microtubule; Mitosis; Motor protein; Neurogenesis; Nucleotide-binding; Phosphoprotein</t>
  </si>
  <si>
    <t>Cell cycle; Cell division; Differentiation; Mitosis; Neurogenesis</t>
  </si>
  <si>
    <t>Cytoplasm; Cytoskeleton; Lysosome; Microtubule</t>
  </si>
  <si>
    <t>Developmental protein; Motor protein</t>
  </si>
  <si>
    <t>cell differentiation {GO:0030154}; cell division {GO:0051301}; microtubule cytoskeleton organization {GO:0000226}; microtubule-based movement {GO:0007018}; mitotic spindle assembly {GO:0090307}; mitotic spindle organization {GO:0007052}; nervous system development {GO:0007399}; regulation of cell migration {GO:0030334}</t>
  </si>
  <si>
    <t>centriolar subdistal appendage {GO:0120103}; centriole {GO:0005814}; centrosome {GO:0005813}; cytoplasm {GO:0005737}; kinesin complex {GO:0005871}; lysosome {GO:0005764}; microtubule {GO:0005874}; nuclear body {GO:0016604}; nucleolus {GO:0005730}; nucleoplasm {GO:0005654}; sperm principal piece {GO:0097228}; spindle {GO:0005819}; spindle microtubule {GO:0005876}; spindle pole {GO:0000922}</t>
  </si>
  <si>
    <t>ATP binding {GO:0005524}; ATP hydrolysis activity {GO:0016887}; microtubule binding {GO:0008017}; microtubule motor activity {GO:0003777}; protein kinase binding {GO:0019901}</t>
  </si>
  <si>
    <t>Amplification of signal from unattached kinetochores via a MAD2 inhibitory signal {R-MMU-141444}; MHC class II antigen presentation {R-MMU-2132295}; Separation of Sister Chromatids {R-MMU-2467813}; Resolution of Sister Chromatid Cohesion {R-MMU-2500257}; RHO GTPases Activate Formins {R-MMU-5663220}; COPI-dependent Golgi-to-ER retrograde traffic {R-MMU-6811434}; Mitotic Prometaphase {R-MMU-68877}; EML4 and NUDC in mitotic spindle formation {R-MMU-9648025}; Kinesins {R-MMU-983189}</t>
  </si>
  <si>
    <t>sp|Q9CXT8|MPPB_MOUSE</t>
  </si>
  <si>
    <t>Mitochondrial-processing peptidase subunit beta</t>
  </si>
  <si>
    <t>Beta-MPP; P-52</t>
  </si>
  <si>
    <t>MPPB_MOUSE</t>
  </si>
  <si>
    <t>Q9CXT8</t>
  </si>
  <si>
    <t>MGI:1920328</t>
  </si>
  <si>
    <t>Hydrolase; Metal-binding; Metalloprotease; Mitochondrion; Protease; Transit peptide; Zinc</t>
  </si>
  <si>
    <t>mitochondrial inner membrane {GO:0005743}; mitochondrial processing peptidase complex {GO:0017087}; mitochondrion {GO:0005739}</t>
  </si>
  <si>
    <t>sp|A2AWP0|BIRC7_MOUSE</t>
  </si>
  <si>
    <t>Baculoviral IAP repeat-containing protein 7 30 kDa subunit</t>
  </si>
  <si>
    <t>Livin; RING-type E3 ubiquitin transferase BIRC7 (Truncated livin; p30-Livin; tLivin)</t>
  </si>
  <si>
    <t>BIRC7_MOUSE</t>
  </si>
  <si>
    <t>A2AWP0</t>
  </si>
  <si>
    <t>A0AUK9</t>
  </si>
  <si>
    <t>Livin</t>
  </si>
  <si>
    <t>MGI:2676458</t>
  </si>
  <si>
    <t>Apoptosis; Cytoplasm; Golgi apparatus; Metal-binding; Nucleus; Protease inhibitor; Thiol protease inhibitor; Transferase; Ubl conjugation; Ubl conjugation pathway; Zinc; Zinc-finger</t>
  </si>
  <si>
    <t>Apoptosis; Ubl conjugation pathway</t>
  </si>
  <si>
    <t>Protease inhibitor; Thiol protease inhibitor; Transferase</t>
  </si>
  <si>
    <t>lens development in camera-type eye {GO:0002088}; negative regulation of apoptotic process {GO:0043066}; negative regulation of tumor necrosis factor-mediated signaling pathway {GO:0010804}; positive regulation of JNK cascade {GO:0046330}; positive regulation of protein ubiquitination {GO:0031398}; protein ubiquitination {GO:0016567}; regulation of apoptotic process {GO:0042981}; regulation of cell cycle {GO:0051726}; regulation of cell population proliferation {GO:0042127}; regulation of natural killer cell apoptotic process {GO:0070247}</t>
  </si>
  <si>
    <t>centrosome {GO:0005813}; cytoplasm {GO:0005737}; cytosol {GO:0005829}; Golgi apparatus {GO:0005794}; nucleoplasm {GO:0005654}; nucleus {GO:0005634}</t>
  </si>
  <si>
    <t>cysteine-type endopeptidase inhibitor activity involved in apoptotic process {GO:0043027}; metal ion binding {GO:0046872}; ubiquitin protein ligase activity {GO:0061630}; ubiquitin-protein transferase activity {GO:0004842}</t>
  </si>
  <si>
    <t>sp|P52760|RIDA_MOUSE</t>
  </si>
  <si>
    <t>2-iminobutanoate/2-iminopropanoate deaminase</t>
  </si>
  <si>
    <t>Heat-responsive protein 12; Reactive intermediate imine deaminase A homolog; Translation inhibitor L-PSP ribonuclease</t>
  </si>
  <si>
    <t>RIDA_MOUSE</t>
  </si>
  <si>
    <t>P52760</t>
  </si>
  <si>
    <t>Q569N4</t>
  </si>
  <si>
    <t>MGI:1095401</t>
  </si>
  <si>
    <t>Acetylation; Cytoplasm; Hydrolase; Lipid metabolism; Mitochondrion; Nucleus; Peroxisome; RNA-binding</t>
  </si>
  <si>
    <t>Cytoplasm; Mitochondrion; Nucleus; Peroxisome</t>
  </si>
  <si>
    <t>Hydrolase; RNA-binding</t>
  </si>
  <si>
    <t>lipid metabolic process {GO:0006629}; mRNA catabolic process {GO:0006402}; mRNA destabilization {GO:0061157}; negative regulation of epithelial cell proliferation {GO:0050680}; negative regulation of translation {GO:0017148}; organonitrogen compound catabolic process {GO:1901565}</t>
  </si>
  <si>
    <t>cytoplasm {GO:0005737}; cytosol {GO:0005829}; mitochondrial matrix {GO:0005759}; mitochondrion {GO:0005739}; nucleus {GO:0005634}; peroxisome {GO:0005777}</t>
  </si>
  <si>
    <t>2-iminobutanoate deaminase activity {GO:0120242}; 2-iminopropanoate deaminase activity {GO:0120243}; deaminase activity {GO:0019239}; endoribonuclease activity, producing 3'-phosphomonoesters {GO:0016892}; identical protein binding {GO:0042802}; ion binding {GO:0043167}; long-chain fatty acid binding {GO:0036041}; mRNA binding {GO:0003729}; transition metal ion binding {GO:0046914}</t>
  </si>
  <si>
    <t>Threonine catabolism {R-MMU-8849175}</t>
  </si>
  <si>
    <t>sp|P05132|KAPCA_MOUSE</t>
  </si>
  <si>
    <t>cAMP-dependent protein kinase catalytic subunit alpha (PKA C-alpha)</t>
  </si>
  <si>
    <t>KAPCA_MOUSE</t>
  </si>
  <si>
    <t>P05132</t>
  </si>
  <si>
    <t>Q9JID0</t>
  </si>
  <si>
    <t>Pkaca</t>
  </si>
  <si>
    <t>MGI:97592</t>
  </si>
  <si>
    <t>3D-structure; Alternative splicing; ATP-binding; cAMP; Cell membrane; Cell projection; Cilium; Cytoplasm; Cytoplasmic vesicle; Flagellum; Kinase; Lipoprotein; Membrane; Mitochondrion; Myristate; Nucleotide-binding; Nucleus; Phosphoprotein; Serine/threonine-protein kinase; Transferase</t>
  </si>
  <si>
    <t>Cell membrane; Cell projection; Cilium; Cytoplasm; Cytoplasmic vesicle; Flagellum; Membrane; Mitochondrion; Nucleus</t>
  </si>
  <si>
    <t>ATP-binding; Nucleotide-binding; cAMP</t>
  </si>
  <si>
    <t>cellular response to cold {GO:0070417}; cellular response to glucose stimulus {GO:0071333}; cellular response to heat {GO:0034605}; cellular response to parathyroid hormone stimulus {GO:0071374}; mesoderm formation {GO:0001707}; modulation of chemical synaptic transmission {GO:0050804}; mRNA processing {GO:0006397}; negative regulation of meiotic cell cycle {GO:0051447}; negative regulation of smoothened signaling pathway involved in dorsal/ventral neural tube patterning {GO:1901621}; neural tube closure {GO:0001843}; peptidyl-serine phosphorylation {GO:0018105}; peptidyl-threonine phosphorylation {GO:0018107}; positive regulation of cell population proliferation {GO:0008284}; positive regulation of protein export from nucleus {GO:0046827}; protein autophosphorylation {GO:0046777}; protein export from nucleus {GO:0006611}; protein kinase A signaling {GO:0010737}; protein localization to lipid droplet {GO:1990044}; protein phosphorylation {GO:0006468}; regulation of bicellular tight junction assembly {GO:2000810}; regulation of cell cycle {GO:0051726}; regulation of cellular respiration {GO:0043457}; regulation of osteoblast differentiation {GO:0045667}; regulation of proteasomal protein catabolic process {GO:0061136}; regulation of protein processing {GO:0070613}; regulation of synaptic transmission, glutamatergic {GO:0051966}; sperm capacitation {GO:0048240}; spontaneous exocytosis of neurotransmitter {GO:0048792}</t>
  </si>
  <si>
    <t>acrosomal vesicle {GO:0001669}; axoneme {GO:0005930}; cAMP-dependent protein kinase complex {GO:0005952}; centrosome {GO:0005813}; ciliary base {GO:0097546}; cytoplasm {GO:0005737}; cytosol {GO:0005829}; dendritic spine {GO:0043197}; Golgi apparatus {GO:0005794}; membrane {GO:0016020}; mitochondrion {GO:0005739}; neuromuscular junction {GO:0031594}; neuron projection {GO:0043005}; nuclear speck {GO:0016607}; nucleoplasm {GO:0005654}; nucleotide-activated protein kinase complex {GO:0031588}; nucleus {GO:0005634}; perinuclear region of cytoplasm {GO:0048471}; plasma membrane {GO:0005886}; plasma membrane raft {GO:0044853}; presynapse {GO:0098793}; protein-containing complex {GO:0032991}; sperm flagellum {GO:0036126}; sperm midpiece {GO:0097225}</t>
  </si>
  <si>
    <t>AMP-activated protein kinase activity {GO:0004679}; ATP binding {GO:0005524}; cAMP-dependent protein kinase activity {GO:0004691}; magnesium ion binding {GO:0000287}; manganese ion binding {GO:0030145}; protein domain specific binding {GO:0019904}; protein kinase A regulatory subunit binding {GO:0034237}; protein kinase activity {GO:0004672}; protein kinase binding {GO:0019901}; protein serine kinase activity {GO:0106310}; protein serine/threonine kinase activity {GO:0004674}; protein serine/threonine/tyrosine kinase activity {GO:0004712}; protein-containing complex binding {GO:0044877}; small GTPase binding {GO:0031267}; ubiquitin protein ligase binding {GO:0031625}</t>
  </si>
  <si>
    <t>PKA activation {R-MMU-163615}; PKA activation in glucagon signalling {R-MMU-164378}; DARPP-32 events {R-MMU-180024}; 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Glucagon-like Peptide-1 (GLP1) regulates insulin secretion {R-MMU-381676}; Rap1 signalling {R-MMU-392517}; Regulation of insulin secretion {R-MMU-422356}; Vasopressin regulates renal water homeostasis via Aquaporins {R-MMU-432040}; VEGFA-VEGFR2 Pathway {R-MMU-4420097}; CREB1 phosphorylation through the activation of Adenylate Cyclase {R-MMU-442720}; Interleukin-3, Interleukin-5 and GM-CSF signaling {R-MMU-512988}; Ion homeostasis {R-MMU-5578775}; GLI3 is processed to GLI3R by the proteasome {R-MMU-5610785}; Hedgehog 'off' state {R-MMU-5610787}; Anchoring of the basal body to the plasma membrane {R-MMU-5620912}; CD209 (DC-SIGN) signaling {R-MMU-5621575}; MAPK6/MAPK4 signaling {R-MMU-5687128}; RET signaling {R-MMU-8853659}; AURKA Activation by TPX2 {R-MMU-8854518}; HDL assembly {R-MMU-8963896}; GPER1 signaling {R-MMU-9634597}; Factors involved in megakaryocyte development and platelet production {R-MMU-983231}</t>
  </si>
  <si>
    <t>sp|Q8CI94|PYGB_MOUSE</t>
  </si>
  <si>
    <t>Glycogen phosphorylase, brain form</t>
  </si>
  <si>
    <t>PYGB_MOUSE</t>
  </si>
  <si>
    <t>Q8CI94</t>
  </si>
  <si>
    <t>Q8K283</t>
  </si>
  <si>
    <t>MGI:97828</t>
  </si>
  <si>
    <t>Acetylation; Allosteric enzyme; Carbohydrate metabolism; Glycogen metabolism; Glycosyltransferase; Phosphoprotein; Pyridoxal phosphate; Transferase</t>
  </si>
  <si>
    <t>glycogen catabolic process {GO:0005980}; glycogen metabolic process {GO:0005977}</t>
  </si>
  <si>
    <t>axon {GO:0030424}; cytoplasm {GO:0005737}</t>
  </si>
  <si>
    <t>carbohydrate binding {GO:0030246}; glycogen phosphorylase activity {GO:0008184}; identical protein binding {GO:0042802}; linear malto-oligosaccharide phosphorylase activity {GO:0102250}; organic cyclic compound binding {GO:0097159}; pyridoxal phosphate binding {GO:0030170}; SHG alpha-glucan phosphorylase activity {GO:0102499}</t>
  </si>
  <si>
    <t>sp|O08677|KNG1_MOUSE</t>
  </si>
  <si>
    <t>Kininogen-1 light chain</t>
  </si>
  <si>
    <t>KNG1_MOUSE</t>
  </si>
  <si>
    <t>O08677</t>
  </si>
  <si>
    <t>O08676; Q32MX7; Q6S9I1; Q91XK5</t>
  </si>
  <si>
    <t>Kng</t>
  </si>
  <si>
    <t>MGI:1097705</t>
  </si>
  <si>
    <t>Alternative splicing; Blood coagulation; Disulfide bond; Glycoprotein; Hemostasis; Inflammatory response; Phosphoprotein; Protease inhibitor; Repeat; Secreted; Signal; Thiol protease inhibitor; Vasoactive; Vasodilator</t>
  </si>
  <si>
    <t>Blood coagulation; Hemostasis; Inflammatory response</t>
  </si>
  <si>
    <t>Protease inhibitor; Thiol protease inhibitor; Vasoactive; Vasodilator</t>
  </si>
  <si>
    <t>antimicrobial humoral immune response mediated by antimicrobial peptide {GO:0061844}; blood coagulation {GO:0007596}; inflammatory response {GO:0006954}; killing of cells of another organism {GO:0031640}; negative regulation of blood coagulation {GO:0030195}; negative regulation of cell adhesion {GO:0007162}; negative regulation of endopeptidase activity {GO:0010951}; negative regulation of proteolysis {GO:0045861}; positive regulation of cytosolic calcium ion concentration {GO:0007204}; vasodilation {GO:0042311}</t>
  </si>
  <si>
    <t>collagen-containing extracellular matrix {GO:0062023}; extracellular region {GO:0005576}; extracellular space {GO:0005615}; intracellular membrane-bounded organelle {GO:0043231}; perikaryon {GO:0043204}</t>
  </si>
  <si>
    <t>cysteine-type endopeptidase inhibitor activity {GO:0004869}; endopeptidase inhibitor activity {GO:0004866}; protease binding {GO:0002020}; signaling receptor binding {GO:0005102}</t>
  </si>
  <si>
    <t>sp|Q60973|RBBP7_MOUSE</t>
  </si>
  <si>
    <t>Histone-binding protein RBBP7</t>
  </si>
  <si>
    <t>Histone acetyltransferase type B subunit 2; Nucleosome-remodeling factor subunit RBAP46; Retinoblastoma-binding protein 7 (RBBP-7); Retinoblastoma-binding protein p46</t>
  </si>
  <si>
    <t>RBBP7_MOUSE</t>
  </si>
  <si>
    <t>Q60973</t>
  </si>
  <si>
    <t>A2AFJ0; Q3UX20</t>
  </si>
  <si>
    <t>Rbap46</t>
  </si>
  <si>
    <t>MGI:1194910</t>
  </si>
  <si>
    <t>Acetylation; Chaperone; Chromatin regulator; DNA replication; Isopeptide bond; Nucleus; Phosphoprotein; Repeat; Repressor; Transcription; Transcription regulation; Ubl conjugation; WD repeat</t>
  </si>
  <si>
    <t>DNA replication; Transcription; Transcription regulation</t>
  </si>
  <si>
    <t>Chaperone; Chromatin regulator; Repressor</t>
  </si>
  <si>
    <t>brain development {GO:0007420}; cellular heat acclimation {GO:0070370}; chromatin remodeling {GO:0006338}; DNA replication {GO:0006260}; histone deacetylation {GO:0016575}; negative regulation of cell growth {GO:0030308}; negative regulation of cell migration {GO:0030336}; negative regulation of DNA-templated transcription {GO:0045892}; negative regulation of stem cell population maintenance {GO:1902455}; negative regulation of transcription by RNA polymerase II {GO:0000122}; negative regulation of transforming growth factor beta receptor signaling pathway {GO:0030512}; positive regulation of DNA-templated transcription {GO:0045893}; positive regulation of stem cell population maintenance {GO:1902459}; regulation of cell fate specification {GO:0042659}; regulation of DNA-templated transcription {GO:0006355}; regulation of stem cell differentiation {GO:2000736}; response to steroid hormone {GO:0048545}</t>
  </si>
  <si>
    <t>ATPase complex {GO:1904949}; chromosome, telomeric region {GO:0000781}; cytosol {GO:0005829}; ESC/E(Z) complex {GO:0035098}; histone deacetylase complex {GO:0000118}; nucleoplasm {GO:0005654}; nucleus {GO:0005634}; NuRD complex {GO:0016581}; NURF complex {GO:0016589}; Sin3 complex {GO:0016580}</t>
  </si>
  <si>
    <t>histone binding {GO:0042393}; RNA binding {GO:0003723}</t>
  </si>
  <si>
    <t>PRC2 methylates histones and DNA {R-MMU-212300}; Oxidative Stress Induced Senescence {R-MMU-2559580}; HDACs deacetylate histones {R-MMU-3214815}; PKMTs methylate histone lysines {R-MMU-3214841}; HATs acetylate histones {R-MMU-3214847}; RMTs methylate histone arginines {R-MMU-3214858}; Deposition of new CENPA-containing nucleosomes at the centromere {R-MMU-606279}; Regulation of TP53 Activity through Acetylation {R-MMU-6804758}; RNA Polymerase I Transcription Initiation {R-MMU-73762}; Regulation of PTEN gene transcription {R-MMU-8943724}; Neddylation {R-MMU-8951664}; Transcriptional Regulation by E2F6 {R-MMU-8953750}</t>
  </si>
  <si>
    <t>tr|B9EJ54|B9EJ54_MOUSE</t>
  </si>
  <si>
    <t>sp|Q8VBV7|CSN8_MOUSE</t>
  </si>
  <si>
    <t>COP9 signalosome complex subunit 8 (SGN8; Signalosome subunit 8)</t>
  </si>
  <si>
    <t>COP9 homolog; JAB1-containing signalosome subunit 8</t>
  </si>
  <si>
    <t>CSN8_MOUSE</t>
  </si>
  <si>
    <t>Q8VBV7</t>
  </si>
  <si>
    <t>Q3TRS9; Q80XF4; Q8R4D2</t>
  </si>
  <si>
    <t>Csn8</t>
  </si>
  <si>
    <t>MGI:1915363</t>
  </si>
  <si>
    <t>Cytoplasm; Nucleus; Phosphoprotein; Signalosome</t>
  </si>
  <si>
    <t>activation of NF-kappaB-inducing kinase activity {GO:0007250}; COP9 signalosome assembly {GO:0010387}; negative regulation of cell population proliferation {GO:0008285}; protein deneddylation {GO:0000338}; protein phosphorylation {GO:0006468}</t>
  </si>
  <si>
    <t>sp|Q9QZM0|UBQL2_MOUSE</t>
  </si>
  <si>
    <t>Ubiquilin-2</t>
  </si>
  <si>
    <t>Chap1; DSK2 homolog; Protein linking IAP with cytoskeleton 2 (PLIC-2); Ubiquitin-like product Chap1/Dsk2</t>
  </si>
  <si>
    <t>UBQL2_MOUSE</t>
  </si>
  <si>
    <t>Q9QZM0</t>
  </si>
  <si>
    <t>B1AY62; Q7TSJ8; Q8VDH9</t>
  </si>
  <si>
    <t>Plic2</t>
  </si>
  <si>
    <t>MGI:1860283</t>
  </si>
  <si>
    <t>Acetylation; Autophagy; Cytoplasm; Cytoplasmic vesicle; Membrane; Nucleus; Phosphoprotein; Repeat</t>
  </si>
  <si>
    <t>autophagosome assembly {GO:0000045}; negative regulation of clathrin-dependent endocytosis {GO:1900186}; negative regulation of G protein-coupled receptor internalization {GO:1904021}; positive regulation of ER-associated ubiquitin-dependent protein catabolic process {GO:1903071}; regulation of autophagosome assembly {GO:2000785}; regulation of macroautophagy {GO:0016241}; ubiquitin-dependent ERAD pathway {GO:0030433}; ubiquitin-dependent protein catabolic process {GO:0006511}</t>
  </si>
  <si>
    <t>autophagosome {GO:0005776}; cytoplasm {GO:0005737}; cytoplasmic vesicle {GO:0031410}; cytosol {GO:0005829}; nucleus {GO:0005634}; plasma membrane {GO:0005886}</t>
  </si>
  <si>
    <t>identical protein binding {GO:0042802}; molecular condensate scaffold activity {GO:0140693}; polyubiquitin modification-dependent protein binding {GO:0031593}</t>
  </si>
  <si>
    <t>Cargo recognition for clathrin-mediated endocytosis {R-MMU-8856825}</t>
  </si>
  <si>
    <t>sp|Q9Z2N8|ACL6A_MOUSE</t>
  </si>
  <si>
    <t>Actin-like protein 6A</t>
  </si>
  <si>
    <t>53 kDa BRG1-associated factor A; Actin-related protein Baf53a; BRG1-associated factor 53A (BAF53A)</t>
  </si>
  <si>
    <t>ACL6A_MOUSE</t>
  </si>
  <si>
    <t>Q9Z2N8</t>
  </si>
  <si>
    <t>Q8C1W3; Q99M56</t>
  </si>
  <si>
    <t>Actl6; Baf53a</t>
  </si>
  <si>
    <t>MGI:1861453</t>
  </si>
  <si>
    <t>Acetylation; Activator; Chromatin regulator; DNA damage; DNA recombination; DNA repair; Growth regulation; Isopeptide bond; Neurogenesis; Nucleus; Phosphoprotein; Transcription; Transcription regulation; Ubl conjugation</t>
  </si>
  <si>
    <t>DNA damage; DNA recombination; DNA repair; Growth regulation; Neurogenesis; Transcription; Transcription regulation</t>
  </si>
  <si>
    <t>blastocyst formation {GO:0001825}; chromatin remodeling {GO:0006338}; DNA recombination {GO:0006310}; DNA repair {GO:0006281}; histone acetylation {GO:0016573}; histone exchange {GO:0043486}; histone H2A acetylation {GO:0043968}; histone H4 acetylation {GO:0043967}; negative regulation of cell differentiation {GO:0045596}; nervous system development {GO:0007399}; neural retina development {GO:0003407}; positive regulation of cell differentiation {GO:0045597}; positive regulation of cell population proliferation {GO:0008284}; positive regulation of DNA repair {GO:0045739}; positive regulation of DNA-templated transcription {GO:0045893}; positive regulation of double-strand break repair {GO:2000781}; positive regulation of double-strand break repair via homologous recombination {GO:1905168}; positive regulation of myoblast differentiation {GO:0045663}; positive regulation of stem cell population maintenance {GO:1902459}; positive regulation of T cell differentiation {GO:0045582}; positive regulation of telomere maintenance in response to DNA damage {GO:1904507}; regulation of apoptotic process {GO:0042981}; regulation of cell cycle {GO:0051726}; regulation of chromosome organization {GO:0033044}; regulation of DNA repair {GO:0006282}; regulation of DNA replication {GO:0006275}; regulation of DNA strand elongation {GO:0060382}; regulation of DNA-templated transcription {GO:0006355}; regulation of double-strand break repair {GO:2000779}; regulation of embryonic development {GO:0045995};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{GO:0006357}; spinal cord development {GO:0021510}; telomere maintenance {GO:0000723}</t>
  </si>
  <si>
    <t>brahma complex {GO:0035060}; chromatin {GO:0000785}; GBAF complex {GO:0140288}; Ino80 complex {GO:0031011}; kinetochore {GO:0000776}; npBAF complex {GO:0071564}; NuA4 histone acetyltransferase complex {GO:0035267}; nuclear matrix {GO:0016363}; nucleoplasm {GO:0005654}; nucleosome {GO:0000786}; nucleus {GO:0005634}; plasma membrane {GO:0005886}; RSC-type complex {GO:0016586}; SWI/SNF complex {GO:0016514}</t>
  </si>
  <si>
    <t>chromatin binding {GO:0003682}</t>
  </si>
  <si>
    <t>RMTs methylate histone arginines {R-MMU-3214858}; UCH proteinases {R-MMU-5689603}; DNA Damage Recognition in GG-NER {R-MMU-5696394}; RUNX1 interacts with co-factors whose precise effect on RUNX1 targets is not known {R-MMU-8939243}</t>
  </si>
  <si>
    <t>sp|P08775|RPB1_MOUSE</t>
  </si>
  <si>
    <t>DNA-directed RNA polymerase II subunit RPB1 (RNA polymerase II subunit B1)</t>
  </si>
  <si>
    <t>DNA-directed RNA polymerase II subunit A; DNA-directed RNA polymerase III largest subunit</t>
  </si>
  <si>
    <t>RPB1_MOUSE</t>
  </si>
  <si>
    <t>P08775</t>
  </si>
  <si>
    <t>Q5F298</t>
  </si>
  <si>
    <t>Rpii215; Rpo2-1</t>
  </si>
  <si>
    <t>MGI:98086</t>
  </si>
  <si>
    <t>Acetylation; Chromosome; Cytoplasm; DNA-binding; DNA-directed RNA polymerase; Magnesium; Metal-binding; Methylation; Nucleotidyltransferase; Nucleus; Phosphoprotein; Repeat; Transcription; Transferase; Ubl conjugation; Zinc</t>
  </si>
  <si>
    <t>Transcription</t>
  </si>
  <si>
    <t>Chromosome; Cytoplasm; DNA-directed RNA polymerase; Nucleus</t>
  </si>
  <si>
    <t>Magnesium; Metal-binding; Zinc</t>
  </si>
  <si>
    <t>DNA-binding; Nucleotidyltransferase; Transferase</t>
  </si>
  <si>
    <t>cellular response to oxygen levels {GO:0071453}; DNA-templated transcription termination {GO:0006353}; positive regulation of RNA splicing {GO:0033120}; response to organic cyclic compound {GO:0014070}; transcription by RNA polymerase II {GO:0006366}</t>
  </si>
  <si>
    <t>cytoplasm {GO:0005737}; euchromatin {GO:0000791}; nucleoplasm {GO:0005654}; nucleus {GO:0005634}; Prp19 complex {GO:0000974}; RNA polymerase II, core complex {GO:0005665}</t>
  </si>
  <si>
    <t>core promoter sequence-specific DNA binding {GO:0001046}; DNA binding {GO:0003677}; DNA-directed 5'-3' RNA polymerase activity {GO:0003899}; kinase binding {GO:0019900}; metal ion binding {GO:0046872}; promoter-specific chromatin binding {GO:1990841}; protein C-terminus binding {GO:0008022}; ubiquitin protein ligase binding {GO:0031625}</t>
  </si>
  <si>
    <t>Formation of RNA Pol II elongation complex {R-MMU-112382}; Formation of the Early Elongation Complex {R-MMU-113418}; RNA Polymerase II Pre-transcription Events {R-MMU-674695}; Formation of TC-NER Pre-Incision Complex {R-MMU-6781823}; Dual incision in TC-NER {R-MMU-6782135}; Gap-filling DNA repair synthesis and ligation in TC-NER {R-MMU-6782210}; TP53 Regulates Transcription of DNA Repair Genes {R-MMU-6796648}; FGFR2 alternative splicing {R-MMU-6803529}; RNA polymerase II transcribes snRNA genes {R-MMU-6807505}; mRNA Capping {R-MMU-72086}; mRNA Splicing - Major Pathway {R-MMU-72163}; mRNA Splicing - Minor Pathway {R-MMU-72165}; Processing of Capped Intron-Containing Pre-mRNA {R-MMU-72203}; RNA Polymerase II Promoter Escape {R-MMU-73776}; RNA Polymerase II Transcription Pre-Initiation And Promoter Opening {R-MMU-73779}; RNA Polymerase II Transcription Initiation {R-MMU-75953}; RNA Polymerase II Transcription Elongation {R-MMU-75955}; RNA Polymerase II Transcription Initiation And Promoter Clearance {R-MMU-76042}; RNA Pol II CTD phosphorylation and interaction with CE {R-MMU-77075}; Estrogen-dependent gene expression {R-MMU-9018519}</t>
  </si>
  <si>
    <t>sp|Q61239|FNTA_MOUSE</t>
  </si>
  <si>
    <t>Protein farnesyltransferase/geranylgeranyltransferase type-1 subunit alpha</t>
  </si>
  <si>
    <t>CAAX farnesyltransferase subunit alpha; FTase-alpha; Ras proteins prenyltransferase subunit alpha; Type I protein geranyl-geranyltransferase subunit alpha (GGTase-I-alpha)</t>
  </si>
  <si>
    <t>FNTA_MOUSE</t>
  </si>
  <si>
    <t>Q61239</t>
  </si>
  <si>
    <t>Q921F7</t>
  </si>
  <si>
    <t>MGI:104683</t>
  </si>
  <si>
    <t>Acetylation; Magnesium; Phosphoprotein; Prenyltransferase; Repeat; Transferase</t>
  </si>
  <si>
    <t>Magnesium</t>
  </si>
  <si>
    <t>Prenyltransferase; Transferase</t>
  </si>
  <si>
    <t>negative regulation of apoptotic process {GO:0043066}; negative regulation of nitric-oxide synthase biosynthetic process {GO:0051771}; neurotransmitter receptor metabolic process {GO:0045213}; positive regulation of cell cycle {GO:0045787}; positive regulation of cell population proliferation {GO:0008284}; positive regulation of deacetylase activity {GO:0090045}; positive regulation of nitric-oxide synthase biosynthetic process {GO:0051770}; positive regulation of tubulin deacetylation {GO:0090044}; protein farnesylation {GO:0018343}; protein geranylgeranylation {GO:0018344}; response to cytokine {GO:0034097}; response to inorganic substance {GO:0010035}; response to organic cyclic compound {GO:0014070}</t>
  </si>
  <si>
    <t>CAAX-protein geranylgeranyltransferase complex {GO:0005953}; cytoplasm {GO:0005737}; microtubule associated complex {GO:0005875}; protein farnesyltransferase complex {GO:0005965}</t>
  </si>
  <si>
    <t>acetylcholine receptor regulator activity {GO:0030548}; alpha-tubulin binding {GO:0043014}; CAAX-protein geranylgeranyltransferase activity {GO:0004662}; heterocyclic compound binding {GO:1901363}; microtubule binding {GO:0008017}; peptide binding {GO:0042277}; protein farnesyltransferase activity {GO:0004660}; protein geranylgeranyltransferase activity {GO:0004661}; Rab geranylgeranyltransferase activity {GO:0004663}; receptor tyrosine kinase binding {GO:0030971}; small molecule binding {GO:0036094}; zinc ion binding {GO:0008270}</t>
  </si>
  <si>
    <t>Apoptotic cleavage of cellular proteins {R-MMU-111465}; Inactivation, recovery and regulation of the phototransduction cascade {R-MMU-2514859}; RAS processing {R-MMU-9648002}</t>
  </si>
  <si>
    <t>sp|Q8K0E8|FIBB_MOUSE</t>
  </si>
  <si>
    <t>Fibrinogen beta chain</t>
  </si>
  <si>
    <t>FIBB_MOUSE</t>
  </si>
  <si>
    <t>Q8K0E8</t>
  </si>
  <si>
    <t>Q91ZP1</t>
  </si>
  <si>
    <t>MGI:99501</t>
  </si>
  <si>
    <t>Adaptive immunity; Blood coagulation; Coiled coil; Disulfide bond; Glycoprotein; Hemostasis; Immunity; Innate immunity; Secreted; Signal</t>
  </si>
  <si>
    <t>Adaptive immunity; Blood coagulation; Hemostasis; Immunity; Innate immunity</t>
  </si>
  <si>
    <t>adaptive immune response {GO:0002250}; blood coagulation, fibrin clot formation {GO:0072378}; cell adhesion {GO:0007155}; cell-matrix adhesion {GO:0007160}; cellular response to interleukin-1 {GO:0071347}; cellular response to leptin stimulus {GO:0044320}; fibrinolysis {GO:0042730}; induction of bacterial agglutination {GO:0043152}; innate immune response {GO:0045087}; negative regulation of endothelial cell apoptotic process {GO:2000352}; negative regulation of extrinsic apoptotic signaling pathway via death domain receptors {GO:1902042}; plasminogen activation {GO:0031639}; platelet aggregation {GO:0070527}; positive regulation of ERK1 and ERK2 cascade {GO:0070374}; positive regulation of exocytosis {GO:0045921}; positive regulation of heterotypic cell-cell adhesion {GO:0034116}; positive regulation of peptide hormone secretion {GO:0090277}; positive regulation of protein secretion {GO:0050714}; positive regulation of vasoconstriction {GO:0045907}; protein polymerization {GO:0051258}; protein-containing complex assembly {GO:0065003}; response to calcium ion {GO:0051592}</t>
  </si>
  <si>
    <t>blood microparticle {GO:0072562}; cell cortex {GO:0005938}; cell surface {GO:0009986}; collagen-containing extracellular matrix {GO:0062023}; cytoplasm {GO:0005737}; endoplasmic reticulum {GO:0005783}; external side of plasma membrane {GO:0009897}; extracellular space {GO:0005615}; fibrinogen complex {GO:0005577}; platelet alpha granule {GO:0031091}; synapse {GO:0045202}</t>
  </si>
  <si>
    <t>cell adhesion molecule binding {GO:0050839}; chaperone binding {GO:0051087}; signaling receptor binding {GO:0005102}; structural molecule activity {GO:0005198}</t>
  </si>
  <si>
    <t>Platelet degranulation {R-MMU-114608}; Common Pathway of Fibrin Clot Formation {R-MMU-140875}; Integrin cell surface interactions {R-MMU-216083}; Integrin signaling {R-MMU-354192}; GRB2:SOS provides linkage to MAPK signaling for Integrins {R-MMU-354194}; p130Cas linkage to MAPK signaling for integrins {R-MMU-372708}; MAP2K and MAPK activation {R-MMU-5674135}; Regulation of TLR by endogenous ligand {R-MMU-5686938}</t>
  </si>
  <si>
    <t>sp|Q91YR7|PRP6_MOUSE</t>
  </si>
  <si>
    <t>Pre-mRNA-processing factor 6</t>
  </si>
  <si>
    <t>PRP6 homolog; U5 snRNP-associated 102 kDa protein (U5-102 kDa protein)</t>
  </si>
  <si>
    <t>PRP6_MOUSE</t>
  </si>
  <si>
    <t>Q91YR7</t>
  </si>
  <si>
    <t>Q3ULJ7; Q542P0; Q8CIK9; Q8R3M8; Q99JN1; Q9CSZ0</t>
  </si>
  <si>
    <t>MGI:1922946</t>
  </si>
  <si>
    <t>3D-structure; Alternative splicing; mRNA processing; mRNA splicing; Nucleus; Phosphoprotein; Repeat; Spliceosome</t>
  </si>
  <si>
    <t>mRNA splicing, via spliceosome {GO:0000398}; positive regulation of transcription by RNA polymerase II {GO:0045944}; RNA localization {GO:0006403}; spliceosomal tri-snRNP complex assembly {GO:0000244}</t>
  </si>
  <si>
    <t>catalytic step 2 spliceosome {GO:0071013}; nuclear speck {GO:0016607}; nucleus {GO:0005634}; U2-type precatalytic spliceosome {GO:0071005}; U4/U6 x U5 tri-snRNP complex {GO:0046540}; U5 snRNP {GO:0005682}</t>
  </si>
  <si>
    <t>identical protein binding {GO:0042802}; nuclear androgen receptor binding {GO:0050681}; ribonucleoprotein complex binding {GO:0043021}; RNA binding {GO:0003723}; transcription coactivator activity {GO:0003713}</t>
  </si>
  <si>
    <t>sp|Q6PE01|SNR40_MOUSE</t>
  </si>
  <si>
    <t>U5 small nuclear ribonucleoprotein 40 kDa protein (U5 snRNP 40 kDa protein)</t>
  </si>
  <si>
    <t>WD repeat-containing protein 57</t>
  </si>
  <si>
    <t>SNR40_MOUSE</t>
  </si>
  <si>
    <t>Q6PE01</t>
  </si>
  <si>
    <t>Q3TEJ3; Q9DCX3</t>
  </si>
  <si>
    <t>Wdr57</t>
  </si>
  <si>
    <t>MGI:1913835</t>
  </si>
  <si>
    <t>Isopeptide bond; Methylation; mRNA processing; mRNA splicing; Nucleus; Repeat; Spliceosome; Ubl conjugation; WD repeat</t>
  </si>
  <si>
    <t>mRNA processing {GO:0006397}; RNA splicing {GO:0008380}</t>
  </si>
  <si>
    <t>catalytic step 2 spliceosome {GO:0071013}; cytosol {GO:0005829}; nuclear speck {GO:0016607}; U2-type catalytic step 2 spliceosome {GO:0071007}; U4/U6 x U5 tri-snRNP complex {GO:0046540}</t>
  </si>
  <si>
    <t>sp|B2RXS4|PLXB2_MOUSE</t>
  </si>
  <si>
    <t>Plexin-B2</t>
  </si>
  <si>
    <t>PLXB2_MOUSE</t>
  </si>
  <si>
    <t>B2RXS4</t>
  </si>
  <si>
    <t>Q3UH76</t>
  </si>
  <si>
    <t>MGI:2154239</t>
  </si>
  <si>
    <t>3D-structure; Cell membrane; Developmental protein; Disulfide bond; Glycoprotein; Membrane; Phosphoprotein; Receptor; Repeat; Signal; Transmembrane; Transmembrane helix</t>
  </si>
  <si>
    <t>brain development {GO:0007420}; excitatory synapse assembly {GO:1904861}; homophilic cell adhesion via plasma membrane adhesion molecules {GO:0007156}; negative regulation of cell adhesion {GO:0007162}; neural tube closure {GO:0001843}; neuroblast proliferation {GO:0007405}; positive regulation of axonogenesis {GO:0050772}; positive regulation of neuron projection development {GO:0010976}; positive regulation of translation {GO:0045727}; regulation of cell migration {GO:0030334}; regulation of cell shape {GO:0008360}; regulation of GTPase activity {GO:0043087}; regulation of neuron migration {GO:2001222}; regulation of protein phosphorylation {GO:0001932}; semaphorin-plexin signaling pathway {GO:0071526}; semaphorin-plexin signaling pathway involved in axon guidance {GO:1902287}</t>
  </si>
  <si>
    <t>collagen-containing extracellular matrix {GO:0062023}; integral component of plasma membrane {GO:0005887}; semaphorin receptor complex {GO:0002116}</t>
  </si>
  <si>
    <t>semaphorin receptor activity {GO:0017154}</t>
  </si>
  <si>
    <t>sp|Q62093|SRSF2_MOUSE</t>
  </si>
  <si>
    <t>Serine/arginine-rich splicing factor 2</t>
  </si>
  <si>
    <t>Protein PR264; Putative myelin regulatory factor 1 (MRF-1); Splicing component, 35 kDa; Splicing factor SC35 (SC-35); Splicing factor, arginine/serine-rich 2</t>
  </si>
  <si>
    <t>SRSF2_MOUSE</t>
  </si>
  <si>
    <t>Q62093</t>
  </si>
  <si>
    <t>Q542L3; Q60701</t>
  </si>
  <si>
    <t>Pr264; Sfrs10; Sfrs2</t>
  </si>
  <si>
    <t>MGI:98284</t>
  </si>
  <si>
    <t>Acetylation; mRNA processing; mRNA splicing; Nucleus; Phosphoprotein; RNA-binding</t>
  </si>
  <si>
    <t>mitotic cell cycle {GO:0000278}; mRNA splicing, via spliceosome {GO:0000398}; regulation of alternative mRNA splicing, via spliceosome {GO:0000381}; response to vitamin E {GO:0033197}</t>
  </si>
  <si>
    <t>cytoplasm {GO:0005737}; cytosol {GO:0005829}; interchromatin granule {GO:0035061}; nuclear speck {GO:0016607}; nucleoplasm {GO:0005654}; nucleus {GO:0005634}; perichromatin fibrils {GO:0005726}; spliceosomal complex {GO:0005681}</t>
  </si>
  <si>
    <t>pre-mRNA binding {GO:0036002}; protein kinase C binding {GO:0005080}; RNA binding {GO:0003723}</t>
  </si>
  <si>
    <t>sp|Q9D868|PPIH_MOUSE</t>
  </si>
  <si>
    <t>Peptidyl-prolyl cis-trans isomerase H (PPIase H)</t>
  </si>
  <si>
    <t>Rotamase H</t>
  </si>
  <si>
    <t>PPIH_MOUSE</t>
  </si>
  <si>
    <t>Q9D868</t>
  </si>
  <si>
    <t>Q9CQU7</t>
  </si>
  <si>
    <t>MGI:106499</t>
  </si>
  <si>
    <t>Acetylation; Alternative splicing; Chaperone; Cytoplasm; Isomerase; mRNA processing; mRNA splicing; Nucleus; Rotamase; Spliceosome</t>
  </si>
  <si>
    <t>mRNA processing {GO:0006397}; positive regulation of viral genome replication {GO:0045070}; protein folding {GO:0006457}; protein peptidyl-prolyl isomerization {GO:0000413}; RNA splicing {GO:0008380}</t>
  </si>
  <si>
    <t>cytoplasm {GO:0005737}; intracellular membrane-bounded organelle {GO:0043231}; nuclear speck {GO:0016607}; spliceosomal complex {GO:0005681}; U4/U6 snRNP {GO:0071001}; U4/U6 x U5 tri-snRNP complex {GO:0046540}</t>
  </si>
  <si>
    <t>cyclosporin A binding {GO:0016018}; peptidyl-prolyl cis-trans isomerase activity {GO:0003755}; ribonucleoprotein complex binding {GO:0043021}</t>
  </si>
  <si>
    <t>sp|Q9CQ69|QCR8_MOUSE</t>
  </si>
  <si>
    <t>Cytochrome b-c1 complex subunit 8</t>
  </si>
  <si>
    <t>Complex III subunit 8; Complex III subunit VIII; Ubiquinol-cytochrome c reductase complex 9.5 kDa protein; Ubiquinol-cytochrome c reductase complex ubiquinone-binding protein QP-C</t>
  </si>
  <si>
    <t>QCR8_MOUSE</t>
  </si>
  <si>
    <t>Q9CQ69</t>
  </si>
  <si>
    <t>MGI:107807</t>
  </si>
  <si>
    <t>cellular respiration {GO:0045333}; cerebellar Purkinje cell layer development {GO:0021680}; hippocampus development {GO:0021766}; hypothalamus development {GO:0021854}; midbrain development {GO:0030901}; mitochondrial electron transport, ubiquinol to cytochrome c {GO:0006122}; pons development {GO:0021548}; pyramidal neuron development {GO:0021860}; subthalamus development {GO:0021539}; thalamus development {GO:0021794}</t>
  </si>
  <si>
    <t>sp|Q61147|CERU_MOUSE</t>
  </si>
  <si>
    <t>Ceruloplasmin</t>
  </si>
  <si>
    <t>Ferroxidase</t>
  </si>
  <si>
    <t>CERU_MOUSE</t>
  </si>
  <si>
    <t>Q61147</t>
  </si>
  <si>
    <t>Q6P5C8</t>
  </si>
  <si>
    <t>MGI:88476</t>
  </si>
  <si>
    <t>Copper; Copper transport; Disulfide bond; Glycoprotein; Ion transport; Metal-binding; Oxidoreductase; Repeat; Secreted; Signal; Transport</t>
  </si>
  <si>
    <t>copper ion transport {GO:0006825}; iron ion homeostasis {GO:0055072}; iron ion transport {GO:0006826}; response to copper ion {GO:0046688}</t>
  </si>
  <si>
    <t>anchored component of plasma membrane {GO:0046658}; extracellular space {GO:0005615}; plasma membrane {GO:0005886}</t>
  </si>
  <si>
    <t>chaperone binding {GO:0051087}; copper ion binding {GO:0005507}; ferroxidase activity {GO:0004322}; oxidoreductase activity {GO:0016491}</t>
  </si>
  <si>
    <t>Regulation of Insulin-like Growth Factor (IGF) transport and uptake by Insulin-like Growth Factor Binding Proteins (IGFBPs) {R-MMU-381426}; Metal ion SLC transporters {R-MMU-425410}; Post-translational protein phosphorylation {R-MMU-8957275}; Iron uptake and transport {R-MMU-917937}</t>
  </si>
  <si>
    <t>sp|Q9DBP5|KCY_MOUSE</t>
  </si>
  <si>
    <t>UMP-CMP kinase</t>
  </si>
  <si>
    <t>Deoxycytidylate kinase (CK; dCMP kinase); Nucleoside-diphosphate kinase; Uridine monophosphate/cytidine monophosphate kinase (UMP/CMP kinase; UMP/CMPK)</t>
  </si>
  <si>
    <t>KCY_MOUSE</t>
  </si>
  <si>
    <t>Q9DBP5</t>
  </si>
  <si>
    <t>Q8BK17; Q8VD05; Q9DCS7</t>
  </si>
  <si>
    <t>Cmk; Cmpk; Uck; Umk; Umpk</t>
  </si>
  <si>
    <t>MGI:1913838</t>
  </si>
  <si>
    <t>Acetylation; ATP-binding; Cytoplasm; Isopeptide bond; Kinase; Nucleotide-binding; Nucleus; Phosphoprotein; Pyrimidine biosynthesis; Transferase; Ubl conjugation</t>
  </si>
  <si>
    <t>'de novo' pyrimidine nucleobase biosynthetic process {GO:0006207}; CDP biosynthetic process {GO:0046705}; dCDP biosynthetic process {GO:0006240}; dUDP biosynthetic process {GO:0006227}; nucleoside diphosphate phosphorylation {GO:0006165}; nucleoside triphosphate biosynthetic process {GO:0009142}; UDP biosynthetic process {GO:0006225}</t>
  </si>
  <si>
    <t>ATP binding {GO:0005524}; CMP kinase activity {GO:0036430}; cytidylate kinase activity {GO:0004127}; dCMP kinase activity {GO:0036431}; nucleoside diphosphate kinase activity {GO:0004550}; nucleoside monophosphate kinase activity {GO:0050145}; UMP kinase activity {GO:0033862}; uridylate kinase activity {GO:0009041}</t>
  </si>
  <si>
    <t>sp|Q9DCC4|P5CR3_MOUSE</t>
  </si>
  <si>
    <t>Pyrroline-5-carboxylate reductase 3 (P5C reductase 3; P5CR 3)</t>
  </si>
  <si>
    <t>Pyrroline-5-carboxylate reductase-like protein</t>
  </si>
  <si>
    <t>P5CR3_MOUSE</t>
  </si>
  <si>
    <t>Q9DCC4</t>
  </si>
  <si>
    <t>Q8R0P9; Q9D0X2</t>
  </si>
  <si>
    <t>Pycrl</t>
  </si>
  <si>
    <t>MGI:1913444</t>
  </si>
  <si>
    <t>Acetylation; Amino-acid biosynthesis; Cytoplasm; NADP; Oxidoreductase; Proline biosynthesis</t>
  </si>
  <si>
    <t>cytidine deamination {GO:0009972}; L-proline biosynthetic process {GO:0055129}</t>
  </si>
  <si>
    <t>cytosol {GO:0005829}; intercellular bridge {GO:0045171}; mitotic spindle {GO:0072686}</t>
  </si>
  <si>
    <t>cytidine deaminase activity {GO:0004126}; pyrroline-5-carboxylate reductase activity {GO:0004735}</t>
  </si>
  <si>
    <t>Amino-acid biosynthesis; L-proline biosynthesis; L-proline from L-glutamate 5-semialdehyde: step 1/1.</t>
  </si>
  <si>
    <t>sp|Q9D1J3|SARNP_MOUSE</t>
  </si>
  <si>
    <t>SAP domain-containing ribonucleoprotein</t>
  </si>
  <si>
    <t>Nuclear protein Hcc-1</t>
  </si>
  <si>
    <t>SARNP_MOUSE</t>
  </si>
  <si>
    <t>Q9D1J3</t>
  </si>
  <si>
    <t>Q3UJZ4; Q9CU18</t>
  </si>
  <si>
    <t>Hcc1</t>
  </si>
  <si>
    <t>MGI:1913368</t>
  </si>
  <si>
    <t>Acetylation; DNA-binding; mRNA transport; Nucleus; Phosphoprotein; RNA-binding; Transcription; Transcription regulation; Translation regulation; Transport</t>
  </si>
  <si>
    <t>Transcription; Transcription regulation; Translation regulation; Transport; mRNA transport</t>
  </si>
  <si>
    <t>mRNA export from nucleus {GO:0006406}; negative regulation of transcription by RNA polymerase II {GO:0000122}; poly(A)+ mRNA export from nucleus {GO:0016973}; regulation of translation {GO:0006417}</t>
  </si>
  <si>
    <t>cytoplasmic ribonucleoprotein granule {GO:0036464}; nuclear speck {GO:0016607}; nucleus {GO:0005634}; transcription export complex {GO:0000346}</t>
  </si>
  <si>
    <t>chromatin binding {GO:0003682}; DNA binding {GO:0003677}; RNA binding {GO:0003723}</t>
  </si>
  <si>
    <t>Transport of Mature mRNA derived from an Intron-Containing Transcript {R-MMU-159236}; mRNA 3'-end processing {R-MMU-72187}; RNA Polymerase II Transcription Termination {R-MMU-73856}</t>
  </si>
  <si>
    <t>sp|P47758|SRPRB_MOUSE</t>
  </si>
  <si>
    <t>Signal recognition particle receptor subunit beta (SR-beta)</t>
  </si>
  <si>
    <t>SRPRB_MOUSE</t>
  </si>
  <si>
    <t>P47758</t>
  </si>
  <si>
    <t>Q544X9; Q9D872</t>
  </si>
  <si>
    <t>MGI:102964</t>
  </si>
  <si>
    <t>3D-structure; Endoplasmic reticulum; GTP-binding; Membrane; Nucleotide-binding; Phosphoprotein; Receptor; Transmembrane; Transmembrane helix</t>
  </si>
  <si>
    <t>protein targeting to ER {GO:0045047}; SRP-dependent cotranslational protein targeting to membrane, signal sequence recognition {GO:0006617}</t>
  </si>
  <si>
    <t>cytoplasm {GO:0005737}; cytoplasmic microtubule {GO:0005881}; integral component of membrane {GO:0016021}; membrane {GO:0016020}; signal recognition particle receptor complex {GO:0005785}</t>
  </si>
  <si>
    <t>GTP binding {GO:0005525}; ubiquitin protein ligase binding {GO:0031625}</t>
  </si>
  <si>
    <t>tr|A2AJ72|A2AJ72_MOUSE</t>
  </si>
  <si>
    <t>sp|Q9JLB0|PALS2_MOUSE</t>
  </si>
  <si>
    <t>Protein PALS2</t>
  </si>
  <si>
    <t>Dlgh4 protein; MAGUK p55 subfamily member 6; P55T protein; Protein associated with Lin-7 2</t>
  </si>
  <si>
    <t>PALS2_MOUSE</t>
  </si>
  <si>
    <t>Q9JLB0</t>
  </si>
  <si>
    <t>Q9JLB1; Q9WV37</t>
  </si>
  <si>
    <t>MGI:1927340</t>
  </si>
  <si>
    <t>Alternative splicing; Membrane; Phosphoprotein; Repeat; SH3 domain</t>
  </si>
  <si>
    <t>guanylate kinase activity {GO:0004385}</t>
  </si>
  <si>
    <t>sp|Q8C854|MYEF2_MOUSE</t>
  </si>
  <si>
    <t>Myelin expression factor 2 (MEF-2; MyEF-2)</t>
  </si>
  <si>
    <t>MYEF2_MOUSE</t>
  </si>
  <si>
    <t>Q8C854</t>
  </si>
  <si>
    <t>Q60690; Q6P930; Q6ZPT3; Q8QZZ1</t>
  </si>
  <si>
    <t>Kiaa1341; Mef2</t>
  </si>
  <si>
    <t>MGI:104592</t>
  </si>
  <si>
    <t>Alternative splicing; DNA-binding; Isopeptide bond; Methylation; Nucleus; Phosphoprotein; Repeat; Repressor; RNA-binding; Transcription; Ubl conjugation</t>
  </si>
  <si>
    <t>negative regulation of transcription by RNA polymerase II {GO:0000122}; regulation of mRNA stability involved in response to oxidative stress {GO:2000815}</t>
  </si>
  <si>
    <t>cytoplasm {GO:0005737}; nucleus {GO:0005634}; post-mRNA release spliceosomal complex {GO:0071014}; ribonucleoprotein complex {GO:1990904}</t>
  </si>
  <si>
    <t>DNA-binding transcription repressor activity, RNA polymerase II-specific {GO:0001227}; mRNA binding {GO:0003729}; RNA polymerase II cis-regulatory region sequence-specific DNA binding {GO:0000978}; single-stranded DNA binding {GO:0003697}</t>
  </si>
  <si>
    <t>sp|Q8CCS6|PABP2_MOUSE</t>
  </si>
  <si>
    <t>Polyadenylate-binding protein 2 (PABP-2; Poly(A)-binding protein 2)</t>
  </si>
  <si>
    <t>Nuclear poly(A)-binding protein 1; Poly(A)-binding protein II (PABII); Polyadenylate-binding nuclear protein 1</t>
  </si>
  <si>
    <t>PABP2_MOUSE</t>
  </si>
  <si>
    <t>Q8CCS6</t>
  </si>
  <si>
    <t>O35935</t>
  </si>
  <si>
    <t>Pab2; Pabp2</t>
  </si>
  <si>
    <t>MGI:1859158</t>
  </si>
  <si>
    <t>Acetylation; Alternative splicing; Coiled coil; Cytoplasm; Methylation; mRNA processing; Nucleus; Phosphoprotein; RNA-binding</t>
  </si>
  <si>
    <t>mRNA processing</t>
  </si>
  <si>
    <t>cellular response to lipopolysaccharide {GO:0071222}; MAPK cascade {GO:0000165}; mRNA polyadenylation {GO:0006378}; poly(A)+ mRNA export from nucleus {GO:0016973}; positive regulation of polynucleotide adenylyltransferase activity {GO:1904247}</t>
  </si>
  <si>
    <t>cytoplasm {GO:0005737}; nuclear inclusion body {GO:0042405}; nuclear speck {GO:0016607}; nucleus {GO:0005634}; ribonucleoprotein complex {GO:1990904}</t>
  </si>
  <si>
    <t>poly(A) binding {GO:0008143}; protein self-association {GO:0043621}; RNA polymerase binding {GO:0070063}</t>
  </si>
  <si>
    <t>sp|Q9CQB5|CISD2_MOUSE</t>
  </si>
  <si>
    <t>CDGSH iron-sulfur domain-containing protein 2</t>
  </si>
  <si>
    <t>MitoNEET-related 1 protein (Miner1); Nervous system overexpressed protein 70</t>
  </si>
  <si>
    <t>CISD2_MOUSE</t>
  </si>
  <si>
    <t>Q9CQB5</t>
  </si>
  <si>
    <t>Q9D0Y0</t>
  </si>
  <si>
    <t>Cdgsh2; Noxp70; Zcd2</t>
  </si>
  <si>
    <t>MGI:1914256</t>
  </si>
  <si>
    <t>2Fe-2S; Autophagy; Endoplasmic reticulum; Iron; Iron-sulfur; Membrane; Metal-binding; Mitochondrion; Mitochondrion outer membrane; Transmembrane; Transmembrane helix</t>
  </si>
  <si>
    <t>autophagy of mitochondrion {GO:0000422}; regulation of autophagy {GO:0010506}</t>
  </si>
  <si>
    <t>endoplasmic reticulum {GO:0005783}; endoplasmic reticulum membrane {GO:0005789}; integral component of membrane {GO:0016021}; mitochondrial outer membrane {GO:0005741}; perinuclear endoplasmic reticulum {GO:0097038}; perinuclear region of cytoplasm {GO:0048471}; protein-containing complex {GO:0032991}</t>
  </si>
  <si>
    <t>2 iron, 2 sulfur cluster binding {GO:0051537}; metal ion binding {GO:0046872}; protein homodimerization activity {GO:0042803}</t>
  </si>
  <si>
    <t>sp|Q6NVF9|CPSF6_MOUSE</t>
  </si>
  <si>
    <t>Cleavage and polyadenylation specificity factor subunit 6</t>
  </si>
  <si>
    <t>CPSF6_MOUSE</t>
  </si>
  <si>
    <t>Q6NVF9</t>
  </si>
  <si>
    <t>Q8BX86; Q8BXI8</t>
  </si>
  <si>
    <t>MGI:1913948</t>
  </si>
  <si>
    <t>Cytoplasm; Methylation; mRNA processing; Nucleus; Phosphoprotein; RNA-binding</t>
  </si>
  <si>
    <t>messenger ribonucleoprotein complex assembly {GO:1990120}; mRNA 3'-end processing {GO:0031124}; mRNA alternative polyadenylation {GO:0110104}; mRNA processing {GO:0006397}; positive regulation of RNA export from nucleus {GO:0046833}; pre-mRNA cleavage required for polyadenylation {GO:0098789}; protein heterotetramerization {GO:0051290}; protein tetramerization {GO:0051262}</t>
  </si>
  <si>
    <t>cytoplasm {GO:0005737}; interchromatin granule {GO:0035061}; mRNA cleavage and polyadenylation specificity factor complex {GO:0005847}; mRNA cleavage factor complex {GO:0005849}; nuclear speck {GO:0016607}; nucleoplasm {GO:0005654}; nucleus {GO:0005634}; paraspeckles {GO:0042382}; perichromatin fibrils {GO:0005726}; ribonucleoprotein complex {GO:1990904}</t>
  </si>
  <si>
    <t>exon-exon junction complex binding {GO:1990448}; mRNA binding {GO:0003729}; ribosomal large subunit binding {GO:0043023}; RNA binding {GO:0003723}</t>
  </si>
  <si>
    <t>sp|Q9R020|ZRAB2_MOUSE</t>
  </si>
  <si>
    <t>Zinc finger Ran-binding domain-containing protein 2</t>
  </si>
  <si>
    <t>Zinc finger protein 265; Zinc finger, splicing</t>
  </si>
  <si>
    <t>ZRAB2_MOUSE</t>
  </si>
  <si>
    <t>Q9R020</t>
  </si>
  <si>
    <t>Q3TI29; Q3TLF5; Q3TUB7; Q3UD16</t>
  </si>
  <si>
    <t>Zfp265; Zis; Znf265</t>
  </si>
  <si>
    <t>MGI:1858211</t>
  </si>
  <si>
    <t>Acetylation; Alternative splicing; Metal-binding; mRNA processing; mRNA splicing; Nucleus; Phosphoprotein; Repeat; RNA-binding; Zinc; Zinc-finger</t>
  </si>
  <si>
    <t>lipopolysaccharide binding {GO:0001530}; metal ion binding {GO:0046872}; RNA binding {GO:0003723}</t>
  </si>
  <si>
    <t>sp|Q8BK63|KC1A_MOUSE</t>
  </si>
  <si>
    <t>Casein kinase I isoform alpha (CKI-alpha)</t>
  </si>
  <si>
    <t>CK1</t>
  </si>
  <si>
    <t>KC1A_MOUSE</t>
  </si>
  <si>
    <t>Q8BK63</t>
  </si>
  <si>
    <t>Q3UIL0; Q64506; Q80XI2; Q99LY3</t>
  </si>
  <si>
    <t>MGI:1934950</t>
  </si>
  <si>
    <t>Acetylation; Alternative splicing; ATP-binding; Cell cycle; Cell division; Cell projection; Centromere; Chromosome; Cytoplasm; Cytoskeleton; Kinase; Kinetochore; Mitosis; Nucleotide-binding; Nucleus; Phosphoprotein; Serine/threonine-protein kinase; Transferase; Wnt signaling pathway</t>
  </si>
  <si>
    <t>Cell cycle; Cell division; Mitosis; Wnt signaling pathway</t>
  </si>
  <si>
    <t>Cell projection; Centromere; Chromosome; Cytoplasm; Cytoskeleton; Kinetochore; Nucleus</t>
  </si>
  <si>
    <t>cell cycle {GO:0007049}; cell division {GO:0051301}; cell morphogenesis {GO:0000902}; Golgi organization {GO:0007030}; intermediate filament cytoskeleton organization {GO:0045104}; negative regulation of canonical Wnt signaling pathway {GO:0090090}; peptidyl-serine phosphorylation {GO:0018105}; positive regulation of proteasomal ubiquitin-dependent protein catabolic process {GO:0032436}; proteasome-mediated ubiquitin-dependent protein catabolic process {GO:0043161}; protein phosphorylation {GO:0006468}; regulation of GTP binding {GO:1904424}; signal transduction {GO:0007165}; Wnt signaling pathway {GO:0016055}</t>
  </si>
  <si>
    <t>beta-catenin destruction complex {GO:0030877}; centrosome {GO:0005813}; ciliary basal body {GO:0036064}; cilium {GO:0005929}; cytoplasm {GO:0005737}; cytosol {GO:0005829}; keratin filament {GO:0045095}; kinetochore {GO:0000776}; mRNA cleavage and polyadenylation specificity factor complex {GO:0005847}; nuclear speck {GO:0016607}; nucleus {GO:0005634}; ribonucleoprotein complex {GO:1990904}; spindle {GO:0005819}</t>
  </si>
  <si>
    <t>ATP binding {GO:0005524}; magnesium ion binding {GO:0000287}; peptide binding {GO:0042277}; phosphoprotein binding {GO:0051219}; protein kinase activity {GO:0004672}; protein serine kinase activity {GO:0106310}; protein serine/threonine kinase activity {GO:0004674}</t>
  </si>
  <si>
    <t>Degradation of beta-catenin by the destruction complex {R-MMU-195253}; Beta-catenin phosphorylation cascade {R-MMU-196299}; Disassembly of the destruction complex and recruitment of AXIN to the membrane {R-MMU-4641262}; GLI3 is processed to GLI3R by the proteasome {R-MMU-5610785}; Activation of SMO {R-MMU-5635838}</t>
  </si>
  <si>
    <t>sp|Q9WUP7|UCHL5_MOUSE</t>
  </si>
  <si>
    <t>Ubiquitin carboxyl-terminal hydrolase isozyme L5 (UCH-L5)</t>
  </si>
  <si>
    <t>Ubiquitin C-terminal hydrolase UCH37; Ubiquitin thioesterase L5</t>
  </si>
  <si>
    <t>UCHL5_MOUSE</t>
  </si>
  <si>
    <t>Q9WUP7</t>
  </si>
  <si>
    <t>Q9CVJ4; Q9CXZ3; Q9R107</t>
  </si>
  <si>
    <t>Uch37</t>
  </si>
  <si>
    <t>MGI:1914848</t>
  </si>
  <si>
    <t>3D-structure; Acetylation; Alternative splicing; Cytoplasm; DNA damage; DNA recombination; DNA repair; Hydrolase; Nucleus; Protease; Proteasome; Thiol protease; Transcription; Transcription regulation; Ubl conjugation pathway</t>
  </si>
  <si>
    <t>DNA damage; DNA recombination; DNA repair; Transcription; Transcription regulation; Ubl conjugation pathway</t>
  </si>
  <si>
    <t>chromatin remodeling {GO:0006338}; DNA recombination {GO:0006310}; DNA repair {GO:0006281}; forebrain morphogenesis {GO:0048853}; lateral ventricle development {GO:0021670}; midbrain development {GO:0030901}; negative regulation of proteasomal ubiquitin-dependent protein catabolic process {GO:0032435}; positive regulation of DNA repair {GO:0045739}; positive regulation of DNA-templated transcription {GO:0045893}; positive regulation of smoothened signaling pathway {GO:0045880}; positive regulation of telomere maintenance in response to DNA damage {GO:1904507}; protein deubiquitination {GO:0016579}; regulation of cell cycle {GO:0051726}; regulation of chromosome organization {GO:0033044}; regulation of DNA repair {GO:0006282}; regulation of DNA replication {GO:0006275}; regulation of DNA strand elongation {GO:0060382}; regulation of embryonic development {GO:0045995}; regulation of proteasomal protein catabolic process {GO:0061136}; telomere maintenance {GO:0000723}; ubiquitin-dependent protein catabolic process {GO:0006511}</t>
  </si>
  <si>
    <t>cytoplasm {GO:0005737}; cytosol {GO:0005829}; cytosolic proteasome complex {GO:0031597}; Ino80 complex {GO:0031011}; nucleolus {GO:0005730}; nucleoplasm {GO:0005654}; nucleus {GO:0005634}</t>
  </si>
  <si>
    <t>sp|P50544|ACADV_MOUSE</t>
  </si>
  <si>
    <t>Very long-chain specific acyl-CoA dehydrogenase, mitochondrial</t>
  </si>
  <si>
    <t>MVLCAD (VLCAD)</t>
  </si>
  <si>
    <t>ACADV_MOUSE</t>
  </si>
  <si>
    <t>P50544</t>
  </si>
  <si>
    <t>O35289; O55133</t>
  </si>
  <si>
    <t>MGI:895149</t>
  </si>
  <si>
    <t>Acetylation; FAD; Fatty acid metabolism; Flavoprotein; Lipid metabolism; Membrane; Mitochondrion; Mitochondrion inner membrane; Oxidoreductase; Phosphoprotein; S-nitrosylation; Transit peptide</t>
  </si>
  <si>
    <t>epithelial cell differentiation {GO:0030855}; fatty acid beta-oxidation {GO:0006635}; fatty acid beta-oxidation using acyl-CoA dehydrogenase {GO:0033539}; fatty acid catabolic process {GO:0009062}; negative regulation of fatty acid biosynthetic process {GO:0045717}; negative regulation of fatty acid oxidation {GO:0046322}; regulation of cholesterol metabolic process {GO:0090181}; response to cold {GO:0009409}; temperature homeostasis {GO:0001659}</t>
  </si>
  <si>
    <t>extrinsic component of mitochondrial inner membrane {GO:0031314}; mitochondrial inner membrane {GO:0005743}; mitochondrial membrane {GO:0031966}; mitochondrial nucleoid {GO:0042645}; mitochondrion {GO:0005739}; nucleolus {GO:0005730}; nucleoplasm {GO:0005654}</t>
  </si>
  <si>
    <t>acyl-CoA dehydrogenase activity {GO:0003995}; fatty-acyl-CoA binding {GO:0000062}; flavin adenine dinucleotide binding {GO:0050660}; identical protein binding {GO:0042802}; long-chain-acyl-CoA dehydrogenase activity {GO:0004466}; very-long-chain-acyl-CoA dehydrogenase activity {GO:0017099}</t>
  </si>
  <si>
    <t>Beta oxidation of palmitoyl-CoA to myristoyl-CoA {R-MMU-77305}</t>
  </si>
  <si>
    <t>sp|Q9QXB9|DRG2_MOUSE</t>
  </si>
  <si>
    <t>Developmentally-regulated GTP-binding protein 2 (DRG-2)</t>
  </si>
  <si>
    <t>Translation factor GTPase DRG2 (TRAFAC GTPase DRG2)</t>
  </si>
  <si>
    <t>DRG2_MOUSE</t>
  </si>
  <si>
    <t>Q9QXB9</t>
  </si>
  <si>
    <t>Q5SX94</t>
  </si>
  <si>
    <t>MGI:1342307</t>
  </si>
  <si>
    <t>Cytoplasm; GTP-binding; Hydrolase; Hydroxylation; Magnesium; Metal-binding; Nucleotide-binding; Nucleus; Ubl conjugation</t>
  </si>
  <si>
    <t>Hydroxylation; Ubl conjugation</t>
  </si>
  <si>
    <t>cytoplasm {GO:0005737}; cytosol {GO:0005829}; intracellular membrane-bounded organelle {GO:0043231}; mitochondrion {GO:0005739}; nucleoplasm {GO:0005654}; nucleus {GO:0005634}</t>
  </si>
  <si>
    <t>GTP binding {GO:0005525}; GTPase activity {GO:0003924}; metal ion binding {GO:0046872}; RNA binding {GO:0003723}</t>
  </si>
  <si>
    <t>sp|P56380|AP4A_MOUSE</t>
  </si>
  <si>
    <t>Bis(5'-nucleosyl)-tetraphosphatase [asymmetrical]</t>
  </si>
  <si>
    <t>Diadenosine 5',5'''-P1,P4-tetraphosphate asymmetrical hydrolase (Ap4A hydrolase; Ap4Aase; Diadenosine tetraphosphatase); Nucleoside diphosphate-linked moiety X motif 2 (Nudix motif 2)</t>
  </si>
  <si>
    <t>AP4A_MOUSE</t>
  </si>
  <si>
    <t>P56380</t>
  </si>
  <si>
    <t>Q9D2U6; Q9D6V2</t>
  </si>
  <si>
    <t>Apah1</t>
  </si>
  <si>
    <t>MGI:1913651</t>
  </si>
  <si>
    <t>Acetylation; GTP-binding; Hydrolase; Nucleotide-binding</t>
  </si>
  <si>
    <t>AMP biosynthetic process {GO:0006167}; apoptotic process {GO:0006915}; ATP biosynthetic process {GO:0006754}</t>
  </si>
  <si>
    <t>bis(5'-nucleosyl)-tetraphosphatase (asymmetrical) activity {GO:0004081}; GTP binding {GO:0005525}</t>
  </si>
  <si>
    <t>sp|Q9CR41|HYPK_MOUSE</t>
  </si>
  <si>
    <t>Huntingtin-interacting protein K</t>
  </si>
  <si>
    <t>Huntingtin yeast partner K</t>
  </si>
  <si>
    <t>HYPK_MOUSE</t>
  </si>
  <si>
    <t>Q9CR41</t>
  </si>
  <si>
    <t>Q3TH09; Q8VDK6</t>
  </si>
  <si>
    <t>MGI:1914943</t>
  </si>
  <si>
    <t>Alternative splicing; Coiled coil; Cytoplasm; Nucleus; Phosphoprotein</t>
  </si>
  <si>
    <t>negative regulation of apoptotic process {GO:0043066}; protein stabilization {GO:0050821}</t>
  </si>
  <si>
    <t>cytoplasm {GO:0005737}; microtubule cytoskeleton {GO:0015630}; nucleoplasm {GO:0005654}; nucleus {GO:0005634}; protein-containing complex {GO:0032991}</t>
  </si>
  <si>
    <t>protein folding chaperone {GO:0044183}; protein N-terminus binding {GO:0047485}</t>
  </si>
  <si>
    <t>sp|Q8CD92|TTC27_MOUSE</t>
  </si>
  <si>
    <t>Tetratricopeptide repeat protein 27 (TPR repeat protein 27)</t>
  </si>
  <si>
    <t>TTC27_MOUSE</t>
  </si>
  <si>
    <t>Q8CD92</t>
  </si>
  <si>
    <t>Q3THU0; Q8C7S8; Q8K1D9</t>
  </si>
  <si>
    <t>MGI:1921446</t>
  </si>
  <si>
    <t>Alternative splicing; Repeat; TPR repeat</t>
  </si>
  <si>
    <t>sp|P84228|H32_MOUSE</t>
  </si>
  <si>
    <t>Histone H3.2</t>
  </si>
  <si>
    <t>H3-clustered histone 13; H3-clustered histone 14; H3-clustered histone 15; H3-clustered histone 2; H3-clustered histone 3; H3-clustered histone 4; H3-clustered histone 6; H3-clustered histone 7</t>
  </si>
  <si>
    <t>H32_MOUSE</t>
  </si>
  <si>
    <t>P84228</t>
  </si>
  <si>
    <t>A3KMN6; P02295; P02297; P16105; P17269; P17320; Q60582; Q78E59; Q8CGN9</t>
  </si>
  <si>
    <t>MGI:2448351</t>
  </si>
  <si>
    <t>3D-structure; Acetylation; ADP-ribosylation; Chromosome; Citrullination; DNA-binding; Hydroxylation; Lipoprotein; Methylation; Nucleosome core; Nucleus; Palmitate; Phosphoprotein; Ubl conjugation</t>
  </si>
  <si>
    <t>ADP-ribosylation; Acetylation; Citrullination; Hydroxylation; Lipoprotein; Methylation; Palmitate; Phosphoprotein; Ubl conjugation</t>
  </si>
  <si>
    <t>gene expression {GO:0010467}; negative regulation of transcription by RNA polymerase II {GO:0000122}; nucleosome assembly {GO:0006334}; regulation of gene expression, epigenetic {GO:0040029}; stem cell population maintenance {GO:0019827}</t>
  </si>
  <si>
    <t>chromatin {GO:0000785}; nuclear chromosome {GO:0000228}; nucleoplasm {GO:0005654}; nucleosome {GO:0000786}; nucleus {GO:0005634}; protein-containing complex {GO:0032991}</t>
  </si>
  <si>
    <t>chromatin binding {GO:0003682}; DNA binding {GO:0003677}; protein heterodimerization activity {GO:0046982}; structural constituent of chromatin {GO:0030527}</t>
  </si>
  <si>
    <t>Interleukin-7 signaling {R-MMU-1266695}; PRC2 methylates histones and DNA {R-MMU-212300}; PKMTs methylate histone lysines {R-MMU-3214841}; HDMs demethylate histones {R-MMU-3214842}; HATs acetylate histones {R-MMU-3214847}; RMTs methylate histone arginines {R-MMU-3214858}; Chromatin modifying enzymes {R-MMU-3247509}; RUNX1 regulates genes involved in megakaryocyte differentiation and platelet function {R-MMU-8936459}; Estrogen-dependent gene expression {R-MMU-9018519}; Factors involved in megakaryocyte development and platelet production {R-MMU-983231}</t>
  </si>
  <si>
    <t>sp|Q61187|TS101_MOUSE</t>
  </si>
  <si>
    <t>Tumor susceptibility gene 101 protein</t>
  </si>
  <si>
    <t>ESCRT-I complex subunit TSG101</t>
  </si>
  <si>
    <t>TS101_MOUSE</t>
  </si>
  <si>
    <t>Q61187</t>
  </si>
  <si>
    <t>MGI:106581</t>
  </si>
  <si>
    <t>Acetylation; Cell cycle; Cell division; Coiled coil; Cytoplasm; Cytoskeleton; Endosome; Growth regulation; Host-virus interaction; Membrane; Nucleus; Phosphoprotein; Protein transport; Transport; Ubl conjugation</t>
  </si>
  <si>
    <t>Cell cycle; Cell division; Growth regulation; Host-virus interaction; Protein transport; Transport</t>
  </si>
  <si>
    <t>Cytoplasm; Cytoskeleton; Endosome; Membrane; Nucleus</t>
  </si>
  <si>
    <t>cell cycle {GO:0007049}; cell differentiation {GO:0030154}; cell division {GO:0051301}; endosome to lysosome transport {GO:0008333}; exosomal secretion {GO:1990182}; extracellular transport {GO:0006858}; keratinocyte differentiation {GO:0030216}; negative regulation of cell population proliferation {GO:0008285}; negative regulation of epidermal growth factor receptor signaling pathway {GO:0042059}; negative regulation of epidermal growth factor-activated receptor activity {GO:0007175}; negative regulation of transcription by RNA polymerase II {GO:0000122}; positive regulation of exosomal secretion {GO:1903543}; positive regulation of ubiquitin-dependent endocytosis {GO:2000397}; positive regulation of viral budding via host ESCRT complex {GO:1903774}; protein monoubiquitination {GO:0006513}; protein transport {GO:0015031}; regulation of cell cycle {GO:0051726}; regulation of cell growth {GO:0001558}; regulation of extracellular exosome assembly {GO:1903551}; regulation of MAP kinase activity {GO:0043405}; ubiquitin-dependent protein catabolic process via the multivesicular body sorting pathway {GO:0043162}; viral budding {GO:0046755}; viral release from host cell {GO:0019076}</t>
  </si>
  <si>
    <t>cytoplasm {GO:0005737}; cytosol {GO:0005829}; early endosome {GO:0005769}; early endosome membrane {GO:0031901}; endosome {GO:0005768}; endosome membrane {GO:0010008}; ESCRT I complex {GO:0000813}; extracellular exosome {GO:0070062}; Flemming body {GO:0090543}; late endosome {GO:0005770}; late endosome membrane {GO:0031902}; microtubule organizing center {GO:0005815}; nucleolus {GO:0005730}; nucleus {GO:0005634}; plasma membrane {GO:0005886}</t>
  </si>
  <si>
    <t>calcium-dependent protein binding {GO:0048306}; nuclear receptor coactivator activity {GO:0030374}; protein homodimerization activity {GO:0042803}; protein-containing complex binding {GO:0044877}; transcription corepressor activity {GO:0003714}; ubiquitin binding {GO:0043130}; ubiquitin protein ligase binding {GO:0031625}; virion binding {GO:0046790}</t>
  </si>
  <si>
    <t>sp|Q6ZPU9|KBP_MOUSE</t>
  </si>
  <si>
    <t>KIF-binding protein</t>
  </si>
  <si>
    <t>KIF1-binding protein</t>
  </si>
  <si>
    <t>KBP_MOUSE</t>
  </si>
  <si>
    <t>Q6ZPU9</t>
  </si>
  <si>
    <t>Q3TYD0; Q5BKR5; Q7TPE0; Q80VQ5; Q8BZE2; Q8CFS7</t>
  </si>
  <si>
    <t>MGI:1919570</t>
  </si>
  <si>
    <t>Alternative splicing; Cytoplasm; Cytoskeleton; Developmental protein; Differentiation; Neurogenesis; Phosphoprotein</t>
  </si>
  <si>
    <t>central nervous system projection neuron axonogenesis {GO:0021952}; in utero embryonic development {GO:0001701}; microtubule cytoskeleton organization {GO:0000226}; mitochondrial transport {GO:0006839}; neuron projection maintenance {GO:1990535}</t>
  </si>
  <si>
    <t>cytoskeleton {GO:0005856}; mitochondrion {GO:0005739}</t>
  </si>
  <si>
    <t>sp|Q3TWW8|SRSF6_MOUSE</t>
  </si>
  <si>
    <t>Serine/arginine-rich splicing factor 6</t>
  </si>
  <si>
    <t>Pre-mRNA-splicing factor SRP55; Splicing factor, arginine/serine-rich 6</t>
  </si>
  <si>
    <t>SRSF6_MOUSE</t>
  </si>
  <si>
    <t>Q3TWW8</t>
  </si>
  <si>
    <t>Q3UJV5; Q921K3; Q9DBP1</t>
  </si>
  <si>
    <t>Sfrs6; Srp55</t>
  </si>
  <si>
    <t>MGI:1915246</t>
  </si>
  <si>
    <t>Acetylation; Isopeptide bond; mRNA processing; mRNA splicing; Nucleus; Phosphoprotein; Repeat; Repressor; RNA-binding; Ubl conjugation</t>
  </si>
  <si>
    <t>alternative mRNA splicing, via spliceosome {GO:0000380}; mRNA splice site selection {GO:0006376}; mRNA splicing, via spliceosome {GO:0000398}; negative regulation of cell death {GO:0060548}; negative regulation of gene expression {GO:0010629}; negative regulation of keratinocyte differentiation {GO:0045617}; negative regulation of mRNA splicing, via spliceosome {GO:0048025}; negative regulation of type B pancreatic cell apoptotic process {GO:2000675}; positive regulation of epithelial cell proliferation involved in lung morphogenesis {GO:0060501}; regulation of alternative mRNA splicing, via spliceosome {GO:0000381}; regulation of keratinocyte proliferation {GO:0010837}; regulation of wound healing {GO:0061041}; response to insulin {GO:0032868}</t>
  </si>
  <si>
    <t>nuclear speck {GO:0016607}; nucleus {GO:0005634}</t>
  </si>
  <si>
    <t>mRNA binding {GO:0003729}; pre-mRNA binding {GO:0036002}; RNA binding {GO:0003723}</t>
  </si>
  <si>
    <t>sp|P63300|SELW_MOUSE</t>
  </si>
  <si>
    <t>Selenoprotein W (SelW)</t>
  </si>
  <si>
    <t>SELW_MOUSE</t>
  </si>
  <si>
    <t>P63300</t>
  </si>
  <si>
    <t>O35965; P49904; Q9JIC2</t>
  </si>
  <si>
    <t>MGI:1100878</t>
  </si>
  <si>
    <t>3D-structure; Antioxidant; Cytoplasm; Glutathionylation; Redox-active center; Selenocysteine</t>
  </si>
  <si>
    <t>Antioxidant</t>
  </si>
  <si>
    <t>Glutathionylation</t>
  </si>
  <si>
    <t>response to selenium ion {GO:0010269}</t>
  </si>
  <si>
    <t>antioxidant activity {GO:0016209}; oxidoreductase activity {GO:0016491}</t>
  </si>
  <si>
    <t>sp|Q9Z1P6|NDUA7_MOUSE</t>
  </si>
  <si>
    <t>NADH dehydrogenase [ubiquinone] 1 alpha subcomplex subunit 7</t>
  </si>
  <si>
    <t>Complex I-B14.5a (CI-B14.5a); NADH-ubiquinone oxidoreductase subunit B14.5a</t>
  </si>
  <si>
    <t>NDUA7_MOUSE</t>
  </si>
  <si>
    <t>Q9Z1P6</t>
  </si>
  <si>
    <t>MGI:1913666</t>
  </si>
  <si>
    <t>3D-structure; Acetylation; Electron transport; Membrane; Mitochondrion; Mitochondrion inner membrane; Phosphoprotein; Respiratory chain; Transport</t>
  </si>
  <si>
    <t>aerobic respiration {GO:0009060}; mitochondrial electron transport, NADH to ubiquinone {GO:0006120}; mitochondrial translation {GO:0032543}; proton motive force-driven mitochondrial ATP synthesis {GO:0042776}</t>
  </si>
  <si>
    <t>mitochondrial inner membrane {GO:0005743}; mitochondrial respiratory chain complex I {GO:0005747}; mitochondrial ribosome {GO:0005761}; mitochondrion {GO:0005739}</t>
  </si>
  <si>
    <t>sp|O08784|TCOF_MOUSE</t>
  </si>
  <si>
    <t>Treacle protein</t>
  </si>
  <si>
    <t>Treacher Collins syndrome protein homolog</t>
  </si>
  <si>
    <t>TCOF_MOUSE</t>
  </si>
  <si>
    <t>O08784</t>
  </si>
  <si>
    <t>O08857</t>
  </si>
  <si>
    <t>MGI:892003</t>
  </si>
  <si>
    <t>Acetylation; Isopeptide bond; Nucleus; Phosphoprotein; Repeat; Ubl conjugation</t>
  </si>
  <si>
    <t>neural crest cell development {GO:0014032}; neural crest formation {GO:0014029}; nucleolar large rRNA transcription by RNA polymerase I {GO:0042790}; regulation of translation {GO:0006417}</t>
  </si>
  <si>
    <t>cytosol {GO:0005829}; fibrillar center {GO:0001650}; nucleolus {GO:0005730}; nucleoplasm {GO:0005654}</t>
  </si>
  <si>
    <t>protein heterodimerization activity {GO:0046982}; protein-macromolecule adaptor activity {GO:0030674}; scaffold protein binding {GO:0097110}</t>
  </si>
  <si>
    <t>sp|P41241|CSK_MOUSE</t>
  </si>
  <si>
    <t>Tyrosine-protein kinase CSK</t>
  </si>
  <si>
    <t>C-Src kinase; Protein-tyrosine kinase MPK-2; p50CSK</t>
  </si>
  <si>
    <t>CSK_MOUSE</t>
  </si>
  <si>
    <t>P41241</t>
  </si>
  <si>
    <t>Q03143; Q80WU4; Q8VCW1</t>
  </si>
  <si>
    <t>MGI:88537</t>
  </si>
  <si>
    <t>3D-structure; Acetylation; Adaptive immunity; ATP-binding; Cell membrane; Cytoplasm; Immunity; Kinase; Magnesium; Manganese; Membrane; Metal-binding; Nucleotide-binding; Phosphoprotein; SH2 domain; SH3 domain; Transferase; Tyrosine-protein kinase</t>
  </si>
  <si>
    <t>Adaptive immunity; Immunity</t>
  </si>
  <si>
    <t>SH2 domain; SH3 domain</t>
  </si>
  <si>
    <t>Kinase; Transferase; Tyrosine-protein kinase</t>
  </si>
  <si>
    <t>adaptive immune response {GO:0002250}; adherens junction organization {GO:0034332}; brain development {GO:0007420}; cellular response to peptide hormone stimulus {GO:0071375}; intracellular signal transduction {GO:0035556}; negative regulation of bone resorption {GO:0045779}; negative regulation of cell population proliferation {GO:0008285}; negative regulation of ERK1 and ERK2 cascade {GO:0070373}; negative regulation of Golgi to plasma membrane protein transport {GO:0042997}; negative regulation of interleukin-6 production {GO:0032715}; negative regulation of kinase activity {GO:0033673}; negative regulation of low-density lipoprotein particle clearance {GO:0010989}; negative regulation of phagocytosis {GO:0050765}; oligodendrocyte differentiation {GO:0048709}; positive regulation of MAP kinase activity {GO:0043406}; protein autophosphorylation {GO:0046777}; protein phosphorylation {GO:0006468}; regulation of Fc receptor mediated stimulatory signaling pathway {GO:0060368}; regulation of T cell activation {GO:0050863}</t>
  </si>
  <si>
    <t>cell-cell junction {GO:0005911}; cytoplasm {GO:0005737}; membrane raft {GO:0045121}; plasma membrane {GO:0005886}</t>
  </si>
  <si>
    <t>ATP binding {GO:0005524}; identical protein binding {GO:0042802}; metal ion binding {GO:0046872}; non-membrane spanning protein tyrosine kinase activity {GO:0004715}; proline-rich region binding {GO:0070064}; protein kinase A catalytic subunit binding {GO:0034236}; protein phosphatase binding {GO:0019903}; protein tyrosine kinase activity {GO:0004713}; protein tyrosine kinase binding {GO:1990782}; transferase activity {GO:0016740}</t>
  </si>
  <si>
    <t>GAB1 signalosome {R-MMU-180292}; Phosphorylation of CD3 and TCR zeta chains {R-MMU-202427}; Integrin signaling {R-MMU-354192}; PD-1 signaling {R-MMU-389948}; MAP2K and MAPK activation {R-MMU-5674135}; RHOH GTPase cycle {R-MMU-9013407}; Negative regulation of FLT3 {R-MMU-9706369}</t>
  </si>
  <si>
    <t>sp|P97930|KTHY_MOUSE</t>
  </si>
  <si>
    <t>Thymidylate kinase</t>
  </si>
  <si>
    <t>dTMP kinase</t>
  </si>
  <si>
    <t>KTHY_MOUSE</t>
  </si>
  <si>
    <t>P97930</t>
  </si>
  <si>
    <t>Q8C2L0; Q8K2S2</t>
  </si>
  <si>
    <t>Tmk</t>
  </si>
  <si>
    <t>MGI:108396</t>
  </si>
  <si>
    <t>Acetylation; Alternative splicing; ATP-binding; Kinase; Nucleotide biosynthesis; Nucleotide-binding; Transferase</t>
  </si>
  <si>
    <t>Nucleotide biosynthesis</t>
  </si>
  <si>
    <t>cellular response to growth factor stimulus {GO:0071363}; dTDP biosynthetic process {GO:0006233}; dTTP biosynthetic process {GO:0006235}; dUDP biosynthetic process {GO:0006227}; nucleotide biosynthetic process {GO:0009165}; phosphorylation {GO:0016310}; thymidine biosynthetic process {GO:0046105}</t>
  </si>
  <si>
    <t>cytoplasm {GO:0005737}; mitochondrial intermembrane space {GO:0005758}; mitochondrial matrix {GO:0005759}; mitochondrion {GO:0005739}; nucleus {GO:0005634}</t>
  </si>
  <si>
    <t>ATP binding {GO:0005524}; nucleoside diphosphate kinase activity {GO:0004550}; thymidylate kinase activity {GO:0004798}; uridylate kinase activity {GO:0009041}</t>
  </si>
  <si>
    <t>Pyrimidine metabolism; dTTP biosynthesis.</t>
  </si>
  <si>
    <t>sp|Q9D7X3|DUS3_MOUSE</t>
  </si>
  <si>
    <t>Dual specificity protein phosphatase 3</t>
  </si>
  <si>
    <t>T-DSP11; Vaccinia H1-related phosphatase (VHR)</t>
  </si>
  <si>
    <t>DUS3_MOUSE</t>
  </si>
  <si>
    <t>Q9D7X3</t>
  </si>
  <si>
    <t>MGI:1919599</t>
  </si>
  <si>
    <t>Hydrolase; Nucleus; Protein phosphatase</t>
  </si>
  <si>
    <t>cellular response to epidermal growth factor stimulus {GO:0071364}; dephosphorylation {GO:0016311}; in utero embryonic development {GO:0001701}; negative regulation of cell migration {GO:0030336}; negative regulation of chemotaxis {GO:0050922}; negative regulation of epidermal growth factor receptor signaling pathway {GO:0042059}; negative regulation of ERK1 and ERK2 cascade {GO:0070373}; negative regulation of JNK cascade {GO:0046329}; negative regulation of MAPK cascade {GO:0043409}; negative regulation of T cell activation {GO:0050868}; negative regulation of T cell receptor signaling pathway {GO:0050860}; peptidyl-tyrosine dephosphorylation {GO:0035335}; peptidyl-tyrosine dephosphorylation involved in inactivation of protein kinase activity {GO:1990264}; positive regulation of focal adhesion disassembly {GO:0120183}; positive regulation of mitotic cell cycle {GO:0045931}; protein dephosphorylation {GO:0006470}; regulation of focal adhesion assembly {GO:0051893}</t>
  </si>
  <si>
    <t>cytoplasm {GO:0005737}; cytosol {GO:0005829}; immunological synapse {GO:0001772}; nucleoplasm {GO:0005654}; nucleus {GO:0005634}</t>
  </si>
  <si>
    <t>cytoskeletal protein binding {GO:0008092}; MAP kinase phosphatase activity {GO:0033549}; myosin phosphatase activity {GO:0017018}; phosphatase activity {GO:0016791}; phosphoprotein phosphatase activity {GO:0004721}; protein kinase binding {GO:0019901}; protein tyrosine kinase binding {GO:1990782}; protein tyrosine phosphatase activity {GO:0004725}; protein tyrosine/serine/threonine phosphatase activity {GO:0008138}; receptor tyrosine kinase binding {GO:0030971}</t>
  </si>
  <si>
    <t>ERKs are inactivated {R-MMU-202670}</t>
  </si>
  <si>
    <t>sp|Q9D8V0|HM13_MOUSE</t>
  </si>
  <si>
    <t>Minor histocompatibility antigen H13</t>
  </si>
  <si>
    <t>Presenilin-like protein 3; Signal peptide peptidase</t>
  </si>
  <si>
    <t>HM13_MOUSE</t>
  </si>
  <si>
    <t>Q9D8V0</t>
  </si>
  <si>
    <t>A3KGS1; O19444; Q15K37; Q3TXP0; Q542R3; Q811Z6; Q8HWA9; Q8HWB5; Q9CQA4; Q9CSK9</t>
  </si>
  <si>
    <t>H13; Psl3</t>
  </si>
  <si>
    <t>MGI:95886</t>
  </si>
  <si>
    <t>3D-structure; Alternative splicing; Cell membrane; Endoplasmic reticulum; Glycoprotein; Hydrolase; Membrane; Phosphoprotein; Protease; Transmembrane; Transmembrane helix</t>
  </si>
  <si>
    <t>in utero embryonic development {GO:0001701}; membrane protein proteolysis {GO:0033619}; membrane protein proteolysis involved in retrograde protein transport, ER to cytosol {GO:1904211}; signal peptide processing {GO:0006465}</t>
  </si>
  <si>
    <t>cell surface {GO:0009986}; Derlin-1 retrotranslocation complex {GO:0036513}; endoplasmic reticulum {GO:0005783}; endoplasmic reticulum membrane {GO:0005789}; integral component of cytoplasmic side of endoplasmic reticulum membrane {GO:0071458}; integral component of lumenal side of endoplasmic reticulum membrane {GO:0071556}; plasma membrane {GO:0005886}; rough endoplasmic reticulum {GO:0005791}</t>
  </si>
  <si>
    <t>aspartic endopeptidase activity, intramembrane cleaving {GO:0042500}; peptidase activity {GO:0008233}; protein homodimerization activity {GO:0042803}; ubiquitin protein ligase binding {GO:0031625}</t>
  </si>
  <si>
    <t>Regulation of HMOX1 expression and activity {R-MMU-9707587}</t>
  </si>
  <si>
    <t>sp|P97823|LYPA1_MOUSE</t>
  </si>
  <si>
    <t>Acyl-protein thioesterase 1 (APT-1)</t>
  </si>
  <si>
    <t>Lysophospholipase 1; Lysophospholipase I (LPL-I; LysoPLA I); Palmitoyl-protein hydrolase</t>
  </si>
  <si>
    <t>LYPA1_MOUSE</t>
  </si>
  <si>
    <t>P97823</t>
  </si>
  <si>
    <t>Q3TJZ0; Q7TPX1; Q8BWM6</t>
  </si>
  <si>
    <t>Apt1; Pla1a</t>
  </si>
  <si>
    <t>MGI:1344588</t>
  </si>
  <si>
    <t>Acetylation; Alternative splicing; Cell membrane; Cytoplasm; Endoplasmic reticulum; Fatty acid metabolism; Hydrolase; Lipid metabolism; Membrane; Nucleus</t>
  </si>
  <si>
    <t>Cell membrane; Cytoplasm; Endoplasmic reticulum; Membrane; Nucleus</t>
  </si>
  <si>
    <t>fatty acid metabolic process {GO:0006631}; negative regulation of Golgi to plasma membrane protein transport {GO:0042997}; protein depalmitoylation {GO:0002084}</t>
  </si>
  <si>
    <t>cytoplasm {GO:0005737}; cytosol {GO:0005829}; endoplasmic reticulum {GO:0005783}; mitochondrion {GO:0005739}; nuclear membrane {GO:0031965}; plasma membrane {GO:0005886}</t>
  </si>
  <si>
    <t>carboxylic ester hydrolase activity {GO:0052689}; lipase activity {GO:0016298}; lysophospholipase activity {GO:0004622}; palmitoyl-(protein) hydrolase activity {GO:0008474}; phospholipase activity {GO:0004620}</t>
  </si>
  <si>
    <t>eNOS activation {R-MMU-203615}; RAS processing {R-MMU-9648002}</t>
  </si>
  <si>
    <t>sp|P40336|VP26A_MOUSE</t>
  </si>
  <si>
    <t>Vacuolar protein sorting-associated protein 26A</t>
  </si>
  <si>
    <t>H&lt;beta&gt;58 protein (H beta 58); Vesicle protein sorting 26A (mVPS26)</t>
  </si>
  <si>
    <t>VP26A_MOUSE</t>
  </si>
  <si>
    <t>P40336</t>
  </si>
  <si>
    <t>Q3TGY3; Q3THM5; Q3TW99; Q3UD54; Q8C1E9</t>
  </si>
  <si>
    <t>Vps26</t>
  </si>
  <si>
    <t>MGI:1353654</t>
  </si>
  <si>
    <t>3D-structure; Alternative splicing; Cytoplasm; Endosome; Membrane; Phosphoprotein; Protein transport; Transport</t>
  </si>
  <si>
    <t>endocytic recycling {GO:0032456}; intracellular protein transport {GO:0006886}; retrograde transport, endosome to Golgi {GO:0042147}</t>
  </si>
  <si>
    <t>cytosol {GO:0005829}; early endosome {GO:0005769}; endosome {GO:0005768}; endosome membrane {GO:0010008}; lysosome {GO:0005764}; retromer complex {GO:0030904}; retromer, cargo-selective complex {GO:0030906}; tubular endosome {GO:0097422}; vesicle {GO:0031982}</t>
  </si>
  <si>
    <t>sp|Q6WKZ8|UBR2_MOUSE</t>
  </si>
  <si>
    <t>E3 ubiquitin-protein ligase UBR2</t>
  </si>
  <si>
    <t>N-recognin-2; RING-type E3 ubiquitin transferase UBR2; Ubiquitin-protein ligase E3-alpha-2; Ubiquitin-protein ligase E3-alpha-II</t>
  </si>
  <si>
    <t>UBR2_MOUSE</t>
  </si>
  <si>
    <t>Q6WKZ8</t>
  </si>
  <si>
    <t>Q6DIB9; Q80U31; Q8BUL9; Q8CGW0; Q8K2I6; Q8R0V7; Q8R130</t>
  </si>
  <si>
    <t>Kiaa0349</t>
  </si>
  <si>
    <t>MGI:1861099</t>
  </si>
  <si>
    <t>Acetylation; Alternative splicing; Chromosome; Coiled coil; Metal-binding; Nucleus; Transferase; Ubl conjugation pathway; Zinc; Zinc-finger</t>
  </si>
  <si>
    <t>cellular response to leucine {GO:0071233}; heterochromatin assembly {GO:0031507}; histone H2A ubiquitination {GO:0033522}; male meiosis I {GO:0007141}; male meiotic nuclear division {GO:0007140}; negative regulation of TOR signaling {GO:0032007}; negative regulation of transposition {GO:0010529}; protein ubiquitination {GO:0016567}; reciprocal meiotic recombination {GO:0007131}; spermatogenesis {GO:0007283}; ubiquitin-dependent protein catabolic process {GO:0006511}; ubiquitin-dependent protein catabolic process via the N-end rule pathway {GO:0071596}</t>
  </si>
  <si>
    <t>chromosome {GO:0005694}; cytoplasm {GO:0005737}; nucleus {GO:0005634}; ubiquitin ligase complex {GO:0000151}</t>
  </si>
  <si>
    <t>leucine binding {GO:0070728}; ubiquitin protein ligase activity {GO:0061630}; zinc ion binding {GO:0008270}</t>
  </si>
  <si>
    <t>sp|G5E870|TRIPC_MOUSE</t>
  </si>
  <si>
    <t>E3 ubiquitin-protein ligase TRIP12</t>
  </si>
  <si>
    <t>HECT-type E3 ubiquitin transferase TRIP12; Thyroid receptor-interacting protein 12 (TR-interacting protein 12; TRIP-12)</t>
  </si>
  <si>
    <t>TRIPC_MOUSE</t>
  </si>
  <si>
    <t>G5E870</t>
  </si>
  <si>
    <t>Q3TY88; Q3UYT5; Q8BM59; Q8K051</t>
  </si>
  <si>
    <t>MGI:1309481</t>
  </si>
  <si>
    <t>Acetylation; DNA damage; DNA repair; Nucleus; Phosphoprotein; Transferase; Ubl conjugation pathway</t>
  </si>
  <si>
    <t>cellular response to DNA damage stimulus {GO:0006974}; DNA repair {GO:0006281}; negative regulation of double-strand break repair {GO:2000780}; negative regulation of histone H2A K63-linked ubiquitination {GO:1901315}; proteasome-mediated ubiquitin-dependent protein catabolic process {GO:0043161}; protein polyubiquitination {GO:0000209}; regulation of double-strand break repair {GO:2000779}; regulation of embryonic development {GO:0045995}; ubiquitin-dependent protein catabolic process {GO:0006511}</t>
  </si>
  <si>
    <t>nuclear speck {GO:0016607}; nucleoplasm {GO:0005654}</t>
  </si>
  <si>
    <t>nuclear thyroid hormone receptor binding {GO:0046966}; ubiquitin protein ligase activity {GO:0061630}; zinc ion binding {GO:0008270}</t>
  </si>
  <si>
    <t>sp|Q61033|LAP2A_MOUSE</t>
  </si>
  <si>
    <t>Lamina-associated polypeptide 2, isoforms alpha/zeta</t>
  </si>
  <si>
    <t>Thymopoietin isoforms alpha/zeta (TP alpha/zeta)</t>
  </si>
  <si>
    <t>LAP2A_MOUSE</t>
  </si>
  <si>
    <t>Q61033</t>
  </si>
  <si>
    <t>B2RUB9; Q61028</t>
  </si>
  <si>
    <t>Lap2</t>
  </si>
  <si>
    <t>MGI:106920</t>
  </si>
  <si>
    <t>3D-structure; Acetylation; Alternative splicing; Chromosome; Coiled coil; DNA-binding; Methylation; Nucleus; Phosphoprotein</t>
  </si>
  <si>
    <t>chromatin {GO:0000785}; nuclear envelope {GO:0005635}; nuclear inner membrane {GO:0005637}; nuclear membrane {GO:0031965}; nucleus {GO:0005634}</t>
  </si>
  <si>
    <t>DNA binding {GO:0003677}; identical protein binding {GO:0042802}</t>
  </si>
  <si>
    <t>tr|G3X972|G3X972_MOUSE</t>
  </si>
  <si>
    <t>sp|Q63932|MP2K2_MOUSE</t>
  </si>
  <si>
    <t>Dual specificity mitogen-activated protein kinase kinase 2 (MAP kinase kinase 2; MAPKK 2)</t>
  </si>
  <si>
    <t>ERK activator kinase 2; MAPK/ERK kinase 2 (MEK 2)</t>
  </si>
  <si>
    <t>MP2K2_MOUSE</t>
  </si>
  <si>
    <t>Q63932</t>
  </si>
  <si>
    <t>Q9D7B0</t>
  </si>
  <si>
    <t>Mek2; Mkk2; Prkmk2</t>
  </si>
  <si>
    <t>MGI:1346867</t>
  </si>
  <si>
    <t>3D-structure; Acetylation; ATP-binding; Cytoplasm; Kinase; Magnesium; Membrane; Metal-binding; Nucleotide-binding; Phosphoprotein; Serine/threonine-protein kinase; Transferase; Tyrosine-protein kinase</t>
  </si>
  <si>
    <t>Kinase; Serine/threonine-protein kinase; Transferase; Tyrosine-protein kinase</t>
  </si>
  <si>
    <t>epithelial cell proliferation involved in lung morphogenesis {GO:0060502}; ERK1 and ERK2 cascade {GO:0070371}; face development {GO:0060324}; heart development {GO:0007507}; lung morphogenesis {GO:0060425}; MAPK cascade {GO:0000165}; negative regulation of gene expression {GO:0010629}; peptidyl-serine autophosphorylation {GO:0036289}; positive regulation of axonogenesis {GO:0050772}; positive regulation of cell motility {GO:2000147}; positive regulation of DNA-templated transcription {GO:0045893}; positive regulation of miRNA maturation {GO:1903800}; positive regulation of protein serine/threonine kinase activity {GO:0071902}; protein phosphorylation {GO:0006468}; regulation of axon regeneration {GO:0048679}; regulation of early endosome to late endosome transport {GO:2000641}; regulation of Golgi inheritance {GO:0090170}; regulation of stress-activated MAPK cascade {GO:0032872}; thymus development {GO:0048538}; thyroid gland development {GO:0030878}; trachea formation {GO:0060440}</t>
  </si>
  <si>
    <t>cell cortex {GO:0005938}; cell-cell junction {GO:0005911}; cytoplasm {GO:0005737}; cytoplasmic side of plasma membrane {GO:0009898}; cytosol {GO:0005829}; early endosome {GO:0005769}; endoplasmic reticulum {GO:0005783}; focal adhesion {GO:0005925}; Golgi apparatus {GO:0005794}; late endosome {GO:0005770}; microtubule {GO:0005874}; mitochondrion {GO:0005739}; nucleus {GO:0005634}; perinuclear region of cytoplasm {GO:0048471}</t>
  </si>
  <si>
    <t>ATP binding {GO:0005524}; MAP kinase kinase activity {GO:0004708}; MAP-kinase scaffold activity {GO:0005078}; metal ion binding {GO:0046872}; molecular adaptor activity {GO:0060090}; PDZ domain binding {GO:0030165}; protein serine kinase activity {GO:0106310}; protein serine/threonine kinase activator activity {GO:0043539}; protein serine/threonine kinase activity {GO:0004674}; protein serine/threonine/tyrosine kinase activity {GO:0004712}; protein tyrosine kinase activity {GO:0004713}; scaffold protein binding {GO:0097110}</t>
  </si>
  <si>
    <t>MAPK1 (ERK2) activation {R-MMU-112411}; Frs2-mediated activation {R-MMU-170968}; Signal transduction by L1 {R-MMU-445144}; RAF activation {R-MMU-5673000}; MAP2K and MAPK activation {R-MMU-5674135}; Negative feedback regulation of MAPK pathway {R-MMU-5674499}</t>
  </si>
  <si>
    <t>sp|P35585|AP1M1_MOUSE</t>
  </si>
  <si>
    <t>AP-1 complex subunit mu-1</t>
  </si>
  <si>
    <t>AP-mu chain family member mu1A; Adaptor protein complex AP-1 subunit mu-1; Adaptor-related protein complex 1 subunit mu-1; Clathrin assembly protein complex 1 mu-1 medium chain 1; Clathrin coat assembly protein AP47; Clathrin coat-associated protein AP47; Golgi adaptor HA1/AP1 adaptin mu-1 subunit; Mu-adaptin 1; Mu1A-adaptin</t>
  </si>
  <si>
    <t>AP1M1_MOUSE</t>
  </si>
  <si>
    <t>P35585</t>
  </si>
  <si>
    <t>Cltnm</t>
  </si>
  <si>
    <t>MGI:102776</t>
  </si>
  <si>
    <t>3D-structure; Acetylation; Cytoplasmic vesicle; Golgi apparatus; Membrane; Phosphoprotein; Protein transport; Transport</t>
  </si>
  <si>
    <t>endosome to melanosome transport {GO:0035646}; intracellular protein transport {GO:0006886}; melanosome assembly {GO:1903232}; melanosome organization {GO:0032438}; platelet dense granule organization {GO:0060155}; vesicle-mediated transport {GO:0016192}</t>
  </si>
  <si>
    <t>AP-1 adaptor complex {GO:0030121}; clathrin-coated vesicle {GO:0030136}; cytoplasmic vesicle {GO:0031410}; early endosome {GO:0005769}; lysosomal membrane {GO:0005765}; trans-Golgi network {GO:0005802}; trans-Golgi network membrane {GO:0032588}</t>
  </si>
  <si>
    <t>clathrin adaptor activity {GO:0035615}</t>
  </si>
  <si>
    <t>MHC class II antigen presentation {R-MMU-2132295}; Lysosome Vesicle Biogenesis {R-MMU-432720}; Golgi Associated Vesicle Biogenesis {R-MMU-432722}; Neutrophil degranulation {R-MMU-6798695}</t>
  </si>
  <si>
    <t>sp|P29595|NEDD8_MOUSE</t>
  </si>
  <si>
    <t>NEDD8</t>
  </si>
  <si>
    <t>Neddylin; Neural precursor cell expressed developmentally down-regulated protein 8 (NEDD-8); Ubiquitin-like protein Nedd8</t>
  </si>
  <si>
    <t>NEDD8_MOUSE</t>
  </si>
  <si>
    <t>P29595</t>
  </si>
  <si>
    <t>Nedd-8</t>
  </si>
  <si>
    <t>MGI:97301</t>
  </si>
  <si>
    <t>Acetylation; Isopeptide bond; Nucleus; Ubl conjugation pathway</t>
  </si>
  <si>
    <t>Acetylation; Isopeptide bond</t>
  </si>
  <si>
    <t>modification-dependent protein catabolic process {GO:0019941}; protein localization {GO:0008104}; protein neddylation {GO:0045116}; regulation of proteolysis {GO:0030162}; regulation of transcription by RNA polymerase II {GO:0006357}; response to organic cyclic compound {GO:0014070}</t>
  </si>
  <si>
    <t>protein tag {GO:0031386}; ubiquitin protein ligase binding {GO:0031625}</t>
  </si>
  <si>
    <t>TGF-beta receptor signaling activates SMADs {R-MMU-2173789}; UCH proteinases {R-MMU-5689603}; Cargo recognition for clathrin-mediated endocytosis {R-MMU-8856825}; Neddylation {R-MMU-8951664}; Iron uptake and transport {R-MMU-917937}</t>
  </si>
  <si>
    <t>sp|Q9CY50|SSRA_MOUSE</t>
  </si>
  <si>
    <t>Translocon-associated protein subunit alpha (TRAP-alpha)</t>
  </si>
  <si>
    <t>Signal sequence receptor subunit alpha (SSR-alpha)</t>
  </si>
  <si>
    <t>SSRA_MOUSE</t>
  </si>
  <si>
    <t>Q9CY50</t>
  </si>
  <si>
    <t>Q3TIM3; Q99MP2</t>
  </si>
  <si>
    <t>MGI:105082</t>
  </si>
  <si>
    <t>Calcium; Endoplasmic reticulum; Glycoprotein; Membrane; Phosphoprotein; Signal; Transmembrane; Transmembrane helix</t>
  </si>
  <si>
    <t>endoplasmic reticulum {GO:0005783}; endoplasmic reticulum membrane {GO:0005789}; integral component of membrane {GO:0016021}</t>
  </si>
  <si>
    <t>sp|Q9Z0R4|ITSN1_MOUSE</t>
  </si>
  <si>
    <t>Intersectin-1</t>
  </si>
  <si>
    <t>EH and SH3 domains protein 1</t>
  </si>
  <si>
    <t>ITSN1_MOUSE</t>
  </si>
  <si>
    <t>Q9Z0R4</t>
  </si>
  <si>
    <t>F8VQE5; Q9R143</t>
  </si>
  <si>
    <t>Ese1; Itsn</t>
  </si>
  <si>
    <t>MGI:1338069</t>
  </si>
  <si>
    <t>3D-structure; Alternative splicing; Calcium; Cell membrane; Cell projection; Coated pit; Coiled coil; Cytoplasm; Cytoplasmic vesicle; Endocytosis; Endosome; Exocytosis; Membrane; Metal-binding; Nucleus; Phosphoprotein; Protein transport; Repeat; SH3 domain; Synapse; Synaptosome; Transport</t>
  </si>
  <si>
    <t>Endocytosis; Exocytosis; Protein transport; Transport</t>
  </si>
  <si>
    <t>Cell membrane; Cell projection; Coated pit; Cytoplasm; Cytoplasmic vesicle; Endosome; Membrane; Nucleus; Synapse; Synaptosome</t>
  </si>
  <si>
    <t>clathrin-dependent synaptic vesicle endocytosis {GO:0150007}; endocytosis {GO:0006897}; endosomal transport {GO:0016197}; exocytosis {GO:0006887}; negative regulation of neuron apoptotic process {GO:0043524}; neuron apoptotic process {GO:0051402}; positive regulation of caveolin-mediated endocytosis {GO:2001288}; positive regulation of dendritic spine development {GO:0060999}; positive regulation of growth hormone secretion {GO:0060124}; positive regulation of protein kinase B signaling {GO:0051897}; protein localization {GO:0008104}; protein transport {GO:0015031}; regulation of modification of postsynaptic actin cytoskeleton {GO:1905274}; small GTPase mediated signal transduction {GO:0007264}; synaptic vesicle endocytosis {GO:0048488}</t>
  </si>
  <si>
    <t>anchoring junction {GO:0070161}; apical dendrite {GO:0097440}; calyx of Held {GO:0044305}; clathrin-coated pit {GO:0005905}; cytoplasm {GO:0005737}; cytosol {GO:0005829}; dendritic spine {GO:0043197}; endocytic vesicle {GO:0030139}; glutamatergic synapse {GO:0098978}; intracellular vesicle {GO:0097708}; lamellipodium {GO:0030027}; neuronal cell body {GO:0043025}; nuclear envelope {GO:0005635}; plasma membrane {GO:0005886}; postsynaptic actin cytoskeleton {GO:0098871}; presynaptic endocytic zone {GO:0098833}; recycling endosome {GO:0055037}; synapse {GO:0045202}</t>
  </si>
  <si>
    <t>calcium ion binding {GO:0005509}; guanyl-nucleotide exchange factor activity {GO:0005085}; kinase activator activity {GO:0019209}; molecular adaptor activity {GO:0060090}; proline-rich region binding {GO:0070064}</t>
  </si>
  <si>
    <t>NRAGE signals death through JNK {R-MMU-193648}; EPHB-mediated forward signaling {R-MMU-3928662}; G alpha (12/13) signalling events {R-MMU-416482}; Cargo recognition for clathrin-mediated endocytosis {R-MMU-8856825}; Clathrin-mediated endocytosis {R-MMU-8856828}; CDC42 GTPase cycle {R-MMU-9013148}; RHOQ GTPase cycle {R-MMU-9013406}; RHOG GTPase cycle {R-MMU-9013408}</t>
  </si>
  <si>
    <t>sp|Q9JLN9|MTOR_MOUSE</t>
  </si>
  <si>
    <t>Serine/threonine-protein kinase mTOR</t>
  </si>
  <si>
    <t>FK506-binding protein 12-rapamycin complex-associated protein 1; FKBP12-rapamycin complex-associated protein; Mammalian target of rapamycin (mTOR); Mechanistic target of rapamycin; Rapamycin target protein 1 (RAPT1)</t>
  </si>
  <si>
    <t>MTOR_MOUSE</t>
  </si>
  <si>
    <t>Q9JLN9</t>
  </si>
  <si>
    <t>Q2KHT0; Q811J5; Q9CST1</t>
  </si>
  <si>
    <t>Frap; Frap1</t>
  </si>
  <si>
    <t>MGI:1928394</t>
  </si>
  <si>
    <t>Acetylation; Alternative splicing; ATP-binding; Biological rhythms; Cytoplasm; Cytoplasmic vesicle; Endoplasmic reticulum; Golgi apparatus; Kinase; Lysosome; Membrane; Mitochondrion; Mitochondrion outer membrane; Nucleotide-binding; Nucleus; Phosphoprotein; Repeat; Serine/threonine-protein kinase; TPR repeat; Transferase</t>
  </si>
  <si>
    <t>Cytoplasm; Cytoplasmic vesicle; Endoplasmic reticulum; Golgi apparatus; Lysosome; Membrane; Mitochondrion; Mitochondrion outer membrane; Nucleus</t>
  </si>
  <si>
    <t>'de novo' pyrimidine nucleobase biosynthetic process {GO:0006207}; behavioral response to pain {GO:0048266}; calcineurin-NFAT signaling cascade {GO:0033173}; cardiac cell development {GO:0055006}; cardiac muscle cell development {GO:0055013}; cardiac muscle contraction {GO:0060048}; cardiac muscle tissue development {GO:0048738}; cell projection organization {GO:0030030}; cellular response to amino acid starvation {GO:0034198}; cellular response to amino acid stimulus {GO:0071230}; cellular response to DNA damage stimulus {GO:0006974}; cellular response to hypoxia {GO:0071456}; cellular response to leucine {GO:0071233}; cellular response to leucine starvation {GO:1990253}; cellular response to nutrient levels {GO:0031669}; cellular response to osmotic stress {GO:0071470}; cellular response to starvation {GO:0009267}; cytoskeleton organization {GO:0007010}; energy reserve metabolic process {GO:0006112}; germ cell development {GO:0007281}; heart morphogenesis {GO:0003007}; heart valve morphogenesis {GO:0003179}; inflammatory response {GO:0006954}; long-term memory {GO:0007616}; lysosome organization {GO:0007040}; macroautophagy {GO:0016236}; maternal process involved in female pregnancy {GO:0060135}; mRNA stabilization {GO:0048255}; multicellular organism growth {GO:0035264}; negative regulation of apoptotic process {GO:0043066}; negative regulation of autophagy {GO:0010507}; negative regulation of calcineurin-NFAT signaling cascade {GO:0070885}; negative regulation of cell size {GO:0045792}; negative regulation of cholangiocyte apoptotic process {GO:1904193}; negative regulation of iodide transmembrane transport {GO:1904213}; negative regulation of macroautophagy {GO:0016242}; negative regulation of muscle atrophy {GO:0014736}; negative regulation of protein phosphorylation {GO:0001933}; negative regulation of protein ubiquitination {GO:0031397}; neuronal action potential {GO:0019228}; nucleus localization {GO:0051647}; oligodendrocyte differentiation {GO:0048709}; peptidyl-serine phosphorylation {GO:0018105}; peptidyl-threonine phosphorylation {GO:0018107}; phosphorylation {GO:0016310}; positive regulation of actin filament polymerization {GO:0030838}; positive regulation of cell death {GO:0010942}; positive regulation of cell growth {GO:0030307}; positive regulation of cell growth involved in cardiac muscle cell development {GO:0061051}; positive regulation of cellular senescence {GO:2000774}; positive regulation of cholangiocyte proliferation {GO:1904056}; positive regulation of dendritic spine development {GO:0060999}; positive regulation of eating behavior {GO:1904000}; positive regulation of endothelial cell proliferation {GO:0001938}; positive regulation of epithelial to mesenchymal transition {GO:0010718}; positive regulation of gene expression {GO:0010628}; positive regulation of glial cell proliferation {GO:0060252}; positive regulation of glycolytic process {GO:0045821}; positive regulation of granulosa cell proliferation {GO:1904197}; positive regulation of keratinocyte migration {GO:0051549}; positive regulation of lamellipodium assembly {GO:0010592}; positive regulation of lipid biosynthetic process {GO:0046889}; positive regulation of myotube differentiation {GO:0010831}; positive regulation of neurogenesis {GO:0050769}; positive regulation of neuron death {GO:1901216}; positive regulation of neuron maturation {GO:0014042}; positive regulation of neuron projection development {GO:0010976}; positive regulation of nitric oxide biosynthetic process {GO:0045429}; positive regulation of oligodendrocyte differentiation {GO:0048714}; positive regulation of pentose-phosphate shunt {GO:1905857}; positive regulation of peptidyl-tyrosine phosphorylation {GO:0050731}; positive regulation of protein kinase B signaling {GO:0051897}; positive regulation of protein phosphorylation {GO:0001934}; positive regulation of sensory perception of pain {GO:1904058}; positive regulation of skeletal muscle hypertrophy {GO:1904206}; positive regulation of smooth muscle cell proliferation {GO:0048661}; positive regulation of stress fiber assembly {GO:0051496}; positive regulation of transcription by RNA polymerase III {GO:0045945}; positive regulation of transcription of nucleolar large rRNA by RNA polymerase I {GO:1901838}; positive regulation of translation {GO:0045727}; positive regulation of wound healing, spreading of epidermal cells {GO:1903691}; post-embryonic development {GO:0009791}; protein autophosphorylation {GO:0046777}; protein phosphorylation {GO:0006468}; regulation of actin cytoskeleton organization {GO:0032956}; regulation of autophagy {GO:0010506}; regulation of brown fat cell differentiation {GO:0090335}; regulation of carbohydrate metabolic process {GO:0006109}; regulation of carbohydrate utilization {GO:0043610}; regulation of cell growth {GO:0001558}; regulation of cell size {GO:0008361}; regulation of circadian rhythm {GO:0042752}; regulation of fatty acid beta-oxidation {GO:0031998}; regulation of glycogen biosynthetic process {GO:0005979}; regulation of GTPase activity {GO:0043087}; regulation of locomotor rhythm {GO:1904059}; regulation of membrane permeability {GO:0090559}; regulation of myelination {GO:0031641}; regulation of osteoclast differentiation {GO:0045670}; regulation of protein kinase activity {GO:0045859}; regulation of protein kinase B signaling {GO:0051896}; regulation of protein phosphorylation {GO:0001932}; regulation of response to food {GO:0032095}; regulation of translation at synapse, modulating synaptic transmission {GO:0099547}; response to amino acid {GO:0043200}; response to cocaine {GO:0042220}; response to heat {GO:0009408}; response to insulin {GO:0032868}; response to morphine {GO:0043278}; response to nutrient {GO:0007584}; response to nutrient levels {GO:0031667}; rhythmic process {GO:0048511}; ruffle organization {GO:0031529}; social behavior {GO:0035176}; spinal cord development {GO:0021510}; T-helper 1 cell lineage commitment {GO:0002296}; TOR signaling {GO:0031929}; TORC1 signaling {GO:0038202}; visual learning {GO:0008542}; voluntary musculoskeletal movement {GO:0050882}</t>
  </si>
  <si>
    <t>cytoplasm {GO:0005737}; cytosol {GO:0005829}; dendrite {GO:0030425}; endomembrane system {GO:0012505}; endoplasmic reticulum membrane {GO:0005789}; glutamatergic synapse {GO:0098978}; Golgi membrane {GO:0000139}; lysosomal membrane {GO:0005765}; lysosome {GO:0005764}; membrane {GO:0016020}; mitochondrial outer membrane {GO:0005741}; neuronal cell body {GO:0043025}; nuclear envelope {GO:0005635}; nucleus {GO:0005634}; phagocytic vesicle {GO:0045335}; PML body {GO:0016605}; postsynaptic cytosol {GO:0099524}; protein-containing complex {GO:0032991}; TORC1 complex {GO:0031931}; TORC2 complex {GO:0031932}</t>
  </si>
  <si>
    <t>ATP binding {GO:0005524}; identical protein binding {GO:0042802}; kinase activity {GO:0016301}; phosphoprotein binding {GO:0051219}; protein domain specific binding {GO:0019904}; protein kinase activity {GO:0004672}; protein kinase binding {GO:0019901}; protein serine kinase activity {GO:0106310}; protein serine/threonine kinase activity {GO:0004674}; ribosome binding {GO:0043022}; RNA polymerase III type 1 promoter sequence-specific DNA binding {GO:0001002}; RNA polymerase III type 2 promoter sequence-specific DNA binding {GO:0001003}; RNA polymerase III type 3 promoter sequence-specific DNA binding {GO:0001006}; TFIIIC-class transcription factor complex binding {GO:0001156}; translation regulator activity {GO:0045182}</t>
  </si>
  <si>
    <t>PIP3 activates AKT signaling {R-MMU-1257604}; Macroautophagy {R-MMU-1632852}; MTOR signalling {R-MMU-165159}; mTORC1-mediated signalling {R-MMU-166208}; HSF1-dependent transactivation {R-MMU-3371571}; Energy dependent regulation of mTOR by LKB1-AMPK {R-MMU-380972}; CD28 dependent PI3K/Akt signaling {R-MMU-389357}; VEGFR2 mediated vascular permeability {R-MMU-5218920}; TP53 Regulates Metabolic Genes {R-MMU-5628897}; Regulation of TP53 Degradation {R-MMU-6804757}; Regulation of PTEN gene transcription {R-MMU-8943724}; Amino acids regulate mTORC1 {R-MMU-9639288}</t>
  </si>
  <si>
    <t>sp|Q9CZU3|MTREX_MOUSE</t>
  </si>
  <si>
    <t>Exosome RNA helicase MTR4</t>
  </si>
  <si>
    <t>ATP-dependent helicase SKIV2L2; Superkiller viralicidic activity 2-like 2; TRAMP-like complex helicase</t>
  </si>
  <si>
    <t>MTREX_MOUSE</t>
  </si>
  <si>
    <t>Q9CZU3</t>
  </si>
  <si>
    <t>Skiv2l2</t>
  </si>
  <si>
    <t>MGI:1919448</t>
  </si>
  <si>
    <t>Acetylation; ATP-binding; DNA damage; Helicase; Hydrolase; Isopeptide bond; mRNA processing; mRNA splicing; Nucleotide-binding; Nucleus; Phosphoprotein; rRNA processing; Spliceosome; Ubl conjugation</t>
  </si>
  <si>
    <t>DNA damage; mRNA processing; mRNA splicing; rRNA processing</t>
  </si>
  <si>
    <t>Helicase; Hydrolase</t>
  </si>
  <si>
    <t>cellular response to DNA damage stimulus {GO:0006974}; maturation of 5.8S rRNA {GO:0000460}; mRNA processing {GO:0006397}; RNA catabolic process {GO:0006401}; RNA splicing {GO:0008380}; rRNA processing {GO:0006364}</t>
  </si>
  <si>
    <t>catalytic step 2 spliceosome {GO:0071013}; exosome (RNase complex) {GO:0000178}; nuclear exosome (RNase complex) {GO:0000176}; nuclear speck {GO:0016607}; nucleolus {GO:0005730}; nucleoplasm {GO:0005654}; nucleus {GO:0005634}; TRAMP complex {GO:0031499}</t>
  </si>
  <si>
    <t>sp|Q505B7|ARCH_MOUSE</t>
  </si>
  <si>
    <t>Protein archease</t>
  </si>
  <si>
    <t>Protein ZBTB8OS</t>
  </si>
  <si>
    <t>ARCH_MOUSE</t>
  </si>
  <si>
    <t>Q505B7</t>
  </si>
  <si>
    <t>Q8R0S8; Q9CQ53; Q9D770</t>
  </si>
  <si>
    <t>Arch</t>
  </si>
  <si>
    <t>MGI:1914356</t>
  </si>
  <si>
    <t>Acetylation; Alternative splicing; Calcium; Metal-binding; tRNA processing</t>
  </si>
  <si>
    <t>tRNA splicing, via endonucleolytic cleavage and ligation {GO:0006388}</t>
  </si>
  <si>
    <t>tRNA-splicing ligase complex {GO:0072669}</t>
  </si>
  <si>
    <t>sp|O35969|GAMT_MOUSE</t>
  </si>
  <si>
    <t>Guanidinoacetate N-methyltransferase</t>
  </si>
  <si>
    <t>GAMT_MOUSE</t>
  </si>
  <si>
    <t>O35969</t>
  </si>
  <si>
    <t>Q3TZ58; Q3US90</t>
  </si>
  <si>
    <t>MGI:1098221</t>
  </si>
  <si>
    <t>Acetylation; Alternative splicing; Cell projection; Methyltransferase; Phosphoprotein; S-adenosyl-L-methionine; Transferase</t>
  </si>
  <si>
    <t>animal organ morphogenesis {GO:0009887}; creatine biosynthetic process {GO:0006601}; methylation {GO:0032259}; regulation of multicellular organism growth {GO:0040014}; S-adenosylhomocysteine metabolic process {GO:0046498}; S-adenosylmethionine metabolic process {GO:0046500}; spermatogenesis {GO:0007283}</t>
  </si>
  <si>
    <t>cytoplasm {GO:0005737}; cytosol {GO:0005829}; microvillus {GO:0005902}; nucleus {GO:0005634}</t>
  </si>
  <si>
    <t>guanidinoacetate N-methyltransferase activity {GO:0030731}; identical protein binding {GO:0042802}; S-adenosylmethionine-dependent methyltransferase activity {GO:0008757}</t>
  </si>
  <si>
    <t>Amine and polyamine biosynthesis; creatine biosynthesis; creatine from L-arginine and glycine: step 2/2.</t>
  </si>
  <si>
    <t>Creatine metabolism {R-MMU-71288}</t>
  </si>
  <si>
    <t>sp|Q2YDW2|MSTO1_MOUSE</t>
  </si>
  <si>
    <t>Protein misato homolog 1</t>
  </si>
  <si>
    <t>MSTO1_MOUSE</t>
  </si>
  <si>
    <t>Q2YDW2</t>
  </si>
  <si>
    <t>Q3TJ50; Q3TLZ1; Q3TQV9; Q922H6</t>
  </si>
  <si>
    <t>MGI:2385175</t>
  </si>
  <si>
    <t>Alternative splicing; Cytoplasm; Membrane; Mitochondrion; Mitochondrion outer membrane; Phosphoprotein</t>
  </si>
  <si>
    <t>mitochondrion distribution {GO:0048311}; mitochondrion organization {GO:0007005}</t>
  </si>
  <si>
    <t>cytoplasm {GO:0005737}; cytosol {GO:0005829}; mitochondrial outer membrane {GO:0005741}</t>
  </si>
  <si>
    <t>sp|P46460|NSF_MOUSE</t>
  </si>
  <si>
    <t>Vesicle-fusing ATPase</t>
  </si>
  <si>
    <t>N-ethylmaleimide-sensitive fusion protein (NEM-sensitive fusion protein); Suppressor of K(+) transport growth defect 2 (Protein SKD2); Vesicular-fusion protein NSF</t>
  </si>
  <si>
    <t>NSF_MOUSE</t>
  </si>
  <si>
    <t>P46460</t>
  </si>
  <si>
    <t>A2A646; Q8BQ65; Q8C3R2; Q8CCT9; Q8CEF0; Q923C6</t>
  </si>
  <si>
    <t>Skd2</t>
  </si>
  <si>
    <t>MGI:104560</t>
  </si>
  <si>
    <t>Acetylation; ATP-binding; Cytoplasm; Hydrolase; Magnesium; Metal-binding; Nucleotide-binding; Phosphoprotein; Protein transport; Repeat; Transport</t>
  </si>
  <si>
    <t>Golgi to plasma membrane protein transport {GO:0043001}; intra-Golgi vesicle-mediated transport {GO:0006891}; intracellular protein transport {GO:0006886}; positive regulation of protein catabolic process {GO:0045732}; positive regulation of receptor recycling {GO:0001921}; potassium ion transport {GO:0006813}; protein transport {GO:0015031}; protein-containing complex disassembly {GO:0032984}; regulation of exocytosis {GO:0017157}; regulation of receptor internalization {GO:0002090}; SNARE complex disassembly {GO:0035494}; vesicle-mediated transport {GO:0016192}</t>
  </si>
  <si>
    <t>cytosol {GO:0005829}; dendritic shaft {GO:0043198}; Golgi apparatus {GO:0005794}; Golgi stack {GO:0005795}; myelin sheath {GO:0043209}; plasma membrane {GO:0005886}; postsynaptic density {GO:0014069}</t>
  </si>
  <si>
    <t>ATP binding {GO:0005524}; ATP hydrolysis activity {GO:0016887}; ATP-dependent protein binding {GO:0043008}; ATP-dependent protein disaggregase activity {GO:0140545}; D1 dopamine receptor binding {GO:0031748}; ionotropic glutamate receptor binding {GO:0035255}; metal ion binding {GO:0046872}; PDZ domain binding {GO:0030165}; protein C-terminus binding {GO:0008022}; protein kinase binding {GO:0019901}; protein-containing complex binding {GO:0044877}; small GTPase binding {GO:0031267}; SNARE binding {GO:0000149}; syntaxin binding {GO:0019905}; syntaxin-1 binding {GO:0017075}</t>
  </si>
  <si>
    <t>COPII-mediated vesicle transport {R-MMU-204005}; Trafficking of GluR2-containing AMPA receptors {R-MMU-416993}; COPI-mediated anterograde transport {R-MMU-6807878}; COPI-dependent Golgi-to-ER retrograde traffic {R-MMU-6811434}; Intra-Golgi traffic {R-MMU-6811438}; Retrograde transport at the Trans-Golgi-Network {R-MMU-6811440}</t>
  </si>
  <si>
    <t>sp|Q9JLI8|SART3_MOUSE</t>
  </si>
  <si>
    <t>Squamous cell carcinoma antigen recognized by T-cells 3 (SART-3; mSART-3)</t>
  </si>
  <si>
    <t>Tumor-rejection antigen SART3</t>
  </si>
  <si>
    <t>SART3_MOUSE</t>
  </si>
  <si>
    <t>Q9JLI8</t>
  </si>
  <si>
    <t>Q6ZQI2; Q8BPK9; Q8C3B7; Q8CFU9</t>
  </si>
  <si>
    <t>MGI:1858230</t>
  </si>
  <si>
    <t>Acetylation; Alternative splicing; Coiled coil; Cytoplasm; Methylation; mRNA processing; mRNA splicing; Nucleus; Phosphoprotein; Repeat; RNA-binding</t>
  </si>
  <si>
    <t>cell morphogenesis {GO:0000902}; hematopoietic stem cell proliferation {GO:0071425}; homeostasis of number of cells {GO:0048872}; mRNA splicing, via spliceosome {GO:0000398}; nucleosome assembly {GO:0006334}; positive regulation of histone deubiquitination {GO:1903586}; regulation of gene expression {GO:0010468}; spliceosomal snRNP assembly {GO:0000387}; spliceosomal tri-snRNP complex assembly {GO:0000244}</t>
  </si>
  <si>
    <t>ASAP complex {GO:0061574}; Cajal body {GO:0015030}; cytoplasm {GO:0005737}; nuclear speck {GO:0016607}; nucleoplasm {GO:0005654}; nucleus {GO:0005634}; U4/U6 snRNP {GO:0071001}; U6atac snRNP {GO:0005691}</t>
  </si>
  <si>
    <t>histone binding {GO:0042393}; RNA binding {GO:0003723}; U4 snRNA binding {GO:0030621}; U6 snRNA binding {GO:0017070}; U6atac snRNA binding {GO:0030624}; ubiquitin-specific protease binding {GO:1990381}</t>
  </si>
  <si>
    <t>sp|Q9ESN9|JIP3_MOUSE</t>
  </si>
  <si>
    <t>sp|Q6A0A2|LAR4B_MOUSE</t>
  </si>
  <si>
    <t>La-related protein 4B</t>
  </si>
  <si>
    <t>La ribonucleoprotein domain family member 4B; La ribonucleoprotein domain family member 5; La-related protein 5</t>
  </si>
  <si>
    <t>LAR4B_MOUSE</t>
  </si>
  <si>
    <t>Q6A0A2</t>
  </si>
  <si>
    <t>Q3TUH7; Q6AZA8; Q8BJP3; Q8BY17</t>
  </si>
  <si>
    <t>D13Wsu64e; Kiaa0217; Larp5</t>
  </si>
  <si>
    <t>MGI:106330</t>
  </si>
  <si>
    <t>Acetylation; Alternative splicing; Cytoplasm; Methylation; Phosphoprotein; RNA-binding; Translation regulation</t>
  </si>
  <si>
    <t>positive regulation of 3'-UTR-mediated mRNA stabilization {GO:1905870}; positive regulation of translation {GO:0045727}</t>
  </si>
  <si>
    <t>cytoplasmic stress granule {GO:0010494}; cytosol {GO:0005829}; nucleolus {GO:0005730}; polysomal ribosome {GO:0042788}</t>
  </si>
  <si>
    <t>mRNA 3'-UTR binding {GO:0003730}; RNA binding {GO:0003723}</t>
  </si>
  <si>
    <t>sp|Q810A7|DDX42_MOUSE</t>
  </si>
  <si>
    <t>ATP-dependent RNA helicase DDX42</t>
  </si>
  <si>
    <t>DEAD box protein 42</t>
  </si>
  <si>
    <t>DDX42_MOUSE</t>
  </si>
  <si>
    <t>Q810A7</t>
  </si>
  <si>
    <t>Q3TAN3; Q3TE60; Q8BWZ7; Q9D8Q2</t>
  </si>
  <si>
    <t>MGI:1919297</t>
  </si>
  <si>
    <t>Acetylation; Alternative splicing; ATP-binding; Coiled coil; Cytoplasm; Helicase; Hydrolase; Isopeptide bond; Methylation; Nucleotide-binding; Nucleus; Phosphoprotein; RNA-binding; Ubl conjugation</t>
  </si>
  <si>
    <t>protein localization {GO:0008104}; regulation of apoptotic process {GO:0042981}</t>
  </si>
  <si>
    <t>cytoplasm {GO:0005737}; cytosol {GO:0005829}; nuclear speck {GO:0016607}; nucleus {GO:0005634}</t>
  </si>
  <si>
    <t>sp|Q06890|CLUS_MOUSE</t>
  </si>
  <si>
    <t>Clusterin alpha chain</t>
  </si>
  <si>
    <t>Apolipoprotein J (Apo-J); Clustrin; Sulfated glycoprotein 2 (SGP-2)</t>
  </si>
  <si>
    <t>CLUS_MOUSE</t>
  </si>
  <si>
    <t>Q06890</t>
  </si>
  <si>
    <t>MGI:88423</t>
  </si>
  <si>
    <t>Chaperone; Cytoplasm; Cytoplasmic vesicle; Disulfide bond; Endoplasmic reticulum; Glycoprotein; Membrane; Microsome; Mitochondrion; Nucleus; Phosphoprotein; Secreted; Signal; Ubl conjugation</t>
  </si>
  <si>
    <t>Cytoplasm; Cytoplasmic vesicle; Endoplasmic reticulum; Membrane; Microsome; Mitochondrion; Nucleus; Secreted</t>
  </si>
  <si>
    <t>Disulfide bond; Glycoprotein; Phosphoprotein; Ubl conjugation</t>
  </si>
  <si>
    <t>cell morphogenesis {GO:0000902}; central nervous system myelin maintenance {GO:0032286}; chaperone-mediated protein complex assembly {GO:0051131}; chaperone-mediated protein folding {GO:0061077}; endocrine pancreas development {GO:0031018}; immune complex clearance {GO:0002434}; intrinsic apoptotic signaling pathway {GO:0097193}; microglial cell activation {GO:0001774}; microglial cell proliferation {GO:0061518}; negative regulation of amyloid fibril formation {GO:1905907}; negative regulation of amyloid-beta formation {GO:1902430}; negative regulation of apoptotic process {GO:0043066}; negative regulation of cell death {GO:0060548}; negative regulation of cellular response to thapsigargin {GO:1905892}; negative regulation of cellular response to tunicamycin {GO:1905895}; negative regulation of intrinsic apoptotic signaling pathway in response to DNA damage {GO:1902230}; negative regulation of protein-containing complex assembly {GO:0031333}; negative regulation of response to endoplasmic reticulum stress {GO:1903573}; neuron projection morphogenesis {GO:0048812}; positive regulation of amyloid-beta formation {GO:1902004}; positive regulation of apoptotic process {GO:0043065}; positive regulation of cell differentiation {GO:0045597}; positive regulation of cell population proliferation {GO:0008284}; positive regulation of gene expression {GO:0010628}; positive regulation of intrinsic apoptotic signaling pathway {GO:2001244}; positive regulation of neurofibrillary tangle assembly {GO:1902998}; positive regulation of neuron death {GO:1901216}; positive regulation of NF-kappaB transcription factor activity {GO:0051092}; positive regulation of nitric oxide biosynthetic process {GO:0045429}; positive regulation of proteasomal ubiquitin-dependent protein catabolic process {GO:0032436}; positive regulation of protein-containing complex assembly {GO:0031334}; positive regulation of receptor-mediated endocytosis {GO:0048260}; positive regulation of tau-protein kinase activity {GO:1902949}; positive regulation of tumor necrosis factor production {GO:0032760}; positive regulation of ubiquitin-dependent protein catabolic process {GO:2000060}; protein import {GO:0017038}; protein stabilization {GO:0050821}; protein targeting to lysosome involved in chaperone-mediated autophagy {GO:0061740}; regulation of amyloid-beta clearance {GO:1900221}; regulation of apoptotic process {GO:0042981}; regulation of cell population proliferation {GO:0042127}; regulation of neuron death {GO:1901214}; regulation of neuronal signal transduction {GO:1902847}; response to misfolded protein {GO:0051788}; response to virus {GO:0009615}</t>
  </si>
  <si>
    <t>aggresome {GO:0016235}; apical dendrite {GO:0097440}; cell periphery {GO:0071944}; cell surface {GO:0009986}; chromaffin granule {GO:0042583}; cytoplasm {GO:0005737}; cytoskeleton {GO:0005856}; cytosol {GO:0005829}; extracellular space {GO:0005615}; growth cone {GO:0030426}; intracellular membrane-bounded organelle {GO:0043231}; membrane {GO:0016020}; mitochondrial inner membrane {GO:0005743}; mitochondrion {GO:0005739}; neurofibrillary tangle {GO:0097418}; neuron projection {GO:0043005}; nucleus {GO:0005634}; perinuclear endoplasmic reticulum lumen {GO:0099020}; perinuclear region of cytoplasm {GO:0048471}; protein-containing complex {GO:0032991}; spherical high-density lipoprotein particle {GO:0034366}; synapse {GO:0045202}</t>
  </si>
  <si>
    <t>amyloid-beta binding {GO:0001540}; low-density lipoprotein particle receptor binding {GO:0050750}; misfolded protein binding {GO:0051787}; protein carrier chaperone {GO:0140597}; protein N-terminus binding {GO:0047485}; protein-containing complex binding {GO:0044877}; signaling receptor binding {GO:0005102}; tau protein binding {GO:0048156}; ubiquitin protein ligase binding {GO:0031625}; unfolded protein binding {GO:0051082}</t>
  </si>
  <si>
    <t>Platelet degranulation {R-MMU-114608}; Terminal pathway of complement {R-MMU-166665}; Antimicrobial peptides {R-MMU-6803157}; Regulation of Complement cascade {R-MMU-977606}</t>
  </si>
  <si>
    <t>sp|O35465|FKBP8_MOUSE</t>
  </si>
  <si>
    <t>Peptidyl-prolyl cis-trans isomerase FKBP8 (PPIase FKBP8)</t>
  </si>
  <si>
    <t>38 kDa FK506-binding protein (38 kDa FKBP; FKBP-38; mFKBP38); FK506-binding protein 8 (FKBP-8); FKBPR38; Rotamase</t>
  </si>
  <si>
    <t>FKBP8_MOUSE</t>
  </si>
  <si>
    <t>O35465</t>
  </si>
  <si>
    <t>Q3UK86; Q6GTX9; Q811M7; Q811R4; Q8C2F0; Q99L93</t>
  </si>
  <si>
    <t>Fkbp38; Sam11</t>
  </si>
  <si>
    <t>MGI:1341070</t>
  </si>
  <si>
    <t>Alternative splicing; Apoptosis; Calcium; Isomerase; Isopeptide bond; Membrane; Mitochondrion; Phosphoprotein; Repeat; Rotamase; TPR repeat; Transmembrane; Transmembrane helix; Ubl conjugation</t>
  </si>
  <si>
    <t>apoptotic process {GO:0006915}; BMP signaling pathway {GO:0030509}; camera-type eye development {GO:0043010}; cell fate specification {GO:0001708}; dorsal/ventral neural tube patterning {GO:0021904}; dorsal/ventral pattern formation {GO:0009953}; multicellular organism growth {GO:0035264}; negative regulation of apoptotic process {GO:0043066}; negative regulation of protein phosphorylation {GO:0001933}; neural tube development {GO:0021915}; neuron fate specification {GO:0048665}; positive regulation of BMP signaling pathway {GO:0030513}; protein folding {GO:0006457}; regulation of BMP signaling pathway {GO:0030510}; regulation of gene expression {GO:0010468}; smoothened signaling pathway {GO:0007224}</t>
  </si>
  <si>
    <t>cytosol {GO:0005829}; endomembrane system {GO:0012505}; endoplasmic reticulum {GO:0005783}; integral component of endoplasmic reticulum membrane {GO:0030176}; membrane {GO:0016020}; mitochondrial envelope {GO:0005740}; mitochondrial membrane {GO:0031966}; mitochondrion {GO:0005739}; protein-containing complex {GO:0032991}</t>
  </si>
  <si>
    <t>disordered domain specific binding {GO:0097718}; identical protein binding {GO:0042802}; peptidyl-prolyl cis-trans isomerase activity {GO:0003755}; protein folding chaperone {GO:0044183}</t>
  </si>
  <si>
    <t>sp|Q3UGR5|HDHD2_MOUSE</t>
  </si>
  <si>
    <t>Haloacid dehalogenase-like hydrolase domain-containing protein 2</t>
  </si>
  <si>
    <t>HDHD2_MOUSE</t>
  </si>
  <si>
    <t>Q3UGR5</t>
  </si>
  <si>
    <t>Q3U8M0; Q6PEB2; Q9CXN1; Q9DCF2</t>
  </si>
  <si>
    <t>MGI:1924237</t>
  </si>
  <si>
    <t>3D-structure; Alternative splicing; Coiled coil; Magnesium; Metal-binding</t>
  </si>
  <si>
    <t>dephosphorylation {GO:0016311}</t>
  </si>
  <si>
    <t>enzyme binding {GO:0019899}; metal ion binding {GO:0046872}; phosphatase activity {GO:0016791}</t>
  </si>
  <si>
    <t>sp|Q8CGA0|PPM1F_MOUSE</t>
  </si>
  <si>
    <t>Protein phosphatase 1F</t>
  </si>
  <si>
    <t>Ca(2+)/calmodulin-dependent protein kinase phosphatase (CaM-kinase phosphatase; CaMKPase)</t>
  </si>
  <si>
    <t>PPM1F_MOUSE</t>
  </si>
  <si>
    <t>Q8CGA0</t>
  </si>
  <si>
    <t>MGI:1918464</t>
  </si>
  <si>
    <t>Apoptosis; Hydrolase; Magnesium; Manganese; Metal-binding; Phosphoprotein; Protein phosphatase</t>
  </si>
  <si>
    <t>cellular response to xenobiotic stimulus {GO:0071466}; intrinsic apoptotic signaling pathway {GO:0097193}; negative regulation of cell-cell adhesion mediated by cadherin {GO:2000048}; negative regulation of DNA-templated transcription {GO:0045892}; negative regulation of peptidyl-serine phosphorylation {GO:0033137}; negative regulation of protein kinase activity {GO:0006469}; negative regulation of protein kinase activity by regulation of protein phosphorylation {GO:0044387}; negative regulation of protein transport {GO:0051224}; peptidyl-serine dephosphorylation {GO:0070262}; peptidyl-threonine dephosphorylation {GO:0035970}; positive regulation of cell migration {GO:0030335}; positive regulation of cell-substrate adhesion {GO:0010811}; positive regulation of chemotaxis {GO:0050921}; positive regulation of cysteine-type endopeptidase activity involved in apoptotic process {GO:0043280}; positive regulation of epithelial cell migration {GO:0010634}; positive regulation of focal adhesion assembly {GO:0051894}; positive regulation of gene expression {GO:0010628}; positive regulation of growth {GO:0045927}; positive regulation of stress fiber assembly {GO:0051496}; protein dephosphorylation {GO:0006470}; regulation of protein localization {GO:0032880}</t>
  </si>
  <si>
    <t>cytosol {GO:0005829}; nucleus {GO:0005634}; perinuclear region of cytoplasm {GO:0048471}; protein-containing complex {GO:0032991}</t>
  </si>
  <si>
    <t>calmodulin-dependent protein phosphatase activity {GO:0033192}; metal ion binding {GO:0046872}; myosin phosphatase activity {GO:0017018}; phosphoprotein phosphatase activity {GO:0004721}; protein serine/threonine phosphatase activity {GO:0004722}; protein tyrosine/serine/threonine phosphatase activity {GO:0008138}</t>
  </si>
  <si>
    <t>sp|Q9JKX6|NUDT5_MOUSE</t>
  </si>
  <si>
    <t>ADP-sugar pyrophosphatase</t>
  </si>
  <si>
    <t>8-oxo-dGDP phosphatase; Nuclear ATP-synthesis protein NUDIX5; Nucleoside diphosphate-linked moiety X motif 5 (Nudix motif 5)</t>
  </si>
  <si>
    <t>NUDT5_MOUSE</t>
  </si>
  <si>
    <t>Q9JKX6</t>
  </si>
  <si>
    <t>A2ATT6; Q99KM4</t>
  </si>
  <si>
    <t>MGI:1858232</t>
  </si>
  <si>
    <t>Acetylation; Hydrolase; Isopeptide bond; Magnesium; Metal-binding; Nucleus; Phosphoprotein; RNA-binding; Transferase; Ubl conjugation</t>
  </si>
  <si>
    <t>Hydrolase; RNA-binding; Transferase</t>
  </si>
  <si>
    <t>ATP generation from poly-ADP-D-ribose {GO:1990966}; chromatin remodeling {GO:0006338}; D-ribose catabolic process {GO:0019303}; nucleobase-containing compound metabolic process {GO:0006139}; nucleoside phosphate metabolic process {GO:0006753}; ribonucleoside diphosphate catabolic process {GO:0009191}; ribose phosphate metabolic process {GO:0019693}</t>
  </si>
  <si>
    <t>8-oxo-dGDP phosphatase activity {GO:0044715}; 8-oxo-GDP phosphatase activity {GO:0044716}; ADP-ribose diphosphatase activity {GO:0047631}; ADP-sugar diphosphatase activity {GO:0019144}; identical protein binding {GO:0042802}; magnesium ion binding {GO:0000287}; nucleoside diphosphate phosphatase activity {GO:0017110}; nucleotidyltransferase activity {GO:0016779}; protein homodimerization activity {GO:0042803}; snoRNA binding {GO:0030515}</t>
  </si>
  <si>
    <t>Phosphate bond hydrolysis by NUDT proteins {R-MMU-2393930}</t>
  </si>
  <si>
    <t>sp|Q3UMU9|HDGR2_MOUSE</t>
  </si>
  <si>
    <t>Hepatoma-derived growth factor-related protein 2 (HRP-2)</t>
  </si>
  <si>
    <t>HDGR2_MOUSE</t>
  </si>
  <si>
    <t>Q3UMU9</t>
  </si>
  <si>
    <t>D6CHX5; O35540; Q3UIH6; Q99L92</t>
  </si>
  <si>
    <t>Hdgfrp2</t>
  </si>
  <si>
    <t>MGI:1194492</t>
  </si>
  <si>
    <t>Alternative splicing; Coiled coil; Cytoplasm; DNA damage; DNA recombination; DNA repair; Isopeptide bond; Myogenesis; Nucleus; Phosphoprotein; Ubl conjugation</t>
  </si>
  <si>
    <t>DNA damage; DNA recombination; DNA repair; Myogenesis</t>
  </si>
  <si>
    <t>DNA recombination {GO:0006310}; DNA repair {GO:0006281}; muscle cell differentiation {GO:0042692}; muscle organ development {GO:0007517}; positive regulation of cell growth {GO:0030307}; positive regulation of double-strand break repair via homologous recombination {GO:1905168}; regulation of transcription by RNA polymerase II {GO:0006357}; skeletal muscle tissue regeneration {GO:0043403}</t>
  </si>
  <si>
    <t>double-stranded DNA binding {GO:0003690}; H3K27me3 modified histone binding {GO:0061628}; H3K9me3 modified histone binding {GO:0062072}; methylated histone binding {GO:0035064}; transcription coregulator activity {GO:0003712}</t>
  </si>
  <si>
    <t>sp|B2RY04|DOCK5_MOUSE</t>
  </si>
  <si>
    <t>Dedicator of cytokinesis protein 5</t>
  </si>
  <si>
    <t>Lens rupture protein 2; Rupture of lens cataract protein</t>
  </si>
  <si>
    <t>DOCK5_MOUSE</t>
  </si>
  <si>
    <t>B2RY04</t>
  </si>
  <si>
    <t>E9QLI4</t>
  </si>
  <si>
    <t>MGI:2652871</t>
  </si>
  <si>
    <t>Acetylation; Cataract; Cell membrane; Cytoplasm; Guanine-nucleotide releasing factor; Membrane; Phosphoprotein; SH3 domain</t>
  </si>
  <si>
    <t>cell migration {GO:0016477}; myoblast fusion {GO:0007520}; negative regulation of vascular associated smooth muscle contraction {GO:1904694}; positive regulation of epithelial cell migration {GO:0010634}; positive regulation of substrate adhesion-dependent cell spreading {GO:1900026}; positive regulation of vascular associated smooth muscle cell migration {GO:1904754}; small GTPase mediated signal transduction {GO:0007264}</t>
  </si>
  <si>
    <t>GTPase activator activity {GO:0005096}; guanyl-nucleotide exchange factor activity {GO:0005085}; small GTPase binding {GO:0031267}</t>
  </si>
  <si>
    <t>RAC1 GTPase cycle {R-MMU-9013149}; RHOG GTPase cycle {R-MMU-9013408}; Factors involved in megakaryocyte development and platelet production {R-MMU-983231}</t>
  </si>
  <si>
    <t>sp|Q9Z223|MOC2B_MOUSE</t>
  </si>
  <si>
    <t>Molybdopterin synthase catalytic subunit</t>
  </si>
  <si>
    <t>Molybdenum cofactor synthesis protein 2 large subunit; Molybdenum cofactor synthesis protein 2B (MOCS2B)</t>
  </si>
  <si>
    <t>MOC2B_MOUSE</t>
  </si>
  <si>
    <t>Q9Z223</t>
  </si>
  <si>
    <t>Q8C5E5; Q8R1M7; Q9DCK1</t>
  </si>
  <si>
    <t>MGI:1336894</t>
  </si>
  <si>
    <t>Alternative splicing; Cytoplasm; Molybdenum cofactor biosynthesis; Phosphoprotein; Transferase</t>
  </si>
  <si>
    <t>Molybdenum cofactor biosynthesis</t>
  </si>
  <si>
    <t>Mo-molybdopterin cofactor biosynthetic process {GO:0006777}</t>
  </si>
  <si>
    <t>cytosol {GO:0005829}; molybdopterin synthase complex {GO:0019008}; nuclear speck {GO:0016607}; nucleoplasm {GO:0005654}</t>
  </si>
  <si>
    <t>identical protein binding {GO:0042802}; molybdopterin synthase activity {GO:0030366}</t>
  </si>
  <si>
    <t>Cofactor biosynthesis; molybdopterin biosynthesis.</t>
  </si>
  <si>
    <t>sp|O88738|BIRC6_MOUSE</t>
  </si>
  <si>
    <t>Baculoviral IAP repeat-containing protein 6</t>
  </si>
  <si>
    <t>BIR repeat-containing ubiquitin-conjugating enzyme (BRUCE); RING-type E3 ubiquitin transferase BIRC6; Ubiquitin-conjugating BIR domain enzyme apollon (APOLLON)</t>
  </si>
  <si>
    <t>BIRC6_MOUSE</t>
  </si>
  <si>
    <t>O88738</t>
  </si>
  <si>
    <t>E9PYU6; Q69ZM5; Q8BNX0; Q8BR72; Q8BRV7; Q8C737</t>
  </si>
  <si>
    <t>Kiaa1289</t>
  </si>
  <si>
    <t>MGI:1276108</t>
  </si>
  <si>
    <t>Alternative splicing; Apoptosis; Cell cycle; Cell division; Cytoplasm; Cytoskeleton; Endosome; Golgi apparatus; Membrane; Mitosis; Phosphoprotein; Protease inhibitor; Thiol protease inhibitor; Transferase; Ubl conjugation; Ubl conjugation pathway</t>
  </si>
  <si>
    <t>Apoptosis; Cell cycle; Cell division; Mitosis; Ubl conjugation pathway</t>
  </si>
  <si>
    <t>Cytoplasm; Cytoskeleton; Endosome; Golgi apparatus; Membrane</t>
  </si>
  <si>
    <t>apoptotic process {GO:0006915}; cell cycle {GO:0007049}; cell division {GO:0051301}; cell population proliferation {GO:0008283}; labyrinthine layer development {GO:0060711}; negative regulation of apoptotic process {GO:0043066}; negative regulation of extrinsic apoptotic signaling pathway {GO:2001237}; placenta development {GO:0001890}; positive regulation of cell population proliferation {GO:0008284}; protein ubiquitination {GO:0016567}; regulation of cell population proliferation {GO:0042127}; regulation of cytokinesis {GO:0032465}; spongiotrophoblast layer development {GO:0060712}</t>
  </si>
  <si>
    <t>endosome {GO:0005768}; Flemming body {GO:0090543}; membrane {GO:0016020}; microtubule organizing center {GO:0005815}; midbody {GO:0030496}; nucleus {GO:0005634}; spindle pole {GO:0000922}; trans-Golgi network {GO:0005802}</t>
  </si>
  <si>
    <t>cysteine-type endopeptidase inhibitor activity {GO:0004869}; ubiquitin conjugating enzyme activity {GO:0061631}; ubiquitin-protein transferase activity {GO:0004842}</t>
  </si>
  <si>
    <t>sp|Q8N9S3|AHSA2_MOUSE</t>
  </si>
  <si>
    <t>Activator of 90 kDa heat shock protein ATPase homolog 2</t>
  </si>
  <si>
    <t>AHSA2_MOUSE</t>
  </si>
  <si>
    <t>Q8N9S3</t>
  </si>
  <si>
    <t>Q0P626; Q6P3F2; Q7TMW7; Q8CBI4</t>
  </si>
  <si>
    <t>MGI:1916133</t>
  </si>
  <si>
    <t>Alternative splicing; Chaperone; Stress response</t>
  </si>
  <si>
    <t>positive regulation of ATP-dependent activity {GO:0032781}; protein folding {GO:0006457}</t>
  </si>
  <si>
    <t>ATPase activator activity {GO:0001671}; chaperone binding {GO:0051087}; Hsp90 protein binding {GO:0051879}</t>
  </si>
  <si>
    <t>sp|Q9ET26|RN114_MOUSE</t>
  </si>
  <si>
    <t>E3 ubiquitin-protein ligase RNF114</t>
  </si>
  <si>
    <t>RING finger protein 114; RING-type E3 ubiquitin transferase RNF114; Zinc finger protein 228; Zinc finger protein 313</t>
  </si>
  <si>
    <t>RN114_MOUSE</t>
  </si>
  <si>
    <t>Q9ET26</t>
  </si>
  <si>
    <t>Q3UFU8; Q8K5A2</t>
  </si>
  <si>
    <t>Zfp228; Zfp313; Znf228; Znf313</t>
  </si>
  <si>
    <t>MGI:1933159</t>
  </si>
  <si>
    <t>Acetylation; Cytoplasm; Developmental protein; Differentiation; Metal-binding; Nucleus; Spermatogenesis; Transferase; Ubl conjugation; Ubl conjugation pathway; Zinc; Zinc-finger</t>
  </si>
  <si>
    <t>cell differentiation {GO:0030154}; protein polyubiquitination {GO:0000209}; spermatogenesis {GO:0007283}; ubiquitin-dependent protein catabolic process {GO:0006511}</t>
  </si>
  <si>
    <t>sp|Q9Z1T1|AP3B1_MOUSE</t>
  </si>
  <si>
    <t>AP-3 complex subunit beta-1</t>
  </si>
  <si>
    <t>Adaptor protein complex AP-3 subunit beta-1; Adaptor-related protein complex 3 subunit beta-1; Beta-3A-adaptin; Clathrin assembly protein complex 3 beta-1 large chain</t>
  </si>
  <si>
    <t>AP3B1_MOUSE</t>
  </si>
  <si>
    <t>Q9Z1T1</t>
  </si>
  <si>
    <t>E9QQ08; Q91YR4</t>
  </si>
  <si>
    <t>MGI:1333879</t>
  </si>
  <si>
    <t>Cytoplasmic vesicle; Golgi apparatus; Membrane; Phosphoprotein; Protein transport; Transport</t>
  </si>
  <si>
    <t>anterograde axonal transport {GO:0008089}; anterograde synaptic vesicle transport {GO:0048490}; antigen processing and presentation {GO:0019882}; antigen processing and presentation, exogenous lipid antigen via MHC class Ib {GO:0048007}; blood coagulation {GO:0007596}; cell morphogenesis {GO:0000902}; cellular zinc ion homeostasis {GO:0006882}; clathrin-coated vesicle cargo loading, AP-3-mediated {GO:0035654}; establishment of protein localization to mitochondrial membrane involved in mitochondrial fission {GO:0090152}; granulocyte differentiation {GO:0030851}; hematopoietic progenitor cell differentiation {GO:0002244}; homeostasis of number of cells {GO:0048872}; inflammatory response {GO:0006954}; intracellular protein transport {GO:0006886}; intracellular transport {GO:0046907}; lung development {GO:0030324}; lung morphogenesis {GO:0060425}; lysosome organization {GO:0007040}; melanosome assembly {GO:1903232}; melanosome organization {GO:0032438}; membrane organization {GO:0061024}; mRNA transcription by RNA polymerase II {GO:0042789}; pigmentation {GO:0043473}; platelet dense granule organization {GO:0060155}; positive regulation of NK T cell differentiation {GO:0051138}; positive regulation of transcription by RNA polymerase II {GO:0045944}; protein localization to cell surface {GO:0034394}; protein modification process {GO:0036211}; protein targeting to lysosome {GO:0006622}; regulation of catalytic activity {GO:0050790}; respiratory system process {GO:0003016}; single fertilization {GO:0007338}; skin epidermis development {GO:0098773}; spermatogenesis {GO:0007283}; synaptic vesicle budding from endosome {GO:0016182}; toll-like receptor signaling pathway {GO:0002224}; vesicle-mediated transport {GO:0016192}; zinc ion transport {GO:0006829}</t>
  </si>
  <si>
    <t>AP-3 adaptor complex {GO:0030123}; axon cytoplasm {GO:1904115}; clathrin adaptor complex {GO:0030131}; clathrin-coated vesicle membrane {GO:0030665}; early endosome {GO:0005769}; mitochondrion {GO:0005739}; synapse {GO:0045202}; trans-Golgi network {GO:0005802}</t>
  </si>
  <si>
    <t>GTP-dependent protein binding {GO:0030742}; protein phosphatase binding {GO:0019903}</t>
  </si>
  <si>
    <t>sp|P06837|NEUM_MOUSE</t>
  </si>
  <si>
    <t>Neuromodulin</t>
  </si>
  <si>
    <t>Axonal membrane protein GAP-43; Calmodulin-binding protein P-57; Growth-associated protein 43</t>
  </si>
  <si>
    <t>NEUM_MOUSE</t>
  </si>
  <si>
    <t>P06837</t>
  </si>
  <si>
    <t>Basp2</t>
  </si>
  <si>
    <t>MGI:95639</t>
  </si>
  <si>
    <t>3D-structure; Calmodulin-binding; Cell membrane; Cell projection; Cytoplasm; Developmental protein; Differentiation; Growth regulation; Lipoprotein; Membrane; Neurogenesis; Palmitate; Phosphoprotein; Synapse</t>
  </si>
  <si>
    <t>Differentiation; Growth regulation; Neurogenesis</t>
  </si>
  <si>
    <t>Cell membrane; Cell projection; Cytoplasm; Membrane; Synapse</t>
  </si>
  <si>
    <t>Calmodulin-binding; Developmental protein</t>
  </si>
  <si>
    <t>astrocyte differentiation {GO:0048708}; axon choice point recognition {GO:0016198}; axon guidance {GO:0007411}; axon regeneration {GO:0031103}; cell fate commitment {GO:0045165}; radial glial cell differentiation {GO:0060019}; regulation of filopodium assembly {GO:0051489}; regulation of growth {GO:0040008}; regulation of postsynaptic specialization assembly {GO:0099150}; tissue regeneration {GO:0042246}</t>
  </si>
  <si>
    <t>anchoring junction {GO:0070161}; axon {GO:0030424}; cell periphery {GO:0071944}; cytoplasm {GO:0005737}; dendrite {GO:0030425}; filopodium membrane {GO:0031527}; GABA-ergic synapse {GO:0098982}; growth cone membrane {GO:0032584}; perikaryon {GO:0043204}; plasma membrane {GO:0005886}; postsynaptic density {GO:0014069}</t>
  </si>
  <si>
    <t>calmodulin binding {GO:0005516}; lysophosphatidic acid binding {GO:0035727}; phosphatidylinositol phosphate binding {GO:1901981}; phosphatidylserine binding {GO:0001786}</t>
  </si>
  <si>
    <t>sp|Q9DCS2|MTL26_MOUSE</t>
  </si>
  <si>
    <t>Methyltransferase-like 26</t>
  </si>
  <si>
    <t>MTL26_MOUSE</t>
  </si>
  <si>
    <t>Q9DCS2</t>
  </si>
  <si>
    <t>MGI:1915597</t>
  </si>
  <si>
    <t>sp|Q9Z0U1|ZO2_MOUSE</t>
  </si>
  <si>
    <t>Tight junction protein ZO-2</t>
  </si>
  <si>
    <t>Tight junction protein 2; Zona occludens protein 2; Zonula occludens protein 2</t>
  </si>
  <si>
    <t>ZO2_MOUSE</t>
  </si>
  <si>
    <t>Q9Z0U1</t>
  </si>
  <si>
    <t>Q8K210</t>
  </si>
  <si>
    <t>Zo2</t>
  </si>
  <si>
    <t>MGI:1341872</t>
  </si>
  <si>
    <t>3D-structure; Cell junction; Cell membrane; Membrane; Nucleus; Phosphoprotein; Repeat; SH3 domain; Tight junction</t>
  </si>
  <si>
    <t>Cell junction; Cell membrane; Membrane; Nucleus; Tight junction</t>
  </si>
  <si>
    <t>cell-cell adhesion {GO:0098609}; cell-cell junction organization {GO:0045216}; establishment of endothelial intestinal barrier {GO:0090557}; homotypic cell-cell adhesion {GO:0034109}; intestinal absorption {GO:0050892}; negative regulation of osteoclast development {GO:2001205}; positive regulation of blood-brain barrier permeability {GO:1905605}; protein localization to cell-cell junction {GO:0150105}; regulation of membrane permeability {GO:0090559}; TNFSF11-mediated signaling pathway {GO:0071847}</t>
  </si>
  <si>
    <t>bicellular tight junction {GO:0005923}; cell junction {GO:0030054}; cell surface {GO:0009986}; cell-cell contact zone {GO:0044291}; cell-cell junction {GO:0005911}; gap junction {GO:0005921}; nucleus {GO:0005634}; plasma membrane {GO:0005886}; tight junction {GO:0070160}</t>
  </si>
  <si>
    <t>cell adhesion molecule binding {GO:0050839}; protein C-terminus binding {GO:0008022}; protein domain specific binding {GO:0019904}; protein tyrosine kinase binding {GO:1990782}; protein-macromolecule adaptor activity {GO:0030674}</t>
  </si>
  <si>
    <t>Signaling by Hippo {R-MMU-2028269}; Apoptotic cleavage of cell adhesion proteins {R-MMU-351906}; RHOA GTPase cycle {R-MMU-8980692}; RHOB GTPase cycle {R-MMU-9013026}; RHOC GTPase cycle {R-MMU-9013106}</t>
  </si>
  <si>
    <t>sp|Q8R127|SCPDL_MOUSE</t>
  </si>
  <si>
    <t>Saccharopine dehydrogenase-like oxidoreductase</t>
  </si>
  <si>
    <t>SCPDL_MOUSE</t>
  </si>
  <si>
    <t>Q8R127</t>
  </si>
  <si>
    <t>Q3TMB9</t>
  </si>
  <si>
    <t>MGI:1924486</t>
  </si>
  <si>
    <t>Acetylation; Oxidoreductase; Phosphoprotein</t>
  </si>
  <si>
    <t>glycolipid biosynthetic process {GO:0009247}</t>
  </si>
  <si>
    <t>lipid droplet {GO:0005811}; midbody {GO:0030496}; mitochondrion {GO:0005739}</t>
  </si>
  <si>
    <t>sp|Q63850|NUP62_MOUSE</t>
  </si>
  <si>
    <t>Nuclear pore glycoprotein p62</t>
  </si>
  <si>
    <t>62 kDa nucleoporin; Nucleoporin Nup62</t>
  </si>
  <si>
    <t>NUP62_MOUSE</t>
  </si>
  <si>
    <t>Q63850</t>
  </si>
  <si>
    <t>Q99JN7</t>
  </si>
  <si>
    <t>MGI:1351500</t>
  </si>
  <si>
    <t>Acetylation; Coiled coil; Cytoplasm; Cytoskeleton; Disulfide bond; Glycoprotein; mRNA transport; Nuclear pore complex; Nucleus; Phosphoprotein; Protein transport; Repeat; Translocation; Transport</t>
  </si>
  <si>
    <t>cell death {GO:0008219}; cell migration {GO:0016477}; cell surface receptor signaling pathway {GO:0007166}; cellular senescence {GO:0090398}; centriole assembly {GO:0098534}; centrosome cycle {GO:0007098}; mitotic cell cycle {GO:0000278}; mitotic centrosome separation {GO:0007100}; mitotic metaphase plate congression {GO:0007080}; mRNA transport {GO:0051028}; negative regulation of apoptotic process {GO:0043066}; negative regulation of cell population proliferation {GO:0008285}; negative regulation of epidermal growth factor receptor signaling pathway {GO:0042059}; negative regulation of MAP kinase activity {GO:0043407}; negative regulation of programmed cell death {GO:0043069}; negative regulation of Ras protein signal transduction {GO:0046580}; nucleocytoplasmic transport {GO:0006913}; positive regulation of centriole replication {GO:0046601}; positive regulation of DNA-templated transcription {GO:0045893}; positive regulation of I-kappaB kinase/NF-kappaB signaling {GO:0043123}; positive regulation of mitotic cytokinetic process {GO:1903438}; positive regulation of mitotic nuclear division {GO:0045840}; positive regulation of protein localization to centrosome {GO:1904781}; protein import into nucleus {GO:0006606}; regulation of mitotic spindle organization {GO:0060236}; regulation of protein import into nucleus {GO:0042306}; RNA export from nucleus {GO:0006405}; spermatogenesis {GO:0007283}</t>
  </si>
  <si>
    <t>annulate lamellae {GO:0005642}; centrosome {GO:0005813}; cytoplasm {GO:0005737}; Flemming body {GO:0090543}; mitotic spindle {GO:0072686}; nuclear envelope {GO:0005635}; nuclear membrane {GO:0031965}; nuclear pore {GO:0005643}; nuclear pore central transport channel {GO:0044613}; nucleoplasm {GO:0005654}; protein-containing complex {GO:0032991}; ribonucleoprotein complex {GO:1990904}; spindle pole {GO:0000922}</t>
  </si>
  <si>
    <t>Hsp70 protein binding {GO:0030544}; Hsp90 protein binding {GO:0051879}; kinesin binding {GO:0019894}; nuclear thyroid hormone receptor binding {GO:0046966}; phospholipid binding {GO:0005543}; protein-containing complex binding {GO:0044877}; PTB domain binding {GO:0051425}; SH2 domain binding {GO:0042169}; signaling receptor complex adaptor activity {GO:0030159}; structural constituent of nuclear pore {GO:0017056}; ubiquitin binding {GO:0043130}</t>
  </si>
  <si>
    <t>sp|Q9DB15|RM12_MOUSE</t>
  </si>
  <si>
    <t>39S ribosomal protein L12, mitochondrial (L12mt; MRP-L12)</t>
  </si>
  <si>
    <t>RM12_MOUSE</t>
  </si>
  <si>
    <t>Q9DB15</t>
  </si>
  <si>
    <t>B1ATZ3; Q3TKJ3; Q99JS8</t>
  </si>
  <si>
    <t>Rpml12</t>
  </si>
  <si>
    <t>MGI:1926273</t>
  </si>
  <si>
    <t>Acetylation; Mitochondrion; Ribonucleoprotein; Ribosomal protein; Transit peptide</t>
  </si>
  <si>
    <t>mitochondrial transcription {GO:0006390}; mitochondrial translation {GO:0032543}; positive regulation of DNA-templated transcription {GO:0045893}; translation {GO:0006412}</t>
  </si>
  <si>
    <t>mitochondrial inner membrane {GO:0005743}; mitochondrial large ribosomal subunit {GO:0005762}; mitochondrial ribosome {GO:0005761}; mitochondrion {GO:0005739}</t>
  </si>
  <si>
    <t>Mitochondrial translation elongation {R-MMU-5389840}; Mitochondrial translation termination {R-MMU-5419276}</t>
  </si>
  <si>
    <t>sp|Q9CRY7|GDPD1_MOUSE</t>
  </si>
  <si>
    <t>Lysophospholipase D GDPD1</t>
  </si>
  <si>
    <t>Glycerophosphodiester phosphodiesterase 4; Glycerophosphodiester phosphodiesterase domain-containing protein 1</t>
  </si>
  <si>
    <t>GDPD1_MOUSE</t>
  </si>
  <si>
    <t>Q9CRY7</t>
  </si>
  <si>
    <t>Q9CT14; Q9D4X7</t>
  </si>
  <si>
    <t>MGI:1913819</t>
  </si>
  <si>
    <t>Cytoplasm; Endoplasmic reticulum; Hydrolase; Lipid metabolism; Membrane; Metal-binding; Transmembrane; Transmembrane helix</t>
  </si>
  <si>
    <t>glycerophospholipid catabolic process {GO:0046475}; N-acylethanolamine metabolic process {GO:0070291}; phospholipid metabolic process {GO:0006644}</t>
  </si>
  <si>
    <t>endoplasmic reticulum {GO:0005783}; endoplasmic reticulum membrane {GO:0005789}; integral component of membrane {GO:0016021}; membrane {GO:0016020}; perinuclear region of cytoplasm {GO:0048471}</t>
  </si>
  <si>
    <t>lysophospholipase activity {GO:0004622}; metal ion binding {GO:0046872}; phosphoric diester hydrolase activity {GO:0008081}</t>
  </si>
  <si>
    <t>sp|Q8BVQ5|PPME1_MOUSE</t>
  </si>
  <si>
    <t>Protein phosphatase methylesterase 1 (PME-1)</t>
  </si>
  <si>
    <t>PPME1_MOUSE</t>
  </si>
  <si>
    <t>Q8BVQ5</t>
  </si>
  <si>
    <t>Q3U392; Q3UJX8; Q3UKE0; Q8K311; Q91YR8; Q9CSP7</t>
  </si>
  <si>
    <t>Pme1</t>
  </si>
  <si>
    <t>MGI:1919840</t>
  </si>
  <si>
    <t>Hydrolase; Methylation; Phosphoprotein; Serine esterase</t>
  </si>
  <si>
    <t>protein demethylation {GO:0006482}; protein phosphorylation {GO:0006468}</t>
  </si>
  <si>
    <t>lncRNA binding {GO:0106222}; protein C-terminal methylesterase activity {GO:0051722}; protein kinase binding {GO:0019901}; protein methylesterase activity {GO:0051723}; protein phosphatase 2A binding {GO:0051721}; protein phosphatase binding {GO:0019903}</t>
  </si>
  <si>
    <t>Cyclin A/B1/B2 associated events during G2/M transition {R-MMU-69273}</t>
  </si>
  <si>
    <t>sp|Q9Z2X2|PSD10_MOUSE</t>
  </si>
  <si>
    <t>26S proteasome non-ATPase regulatory subunit 10</t>
  </si>
  <si>
    <t>26S proteasome regulatory subunit p28; Gankyrin</t>
  </si>
  <si>
    <t>PSD10_MOUSE</t>
  </si>
  <si>
    <t>Q9Z2X2</t>
  </si>
  <si>
    <t>Q8R0G2; Q9D383; Q9D7N8</t>
  </si>
  <si>
    <t>MGI:1858898</t>
  </si>
  <si>
    <t>3D-structure; ANK repeat; Apoptosis; Chaperone; Cytoplasm; Nucleus; Repeat</t>
  </si>
  <si>
    <t>apoptotic process {GO:0006915}; cytoplasmic sequestering of NF-kappaB {GO:0007253}; negative regulation of apoptotic process {GO:0043066}; negative regulation of DNA damage response, signal transduction by p53 class mediator {GO:0043518}; negative regulation of MAPK cascade {GO:0043409}; negative regulation of NF-kappaB transcription factor activity {GO:0032088}; negative regulation of release of cytochrome c from mitochondria {GO:0090201}; negative regulation of transcription by RNA polymerase II {GO:0000122}; positive regulation of cell growth {GO:0030307}; positive regulation of cyclin-dependent protein serine/threonine kinase activity {GO:0045737}; positive regulation of proteasomal ubiquitin-dependent protein catabolic process {GO:0032436}; positive regulation of protein ubiquitination {GO:0031398}; proteasome regulatory particle assembly {GO:0070682}</t>
  </si>
  <si>
    <t>cytoplasm {GO:0005737}; cytosol {GO:0005829}; intermediate filament cytoskeleton {GO:0045111}; nucleus {GO:0005634}; proteasome complex {GO:0000502}; proteasome regulatory particle, base subcomplex {GO:0008540}</t>
  </si>
  <si>
    <t>sp|Q99J09|MEP50_MOUSE</t>
  </si>
  <si>
    <t>Methylosome protein 50 (MEP-50)</t>
  </si>
  <si>
    <t>WD repeat-containing protein 77</t>
  </si>
  <si>
    <t>MEP50_MOUSE</t>
  </si>
  <si>
    <t>Q99J09</t>
  </si>
  <si>
    <t>Q3TFJ1; Q8BSH8; Q9CZY5</t>
  </si>
  <si>
    <t>Mep50</t>
  </si>
  <si>
    <t>MGI:1917715</t>
  </si>
  <si>
    <t>Cytoplasm; Nucleus; Phosphoprotein; Repeat; WD repeat</t>
  </si>
  <si>
    <t>epithelial cell proliferation involved in prostate gland development {GO:0060767}; histone H4-R3 methylation {GO:0043985}; negative regulation of cell population proliferation {GO:0008285}; negative regulation of epithelial cell proliferation involved in prostate gland development {GO:0060770}; oocyte axis specification {GO:0007309}; positive regulation of cell population proliferation {GO:0008284}; positive regulation of mRNA splicing, via spliceosome {GO:0048026}; regulation of transcription by RNA polymerase II {GO:0006357}; secretory columnal luminar epithelial cell differentiation involved in prostate glandular acinus development {GO:0060528}; spliceosomal snRNP assembly {GO:0000387}</t>
  </si>
  <si>
    <t>cytoplasm {GO:0005737}; cytosol {GO:0005829}; Golgi apparatus {GO:0005794}; methylosome {GO:0034709}; nucleoplasm {GO:0005654}; nucleus {GO:0005634}</t>
  </si>
  <si>
    <t>methyl-CpG binding {GO:0008327}; nuclear receptor coactivator activity {GO:0030374}</t>
  </si>
  <si>
    <t>snRNP Assembly {R-MMU-191859}; RMTs methylate histone arginines {R-MMU-3214858}</t>
  </si>
  <si>
    <t>sp|O88508|DNM3A_MOUSE</t>
  </si>
  <si>
    <t>DNA (cytosine-5)-methyltransferase 3A (Dnmt3a)</t>
  </si>
  <si>
    <t>Cysteine methyltransferase DNMT3A; DNA methyltransferase MmuIIIA (DNA MTase MmuIIIA; M.MmuIIIA)</t>
  </si>
  <si>
    <t>DNM3A_MOUSE</t>
  </si>
  <si>
    <t>O88508</t>
  </si>
  <si>
    <t>Q3TZK8; Q3UH24; Q8CJ60; Q922J0; Q9CSE1</t>
  </si>
  <si>
    <t>MGI:1261827</t>
  </si>
  <si>
    <t>3D-structure; Alternative promoter usage; Chromatin regulator; Chromosome; Cytoplasm; DNA-binding; Isopeptide bond; Metal-binding; Methylation; Methyltransferase; Nucleus; Phosphoprotein; Repressor; S-adenosyl-L-methionine; Transcription; Transcription regulation; Transferase; Ubl conjugation; Zinc; Zinc-finger</t>
  </si>
  <si>
    <t>Chromatin regulator; DNA-binding; Methyltransferase; Repressor; Transferase</t>
  </si>
  <si>
    <t>aging {GO:0007568}; C-5 methylation of cytosine {GO:0090116}; cellular response to amino acid stimulus {GO:0071230}; cellular response to bisphenol A {GO:1903926}; cellular response to ethanol {GO:0071361}; cellular response to hypoxia {GO:0071456}; DNA methylation {GO:0006306}; DNA methylation involved in embryo development {GO:0043045}; DNA methylation involved in gamete generation {GO:0043046}; DNA methylation on cytosine {GO:0032776}; DNA methylation-dependent heterochromatin assembly {GO:0006346}; hepatocyte apoptotic process {GO:0097284}; hypermethylation of CpG island {GO:0044027}; maintenance of DNA methylation {GO:0010216}; mitotic cell cycle {GO:0000278}; negative regulation of DNA-templated transcription {GO:0045892}; negative regulation of transcription by RNA polymerase II {GO:0000122}; neuron differentiation {GO:0030182}; positive regulation of cell death {GO:0010942}; regulation of gene expression by genomic imprinting {GO:0006349}; response to cocaine {GO:0042220}; response to estradiol {GO:0032355}; response to ionizing radiation {GO:0010212}; response to lead ion {GO:0010288}; response to toxic substance {GO:0009636}; response to vitamin A {GO:0033189}; response to xenobiotic stimulus {GO:0009410}; spermatogenesis {GO:0007283}</t>
  </si>
  <si>
    <t>catalytic complex {GO:1902494}; chromosome, centromeric region {GO:0000775}; cytoplasm {GO:0005737}; euchromatin {GO:0000791}; heterochromatin {GO:0000792}; nuclear matrix {GO:0016363}; nucleoplasm {GO:0005654}; nucleus {GO:0005634}; XY body {GO:0001741}</t>
  </si>
  <si>
    <t>chromatin binding {GO:0003682}; DNA (cytosine-5-)-methyltransferase activity {GO:0003886}; DNA (cytosine-5-)-methyltransferase activity, acting on CpN substrates {GO:0051719}; DNA binding {GO:0003677}; identical protein binding {GO:0042802}; metal ion binding {GO:0046872}; methyltransferase activity {GO:0008168}; protein-cysteine methyltransferase activity {GO:0106363}; RNA polymerase II cis-regulatory region sequence-specific DNA binding {GO:0000978}; RNA polymerase II-specific DNA-binding transcription factor binding {GO:0061629}</t>
  </si>
  <si>
    <t>PRC2 methylates histones and DNA {R-MMU-212300}; RMTs methylate histone arginines {R-MMU-3214858}</t>
  </si>
  <si>
    <t>sp|Q9Z277|BAZ1B_MOUSE</t>
  </si>
  <si>
    <t>Tyrosine-protein kinase BAZ1B</t>
  </si>
  <si>
    <t>Bromodomain adjacent to zinc finger domain protein 1B; Williams syndrome transcription factor homolog; Williams-Beuren syndrome chromosomal region 9 protein homolog</t>
  </si>
  <si>
    <t>BAZ1B_MOUSE</t>
  </si>
  <si>
    <t>Q9Z277</t>
  </si>
  <si>
    <t>B9EJ99; Q3URP5; Q3USR7; Q3UVM2; Q8CAU9; Q9CU68</t>
  </si>
  <si>
    <t>Wbscr9; Wstf</t>
  </si>
  <si>
    <t>MGI:1353499</t>
  </si>
  <si>
    <t>Acetylation; Alternative splicing; ATP-binding; Bromodomain; Coiled coil; DNA damage; Isopeptide bond; Kinase; Metal-binding; Nucleotide-binding; Nucleus; Phosphoprotein; Transcription; Transcription regulation; Transferase; Tyrosine-protein kinase; Ubl conjugation; Zinc; Zinc-finger</t>
  </si>
  <si>
    <t>DNA damage; Transcription; Transcription regulation</t>
  </si>
  <si>
    <t>Bromodomain; Coiled coil; Zinc-finger</t>
  </si>
  <si>
    <t>cellular response to DNA damage stimulus {GO:0006974}; chromatin organization {GO:0006325}; chromatin remodeling {GO:0006338}; negative regulation of mitotic chromosome condensation {GO:1905213}; positive regulation of histone acetylation {GO:0035066}; positive regulation of transcription by RNA polymerase I {GO:0045943}; positive regulation of transcription by RNA polymerase II {GO:0045944}; positive regulation of transcription by RNA polymerase III {GO:0045945}; post-translational protein modification {GO:0043687}; regulation of response to DNA damage stimulus {GO:2001020}</t>
  </si>
  <si>
    <t>B-WICH complex {GO:0110016}; condensed chromosome {GO:0000793}; nuclear replication fork {GO:0043596}; nucleolus {GO:0005730}; nucleoplasm {GO:0005654}; nucleus {GO:0005634}; pericentric heterochromatin {GO:0005721}; WICH complex {GO:0090535}</t>
  </si>
  <si>
    <t>ATP binding {GO:0005524}; histone binding {GO:0042393}; histone kinase activity {GO:0035173}; histone kinase activity (H2A-Y142 specific) {GO:0140801}; metal ion binding {GO:0046872}; protein tyrosine kinase activity {GO:0004713}</t>
  </si>
  <si>
    <t>sp|Q8CG47|SMC4_MOUSE</t>
  </si>
  <si>
    <t>Structural maintenance of chromosomes protein 4 (SMC protein 4; SMC-4)</t>
  </si>
  <si>
    <t>Chromosome-associated polypeptide C; XCAP-C homolog</t>
  </si>
  <si>
    <t>SMC4_MOUSE</t>
  </si>
  <si>
    <t>Q8CG47</t>
  </si>
  <si>
    <t>Q8BTS7; Q8BTY9; Q99K21</t>
  </si>
  <si>
    <t>Capc; Smc4l1</t>
  </si>
  <si>
    <t>MGI:1917349</t>
  </si>
  <si>
    <t>3D-structure; Acetylation; ATP-binding; Cell cycle; Cell division; Chromosome; Coiled coil; Cytoplasm; DNA condensation; Mitosis; Nucleotide-binding; Nucleus; Phosphoprotein</t>
  </si>
  <si>
    <t>chromosome, centromeric region {GO:0000775}; condensed nuclear chromosome {GO:0000794}; condensin complex {GO:0000796}; cytosol {GO:0005829}; nuclear speck {GO:0016607}; nucleus {GO:0005634}</t>
  </si>
  <si>
    <t>sp|Q3UM45|PP1R7_MOUSE</t>
  </si>
  <si>
    <t>Protein phosphatase 1 regulatory subunit 7</t>
  </si>
  <si>
    <t>Protein phosphatase 1 regulatory subunit 22</t>
  </si>
  <si>
    <t>PP1R7_MOUSE</t>
  </si>
  <si>
    <t>Q3UM45</t>
  </si>
  <si>
    <t>Q9CV31; Q9Z105</t>
  </si>
  <si>
    <t>Sds22</t>
  </si>
  <si>
    <t>MGI:1913635</t>
  </si>
  <si>
    <t>Acetylation; Leucine-rich repeat; Nucleus; Phosphoprotein; Repeat</t>
  </si>
  <si>
    <t>chromosome segregation {GO:0007059}; positive regulation of protein dephosphorylation {GO:0035307}</t>
  </si>
  <si>
    <t>chromosome {GO:0005694}; nucleus {GO:0005634}; protein phosphatase type 1 complex {GO:0000164}</t>
  </si>
  <si>
    <t>protein serine/threonine phosphatase inhibitor activity {GO:0004865}</t>
  </si>
  <si>
    <t>sp|Q9CPQ8|ATP5L_MOUSE</t>
  </si>
  <si>
    <t>ATP synthase subunit g, mitochondrial (ATPase subunit g)</t>
  </si>
  <si>
    <t>ATP synthase membrane subunit g</t>
  </si>
  <si>
    <t>ATP5L_MOUSE</t>
  </si>
  <si>
    <t>Q9CPQ8</t>
  </si>
  <si>
    <t>O70590; Q5M9M8</t>
  </si>
  <si>
    <t>Atp5l</t>
  </si>
  <si>
    <t>MGI:1351597</t>
  </si>
  <si>
    <t>Acetylation; ATP synthesis; CF(0); Hydrogen ion transport; Ion transport; Membrane; Mitochondrion; Mitochondrion inner membrane; Transport</t>
  </si>
  <si>
    <t>ATP metabolic process {GO:0046034}; proton motive force-driven ATP synthesis {GO:0015986}</t>
  </si>
  <si>
    <t>mitochondrial inner membrane {GO:0005743}; mitochondrial proton-transporting ATP synthase complex {GO:0005753}; mitochondrial proton-transporting ATP synthase complex, coupling factor F(o) {GO:0000276}; mitochondrion {GO:0005739}</t>
  </si>
  <si>
    <t>P-type proton-exporting transporter activity {GO:0008553}; proton-transporting ATP synthase activity, rotational mechanism {GO:0046933}</t>
  </si>
  <si>
    <t>sp|Q9R0L6|PCM1_MOUSE</t>
  </si>
  <si>
    <t>Pericentriolar material 1 protein (PCM-1; mPCM-1)</t>
  </si>
  <si>
    <t>PCM1_MOUSE</t>
  </si>
  <si>
    <t>Q9R0L6</t>
  </si>
  <si>
    <t>E9QLK2; O70287; Q3URH6; Q7TMS7; Q8C9V2; Q91Y27; Q91Y28; Q91Y51; Q923L0; Q9CRK8; Q9CT57</t>
  </si>
  <si>
    <t>MGI:1277958</t>
  </si>
  <si>
    <t>Acetylation; Alternative splicing; Cell projection; Cilium biogenesis/degradation; Coiled coil; Cytoplasm; Cytoskeleton; Phosphoprotein; Ubl conjugation</t>
  </si>
  <si>
    <t>centrosome cycle {GO:0007098}; cilium assembly {GO:0060271}; cytoplasmic microtubule organization {GO:0031122}; interkinetic nuclear migration {GO:0022027}; intraciliary transport involved in cilium assembly {GO:0035735}; microtubule anchoring {GO:0034453}; microtubule anchoring at centrosome {GO:0034454}; negative regulation of neurogenesis {GO:0050768}; neuron migration {GO:0001764}; neuronal stem cell population maintenance {GO:0097150}; non-motile cilium assembly {GO:1905515}; positive regulation of intracellular protein transport {GO:0090316}; protein localization to centrosome {GO:0071539}; protein localization to organelle {GO:0033365}; social behavior {GO:0035176}</t>
  </si>
  <si>
    <t>apical part of cell {GO:0045177}; centriolar satellite {GO:0034451}; centriole {GO:0005814}; centrosome {GO:0005813}; ciliary basal body {GO:0036064}; ciliary transition zone {GO:0035869}; cytoplasm {GO:0005737}; cytosol {GO:0005829}; nuclear membrane {GO:0031965}; nucleoplasm {GO:0005654}; pericentriolar material {GO:0000242}; protein-containing complex {GO:0032991}</t>
  </si>
  <si>
    <t>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AURKA Activation by TPX2 {R-MMU-8854518}</t>
  </si>
  <si>
    <t>sp|O70492|SNX3_MOUSE</t>
  </si>
  <si>
    <t>Sorting nexin-3</t>
  </si>
  <si>
    <t>SDP3 protein</t>
  </si>
  <si>
    <t>SNX3_MOUSE</t>
  </si>
  <si>
    <t>O70492</t>
  </si>
  <si>
    <t>MGI:1860188</t>
  </si>
  <si>
    <t>Acetylation; Cytoplasmic vesicle; Endosome; Isopeptide bond; Lipid-binding; Methylation; Phosphoprotein; Protein transport; Transport; Ubl conjugation</t>
  </si>
  <si>
    <t>Cytoplasmic vesicle; Endosome</t>
  </si>
  <si>
    <t>endocytic recycling {GO:0032456}; heme biosynthetic process {GO:0006783}; hemoglobin biosynthetic process {GO:0042541}; intralumenal vesicle formation {GO:0070676}; late endosome to Golgi transport {GO:0034499}; membrane invagination {GO:0010324}; negative regulation of early endosome to late endosome transport {GO:2000642}; negative regulation of phagocytosis {GO:0050765}; negative regulation of protein catabolic process {GO:0042177}; negative regulation of protein transport {GO:0051224}; negative regulation of viral entry into host cell {GO:0046597}; positive regulation of neuron projection development {GO:0010976}; protein to membrane docking {GO:0022615}; regulation of cellular protein metabolic process {GO:0032268}; regulation of intracellular protein transport {GO:0033157}; regulation of Wnt signaling pathway {GO:0030111}; response to bacterium {GO:0009617}; transferrin transport {GO:0033572}</t>
  </si>
  <si>
    <t>clathrin-coated vesicle {GO:0030136}; cytoplasm {GO:0005737}; cytosol {GO:0005829}; early endosome {GO:0005769}; early endosome membrane {GO:0031901}; early phagosome {GO:0032009}; endosome membrane {GO:0010008}; retromer complex {GO:0030904}</t>
  </si>
  <si>
    <t>phosphatidylinositol-3,5-bisphosphate binding {GO:0080025}; phosphatidylinositol-3-phosphate binding {GO:0032266}; phosphatidylinositol-4-phosphate binding {GO:0070273}; phosphatidylinositol-5-phosphate binding {GO:0010314}; protein phosphatase binding {GO:0019903}; retromer complex binding {GO:1905394}</t>
  </si>
  <si>
    <t>WNT ligand biogenesis and trafficking {R-MMU-3238698}; Ub-specific processing proteases {R-MMU-5689880}</t>
  </si>
  <si>
    <t>sp|P21614|VTDB_MOUSE</t>
  </si>
  <si>
    <t>Vitamin D-binding protein (DBP; VDB)</t>
  </si>
  <si>
    <t>Gc-globulin; Group-specific component</t>
  </si>
  <si>
    <t>VTDB_MOUSE</t>
  </si>
  <si>
    <t>P21614</t>
  </si>
  <si>
    <t>Q7TS97; Q91XG1; Q9CY31</t>
  </si>
  <si>
    <t>MGI:95669</t>
  </si>
  <si>
    <t>Actin-binding; Disulfide bond; Glycoprotein; Phosphoprotein; Repeat; Secreted; Signal; Transport; Vitamin D</t>
  </si>
  <si>
    <t>Vitamin D</t>
  </si>
  <si>
    <t>vitamin D metabolic process {GO:0042359}</t>
  </si>
  <si>
    <t>axon {GO:0030424}; cytoplasm {GO:0005737}; cytosol {GO:0005829}; extracellular space {GO:0005615}; perinuclear region of cytoplasm {GO:0048471}</t>
  </si>
  <si>
    <t>actin binding {GO:0003779}; calcidiol binding {GO:1902118}; vitamin D binding {GO:0005499}; vitamin transmembrane transporter activity {GO:0090482}</t>
  </si>
  <si>
    <t>Vitamin D (calciferol) metabolism {R-MMU-196791}</t>
  </si>
  <si>
    <t>sp|Q9CWK8|SNX2_MOUSE</t>
  </si>
  <si>
    <t>Sorting nexin-2</t>
  </si>
  <si>
    <t>SNX2_MOUSE</t>
  </si>
  <si>
    <t>Q9CWK8</t>
  </si>
  <si>
    <t>Q3UKW3; Q9CQV0</t>
  </si>
  <si>
    <t>MGI:1915054</t>
  </si>
  <si>
    <t>Acetylation; Cell projection; Endosome; Lipid-binding; Membrane; Phosphoprotein; Protein transport; Transport</t>
  </si>
  <si>
    <t>Cell projection; Endosome; Membrane</t>
  </si>
  <si>
    <t>early endosome to Golgi transport {GO:0034498}; endocytosis {GO:0006897}; intracellular protein transport {GO:0006886}; lamellipodium morphogenesis {GO:0072673}; retrograde transport, endosome to Golgi {GO:0042147}</t>
  </si>
  <si>
    <t>cytoplasm {GO:0005737}; cytosol {GO:0005829}; early endosome membrane {GO:0031901}; endosome {GO:0005768}; endosome membrane {GO:0010008}; lamellipodium {GO:0030027}; lysosome {GO:0005764}; membrane {GO:0016020}; protein-containing complex {GO:0032991}; retromer complex {GO:0030904}; retromer, tubulation complex {GO:0030905}</t>
  </si>
  <si>
    <t>sp|Q5XG69|F169A_MOUSE</t>
  </si>
  <si>
    <t>Soluble lamin-associated protein of 75 kDa (SLAP75)</t>
  </si>
  <si>
    <t>Protein FAM169A</t>
  </si>
  <si>
    <t>F169A_MOUSE</t>
  </si>
  <si>
    <t>Q5XG69</t>
  </si>
  <si>
    <t>E9Q0D7; Q69ZW7</t>
  </si>
  <si>
    <t>Kiaa0888</t>
  </si>
  <si>
    <t>MGI:2444268</t>
  </si>
  <si>
    <t>Membrane; Nucleus; Phosphoprotein</t>
  </si>
  <si>
    <t>nuclear inner membrane {GO:0005637}</t>
  </si>
  <si>
    <t>sp|Q9D2V7|CORO7_MOUSE</t>
  </si>
  <si>
    <t>Coronin-7 (Crn7)</t>
  </si>
  <si>
    <t>70 kDa WD repeat tumor rejection antigen homolog</t>
  </si>
  <si>
    <t>CORO7_MOUSE</t>
  </si>
  <si>
    <t>Q9D2V7</t>
  </si>
  <si>
    <t>Q3UDJ4; Q6P8Y8; Q8C9V7</t>
  </si>
  <si>
    <t>MGI:1926135</t>
  </si>
  <si>
    <t>Actin-binding; Cytoplasm; Cytoplasmic vesicle; Golgi apparatus; Isopeptide bond; Membrane; Phosphoprotein; Protein transport; Repeat; Transport; Ubl conjugation; WD repeat</t>
  </si>
  <si>
    <t>actin filament organization {GO:0007015}; actin filament polymerization {GO:0030041}; cell migration {GO:0016477}; establishment of cell polarity {GO:0030010}; Golgi organization {GO:0007030}; Golgi to endosome transport {GO:0006895}; positive regulation of hippo signaling {GO:0035332}; protein transport {GO:0015031}</t>
  </si>
  <si>
    <t>cytoplasmic vesicle {GO:0031410}; cytosol {GO:0005829}; Golgi apparatus {GO:0005794}; Golgi membrane {GO:0000139}; integral component of membrane {GO:0016021}; trans-Golgi network {GO:0005802}</t>
  </si>
  <si>
    <t>sp|Q8R0F6|ILKAP_MOUSE</t>
  </si>
  <si>
    <t>Integrin-linked kinase-associated serine/threonine phosphatase 2C (ILKAP)</t>
  </si>
  <si>
    <t>ILKAP_MOUSE</t>
  </si>
  <si>
    <t>Q8R0F6</t>
  </si>
  <si>
    <t>Q05CC3</t>
  </si>
  <si>
    <t>MGI:1914694</t>
  </si>
  <si>
    <t>Acetylation; Alternative splicing; Cytoplasm; Hydrolase; Magnesium; Manganese; Metal-binding; Protein phosphatase</t>
  </si>
  <si>
    <t>protein dephosphorylation {GO:0006470}; regulation of nuclear cell cycle DNA replication {GO:0033262}</t>
  </si>
  <si>
    <t>sp|Q9D6J6|NDUV2_MOUSE</t>
  </si>
  <si>
    <t>NADH dehydrogenase [ubiquinone] flavoprotein 2, mitochondrial</t>
  </si>
  <si>
    <t>NADH-ubiquinone oxidoreductase 24 kDa subunit</t>
  </si>
  <si>
    <t>NDUV2_MOUSE</t>
  </si>
  <si>
    <t>Q9D6J6</t>
  </si>
  <si>
    <t>Q3U9L9; Q8BU07; Q8K2L0</t>
  </si>
  <si>
    <t>MGI:1920150</t>
  </si>
  <si>
    <t>2Fe-2S; 3D-structure; Acetylation; Alternative splicing; Electron transport; Iron; Iron-sulfur; Membrane; Metal-binding; Mitochondrion; Mitochondrion inner membrane; NAD; Oxidoreductase; Phosphoprotein; Respiratory chain; Transit peptide; Translocase; Transport; Ubiquinone</t>
  </si>
  <si>
    <t>2Fe-2S; Iron; Iron-sulfur; Metal-binding; NAD; Ubiquinone</t>
  </si>
  <si>
    <t>aerobic respiration {GO:0009060}; cardiac muscle tissue development {GO:0048738}; mitochondrial electron transport, NADH to ubiquinone {GO:0006120}; nervous system development {GO:0007399}; proton motive force-driven mitochondrial ATP synthesis {GO:0042776}</t>
  </si>
  <si>
    <t>mitochondrial inner membrane {GO:0005743}; mitochondrial respiratory chain complex I {GO:0005747}; mitochondrion {GO:0005739}; myelin sheath {GO:0043209}</t>
  </si>
  <si>
    <t>2 iron, 2 sulfur cluster binding {GO:0051537}; metal ion binding {GO:0046872}; NADH dehydrogenase (ubiquinone) activity {GO:0008137}</t>
  </si>
  <si>
    <t>sp|Q9R1J0|NSDHL_MOUSE</t>
  </si>
  <si>
    <t>Sterol-4-alpha-carboxylate 3-dehydrogenase, decarboxylating</t>
  </si>
  <si>
    <t>NSDHL_MOUSE</t>
  </si>
  <si>
    <t>Q9R1J0</t>
  </si>
  <si>
    <t>O55109</t>
  </si>
  <si>
    <t>MGI:1099438</t>
  </si>
  <si>
    <t>Acetylation; Cholesterol biosynthesis; Cholesterol metabolism; Disease variant; Endoplasmic reticulum; Lipid biosynthesis; Lipid droplet; Lipid metabolism; Membrane; NAD; Oxidoreductase; Steroid biosynthesis; Steroid metabolism; Sterol biosynthesis; Sterol metabolism; Transmembrane; Transmembrane helix</t>
  </si>
  <si>
    <t>Endoplasmic reticulum; Lipid droplet; Membrane</t>
  </si>
  <si>
    <t>cholesterol biosynthetic process {GO:0006695}; cholesterol metabolic process {GO:0008203}; hair follicle development {GO:0001942}; labyrinthine layer blood vessel development {GO:0060716}; smoothened signaling pathway {GO:0007224}</t>
  </si>
  <si>
    <t>endoplasmic reticulum {GO:0005783}; endoplasmic reticulum membrane {GO:0005789}; integral component of membrane {GO:0016021}; lipid droplet {GO:0005811}</t>
  </si>
  <si>
    <t>3-beta-hydroxy-delta5-steroid dehydrogenase activity {GO:0003854}; 3-beta-hydroxysteroid dehydrogenase/C4-decarboxylase activity {GO:0102175}; 4alpha-carboxy-4beta-methyl-5alpha-cholesta-8-en-3beta-ol:NAD(P)+ 3-oxidoreductase (decarboxylating) activity {GO:0103066}; 4alpha-carboxy-5alpha-cholesta-8-en-3beta-ol:NAD(P)+ 3-dehydrogenase (decarboxylating) activity {GO:0103067}; C-3 sterol dehydrogenase (C-4 sterol decarboxylase) activity {GO:0000252}; oxidoreductase activity, acting on the CH-OH group of donors, NAD or NADP as acceptor {GO:0016616}; sterol-4-alpha-carboxylate 3-dehydrogenase (decarboxylating) activity {GO:0047012}</t>
  </si>
  <si>
    <t>Steroid biosynthesis; zymosterol biosynthesis; zymosterol from lanosterol: step 4/6.</t>
  </si>
  <si>
    <t>sp|Q8BYB9|PGLT1_MOUSE</t>
  </si>
  <si>
    <t>Protein O-glucosyltransferase 1</t>
  </si>
  <si>
    <t>CAP10-like 46 kDa protein; KTEL motif-containing protein 1; O-glucosyltransferase Rumi homolog (Rumi); Protein O-xylosyltransferase POGLUT1; Wing-shaped neural plate protein (Wsnp)</t>
  </si>
  <si>
    <t>PGLT1_MOUSE</t>
  </si>
  <si>
    <t>Q8BYB9</t>
  </si>
  <si>
    <t>Q8R0H7</t>
  </si>
  <si>
    <t>Clp46; Ktelc1</t>
  </si>
  <si>
    <t>MGI:2444232</t>
  </si>
  <si>
    <t>Developmental protein; Disulfide bond; Endoplasmic reticulum; Gastrulation; Glycoprotein; Glycosyltransferase; Signal; Transferase</t>
  </si>
  <si>
    <t>Gastrulation</t>
  </si>
  <si>
    <t>Developmental protein; Glycosyltransferase; Transferase</t>
  </si>
  <si>
    <t>axial mesoderm development {GO:0048318}; circulatory system development {GO:0072359}; gastrulation {GO:0007369}; muscle tissue development {GO:0060537}; paraxial mesoderm development {GO:0048339}; positive regulation of Notch signaling pathway {GO:0045747}; protein O-linked glycosylation {GO:0006493}; protein O-linked glycosylation via serine {GO:0018242}; regulation of gastrulation {GO:0010470}; regulation of Notch signaling pathway {GO:0008593}; somitogenesis {GO:0001756}</t>
  </si>
  <si>
    <t>endomembrane system {GO:0012505}; endoplasmic reticulum {GO:0005783}; endoplasmic reticulum lumen {GO:0005788}</t>
  </si>
  <si>
    <t>EGF-domain serine glucosyltransferase activity {GO:0140561}; EGF-domain serine xylosyltransferase activity {GO:0140562}; glucosyltransferase activity {GO:0046527}; UDP-glucosyltransferase activity {GO:0035251}; UDP-xylosyltransferase activity {GO:0035252}</t>
  </si>
  <si>
    <t>sp|P63254|CRIP1_MOUSE</t>
  </si>
  <si>
    <t>Cysteine-rich protein 1 (CRP-1)</t>
  </si>
  <si>
    <t>Cysteine-rich intestinal protein (CRIP)</t>
  </si>
  <si>
    <t>CRIP1_MOUSE</t>
  </si>
  <si>
    <t>P63254</t>
  </si>
  <si>
    <t>P04006; Q3THF0</t>
  </si>
  <si>
    <t>Crip</t>
  </si>
  <si>
    <t>MGI:88501</t>
  </si>
  <si>
    <t>Acetylation; LIM domain; Metal-binding; Methylation; Zinc</t>
  </si>
  <si>
    <t>cellular response to antibiotic {GO:0071236}; cellular response to UV-B {GO:0071493}; intrinsic apoptotic signaling pathway in response to DNA damage {GO:0008630}; regulation of gene expression {GO:0010468}; response to zinc ion {GO:0010043}</t>
  </si>
  <si>
    <t>peptide binding {GO:0042277}; zinc ion binding {GO:0008270}</t>
  </si>
  <si>
    <t>sp|P43406|ITAV_MOUSE</t>
  </si>
  <si>
    <t>Integrin alpha-V light chain</t>
  </si>
  <si>
    <t>Vitronectin receptor subunit alpha; CD_antigen=CD51</t>
  </si>
  <si>
    <t>ITAV_MOUSE</t>
  </si>
  <si>
    <t>P43406</t>
  </si>
  <si>
    <t>A2AKI6</t>
  </si>
  <si>
    <t>MGI:96608</t>
  </si>
  <si>
    <t>Angiogenesis; Calcium; Cell adhesion; Cell junction; Cell membrane; Cleavage on pair of basic residues; Developmental protein; Differentiation; Disulfide bond; Glycoprotein; Integrin; Membrane; Metal-binding; Receptor; Repeat; Signal; Transmembrane; Transmembrane helix</t>
  </si>
  <si>
    <t>Angiogenesis; Cell adhesion; Differentiation</t>
  </si>
  <si>
    <t>Developmental protein; Integrin; Receptor</t>
  </si>
  <si>
    <t>Cleavage on pair of basic residues; Disulfide bond; Glycoprotein</t>
  </si>
  <si>
    <t>angiogenesis {GO:0001525}; apolipoprotein A-I-mediated signaling pathway {GO:0038027}; apoptotic cell clearance {GO:0043277}; blood vessel development {GO:0001568}; calcium ion transmembrane transport {GO:0070588}; cell adhesion {GO:0007155}; cell adhesion mediated by integrin {GO:0033627}; cell migration {GO:0016477}; cell-cell adhesion {GO:0098609}; cell-matrix adhesion {GO:0007160}; cell-substrate adhesion {GO:0031589}; detection of molecule of bacterial origin {GO:0032490}; endodermal cell differentiation {GO:0035987}; endothelial cell migration {GO:0043542}; ERK1 and ERK2 cascade {GO:0070371}; extrinsic apoptotic signaling pathway in absence of ligand {GO:0097192}; fertilization {GO:0009566}; focal adhesion assembly {GO:0048041}; gonad morphogenesis {GO:0035262}; heterotypic cell-cell adhesion {GO:0034113}; inflammatory response {GO:0006954}; integrin-mediated signaling pathway {GO:0007229}; negative chemotaxis {GO:0050919}; negative regulation of entry of bacterium into host cell {GO:2000536}; negative regulation of extrinsic apoptotic signaling pathway {GO:2001237}; negative regulation of lipid storage {GO:0010888}; negative regulation of lipid transport {GO:0032369}; negative regulation of lipoprotein metabolic process {GO:0050748}; negative regulation of low-density lipoprotein receptor activity {GO:1905598}; negative regulation of macrophage derived foam cell differentiation {GO:0010745}; positive regulation of cell adhesion {GO:0045785}; positive regulation of cell migration {GO:0030335}; positive regulation of cell population proliferation {GO:0008284}; positive regulation of cytosolic calcium ion concentration {GO:0007204}; positive regulation of intracellular signal transduction {GO:1902533}; positive regulation of osteoblast proliferation {GO:0033690}; positive regulation of small GTPase mediated signal transduction {GO:0051057}; regulation of bone resorption {GO:0045124}; regulation of phagocytosis {GO:0050764}; regulation of transforming growth factor beta activation {GO:1901388}; release of sequestered calcium ion into cytosol {GO:0051209}; response to nitric oxide {GO:0071731}; substrate adhesion-dependent cell spreading {GO:0034446}; T cell activation {GO:0042110}; transforming growth factor beta production {GO:0071604}; trophoblast giant cell differentiation {GO:0060707}; vasculogenesis {GO:0001570}; viral entry into host cell {GO:0046718}</t>
  </si>
  <si>
    <t>alphav-beta3 integrin-HMGB1 complex {GO:0035868}; alphav-beta3 integrin-IGF-1-IGF1R complex {GO:0035867}; cell surface {GO:0009986}; cytosol {GO:0005829}; external side of plasma membrane {GO:0009897}; filopodium membrane {GO:0031527}; focal adhesion {GO:0005925}; integrin alphav-beta3 complex {GO:0034683}; integrin alphav-beta5 complex {GO:0034684}; integrin alphav-beta6 complex {GO:0034685}; integrin alphav-beta8 complex {GO:0034686}; integrin complex {GO:0008305}; lamellipodium membrane {GO:0031258}; membrane {GO:0016020}; microvillus membrane {GO:0031528}; plasma membrane {GO:0005886}; ruffle membrane {GO:0032587}</t>
  </si>
  <si>
    <t>C-X3-C chemokine binding {GO:0019960}; extracellular matrix binding {GO:0050840}; extracellular matrix protein binding {GO:1990430}; fibroblast growth factor binding {GO:0017134}; fibronectin binding {GO:0001968}; insulin-like growth factor I binding {GO:0031994}; integrin binding {GO:0005178}; metal ion binding {GO:0046872}; neuregulin binding {GO:0038132}; protease binding {GO:0002020}; signaling receptor binding {GO:0005102}; transforming growth factor beta binding {GO:0050431}; voltage-gated calcium channel activity {GO:0005245}</t>
  </si>
  <si>
    <t>Cross-presentation of particulate exogenous antigens (phagosomes) {R-MMU-1236973}; Elastic fibre formation {R-MMU-1566948}; PECAM1 interactions {R-MMU-210990}; Molecules associated with elastic fibres {R-MMU-2129379}; Integrin cell surface interactions {R-MMU-216083}; TGF-beta receptor signaling activates SMADs {R-MMU-2173789}; Syndecan interactions {R-MMU-3000170}; ECM proteoglycans {R-MMU-3000178}; VEGFA-VEGFR2 Pathway {R-MMU-4420097}; Signal transduction by L1 {R-MMU-445144}; Neutrophil degranulation {R-MMU-6798695}</t>
  </si>
  <si>
    <t>sp|Q99P88|NU155_MOUSE</t>
  </si>
  <si>
    <t>Nuclear pore complex protein Nup155</t>
  </si>
  <si>
    <t>155 kDa nucleoporin; Nucleoporin Nup155</t>
  </si>
  <si>
    <t>NU155_MOUSE</t>
  </si>
  <si>
    <t>Q99P88</t>
  </si>
  <si>
    <t>MGI:2181182</t>
  </si>
  <si>
    <t>Disulfide bond; Glycoprotein; Membrane; mRNA transport; Nuclear pore complex; Nucleus; Phosphoprotein; Protein transport; Translocation; Transport</t>
  </si>
  <si>
    <t>atrial cardiac muscle cell action potential {GO:0086014}; miRNA processing {GO:0035196}; mRNA export from nucleus {GO:0006406}; nuclear envelope organization {GO:0006998}; nucleocytoplasmic transport {GO:0006913}; protein import into nucleus {GO:0006606}; protein localization to nuclear inner membrane {GO:0036228}; protein localization to nucleus {GO:0034504}; RNA export from nucleus {GO:0006405}; transcription-dependent tethering of RNA polymerase II gene DNA at nuclear periphery {GO:0000972}</t>
  </si>
  <si>
    <t>cytoplasm {GO:0005737}; nuclear envelope {GO:0005635}; nuclear membrane {GO:0031965}; nuclear pore {GO:0005643}; nuclear pore inner ring {GO:0044611}</t>
  </si>
  <si>
    <t>sp|Q8K4B0|MTA1_MOUSE</t>
  </si>
  <si>
    <t>Metastasis-associated protein MTA1</t>
  </si>
  <si>
    <t>MTA1_MOUSE</t>
  </si>
  <si>
    <t>Q8K4B0</t>
  </si>
  <si>
    <t>Q80UI1; Q8K4D4; Q924K9</t>
  </si>
  <si>
    <t>MGI:2150037</t>
  </si>
  <si>
    <t>Acetylation; Activator; Biological rhythms; Cytoplasm; Cytoskeleton; DNA-binding; Isopeptide bond; Metal-binding; Nucleus; Phosphoprotein; Repressor; Transcription; Transcription regulation; Ubl conjugation; Zinc; Zinc-finger</t>
  </si>
  <si>
    <t>Activator; DNA-binding; Repressor</t>
  </si>
  <si>
    <t>chromatin remodeling {GO:0006338}; circadian regulation of gene expression {GO:0032922}; double-strand break repair {GO:0006302}; entrainment of circadian clock by photoperiod {GO:0043153}; histone deacetylation {GO:0016575}; locomotor rhythm {GO:0045475}; negative regulation of DNA-templated transcription {GO:0045892}; negative regulation of transcription by RNA polymerase II {GO:0000122}; positive regulation of DNA-templated transcription {GO:0045893}; positive regulation of protein autoubiquitination {GO:1902499}; proteasome-mediated ubiquitin-dependent protein catabolic process {GO:0043161}; regulation of cell fate specification {GO:0042659}; regulation of gene expression, epigenetic {GO:0040029}; regulation of stem cell differentiation {GO:2000736}; response to ionizing radiation {GO:0010212}; secretory granule organization {GO:0033363}</t>
  </si>
  <si>
    <t>cytoplasm {GO:0005737}; cytosol {GO:0005829}; endoplasmic reticulum {GO:0005783}; Golgi apparatus {GO:0005794}; intracellular membrane-bounded organelle {GO:0043231}; microtubule {GO:0005874}; nuclear envelope {GO:0005635}; nucleoplasm {GO:0005654}; nucleus {GO:0005634}; NuRD complex {GO:0016581}</t>
  </si>
  <si>
    <t>chromatin binding {GO:0003682}; enzyme binding {GO:0019899}; histone deacetylase binding {GO:0042826}; metal ion binding {GO:0046872}; RNA polymerase II cis-regulatory region sequence-specific DNA binding {GO:0000978}; RNA polymerase II-specific DNA-binding transcription factor binding {GO:0061629}; transcription coactivator activity {GO:0003713}; transcription corepressor activity {GO:0003714}</t>
  </si>
  <si>
    <t>HDACs deacetylate histones {R-MMU-3214815}; SUMOylation of transcription factors {R-MMU-3232118}; RNA Polymerase I Transcription Initiation {R-MMU-73762}; Regulation of PTEN gene transcription {R-MMU-8943724}</t>
  </si>
  <si>
    <t>sp|Q8R5H1|UBP15_MOUSE</t>
  </si>
  <si>
    <t>sp|Q80X73|PELO_MOUSE</t>
  </si>
  <si>
    <t>Protein pelota homolog</t>
  </si>
  <si>
    <t>PELO_MOUSE</t>
  </si>
  <si>
    <t>Q80X73</t>
  </si>
  <si>
    <t>Q3TCN0; Q6PG91; Q91UZ2</t>
  </si>
  <si>
    <t>MGI:2145154</t>
  </si>
  <si>
    <t>Cell cycle; Cell division; Cytoplasm; Endonuclease; Hydrolase; Isopeptide bond; Metal-binding; Nuclease; Nucleus; Phosphoprotein; Translation regulation; Ubl conjugation</t>
  </si>
  <si>
    <t>Cell cycle; Cell division; Translation regulation</t>
  </si>
  <si>
    <t>cell cycle {GO:0007049}; cell division {GO:0051301}; chromosome organization {GO:0051276}; endoderm development {GO:0007492}; inner cell mass cell proliferation {GO:0001833}; mesenchymal to epithelial transition {GO:0060231}; nonfunctional rRNA decay {GO:0070651}; nuclear-transcribed mRNA catabolic process, no-go decay {GO:0070966}; nuclear-transcribed mRNA catabolic process, non-stop decay {GO:0070481}; positive regulation of BMP signaling pathway {GO:0030513}; regulation of translation {GO:0006417}; ribosome disassembly {GO:0032790}; RNA surveillance {GO:0071025}; stem cell population maintenance {GO:0019827}</t>
  </si>
  <si>
    <t>endonuclease activity {GO:0004519}; metal ion binding {GO:0046872}</t>
  </si>
  <si>
    <t>sp|Q8CIH9|PUR1_MOUSE</t>
  </si>
  <si>
    <t>Amidophosphoribosyltransferase (ATase)</t>
  </si>
  <si>
    <t>Glutamine phosphoribosylpyrophosphate amidotransferase (GPAT)</t>
  </si>
  <si>
    <t>PUR1_MOUSE</t>
  </si>
  <si>
    <t>Q8CIH9</t>
  </si>
  <si>
    <t>Q3TKC5; Q3TUW2; Q3UGU3</t>
  </si>
  <si>
    <t>MGI:2387203</t>
  </si>
  <si>
    <t>4Fe-4S; Acetylation; Allosteric enzyme; Glutamine amidotransferase; Glycosyltransferase; Iron; Iron-sulfur; Magnesium; Metal-binding; Purine biosynthesis; Transferase</t>
  </si>
  <si>
    <t>4Fe-4S; Iron; Iron-sulfur; Magnesium; Metal-binding</t>
  </si>
  <si>
    <t>'de novo' AMP biosynthetic process {GO:0044208}; 'de novo' IMP biosynthetic process {GO:0006189}; 'de novo' XMP biosynthetic process {GO:0097294}; glutamine catabolic process {GO:0006543}; GMP biosynthetic process {GO:0006177}; purine nucleobase biosynthetic process {GO:0009113}; purine nucleotide biosynthetic process {GO:0006164}; purine ribonucleoside monophosphate biosynthetic process {GO:0009168}; ribose phosphate metabolic process {GO:0019693}</t>
  </si>
  <si>
    <t>4 iron, 4 sulfur cluster binding {GO:0051539}; amidophosphoribosyltransferase activity {GO:0004044}; identical protein binding {GO:0042802}; metal ion binding {GO:0046872}</t>
  </si>
  <si>
    <t>Purine metabolism; IMP biosynthesis via de novo pathway; N(1)- (5-phospho-D-ribosyl)glycinamide from 5-phospho-alpha-D-ribose 1- diphosphate: step 1/2..</t>
  </si>
  <si>
    <t>sp|Q8VCH8|UBXN4_MOUSE</t>
  </si>
  <si>
    <t>UBX domain-containing protein 4</t>
  </si>
  <si>
    <t>Erasin; UBX domain-containing protein 2</t>
  </si>
  <si>
    <t>UBXN4_MOUSE</t>
  </si>
  <si>
    <t>Q8VCH8</t>
  </si>
  <si>
    <t>Q3UGR4; Q8BW17</t>
  </si>
  <si>
    <t>Ubxd2; Ubxdc1</t>
  </si>
  <si>
    <t>MGI:1915062</t>
  </si>
  <si>
    <t>3D-structure; Endoplasmic reticulum; Membrane; Nucleus; Phosphoprotein; Unfolded protein response</t>
  </si>
  <si>
    <t>Endoplasmic reticulum; Membrane; Nucleus</t>
  </si>
  <si>
    <t>response to unfolded protein {GO:0006986}; ubiquitin-dependent ERAD pathway {GO:0030433}</t>
  </si>
  <si>
    <t>cytosol {GO:0005829}; endoplasmic reticulum {GO:0005783}; endoplasmic reticulum membrane {GO:0005789}; nuclear envelope {GO:0005635}</t>
  </si>
  <si>
    <t>sp|Q91Z38|TTC1_MOUSE</t>
  </si>
  <si>
    <t>Tetratricopeptide repeat protein 1 (TPR repeat protein 1)</t>
  </si>
  <si>
    <t>TTC1_MOUSE</t>
  </si>
  <si>
    <t>Q91Z38</t>
  </si>
  <si>
    <t>Q3TLM0</t>
  </si>
  <si>
    <t>MGI:1914077</t>
  </si>
  <si>
    <t>Phosphoprotein; Repeat; TPR repeat</t>
  </si>
  <si>
    <t>sp|Q8K268|ABCF3_MOUSE</t>
  </si>
  <si>
    <t>ATP-binding cassette sub-family F member 3</t>
  </si>
  <si>
    <t>ABCF3_MOUSE</t>
  </si>
  <si>
    <t>Q8K268</t>
  </si>
  <si>
    <t>Q9JL49</t>
  </si>
  <si>
    <t>MGI:1351656</t>
  </si>
  <si>
    <t>Acetylation; Antiviral defense; ATP-binding; Nucleotide-binding; Phosphoprotein; Repeat</t>
  </si>
  <si>
    <t>Antiviral defense</t>
  </si>
  <si>
    <t>defense response to virus {GO:0051607}</t>
  </si>
  <si>
    <t>sp|Q9D0L8|MCES_MOUSE</t>
  </si>
  <si>
    <t>mRNA cap guanine-N7 methyltransferase</t>
  </si>
  <si>
    <t>RG7MT1; mRNA (guanine-N(7))-methyltransferase; mRNA cap methyltransferase</t>
  </si>
  <si>
    <t>MCES_MOUSE</t>
  </si>
  <si>
    <t>Q9D0L8</t>
  </si>
  <si>
    <t>Q3V3U9; Q6ZQC6; Q9D5F1</t>
  </si>
  <si>
    <t>Kiaa0398</t>
  </si>
  <si>
    <t>MGI:1915147</t>
  </si>
  <si>
    <t>Alternative splicing; Methyltransferase; mRNA capping; mRNA processing; Nucleus; Phosphoprotein; RNA-binding; S-adenosyl-L-methionine; Transferase</t>
  </si>
  <si>
    <t>mRNA capping; mRNA processing</t>
  </si>
  <si>
    <t>Methyltransferase; RNA-binding; Transferase</t>
  </si>
  <si>
    <t>7-methylguanosine mRNA capping {GO:0006370}; cellular response to leukemia inhibitory factor {GO:1990830}</t>
  </si>
  <si>
    <t>fibrillar center {GO:0001650}; mRNA cap binding complex {GO:0005845}; mRNA cap methyltransferase complex {GO:0031533}; nucleoplasm {GO:0005654}; nucleus {GO:0005634}; receptor complex {GO:0043235}</t>
  </si>
  <si>
    <t>mRNA (guanine-N7-)-methyltransferase activity {GO:0004482}; RNA binding {GO:0003723}</t>
  </si>
  <si>
    <t>mRNA Capping {R-MMU-72086}; RNA Pol II CTD phosphorylation and interaction with CE {R-MMU-77075}</t>
  </si>
  <si>
    <t>sp|Q8BGH2|SAM50_MOUSE</t>
  </si>
  <si>
    <t>Sorting and assembly machinery component 50 homolog</t>
  </si>
  <si>
    <t>SAM50_MOUSE</t>
  </si>
  <si>
    <t>Q8BGH2</t>
  </si>
  <si>
    <t>Q3TIL3; Q3TTG7; Q3TWD3</t>
  </si>
  <si>
    <t>MGI:1915903</t>
  </si>
  <si>
    <t>Cytoplasm; Membrane; Methylation; Mitochondrion; Mitochondrion outer membrane; Transmembrane; Transmembrane beta strand</t>
  </si>
  <si>
    <t>cristae formation {GO:0042407}; mitochondrial respiratory chain complex assembly {GO:0033108}; protein insertion into mitochondrial outer membrane {GO:0045040}</t>
  </si>
  <si>
    <t>integral component of membrane {GO:0016021}; mitochondrial inner membrane {GO:0005743}; mitochondrial outer membrane {GO:0005741}; mitochondrion {GO:0005739}; SAM complex {GO:0001401}</t>
  </si>
  <si>
    <t>RAC2 GTPase cycle {R-MMU-9013404}</t>
  </si>
  <si>
    <t>sp|P31938|MP2K1_MOUSE</t>
  </si>
  <si>
    <t>Dual specificity mitogen-activated protein kinase kinase 1 (MAP kinase kinase 1; MAPKK 1)</t>
  </si>
  <si>
    <t>ERK activator kinase 1; MAPK/ERK kinase 1 (MEK 1)</t>
  </si>
  <si>
    <t>MP2K1_MOUSE</t>
  </si>
  <si>
    <t>P31938</t>
  </si>
  <si>
    <t>Mek1; Prkmk1</t>
  </si>
  <si>
    <t>MGI:1346866</t>
  </si>
  <si>
    <t>ATP-binding; Cytoplasm; Cytoskeleton; Kinase; Membrane; Nucleotide-binding; Nucleus; Phosphoprotein; Serine/threonine-protein kinase; Transferase; Tyrosine-protein kinase</t>
  </si>
  <si>
    <t>Bergmann glial cell differentiation {GO:0060020}; cell motility {GO:0048870}; cell population proliferation {GO:0008283}; cellular senescence {GO:0090398}; cerebellar cortex formation {GO:0021697}; endodermal cell differentiation {GO:0035987}; epithelial cell proliferation involved in lung morphogenesis {GO:0060502}; ERK1 and ERK2 cascade {GO:0070371}; face development {GO:0060324}; glucose homeostasis {GO:0042593}; Golgi inheritance {GO:0048313}; heart development {GO:0007507}; keratinocyte differentiation {GO:0030216}; labyrinthine layer development {GO:0060711}; lung morphogenesis {GO:0060425}; MAPK cascade {GO:0000165}; melanosome transport {GO:0032402}; mitotic cell cycle {GO:0000278}; negative regulation of cell population proliferation {GO:0008285}; negative regulation of gene expression {GO:0010629}; negative regulation of homotypic cell-cell adhesion {GO:0034111}; negative regulation of hypoxia-induced intrinsic apoptotic signaling pathway {GO:1903298}; neuron differentiation {GO:0030182}; neuron projection morphogenesis {GO:0048812}; placenta blood vessel development {GO:0060674}; positive regulation of ATP biosynthetic process {GO:2001171}; positive regulation of autophagy {GO:0010508}; positive regulation of axonogenesis {GO:0050772}; positive regulation of cell migration {GO:0030335}; positive regulation of DNA-templated transcription {GO:0045893}; positive regulation of endodermal cell differentiation {GO:1903226}; positive regulation of ERK1 and ERK2 cascade {GO:0070374}; positive regulation of gene expression {GO:0010628}; positive regulation of GTPase activity {GO:0043547}; positive regulation of MAPK cascade {GO:0043410}; positive regulation of miRNA maturation {GO:1903800}; positive regulation of muscle contraction {GO:0045933}; positive regulation of protein serine/threonine kinase activity {GO:0071902}; positive regulation of Ras protein signal transduction {GO:0046579}; positive regulation of transcription elongation by RNA polymerase II {GO:0032968}; protein phosphorylation {GO:0006468}; regulation of axon regeneration {GO:0048679}; regulation of early endosome to late endosome transport {GO:2000641}; regulation of ERK1 and ERK2 cascade {GO:0070372}; regulation of Golgi inheritance {GO:0090170}; regulation of neurotransmitter receptor localization to postsynaptic specialization membrane {GO:0098696}; regulation of stress-activated MAPK cascade {GO:0032872}; regulation of vascular associated smooth muscle contraction {GO:0003056}; response to axon injury {GO:0048678}; response to glucocorticoid {GO:0051384}; response to oxidative stress {GO:0006979}; thymus development {GO:0048538}; thyroid gland development {GO:0030878}; trachea formation {GO:0060440}; triglyceride homeostasis {GO:0070328}; vesicle transport along microtubule {GO:0047496}</t>
  </si>
  <si>
    <t>axon {GO:0030424}; cell cortex {GO:0005938}; cytosol {GO:0005829}; dendrite {GO:0030425}; dendrite cytoplasm {GO:0032839}; early endosome {GO:0005769}; endoplasmic reticulum {GO:0005783}; focal adhesion {GO:0005925}; glutamatergic synapse {GO:0098978}; Golgi apparatus {GO:0005794}; late endosome {GO:0005770}; microtubule {GO:0005874}; microtubule organizing center {GO:0005815}; mitochondrion {GO:0005739}; nucleus {GO:0005634}; perikaryon {GO:0043204}; perinuclear region of cytoplasm {GO:0048471}; plasma membrane {GO:0005886}; postsynaptic density {GO:0014069}</t>
  </si>
  <si>
    <t>ATP binding {GO:0005524}; MAP kinase kinase activity {GO:0004708}; MAP-kinase scaffold activity {GO:0005078}; mitogen-activated protein kinase kinase kinase binding {GO:0031435}; protein C-terminus binding {GO:0008022}; protein kinase activator activity {GO:0030295}; protein kinase binding {GO:0019901}; protein N-terminus binding {GO:0047485}; protein serine kinase activity {GO:0106310}; protein serine/threonine kinase activator activity {GO:0043539}; protein serine/threonine kinase activity {GO:0004674}; protein serine/threonine/tyrosine kinase activity {GO:0004712}; protein tyrosine kinase activity {GO:0004713}; protein-containing complex binding {GO:0044877}; scaffold protein binding {GO:0097110}; small GTPase binding {GO:0031267}</t>
  </si>
  <si>
    <t>MAPK3 (ERK1) activation {R-MMU-110056}; Frs2-mediated activation {R-MMU-170968}; Signal transduction by L1 {R-MMU-445144}; RAF activation {R-MMU-5673000}; MAP2K and MAPK activation {R-MMU-5674135}; Negative feedback regulation of MAPK pathway {R-MMU-5674499}</t>
  </si>
  <si>
    <t>sp|Q9D051|ODPB_MOUSE</t>
  </si>
  <si>
    <t>Pyruvate dehydrogenase E1 component subunit beta, mitochondrial (PDHE1-B)</t>
  </si>
  <si>
    <t>ODPB_MOUSE</t>
  </si>
  <si>
    <t>Q9D051</t>
  </si>
  <si>
    <t>Q3TL86; Q505N8; Q99LW9</t>
  </si>
  <si>
    <t>MGI:1915513</t>
  </si>
  <si>
    <t>mitochondrial pyruvate dehydrogenase complex {GO:0005967}; mitochondrion {GO:0005739}; nucleoplasm {GO:0005654}; pyruvate dehydrogenase complex {GO:0045254}</t>
  </si>
  <si>
    <t>pyruvate dehydrogenase (acetyl-transferring) activity {GO:0004739}; pyruvate dehydrogenase (NAD+) activity {GO:0034604}</t>
  </si>
  <si>
    <t>sp|Q9JLL0|CRIM1_MOUSE</t>
  </si>
  <si>
    <t>Cysteine-rich motor neuron 1 protein (CRIM-1)</t>
  </si>
  <si>
    <t>CRIM1_MOUSE</t>
  </si>
  <si>
    <t>Q9JLL0</t>
  </si>
  <si>
    <t>Q497W4</t>
  </si>
  <si>
    <t>MGI:1354756</t>
  </si>
  <si>
    <t>Glycoprotein; Membrane; Phosphoprotein; Repeat; Signal; Transmembrane; Transmembrane helix</t>
  </si>
  <si>
    <t>negative regulation of BMP signaling pathway {GO:0030514}; negative regulation of osteoblast differentiation {GO:0045668}</t>
  </si>
  <si>
    <t>extracellular region {GO:0005576}; integral component of membrane {GO:0016021}; plasma membrane {GO:0005886}</t>
  </si>
  <si>
    <t>PDZ domain binding {GO:0030165}; serine-type endopeptidase inhibitor activity {GO:0004867}</t>
  </si>
  <si>
    <t>sp|Q9ERF3|SKI8_MOUSE</t>
  </si>
  <si>
    <t>WD repeat-containing protein 61, N-terminally processed</t>
  </si>
  <si>
    <t>Meiotic recombination REC14 protein homolog</t>
  </si>
  <si>
    <t>WDR61_MOUSE</t>
  </si>
  <si>
    <t>Q9ERF3</t>
  </si>
  <si>
    <t>Q3U562; Q9CZP1</t>
  </si>
  <si>
    <t>MGI:1917493</t>
  </si>
  <si>
    <t>Acetylation; Cytoplasm; Nucleus; Repeat; Transcription; Transcription regulation; WD repeat; Wnt signaling pathway</t>
  </si>
  <si>
    <t>Transcription; Transcription regulation; Wnt signaling pathway</t>
  </si>
  <si>
    <t>histone H3-K4 methylation {GO:0051568}; histone H3-K4 trimethylation {GO:0080182}; negative regulation of myeloid cell differentiation {GO:0045638}; positive regulation of histone H3-K4 methylation {GO:0051571}; positive regulation of histone H3-K79 methylation {GO:2001162}; transcription elongation by RNA polymerase II promoter {GO:0006368}; Wnt signaling pathway {GO:0016055}</t>
  </si>
  <si>
    <t>Cdc73/Paf1 complex {GO:0016593}; cytoplasm {GO:0005737}; cytosol {GO:0005829}; euchromatin {GO:0000791}; nucleoplasm {GO:0005654}; nucleus {GO:0005634}; Ski complex {GO:0055087}</t>
  </si>
  <si>
    <t>Formation of RNA Pol II elongation complex {R-MMU-112382}; mRNA decay by 3' to 5' exoribonuclease {R-MMU-429958}; RNA Polymerase II Pre-transcription Events {R-MMU-674695}; RNA Polymerase II Transcription Elongation {R-MMU-75955}; E3 ubiquitin ligases ubiquitinate target proteins {R-MMU-8866654}</t>
  </si>
  <si>
    <t>sp|O88696|CLPP_MOUSE</t>
  </si>
  <si>
    <t>ATP-dependent Clp protease proteolytic subunit, mitochondrial</t>
  </si>
  <si>
    <t>Endopeptidase Clp</t>
  </si>
  <si>
    <t>CLPP_MOUSE</t>
  </si>
  <si>
    <t>O88696</t>
  </si>
  <si>
    <t>Q3TI13</t>
  </si>
  <si>
    <t>MGI:1858213</t>
  </si>
  <si>
    <t>Acetylation; Hydrolase; Mitochondrion; Protease; Serine protease; Transit peptide</t>
  </si>
  <si>
    <t>membrane protein proteolysis {GO:0033619}; protein quality control for misfolded or incompletely synthesized proteins {GO:0006515}; proteolysis {GO:0006508}; proteolysis involved in protein catabolic process {GO:0051603}</t>
  </si>
  <si>
    <t>endopeptidase Clp complex {GO:0009368}; mitochondrial matrix {GO:0005759}; mitochondrion {GO:0005739}</t>
  </si>
  <si>
    <t>ATP-dependent peptidase activity {GO:0004176}; ATPase binding {GO:0051117}; endopeptidase activity {GO:0004175}; identical protein binding {GO:0042802}; serine-type endopeptidase activity {GO:0004252}</t>
  </si>
  <si>
    <t>sp|Q8CFA2|GCST_MOUSE</t>
  </si>
  <si>
    <t>Aminomethyltransferase, mitochondrial</t>
  </si>
  <si>
    <t>Glycine cleavage system T protein (GCVT)</t>
  </si>
  <si>
    <t>GCST_MOUSE</t>
  </si>
  <si>
    <t>Q8CFA2</t>
  </si>
  <si>
    <t>MGI:3646700</t>
  </si>
  <si>
    <t>Aminotransferase; Mitochondrion; Transferase; Transit peptide</t>
  </si>
  <si>
    <t>glycine decarboxylation via glycine cleavage system {GO:0019464}</t>
  </si>
  <si>
    <t>aminomethyltransferase activity {GO:0004047}; transaminase activity {GO:0008483}</t>
  </si>
  <si>
    <t>Glycine degradation {R-MMU-6783984}</t>
  </si>
  <si>
    <t>tr|F8VPN4|F8VPN4_MOUSE</t>
  </si>
  <si>
    <t>sp|Q9DC69|NDUA9_MOUSE</t>
  </si>
  <si>
    <t>NADH dehydrogenase [ubiquinone] 1 alpha subcomplex subunit 9, mitochondrial</t>
  </si>
  <si>
    <t>Complex I-39kD (CI-39kD); NADH-ubiquinone oxidoreductase 39 kDa subunit</t>
  </si>
  <si>
    <t>NDUA9_MOUSE</t>
  </si>
  <si>
    <t>Q9DC69</t>
  </si>
  <si>
    <t>Q6GTD3; Q99JP9</t>
  </si>
  <si>
    <t>MGI:1913358</t>
  </si>
  <si>
    <t>3D-structure; Acetylation; Electron transport; FAD; Flavoprotein; Mitochondrion; Respiratory chain; Transit peptide; Transport</t>
  </si>
  <si>
    <t>aerobic respiration {GO:0009060}; circadian rhythm {GO:0007623}; mitochondrial respiratory chain complex I assembly {GO:0032981}; proton motive force-driven mitochondrial ATP synthesis {GO:0042776}; ubiquinone-6 biosynthetic process {GO:1901006}</t>
  </si>
  <si>
    <t>mitochondrial inner membrane {GO:0005743}; mitochondrial matrix {GO:0005759}; mitochondrial membrane {GO:0031966}; mitochondrial respiratory chain complex I {GO:0005747}; mitochondrion {GO:0005739}</t>
  </si>
  <si>
    <t>NADH dehydrogenase activity {GO:0003954}; protein-containing complex binding {GO:0044877}</t>
  </si>
  <si>
    <t>sp|P35293|RAB18_MOUSE</t>
  </si>
  <si>
    <t>Ras-related protein Rab-18</t>
  </si>
  <si>
    <t>RAB18_MOUSE</t>
  </si>
  <si>
    <t>P35293</t>
  </si>
  <si>
    <t>Q543V0</t>
  </si>
  <si>
    <t>MGI:102790</t>
  </si>
  <si>
    <t>Acetylation; Cell membrane; Developmental protein; GTP-binding; Lipid droplet; Lipoprotein; Membrane; Methylation; Nucleotide-binding; Palmitate; Phosphoprotein; Prenylation; Protein transport; Transport</t>
  </si>
  <si>
    <t>Cell membrane; Lipid droplet; Membrane</t>
  </si>
  <si>
    <t>brain development {GO:0007420}; endoplasmic reticulum tubular network organization {GO:0071786}; eye development {GO:0001654}; import into nucleus {GO:0051170}; intracellular protein transport {GO:0006886}; lipid droplet organization {GO:0034389}</t>
  </si>
  <si>
    <t>apical plasma membrane {GO:0016324}; endoplasmic reticulum tubular network {GO:0071782}; Golgi apparatus {GO:0005794}; lipid droplet {GO:0005811}; synapse {GO:0045202}</t>
  </si>
  <si>
    <t>Neutrophil degranulation {R-MMU-6798695}; COPI-independent Golgi-to-ER retrograde traffic {R-MMU-6811436}; RAB geranylgeranylation {R-MMU-8873719}; RAB GEFs exchange GTP for GDP on RABs {R-MMU-8876198}</t>
  </si>
  <si>
    <t>sp|Q9R0P4|SMAP_MOUSE</t>
  </si>
  <si>
    <t>Small acidic protein</t>
  </si>
  <si>
    <t>Sid 2057</t>
  </si>
  <si>
    <t>SMAP_MOUSE</t>
  </si>
  <si>
    <t>Q9R0P4</t>
  </si>
  <si>
    <t>Sid2057</t>
  </si>
  <si>
    <t>MGI:1929274</t>
  </si>
  <si>
    <t>sp|Q9JHI5|IVD_MOUSE</t>
  </si>
  <si>
    <t>Isovaleryl-CoA dehydrogenase, mitochondrial (IVD)</t>
  </si>
  <si>
    <t>Butyryl-CoA dehydrogenase</t>
  </si>
  <si>
    <t>IVD_MOUSE</t>
  </si>
  <si>
    <t>Q9JHI5</t>
  </si>
  <si>
    <t>Q9CYI3; Q9DBD7</t>
  </si>
  <si>
    <t>MGI:1929242</t>
  </si>
  <si>
    <t>Acetylation; FAD; Flavoprotein; Mitochondrion; Oxidoreductase; Transit peptide</t>
  </si>
  <si>
    <t>branched-chain amino acid catabolic process {GO:0009083}; fatty acid beta-oxidation using acyl-CoA dehydrogenase {GO:0033539}; leucine catabolic process {GO:0006552}</t>
  </si>
  <si>
    <t>mitochondrial matrix {GO:0005759}; mitochondrial membrane {GO:0031966}; mitochondrion {GO:0005739}; nucleoplasm {GO:0005654}</t>
  </si>
  <si>
    <t>acyl-CoA dehydrogenase activity {GO:0003995}; butyryl-CoA dehydrogenase activity {GO:0004085}; flavin adenine dinucleotide binding {GO:0050660}; identical protein binding {GO:0042802}; isovaleryl-CoA dehydrogenase activity {GO:0008470}</t>
  </si>
  <si>
    <t>Amino-acid degradation; L-leucine degradation; (S)-3-hydroxy- 3-methylglutaryl-CoA from 3-isovaleryl-CoA: step 1/3.</t>
  </si>
  <si>
    <t>sp|P70336|ROCK2_MOUSE</t>
  </si>
  <si>
    <t>Rho-associated protein kinase 2</t>
  </si>
  <si>
    <t>Rho-associated, coiled-coil-containing protein kinase 2; Rho-associated, coiled-coil-containing protein kinase II (ROCK-II); p164 ROCK-2</t>
  </si>
  <si>
    <t>ROCK2_MOUSE</t>
  </si>
  <si>
    <t>P70336</t>
  </si>
  <si>
    <t>A5XDA7; Q8BR64; Q8CBR0</t>
  </si>
  <si>
    <t>MGI:107926</t>
  </si>
  <si>
    <t>Alternative splicing; ATP-binding; Biological rhythms; Cell membrane; Coiled coil; Cytoplasm; Cytoskeleton; Kinase; Magnesium; Membrane; Metal-binding; Nucleotide-binding; Nucleus; Phosphoprotein; Serine/threonine-protein kinase; Transferase; Zinc; Zinc-finger</t>
  </si>
  <si>
    <t>Cell membrane; Cytoplasm; Cytoskeleton; Membrane; Nucleus</t>
  </si>
  <si>
    <t>ATP-binding; Magnesium; Metal-binding; Nucleotide-binding; Zinc</t>
  </si>
  <si>
    <t>actin cytoskeleton organization {GO:0030036}; actomyosin structure organization {GO:0031032}; blood vessel diameter maintenance {GO:0097746}; cellular response to acetylcholine {GO:1905145}; cellular response to testosterone stimulus {GO:0071394}; centrosome duplication {GO:0051298}; cortical actin cytoskeleton organization {GO:0030866}; dendrite morphogenesis {GO:0048813}; embryonic morphogenesis {GO:0048598}; epithelial to mesenchymal transition {GO:0001837}; extrinsic apoptotic signaling pathway via death domain receptors {GO:0008625}; I-kappaB kinase/NF-kappaB signaling {GO:0007249}; mitotic cytokinesis {GO:0000281}; modulation by host of viral process {GO:0044788}; mRNA destabilization {GO:0061157}; negative regulation of angiogenesis {GO:0016525}; negative regulation of bicellular tight junction assembly {GO:1903347}; negative regulation of gene expression {GO:0010629}; negative regulation of myosin-light-chain-phosphatase activity {GO:0035509}; negative regulation of nitric oxide biosynthetic process {GO:0045019}; negative regulation of protein localization to lysosome {GO:0150033}; neural tube closure {GO:0001843}; peptidyl-serine phosphorylation {GO:0018105}; peptidyl-threonine phosphorylation {GO:0018107}; positive regulation of amyloid precursor protein catabolic process {GO:1902993}; positive regulation of amyloid-beta formation {GO:1902004}; positive regulation of aspartic-type endopeptidase activity involved in amyloid precursor protein catabolic process {GO:1902961}; positive regulation of cardiac muscle hypertrophy {GO:0010613}; positive regulation of cell migration {GO:0030335}; positive regulation of centrosome duplication {GO:0010825}; positive regulation of connective tissue growth factor production {GO:0032723}; positive regulation of connective tissue replacement {GO:1905205}; positive regulation of endothelial cell migration {GO:0010595}; positive regulation of fibroblast growth factor production {GO:0090271}; positive regulation of gene expression {GO:0010628}; positive regulation of MAPK cascade {GO:0043410}; positive regulation of protein localization to early endosome {GO:1902966}; positive regulation of protein phosphorylation {GO:0001934}; positive regulation of stress fiber assembly {GO:0051496}; postsynaptic actin cytoskeleton organization {GO:0098974}; protein localization to plasma membrane {GO:0072659}; protein phosphorylation {GO:0006468}; regulation of angiotensin-activated signaling pathway {GO:0110061}; regulation of cell junction assembly {GO:1901888}; regulation of cellular response to hypoxia {GO:1900037}; regulation of circadian rhythm {GO:0042752}; regulation of establishment of endothelial barrier {GO:1903140}; regulation of keratinocyte differentiation {GO:0045616}; regulation of nervous system process {GO:0031644}; regulation of protein metabolic process {GO:0051246}; response to angiotensin {GO:1990776}; response to ischemia {GO:0002931}; response to transforming growth factor beta {GO:0071559}; Rho protein signal transduction {GO:0007266}; rhythmic process {GO:0048511}; smooth muscle contraction {GO:0006939}</t>
  </si>
  <si>
    <t>centrosome {GO:0005813}; cytoplasm {GO:0005737}; cytoplasmic ribonucleoprotein granule {GO:0036464}; cytoskeleton {GO:0005856}; cytosol {GO:0005829}; glutamatergic synapse {GO:0098978}; nucleus {GO:0005634}; plasma membrane {GO:0005886}; Schaffer collateral - CA1 synapse {GO:0098685}; spindle pole centrosome {GO:0031616}</t>
  </si>
  <si>
    <t>ATP binding {GO:0005524}; metal ion binding {GO:0046872}; protein kinase activity {GO:0004672}; protein serine kinase activity {GO:0106310}; protein serine/threonine kinase activity {GO:0004674}; Rho-dependent protein serine/threonine kinase activity {GO:0072518}; small GTPase binding {GO:0031267}</t>
  </si>
  <si>
    <t>EPHB-mediated forward signaling {R-MMU-3928662}; G alpha (12/13) signalling events {R-MMU-416482}; Sema4D induced cell migration and growth-cone collapse {R-MMU-416572}; VEGFA-VEGFR2 Pathway {R-MMU-4420097}; RHO GTPases Activate ROCKs {R-MMU-5627117}; RHOA GTPase cycle {R-MMU-8980692}; RHOB GTPase cycle {R-MMU-9013026}; RHOC GTPase cycle {R-MMU-9013106}; RHOH GTPase cycle {R-MMU-9013407}; RHOBTB1 GTPase cycle {R-MMU-9013422}</t>
  </si>
  <si>
    <t>sp|P10605|CATB_MOUSE</t>
  </si>
  <si>
    <t>Cathepsin B heavy chain</t>
  </si>
  <si>
    <t>Cathepsin B1</t>
  </si>
  <si>
    <t>CATB_MOUSE</t>
  </si>
  <si>
    <t>P10605</t>
  </si>
  <si>
    <t>Q3UDW7</t>
  </si>
  <si>
    <t>MGI:88561</t>
  </si>
  <si>
    <t>Acetylation; Cell membrane; Disulfide bond; Glycoprotein; Hydrolase; Lysosome; Membrane; Protease; Secreted; Signal; Thiol protease; Zymogen</t>
  </si>
  <si>
    <t>Cell membrane; Lysosome; Membrane; Secreted</t>
  </si>
  <si>
    <t>Acetylation; Disulfide bond; Glycoprotein; Zymogen</t>
  </si>
  <si>
    <t>cellular response to thyroid hormone stimulus {GO:0097067}; collagen catabolic process {GO:0030574}; decidualization {GO:0046697}; epithelial cell differentiation {GO:0030855}; negative regulation of cell death {GO:0060548}; negative regulation of peptidase activity {GO:0010466}; protein catabolic process {GO:0030163}; proteolysis {GO:0006508}; proteolysis involved in protein catabolic process {GO:0051603}; thyroid hormone generation {GO:0006590}; viral entry into host cell {GO:0046718}</t>
  </si>
  <si>
    <t>apical plasma membrane {GO:0016324}; caveola {GO:0005901}; cell surface {GO:0009986}; collagen-containing extracellular matrix {GO:0062023}; cytoplasm {GO:0005737}; external side of plasma membrane {GO:0009897}; extracellular region {GO:0005576}; extracellular space {GO:0005615}; lysosome {GO:0005764}; melanosome {GO:0042470}; mitochondrion {GO:0005739}; peptidase inhibitor complex {GO:1904090}; perinuclear region of cytoplasm {GO:0048471}; sarcolemma {GO:0042383}</t>
  </si>
  <si>
    <t>collagen binding {GO:0005518}; cysteine-type endopeptidase activity {GO:0004197}; cysteine-type peptidase activity {GO:0008234}; endopeptidase activity {GO:0004175}; kininogen binding {GO:0030984}; peptidase activity {GO:0008233}; peptide binding {GO:0042277}; protein self-association {GO:0043621}; protein-containing complex binding {GO:0044877}; proteoglycan binding {GO:0043394}</t>
  </si>
  <si>
    <t>Collagen degradation {R-MMU-1442490}; Trafficking and processing of endosomal TLR {R-MMU-1679131}; Assembly of collagen fibrils and other multimeric structures {R-MMU-2022090}; MHC class II antigen presentation {R-MMU-2132295}; Neutrophil degranulation {R-MMU-6798695}</t>
  </si>
  <si>
    <t>sp|Q9D0K2|SCOT1_MOUSE</t>
  </si>
  <si>
    <t>Succinyl-CoA:3-ketoacid coenzyme A transferase 1, mitochondrial (SCOT)</t>
  </si>
  <si>
    <t>3-oxoacid CoA-transferase 1; Somatic-type succinyl-CoA:3-oxoacid CoA-transferase (SCOT-s); Succinyl-CoA:3-oxoacid CoA transferase</t>
  </si>
  <si>
    <t>SCOT1_MOUSE</t>
  </si>
  <si>
    <t>Q9D0K2</t>
  </si>
  <si>
    <t>Q3TIW6; Q9CV92</t>
  </si>
  <si>
    <t>Oxct; Scot</t>
  </si>
  <si>
    <t>MGI:1914291</t>
  </si>
  <si>
    <t>Lipid metabolism; Mitochondrion; Phosphoprotein; Transferase; Transit peptide</t>
  </si>
  <si>
    <t>adipose tissue development {GO:0060612}; brain development {GO:0007420}; cellular ketone body metabolic process {GO:0046950}; heart development {GO:0007507}; ketone body catabolic process {GO:0046952}; ketone catabolic process {GO:0042182}; positive regulation of insulin secretion involved in cellular response to glucose stimulus {GO:0035774}; response to activity {GO:0014823}; response to ethanol {GO:0045471}; response to hormone {GO:0009725}; response to nutrient {GO:0007584}; response to starvation {GO:0042594}; response to xenobiotic stimulus {GO:0009410}</t>
  </si>
  <si>
    <t>3-oxoacid CoA-transferase activity {GO:0008260}; CoA-transferase activity {GO:0008410}; identical protein binding {GO:0042802}</t>
  </si>
  <si>
    <t>Ketone metabolism; succinyl-CoA degradation; acetoacetyl-CoA from succinyl-CoA: step 1/1..</t>
  </si>
  <si>
    <t>Utilization of Ketone Bodies {R-MMU-77108}</t>
  </si>
  <si>
    <t>sp|P28741|KIF3A_MOUSE</t>
  </si>
  <si>
    <t>Kinesin-like protein KIF3A</t>
  </si>
  <si>
    <t>Microtubule plus end-directed kinesin motor 3A</t>
  </si>
  <si>
    <t>KIF3A_MOUSE</t>
  </si>
  <si>
    <t>P28741</t>
  </si>
  <si>
    <t>Q7TSZ7</t>
  </si>
  <si>
    <t>Kif3</t>
  </si>
  <si>
    <t>MGI:107689</t>
  </si>
  <si>
    <t>3D-structure; ATP-binding; Cell projection; Cilium; Cilium biogenesis/degradation; Coiled coil; Cytoplasm; Cytoskeleton; Microtubule; Motor protein; Nucleotide-binding; Phosphoprotein</t>
  </si>
  <si>
    <t>Cell projection; Cilium; Cytoplasm; Cytoskeleton; Microtubule</t>
  </si>
  <si>
    <t>anterior/posterior pattern specification {GO:0009952}; anterograde axonal transport {GO:0008089}; centriole-centriole cohesion {GO:0010457}; cilium assembly {GO:0060271}; cilium movement {GO:0003341}; dentate gyrus development {GO:0021542}; determination of left/right symmetry {GO:0007368}; dorsal/ventral neural tube patterning {GO:0021904}; dorsal/ventral pattern formation {GO:0009953}; epidermal stem cell homeostasis {GO:0036334}; epidermis development {GO:0008544}; forebrain development {GO:0030900}; heart development {GO:0007507}; heart looping {GO:0001947}; in utero embryonic development {GO:0001701}; inner ear receptor cell stereocilium organization {GO:0060122}; keratinocyte proliferation {GO:0043616}; kidney development {GO:0001822}; microtubule anchoring at centrosome {GO:0034454}; microtubule-based movement {GO:0007018}; motile cilium assembly {GO:0044458}; neural precursor cell proliferation {GO:0061351}; neural tube development {GO:0021915}; non-motile cilium assembly {GO:1905515}; positive regulation of axo-dendritic protein transport {GO:1905128}; positive regulation of epithelial cell proliferation {GO:0050679}; positive regulation of establishment or maintenance of cell polarity regulating cell shape {GO:2000771}; positive regulation of intracellular protein transport {GO:0090316}; positive regulation of keratinocyte proliferation {GO:0010838}; positive regulation of receptor-mediated endocytosis {GO:0048260}; protein localization to cell junction {GO:1902414}; protein transport {GO:0015031}; smoothened signaling pathway {GO:0007224}</t>
  </si>
  <si>
    <t>axon cytoplasm {GO:1904115}; axoneme {GO:0005930}; centriole {GO:0005814}; centrosome {GO:0005813}; cilium {GO:0005929}; cytosol {GO:0005829}; kinesin complex {GO:0005871}; kinesin II complex {GO:0016939}; microtubule {GO:0005874}; microtubule cytoskeleton {GO:0015630}; motile cilium {GO:0031514}; neuron projection {GO:0043005}; neuronal cell body {GO:0043025}; photoreceptor connecting cilium {GO:0032391}; ribbon synapse {GO:0097470}; spindle microtubule {GO:0005876}</t>
  </si>
  <si>
    <t>ATP binding {GO:0005524}; ATP hydrolysis activity {GO:0016887}; intraciliary transport particle B binding {GO:0120170}; kinesin binding {GO:0019894}; microtubule binding {GO:0008017}; microtubule motor activity {GO:0003777}; protein phosphatase binding {GO:0019903}; protein-containing complex binding {GO:0044877}; small GTPase binding {GO:0031267}; spectrin binding {GO:0030507}</t>
  </si>
  <si>
    <t>MHC class II antigen presentation {R-MMU-2132295}; Hedgehog 'off' state {R-MMU-5610787}; Intraflagellar transport {R-MMU-5620924}; Activation of SMO {R-MMU-5635838}; COPI-dependent Golgi-to-ER retrograde traffic {R-MMU-6811434}; Kinesins {R-MMU-983189}</t>
  </si>
  <si>
    <t>sp|P99028|QCR6_MOUSE</t>
  </si>
  <si>
    <t>Cytochrome b-c1 complex subunit 6, mitochondrial</t>
  </si>
  <si>
    <t>Complex III subunit 6; Complex III subunit VIII; Cytochrome c1 non-heme 11 kDa protein; Mitochondrial hinge protein; Ubiquinol-cytochrome c reductase complex 11 kDa protein</t>
  </si>
  <si>
    <t>QCR6_MOUSE</t>
  </si>
  <si>
    <t>P99028</t>
  </si>
  <si>
    <t>Q542K2; Q9CQP4</t>
  </si>
  <si>
    <t>MGI:1913826</t>
  </si>
  <si>
    <t>3D-structure; Acetylation; Disulfide bond; Electron transport; Membrane; Mitochondrion; Mitochondrion inner membrane; Respiratory chain; Transit peptide; Transport</t>
  </si>
  <si>
    <t>sp|P46664|PURA2_MOUSE</t>
  </si>
  <si>
    <t>Adenylosuccinate synthetase isozyme 2 (AMPSase 2; AdSS 2)</t>
  </si>
  <si>
    <t>Adenylosuccinate synthetase, acidic isozyme; Adenylosuccinate synthetase, liver isozyme (L-type adenylosuccinate synthetase); IMP--aspartate ligase 2</t>
  </si>
  <si>
    <t>PURA2_MOUSE</t>
  </si>
  <si>
    <t>P46664</t>
  </si>
  <si>
    <t>Q9CQL9</t>
  </si>
  <si>
    <t>Adss</t>
  </si>
  <si>
    <t>MGI:87948</t>
  </si>
  <si>
    <t>Cytoplasm; GTP-binding; Ligase; Magnesium; Metal-binding; Mitochondrion; Nucleotide-binding; Purine biosynthesis</t>
  </si>
  <si>
    <t>'de novo' AMP biosynthetic process {GO:0044208}; AMP biosynthetic process {GO:0006167}; AMP salvage {GO:0044209}; aspartate metabolic process {GO:0006531}; cellular response to electrical stimulus {GO:0071257}; IMP metabolic process {GO:0046040}; purine nucleotide biosynthetic process {GO:0006164}; response to ammonium ion {GO:0060359}; response to purine-containing compound {GO:0014074}</t>
  </si>
  <si>
    <t>adenylosuccinate synthase activity {GO:0004019}; GTP binding {GO:0005525}; magnesium ion binding {GO:0000287}</t>
  </si>
  <si>
    <t>Purine metabolism; AMP biosynthesis via de novo pathway; AMP from IMP: step 1/2..</t>
  </si>
  <si>
    <t>sp|Q61823|PDCD4_MOUSE</t>
  </si>
  <si>
    <t>Programmed cell death protein 4</t>
  </si>
  <si>
    <t>Protein MA-3; Topoisomerase-inhibitor suppressed protein</t>
  </si>
  <si>
    <t>PDCD4_MOUSE</t>
  </si>
  <si>
    <t>Q61823</t>
  </si>
  <si>
    <t>P97296; Q3T9A9</t>
  </si>
  <si>
    <t>Ma3; Tis</t>
  </si>
  <si>
    <t>MGI:107490</t>
  </si>
  <si>
    <t>3D-structure; Acetylation; Apoptosis; Cytoplasm; Nucleus; Phosphoprotein; Repeat; RNA-binding; Tumor suppressor; Ubl conjugation</t>
  </si>
  <si>
    <t>apoptotic process {GO:0006915}; BMP signaling pathway {GO:0030509}; cellular response to lipopolysaccharide {GO:0071222}; epithelial to mesenchymal transition involved in cardiac fibroblast development {GO:0060940}; negative regulation of apoptotic process {GO:0043066}; negative regulation of cytokine production involved in inflammatory response {GO:1900016}; negative regulation of DNA-templated transcription {GO:0045892}; negative regulation of JUN kinase activity {GO:0043508}; negative regulation of myofibroblast differentiation {GO:1904761}; negative regulation of vascular associated smooth muscle cell differentiation {GO:1905064}; negative regulation of vascular associated smooth muscle cell proliferation {GO:1904706}; positive regulation of endothelial cell apoptotic process {GO:2000353}; positive regulation of inflammatory response {GO:0050729}; positive regulation of NIK/NF-kappaB signaling {GO:1901224}; positive regulation of smooth muscle cell apoptotic process {GO:0034393}; positive regulation of vascular associated smooth muscle cell apoptotic process {GO:1905461}; regulation of protein metabolic process {GO:0051246}</t>
  </si>
  <si>
    <t>sp|Q9JHW9|AL1A3_MOUSE</t>
  </si>
  <si>
    <t>Aldehyde dehydrogenase family 1 member A3</t>
  </si>
  <si>
    <t>Aldehyde dehydrogenase 6; Retinaldehyde dehydrogenase 3 (RALDH-3; RalDH3)</t>
  </si>
  <si>
    <t>AL1A3_MOUSE</t>
  </si>
  <si>
    <t>Q9JHW9</t>
  </si>
  <si>
    <t>Q9EQP7; Q9JI72</t>
  </si>
  <si>
    <t>Aldh6; Raldh3</t>
  </si>
  <si>
    <t>MGI:1861722</t>
  </si>
  <si>
    <t>Acetylation; Cytoplasm; Lipid metabolism; NAD; Oxidoreductase</t>
  </si>
  <si>
    <t>apoptotic process {GO:0006915}; embryonic camera-type eye development {GO:0031076}; embryonic eye morphogenesis {GO:0048048}; face development {GO:0060324}; Harderian gland development {GO:0070384}; inner ear morphogenesis {GO:0042472}; locomotory behavior {GO:0007626}; neuromuscular process controlling balance {GO:0050885}; nose development {GO:0043584}; nucleus accumbens development {GO:0021768}; olfactory pit development {GO:0060166}; optic cup morphogenesis involved in camera-type eye development {GO:0002072}; positive regulation of apoptotic process {GO:0043065}; positive regulation of retinoic acid receptor signaling pathway {GO:0048386}; protein homotetramerization {GO:0051289}; retinal metabolic process {GO:0042574}; retinoic acid biosynthetic process {GO:0002138}; retinoic acid metabolic process {GO:0042573}; retinol metabolic process {GO:0042572}; righting reflex {GO:0060013}</t>
  </si>
  <si>
    <t>3-chloroallyl aldehyde dehydrogenase activity {GO:0004028}; aldehyde dehydrogenase (NAD+) activity {GO:0004029}; aldehyde dehydrogenase [NAD(P)+] activity {GO:0004030}; NAD+ binding {GO:0070403}; protein homodimerization activity {GO:0042803}; retinal dehydrogenase activity {GO:0001758}; thyroid hormone binding {GO:0070324}</t>
  </si>
  <si>
    <t xml:space="preserve">Cofactor metabolism; retinol metabolism. </t>
  </si>
  <si>
    <t>RA biosynthesis pathway {R-MMU-5365859}</t>
  </si>
  <si>
    <t>sp|Q9DCJ5|NDUA8_MOUSE</t>
  </si>
  <si>
    <t>NADH dehydrogenase [ubiquinone] 1 alpha subcomplex subunit 8</t>
  </si>
  <si>
    <t>Complex I-19kD (CI-19kD); Complex I-PGIV (CI-PGIV); NADH-ubiquinone oxidoreductase 19 kDa subunit</t>
  </si>
  <si>
    <t>NDUA8_MOUSE</t>
  </si>
  <si>
    <t>Q9DCJ5</t>
  </si>
  <si>
    <t>A2AL45</t>
  </si>
  <si>
    <t>MGI:1915625</t>
  </si>
  <si>
    <t>3D-structure; Disulfide bond; Electron transport; Membrane; Mitochondrion; Mitochondrion inner membrane; Repeat; Respiratory chain; Transport</t>
  </si>
  <si>
    <t>mitochondrial inner membrane {GO:0005743}; mitochondrial intermembrane space {GO:0005758}; mitochondrial respiratory chain complex I {GO:0005747}; mitochondrion {GO:0005739}</t>
  </si>
  <si>
    <t>sp|P70333|HNRH2_MOUSE</t>
  </si>
  <si>
    <t>Heterogeneous nuclear ribonucleoprotein H2, N-terminally processed</t>
  </si>
  <si>
    <t>Heterogeneous nuclear ribonucleoprotein H' (hnRNP H')</t>
  </si>
  <si>
    <t>HNRH2_MOUSE</t>
  </si>
  <si>
    <t>P70333</t>
  </si>
  <si>
    <t>Q3THV9</t>
  </si>
  <si>
    <t>Hnrph2</t>
  </si>
  <si>
    <t>MGI:1201779</t>
  </si>
  <si>
    <t>regulation of RNA splicing {GO:0043484}</t>
  </si>
  <si>
    <t>cytosol {GO:0005829}; nucleoplasm {GO:0005654}; postsynaptic density {GO:0014069}; ribonucleoprotein complex {GO:1990904}</t>
  </si>
  <si>
    <t>sp|Q61576|FKB10_MOUSE</t>
  </si>
  <si>
    <t>Peptidyl-prolyl cis-trans isomerase FKBP10 (PPIase FKBP10)</t>
  </si>
  <si>
    <t>65 kDa FK506-binding protein (65 kDa FKBP; FKBP-65); FK506-binding protein 10 (FKBP-10); Immunophilin FKBP65; Rotamase</t>
  </si>
  <si>
    <t>FKB10_MOUSE</t>
  </si>
  <si>
    <t>Q61576</t>
  </si>
  <si>
    <t>A2A4I0; Q8VHI1</t>
  </si>
  <si>
    <t>Fkbp-rs; Fkbp1-rs; Fkbp6; Fkbp65; Fkbprp</t>
  </si>
  <si>
    <t>MGI:104769</t>
  </si>
  <si>
    <t>aorta morphogenesis {GO:0035909}; collagen fibril organization {GO:0030199}; extracellular matrix assembly {GO:0085029}; in utero embryonic development {GO:0001701}; peptidyl-lysine hydroxylation {GO:0017185}; peptidyl-proline modification {GO:0018208}; protein folding {GO:0006457}; wound healing {GO:0042060}</t>
  </si>
  <si>
    <t>endoplasmic reticulum {GO:0005783}; endoplasmic reticulum lumen {GO:0005788}; membrane {GO:0016020}; mitochondrial intermembrane space {GO:0005758}</t>
  </si>
  <si>
    <t>calcium ion binding {GO:0005509}; FK506 binding {GO:0005528}; peptidyl-prolyl cis-trans isomerase activity {GO:0003755}</t>
  </si>
  <si>
    <t>sp|Q99JR1|SFXN1_MOUSE</t>
  </si>
  <si>
    <t>Sideroflexin-1</t>
  </si>
  <si>
    <t>SFXN1_MOUSE</t>
  </si>
  <si>
    <t>Q99JR1</t>
  </si>
  <si>
    <t>Q3UB44; Q9CZG4</t>
  </si>
  <si>
    <t>MGI:2137677</t>
  </si>
  <si>
    <t>Acetylation; Amino-acid transport; Membrane; Mitochondrion; Mitochondrion inner membrane; One-carbon metabolism; Transmembrane; Transmembrane helix; Transport</t>
  </si>
  <si>
    <t>Amino-acid transport; One-carbon metabolism; Transport</t>
  </si>
  <si>
    <t>erythrocyte differentiation {GO:0030218}; iron ion transport {GO:0006826}; L-alanine transport {GO:0015808}; L-serine transport {GO:0015825}; mitochondrial transmembrane transport {GO:1990542}; one-carbon metabolic process {GO:0006730}; serine import into mitochondrion {GO:0140300}</t>
  </si>
  <si>
    <t>integral component of mitochondrial inner membrane {GO:0031305}; mitochondrial inner membrane {GO:0005743}; mitochondrion {GO:0005739}</t>
  </si>
  <si>
    <t>L-alanine transmembrane transporter activity {GO:0015180}; L-serine transmembrane transporter activity {GO:0015194}; serine transmembrane transporter activity {GO:0022889}; transmembrane transporter activity {GO:0022857}</t>
  </si>
  <si>
    <t>sp|O88851|RBBP9_MOUSE</t>
  </si>
  <si>
    <t>Putative hydrolase RBBP9</t>
  </si>
  <si>
    <t>B5T-overexpressed gene protein (Protein BOG); Retinoblastoma-binding protein 9 (RBBP-9)</t>
  </si>
  <si>
    <t>RBBP9_MOUSE</t>
  </si>
  <si>
    <t>O88851</t>
  </si>
  <si>
    <t>Q9CYJ9</t>
  </si>
  <si>
    <t>Bog</t>
  </si>
  <si>
    <t>MGI:1347074</t>
  </si>
  <si>
    <t>positive regulation of gene expression {GO:0010628}; regulation of cell population proliferation {GO:0042127}; response to nematode {GO:0009624}; type II pneumocyte differentiation {GO:0060510}</t>
  </si>
  <si>
    <t>nucleoplasm {GO:0005654}</t>
  </si>
  <si>
    <t>hydrolase activity {GO:0016787}</t>
  </si>
  <si>
    <t>sp|P59708|SF3B6_MOUSE</t>
  </si>
  <si>
    <t>Splicing factor 3B subunit 6</t>
  </si>
  <si>
    <t>Pre-mRNA branch site protein p14; SF3b 14 kDa subunit</t>
  </si>
  <si>
    <t>SF3B6_MOUSE</t>
  </si>
  <si>
    <t>P59708</t>
  </si>
  <si>
    <t>Q3U9T9</t>
  </si>
  <si>
    <t>Sf3b14</t>
  </si>
  <si>
    <t>MGI:1913305</t>
  </si>
  <si>
    <t>Acetylation; Isopeptide bond; mRNA processing; mRNA splicing; Nucleus; RNA-binding; Spliceosome; Ubl conjugation</t>
  </si>
  <si>
    <t>blastocyst formation {GO:0001825}; mRNA splicing, via spliceosome {GO:0000398}</t>
  </si>
  <si>
    <t>catalytic step 2 spliceosome {GO:0071013}; nucleoplasm {GO:0005654}; nucleus {GO:0005634}; precatalytic spliceosome {GO:0071011}; U12-type spliceosomal complex {GO:0005689}; U2 snRNP {GO:0005686}; U2-type spliceosomal complex {GO:0005684}</t>
  </si>
  <si>
    <t>sp|Q91W43|GCSP_MOUSE</t>
  </si>
  <si>
    <t>Glycine dehydrogenase (decarboxylating), mitochondrial</t>
  </si>
  <si>
    <t>Glycine cleavage system P protein; Glycine decarboxylase; Glycine dehydrogenase (aminomethyl-transferring)</t>
  </si>
  <si>
    <t>GCSP_MOUSE</t>
  </si>
  <si>
    <t>Q91W43</t>
  </si>
  <si>
    <t>MGI:1341155</t>
  </si>
  <si>
    <t>Acetylation; Mitochondrion; Oxidoreductase; Pyridoxal phosphate; Transit peptide</t>
  </si>
  <si>
    <t>cellular response to leukemia inhibitory factor {GO:1990830}; glycine catabolic process {GO:0006546}; glycine decarboxylation via glycine cleavage system {GO:0019464}; protein-containing complex assembly {GO:0065003}; response to lipoic acid {GO:1903442}; response to methylamine {GO:0036255}</t>
  </si>
  <si>
    <t>glycine cleavage complex {GO:0005960}; mitochondrion {GO:0005739}; nucleoplasm {GO:0005654}; plasma membrane {GO:0005886}</t>
  </si>
  <si>
    <t>enzyme binding {GO:0019899}; glycine binding {GO:0016594}; glycine dehydrogenase (decarboxylating) activity {GO:0004375}; lyase activity {GO:0016829}; protein homodimerization activity {GO:0042803}; pyridoxal binding {GO:0070280}; pyridoxal phosphate binding {GO:0030170}</t>
  </si>
  <si>
    <t>sp|Q9CQD1|RAB5A_MOUSE</t>
  </si>
  <si>
    <t>Ras-related protein Rab-5A</t>
  </si>
  <si>
    <t>RAB5A_MOUSE</t>
  </si>
  <si>
    <t>Q9CQD1</t>
  </si>
  <si>
    <t>Q3UCX7; Q4VAA1; Q9DCN5</t>
  </si>
  <si>
    <t>nnyRab5a</t>
  </si>
  <si>
    <t>MGI:105926</t>
  </si>
  <si>
    <t>Cell membrane; Cell projection; Cytoplasm; Cytoplasmic vesicle; Endocytosis; Endosome; GTP-binding; Hydrolase; Lipoprotein; Membrane; Nucleotide-binding; Phagocytosis; Phosphoprotein; Prenylation; Protein transport; Transport</t>
  </si>
  <si>
    <t>Endocytosis; Phagocytosis; Protein transport; Transport</t>
  </si>
  <si>
    <t>Lipoprotein; Phosphoprotein; Prenylation</t>
  </si>
  <si>
    <t>amyloid-beta clearance by transcytosis {GO:0150093}; early endosome to late endosome transport {GO:0045022}; endocytosis {GO:0006897}; intracellular protein transport {GO:0006886}; modulation by host of viral process {GO:0044788}; phagocytosis {GO:0006909}; positive regulation of exocytosis {GO:0045921}; receptor internalization involved in canonical Wnt signaling pathway {GO:2000286}; regulation of endocytosis {GO:0030100}; regulation of endosome size {GO:0051036}; regulation of filopodium assembly {GO:0051489}; regulation of long-term neuronal synaptic plasticity {GO:0048169}; regulation of synaptic vesicle exocytosis {GO:2000300}; synaptic vesicle recycling {GO:0036465}</t>
  </si>
  <si>
    <t>actin cytoskeleton {GO:0015629}; anchored component of synaptic vesicle membrane {GO:0098993}; axon {GO:0030424}; axon terminus {GO:0043679}; cytoplasm {GO:0005737}; cytoplasmic side of early endosome membrane {GO:0098559}; cytosol {GO:0005829}; dendrite {GO:0030425}; early endosome {GO:0005769}; early phagosome {GO:0032009}; endocytic vesicle {GO:0030139}; endosome {GO:0005768}; endosome membrane {GO:0010008}; intracellular membrane-bounded organelle {GO:0043231}; melanosome {GO:0042470}; membrane raft {GO:0045121}; neuron projection {GO:0043005}; neuronal cell body {GO:0043025}; nucleoplasm {GO:0005654}; perinuclear region of cytoplasm {GO:0048471}; phagocytic vesicle {GO:0045335}; phagocytic vesicle membrane {GO:0030670}; plasma membrane {GO:0005886}; postsynaptic early endosome {GO:0098842}; protein-containing complex {GO:0032991}; recycling endosome {GO:0055037}; ruffle {GO:0001726}; somatodendritic compartment {GO:0036477}; synaptic vesicle {GO:0008021}; terminal bouton {GO:0043195}; zymogen granule membrane {GO:0042589}</t>
  </si>
  <si>
    <t>G protein activity {GO:0003925}; GDP binding {GO:0019003}; GDP-dissociation inhibitor binding {GO:0051021}; GTP binding {GO:0005525}; GTPase activity {GO:0003924}; guanyl nucleotide binding {GO:0019001}</t>
  </si>
  <si>
    <t>Synthesis of PIPs at the plasma membrane {R-MMU-1660499}; Clathrin-mediated endocytosis {R-MMU-8856828}; RAB geranylgeranylation {R-MMU-8873719}; RAB GEFs exchange GTP for GDP on RABs {R-MMU-8876198}; Factors involved in megakaryocyte development and platelet production {R-MMU-983231}</t>
  </si>
  <si>
    <t>sp|Q8BNU0|ARMC6_MOUSE</t>
  </si>
  <si>
    <t>Armadillo repeat-containing protein 6</t>
  </si>
  <si>
    <t>ARMC6_MOUSE</t>
  </si>
  <si>
    <t>Q8BNU0</t>
  </si>
  <si>
    <t>Q8C4P5; Q8C7S1; Q8K2S7; Q99JQ2; Q9CWE4</t>
  </si>
  <si>
    <t>MGI:1924063</t>
  </si>
  <si>
    <t>Alternative splicing; Methylation; Phosphoprotein; Repeat</t>
  </si>
  <si>
    <t>hematopoietic progenitor cell differentiation {GO:0002244}</t>
  </si>
  <si>
    <t>sp|Q8R5A0|SMYD2_MOUSE</t>
  </si>
  <si>
    <t>N-lysine methyltransferase SMYD2</t>
  </si>
  <si>
    <t>Histone methyltransferase SMYD2; SET and MYND domain-containing protein 2</t>
  </si>
  <si>
    <t>SMYD2_MOUSE</t>
  </si>
  <si>
    <t>Q8R5A0</t>
  </si>
  <si>
    <t>Q3UBQ2</t>
  </si>
  <si>
    <t>MGI:1915889</t>
  </si>
  <si>
    <t>3D-structure; Chromatin regulator; Cytoplasm; Metal-binding; Methyltransferase; Nucleus; Phosphoprotein; S-adenosyl-L-methionine; Transcription; Transcription regulation; Transferase; Zinc; Zinc-finger</t>
  </si>
  <si>
    <t>Chromatin regulator; Methyltransferase; Transferase</t>
  </si>
  <si>
    <t>chromatin organization {GO:0006325}; heart development {GO:0007507}; histone lysine methylation {GO:0034968}; histone methylation {GO:0016571}; negative regulation of cell population proliferation {GO:0008285}; negative regulation of transcription by RNA polymerase II {GO:0000122}; peptidyl-lysine dimethylation {GO:0018027}; peptidyl-lysine monomethylation {GO:0018026}; regulation of DNA damage response, signal transduction by p53 class mediator {GO:0043516}</t>
  </si>
  <si>
    <t>histone methyltransferase activity (H3-K36 specific) {GO:0046975}; histone-lysine N-methyltransferase activity {GO:0018024}; metal ion binding {GO:0046872}; p53 binding {GO:0002039}; protein-lysine N-methyltransferase activity {GO:0016279}; RNA polymerase II complex binding {GO:0000993}</t>
  </si>
  <si>
    <t>PKMTs methylate histone lysines {R-MMU-3214841}; Regulation of TP53 Activity through Methylation {R-MMU-6804760}</t>
  </si>
  <si>
    <t>sp|Q9JIH2|NUP50_MOUSE</t>
  </si>
  <si>
    <t>Nuclear pore complex protein Nup50</t>
  </si>
  <si>
    <t>50 kDa nucleoporin; Nuclear pore-associated protein 60 kDa-like; Nucleoporin Nup50</t>
  </si>
  <si>
    <t>NUP50_MOUSE</t>
  </si>
  <si>
    <t>Q9JIH2</t>
  </si>
  <si>
    <t>Q3TG43; Q3TN17; Q6P1F4; Q6PAL4; Q8C2Y6; Q9CU02; Q9JK85</t>
  </si>
  <si>
    <t>Npap60</t>
  </si>
  <si>
    <t>MGI:1351502</t>
  </si>
  <si>
    <t>3D-structure; Acetylation; Isopeptide bond; Membrane; mRNA transport; Nuclear pore complex; Nucleus; Phosphoprotein; Protein transport; Repeat; Translocation; Transport; Ubl conjugation</t>
  </si>
  <si>
    <t>mRNA transport {GO:0051028}; neural tube formation {GO:0001841}; nucleocytoplasmic transport {GO:0006913}; protein import into nucleus {GO:0006606}</t>
  </si>
  <si>
    <t>nuclear envelope {GO:0005635}; nuclear membrane {GO:0031965}; nuclear pore {GO:0005643}; nucleoplasm {GO:0005654}; ribonucleoprotein complex {GO:1990904}</t>
  </si>
  <si>
    <t>sp|Q9D115|ZN706_MOUSE</t>
  </si>
  <si>
    <t>Zinc finger protein 706</t>
  </si>
  <si>
    <t>ZN706_MOUSE</t>
  </si>
  <si>
    <t>Q9D115</t>
  </si>
  <si>
    <t>MGI:1915286</t>
  </si>
  <si>
    <t>Cytoplasm; Metal-binding; Nucleus; Repressor; Translation regulation; Zinc; Zinc-finger</t>
  </si>
  <si>
    <t>negative regulation of DNA-templated transcription {GO:0045892}; negative regulation of stem cell population maintenance {GO:1902455}; regulation of translation {GO:0006417}</t>
  </si>
  <si>
    <t>sp|Q9EP69|SAC1_MOUSE</t>
  </si>
  <si>
    <t>Phosphatidylinositol-3-phosphatase SAC1</t>
  </si>
  <si>
    <t>Phosphatidylinositol-4-phosphate phosphatase; Suppressor of actin mutations 1-like protein</t>
  </si>
  <si>
    <t>SAC1_MOUSE</t>
  </si>
  <si>
    <t>Q9EP69</t>
  </si>
  <si>
    <t>Q80TQ1; Q99K33</t>
  </si>
  <si>
    <t>Kiaa0851; Sac1</t>
  </si>
  <si>
    <t>MGI:1933169</t>
  </si>
  <si>
    <t>Acetylation; Endoplasmic reticulum; Golgi apparatus; Hydrolase; Lipid metabolism; Membrane; Transmembrane; Transmembrane helix</t>
  </si>
  <si>
    <t>phosphatidylinositol dephosphorylation {GO:0046856}</t>
  </si>
  <si>
    <t>AMPA glutamate receptor complex {GO:0032281}; endoplasmic reticulum {GO:0005783}; endoplasmic reticulum membrane {GO:0005789}; endoplasmic reticulum-plasma membrane contact site {GO:0140268}; Golgi apparatus {GO:0005794}; Golgi membrane {GO:0000139}; integral component of endoplasmic reticulum membrane {GO:0030176}</t>
  </si>
  <si>
    <t>phosphatase activity {GO:0016791}; phosphatidylinositol bisphosphate phosphatase activity {GO:0034593}; phosphatidylinositol-3-phosphatase activity {GO:0004438}; phosphatidylinositol-4-phosphate phosphatase activity {GO:0043812}</t>
  </si>
  <si>
    <t>Synthesis of PIPs at the ER membrane {R-MMU-1483248}; Synthesis of PIPs at the Golgi membrane {R-MMU-1660514}</t>
  </si>
  <si>
    <t>sp|Q8K3D3|SWI5_MOUSE</t>
  </si>
  <si>
    <t>DNA repair protein SWI5 homolog</t>
  </si>
  <si>
    <t>Protein SAE3 homolog</t>
  </si>
  <si>
    <t>SWI5_MOUSE</t>
  </si>
  <si>
    <t>Q8K3D3</t>
  </si>
  <si>
    <t>A2AN41</t>
  </si>
  <si>
    <t>Sae3</t>
  </si>
  <si>
    <t>MGI:1920181</t>
  </si>
  <si>
    <t>Alternative splicing; Coiled coil; DNA damage; DNA repair; Nucleus; Phosphoprotein</t>
  </si>
  <si>
    <t>cellular response to ionizing radiation {GO:0071479}; double-strand break repair via homologous recombination {GO:0000724}</t>
  </si>
  <si>
    <t>nucleus {GO:0005634}; Swi5-Sfr1 complex {GO:0032798}; Swi5-Swi2 complex {GO:0034974}</t>
  </si>
  <si>
    <t>sp|Q9JII5|DAZP1_MOUSE</t>
  </si>
  <si>
    <t>DAZ-associated protein 1</t>
  </si>
  <si>
    <t>Deleted in azoospermia-associated protein 1</t>
  </si>
  <si>
    <t>DAZP1_MOUSE</t>
  </si>
  <si>
    <t>Q9JII5</t>
  </si>
  <si>
    <t>MGI:1917498</t>
  </si>
  <si>
    <t>Acetylation; Alternative splicing; Cytoplasm; Developmental protein; Differentiation; Methylation; Nucleus; Repeat; RNA-binding; Spermatogenesis</t>
  </si>
  <si>
    <t>cell differentiation {GO:0030154}; fibroblast proliferation {GO:0048144}; maternal placenta development {GO:0001893}; positive regulation of mRNA splicing, via spliceosome {GO:0048026}; spermatogenesis {GO:0007283}</t>
  </si>
  <si>
    <t>cytoplasm {GO:0005737}; cytosol {GO:0005829}; male germ cell nucleus {GO:0001673}; nucleoplasm {GO:0005654}; nucleus {GO:0005634}; protein-containing complex {GO:0032991}; ribonucleoprotein complex {GO:1990904}</t>
  </si>
  <si>
    <t>mRNA 3'-UTR binding {GO:0003730}; mRNA binding {GO:0003729}; poly(G) binding {GO:0034046}; poly(U) RNA binding {GO:0008266}; RNA binding {GO:0003723}; RNA stem-loop binding {GO:0035613}</t>
  </si>
  <si>
    <t>sp|Q9WUB4|DCTN6_MOUSE</t>
  </si>
  <si>
    <t>Dynactin subunit 6</t>
  </si>
  <si>
    <t>Dynactin subunit p27; Protein WS-3</t>
  </si>
  <si>
    <t>DCTN6_MOUSE</t>
  </si>
  <si>
    <t>Q9WUB4</t>
  </si>
  <si>
    <t>Q8C2M9; Q9QZB8</t>
  </si>
  <si>
    <t>Ws3</t>
  </si>
  <si>
    <t>MGI:1343154</t>
  </si>
  <si>
    <t>Centromere; Chromosome; Cytoplasm; Cytoskeleton; Kinetochore; Phosphoprotein</t>
  </si>
  <si>
    <t>lipid biosynthetic process {GO:0008610}; mitochondrion organization {GO:0007005}; mitotic spindle organization {GO:0007052}</t>
  </si>
  <si>
    <t>centrosome {GO:0005813}; dynactin complex {GO:0005869}; kinetochore {GO:0000776}; mitochondrion {GO:0005739}</t>
  </si>
  <si>
    <t>catalytic activity {GO:0003824}; dynein complex binding {GO:0070840}</t>
  </si>
  <si>
    <t>MHC class II antigen presentation {R-MMU-2132295}; HSP90 chaperone cycle for steroid hormone receptors (SHR) in the presence of ligand {R-MMU-3371497}; COPI-mediated anterograde transport {R-MMU-6807878}; COPI-independent Golgi-to-ER retrograde traffic {R-MMU-6811436}</t>
  </si>
  <si>
    <t>sp|Q6U7H8|PI5L1_MOUSE</t>
  </si>
  <si>
    <t>Phosphatidylinositol 4-phosphate 5-kinase-like protein 1 (PI(4)P 5-kinase-like protein 1; PtdIns(4)P-5-kinase-like protein 1)</t>
  </si>
  <si>
    <t>Phosphatidylinositol phosphate kinase homolog (PIPKH)</t>
  </si>
  <si>
    <t>PI5L1_MOUSE</t>
  </si>
  <si>
    <t>Q6U7H8</t>
  </si>
  <si>
    <t>A2ASY7; A2ASY9; Q3TNU0; Q3V0C8; Q52KH3; Q8K345</t>
  </si>
  <si>
    <t>Pipkh</t>
  </si>
  <si>
    <t>MGI:2448520</t>
  </si>
  <si>
    <t>Alternative splicing; ATP-binding; Cytoplasm; Kinase; Lipid metabolism; Membrane; Nucleotide-binding; Transferase</t>
  </si>
  <si>
    <t>negative regulation of cell migration {GO:0030336}; negative regulation of mitochondrial membrane potential {GO:0010917}; negative regulation of protein phosphorylation {GO:0001933}; phosphatidylinositol phosphate biosynthetic process {GO:0046854}; phosphorylation {GO:0016310}; positive regulation of apoptotic process {GO:0043065}</t>
  </si>
  <si>
    <t>cell projection {GO:0042995}; cytosol {GO:0005829}; plasma membrane {GO:0005886}</t>
  </si>
  <si>
    <t>1-phosphatidylinositol-4-phosphate 5-kinase activity {GO:0016308}; ATP binding {GO:0005524}</t>
  </si>
  <si>
    <t>sp|P24788|CD11B_MOUSE</t>
  </si>
  <si>
    <t>Cyclin-dependent kinase 11B</t>
  </si>
  <si>
    <t>Cell division cycle 2-like protein kinase 1; Cell division protein kinase 11; Cyclin-dependent kinase 11; Galactosyltransferase-associated protein kinase p58/GTA; PITSLRE serine/threonine-protein kinase CDC2L1</t>
  </si>
  <si>
    <t>CD11B_MOUSE</t>
  </si>
  <si>
    <t>P24788</t>
  </si>
  <si>
    <t>Q3UI03; Q61399; Q7TST4; Q8BP53</t>
  </si>
  <si>
    <t>Cdc2l1; Cdk11</t>
  </si>
  <si>
    <t>MGI:88353</t>
  </si>
  <si>
    <t>Alternative initiation; ATP-binding; Cell cycle; Isopeptide bond; Kinase; Nucleotide-binding; Phosphoprotein; Serine/threonine-protein kinase; Transferase; Ubl conjugation</t>
  </si>
  <si>
    <t>blastocyst development {GO:0001824}; cell cycle {GO:0007049}; negative regulation of apoptotic signaling pathway {GO:2001234}; protein phosphorylation {GO:0006468}; regulation of apoptotic process {GO:0042981}; regulation of cell cycle {GO:0051726}; regulation of centrosome cycle {GO:0046605}; regulation of mitotic cell cycle {GO:0007346}; regulation of mitotic nuclear division {GO:0007088}; regulation of RNA splicing {GO:0043484}</t>
  </si>
  <si>
    <t>cyclin-dependent protein kinase holoenzyme complex {GO:0000307}; nucleoplasm {GO:0005654}; nucleus {GO:0005634}</t>
  </si>
  <si>
    <t>ATP binding {GO:0005524}; cyclin-dependent protein serine/threonine kinase activity {GO:0004693}; protein serine kinase activity {GO:0106310}; protein serine/threonine kinase activity {GO:0004674}</t>
  </si>
  <si>
    <t>Recruitment of mitotic centrosome proteins and complexes {R-MMU-380270}</t>
  </si>
  <si>
    <t>sp|Q99JB8|PACN3_MOUSE</t>
  </si>
  <si>
    <t>Protein kinase C and casein kinase II substrate protein 3</t>
  </si>
  <si>
    <t>PACN3_MOUSE</t>
  </si>
  <si>
    <t>Q99JB8</t>
  </si>
  <si>
    <t>Q9EQP9</t>
  </si>
  <si>
    <t>MGI:1891410</t>
  </si>
  <si>
    <t>3D-structure; Cell membrane; Coiled coil; Cytoplasm; Endocytosis; Lipid-binding; Membrane; Phosphoprotein; SH3 domain</t>
  </si>
  <si>
    <t>cytoskeleton organization {GO:0007010}; endocytosis {GO:0006897}; negative regulation of calcium ion transport {GO:0051926}; negative regulation of endocytosis {GO:0045806}; plasma membrane tubulation {GO:0097320}; positive regulation of membrane protein ectodomain proteolysis {GO:0051044}; regulation of endocytosis {GO:0030100}</t>
  </si>
  <si>
    <t>cytoplasm {GO:0005737}; cytosol {GO:0005829}; endosome {GO:0005768}; plasma membrane {GO:0005886}</t>
  </si>
  <si>
    <t>calcium channel inhibitor activity {GO:0019855}; cytoskeletal protein binding {GO:0008092}; identical protein binding {GO:0042802}; lipid binding {GO:0008289}; phospholipid binding {GO:0005543}</t>
  </si>
  <si>
    <t>sp|P06801|MAOX_MOUSE</t>
  </si>
  <si>
    <t>NADP-dependent malic enzyme (NADP-ME)</t>
  </si>
  <si>
    <t>Malic enzyme 1</t>
  </si>
  <si>
    <t>MAOX_MOUSE</t>
  </si>
  <si>
    <t>P06801</t>
  </si>
  <si>
    <t>Q9DBF9</t>
  </si>
  <si>
    <t>Mod-1; Mod1</t>
  </si>
  <si>
    <t>MGI:97043</t>
  </si>
  <si>
    <t>Acetylation; Cytoplasm; Metal-binding; NADP; Oxidoreductase; Phosphoprotein</t>
  </si>
  <si>
    <t>Metal-binding; NADP</t>
  </si>
  <si>
    <t>malate metabolic process {GO:0006108}; NADH metabolic process {GO:0006734}; NADP metabolic process {GO:0006739}; protein homotetramerization {GO:0051289}; pyruvate metabolic process {GO:0006090}; regulation of NADP metabolic process {GO:1902031}; response to hormone {GO:0009725}</t>
  </si>
  <si>
    <t>identical protein binding {GO:0042802}; magnesium ion binding {GO:0000287}; malate dehydrogenase (decarboxylating) (NAD+) activity {GO:0004471}; malate dehydrogenase (decarboxylating) (NADP+) activity {GO:0004473}; malic enzyme activity {GO:0004470}; manganese ion binding {GO:0030145}; NAD binding {GO:0051287}; NADP binding {GO:0050661}; oxaloacetate decarboxylase activity {GO:0008948}</t>
  </si>
  <si>
    <t>sp|Q9DC70|NDUS7_MOUSE</t>
  </si>
  <si>
    <t>NADH dehydrogenase [ubiquinone] iron-sulfur protein 7, mitochondrial</t>
  </si>
  <si>
    <t>Complex I-20kD (CI-20kD); NADH-ubiquinone oxidoreductase 20 kDa subunit</t>
  </si>
  <si>
    <t>NDUS7_MOUSE</t>
  </si>
  <si>
    <t>Q9DC70</t>
  </si>
  <si>
    <t>MGI:1922656</t>
  </si>
  <si>
    <t>3D-structure; 4Fe-4S; Electron transport; Iron; Iron-sulfur; Membrane; Metal-binding; Mitochondrion; Mitochondrion inner membrane; NAD; Oxidoreductase; Phosphoprotein; Respiratory chain; Transit peptide; Translocase; Transport; Ubiquinone</t>
  </si>
  <si>
    <t>aerobic respiration {GO:0009060}; electron transport coupled proton transport {GO:0015990}; mitochondrial electron transport, NADH to ubiquinone {GO:0006120}; mitochondrial respiratory chain complex I assembly {GO:0032981}; proton motive force-driven mitochondrial ATP synthesis {GO:0042776}</t>
  </si>
  <si>
    <t>mitochondrial inner membrane {GO:0005743}; mitochondrial respiratory chain complex I {GO:0005747}; mitochondrion {GO:0005739}; neuron projection {GO:0043005}; neuronal cell body {GO:0043025}; synaptic membrane {GO:0097060}</t>
  </si>
  <si>
    <t>4 iron, 4 sulfur cluster binding {GO:0051539}; metal ion binding {GO:0046872}; NADH dehydrogenase (ubiquinone) activity {GO:0008137}; NADH dehydrogenase activity {GO:0003954}; protease binding {GO:0002020}; quinone binding {GO:0048038}</t>
  </si>
  <si>
    <t>sp|Q00898|A1AT5_MOUSE</t>
  </si>
  <si>
    <t>Alpha-1-antitrypsin 1-5</t>
  </si>
  <si>
    <t>Alpha-1 protease inhibitor 5; Serine protease inhibitor 1-5; Serine protease inhibitor A1e (Serpin A1e)</t>
  </si>
  <si>
    <t>A1AT5_MOUSE</t>
  </si>
  <si>
    <t>Q00898</t>
  </si>
  <si>
    <t>Q3UJ83; Q545P1</t>
  </si>
  <si>
    <t>Dom5; Spi1-5</t>
  </si>
  <si>
    <t>MGI:891967</t>
  </si>
  <si>
    <t>Glycoprotein; Protease inhibitor; Secreted; Serine protease inhibitor; Signal</t>
  </si>
  <si>
    <t>negative regulation of endopeptidase activity {GO:0010951}; negative regulation of serine-type endopeptidase activity {GO:1900004}; response to chromate {GO:0046687}; response to cytokine {GO:0034097}; response to lead ion {GO:0010288}; response to methanol {GO:0033986}; response to peptide hormone {GO:0043434}</t>
  </si>
  <si>
    <t>endoplasmic reticulum {GO:0005783}; extracellular space {GO:0005615}; Golgi apparatus {GO:0005794}; intracellular membrane-bounded organelle {GO:0043231}</t>
  </si>
  <si>
    <t>endopeptidase inhibitor activity {GO:0004866}; identical protein binding {GO:0042802}; protease binding {GO:0002020}; serine-type endopeptidase inhibitor activity {GO:0004867}</t>
  </si>
  <si>
    <t>sp|Q921G7|ETFD_MOUSE</t>
  </si>
  <si>
    <t>Electron transfer flavoprotein-ubiquinone oxidoreductase, mitochondrial (ETF-QO; ETF-ubiquinone oxidoreductase)</t>
  </si>
  <si>
    <t>Electron-transferring-flavoprotein dehydrogenase (ETF dehydrogenase)</t>
  </si>
  <si>
    <t>ETFD_MOUSE</t>
  </si>
  <si>
    <t>Q921G7</t>
  </si>
  <si>
    <t>Q3U7K2; Q8BK82; Q9DCT9</t>
  </si>
  <si>
    <t>MGI:106100</t>
  </si>
  <si>
    <t>4Fe-4S; Acetylation; Electron transport; FAD; Flavoprotein; Iron; Iron-sulfur; Membrane; Metal-binding; Mitochondrion; Mitochondrion inner membrane; Oxidoreductase; Phosphoprotein; Transit peptide; Transport; Ubiquinone</t>
  </si>
  <si>
    <t>4Fe-4S; FAD; Flavoprotein; Iron; Iron-sulfur; Metal-binding; Ubiquinone</t>
  </si>
  <si>
    <t>electron transport chain {GO:0022900}; fatty acid beta-oxidation using acyl-CoA dehydrogenase {GO:0033539}; response to oxidative stress {GO:0006979}</t>
  </si>
  <si>
    <t>integral component of mitochondrial inner membrane {GO:0031305}; membrane {GO:0016020}; mitochondrial electron transfer flavoprotein complex {GO:0017133}; mitochondrial inner membrane {GO:0005743}; mitochondrial membrane {GO:0031966}; mitochondrion {GO:0005739}</t>
  </si>
  <si>
    <t>4 iron, 4 sulfur cluster binding {GO:0051539}; electron transfer activity {GO:0009055}; electron-transferring-flavoprotein dehydrogenase activity {GO:0004174}; iron-sulfur cluster binding {GO:0051536}; metal ion binding {GO:0046872}; oxidoreductase activity {GO:0016491}; quinone binding {GO:0048038}; ubiquinone binding {GO:0048039}</t>
  </si>
  <si>
    <t>sp|Q78IK4|MIC27_MOUSE</t>
  </si>
  <si>
    <t>MICOS complex subunit Mic27</t>
  </si>
  <si>
    <t>Apolipoprotein O-like; Protein FAM121A</t>
  </si>
  <si>
    <t>MIC27_MOUSE</t>
  </si>
  <si>
    <t>Q78IK4</t>
  </si>
  <si>
    <t>Fam121a; Mic27</t>
  </si>
  <si>
    <t>MGI:1915367</t>
  </si>
  <si>
    <t>Membrane; Mitochondrion; Mitochondrion inner membrane; Phosphoprotein; Transit peptide; Transmembrane; Transmembrane helix</t>
  </si>
  <si>
    <t>cristae formation {GO:0042407}</t>
  </si>
  <si>
    <t>MICOS complex {GO:0061617}; mitochondrial inner membrane {GO:0005743}; mitochondrion {GO:0005739}</t>
  </si>
  <si>
    <t>tr|Q497J0|Q497J0_MOUSE</t>
  </si>
  <si>
    <t>sp|O35609|SCAM3_MOUSE</t>
  </si>
  <si>
    <t>Secretory carrier-associated membrane protein 3 (Secretory carrier membrane protein 3)</t>
  </si>
  <si>
    <t>SCAM3_MOUSE</t>
  </si>
  <si>
    <t>O35609</t>
  </si>
  <si>
    <t>Q3TUV6; Q99M48; Q9ERM9</t>
  </si>
  <si>
    <t>MGI:1346346</t>
  </si>
  <si>
    <t>Isopeptide bond; Membrane; Phosphoprotein; Protein transport; Transmembrane; Transmembrane helix; Transport; Ubl conjugation</t>
  </si>
  <si>
    <t>intracellular protein transport {GO:0006886}; protein transport {GO:0015031}; response to organic substance {GO:0010033}; response to retinoic acid {GO:0032526}</t>
  </si>
  <si>
    <t>Golgi membrane {GO:0000139}; integral component of membrane {GO:0016021}; intracellular membrane-bounded organelle {GO:0043231}; recycling endosome membrane {GO:0055038}; trans-Golgi network membrane {GO:0032588}</t>
  </si>
  <si>
    <t>sp|Q8BWT1|THIM_MOUSE</t>
  </si>
  <si>
    <t>3-ketoacyl-CoA thiolase, mitochondrial</t>
  </si>
  <si>
    <t>Acetyl-CoA acetyltransferase; Acetyl-CoA acyltransferase; Acyl-CoA hydrolase, mitochondrial; Beta-ketothiolase; Mitochondrial 3-oxoacyl-CoA thiolase</t>
  </si>
  <si>
    <t>THIM_MOUSE</t>
  </si>
  <si>
    <t>Q8BWT1</t>
  </si>
  <si>
    <t>Q3TIT9; Q8JZR8</t>
  </si>
  <si>
    <t>MGI:1098623</t>
  </si>
  <si>
    <t>Acetylation; Acyltransferase; Fatty acid metabolism; Hydrolase; Lipid metabolism; Mitochondrion; Phosphoprotein; Transferase; Transit peptide</t>
  </si>
  <si>
    <t>Acyltransferase; Hydrolase; Transferase</t>
  </si>
  <si>
    <t>acetyl-CoA metabolic process {GO:0006084}; cellular response to hypoxia {GO:0071456}; fatty acid beta-oxidation {GO:0006635}; negative regulation of mitochondrial membrane permeability involved in apoptotic process {GO:1902109}; negative regulation of mitochondrial outer membrane permeabilization involved in apoptotic signaling pathway {GO:1901029}</t>
  </si>
  <si>
    <t>acetyl-CoA C-acetyltransferase activity {GO:0003985}; acetyl-CoA C-acyltransferase activity {GO:0003988}; acetyl-CoA hydrolase activity {GO:0003986}; acyl-CoA hydrolase activity {GO:0047617}; myristoyl-CoA hydrolase activity {GO:0102991}; palmitoyl-CoA hydrolase activity {GO:0016290}</t>
  </si>
  <si>
    <t>sp|Q99M71|EPDR1_MOUSE</t>
  </si>
  <si>
    <t>Mammalian ependymin-related protein 1 (MERP-1)</t>
  </si>
  <si>
    <t>EPDR1_MOUSE</t>
  </si>
  <si>
    <t>Q99M71</t>
  </si>
  <si>
    <t>Q06BK9; Q8BQY1; Q8CAI2</t>
  </si>
  <si>
    <t>Epdr2; Merp1; Merp2</t>
  </si>
  <si>
    <t>MGI:2145369</t>
  </si>
  <si>
    <t>3D-structure; Alternative splicing; Disulfide bond; Glycoprotein; Lipid-binding; Lysosome; Secreted; Signal</t>
  </si>
  <si>
    <t>cell-matrix adhesion {GO:0007160}; myofibroblast contraction {GO:1990764}</t>
  </si>
  <si>
    <t>extracellular region {GO:0005576}; lysosomal lumen {GO:0043202}; lysosome {GO:0005764}</t>
  </si>
  <si>
    <t>calcium ion binding {GO:0005509}; ganglioside GM1 binding {GO:1905573}; identical protein binding {GO:0042802}; phospholipid binding {GO:0005543}</t>
  </si>
  <si>
    <t>sp|O08759|UBE3A_MOUSE</t>
  </si>
  <si>
    <t>Ubiquitin-protein ligase E3A</t>
  </si>
  <si>
    <t>HECT-type ubiquitin transferase E3A; Oncogenic protein-associated protein E6-AP</t>
  </si>
  <si>
    <t>UBE3A_MOUSE</t>
  </si>
  <si>
    <t>O08759</t>
  </si>
  <si>
    <t>E9QKT1; P97482; Q8CE29</t>
  </si>
  <si>
    <t>MGI:105098</t>
  </si>
  <si>
    <t>Alternative splicing; Biological rhythms; Cytoplasm; Metal-binding; Nucleus; Phosphoprotein; Proteasome; Transferase; Ubl conjugation pathway; Zinc; Zinc-finger</t>
  </si>
  <si>
    <t>androgen receptor signaling pathway {GO:0030521}; cellular response to brain-derived neurotrophic factor stimulus {GO:1990416}; locomotory exploration behavior {GO:0035641}; motor learning {GO:0061743}; negative regulation of dendritic spine morphogenesis {GO:0061002}; ovarian follicle development {GO:0001541}; positive regulation of Golgi lumen acidification {GO:1905528}; positive regulation of phosphatidylinositol 3-kinase signaling {GO:0014068}; positive regulation of protein ubiquitination {GO:0031398}; positive regulation of transcription by RNA polymerase II {GO:0045944}; progesterone receptor signaling pathway {GO:0050847}; prostate gland growth {GO:0060736}; protein autoubiquitination {GO:0051865}; protein K48-linked ubiquitination {GO:0070936}; protein polyubiquitination {GO:0000209}; protein ubiquitination {GO:0016567}; regulation of circadian rhythm {GO:0042752}; regulation of ubiquitin-dependent protein catabolic process {GO:2000058}; response to cocaine {GO:0042220}; response to hydrogen peroxide {GO:0042542}; response to progesterone {GO:0032570}; rhythmic process {GO:0048511}; sperm entry {GO:0035037}; ubiquitin-dependent protein catabolic process {GO:0006511}</t>
  </si>
  <si>
    <t>cytosol {GO:0005829}; nucleus {GO:0005634}; proteasome complex {GO:0000502}</t>
  </si>
  <si>
    <t>metal ion binding {GO:0046872}; transcription coactivator activity {GO:0003713}; ubiquitin protein ligase activity {GO:0061630}; ubiquitin-protein transferase activity {GO:0004842}</t>
  </si>
  <si>
    <t>sp|E9Q5C9|NOLC1_MOUSE</t>
  </si>
  <si>
    <t>Nucleolar and coiled-body phosphoprotein 1</t>
  </si>
  <si>
    <t>140 kDa nucleolar phosphoprotein (Nopp140)</t>
  </si>
  <si>
    <t>NOLC1_MOUSE</t>
  </si>
  <si>
    <t>E9Q5C9</t>
  </si>
  <si>
    <t>Q3TKZ9; Q3U6W2; Q3UBB6; Q3UI16; Q6ZQK6; Q8CE21</t>
  </si>
  <si>
    <t>MGI:1918019</t>
  </si>
  <si>
    <t>Acetylation; Alternative splicing; Cytoplasm; Isopeptide bond; Methylation; Nucleus; Phosphoprotein; Repeat; Ubl conjugation</t>
  </si>
  <si>
    <t>box H/ACA RNA metabolic process {GO:0033979}; neural crest cell development {GO:0014032}; neural crest formation {GO:0014029}; nucleolus organization {GO:0007000}; positive regulation of cell population proliferation {GO:0008284}; positive regulation of DNA-templated transcription {GO:0045893}; regulation of protein import into nucleus {GO:0042306}; regulation of translation {GO:0006417}; response to osmotic stress {GO:0006970}</t>
  </si>
  <si>
    <t>box C/D RNP complex {GO:0031428}; box H/ACA snoRNP complex {GO:0031429}; Cajal body {GO:0015030}; cytoplasm {GO:0005737}; fibrillar center {GO:0001650}; nucleolus {GO:0005730}; nucleoplasm {GO:0005654}; small nuclear ribonucleoprotein complex {GO:0030532}</t>
  </si>
  <si>
    <t>box C/D RNA binding {GO:0034512}; box C/D snoRNP complex binding {GO:0062064}; box H/ACA snoRNA binding {GO:0034513}; box H/ACA snoRNP complex binding {GO:0062065}; nuclear localization sequence binding {GO:0008139}; protein domain specific binding {GO:0019904}; protein heterodimerization activity {GO:0046982}; protein-macromolecule adaptor activity {GO:0030674}; TFIIB-class transcription factor binding {GO:0001093}</t>
  </si>
  <si>
    <t>sp|Q8BMG7|RBGPR_MOUSE</t>
  </si>
  <si>
    <t>Rab3 GTPase-activating protein non-catalytic subunit</t>
  </si>
  <si>
    <t>Rab3 GTPase-activating protein 150 kDa subunit; Rab3-GAP p150 (Rab3-GAP150); Rab3-GAP regulatory subunit</t>
  </si>
  <si>
    <t>RBGPR_MOUSE</t>
  </si>
  <si>
    <t>Q8BMG7</t>
  </si>
  <si>
    <t>Q6PEU0; Q80TQ6; Q8BX72</t>
  </si>
  <si>
    <t>Kiaa0839</t>
  </si>
  <si>
    <t>MGI:1916043</t>
  </si>
  <si>
    <t>Alternative splicing; Cytoplasm; GTPase activation; Phosphoprotein</t>
  </si>
  <si>
    <t>establishment of protein localization to endoplasmic reticulum membrane {GO:0097051}; positive regulation of autophagosome assembly {GO:2000786}; positive regulation of endoplasmic reticulum tubular network organization {GO:1903373}; positive regulation of protein lipidation {GO:1903061}; regulation of GTPase activity {GO:0043087}</t>
  </si>
  <si>
    <t>cytosol {GO:0005829}; plasma membrane {GO:0005886}; protein-containing complex {GO:0032991}</t>
  </si>
  <si>
    <t>enzyme regulator activity {GO:0030234}; GTPase activator activity {GO:0005096}; guanyl-nucleotide exchange factor activity {GO:0005085}; small GTPase binding {GO:0031267}</t>
  </si>
  <si>
    <t>COPI-independent Golgi-to-ER retrograde traffic {R-MMU-6811436}; RAB GEFs exchange GTP for GDP on RABs {R-MMU-8876198}</t>
  </si>
  <si>
    <t>sp|Q7TQH0|ATX2L_MOUSE</t>
  </si>
  <si>
    <t>Ataxin-2-like protein</t>
  </si>
  <si>
    <t>ATX2L_MOUSE</t>
  </si>
  <si>
    <t>Q7TQH0</t>
  </si>
  <si>
    <t>Q80XN9; Q8K059</t>
  </si>
  <si>
    <t>A2lp</t>
  </si>
  <si>
    <t>MGI:2446242</t>
  </si>
  <si>
    <t>Acetylation; Alternative splicing; Cytoplasm; Isopeptide bond; Membrane; Methylation; Nucleus; Phosphoprotein; Ubl conjugation</t>
  </si>
  <si>
    <t>mRNA metabolic process {GO:0016071}; stress granule assembly {GO:0034063}</t>
  </si>
  <si>
    <t>cytoplasmic stress granule {GO:0010494}; cytosol {GO:0005829}; membrane {GO:0016020}; nuclear speck {GO:0016607}</t>
  </si>
  <si>
    <t>sp|E9QAT4|SC16A_MOUSE</t>
  </si>
  <si>
    <t>Protein transport protein Sec16A</t>
  </si>
  <si>
    <t>SEC16 homolog A (p250)</t>
  </si>
  <si>
    <t>SC16A_MOUSE</t>
  </si>
  <si>
    <t>E9QAT4</t>
  </si>
  <si>
    <t>A2AIX1; Q80U43; Q811L5</t>
  </si>
  <si>
    <t>Kiaa0310; Sec16</t>
  </si>
  <si>
    <t>MGI:2139207</t>
  </si>
  <si>
    <t>Alternative splicing; Cytoplasm; Endoplasmic reticulum; ER-Golgi transport; Golgi apparatus; Membrane; Microsome; Phosphoprotein; Protein transport; Transport</t>
  </si>
  <si>
    <t>Cytoplasm; Endoplasmic reticulum; Golgi apparatus; Membrane; Microsome</t>
  </si>
  <si>
    <t>autophagy {GO:0006914}; COPII vesicle coating {GO:0048208}; endoplasmic reticulum organization {GO:0007029}; endoplasmic reticulum to Golgi vesicle-mediated transport {GO:0006888}; Golgi organization {GO:0007030}; Golgi to plasma membrane CFTR protein transport {GO:0043000}; protein exit from endoplasmic reticulum {GO:0032527}; protein localization to endoplasmic reticulum exit site {GO:0070973}; protein localization to plasma membrane {GO:0072659}; protein stabilization {GO:0050821}; response to endoplasmic reticulum stress {GO:0034976}</t>
  </si>
  <si>
    <t>cytosol {GO:0005829}; endoplasmic reticulum exit site {GO:0070971}; endoplasmic reticulum membrane {GO:0005789}; ER to Golgi transport vesicle membrane {GO:0012507}; Golgi membrane {GO:0000139}; organelle membrane {GO:0031090}; perinuclear region of cytoplasm {GO:0048471}</t>
  </si>
  <si>
    <t>sp|P20444|KPCA_MOUSE</t>
  </si>
  <si>
    <t>Protein kinase C alpha type (PKC-A; PKC-alpha)</t>
  </si>
  <si>
    <t>KPCA_MOUSE</t>
  </si>
  <si>
    <t>P20444</t>
  </si>
  <si>
    <t>Pkca</t>
  </si>
  <si>
    <t>MGI:97595</t>
  </si>
  <si>
    <t>Acetylation; Angiogenesis; Apoptosis; ATP-binding; Calcium; Cell adhesion; Cell membrane; Cytoplasm; Kinase; Membrane; Metal-binding; Mitochondrion; Nucleotide-binding; Nucleus; Phosphoprotein; Repeat; Serine/threonine-protein kinase; Transferase; Zinc; Zinc-finger</t>
  </si>
  <si>
    <t>Angiogenesis; Apoptosis; Cell adhesion</t>
  </si>
  <si>
    <t>ATP-binding; Calcium; Metal-binding; Nucleotide-binding; Zinc</t>
  </si>
  <si>
    <t>angiogenesis {GO:0001525}; cell adhesion {GO:0007155}; cell population proliferation {GO:0008283}; cellular calcium ion homeostasis {GO:0006874}; cellular response to carbohydrate stimulus {GO:0071322}; central nervous system neuron axonogenesis {GO:0021955}; chondrocyte differentiation {GO:0002062}; desmosome assembly {GO:0002159}; induction of positive chemotaxis {GO:0050930}; intracellular signal transduction {GO:0035556}; intrinsic apoptotic signaling pathway {GO:0097193}; learning or memory {GO:0007611}; muscle cell cellular homeostasis {GO:0046716}; negative regulation of anion channel activity {GO:0010360}; negative regulation of cell population proliferation {GO:0008285}; negative regulation of glial cell apoptotic process {GO:0034351}; negative regulation of glucose import {GO:0046325}; negative regulation of heart contraction {GO:0045822}; negative regulation of insulin receptor signaling pathway {GO:0046627}; negative regulation of MAPK cascade {GO:0043409}; negative regulation of protein kinase activity {GO:0006469}; negative regulation of protein phosphorylation {GO:0001933}; negative regulation of translation {GO:0017148}; neutrophil chemotaxis {GO:0030593}; peptidyl-serine autophosphorylation {GO:0036289}; peptidyl-serine phosphorylation {GO:0018105}; peptidyl-threonine phosphorylation {GO:0018107}; positive regulation of angiogenesis {GO:0045766}; positive regulation of blood vessel endothelial cell migration {GO:0043536}; positive regulation of bone resorption {GO:0045780}; positive regulation of cardiac muscle hypertrophy {GO:0010613}; positive regulation of cell adhesion {GO:0045785}; positive regulation of cell migration {GO:0030335}; positive regulation of dense core granule biogenesis {GO:2000707}; positive regulation of endothelial cell migration {GO:0010595}; positive regulation of endothelial cell proliferation {GO:0001938}; positive regulation of ERK1 and ERK2 cascade {GO:0070374}; positive regulation of exocytosis {GO:0045921}; positive regulation of inflammatory response {GO:0050729}; positive regulation of lipopolysaccharide-mediated signaling pathway {GO:0031666}; positive regulation of macrophage differentiation {GO:0045651}; positive regulation of mitotic cell cycle {GO:0045931}; positive regulation of protein phosphorylation {GO:0001934}; positive regulation of smooth muscle cell proliferation {GO:0048661}; positive regulation of synapse assembly {GO:0051965}; post-translational protein modification {GO:0043687}; presynaptic modulation of chemical synaptic transmission {GO:0099171}; protein autophosphorylation {GO:0046777}; protein phosphorylation {GO:0006468}; regulation of muscle contraction {GO:0006937}; regulation of peptidyl-tyrosine phosphorylation {GO:0050730}; regulation of platelet aggregation {GO:0090330}; regulation of receptor-mediated endocytosis {GO:0048259}; regulation of response to osmotic stress {GO:0047484}; regulation of synaptic vesicle exocytosis {GO:2000300}; regulation of the force of heart contraction {GO:0002026}; response to estradiol {GO:0032355}; response to ethanol {GO:0045471}; response to interleukin-1 {GO:0070555}; response to reactive oxygen species {GO:0000302}; stem cell differentiation {GO:0048863}</t>
  </si>
  <si>
    <t>alphav-beta3 integrin-PKCalpha complex {GO:0035866}; apical part of cell {GO:0045177}; axon {GO:0030424}; calyx of Held {GO:0044305}; cone photoreceptor outer segment {GO:0120199}; cytoplasm {GO:0005737}; cytosol {GO:0005829}; dendrite {GO:0030425}; endoplasmic reticulum {GO:0005783}; intercalated disc {GO:0014704}; membrane {GO:0016020}; membrane raft {GO:0045121}; mitochondrial membrane {GO:0031966}; mitochondrion {GO:0005739}; neuron projection {GO:0043005}; neuronal cell body {GO:0043025}; nucleus {GO:0005634}; ooplasm {GO:1990917}; perinuclear region of cytoplasm {GO:0048471}; plasma membrane {GO:0005886}; presynaptic cytosol {GO:0099523}; protein-containing complex {GO:0032991}</t>
  </si>
  <si>
    <t>ATP binding {GO:0005524}; calcium-dependent protein kinase C activity {GO:0004698}; enzyme binding {GO:0019899}; histone kinase activity (H3-T6 specific) {GO:0035403}; integrin binding {GO:0005178}; lipid binding {GO:0008289}; protein kinase activity {GO:0004672}; protein kinase C activity {GO:0004697}; protein serine kinase activity {GO:0106310}; protein serine/threonine kinase activity {GO:0004674}; zinc ion binding {GO:0008270}</t>
  </si>
  <si>
    <t>Calmodulin induced events {R-MMU-111933}; Disinhibition of SNARE formation {R-MMU-114516}; SHC1 events in ERBB2 signaling {R-MMU-1250196}; Signaling by SCF-KIT {R-MMU-1433557}; Regulation of KIT signaling {R-MMU-1433559}; EGFR Transactivation by Gastrin {R-MMU-2179392}; Syndecan interactions {R-MMU-3000170}; Acetylcholine regulates insulin secretion {R-MMU-399997}; Trafficking of GluR2-containing AMPA receptors {R-MMU-416993}; Depolymerisation of the Nuclear Lamina {R-MMU-4419969}; HuR (ELAVL1) binds and stabilizes mRNA {R-MMU-450520}; WNT5A-dependent internalization of FZD4 {R-MMU-5099900}; VEGFR2 mediated cell proliferation {R-MMU-5218921}; RHO GTPases Activate NADPH Oxidases {R-MMU-5668599}; Response to elevated platelet cytosolic Ca2+ {R-MMU-76005}; RET signaling {R-MMU-8853659}</t>
  </si>
  <si>
    <t>sp|Q8BHC4|DCAKD_MOUSE</t>
  </si>
  <si>
    <t>Dephospho-CoA kinase domain-containing protein</t>
  </si>
  <si>
    <t>DCAKD_MOUSE</t>
  </si>
  <si>
    <t>Q8BHC4</t>
  </si>
  <si>
    <t>MGI:1915337</t>
  </si>
  <si>
    <t>coenzyme A biosynthetic process {GO:0015937}</t>
  </si>
  <si>
    <t>ATP binding {GO:0005524}; dephospho-CoA kinase activity {GO:0004140}</t>
  </si>
  <si>
    <t>sp|Q68FL4|SAHH3_MOUSE</t>
  </si>
  <si>
    <t>Putative adenosylhomocysteinase 3 (AdoHcyase 3)</t>
  </si>
  <si>
    <t>Long-IRBIT; S-adenosyl-L-homocysteine hydrolase 3; S-adenosylhomocysteine hydrolase-like protein 2</t>
  </si>
  <si>
    <t>SAHH3_MOUSE</t>
  </si>
  <si>
    <t>Q68FL4</t>
  </si>
  <si>
    <t>Q8BIH1</t>
  </si>
  <si>
    <t>MGI:1921590</t>
  </si>
  <si>
    <t>Acetylation; Alternative splicing; Cytoplasm; Endoplasmic reticulum; Hydrolase; Microsome; NAD; One-carbon metabolism; Phosphoprotein</t>
  </si>
  <si>
    <t>Cytoplasm; Endoplasmic reticulum; Microsome</t>
  </si>
  <si>
    <t>one-carbon metabolic process {GO:0006730}; S-adenosylmethionine cycle {GO:0033353}</t>
  </si>
  <si>
    <t>cytosol {GO:0005829}; endoplasmic reticulum {GO:0005783}; intracellular membrane-bounded organelle {GO:0043231}; neuron projection {GO:0043005}</t>
  </si>
  <si>
    <t>Bicarbonate transporters {R-MMU-425381}</t>
  </si>
  <si>
    <t>sp|P53994|RAB2A_MOUSE</t>
  </si>
  <si>
    <t>Ras-related protein Rab-2A</t>
  </si>
  <si>
    <t>RAB2A_MOUSE</t>
  </si>
  <si>
    <t>P53994</t>
  </si>
  <si>
    <t>Q3UK45</t>
  </si>
  <si>
    <t>Rab2</t>
  </si>
  <si>
    <t>MGI:1928750</t>
  </si>
  <si>
    <t>Acetylation; Cytoplasmic vesicle; Endoplasmic reticulum; ER-Golgi transport; Golgi apparatus; GTP-binding; Hydrolase; Lipoprotein; Membrane; Nucleotide-binding; Prenylation; Protein transport; Transport</t>
  </si>
  <si>
    <t>Cytoplasmic vesicle; Endoplasmic reticulum; Golgi apparatus; Membrane</t>
  </si>
  <si>
    <t>Acetylation; Lipoprotein; Prenylation</t>
  </si>
  <si>
    <t>Golgi organization {GO:0007030}; intracellular protein transport {GO:0006886}; vesicle-mediated transport {GO:0016192}</t>
  </si>
  <si>
    <t>acrosomal vesicle {GO:0001669}; anchored component of synaptic vesicle membrane {GO:0098993}; endoplasmic reticulum membrane {GO:0005789}; endoplasmic reticulum-Golgi intermediate compartment membrane {GO:0033116}; Golgi apparatus {GO:0005794}; Golgi membrane {GO:0000139}; melanosome {GO:0042470}; membrane {GO:0016020}; neuronal cell body {GO:0043025}; perinuclear region of cytoplasm {GO:0048471}</t>
  </si>
  <si>
    <t>Golgi Cisternae Pericentriolar Stack Reorganization {R-MMU-162658}; RAB geranylgeranylation {R-MMU-8873719}</t>
  </si>
  <si>
    <t>sp|P97770|THUM3_MOUSE</t>
  </si>
  <si>
    <t>tRNA (guanine(6)-N2)-methyltransferase THUMP3</t>
  </si>
  <si>
    <t>GtROSA26asSor; THUMP domain-containing protein 3</t>
  </si>
  <si>
    <t>THUM3_MOUSE</t>
  </si>
  <si>
    <t>P97770</t>
  </si>
  <si>
    <t>Q99M45; Q9D3P0</t>
  </si>
  <si>
    <t>MGI:1277973</t>
  </si>
  <si>
    <t>Alternative splicing; Cytoplasm; Methyltransferase; RNA-binding; S-adenosyl-L-methionine; Transferase; tRNA processing; tRNA-binding</t>
  </si>
  <si>
    <t>tRNA methylation {GO:0030488}; tRNA N2-guanine methylation {GO:0002940}</t>
  </si>
  <si>
    <t>cytoplasm {GO:0005737}; cytosol {GO:0005829}; nucleolus {GO:0005730}</t>
  </si>
  <si>
    <t>tRNA (guanine) methyltransferase activity {GO:0016423}; tRNA (guanine-N2-)-methyltransferase activity {GO:0004809}; tRNA binding {GO:0000049}</t>
  </si>
  <si>
    <t>sp|Q9WU84|CCS_MOUSE</t>
  </si>
  <si>
    <t>Copper chaperone for superoxide dismutase</t>
  </si>
  <si>
    <t>Superoxide dismutase copper chaperone</t>
  </si>
  <si>
    <t>CCS_MOUSE</t>
  </si>
  <si>
    <t>Q9WU84</t>
  </si>
  <si>
    <t>Q9CRJ9</t>
  </si>
  <si>
    <t>Ccsd</t>
  </si>
  <si>
    <t>MGI:1333783</t>
  </si>
  <si>
    <t>Chaperone; Copper; Cytoplasm; Disulfide bond; Isopeptide bond; Metal-binding; Phosphoprotein; Ubl conjugation; Zinc</t>
  </si>
  <si>
    <t>Disulfide bond; Isopeptide bond; Phosphoprotein; Ubl conjugation</t>
  </si>
  <si>
    <t>positive regulation of oxidoreductase activity {GO:0051353}; removal of superoxide radicals {GO:0019430}</t>
  </si>
  <si>
    <t>cytoplasm {GO:0005737}; mitochondrial intermembrane space {GO:0005758}; nucleus {GO:0005634}</t>
  </si>
  <si>
    <t>copper ion binding {GO:0005507}; enzyme binding {GO:0019899}</t>
  </si>
  <si>
    <t>sp|Q8BH58|TIPRL_MOUSE</t>
  </si>
  <si>
    <t>TIP41-like protein</t>
  </si>
  <si>
    <t>TIPRL_MOUSE</t>
  </si>
  <si>
    <t>Q8BH58</t>
  </si>
  <si>
    <t>MGI:1915087</t>
  </si>
  <si>
    <t>DNA damage checkpoint signaling {GO:0000077}; negative regulation of phosphoprotein phosphatase activity {GO:0032515}; regulation of phosphoprotein phosphatase activity {GO:0043666}; TOR signaling {GO:0031929}</t>
  </si>
  <si>
    <t>sp|O55060|TPMT_MOUSE</t>
  </si>
  <si>
    <t>Thiopurine S-methyltransferase</t>
  </si>
  <si>
    <t>Thiopurine methyltransferase</t>
  </si>
  <si>
    <t>TPMT_MOUSE</t>
  </si>
  <si>
    <t>O55060</t>
  </si>
  <si>
    <t>Q9JIL7; Q9QUG7</t>
  </si>
  <si>
    <t>MGI:98812</t>
  </si>
  <si>
    <t>3D-structure; Acetylation; Cytoplasm; Methyltransferase; Phosphoprotein; S-adenosyl-L-methionine; Transferase</t>
  </si>
  <si>
    <t>methylation {GO:0032259}; xenobiotic metabolic process {GO:0006805}</t>
  </si>
  <si>
    <t>S-adenosyl-L-methionine binding {GO:1904047}; thiopurine S-methyltransferase activity {GO:0008119}</t>
  </si>
  <si>
    <t>Methylation {R-MMU-156581}; Azathioprine ADME {R-MMU-9748787}</t>
  </si>
  <si>
    <t>sp|Q7TMY7|IPO8_MOUSE</t>
  </si>
  <si>
    <t>Importin-8 (Imp8)</t>
  </si>
  <si>
    <t>Ran-binding protein 8 (RanBP8)</t>
  </si>
  <si>
    <t>IPO8_MOUSE</t>
  </si>
  <si>
    <t>Q7TMY7</t>
  </si>
  <si>
    <t>B2KGD8; Q811I3; Q8C8A9; Q8R2P6; Q8R3V7</t>
  </si>
  <si>
    <t>MGI:2444611</t>
  </si>
  <si>
    <t>Alternative splicing; Cytoplasm; Nucleus; Phosphoprotein; Protein transport; Transport</t>
  </si>
  <si>
    <t>cytosol {GO:0005829}; integral component of plasma membrane {GO:0005887}; nuclear envelope {GO:0005635}</t>
  </si>
  <si>
    <t>ATPase-coupled transmembrane transporter activity {GO:0042626}; small GTPase binding {GO:0031267}</t>
  </si>
  <si>
    <t>Transcriptional regulation by small RNAs {R-MMU-5578749}</t>
  </si>
  <si>
    <t>sp|Q9D7S9|CHMP5_MOUSE</t>
  </si>
  <si>
    <t>Charged multivesicular body protein 5</t>
  </si>
  <si>
    <t>Chromatin-modifying protein 5; SNF7 domain-containing protein 2</t>
  </si>
  <si>
    <t>CHMP5_MOUSE</t>
  </si>
  <si>
    <t>Q9D7S9</t>
  </si>
  <si>
    <t>Q3UI64</t>
  </si>
  <si>
    <t>Snf7dc2</t>
  </si>
  <si>
    <t>MGI:1924209</t>
  </si>
  <si>
    <t>Coiled coil; Cytoplasm; Endosome; Membrane; Phosphoprotein; Protein transport; Transport; Ubl conjugation</t>
  </si>
  <si>
    <t>autophagosome maturation {GO:0097352}; autophagy {GO:0006914}; cellular response to lipopolysaccharide {GO:0071222}; cellular response to muramyl dipeptide {GO:0071225}; endosome to lysosome transport {GO:0008333}; late endosome to lysosome transport {GO:1902774}; late endosome to vacuole transport via multivesicular body sorting pathway {GO:0032511}; lysosome organization {GO:0007040}; membrane fission {GO:0090148}; midbody abscission {GO:0061952}; mitotic metaphase plate congression {GO:0007080}; multivesicular body assembly {GO:0036258}; multivesicular body sorting pathway {GO:0071985}; multivesicular body-lysosome fusion {GO:0061763}; negative regulation of cell death {GO:0060548}; nuclear membrane reassembly {GO:0031468}; nucleus organization {GO:0006997}; plasma membrane repair {GO:0001778}; protein transport {GO:0015031}; regulation of centrosome duplication {GO:0010824}; regulation of mitotic spindle assembly {GO:1901673}; regulation of receptor recycling {GO:0001919}; ubiquitin-dependent protein catabolic process via the multivesicular body sorting pathway {GO:0043162}; vesicle budding from membrane {GO:0006900}; vesicle fusion with vacuole {GO:0051469}; viral budding {GO:0046755}; viral budding from plasma membrane {GO:0046761}; viral budding via host ESCRT complex {GO:0039702}</t>
  </si>
  <si>
    <t>amphisome membrane {GO:1904930}; autophagosome membrane {GO:0000421}; cytosol {GO:0005829}; kinetochore {GO:0000776}; kinetochore microtubule {GO:0005828}; lysosomal membrane {GO:0005765}; midbody {GO:0030496}; multivesicular body {GO:0005771}; multivesicular body membrane {GO:0032585}; nuclear pore {GO:0005643}; nucleus {GO:0005634}; plasma membrane {GO:0005886}</t>
  </si>
  <si>
    <t>sp|Q63829|COMD3_MOUSE</t>
  </si>
  <si>
    <t>COMM domain-containing protein 3</t>
  </si>
  <si>
    <t>Bmi-1 upstream gene protein (Bup protein)</t>
  </si>
  <si>
    <t>COMD3_MOUSE</t>
  </si>
  <si>
    <t>Q63829</t>
  </si>
  <si>
    <t>A2ASR4; Q3UKI1; Q8C9P5</t>
  </si>
  <si>
    <t>Bup</t>
  </si>
  <si>
    <t>MGI:88218</t>
  </si>
  <si>
    <t>Cytoplasm; Ion transport; Nucleus; Sodium; Sodium transport; Transcription; Transcription regulation; Transport; Ubl conjugation pathway</t>
  </si>
  <si>
    <t>Ion transport; Sodium transport; Transcription; Transcription regulation; Transport; Ubl conjugation pathway</t>
  </si>
  <si>
    <t>Sodium</t>
  </si>
  <si>
    <t>sodium ion transport {GO:0006814}</t>
  </si>
  <si>
    <t>Neutrophil degranulation {R-MMU-6798695}; Neddylation {R-MMU-8951664}</t>
  </si>
  <si>
    <t>sp|Q99L88|SNTB1_MOUSE</t>
  </si>
  <si>
    <t>Beta-1-syntrophin</t>
  </si>
  <si>
    <t>59 kDa dystrophin-associated protein A1 basic component 1 (DAPA1B); Syntrophin-2</t>
  </si>
  <si>
    <t>SNTB1_MOUSE</t>
  </si>
  <si>
    <t>Q99L88</t>
  </si>
  <si>
    <t>O35925</t>
  </si>
  <si>
    <t>Snt2b1</t>
  </si>
  <si>
    <t>MGI:101781</t>
  </si>
  <si>
    <t>Acetylation; Actin-binding; Alternative splicing; Calcium; Calmodulin-binding; Cell junction; Cell membrane; Cytoplasm; Cytoskeleton; Membrane; Phosphoprotein; Repeat</t>
  </si>
  <si>
    <t>anchoring junction {GO:0070161}; cytoplasm {GO:0005737}; cytoskeleton {GO:0005856}; dystrophin-associated glycoprotein complex {GO:0016010}; protein-containing complex {GO:0032991}; sarcolemma {GO:0042383}; synapse {GO:0045202}</t>
  </si>
  <si>
    <t>actin binding {GO:0003779}; calmodulin binding {GO:0005516}; PDZ domain binding {GO:0030165}; structural molecule activity {GO:0005198}</t>
  </si>
  <si>
    <t>sp|Q8R3H9|TTC4_MOUSE</t>
  </si>
  <si>
    <t>Tetratricopeptide repeat protein 4 (TPR repeat protein 4)</t>
  </si>
  <si>
    <t>TTC4_MOUSE</t>
  </si>
  <si>
    <t>Q8R3H9</t>
  </si>
  <si>
    <t>MGI:1919604</t>
  </si>
  <si>
    <t>Acetylation; Antiviral defense; Cytoplasm; Immunity; Innate immunity; Nucleus; Phosphoprotein; Repeat; TPR repeat</t>
  </si>
  <si>
    <t>defense response to virus {GO:0051607}; innate immune response {GO:0045087}; protein folding {GO:0006457}</t>
  </si>
  <si>
    <t>Hsp70 protein binding {GO:0030544}; Hsp90 protein binding {GO:0051879}</t>
  </si>
  <si>
    <t>sp|O88532|ZFR_MOUSE</t>
  </si>
  <si>
    <t>Zinc finger RNA-binding protein</t>
  </si>
  <si>
    <t>ZFR_MOUSE</t>
  </si>
  <si>
    <t>O88532</t>
  </si>
  <si>
    <t>Q3TY30; Q8BS85; Q8CGG5; Q91VZ0; Q9CT34</t>
  </si>
  <si>
    <t>MGI:1341890</t>
  </si>
  <si>
    <t>Acetylation; Chromosome; Cytoplasm; Developmental protein; DNA-binding; Isopeptide bond; Nucleus; Phosphoprotein; Repeat; RNA-binding; Ubl conjugation</t>
  </si>
  <si>
    <t>DNA-binding; Developmental protein; RNA-binding</t>
  </si>
  <si>
    <t>DNA binding {GO:0003677}; double-stranded RNA binding {GO:0003725}; single-stranded RNA binding {GO:0003727}; zinc ion binding {GO:0008270}</t>
  </si>
  <si>
    <t>sp|P12265|BGLR_MOUSE</t>
  </si>
  <si>
    <t>Beta-glucuronidase</t>
  </si>
  <si>
    <t>BGLR_MOUSE</t>
  </si>
  <si>
    <t>P12265</t>
  </si>
  <si>
    <t>Q61601; Q64473; Q64474; Q6IR10</t>
  </si>
  <si>
    <t>Gus; Gus-s</t>
  </si>
  <si>
    <t>MGI:95872</t>
  </si>
  <si>
    <t>Endoplasmic reticulum; Glycoprotein; Glycosidase; Hydrolase; Lysosome; Signal</t>
  </si>
  <si>
    <t>Endoplasmic reticulum; Lysosome</t>
  </si>
  <si>
    <t>carbohydrate metabolic process {GO:0005975}; chondroitin sulfate catabolic process {GO:0030207}; glucuronoside catabolic process {GO:0019391}; heparan sulfate proteoglycan catabolic process {GO:0030200}; hyaluronan catabolic process {GO:0030214}</t>
  </si>
  <si>
    <t>endoplasmic reticulum {GO:0005783}; extracellular space {GO:0005615}; intracellular membrane-bounded organelle {GO:0043231}; lysosomal lumen {GO:0043202}; lysosome {GO:0005764}</t>
  </si>
  <si>
    <t>beta-glucuronidase activity {GO:0004566}; carbohydrate binding {GO:0030246}; hydrolase activity {GO:0016787}; protein domain specific binding {GO:0019904}; signaling receptor binding {GO:0005102}</t>
  </si>
  <si>
    <t>HS-GAG degradation {R-MMU-2024096}; Hyaluronan uptake and degradation {R-MMU-2160916}; Neutrophil degranulation {R-MMU-6798695}</t>
  </si>
  <si>
    <t>sp|Q6ZQB6|VIP2_MOUSE</t>
  </si>
  <si>
    <t>Inositol hexakisphosphate and diphosphoinositol-pentakisphosphate kinase 2</t>
  </si>
  <si>
    <t>Diphosphoinositol pentakisphosphate kinase 2; Histidine acid phosphatase domain-containing protein 1; InsP6 and PP-IP5 kinase 2; VIP1 homolog 2 (mmVIP2)</t>
  </si>
  <si>
    <t>VIP2_MOUSE</t>
  </si>
  <si>
    <t>Q6ZQB6</t>
  </si>
  <si>
    <t>E9PVE9; Q3TM75; Q3UUA3; Q7TPU4</t>
  </si>
  <si>
    <t>MGI:2142810</t>
  </si>
  <si>
    <t>Alternative splicing; ATP-binding; Cytoplasm; Hearing; Kinase; Nucleotide-binding; Phosphoprotein; Transferase</t>
  </si>
  <si>
    <t>Hearing</t>
  </si>
  <si>
    <t>inositol metabolic process {GO:0006020}; inositol phosphate biosynthetic process {GO:0032958}; phosphorylation {GO:0016310}; sensory perception of sound {GO:0007605}</t>
  </si>
  <si>
    <t>5-diphosphoinositol pentakisphosphate 3-kinase activity {GO:0102092}; ATP binding {GO:0005524}; diphosphoinositol-pentakisphosphate kinase activity {GO:0033857}; inositol heptakisphosphate kinase activity {GO:0000829}; inositol hexakisphosphate 1-kinase activity {GO:0052723}; inositol hexakisphosphate 3-kinase activity {GO:0052724}; inositol hexakisphosphate 5-kinase activity {GO:0000832}; inositol hexakisphosphate kinase activity {GO:0000828}; inositol-1,3,4,5,6-pentakisphosphate kinase activity {GO:0000827}</t>
  </si>
  <si>
    <t>Synthesis of pyrophosphates in the cytosol {R-MMU-1855167}</t>
  </si>
  <si>
    <t>sp|Q99JW2|ACY1_MOUSE</t>
  </si>
  <si>
    <t>Aminoacylase-1 (ACY-1)</t>
  </si>
  <si>
    <t>N-acyl-L-amino-acid amidohydrolase</t>
  </si>
  <si>
    <t>ACY1_MOUSE</t>
  </si>
  <si>
    <t>Q99JW2</t>
  </si>
  <si>
    <t>Q9CR15</t>
  </si>
  <si>
    <t>MGI:87913</t>
  </si>
  <si>
    <t>Cytoplasm; Hydrolase; Metal-binding; Zinc</t>
  </si>
  <si>
    <t>cellular amino acid metabolic process {GO:0006520}</t>
  </si>
  <si>
    <t>cytoplasm {GO:0005737}; extracellular exosome {GO:0070062}</t>
  </si>
  <si>
    <t>aminoacylase activity {GO:0004046}; identical protein binding {GO:0042802}; metal ion binding {GO:0046872}</t>
  </si>
  <si>
    <t>Aflatoxin activation and detoxification {R-MMU-5423646}; Paracetamol ADME {R-MMU-9753281}</t>
  </si>
  <si>
    <t>sp|Q9D1X0|NOL3_MOUSE</t>
  </si>
  <si>
    <t>Nucleolar protein 3</t>
  </si>
  <si>
    <t>Apoptosis repressor with CARD</t>
  </si>
  <si>
    <t>NOL3_MOUSE</t>
  </si>
  <si>
    <t>Q9D1X0</t>
  </si>
  <si>
    <t>Arc</t>
  </si>
  <si>
    <t>MGI:1925938</t>
  </si>
  <si>
    <t>Calcium; Cytoplasm; Lipoprotein; Membrane; Metal-binding; Mitochondrion; mRNA processing; Myristate; Phosphoprotein; Sarcoplasmic reticulum; Ubl conjugation</t>
  </si>
  <si>
    <t>Cytoplasm; Membrane; Mitochondrion; Sarcoplasmic reticulum</t>
  </si>
  <si>
    <t>Lipoprotein; Myristate; Phosphoprotein; Ubl conjugation</t>
  </si>
  <si>
    <t>blood vessel remodeling {GO:0001974}; cardiac muscle cell apoptotic process {GO:0010659}; cellular response to hypoxia {GO:0071456}; inhibition of cysteine-type endopeptidase activity {GO:0097340}; inhibition of cysteine-type endopeptidase activity involved in apoptotic process {GO:1990001}; intrinsic apoptotic signaling pathway {GO:0097193}; mRNA splice site selection {GO:0006376}; myoblast differentiation {GO:0045445}; negative regulation of apoptotic process {GO:0043066}; negative regulation of cardiac muscle cell apoptotic process {GO:0010667}; negative regulation of cysteine-type endopeptidase activity involved in apoptotic process {GO:0043154}; negative regulation of cytosolic calcium ion concentration {GO:0051481}; negative regulation of death-inducing signaling complex assembly {GO:1903073}; negative regulation of extrinsic apoptotic signaling pathway {GO:2001237}; negative regulation of extrinsic apoptotic signaling pathway via death domain receptors {GO:1902042}; negative regulation of hydrogen peroxide-induced cell death {GO:1903206}; negative regulation of hypoxia-induced intrinsic apoptotic signaling pathway {GO:1903298}; negative regulation of intrinsic apoptotic signaling pathway {GO:2001243}; negative regulation of mitochondrial calcium ion concentration {GO:0051562}; negative regulation of mitochondrial membrane permeability involved in apoptotic process {GO:1902109}; negative regulation of muscle atrophy {GO:0014736}; negative regulation of necrotic cell death {GO:0060547}; negative regulation of oxidative stress-induced intrinsic apoptotic signaling pathway {GO:1902176}; negative regulation of protein targeting to mitochondrion {GO:1903215}; negative regulation of release of cytochrome c from mitochondria {GO:0090201}; negative regulation of striated muscle cell apoptotic process {GO:0010664}; negative regulation of tumor necrosis factor-mediated signaling pathway {GO:0010804}; protein complex oligomerization {GO:0051259}; regulation of gene expression {GO:0010468}; regulation of NIK/NF-kappaB signaling {GO:1901222}; regulation of release of sequestered calcium ion into cytosol by sarcoplasmic reticulum {GO:0010880}; release of sequestered calcium ion into cytosol by sarcoplasmic reticulum {GO:0014808}; response to hypoxia {GO:0001666}; response to injury involved in regulation of muscle adaptation {GO:0014876}; response to ischemia {GO:0002931}; smooth muscle cell proliferation {GO:0048659}</t>
  </si>
  <si>
    <t>cytoplasm {GO:0005737}; membrane {GO:0016020}; mitochondrion {GO:0005739}; nucleolus {GO:0005730}; sarcoplasm {GO:0016528}; sarcoplasmic reticulum {GO:0016529}</t>
  </si>
  <si>
    <t>calcium ion binding {GO:0005509}; caspase binding {GO:0089720}; cysteine-type endopeptidase inhibitor activity involved in apoptotic process {GO:0043027}; death effector domain binding {GO:0035877}; death receptor binding {GO:0005123}; identical protein binding {GO:0042802}; kinase binding {GO:0019900}; phosphatase binding {GO:0019902}; signaling receptor binding {GO:0005102}</t>
  </si>
  <si>
    <t>sp|Q920Q6|MSI2H_MOUSE</t>
  </si>
  <si>
    <t>RNA-binding protein Musashi homolog 2 (Musashi-2)</t>
  </si>
  <si>
    <t>MSI2H_MOUSE</t>
  </si>
  <si>
    <t>Q920Q6</t>
  </si>
  <si>
    <t>Q8BQ90; Q920Q7</t>
  </si>
  <si>
    <t>Msi2h</t>
  </si>
  <si>
    <t>MGI:1923876</t>
  </si>
  <si>
    <t>Acetylation; Alternative splicing; Cytoplasm; Methylation; Phosphoprotein; Repeat; RNA-binding</t>
  </si>
  <si>
    <t>central nervous system development {GO:0007417}; regulation of translation {GO:0006417}; stem cell development {GO:0048864}</t>
  </si>
  <si>
    <t>cytoplasm {GO:0005737}; cytosol {GO:0005829}; intracellular membrane-bounded organelle {GO:0043231}; polysome {GO:0005844}</t>
  </si>
  <si>
    <t>RHOBTB2 GTPase cycle {R-MMU-9013418}</t>
  </si>
  <si>
    <t>sp|P57784|RU2A_MOUSE</t>
  </si>
  <si>
    <t>U2 small nuclear ribonucleoprotein A' (U2 snRNP A')</t>
  </si>
  <si>
    <t>RU2A_MOUSE</t>
  </si>
  <si>
    <t>P57784</t>
  </si>
  <si>
    <t>Q3U7R8; Q8K2W4; Q91YW1; Q9JKQ3</t>
  </si>
  <si>
    <t>MGI:1916231</t>
  </si>
  <si>
    <t>Acetylation; Isopeptide bond; Leucine-rich repeat; mRNA processing; mRNA splicing; Nucleus; Phosphoprotein; Repeat; Ribonucleoprotein; RNA-binding; Spliceosome; Ubl conjugation</t>
  </si>
  <si>
    <t>mRNA splicing, via spliceosome {GO:0000398}; spermatogenesis {GO:0007283}</t>
  </si>
  <si>
    <t>catalytic step 2 spliceosome {GO:0071013}; nuclear body {GO:0016604}; nuclear speck {GO:0016607}; nucleoplasm {GO:0005654}; nucleus {GO:0005634}; spliceosomal complex {GO:0005681}; U2 snRNP {GO:0005686}; U2-type catalytic step 2 spliceosome {GO:0071007}; U2-type precatalytic spliceosome {GO:0071005}</t>
  </si>
  <si>
    <t>U2 snRNA binding {GO:0030620}</t>
  </si>
  <si>
    <t>sp|Q61001|LAMA5_MOUSE</t>
  </si>
  <si>
    <t>Laminin subunit alpha-5</t>
  </si>
  <si>
    <t>Laminin-10 subunit alpha; Laminin-11 subunit alpha; Laminin-15 subunit alpha</t>
  </si>
  <si>
    <t>LAMA5_MOUSE</t>
  </si>
  <si>
    <t>Q61001</t>
  </si>
  <si>
    <t>A2ABW7; Q9JHQ6</t>
  </si>
  <si>
    <t>MGI:105382</t>
  </si>
  <si>
    <t>3D-structure; Basement membrane; Cell adhesion; Coiled coil; Disulfide bond; Extracellular matrix; Glycoprotein; Laminin EGF-like domain; Repeat; Secreted; Signal</t>
  </si>
  <si>
    <t>animal organ morphogenesis {GO:0009887}; axon guidance {GO:0007411}; branching involved in salivary gland morphogenesis {GO:0060445}; branching involved in ureteric bud morphogenesis {GO:0001658}; branching morphogenesis of an epithelial tube {GO:0048754}; cell migration {GO:0016477}; cell-cell adhesion {GO:0098609}; cilium assembly {GO:0060271}; hair follicle development {GO:0001942}; integrin-mediated signaling pathway {GO:0007229}; kidney development {GO:0001822}; lung development {GO:0030324}; morphogenesis of a polarized epithelium {GO:0001738}; morphogenesis of embryonic epithelium {GO:0016331}; muscle organ development {GO:0007517}; neural crest cell migration {GO:0001755}; odontogenesis of dentin-containing tooth {GO:0042475}; protein localization to plasma membrane {GO:0072659}; regulation of cell adhesion {GO:0030155}; regulation of cell migration {GO:0030334}; regulation of embryonic development {GO:0045995}; regulation of epithelial cell proliferation {GO:0050678}; substrate adhesion-dependent cell spreading {GO:0034446}; tissue development {GO:0009888}; trunk neural crest cell migration {GO:0036484}</t>
  </si>
  <si>
    <t>basement membrane {GO:0005604}; collagen-containing extracellular matrix {GO:0062023}; extracellular matrix {GO:0031012}; extracellular region {GO:0005576}; extracellular space {GO:0005615}; laminin-10 complex {GO:0043259}; laminin-5 complex {GO:0005610}; neuromuscular junction {GO:0031594}; synaptic cleft {GO:0043083}</t>
  </si>
  <si>
    <t>extracellular matrix structural constituent {GO:0005201}; integrin binding {GO:0005178}</t>
  </si>
  <si>
    <t>sp|Q9D0R8|LSM12_MOUSE</t>
  </si>
  <si>
    <t>Protein LSM12</t>
  </si>
  <si>
    <t>LSM12_MOUSE</t>
  </si>
  <si>
    <t>Q9D0R8</t>
  </si>
  <si>
    <t>A2AWS3</t>
  </si>
  <si>
    <t>MGI:1919592</t>
  </si>
  <si>
    <t>sp|Q8VDW0|DX39A_MOUSE</t>
  </si>
  <si>
    <t>ATP-dependent RNA helicase DDX39A</t>
  </si>
  <si>
    <t>DEAD box protein 39</t>
  </si>
  <si>
    <t>DX39A_MOUSE</t>
  </si>
  <si>
    <t>Q8VDW0</t>
  </si>
  <si>
    <t>Q3UJV4; Q8C2C2</t>
  </si>
  <si>
    <t>MGI:1915528</t>
  </si>
  <si>
    <t>Acetylation; Alternative splicing; ATP-binding; Cytoplasm; Helicase; Hydrolase; Isopeptide bond; mRNA processing; mRNA splicing; Nucleotide-binding; Nucleus; Phosphoprotein; Ubl conjugation</t>
  </si>
  <si>
    <t>mRNA export from nucleus {GO:0006406}; mRNA splicing, via spliceosome {GO:0000398}</t>
  </si>
  <si>
    <t>ATP binding {GO:0005524}; ATP hydrolysis activity {GO:0016887}; identical protein binding {GO:0042802}; RNA binding {GO:0003723}; RNA helicase activity {GO:0003724}</t>
  </si>
  <si>
    <t>sp|Q8BH24|TM9S4_MOUSE</t>
  </si>
  <si>
    <t>Transmembrane 9 superfamily member 4</t>
  </si>
  <si>
    <t>TM9S4_MOUSE</t>
  </si>
  <si>
    <t>Q8BH24</t>
  </si>
  <si>
    <t>Q2TBF8; Q3TB27; Q8BU80; Q8BXB4; Q8CHH4</t>
  </si>
  <si>
    <t>Kiaa0255</t>
  </si>
  <si>
    <t>MGI:2139220</t>
  </si>
  <si>
    <t>Endosome; Golgi apparatus; Membrane; Phosphoprotein; Signal; Transmembrane; Transmembrane helix</t>
  </si>
  <si>
    <t>cell adhesion {GO:0007155}; phagocytosis {GO:0006909}; positive regulation of protein exit from endoplasmic reticulum {GO:0070863}; positive regulation of protein localization to cell surface {GO:2000010}; protein localization to membrane {GO:0072657}; regulation of intracellular pH {GO:0051453}; response to hypoxia {GO:0001666}; vacuolar proton-transporting V-type ATPase complex assembly {GO:0070072}</t>
  </si>
  <si>
    <t>early endosome {GO:0005769}; Golgi apparatus {GO:0005794}; integral component of membrane {GO:0016021}; membrane {GO:0016020}</t>
  </si>
  <si>
    <t>sp|P61458|PHS_MOUSE</t>
  </si>
  <si>
    <t>Pterin-4-alpha-carbinolamine dehydratase (PHS)</t>
  </si>
  <si>
    <t>4-alpha-hydroxy-tetrahydropterin dehydratase; Dimerization cofactor of hepatocyte nuclear factor 1-alpha (DCoH; Dimerization cofactor of HNF1); Phenylalanine hydroxylase-stimulating protein; Pterin carbinolamine dehydratase (PCD)</t>
  </si>
  <si>
    <t>PHS_MOUSE</t>
  </si>
  <si>
    <t>P61458</t>
  </si>
  <si>
    <t>P70519; P80095; Q9D930</t>
  </si>
  <si>
    <t>Dcoh; Pcbd</t>
  </si>
  <si>
    <t>MGI:94873</t>
  </si>
  <si>
    <t>Acetylation; Activator; Cytoplasm; Lyase; Nucleus; Tetrahydrobiopterin biosynthesis; Transcription; Transcription regulation</t>
  </si>
  <si>
    <t>Tetrahydrobiopterin biosynthesis; Transcription; Transcription regulation</t>
  </si>
  <si>
    <t>Activator; Lyase</t>
  </si>
  <si>
    <t>L-phenylalanine metabolic process {GO:0006558}; positive regulation of DNA-templated transcription {GO:0045893}; regulation of protein binding {GO:0043393}; tetrahydrobiopterin biosynthetic process {GO:0006729}</t>
  </si>
  <si>
    <t>4-alpha-hydroxytetrahydrobiopterin dehydratase activity {GO:0008124}; identical protein binding {GO:0042802}; phenylalanine 4-monooxygenase activity {GO:0004505}; transcription coactivator activity {GO:0003713}</t>
  </si>
  <si>
    <t>sp|Q921X9|PDIA5_MOUSE</t>
  </si>
  <si>
    <t>Protein disulfide-isomerase A5</t>
  </si>
  <si>
    <t>Protein disulfide isomerase-related protein</t>
  </si>
  <si>
    <t>PDIA5_MOUSE</t>
  </si>
  <si>
    <t>Q921X9</t>
  </si>
  <si>
    <t>Pdir</t>
  </si>
  <si>
    <t>MGI:1919849</t>
  </si>
  <si>
    <t>Disulfide bond; Endoplasmic reticulum; Isomerase; Redox-active center; Repeat; Signal</t>
  </si>
  <si>
    <t>sp|P60670|NPL4_MOUSE</t>
  </si>
  <si>
    <t>Nuclear protein localization protein 4 homolog (Protein NPL4)</t>
  </si>
  <si>
    <t>NPL4_MOUSE</t>
  </si>
  <si>
    <t>P60670</t>
  </si>
  <si>
    <t>B1ATY4; B1ATY5</t>
  </si>
  <si>
    <t>Kiaa1499; Npl4</t>
  </si>
  <si>
    <t>MGI:2679787</t>
  </si>
  <si>
    <t>3D-structure; Acetylation; Alternative splicing; Chaperone; Cytoplasm; Endoplasmic reticulum; Metal-binding; Nucleus; Zinc; Zinc-finger</t>
  </si>
  <si>
    <t>Golgi organization {GO:0007030}; negative regulation of RIG-I signaling pathway {GO:0039536}; negative regulation of type I interferon production {GO:0032480}; retrograde protein transport, ER to cytosol {GO:0030970}; ubiquitin-dependent ERAD pathway {GO:0030433}; ubiquitin-dependent protein catabolic process {GO:0006511}</t>
  </si>
  <si>
    <t>cytosol {GO:0005829}; endoplasmic reticulum {GO:0005783}; nuclear outer membrane-endoplasmic reticulum membrane network {GO:0042175}; nucleus {GO:0005634}; UFD1-NPL4 complex {GO:0036501}; VCP-NPL4-UFD1 AAA ATPase complex {GO:0034098}</t>
  </si>
  <si>
    <t>ATPase binding {GO:0051117}; K48-linked polyubiquitin modification-dependent protein binding {GO:0036435}; K63-linked polyubiquitin modification-dependent protein binding {GO:0070530}; metal ion binding {GO:0046872}; protein-containing complex binding {GO:0044877}; ubiquitin binding {GO:0043130}; ubiquitin protein ligase binding {GO:0031625}</t>
  </si>
  <si>
    <t>Protein degradation; proteasomal ubiquitin-dependent pathway.</t>
  </si>
  <si>
    <t>Translesion Synthesis by POLH {R-MMU-110320}; Neddylation {R-MMU-8951664}; KEAP1-NFE2L2 pathway {R-MMU-9755511}</t>
  </si>
  <si>
    <t>sp|P40630|TFAM_MOUSE</t>
  </si>
  <si>
    <t>Transcription factor A, mitochondrial (mtTFA)</t>
  </si>
  <si>
    <t>Testis-specific high mobility group protein (TS-HMG)</t>
  </si>
  <si>
    <t>TFAM_MOUSE</t>
  </si>
  <si>
    <t>P40630</t>
  </si>
  <si>
    <t>P97894; P97906; Q543I8; Q9DBM9</t>
  </si>
  <si>
    <t>Hmgts</t>
  </si>
  <si>
    <t>MGI:107810</t>
  </si>
  <si>
    <t>Activator; Alternative splicing; DNA-binding; Mitochondrion; Mitochondrion nucleoid; Nucleus; Phosphoprotein; Repeat; Transcription; Transcription regulation; Transit peptide</t>
  </si>
  <si>
    <t>Mitochondrion; Mitochondrion nucleoid; Nucleus</t>
  </si>
  <si>
    <t>mitochondrial respiratory chain complex assembly {GO:0033108}; mitochondrial transcription {GO:0006390}; positive regulation of DNA-templated transcription {GO:0045893}; transcription initiation at mitochondrial promoter {GO:0006391}</t>
  </si>
  <si>
    <t>mitochondrial matrix {GO:0005759}; mitochondrial nucleoid {GO:0042645}; mitochondrion {GO:0005739}; nucleus {GO:0005634}; protein-containing complex {GO:0032991}</t>
  </si>
  <si>
    <t>chromatin binding {GO:0003682}; DNA binding, bending {GO:0008301}; heat shock protein binding {GO:0031072}; mitochondrial promoter sequence-specific DNA binding {GO:0001018}; mitochondrial transcription factor activity {GO:0034246}; sequence-specific DNA binding {GO:0043565}; transcription cis-regulatory region binding {GO:0000976}; transcription coactivator binding {GO:0001223}</t>
  </si>
  <si>
    <t>Mitochondrial transcription initiation {R-MMU-163282}</t>
  </si>
  <si>
    <t>sp|Q9CQ80|VPS25_MOUSE</t>
  </si>
  <si>
    <t>Vacuolar protein-sorting-associated protein 25</t>
  </si>
  <si>
    <t>ESCRT-II complex subunit VPS25</t>
  </si>
  <si>
    <t>VPS25_MOUSE</t>
  </si>
  <si>
    <t>Q9CQ80</t>
  </si>
  <si>
    <t>A2A4J9; A2A4K1; Q3UBT0; Q9D167</t>
  </si>
  <si>
    <t>D11Wsu68e</t>
  </si>
  <si>
    <t>MGI:106354</t>
  </si>
  <si>
    <t>Alternative splicing; Cytoplasm; Endosome; Membrane; Nucleus; Protein transport; Transcription; Transcription regulation; Transport</t>
  </si>
  <si>
    <t>negative regulation of epidermal growth factor-activated receptor activity {GO:0007175}; protein transport to vacuole involved in ubiquitin-dependent protein catabolic process via the multivesicular body sorting pathway {GO:0043328}</t>
  </si>
  <si>
    <t>cytoplasm {GO:0005737}; cytosol {GO:0005829}; endosome membrane {GO:0010008}; ESCRT II complex {GO:0000814}; intracellular membrane-bounded organelle {GO:0043231}; mitochondrion {GO:0005739}; nucleus {GO:0005634}</t>
  </si>
  <si>
    <t>protein homodimerization activity {GO:0042803}; protein N-terminus binding {GO:0047485}; structural molecule activity {GO:0005198}</t>
  </si>
  <si>
    <t>sp|Q8R317|UBQL1_MOUSE</t>
  </si>
  <si>
    <t>Ubiquilin-1</t>
  </si>
  <si>
    <t>Protein linking IAP with cytoskeleton 1 (PLIC-1)</t>
  </si>
  <si>
    <t>UBQL1_MOUSE</t>
  </si>
  <si>
    <t>Q8R317</t>
  </si>
  <si>
    <t>Q80V10; Q8C7T4; Q8C835; Q8K141; Q91VI8; Q9D0Z0; Q9QZM1</t>
  </si>
  <si>
    <t>Plic1</t>
  </si>
  <si>
    <t>MGI:1860276</t>
  </si>
  <si>
    <t>Acetylation; Alternative splicing; Autophagy; Cell membrane; Cytoplasm; Cytoplasmic vesicle; Endoplasmic reticulum; Membrane; Nucleus; Proteasome; Ubl conjugation</t>
  </si>
  <si>
    <t>Cell membrane; Cytoplasm; Cytoplasmic vesicle; Endoplasmic reticulum; Membrane; Nucleus; Proteasome</t>
  </si>
  <si>
    <t>aggrephagy {GO:0035973}; autophagosome assembly {GO:0000045}; autophagosome maturation {GO:0097352}; cellular response to hypoxia {GO:0071456}; macroautophagy {GO:0016236}; negative regulation of store-operated calcium channel activity {GO:1901340}; negative regulation of toll-like receptor 3 signaling pathway {GO:0034140}; positive regulation of ER-associated ubiquitin-dependent protein catabolic process {GO:1903071}; positive regulation of protein ubiquitination {GO:0031398}; regulation of macroautophagy {GO:0016241}; regulation of oxidative stress-induced intrinsic apoptotic signaling pathway {GO:1902175}; regulation of protein ubiquitination {GO:0031396}; response to endoplasmic reticulum stress {GO:0034976}; ubiquitin-dependent ERAD pathway {GO:0030433}; ubiquitin-dependent protein catabolic process {GO:0006511}</t>
  </si>
  <si>
    <t>aggresome {GO:0016235}; autophagosome {GO:0005776}; cytoplasm {GO:0005737}; cytoplasmic vesicle {GO:0031410}; cytosol {GO:0005829}; endoplasmic reticulum {GO:0005783}; nucleoplasm {GO:0005654}; perinuclear region of cytoplasm {GO:0048471}; plasma membrane {GO:0005886}; proteasome complex {GO:0000502}; protein-containing complex {GO:0032991}</t>
  </si>
  <si>
    <t>identical protein binding {GO:0042802}; intermediate filament binding {GO:0019215}; kinase binding {GO:0019900}; polyubiquitin modification-dependent protein binding {GO:0031593}; protein domain specific binding {GO:0019904}; signaling receptor binding {GO:0005102}</t>
  </si>
  <si>
    <t>sp|Q8VCT3|AMPB_MOUSE</t>
  </si>
  <si>
    <t>Aminopeptidase B (AP-B)</t>
  </si>
  <si>
    <t>Arginine aminopeptidase; Arginyl aminopeptidase; Cytosol aminopeptidase IV</t>
  </si>
  <si>
    <t>AMPB_MOUSE</t>
  </si>
  <si>
    <t>Q8VCT3</t>
  </si>
  <si>
    <t>Q3TX27</t>
  </si>
  <si>
    <t>MGI:2384902</t>
  </si>
  <si>
    <t>Acetylation; Aminopeptidase; Hydrolase; Metal-binding; Metalloprotease; Protease; Secreted; Zinc</t>
  </si>
  <si>
    <t>negative regulation of blood pressure {GO:0045776}; protein processing {GO:0016485}; proteolysis {GO:0006508}</t>
  </si>
  <si>
    <t>external side of plasma membrane {GO:0009897}; extracellular region {GO:0005576}; extracellular space {GO:0005615}; Golgi apparatus {GO:0005794}; neuron projection {GO:0043005}; plasma membrane {GO:0005886}; secretory granule {GO:0030141}</t>
  </si>
  <si>
    <t>aminopeptidase activity {GO:0004177}; cobalt ion binding {GO:0050897}; copper ion binding {GO:0005507}; metalloaminopeptidase activity {GO:0070006}; peptide binding {GO:0042277}; zinc ion binding {GO:0008270}</t>
  </si>
  <si>
    <t>sp|O55022|PGRC1_MOUSE</t>
  </si>
  <si>
    <t>Membrane-associated progesterone receptor component 1 (mPR)</t>
  </si>
  <si>
    <t>PGRC1_MOUSE</t>
  </si>
  <si>
    <t>O55022</t>
  </si>
  <si>
    <t>Q99JN0</t>
  </si>
  <si>
    <t>Pgrmc</t>
  </si>
  <si>
    <t>MGI:1858305</t>
  </si>
  <si>
    <t>Endoplasmic reticulum; Iron; Lipid-binding; Membrane; Metal-binding; Microsome; Mitochondrion; Mitochondrion outer membrane; Phosphoprotein; Receptor; Steroid-binding; Transmembrane; Transmembrane helix</t>
  </si>
  <si>
    <t>Endoplasmic reticulum; Membrane; Microsome; Mitochondrion; Mitochondrion outer membrane</t>
  </si>
  <si>
    <t>Iron; Lipid-binding; Metal-binding; Steroid-binding</t>
  </si>
  <si>
    <t>associative learning {GO:0008306}; heme biosynthetic process {GO:0006783}; memory {GO:0007613}; modification of synaptic structure {GO:0099563}; negative regulation of synapse organization {GO:1905809}; positive regulation of protein localization to plasma membrane {GO:1903078}</t>
  </si>
  <si>
    <t>cell body {GO:0044297}; endomembrane system {GO:0012505}; endoplasmic reticulum membrane {GO:0005789}; integral component of membrane {GO:0016021}; membrane {GO:0016020}; mitochondrial outer membrane {GO:0005741}; neuron projection {GO:0043005}; neuronal cell body {GO:0043025}; synapse {GO:0045202}</t>
  </si>
  <si>
    <t>heme binding {GO:0020037}; metal ion binding {GO:0046872}; protein homodimerization activity {GO:0042803}; steroid binding {GO:0005496}</t>
  </si>
  <si>
    <t>sp|Q8BLK3|LSAMP_MOUSE</t>
  </si>
  <si>
    <t>Limbic system-associated membrane protein (LSAMP)</t>
  </si>
  <si>
    <t>LSAMP_MOUSE</t>
  </si>
  <si>
    <t>Q8BLK3</t>
  </si>
  <si>
    <t>MGI:1261760</t>
  </si>
  <si>
    <t>Cell adhesion; Cell membrane; Disulfide bond; Glycoprotein; GPI-anchor; Immunoglobulin domain; Lipoprotein; Membrane; Phosphoprotein; Repeat; Signal</t>
  </si>
  <si>
    <t>Immunoglobulin domain; Repeat; Signal</t>
  </si>
  <si>
    <t>cell adhesion {GO:0007155}; locomotory exploration behavior {GO:0035641}</t>
  </si>
  <si>
    <t>anchored component of membrane {GO:0031225}; cytosol {GO:0005829}; plasma membrane {GO:0005886}</t>
  </si>
  <si>
    <t>Post-translational modification: synthesis of GPI-anchored proteins {R-MMU-163125}</t>
  </si>
  <si>
    <t>sp|Q60739|BAG1_MOUSE</t>
  </si>
  <si>
    <t>BAG family molecular chaperone regulator 1 (BAG-1)</t>
  </si>
  <si>
    <t>Bcl-2-associated athanogene 1</t>
  </si>
  <si>
    <t>BAG1_MOUSE</t>
  </si>
  <si>
    <t>Q60739</t>
  </si>
  <si>
    <t>Q561N1; Q6IS45; Q9D7K6</t>
  </si>
  <si>
    <t>MGI:108047</t>
  </si>
  <si>
    <t>3D-structure; Alternative initiation; Apoptosis; Chaperone; Cytoplasm; Nucleus; Repeat; Ubl conjugation</t>
  </si>
  <si>
    <t>apoptotic process {GO:0006915}; chaperone cofactor-dependent protein refolding {GO:0051085}; negative regulation of apoptotic process {GO:0043066}; negative regulation of motor neuron apoptotic process {GO:2000672}; negative regulation of protein phosphorylation {GO:0001933}; neuron differentiation {GO:0030182}; positive regulation of Schwann cell differentiation {GO:0014040}; protein localization to mitochondrion {GO:0070585}; protein phosphorylation {GO:0006468}; protein stabilization {GO:0050821}</t>
  </si>
  <si>
    <t>cytoplasm {GO:0005737}; cytosol {GO:0005829}; membrane {GO:0016020}; mitochondrion {GO:0005739}; nucleoplasm {GO:0005654}; nucleus {GO:0005634}; perinuclear region of cytoplasm {GO:0048471}</t>
  </si>
  <si>
    <t>adenyl-nucleotide exchange factor activity {GO:0000774}; chaperone binding {GO:0051087}; ubiquitin protein ligase binding {GO:0031625}</t>
  </si>
  <si>
    <t>sp|O35295|PURB_MOUSE</t>
  </si>
  <si>
    <t>Transcriptional activator protein Pur-beta</t>
  </si>
  <si>
    <t>Purine-rich element-binding protein B; Vascular actin single-stranded DNA-binding factor 2 p44 component</t>
  </si>
  <si>
    <t>PURB_MOUSE</t>
  </si>
  <si>
    <t>O35295</t>
  </si>
  <si>
    <t>MGI:1338779</t>
  </si>
  <si>
    <t>Acetylation; DNA-binding; Methylation; Nucleus; Phosphoprotein; Repressor; Transcription; Transcription regulation</t>
  </si>
  <si>
    <t>cell differentiation {GO:0030154}; cell population proliferation {GO:0008283}; DNA unwinding involved in DNA replication {GO:0006268}; negative regulation of DNA-templated transcription {GO:0045892}; negative regulation of transcription by RNA polymerase II {GO:0000122}; regulation of transcription by RNA polymerase II {GO:0006357}</t>
  </si>
  <si>
    <t>DNA-binding transcription factor activity {GO:0003700}; DNA-binding transcription factor activity, RNA polymerase II-specific {GO:0000981}; DNA-binding transcription factor binding {GO:0140297}; DNA-binding transcription repressor activity, RNA polymerase II-specific {GO:0001227}; double-stranded DNA binding {GO:0003690}; double-stranded telomeric DNA binding {GO:0003691}; mRNA binding {GO:0003729}; mRNA regulatory element binding translation repressor activity {GO:0000900}; purine-rich negative regulatory element binding {GO:0032422}; RNA binding {GO:0003723}; RNA polymerase II transcription regulatory region sequence-specific DNA binding {GO:0000977}; single-stranded DNA binding {GO:0003697}; SMAD binding {GO:0046332}</t>
  </si>
  <si>
    <t>sp|P56873|ZNRD2_MOUSE</t>
  </si>
  <si>
    <t>Protein ZNRD2</t>
  </si>
  <si>
    <t>Autoantigen p27 homolog; Protein C184L; Sjoegren syndrome/scleroderma autoantigen 1 homolog; Zinc ribbon domain-containing protein 2</t>
  </si>
  <si>
    <t>ZNRD2_MOUSE</t>
  </si>
  <si>
    <t>P56873</t>
  </si>
  <si>
    <t>C184l; Sssca1</t>
  </si>
  <si>
    <t>MGI:1913482</t>
  </si>
  <si>
    <t>sp|Q8VEE4|RFA1_MOUSE</t>
  </si>
  <si>
    <t>Replication protein A 70 kDa DNA-binding subunit (RP-A p70)</t>
  </si>
  <si>
    <t>Replication factor A protein 1 (RF-A protein 1)</t>
  </si>
  <si>
    <t>RFA1_MOUSE</t>
  </si>
  <si>
    <t>Q8VEE4</t>
  </si>
  <si>
    <t>Q3TEJ8</t>
  </si>
  <si>
    <t>MGI:1915525</t>
  </si>
  <si>
    <t>Acetylation; DNA damage; DNA recombination; DNA repair; DNA replication; DNA-binding; Isopeptide bond; Metal-binding; Nucleus; Phosphoprotein; Ubl conjugation; Zinc; Zinc-finger</t>
  </si>
  <si>
    <t>DNA damage; DNA recombination; DNA repair; DNA replication</t>
  </si>
  <si>
    <t>base-excision repair {GO:0006284}; cellular response to DNA damage stimulus {GO:0006974}; chromosome organization {GO:0051276}; DNA repair {GO:0006281}; DNA replication {GO:0006260}; DNA unwinding involved in DNA replication {GO:0006268}; double-strand break repair via homologous recombination {GO:0000724}; hemopoiesis {GO:0030097}; homeostasis of number of cells within a tissue {GO:0048873}; in utero embryonic development {GO:0001701}; meiotic cell cycle {GO:0051321}; mismatch repair {GO:0006298}; nucleotide-excision repair {GO:0006289}; positive regulation of cell population proliferation {GO:0008284}; protein localization to chromosome {GO:0034502}; telomere maintenance {GO:0000723}; telomere maintenance via telomerase {GO:0007004}</t>
  </si>
  <si>
    <t>condensed chromosome {GO:0000793}; condensed nuclear chromosome {GO:0000794}; DNA replication factor A complex {GO:0005662}; lateral element {GO:0000800}; male germ cell nucleus {GO:0001673}; nucleoplasm {GO:0005654}; nucleus {GO:0005634}; PML body {GO:0016605}; site of DNA damage {GO:0090734}</t>
  </si>
  <si>
    <t>chromatin binding {GO:0003682}; damaged DNA binding {GO:0003684}; G-rich strand telomeric DNA binding {GO:0098505}; metal ion binding {GO:0046872}; single-stranded DNA binding {GO:0003697}; single-stranded telomeric DNA binding {GO:0043047}</t>
  </si>
  <si>
    <t>Translesion synthesis by REV1 {R-MMU-110312}; Recognition of DNA damage by PCNA-containing replication complex {R-MMU-110314}; Translesion Synthesis by POLH {R-MMU-110320}; Removal of the Flap Intermediate from the C-strand {R-MMU-174437}; Activation of ATR in response to replication stress {R-MMU-176187}; SUMOylation of DNA damage response and repair proteins {R-MMU-3108214}; Regulation of HSF1-mediated heat shock response {R-MMU-3371453}; Mismatch repair (MMR) directed by MSH2:MSH6 (MutSalpha) {R-MMU-5358565}; Mismatch repair (MMR) directed by MSH2:MSH3 (MutSbeta) {R-MMU-5358606}; PCNA-Dependent Long Patch Base Excision Repair {R-MMU-5651801}; Translesion synthesis by POLK {R-MMU-5655862}; Translesion synthesis by POLI {R-MMU-5656121}; Termination of translesion DNA synthesis {R-MMU-5656169}; HDR through Single Strand Annealing (SSA) {R-MMU-5685938}; HDR through Homologous Recombination (HRR) {R-MMU-5685942}; Processing of DNA double-strand break ends {R-MMU-5693607}; Formation of Incision Complex in GG-NER {R-MMU-5696395}; Gap-filling DNA repair synthesis and ligation in GG-NER {R-MMU-5696397}; Dual Incision in GG-NER {R-MMU-5696400}; Dual incision in TC-NER {R-MMU-6782135}; Gap-filling DNA repair synthesis and ligation in TC-NER {R-MMU-6782210}; Fanconi Anemia Pathway {R-MMU-6783310}; Regulation of TP53 Activity through Phosphorylation {R-MMU-6804756}; Activation of the pre-replicative complex {R-MMU-68962}; Removal of the Flap Intermediate {R-MMU-69166}; G2/M DNA damage checkpoint {R-MMU-69473}</t>
  </si>
  <si>
    <t>sp|P70404|IDHG1_MOUSE</t>
  </si>
  <si>
    <t>Isocitrate dehydrogenase [NAD] subunit gamma 1, mitochondrial</t>
  </si>
  <si>
    <t>Isocitric dehydrogenase subunit gamma; NAD(+)-specific ICDH subunit gamma</t>
  </si>
  <si>
    <t>IDHG1_MOUSE</t>
  </si>
  <si>
    <t>P70404</t>
  </si>
  <si>
    <t>MGI:1099463</t>
  </si>
  <si>
    <t>Acetylation; ATP-binding; Magnesium; Manganese; Metal-binding; Mitochondrion; Nucleotide-binding; Phosphoprotein; Transit peptide; Tricarboxylic acid cycle</t>
  </si>
  <si>
    <t>2-oxoglutarate metabolic process {GO:0006103}; isocitrate metabolic process {GO:0006102}; NADH metabolic process {GO:0006734}; negative regulation of growth {GO:0045926}; tricarboxylic acid cycle {GO:0006099}</t>
  </si>
  <si>
    <t>mitochondrial isocitrate dehydrogenase complex (NAD+) {GO:0005962}; mitochondrion {GO:0005739}; nucleolus {GO:0005730}</t>
  </si>
  <si>
    <t>ATP binding {GO:0005524}; isocitrate dehydrogenase (NAD+) activity {GO:0004449}; magnesium ion binding {GO:0000287}; NAD binding {GO:0051287}</t>
  </si>
  <si>
    <t>sp|Q8K3W0|BABA2_MOUSE</t>
  </si>
  <si>
    <t>BRISC and BRCA1-A complex member 2</t>
  </si>
  <si>
    <t>BRCA1-A complex subunit BRE; BRCA1/BRCA2-containing complex subunit 45; Brain and reproductive organ-expressed protein</t>
  </si>
  <si>
    <t>BABA2_MOUSE</t>
  </si>
  <si>
    <t>Q8K3W0</t>
  </si>
  <si>
    <t>Q497G6; Q6P8Z2; Q8BKU1; Q8CJ13; Q8JZP0; Q8K3V9; Q8VHN1</t>
  </si>
  <si>
    <t>Bre</t>
  </si>
  <si>
    <t>MGI:1333875</t>
  </si>
  <si>
    <t>3D-structure; Acetylation; Alternative splicing; Apoptosis; Cell cycle; Cell division; Chromatin regulator; Cytoplasm; DNA damage; DNA repair; Mitosis; Nucleus; Phosphoprotein; Repeat; Ubl conjugation pathway</t>
  </si>
  <si>
    <t>Apoptosis; Cell cycle; Cell division; DNA damage; DNA repair; Mitosis; Ubl conjugation pathway</t>
  </si>
  <si>
    <t>apoptotic process {GO:0006915}; cell division {GO:0051301}; cellular response to DNA damage stimulus {GO:0006974}; cellular response to ionizing radiation {GO:0071479}; chromatin organization {GO:0006325}; double-strand break repair {GO:0006302}; histone H2A K63-linked deubiquitination {GO:0070537}; histone H2A monoubiquitination {GO:0035518}; mitotic G2 DNA damage checkpoint signaling {GO:0007095}; mitotic G2/M transition checkpoint {GO:0044818}; negative regulation of apoptotic process {GO:0043066}; positive regulation of DNA repair {GO:0045739}; protein autoubiquitination {GO:0051865}; regulation of DNA damage checkpoint {GO:2000001}; regulation of DNA repair {GO:0006282}; response to ionizing radiation {GO:0010212}</t>
  </si>
  <si>
    <t>BRCA1-A complex {GO:0070531}; BRISC complex {GO:0070552}; cytoplasm {GO:0005737}; cytosol {GO:0005829}; nuclear ubiquitin ligase complex {GO:0000152}; nucleus {GO:0005634}</t>
  </si>
  <si>
    <t>polyubiquitin modification-dependent protein binding {GO:0031593}; tumor necrosis factor receptor binding {GO:0005164}</t>
  </si>
  <si>
    <t>Metalloprotease DUBs {R-MMU-5689901}; Recruitment and ATM-mediated phosphorylation of repair and signaling proteins at DNA double strand breaks {R-MMU-5693565}; Nonhomologous End-Joining (NHEJ) {R-MMU-5693571}; Processing of DNA double-strand break ends {R-MMU-5693607}; G2/M DNA damage checkpoint {R-MMU-69473}</t>
  </si>
  <si>
    <t>sp|Q922Q4|P5CR2_MOUSE</t>
  </si>
  <si>
    <t>Pyrroline-5-carboxylate reductase 2 (P5C reductase 2; P5CR 2)</t>
  </si>
  <si>
    <t>P5CR2_MOUSE</t>
  </si>
  <si>
    <t>Q922Q4</t>
  </si>
  <si>
    <t>MGI:1277956</t>
  </si>
  <si>
    <t>Acetylation; Amino-acid biosynthesis; Cytoplasm; Mitochondrion; NADP; Oxidoreductase; Phosphoprotein; Proline biosynthesis</t>
  </si>
  <si>
    <t>cellular response to oxidative stress {GO:0034599}; L-proline biosynthetic process {GO:0055129}; proline biosynthetic process {GO:0006561}</t>
  </si>
  <si>
    <t>pyrroline-5-carboxylate reductase activity {GO:0004735}</t>
  </si>
  <si>
    <t>sp|Q9CRB9|MIC19_MOUSE</t>
  </si>
  <si>
    <t>MICOS complex subunit Mic19</t>
  </si>
  <si>
    <t>Coiled-coil-helix-coiled-coil-helix domain-containing protein 3</t>
  </si>
  <si>
    <t>MIC19_MOUSE</t>
  </si>
  <si>
    <t>Q9CRB9</t>
  </si>
  <si>
    <t>Mic19</t>
  </si>
  <si>
    <t>MGI:1913325</t>
  </si>
  <si>
    <t>Acetylation; Cytoplasm; Disulfide bond; Lipoprotein; Membrane; Mitochondrion; Mitochondrion inner membrane; Myristate; Nucleus; Phosphoprotein; Repressor; Transcription; Transcription regulation</t>
  </si>
  <si>
    <t>Acetylation; Disulfide bond; Lipoprotein; Myristate; Phosphoprotein</t>
  </si>
  <si>
    <t>cristae formation {GO:0042407}; inner mitochondrial membrane organization {GO:0007007}; mitochondrial fusion {GO:0008053}</t>
  </si>
  <si>
    <t>MICOS complex {GO:0061617}; mitochondrial inner membrane {GO:0005743}; mitochondrion {GO:0005739}; nucleus {GO:0005634}</t>
  </si>
  <si>
    <t>molecular adaptor activity {GO:0060090}; phosphatase binding {GO:0019902}</t>
  </si>
  <si>
    <t>sp|Q6P5D8|SMHD1_MOUSE</t>
  </si>
  <si>
    <t>Structural maintenance of chromosomes flexible hinge domain-containing protein 1 (SMC hinge domain-containing protein 1)</t>
  </si>
  <si>
    <t>SMHD1_MOUSE</t>
  </si>
  <si>
    <t>Q6P5D8</t>
  </si>
  <si>
    <t>Q6PDM8; Q6PE93; Q6ZQ78; Q811H3; Q8BP09; Q9D4M7</t>
  </si>
  <si>
    <t>MGI:1921605</t>
  </si>
  <si>
    <t>3D-structure; Acetylation; Chromatin regulator; Chromosome; DNA damage; DNA repair; DNA-binding; Hydrolase; Isopeptide bond; Phosphoprotein; Repressor; Ubl conjugation</t>
  </si>
  <si>
    <t>Chromosome</t>
  </si>
  <si>
    <t>Chromatin regulator; DNA-binding; Hydrolase; Repressor</t>
  </si>
  <si>
    <t>dosage compensation by inactivation of X chromosome {GO:0009048}; double-strand break repair {GO:0006302}; inactivation of X chromosome by heterochromatin assembly {GO:0060820}; negative regulation of double-strand break repair via homologous recombination {GO:2000042}; nose development {GO:0043584}; positive regulation of DNA repair {GO:0045739}; positive regulation of double-strand break repair via nonhomologous end joining {GO:2001034}</t>
  </si>
  <si>
    <t>Barr body {GO:0001740}; chromosome, telomeric region {GO:0000781}; site of double-strand break {GO:0035861}</t>
  </si>
  <si>
    <t>ATP binding {GO:0005524}; ATP hydrolysis activity {GO:0016887}; DNA binding {GO:0003677}; protein homodimerization activity {GO:0042803}</t>
  </si>
  <si>
    <t>sp|Q9JI91|ACTN2_MOUSE</t>
  </si>
  <si>
    <t>Alpha-actinin-2</t>
  </si>
  <si>
    <t>Alpha-actinin skeletal muscle isoform 2; F-actin cross-linking protein</t>
  </si>
  <si>
    <t>ACTN2_MOUSE</t>
  </si>
  <si>
    <t>Q9JI91</t>
  </si>
  <si>
    <t>G3UW84</t>
  </si>
  <si>
    <t>MGI:109192</t>
  </si>
  <si>
    <t>Actin-binding; Calcium; Cytoplasm; Metal-binding; Phosphoprotein; Repeat; Ubl conjugation</t>
  </si>
  <si>
    <t>actin cytoskeleton organization {GO:0030036}; actin filament uncapping {GO:0051695}; cardiac muscle cell development {GO:0055013}; focal adhesion assembly {GO:0048041}; microspike assembly {GO:0030035}; muscle cell development {GO:0055001}; muscle contraction {GO:0006936}; negative regulation of potassium ion transmembrane transporter activity {GO:1901017}; negative regulation of potassium ion transport {GO:0043267}; negative regulation of protein localization to cell surface {GO:2000009}; phospholipase C-activating angiotensin-activated signaling pathway {GO:0086097}; positive regulation of cation channel activity {GO:2001259}; positive regulation of endocytic recycling {GO:2001137}; positive regulation of potassium ion transmembrane transporter activity {GO:1901018}; positive regulation of potassium ion transport {GO:0043268}; protein localization to plasma membrane {GO:0072659}; regulation of membrane potential {GO:0042391}; sarcomere organization {GO:0045214}</t>
  </si>
  <si>
    <t>cell junction {GO:0030054}; cell projection {GO:0042995}; cortical actin cytoskeleton {GO:0030864}; filopodium {GO:0030175}; focal adhesion {GO:0005925}; glutamatergic synapse {GO:0098978}; plasma membrane {GO:0005886}; postsynaptic density membrane {GO:0098839}; postsynaptic density, intracellular component {GO:0099092}; sarcomere {GO:0030017}; striated muscle thin filament {GO:0005865}; Z disc {GO:0030018}</t>
  </si>
  <si>
    <t>actin filament binding {GO:0051015}; calcium ion binding {GO:0005509}; cytoskeletal protein binding {GO:0008092}; FATZ binding {GO:0051373}; identical protein binding {GO:0042802}; LIM domain binding {GO:0030274}; nuclear receptor coactivator activity {GO:0030374}; phosphatidylinositol-4,5-bisphosphate binding {GO:0005546}; protein domain specific binding {GO:0019904}; protein-macromolecule adaptor activity {GO:0030674}; titin binding {GO:0031432}; titin Z domain binding {GO:0070080}; transmembrane transporter binding {GO:0044325}</t>
  </si>
  <si>
    <t>Platelet degranulation {R-MMU-114608}; Striated Muscle Contraction {R-MMU-390522}; Unblocking of NMDA receptors, glutamate binding and activation {R-MMU-438066}; RAF/MAP kinase cascade {R-MMU-5673001}</t>
  </si>
  <si>
    <t>sp|Q8K0C4|CP51A_MOUSE</t>
  </si>
  <si>
    <t>Lanosterol 14-alpha demethylase (LDM)</t>
  </si>
  <si>
    <t>CYPLI; Cytochrome P450 51A1; Cytochrome P450-14DM (Cytochrome P45014DM); Cytochrome P450LI; Sterol 14-alpha demethylase</t>
  </si>
  <si>
    <t>CP51A_MOUSE</t>
  </si>
  <si>
    <t>Q8K0C4</t>
  </si>
  <si>
    <t>Q8BSQ7; Q9JIP8; Q9JIY3</t>
  </si>
  <si>
    <t>Cyp51</t>
  </si>
  <si>
    <t>MGI:106040</t>
  </si>
  <si>
    <t>Cholesterol biosynthesis; Cholesterol metabolism; Endoplasmic reticulum; Heme; Iron; Lipid biosynthesis; Lipid metabolism; Membrane; Metal-binding; Microsome; Monooxygenase; Oxidoreductase; Steroid biosynthesis; Steroid metabolism; Sterol biosynthesis; Sterol metabolism; Transmembrane; Transmembrane helix</t>
  </si>
  <si>
    <t>Monooxygenase; Oxidoreductase</t>
  </si>
  <si>
    <t>cholesterol biosynthetic process {GO:0006695}; cholesterol biosynthetic process via 24,25-dihydrolanosterol {GO:0033488}; negative regulation of amyloid-beta clearance {GO:1900222}; negative regulation of protein catabolic process {GO:0042177}; negative regulation of protein secretion {GO:0050709}; positive regulation of oocyte development {GO:0060282}; steroid biosynthetic process {GO:0006694}; sterol metabolic process {GO:0016125}</t>
  </si>
  <si>
    <t>acrosomal vesicle {GO:0001669}; cytoplasm {GO:0005737}; endoplasmic reticulum {GO:0005783}; endoplasmic reticulum membrane {GO:0005789}; integral component of membrane {GO:0016021}; intracellular membrane-bounded organelle {GO:0043231}</t>
  </si>
  <si>
    <t>heme binding {GO:0020037}; iron ion binding {GO:0005506}; monooxygenase activity {GO:0004497}; oxidoreductase activity {GO:0016491}; sterol 14-demethylase activity {GO:0008398}</t>
  </si>
  <si>
    <t>Steroid biosynthesis; zymosterol biosynthesis; zymosterol from lanosterol: step 1/6..</t>
  </si>
  <si>
    <t>Cholesterol biosynthesis {R-MMU-191273}; Endogenous sterols {R-MMU-211976}</t>
  </si>
  <si>
    <t>sp|Q9DBS5|KLC4_MOUSE</t>
  </si>
  <si>
    <t>Kinesin light chain 4 (KLC 4)</t>
  </si>
  <si>
    <t>Kinesin-like protein 8</t>
  </si>
  <si>
    <t>KLC4_MOUSE</t>
  </si>
  <si>
    <t>Q9DBS5</t>
  </si>
  <si>
    <t>Q3TCC5</t>
  </si>
  <si>
    <t>Knsl8</t>
  </si>
  <si>
    <t>MGI:1922014</t>
  </si>
  <si>
    <t>Acetylation; Coiled coil; Cytoplasm; Cytoskeleton; Microtubule; Motor protein; Phosphoprotein; Repeat; TPR repeat</t>
  </si>
  <si>
    <t>microtubule-based movement {GO:0007018}</t>
  </si>
  <si>
    <t>cytoplasm {GO:0005737}; kinesin complex {GO:0005871}; microtubule {GO:0005874}</t>
  </si>
  <si>
    <t>sp|P53811|PIPNB_MOUSE</t>
  </si>
  <si>
    <t>Phosphatidylinositol transfer protein beta isoform (PI-TP-beta; PtdIns transfer protein beta; PtdInsTP beta)</t>
  </si>
  <si>
    <t>PIPNB_MOUSE</t>
  </si>
  <si>
    <t>P53811</t>
  </si>
  <si>
    <t>MGI:1927542</t>
  </si>
  <si>
    <t>Acetylation; Endoplasmic reticulum; Golgi apparatus; Lipid transport; Lipid-binding; Membrane; Phosphoprotein; Transport</t>
  </si>
  <si>
    <t>in utero embryonic development {GO:0001701}; phospholipid transport {GO:0015914}; retrograde vesicle-mediated transport, Golgi to endoplasmic reticulum {GO:0006890}</t>
  </si>
  <si>
    <t>cytoplasm {GO:0005737}; endoplasmic reticulum membrane {GO:0005789}; Golgi apparatus {GO:0005794}; Golgi membrane {GO:0000139}</t>
  </si>
  <si>
    <t>phosphatidylcholine binding {GO:0031210}; phosphatidylcholine transfer activity {GO:0120019}; phosphatidylcholine transporter activity {GO:0008525}; phosphatidylinositol binding {GO:0035091}; phosphatidylinositol transfer activity {GO:0008526}; phospholipid binding {GO:0005543}; sphingomyelin transfer activity {GO:0140338}</t>
  </si>
  <si>
    <t>PI and PC transport between ER and Golgi membranes {R-MMU-1483196}</t>
  </si>
  <si>
    <t>sp|Q9WVL0|MAAI_MOUSE</t>
  </si>
  <si>
    <t>Maleylacetoacetate isomerase (MAAI)</t>
  </si>
  <si>
    <t>GSTZ1-1; Glutathione S-transferase zeta 1</t>
  </si>
  <si>
    <t>MAAI_MOUSE</t>
  </si>
  <si>
    <t>Q9WVL0</t>
  </si>
  <si>
    <t>Maai</t>
  </si>
  <si>
    <t>MGI:1341859</t>
  </si>
  <si>
    <t>3D-structure; Acetylation; Cytoplasm; Isomerase; Multifunctional enzyme; Phenylalanine catabolism; Phosphoprotein; Transferase; Tyrosine catabolism</t>
  </si>
  <si>
    <t>Phenylalanine catabolism; Tyrosine catabolism</t>
  </si>
  <si>
    <t>Isomerase; Multifunctional enzyme; Transferase</t>
  </si>
  <si>
    <t>glutathione metabolic process {GO:0006749}; L-phenylalanine catabolic process {GO:0006559}; tyrosine catabolic process {GO:0006572}</t>
  </si>
  <si>
    <t>glutathione transferase activity {GO:0004364}; identical protein binding {GO:0042802}; maleylacetoacetate isomerase activity {GO:0016034}; protein homodimerization activity {GO:0042803}</t>
  </si>
  <si>
    <t>Amino-acid degradation; L-phenylalanine degradation; acetoacetate and fumarate from L-phenylalanine: step 5/6.</t>
  </si>
  <si>
    <t>Glutathione conjugation {R-MMU-156590}; Regulation of pyruvate dehydrogenase (PDH) complex {R-MMU-204174}; Tyrosine catabolism {R-MMU-8963684}</t>
  </si>
  <si>
    <t>sp|Q9EPC1|PARVA_MOUSE</t>
  </si>
  <si>
    <t>Alpha-parvin</t>
  </si>
  <si>
    <t>Actopaxin</t>
  </si>
  <si>
    <t>PARVA_MOUSE</t>
  </si>
  <si>
    <t>Q9EPC1</t>
  </si>
  <si>
    <t>Q9JJ65</t>
  </si>
  <si>
    <t>Actp</t>
  </si>
  <si>
    <t>MGI:1931144</t>
  </si>
  <si>
    <t>Acetylation; Actin-binding; Angiogenesis; Cell adhesion; Cell junction; Cell membrane; Cell shape; Chemotaxis; Cilium biogenesis/degradation; Cytoplasm; Cytoskeleton; Membrane; Phosphoprotein; Repeat</t>
  </si>
  <si>
    <t>Angiogenesis; Cell adhesion; Cell shape; Chemotaxis; Cilium biogenesis/degradation</t>
  </si>
  <si>
    <t>actin cytoskeleton organization {GO:0030036}; actin cytoskeleton reorganization {GO:0031532}; actin-mediated cell contraction {GO:0070252}; cell adhesion {GO:0007155}; cell projection assembly {GO:0030031}; cilium assembly {GO:0060271}; establishment or maintenance of cell polarity {GO:0007163}; heterotypic cell-cell adhesion {GO:0034113}; outflow tract septum morphogenesis {GO:0003148}; regulation of cell shape {GO:0008360}; smooth muscle cell chemotaxis {GO:0071670}; sprouting angiogenesis {GO:0002040}; substrate adhesion-dependent cell spreading {GO:0034446}</t>
  </si>
  <si>
    <t>actin cytoskeleton {GO:0015629}; cytoplasm {GO:0005737}; cytosol {GO:0005829}; focal adhesion {GO:0005925}; lamellipodium {GO:0030027}; nucleus {GO:0005634}; plasma membrane {GO:0005886}; protein-containing complex {GO:0032991}; Z disc {GO:0030018}</t>
  </si>
  <si>
    <t>actin binding {GO:0003779}; protein kinase inhibitor activity {GO:0004860}; protein-containing complex binding {GO:0044877}</t>
  </si>
  <si>
    <t>Localization of the PINCH-ILK-PARVIN complex to focal adhesions {R-MMU-446343}; Cell-extracellular matrix interactions {R-MMU-446353}; Regulation of cytoskeletal remodeling and cell spreading by IPP complex components {R-MMU-446388}</t>
  </si>
  <si>
    <t>sp|Q921H8|THIKA_MOUSE</t>
  </si>
  <si>
    <t>3-ketoacyl-CoA thiolase A, peroxisomal</t>
  </si>
  <si>
    <t>Acetyl-CoA C-myristoyltransferase; Acetyl-CoA acyltransferase A; Beta-ketothiolase A; Peroxisomal 3-oxoacyl-CoA thiolase A</t>
  </si>
  <si>
    <t>THIKA_MOUSE</t>
  </si>
  <si>
    <t>Q921H8</t>
  </si>
  <si>
    <t>Acaa1</t>
  </si>
  <si>
    <t>MGI:2148491</t>
  </si>
  <si>
    <t>Acetylation; Acyltransferase; Fatty acid metabolism; Lipid metabolism; Peroxisome; Transferase; Transit peptide</t>
  </si>
  <si>
    <t>bile acid metabolic process {GO:0008206}; fatty acid beta-oxidation {GO:0006635}; fatty acid beta-oxidation using acyl-CoA oxidase {GO:0033540}; fatty acid metabolic process {GO:0006631}; phenylacetate catabolic process {GO:0010124}; response to nutrient {GO:0007584}; response to steroid hormone {GO:0048545}; very long-chain fatty acid metabolic process {GO:0000038}</t>
  </si>
  <si>
    <t>acetate CoA-transferase activity {GO:0008775}; acetyl-CoA C-acetyltransferase activity {GO:0003985}; acetyl-CoA C-acyltransferase activity {GO:0003988}; acetyl-CoA C-myristoyltransferase activity {GO:0050633}; palmitoyl-CoA oxidase activity {GO:0016401}</t>
  </si>
  <si>
    <t>Lipid metabolism; peroxisomal fatty acid beta-oxidation.</t>
  </si>
  <si>
    <t>sp|Q8BFR4|GNS_MOUSE</t>
  </si>
  <si>
    <t>N-acetylglucosamine-6-sulfatase</t>
  </si>
  <si>
    <t>Glucosamine-6-sulfatase (G6S)</t>
  </si>
  <si>
    <t>GNS_MOUSE</t>
  </si>
  <si>
    <t>Q8BFR4</t>
  </si>
  <si>
    <t>Q3TWT0; Q8BJJ7; Q8BK91</t>
  </si>
  <si>
    <t>MGI:1922862</t>
  </si>
  <si>
    <t>Calcium; Glycoprotein; Hydrolase; Lysosome; Metal-binding; Phosphoprotein; Signal</t>
  </si>
  <si>
    <t>keratan sulfate catabolic process {GO:0042340}</t>
  </si>
  <si>
    <t>lysosome {GO:0005764}</t>
  </si>
  <si>
    <t>glycosaminoglycan binding {GO:0005539}; metal ion binding {GO:0046872}; N-acetylglucosamine-6-sulfatase activity {GO:0008449}; sulfate binding {GO:0043199}; sulfuric ester hydrolase activity {GO:0008484}</t>
  </si>
  <si>
    <t>Keratan sulfate degradation {R-MMU-2022857}; Lysosome Vesicle Biogenesis {R-MMU-432720}; Neutrophil degranulation {R-MMU-6798695}</t>
  </si>
  <si>
    <t>sp|Q91ZW3|SMCA5_MOUSE</t>
  </si>
  <si>
    <t>SWI/SNF-related matrix-associated actin-dependent regulator of chromatin subfamily A member 5</t>
  </si>
  <si>
    <t>Sucrose nonfermenting protein 2 homolog (mSnf2h)</t>
  </si>
  <si>
    <t>SMCA5_MOUSE</t>
  </si>
  <si>
    <t>Q91ZW3</t>
  </si>
  <si>
    <t>Q8C791; Q8CA22; Q8VDG1; Q925M9</t>
  </si>
  <si>
    <t>Snf2h</t>
  </si>
  <si>
    <t>MGI:1935129</t>
  </si>
  <si>
    <t>Acetylation; ATP-binding; Chromatin regulator; Chromosome; Helicase; Hydrolase; Isopeptide bond; Nucleotide-binding; Nucleus; Phosphoprotein; Repeat; Ubl conjugation</t>
  </si>
  <si>
    <t>Chromatin regulator; Helicase; Hydrolase</t>
  </si>
  <si>
    <t>cellular response to leukemia inhibitory factor {GO:1990830}; chromatin assembly {GO:0031497}; chromatin organization {GO:0006325}; chromatin remodeling {GO:0006338}; DNA repair {GO:0006281}; DNA-templated transcription initiation {GO:0006352}; heterochromatin assembly {GO:0031507}; negative regulation of mitotic chromosome condensation {GO:1905213}; negative regulation of transcription by RNA polymerase I {GO:0016479}; nucleosome assembly {GO:0006334}; positive regulation of DNA replication {GO:0045740}; positive regulation of DNA-templated transcription {GO:0045893}; positive regulation of histone acetylation {GO:0035066}; positive regulation of histone deacetylation {GO:0031065}; positive regulation of histone methylation {GO:0031062}; positive regulation of transcription by RNA polymerase I {GO:0045943}; positive regulation of transcription by RNA polymerase II {GO:0045944}; positive regulation of transcription by RNA polymerase III {GO:0045945}; rDNA heterochromatin assembly {GO:0000183}; regulation of DNA methylation {GO:0044030}; regulation of DNA replication {GO:0006275}; regulation of DNA-templated transcription {GO:0006355}; regulation of response to DNA damage stimulus {GO:2001020}</t>
  </si>
  <si>
    <t>ACF complex {GO:0016590}; B-WICH complex {GO:0110016}; CHRAC {GO:0008623}; chromatin silencing complex {GO:0005677}; condensed chromosome {GO:0000793}; fibrillar center {GO:0001650}; ISWI-type complex {GO:0031010}; NoRC complex {GO:0090536}; nuclear replication fork {GO:0043596}; nucleolus {GO:0005730}; nucleoplasm {GO:0005654}; nucleus {GO:0005634}; NURF complex {GO:0016589}; pericentric heterochromatin {GO:0005721}; RSF complex {GO:0031213}; site of double-strand break {GO:0035861}; WICH complex {GO:0090535}</t>
  </si>
  <si>
    <t>ATP binding {GO:0005524}; ATP hydrolysis activity {GO:0016887}; ATP-dependent activity, acting on DNA {GO:0008094}; ATP-dependent chromatin remodeler activity {GO:0140658}; DNA binding {GO:0003677}; helicase activity {GO:0004386}; histone binding {GO:0042393}; histone octamer slider activity {GO:0140751}; nucleosome binding {GO:0031491}</t>
  </si>
  <si>
    <t>B-WICH complex positively regulates rRNA expression {R-MMU-5250924}; Deposition of new CENPA-containing nucleosomes at the centromere {R-MMU-606279}</t>
  </si>
  <si>
    <t>sp|Q9CXZ1|NDUS4_MOUSE</t>
  </si>
  <si>
    <t>NADH dehydrogenase [ubiquinone] iron-sulfur protein 4, mitochondrial</t>
  </si>
  <si>
    <t>Complex I-18 kDa (CI-18 kDa); Complex I-AQDQ (CI-AQDQ); NADH-ubiquinone oxidoreductase 18 kDa subunit</t>
  </si>
  <si>
    <t>NDUS4_MOUSE</t>
  </si>
  <si>
    <t>Q9CXZ1</t>
  </si>
  <si>
    <t>Q9WUB1</t>
  </si>
  <si>
    <t>MGI:1343135</t>
  </si>
  <si>
    <t>3D-structure; Electron transport; Membrane; Mitochondrion; Mitochondrion inner membrane; Phosphoprotein; Respiratory chain; Transit peptide; Transport</t>
  </si>
  <si>
    <t>adult behavior {GO:0030534}; adult walking behavior {GO:0007628}; aerobic respiration {GO:0009060}; brain development {GO:0007420}; cellular respiration {GO:0045333}; cellular response to oxygen levels {GO:0071453}; cognition {GO:0050890}; dopamine metabolic process {GO:0042417}; inflammatory response {GO:0006954}; innate immune response {GO:0045087}; mitochondrial respiratory chain complex I assembly {GO:0032981}; neuron death {GO:0070997}; positive regulation of fibroblast proliferation {GO:0048146}; proton motive force-driven mitochondrial ATP synthesis {GO:0042776}; psychomotor behavior {GO:0036343}; reactive oxygen species metabolic process {GO:0072593}; regulation of mitochondrial membrane potential {GO:0051881}; regulation of protein phosphorylation {GO:0001932}; respiratory electron transport chain {GO:0022904}; respiratory system process {GO:0003016}; response to cAMP {GO:0051591}; response to injury involved in regulation of muscle adaptation {GO:0014876}; sensory perception of sound {GO:0007605}; tricarboxylic acid cycle {GO:0006099}; visual perception {GO:0007601}</t>
  </si>
  <si>
    <t>sp|Q8BUK6|HOOK3_MOUSE</t>
  </si>
  <si>
    <t>Protein Hook homolog 3 (mHK3)</t>
  </si>
  <si>
    <t>HOOK3_MOUSE</t>
  </si>
  <si>
    <t>Q8BUK6</t>
  </si>
  <si>
    <t>Q540A0; Q8BV48; Q8BW57; Q8BY41</t>
  </si>
  <si>
    <t>MGI:2443554</t>
  </si>
  <si>
    <t>Acetylation; Coiled coil; Cytoplasm; Cytoskeleton; Golgi apparatus; Microtubule; Phosphoprotein; Protein transport; Transport</t>
  </si>
  <si>
    <t>Cytoplasm; Cytoskeleton; Golgi apparatus; Microtubule</t>
  </si>
  <si>
    <t>cytoplasmic microtubule organization {GO:0031122}; cytoskeleton-dependent intracellular transport {GO:0030705}; early endosome to late endosome transport {GO:0045022}; endosome organization {GO:0007032}; endosome to lysosome transport {GO:0008333}; Golgi localization {GO:0051645}; interkinetic nuclear migration {GO:0022027}; lysosome organization {GO:0007040}; microtubule anchoring at centrosome {GO:0034454}; negative regulation of neurogenesis {GO:0050768}; neuronal stem cell population maintenance {GO:0097150}; protein localization to centrosome {GO:0071539}; protein localization to perinuclear region of cytoplasm {GO:1905719}; protein transport {GO:0015031}</t>
  </si>
  <si>
    <t>centriolar satellite {GO:0034451}; centrosome {GO:0005813}; cis-Golgi network {GO:0005801}; cytoplasm {GO:0005737}; cytosol {GO:0005829}; FHF complex {GO:0070695}; HOPS complex {GO:0030897}; microtubule {GO:0005874}; pericentriolar material {GO:0000242}</t>
  </si>
  <si>
    <t>dynactin binding {GO:0034452}; dynein intermediate chain binding {GO:0045505}; dynein light chain binding {GO:0045503}; dynein light intermediate chain binding {GO:0051959}; identical protein binding {GO:0042802}; microtubule binding {GO:0008017}</t>
  </si>
  <si>
    <t>sp|Q8BIQ5|CSTF2_MOUSE</t>
  </si>
  <si>
    <t>Cleavage stimulation factor subunit 2</t>
  </si>
  <si>
    <t>CF-1 64 kDa subunit; Cleavage stimulation factor 64 kDa subunit (CSTF 64 kDa subunit; CstF-64)</t>
  </si>
  <si>
    <t>CSTF2_MOUSE</t>
  </si>
  <si>
    <t>Q8BIQ5</t>
  </si>
  <si>
    <t>A2AEJ9; A2AEK0; Q8K1Y6; Q9ERC2</t>
  </si>
  <si>
    <t>MGI:1343054</t>
  </si>
  <si>
    <t>Alternative splicing; Isopeptide bond; Methylation; mRNA processing; Nucleus; Phosphoprotein; Repeat; RNA-binding; Ubl conjugation</t>
  </si>
  <si>
    <t>cellular response to nerve growth factor stimulus {GO:1990090}; mRNA polyadenylation {GO:0006378}; pre-mRNA cleavage required for polyadenylation {GO:0098789}</t>
  </si>
  <si>
    <t>cleavage body {GO:0071920}; mRNA cleavage and polyadenylation specificity factor complex {GO:0005847}; nuclear body {GO:0016604}; nucleoplasm {GO:0005654}</t>
  </si>
  <si>
    <t>mRNA binding {GO:0003729}; RNA binding {GO:0003723}</t>
  </si>
  <si>
    <t>sp|O35598|ADA10_MOUSE</t>
  </si>
  <si>
    <t>Disintegrin and metalloproteinase domain-containing protein 10 (ADAM 10)</t>
  </si>
  <si>
    <t>Kuzbanian protein homolog; Mammalian disintegrin-metalloprotease; CD_antigen=CD156c</t>
  </si>
  <si>
    <t>ADA10_MOUSE</t>
  </si>
  <si>
    <t>O35598</t>
  </si>
  <si>
    <t>B8JJJ0</t>
  </si>
  <si>
    <t>Kuz; Madm</t>
  </si>
  <si>
    <t>MGI:109548</t>
  </si>
  <si>
    <t>Cell junction; Cell membrane; Cell projection; Cleavage on pair of basic residues; Cytoplasm; Cytoplasmic vesicle; Disulfide bond; Glycoprotein; Golgi apparatus; Hydrolase; Membrane; Metal-binding; Metalloprotease; Notch signaling pathway; Phosphoprotein; Protease; SH3-binding; Signal; Transmembrane; Transmembrane helix; Zinc; Zymogen</t>
  </si>
  <si>
    <t>Notch signaling pathway</t>
  </si>
  <si>
    <t>Cell junction; Cell membrane; Cell projection; Cytoplasm; Cytoplasmic vesicle; Golgi apparatus; Membrane</t>
  </si>
  <si>
    <t>SH3-binding; Signal; Transmembrane; Transmembrane helix</t>
  </si>
  <si>
    <t>Cleavage on pair of basic residues; Disulfide bond; Glycoprotein; Phosphoprotein; Zymogen</t>
  </si>
  <si>
    <t>adherens junction organization {GO:0034332}; amyloid precursor protein catabolic process {GO:0042987}; amyloid-beta formation {GO:0034205}; cochlea development {GO:0090102}; constitutive protein ectodomain proteolysis {GO:0051089}; epidermal growth factor receptor ligand maturation {GO:0038004}; in utero embryonic development {GO:0001701}; membrane protein ectodomain proteolysis {GO:0006509}; monocyte activation {GO:0042117}; negative regulation of cell adhesion {GO:0007162}; negative regulation of gene expression {GO:0010629}; Notch receptor processing {GO:0007220}; Notch signaling pathway {GO:0007219}; nucleocytoplasmic transport {GO:0006913}; pore complex assembly {GO:0046931}; positive regulation of apoptotic process {GO:0043065}; positive regulation of cell growth {GO:0030307}; positive regulation of cell migration {GO:0030335}; positive regulation of cell population proliferation {GO:0008284}; positive regulation of T cell chemotaxis {GO:0010820}; postsynapse organization {GO:0099173}; protein phosphorylation {GO:0006468}; protein processing {GO:0016485}; regulation of dendritic spine morphogenesis {GO:0061001}; regulation of neurotransmitter receptor localization to postsynaptic specialization membrane {GO:0098696}; regulation of Notch signaling pathway {GO:0008593}; regulation of vasculature development {GO:1901342}; response to tumor necrosis factor {GO:0034612}; signaling receptor ligand precursor processing {GO:0140448}; toxin transport {GO:1901998}</t>
  </si>
  <si>
    <t>adherens junction {GO:0005912}; axon {GO:0030424}; cell surface {GO:0009986}; clathrin-coated vesicle {GO:0030136}; collagen-containing extracellular matrix {GO:0062023}; cytoplasm {GO:0005737}; dendrite {GO:0030425}; dendritic spine {GO:0043197}; glutamatergic synapse {GO:0098978}; Golgi apparatus {GO:0005794}; Golgi membrane {GO:0000139}; Golgi-associated vesicle {GO:0005798}; intracellular membrane-bounded organelle {GO:0043231}; membrane {GO:0016020}; neuronal cell body {GO:0043025}; nucleus {GO:0005634}; perinuclear endoplasmic reticulum {GO:0097038}; plasma membrane {GO:0005886}; pore complex {GO:0046930}; postsynapse {GO:0098794}; postsynaptic density {GO:0014069}; postsynaptic membrane {GO:0045211}; synaptic membrane {GO:0097060}; synaptic vesicle {GO:0008021}; tetraspanin-enriched microdomain {GO:0097197}; trans-Golgi network {GO:0005802}</t>
  </si>
  <si>
    <t>endopeptidase activity {GO:0004175}; metal ion binding {GO:0046872}; metallodipeptidase activity {GO:0070573}; metalloendopeptidase activity {GO:0004222}; metalloendopeptidase activity involved in amyloid precursor protein catabolic process {GO:1902945}; metallopeptidase activity {GO:0008237}; protein homodimerization activity {GO:0042803}; protein kinase binding {GO:0019901}; SH2 domain binding {GO:0042169}; SH3 domain binding {GO:0017124}</t>
  </si>
  <si>
    <t>Degradation of the extracellular matrix {R-MMU-1474228}; Regulation of Insulin-like Growth Factor (IGF) transport and uptake by Insulin-like Growth Factor Binding Proteins (IGFBPs) {R-MMU-381426}; Neutrophil degranulation {R-MMU-6798695}; Post-translational protein phosphorylation {R-MMU-8957275}; NOTCH3 Activation and Transmission of Signal to the Nucleus {R-MMU-9013507}</t>
  </si>
  <si>
    <t>sp|Q8K297|GT251_MOUSE</t>
  </si>
  <si>
    <t>Procollagen galactosyltransferase 1</t>
  </si>
  <si>
    <t>Collagen beta(1-O)galactosyltransferase 1; Glycosyltransferase 25 family member 1; Hydroxylysine galactosyltransferase 1</t>
  </si>
  <si>
    <t>GT251_MOUSE</t>
  </si>
  <si>
    <t>Q8K297</t>
  </si>
  <si>
    <t>Q3V3R5; Q6PGL1</t>
  </si>
  <si>
    <t>Glt25d1</t>
  </si>
  <si>
    <t>MGI:1924348</t>
  </si>
  <si>
    <t>Endoplasmic reticulum; Glycoprotein; Glycosyltransferase; Signal; Transferase</t>
  </si>
  <si>
    <t>positive regulation of collagen fibril organization {GO:1904028}</t>
  </si>
  <si>
    <t>procollagen galactosyltransferase activity {GO:0050211}</t>
  </si>
  <si>
    <t>sp|Q8VCN9|TBCC_MOUSE</t>
  </si>
  <si>
    <t>Tubulin-specific chaperone C</t>
  </si>
  <si>
    <t>Tubulin-folding cofactor C (CFC)</t>
  </si>
  <si>
    <t>TBCC_MOUSE</t>
  </si>
  <si>
    <t>Q8VCN9</t>
  </si>
  <si>
    <t>Q3V242</t>
  </si>
  <si>
    <t>MGI:1919976</t>
  </si>
  <si>
    <t>Acetylation; Chaperone; Cytoplasm; Phosphoprotein</t>
  </si>
  <si>
    <t>cytoplasm {GO:0005737}; cytosol {GO:0005829}; photoreceptor connecting cilium {GO:0032391}</t>
  </si>
  <si>
    <t>GTPase activity {GO:0003924}; tubulin binding {GO:0015631}</t>
  </si>
  <si>
    <t>sp|P54103|DNJC2_MOUSE</t>
  </si>
  <si>
    <t>DnaJ homolog subfamily C member 2</t>
  </si>
  <si>
    <t>Mouse Id associate 1 (MIDA1); Zuotin-related factor 1</t>
  </si>
  <si>
    <t>DNJC2_MOUSE</t>
  </si>
  <si>
    <t>P54103</t>
  </si>
  <si>
    <t>Q61866</t>
  </si>
  <si>
    <t>Mida1; Zrf1</t>
  </si>
  <si>
    <t>MGI:99470</t>
  </si>
  <si>
    <t>Acetylation; Activator; Chaperone; Chromatin regulator; Cytoplasm; Nucleus; Phosphoprotein; Repeat; Transcription; Transcription regulation</t>
  </si>
  <si>
    <t>Activator; Chaperone; Chromatin regulator</t>
  </si>
  <si>
    <t>'de novo' cotranslational protein folding {GO:0051083}; chromatin organization {GO:0006325}; DNA replication {GO:0006260}; negative regulation of cell growth {GO:0030308}; negative regulation of DNA biosynthetic process {GO:2000279}; positive regulation of DNA-templated transcription {GO:0045893}; regulation of translational fidelity {GO:0006450}</t>
  </si>
  <si>
    <t>cytoplasm {GO:0005737}; cytosol {GO:0005829}; nuclear membrane {GO:0031965}; nucleolus {GO:0005730}; nucleus {GO:0005634}</t>
  </si>
  <si>
    <t>chromatin binding {GO:0003682}; histone binding {GO:0042393}; Hsp70 protein binding {GO:0030544}; ribosome binding {GO:0043022}; ubiquitin modification-dependent histone binding {GO:0061649}</t>
  </si>
  <si>
    <t>sp|Q9Z103|ADNP_MOUSE</t>
  </si>
  <si>
    <t>Activity-dependent neuroprotector homeobox protein</t>
  </si>
  <si>
    <t>Activity-dependent neuroprotective protein</t>
  </si>
  <si>
    <t>ADNP_MOUSE</t>
  </si>
  <si>
    <t>Q9Z103</t>
  </si>
  <si>
    <t>A2BDX0</t>
  </si>
  <si>
    <t>MGI:1338758</t>
  </si>
  <si>
    <t>Acetylation; DNA-binding; Homeobox; Isopeptide bond; Metal-binding; Methylation; Nucleus; Phosphoprotein; Repeat; Transcription; Transcription regulation; Ubl conjugation; Zinc; Zinc-finger</t>
  </si>
  <si>
    <t>Homeobox; Repeat; Zinc-finger</t>
  </si>
  <si>
    <t>activation of protein kinase activity {GO:0032147}; cellular response to extracellular stimulus {GO:0031668}; cGMP-mediated signaling {GO:0019934}; estrous cycle {GO:0044849}; negative regulation of gene expression {GO:0010629}; negative regulation of neuron apoptotic process {GO:0043524}; negative regulation of protein binding {GO:0032091}; negative regulation of synaptic transmission {GO:0050805}; neuron apoptotic process {GO:0051402}; nitric oxide homeostasis {GO:0033484}; positive regulation of axon extension {GO:0045773}; positive regulation of neuron projection development {GO:0010976}; positive regulation of peptidyl-tyrosine phosphorylation {GO:0050731}; positive regulation of synapse assembly {GO:0051965}; regulation of gene expression {GO:0010468}; regulation of protein ADP-ribosylation {GO:0010835}; regulation of transcription by RNA polymerase II {GO:0006357}; response to carbohydrate {GO:0009743}; response to inorganic substance {GO:0010035}; short-term memory {GO:0007614}</t>
  </si>
  <si>
    <t>axon {GO:0030424}; cytoplasm {GO:0005737}; dendrite {GO:0030425}; extracellular space {GO:0005615}; neuronal cell body {GO:0043025}; nucleus {GO:0005634}; RNA polymerase II transcription regulator complex {GO:0090575}</t>
  </si>
  <si>
    <t>beta-tubulin binding {GO:0048487}; chromatin binding {GO:0003682}; copper ion binding {GO:0005507}; DNA-binding transcription factor activity, RNA polymerase II-specific {GO:0000981}; peptide binding {GO:0042277}; RNA polymerase II transcription regulatory region sequence-specific DNA binding {GO:0000977}</t>
  </si>
  <si>
    <t>sp|P63330|PP2AA_MOUSE</t>
  </si>
  <si>
    <t>Serine/threonine-protein phosphatase 2A catalytic subunit alpha isoform (PP2A-alpha)</t>
  </si>
  <si>
    <t>PP2AA_MOUSE</t>
  </si>
  <si>
    <t>P63330</t>
  </si>
  <si>
    <t>O88591; P13353; Q5SNY5</t>
  </si>
  <si>
    <t>MGI:1321159</t>
  </si>
  <si>
    <t>Centromere; Chromosome; Cytoplasm; Cytoskeleton; Hydrolase; Manganese; Meiosis; Metal-binding; Methylation; Nucleus; Phosphoprotein; Protein phosphatase; Ubl conjugation</t>
  </si>
  <si>
    <t>Meiosis</t>
  </si>
  <si>
    <t>Methylation; Phosphoprotein; Ubl conjugation</t>
  </si>
  <si>
    <t>meiotic cell cycle {GO:0051321}; mesoderm development {GO:0007498}; mitotic cell cycle {GO:0000278}; negative regulation of epithelial to mesenchymal transition {GO:0010719}; negative regulation of protein kinase B signaling {GO:0051898}; peptidyl-threonine dephosphorylation {GO:0035970}; positive regulation of protein serine/threonine kinase activity {GO:0071902}; protein dephosphorylation {GO:0006470}; regulation of cell cycle {GO:0051726}; regulation of G1/S transition of mitotic cell cycle {GO:2000045}; regulation of protein autophosphorylation {GO:0031952}; regulation of protein catabolic process {GO:0042176}; regulation of protein phosphorylation {GO:0001932}; regulation of signaling receptor activity {GO:0010469}</t>
  </si>
  <si>
    <t>chromosome, centromeric region {GO:0000775}; cytoplasm {GO:0005737}; cytosol {GO:0005829}; membrane raft {GO:0045121}; neuron projection {GO:0043005}; nucleus {GO:0005634}; plasma membrane {GO:0005886}; postsynaptic density {GO:0014069}; protein phosphatase type 2A complex {GO:0000159}; spindle pole {GO:0000922}; synapse {GO:0045202}; terminal bouton {GO:0043195}</t>
  </si>
  <si>
    <t>beta-2 adrenergic receptor binding {GO:0031698}; enzyme binding {GO:0019899}; GABA receptor binding {GO:0050811}; identical protein binding {GO:0042802}; metal ion binding {GO:0046872}; myosin phosphatase activity {GO:0017018}; protein antigen binding {GO:1990405}; protein C-terminus binding {GO:0008022}; protein domain specific binding {GO:0019904}; protein heterodimerization activity {GO:0046982}; protein kinase B binding {GO:0043422}; protein kinase binding {GO:0019901}; protein phosphatase 2A binding {GO:0051721}; protein phosphatase binding {GO:0019903}; protein serine/threonine phosphatase activity {GO:0004722}; protein tyrosine phosphatase activity {GO:0004725}; protein-containing complex binding {GO:0044877}; tau protein binding {GO:0048156}; transmembrane transporter binding {GO:0044325}</t>
  </si>
  <si>
    <t>Inhibition of replication initiation of damaged DNA by RB1/E2F1 {R-MMU-113501}; Spry regulation of FGF signaling {R-MMU-1295596}; Amplification of signal from unattached kinetochores via a MAD2 inhibitory signal {R-MMU-141444}; DARPP-32 events {R-MMU-180024}; Degradation of beta-catenin by the destruction complex {R-MMU-195253}; Beta-catenin phosphorylation cascade {R-MMU-196299}; ERK/MAPK targets {R-MMU-198753}; ERKs are inactivated {R-MMU-202670}; Separation of Sister Chromatids {R-MMU-2467813}; Resolution of Sister Chromatid Cohesion {R-MMU-2500257}; Initiation of Nuclear Envelope (NE) Reformation {R-MMU-2995383}; CTLA4 inhibitory signaling {R-MMU-389513}; Platelet sensitization by LDL {R-MMU-432142}; Disassembly of the destruction complex and recruitment of AXIN to the membrane {R-MMU-4641262}; RHO GTPases Activate Formins {R-MMU-5663220}; RAF activation {R-MMU-5673000}; Negative regulation of MAPK pathway {R-MMU-5675221}; Regulation of TP53 Degradation {R-MMU-6804757}; PI5P, PP2A and IER3 Regulate PI3K/AKT Signaling {R-MMU-6811558}; Mitotic Prometaphase {R-MMU-68877}; Cyclin D associated events in G1 {R-MMU-69231}; Cyclin A/B1/B2 associated events during G2/M transition {R-MMU-69273}; EML4 and NUDC in mitotic spindle formation {R-MMU-9648025}; Nonsense Mediated Decay (NMD) enhanced by the Exon Junction Complex (EJC) {R-MMU-975957}</t>
  </si>
  <si>
    <t>sp|Q8C052|MAP1S_MOUSE</t>
  </si>
  <si>
    <t>MAP1S light chain</t>
  </si>
  <si>
    <t>BPY2-interacting protein 1; Microtubule-associated protein 8</t>
  </si>
  <si>
    <t>MAP1S_MOUSE</t>
  </si>
  <si>
    <t>Q8C052</t>
  </si>
  <si>
    <t>E9QKR8; Q3TSD6; Q7TMW8</t>
  </si>
  <si>
    <t>Bpy2ip1; Map8; Mtap1s</t>
  </si>
  <si>
    <t>MGI:2443304</t>
  </si>
  <si>
    <t>Apoptosis; Cytoplasm; Cytoskeleton; DNA-binding; Microtubule; Nucleus; Phosphoprotein</t>
  </si>
  <si>
    <t>apoptotic process {GO:0006915}; axonogenesis {GO:0007409}; brain development {GO:0007420}; dendrite development {GO:0016358}; metaphase plate congression {GO:0051310}; microtubule anchoring at centrosome {GO:0034454}; microtubule bundle formation {GO:0001578}; microtubule cytoskeleton organization {GO:0000226}; mitotic spindle organization {GO:0007052}; nervous system development {GO:0007399}; neuron projection morphogenesis {GO:0048812}; regulation of microtubule depolymerization {GO:0031114}</t>
  </si>
  <si>
    <t>cell junction {GO:0030054}; cell projection {GO:0042995}; centrosome {GO:0005813}; cytosol {GO:0005829}; dendrite {GO:0030425}; microtubule {GO:0005874}; microtubule associated complex {GO:0005875}; microtubule cytoskeleton {GO:0015630}; microtubule organizing center {GO:0005815}; mitotic spindle microtubule {GO:1990498}; neuronal cell body {GO:0043025}; nucleolus {GO:0005730}; nucleoplasm {GO:0005654}; nucleus {GO:0005634}; perinuclear region of cytoplasm {GO:0048471}; spindle {GO:0005819}; synapse {GO:0045202}</t>
  </si>
  <si>
    <t>actin binding {GO:0003779}; actin filament binding {GO:0051015}; beta-tubulin binding {GO:0048487}; DNA binding {GO:0003677}; identical protein binding {GO:0042802}; microtubule binding {GO:0008017}; tubulin binding {GO:0015631}</t>
  </si>
  <si>
    <t>sp|Q99KW3|TARA_MOUSE</t>
  </si>
  <si>
    <t>TRIO and F-actin-binding protein</t>
  </si>
  <si>
    <t>Protein Tara; Trio-associated repeat on actin</t>
  </si>
  <si>
    <t>TARA_MOUSE</t>
  </si>
  <si>
    <t>Q99KW3</t>
  </si>
  <si>
    <t>Q2PZW9; Q2Q402; Q2Q403; Q2Q404; Q6ZPK4; Q8C6T3; Q8CG90</t>
  </si>
  <si>
    <t>Kiaa1662; Tara</t>
  </si>
  <si>
    <t>MGI:1349410</t>
  </si>
  <si>
    <t>Actin-binding; Alternative splicing; Cell cycle; Cell division; Coiled coil; Cytoplasm; Cytoskeleton; Methylation; Mitosis; Nucleus; Phosphoprotein; Ubl conjugation</t>
  </si>
  <si>
    <t>actin filament organization {GO:0007015}; auditory receptor cell stereocilium organization {GO:0060088}; cell cycle {GO:0007049}; cell division {GO:0051301}; positive regulation of substrate adhesion-dependent cell spreading {GO:1900026}; sensory perception of sound {GO:0007605}</t>
  </si>
  <si>
    <t>actin cytoskeleton {GO:0015629}; cytosol {GO:0005829}; microtubule organizing center {GO:0005815}; midbody {GO:0030496}; nucleus {GO:0005634}; stereocilium base {GO:0120044}</t>
  </si>
  <si>
    <t>actin filament binding {GO:0051015}; ubiquitin protein ligase binding {GO:0031625}</t>
  </si>
  <si>
    <t>sp|Q8BG87|TET3_MOUSE</t>
  </si>
  <si>
    <t>Methylcytosine dioxygenase TET3</t>
  </si>
  <si>
    <t>TET3_MOUSE</t>
  </si>
  <si>
    <t>Q8BG87</t>
  </si>
  <si>
    <t>K9JH93; L0HN04; Q4VAD3; Q8C8N8; Q8CI60</t>
  </si>
  <si>
    <t>MGI:2446229</t>
  </si>
  <si>
    <t>3D-structure; Alternative splicing; Chromatin regulator; Chromosome; Cytoplasm; Developmental protein; Dioxygenase; DNA-binding; Iron; Isopeptide bond; Metal-binding; Methylation; Nucleus; Oxidoreductase; Ubl conjugation; Zinc; Zinc-finger</t>
  </si>
  <si>
    <t>Iron; Metal-binding; Zinc</t>
  </si>
  <si>
    <t>Chromatin regulator; DNA-binding; Developmental protein; Dioxygenase; Oxidoreductase</t>
  </si>
  <si>
    <t>5-methylcytosine catabolic process {GO:0006211}; chromatin organization {GO:0006325}; DNA demethylation {GO:0080111}; DNA demethylation of male pronucleus {GO:0044727}; histone H3-K4 trimethylation {GO:0080182}; oxidative demethylation {GO:0070989}; positive regulation of transcription by RNA polymerase II {GO:0045944}; protein O-linked glycosylation {GO:0006493}</t>
  </si>
  <si>
    <t>chromosome {GO:0005694}; cytoplasm {GO:0005737}; female pronucleus {GO:0001939}; male pronucleus {GO:0001940}; nucleoplasm {GO:0005654}; nucleus {GO:0005634}</t>
  </si>
  <si>
    <t>methyl-CpG binding {GO:0008327}; methylcytosine dioxygenase activity {GO:0070579}; zinc ion binding {GO:0008270}</t>
  </si>
  <si>
    <t>sp|Q8R0F8|FAHD1_MOUSE</t>
  </si>
  <si>
    <t>Acylpyruvase FAHD1, mitochondrial</t>
  </si>
  <si>
    <t>Fumarylacetoacetate hydrolase domain-containing protein 1; Oxaloacetate decarboxylase (OAA decarboxylase)</t>
  </si>
  <si>
    <t>FAHD1_MOUSE</t>
  </si>
  <si>
    <t>Q8R0F8</t>
  </si>
  <si>
    <t>Q3U020; Q3UQY4; Q8BLJ7; Q9JJB2</t>
  </si>
  <si>
    <t>MGI:1915886</t>
  </si>
  <si>
    <t>3D-structure; Acetylation; Calcium; Cytoplasm; Hydrolase; Lyase; Magnesium; Metal-binding; Mitochondrion; Phosphoprotein; Transit peptide</t>
  </si>
  <si>
    <t>Calcium; Magnesium; Metal-binding</t>
  </si>
  <si>
    <t>Hydrolase; Lyase</t>
  </si>
  <si>
    <t>cytosol {GO:0005829}; mitochondrial inner membrane {GO:0005743}; mitochondrion {GO:0005739}; nucleoplasm {GO:0005654}</t>
  </si>
  <si>
    <t>acetylpyruvate hydrolase activity {GO:0018773}; acylpyruvate hydrolase activity {GO:0047621}; fumarylpyruvate hydrolase activity {GO:0034545}; metal ion binding {GO:0046872}; oxaloacetate decarboxylase activity {GO:0008948}</t>
  </si>
  <si>
    <t>sp|P62313|LSM6_MOUSE</t>
  </si>
  <si>
    <t>U6 snRNA-associated Sm-like protein LSm6</t>
  </si>
  <si>
    <t>LSM6_MOUSE</t>
  </si>
  <si>
    <t>P62313</t>
  </si>
  <si>
    <t>Q9Y4Y8</t>
  </si>
  <si>
    <t>MGI:1925901</t>
  </si>
  <si>
    <t>Acetylation; Cytoplasm; mRNA processing; mRNA splicing; Nucleus; Ribonucleoprotein; RNA-binding; rRNA processing; Spliceosome; tRNA processing</t>
  </si>
  <si>
    <t>mRNA processing; mRNA splicing; rRNA processing; tRNA processing</t>
  </si>
  <si>
    <t>maturation of SSU-rRNA {GO:0030490}; mRNA catabolic process {GO:0006402}; mRNA splicing, via spliceosome {GO:0000398}; tRNA processing {GO:0008033}</t>
  </si>
  <si>
    <t>cytoplasm {GO:0005737}; Lsm2-8 complex {GO:0120115}; nucleolus {GO:0005730}; nucleus {GO:0005634}; P-body {GO:0000932}; sno(s)RNA-containing ribonucleoprotein complex {GO:0005732}; U2-type precatalytic spliceosome {GO:0071005}; U4/U6 x U5 tri-snRNP complex {GO:0046540}; U6 snRNP {GO:0005688}</t>
  </si>
  <si>
    <t>protein heterodimerization activity {GO:0046982}; RNA binding {GO:0003723}</t>
  </si>
  <si>
    <t>sp|Q6PEB6|PHOCN_MOUSE</t>
  </si>
  <si>
    <t>MOB-like protein phocein</t>
  </si>
  <si>
    <t>Class II mMOB1; Mob1 homolog 3 (Mob3); Mps one binder kinase activator-like 3; Preimplantation protein 3</t>
  </si>
  <si>
    <t>PHOCN_MOUSE</t>
  </si>
  <si>
    <t>Q6PEB6</t>
  </si>
  <si>
    <t>Q3TS21; Q8BSA3; Q9CX28</t>
  </si>
  <si>
    <t>Mob3; Mobkl3; Phocn; Prei3</t>
  </si>
  <si>
    <t>MGI:104899</t>
  </si>
  <si>
    <t>Cytoplasm; Golgi apparatus; Membrane; Metal-binding; Phosphoprotein; Transport; Zinc</t>
  </si>
  <si>
    <t>cytoplasm {GO:0005737}; cytosol {GO:0005829}; dendritic spine {GO:0043197}; Golgi apparatus {GO:0005794}; Golgi cisterna membrane {GO:0032580}; membrane {GO:0016020}; neuronal cell body {GO:0043025}; perinuclear region of cytoplasm {GO:0048471}</t>
  </si>
  <si>
    <t>kinase binding {GO:0019900}; metal ion binding {GO:0046872}</t>
  </si>
  <si>
    <t>sp|Q9ES74|NEK7_MOUSE</t>
  </si>
  <si>
    <t>Serine/threonine-protein kinase Nek7</t>
  </si>
  <si>
    <t>Never in mitosis A-related kinase 7 (NimA-related protein kinase 7)</t>
  </si>
  <si>
    <t>NEK7_MOUSE</t>
  </si>
  <si>
    <t>Q9ES74</t>
  </si>
  <si>
    <t>Q3UEV7</t>
  </si>
  <si>
    <t>MGI:1890645</t>
  </si>
  <si>
    <t>Acetylation; ATP-binding; Cytoplasm; Cytoskeleton; Kinase; Magnesium; Metal-binding; Nucleotide-binding; Nucleus; Phosphoprotein; Serine/threonine-protein kinase; Transferase</t>
  </si>
  <si>
    <t>cellular response to potassium ion {GO:0035865}; peptidyl-serine phosphorylation {GO:0018105}; positive regulation of NLRP3 inflammasome complex assembly {GO:1900227}; positive regulation of telomerase activity {GO:0051973}; positive regulation of telomere capping {GO:1904355}; positive regulation of telomere maintenance via telomerase {GO:0032212}; protein phosphorylation {GO:0006468}</t>
  </si>
  <si>
    <t>cytoplasm {GO:0005737}; microtubule organizing center {GO:0005815}; nucleoplasm {GO:0005654}; nucleus {GO:0005634}; spindle pole {GO:0000922}</t>
  </si>
  <si>
    <t>ATP binding {GO:0005524}; metal ion binding {GO:0046872}; protein serine kinase activity {GO:0106310}; protein serine/threonine kinase activity {GO:0004674}</t>
  </si>
  <si>
    <t>sp|Q6ZQ08|CNOT1_MOUSE</t>
  </si>
  <si>
    <t>CCR4-NOT transcription complex subunit 1</t>
  </si>
  <si>
    <t>CCR4-associated factor 1</t>
  </si>
  <si>
    <t>CNOT1_MOUSE</t>
  </si>
  <si>
    <t>Q6ZQ08</t>
  </si>
  <si>
    <t>B2RY28; Q3UPB7; Q8BSB4; Q8BXB2; Q8C0H2; Q8K3D8</t>
  </si>
  <si>
    <t>Kiaa1007</t>
  </si>
  <si>
    <t>MGI:2442402</t>
  </si>
  <si>
    <t>Alternative splicing; Cytoplasm; Developmental protein; Nucleus; Phosphoprotein; Repressor; RNA-mediated gene silencing; Transcription; Transcription regulation; Translation regulation</t>
  </si>
  <si>
    <t>RNA-mediated gene silencing; Transcription; Transcription regulation; Translation regulation</t>
  </si>
  <si>
    <t>Developmental protein; Repressor</t>
  </si>
  <si>
    <t>miRNA-mediated gene silencing {GO:0035195}; negative regulation of intracellular estrogen receptor signaling pathway {GO:0033147}; negative regulation of retinoic acid receptor signaling pathway {GO:0048387}; negative regulation of transcription by RNA polymerase II {GO:0000122}; negative regulation of translation {GO:0017148}; nuclear-transcribed mRNA catabolic process, deadenylation-dependent decay {GO:0000288}; positive regulation of cytoplasmic mRNA processing body assembly {GO:0010606}; positive regulation of mRNA catabolic process {GO:0061014}; positive regulation of nuclear-transcribed mRNA catabolic process, deadenylation-dependent decay {GO:1900153}; positive regulation of nuclear-transcribed mRNA poly(A) tail shortening {GO:0060213}; regulation of stem cell population maintenance {GO:2000036}; trophectodermal cell differentiation {GO:0001829}</t>
  </si>
  <si>
    <t>CCR4-NOT complex {GO:0030014}; CCR4-NOT core complex {GO:0030015}; cytosol {GO:0005829}; nucleus {GO:0005634}; P-body {GO:0000932}</t>
  </si>
  <si>
    <t>armadillo repeat domain binding {GO:0070016}; molecular adaptor activity {GO:0060090}; nuclear estrogen receptor binding {GO:0030331}; nuclear retinoic acid receptor binding {GO:0042974}; poly(A)-specific ribonuclease activity {GO:0004535}; protein domain specific binding {GO:0019904}</t>
  </si>
  <si>
    <t>Deadenylation of mRNA {R-MMU-429947}; TP53 regulates transcription of additional cell cycle genes whose exact role in the p53 pathway remain uncertain {R-MMU-6804115}</t>
  </si>
  <si>
    <t>sp|Q9D880|TIM50_MOUSE</t>
  </si>
  <si>
    <t>Mitochondrial import inner membrane translocase subunit TIM50</t>
  </si>
  <si>
    <t>TIM50_MOUSE</t>
  </si>
  <si>
    <t>Q9D880</t>
  </si>
  <si>
    <t>Q8R3A7; Q91Z17</t>
  </si>
  <si>
    <t>Tim50</t>
  </si>
  <si>
    <t>MGI:1913775</t>
  </si>
  <si>
    <t>Membrane; Mitochondrion; Mitochondrion inner membrane; Phosphoprotein; Protein transport; Transit peptide; Translocation; Transmembrane; Transmembrane helix; Transport</t>
  </si>
  <si>
    <t>mitochondrial membrane organization {GO:0007006}; protein dephosphorylation {GO:0006470}; protein import into mitochondrial matrix {GO:0030150}; release of cytochrome c from mitochondria {GO:0001836}</t>
  </si>
  <si>
    <t>integral component of membrane {GO:0016021}; mitochondrial inner membrane {GO:0005743}; mitochondrion {GO:0005739}; nuclear speck {GO:0016607}; nucleoplasm {GO:0005654}; TIM23 mitochondrial import inner membrane translocase complex {GO:0005744}</t>
  </si>
  <si>
    <t>interleukin-2 receptor binding {GO:0005134}; phosphoprotein phosphatase activity {GO:0004721}; protein serine/threonine phosphatase activity {GO:0004722}; protein tyrosine phosphatase activity {GO:0004725}; ribonucleoprotein complex binding {GO:0043021}</t>
  </si>
  <si>
    <t>sp|P68433|H31_MOUSE</t>
  </si>
  <si>
    <t>Histone H3.1</t>
  </si>
  <si>
    <t>H31_MOUSE</t>
  </si>
  <si>
    <t>P68433</t>
  </si>
  <si>
    <t>P02295; P02296; P16106; Q05A97; Q3B7Z8; Q3B7Z9; Q5T009</t>
  </si>
  <si>
    <t>H3a; Hist1h3a</t>
  </si>
  <si>
    <t>MGI:2668828</t>
  </si>
  <si>
    <t>3D-structure; Acetylation; ADP-ribosylation; Chromosome; Citrullination; DNA-binding; Hydroxylation; Methylation; Nucleosome core; Nucleus; Phosphoprotein; Ubl conjugation</t>
  </si>
  <si>
    <t>ADP-ribosylation; Acetylation; Citrullination; Hydroxylation; Methylation; Phosphoprotein; Ubl conjugation</t>
  </si>
  <si>
    <t>nuclear chromosome {GO:0000228}; nucleoplasm {GO:0005654}; nucleosome {GO:0000786}; nucleus {GO:0005634}; protein-containing complex {GO:0032991}</t>
  </si>
  <si>
    <t>sp|P70362|UFD1_MOUSE</t>
  </si>
  <si>
    <t>Ubiquitin recognition factor in ER-associated degradation protein 1</t>
  </si>
  <si>
    <t>Ubiquitin fusion degradation protein 1 homolog (UB fusion protein 1)</t>
  </si>
  <si>
    <t>UFD1_MOUSE</t>
  </si>
  <si>
    <t>P70362</t>
  </si>
  <si>
    <t>Q923C4</t>
  </si>
  <si>
    <t>Ufd1l</t>
  </si>
  <si>
    <t>MGI:109353</t>
  </si>
  <si>
    <t>Acetylation; Cytoplasm; Nucleus; Phosphoprotein; Ubl conjugation pathway</t>
  </si>
  <si>
    <t>ER-associated misfolded protein catabolic process {GO:0071712}; negative regulation of RIG-I signaling pathway {GO:0039536}; negative regulation of type I interferon production {GO:0032480}; retrograde protein transport, ER to cytosol {GO:0030970}; ubiquitin-dependent ERAD pathway {GO:0030433}; ubiquitin-dependent protein catabolic process {GO:0006511}</t>
  </si>
  <si>
    <t>cytoplasm {GO:0005737}; cytosol {GO:0005829}; nucleus {GO:0005634}; UFD1-NPL4 complex {GO:0036501}; VCP-NPL4-UFD1 AAA ATPase complex {GO:0034098}</t>
  </si>
  <si>
    <t>ATPase binding {GO:0051117}; K48-linked polyubiquitin modification-dependent protein binding {GO:0036435}; polyubiquitin modification-dependent protein binding {GO:0031593}; protein-containing complex binding {GO:0044877}; signaling receptor binding {GO:0005102}</t>
  </si>
  <si>
    <t>Translesion Synthesis by POLH {R-MMU-110320}; Ub-specific processing proteases {R-MMU-5689880}; Neddylation {R-MMU-8951664}; KEAP1-NFE2L2 pathway {R-MMU-9755511}</t>
  </si>
  <si>
    <t>sp|Q921J2|RHEB_MOUSE</t>
  </si>
  <si>
    <t>GTP-binding protein Rheb</t>
  </si>
  <si>
    <t>Ras homolog enriched in brain</t>
  </si>
  <si>
    <t>RHEB_MOUSE</t>
  </si>
  <si>
    <t>Q921J2</t>
  </si>
  <si>
    <t>MGI:97912</t>
  </si>
  <si>
    <t>3D-structure; Cytoplasm; Endoplasmic reticulum; Golgi apparatus; GTP-binding; Lipoprotein; Magnesium; Membrane; Metal-binding; Methylation; Nucleotide-binding; Phosphoprotein; Prenylation</t>
  </si>
  <si>
    <t>negative regulation of cold-induced thermogenesis {GO:0120163}; oligodendrocyte differentiation {GO:0048709}; positive regulation of oligodendrocyte differentiation {GO:0048714}; positive regulation of TOR signaling {GO:0032008}; regulation of postsynapse organization {GO:0099175}; regulation of TOR signaling {GO:0032006}; regulation of type B pancreatic cell development {GO:2000074}; small GTPase mediated signal transduction {GO:0007264}</t>
  </si>
  <si>
    <t>cytosol {GO:0005829}; dendrite {GO:0030425}; endoplasmic reticulum membrane {GO:0005789}; glutamatergic synapse {GO:0098978}; Golgi membrane {GO:0000139}; neuronal cell body {GO:0043025}; plasma membrane {GO:0005886}; postsynaptic density {GO:0014069}; spliceosomal complex {GO:0005681}</t>
  </si>
  <si>
    <t>GDP binding {GO:0019003}; GTP binding {GO:0005525}; GTPase activity {GO:0003924}; magnesium ion binding {GO:0000287}; protein kinase binding {GO:0019901}</t>
  </si>
  <si>
    <t>Macroautophagy {R-MMU-1632852}; MTOR signalling {R-MMU-165159}; mTORC1-mediated signalling {R-MMU-166208}; Energy dependent regulation of mTOR by LKB1-AMPK {R-MMU-380972}; TP53 Regulates Metabolic Genes {R-MMU-5628897}; Regulation of PTEN gene transcription {R-MMU-8943724}; Amino acids regulate mTORC1 {R-MMU-9639288}</t>
  </si>
  <si>
    <t>sp|P27661|H2AX_MOUSE</t>
  </si>
  <si>
    <t>Histone H2AX (H2a/x)</t>
  </si>
  <si>
    <t>Histone H2A.X</t>
  </si>
  <si>
    <t>H2AX_MOUSE</t>
  </si>
  <si>
    <t>P27661</t>
  </si>
  <si>
    <t>MGI:102688</t>
  </si>
  <si>
    <t>Acetylation; Cell cycle; Chromosome; DNA damage; DNA recombination; DNA repair; DNA-binding; Isopeptide bond; Meiosis; Nucleosome core; Nucleus; Phosphoprotein; Ubl conjugation</t>
  </si>
  <si>
    <t>Cell cycle; DNA damage; DNA recombination; DNA repair; Meiosis</t>
  </si>
  <si>
    <t>cellular response to DNA damage stimulus {GO:0006974}; cellular response to gamma radiation {GO:0071480}; cellular senescence {GO:0090398}; cerebral cortex development {GO:0021987}; DNA repair {GO:0006281}; double-strand break repair via homologous recombination {GO:0000724}; meiotic cell cycle {GO:0051321}; spermatogenesis {GO:0007283}</t>
  </si>
  <si>
    <t>centrosome {GO:0005813}; chromatin {GO:0000785}; chromosome {GO:0005694}; chromosome, telomeric region {GO:0000781}; condensed nuclear chromosome {GO:0000794}; male germ cell nucleus {GO:0001673}; nuclear speck {GO:0016607}; nucleoplasm {GO:0005654}; nucleosome {GO:0000786}; nucleus {GO:0005634}; replication fork {GO:0005657}; site of DNA damage {GO:0090734}; site of double-strand break {GO:0035861}; XY body {GO:0001741}</t>
  </si>
  <si>
    <t>damaged DNA binding {GO:0003684}; DNA binding {GO:0003677}; enzyme binding {GO:0019899}; histone binding {GO:0042393}; protein heterodimerization activity {GO:0046982}; structural constituent of chromatin {GO:0030527}</t>
  </si>
  <si>
    <t>PRC2 methylates histones and DNA {R-MMU-212300}; Condensation of Prophase Chromosomes {R-MMU-2299718}; Recruitment and ATM-mediated phosphorylation of repair and signaling proteins at DNA double strand breaks {R-MMU-5693565}; Nonhomologous End-Joining (NHEJ) {R-MMU-5693571}; Processing of DNA double-strand break ends {R-MMU-5693607}; Deposition of new CENPA-containing nucleosomes at the centromere {R-MMU-606279}; G2/M DNA damage checkpoint {R-MMU-69473}; RUNX1 regulates genes involved in megakaryocyte differentiation and platelet function {R-MMU-8936459}</t>
  </si>
  <si>
    <t>sp|Q9Z1M8|RED_MOUSE</t>
  </si>
  <si>
    <t>Protein Red</t>
  </si>
  <si>
    <t>Cytokine IK; IK factor; Protein RER</t>
  </si>
  <si>
    <t>RED_MOUSE</t>
  </si>
  <si>
    <t>Q9Z1M8</t>
  </si>
  <si>
    <t>Q8R0P0; Q95H93</t>
  </si>
  <si>
    <t>Red; Rer</t>
  </si>
  <si>
    <t>MGI:1345142</t>
  </si>
  <si>
    <t>Acetylation; Chromosome; Cytoplasm; Cytoskeleton; Isopeptide bond; mRNA processing; mRNA splicing; Nucleus; Phosphoprotein; Repeat; Spliceosome; Ubl conjugation</t>
  </si>
  <si>
    <t>Chromosome; Cytoplasm; Cytoskeleton; Nucleus; Spliceosome</t>
  </si>
  <si>
    <t>mitotic cell cycle {GO:0000278}; mitotic spindle assembly checkpoint signaling {GO:0007094}; mRNA splicing, via spliceosome {GO:0000398}; protein localization to kinetochore {GO:0034501}</t>
  </si>
  <si>
    <t>cytoplasm {GO:0005737}; mitotic spindle pole {GO:0097431}; nuclear chromosome {GO:0000228}; nuclear speck {GO:0016607}; nucleoplasm {GO:0005654}; nucleus {GO:0005634}; U2-type precatalytic spliceosome {GO:0071005}</t>
  </si>
  <si>
    <t>sp|Q9WV98|TIM9_MOUSE</t>
  </si>
  <si>
    <t>Mitochondrial import inner membrane translocase subunit Tim9</t>
  </si>
  <si>
    <t>TIM9_MOUSE</t>
  </si>
  <si>
    <t>Q9WV98</t>
  </si>
  <si>
    <t>Tim9; Tim9a; Timm9a</t>
  </si>
  <si>
    <t>MGI:1353436</t>
  </si>
  <si>
    <t>Acetylation; Chaperone; Disulfide bond; Membrane; Metal-binding; Mitochondrion; Mitochondrion inner membrane; Protein transport; Translocation; Transport; Zinc</t>
  </si>
  <si>
    <t>protein insertion into mitochondrial inner membrane {GO:0045039}</t>
  </si>
  <si>
    <t>mitochondrial inner membrane {GO:0005743}; mitochondrial intermembrane space {GO:0005758}; mitochondrial intermembrane space protein transporter complex {GO:0042719}; mitochondrion {GO:0005739}; TIM22 mitochondrial import inner membrane insertion complex {GO:0042721}</t>
  </si>
  <si>
    <t>chaperone binding {GO:0051087}; membrane insertase activity {GO:0032977}; metal ion binding {GO:0046872}; protein homodimerization activity {GO:0042803}</t>
  </si>
  <si>
    <t>sp|Q61206|PA1B2_MOUSE</t>
  </si>
  <si>
    <t>Platelet-activating factor acetylhydrolase IB subunit alpha2</t>
  </si>
  <si>
    <t>PAF acetylhydrolase 30 kDa subunit (PAF-AH 30 kDa subunit); PAF-AH subunit beta (PAFAH subunit beta)</t>
  </si>
  <si>
    <t>PA1B2_MOUSE</t>
  </si>
  <si>
    <t>Q61206</t>
  </si>
  <si>
    <t>Q6PKE6; Q7TNP3</t>
  </si>
  <si>
    <t>Pafahb</t>
  </si>
  <si>
    <t>MGI:108415</t>
  </si>
  <si>
    <t>brain development {GO:0007420}; lipid catabolic process {GO:0016042}; positive regulation of macroautophagy {GO:0016239}; spermatogenesis {GO:0007283}</t>
  </si>
  <si>
    <t>1-alkyl-2-acetylglycerophosphocholine esterase complex {GO:0008247}; cytoplasm {GO:0005737}; cytosol {GO:0005829}; fibrillar center {GO:0001650}; nucleolus {GO:0005730}; plasma membrane {GO:0005886}</t>
  </si>
  <si>
    <t>Neutrophil degranulation {R-MMU-6798695}; COPI-independent Golgi-to-ER retrograde traffic {R-MMU-6811436}</t>
  </si>
  <si>
    <t>sp|Q9CYH2|PXL2A_MOUSE</t>
  </si>
  <si>
    <t>Peroxiredoxin-like 2A</t>
  </si>
  <si>
    <t>Peroxiredoxin-like 2 activated in M-CSF stimulated monocytes (Protein PAMM); Redox-regulatory protein FAM213A</t>
  </si>
  <si>
    <t>PXL2A_MOUSE</t>
  </si>
  <si>
    <t>Q9CYH2</t>
  </si>
  <si>
    <t>MGI:1917814</t>
  </si>
  <si>
    <t>Antioxidant; Cytoplasm; Redox-active center; Secreted</t>
  </si>
  <si>
    <t>regulation of osteoclast differentiation {GO:0045670}</t>
  </si>
  <si>
    <t>cytoplasm {GO:0005737}; extracellular region {GO:0005576}; mitochondrion {GO:0005739}</t>
  </si>
  <si>
    <t>antioxidant activity {GO:0016209}</t>
  </si>
  <si>
    <t>sp|O08915|AIP_MOUSE</t>
  </si>
  <si>
    <t>AH receptor-interacting protein (AIP)</t>
  </si>
  <si>
    <t>Aryl-hydrocarbon receptor-interacting protein</t>
  </si>
  <si>
    <t>AIP_MOUSE</t>
  </si>
  <si>
    <t>O08915</t>
  </si>
  <si>
    <t>Q3UJM2</t>
  </si>
  <si>
    <t>MGI:109622</t>
  </si>
  <si>
    <t>Cytoplasm; Phosphoprotein; Repeat; TPR repeat</t>
  </si>
  <si>
    <t>negative regulation of cyclic-nucleotide phosphodiesterase activity {GO:0051344}; protein maturation by protein folding {GO:0022417}; protein targeting to mitochondrion {GO:0006626}; regulation of protein kinase A signaling {GO:0010738}; xenobiotic metabolic process {GO:0006805}</t>
  </si>
  <si>
    <t>aryl hydrocarbon receptor complex {GO:0034751}; cytosol {GO:0005829}; membrane {GO:0016020}; plasma membrane {GO:0005886}</t>
  </si>
  <si>
    <t>aryl hydrocarbon receptor binding {GO:0017162}; GAF domain binding {GO:0036004}; peptidyl-prolyl cis-trans isomerase activity {GO:0003755}; transcription coregulator activity {GO:0003712}; unfolded protein binding {GO:0051082}</t>
  </si>
  <si>
    <t>Aryl hydrocarbon receptor signalling {R-MMU-8937144}</t>
  </si>
  <si>
    <t>sp|B1AZP2|DLGP4_MOUSE</t>
  </si>
  <si>
    <t>Disks large-associated protein 4 (DAP-4)</t>
  </si>
  <si>
    <t>PSD-95/SAP90-binding protein 4; SAP90/PSD-95-associated protein 4 (SAPAP-4)</t>
  </si>
  <si>
    <t>DLGP4_MOUSE</t>
  </si>
  <si>
    <t>B1AZP2</t>
  </si>
  <si>
    <t>B1AZP3; B7ZNS1; Q3KQQ8; Q6PD44; Q6XBF1; Q80TN3; Q8R3U9</t>
  </si>
  <si>
    <t>Kiaa0964; Sapap4</t>
  </si>
  <si>
    <t>MGI:2138865</t>
  </si>
  <si>
    <t>Alternative splicing; Membrane; Methylation; Phosphoprotein</t>
  </si>
  <si>
    <t>regulation of postsynaptic neurotransmitter receptor activity {GO:0098962}; signaling {GO:0023052}</t>
  </si>
  <si>
    <t>cholinergic synapse {GO:0098981}; dendrite {GO:0030425}; glutamatergic synapse {GO:0098978}; neuromuscular junction {GO:0031594}; neuronal cell body {GO:0043025}; plasma membrane {GO:0005886}; postsynaptic specialization {GO:0099572}; synapse {GO:0045202}</t>
  </si>
  <si>
    <t>molecular adaptor activity {GO:0060090}; protein domain specific binding {GO:0019904}</t>
  </si>
  <si>
    <t>sp|Q9D287|SPF27_MOUSE</t>
  </si>
  <si>
    <t>Pre-mRNA-splicing factor SPF27</t>
  </si>
  <si>
    <t>Breast carcinoma-amplified sequence 2 homolog; DNA amplified in mammary carcinoma 1 protein</t>
  </si>
  <si>
    <t>SPF27_MOUSE</t>
  </si>
  <si>
    <t>Q9D287</t>
  </si>
  <si>
    <t>Q3TKJ5; Q91YX8; Q9D2U4; Q9DAI0</t>
  </si>
  <si>
    <t>Dam1</t>
  </si>
  <si>
    <t>MGI:1915433</t>
  </si>
  <si>
    <t>catalytic step 2 spliceosome {GO:0071013}; centrosome {GO:0005813}; DNA replication factor A complex {GO:0005662}; nuclear speck {GO:0016607}; nucleolus {GO:0005730}; nucleus {GO:0005634}; Prp19 complex {GO:0000974}; spliceosomal complex {GO:0005681}; U2-type catalytic step 2 spliceosome {GO:0071007}</t>
  </si>
  <si>
    <t>sp|Q8K003|TMA7_MOUSE</t>
  </si>
  <si>
    <t>Translation machinery-associated protein 7</t>
  </si>
  <si>
    <t>Coiled-coil domain-containing protein 72</t>
  </si>
  <si>
    <t>TMA7_MOUSE</t>
  </si>
  <si>
    <t>Q8K003</t>
  </si>
  <si>
    <t>Ccdc72</t>
  </si>
  <si>
    <t>MGI:1913417</t>
  </si>
  <si>
    <t>ADP-ribosylation; Coiled coil</t>
  </si>
  <si>
    <t>ADP-ribosylation</t>
  </si>
  <si>
    <t>sp|Q91WC0|SETD3_MOUSE</t>
  </si>
  <si>
    <t>Actin-histidine N-methyltransferase</t>
  </si>
  <si>
    <t>Endothelial differentiation inhibitory protein D10; Protein-L-histidine N-tele-methyltransferase; SET domain-containing protein 3</t>
  </si>
  <si>
    <t>SETD3_MOUSE</t>
  </si>
  <si>
    <t>Q91WC0</t>
  </si>
  <si>
    <t>Q6PEN3; Q8CD86; Q8CDX8; Q9CZZ1</t>
  </si>
  <si>
    <t>MGI:1289184</t>
  </si>
  <si>
    <t>Actin-binding; Alternative splicing; Cytoplasm; Methyltransferase; Nucleus; Phosphoprotein; S-adenosyl-L-methionine; Transferase; Ubl conjugation</t>
  </si>
  <si>
    <t>Actin-binding; Methyltransferase; Transferase</t>
  </si>
  <si>
    <t>actin modification {GO:0030047}; histone H3-K36 methylation {GO:0010452}; peptidyl-histidine methylation {GO:0018021}; peptidyl-lysine dimethylation {GO:0018027}; peptidyl-lysine monomethylation {GO:0018026}; peptidyl-lysine trimethylation {GO:0018023}; positive regulation of DNA-templated transcription {GO:0045893}; positive regulation of muscle cell differentiation {GO:0051149}; positive regulation of transcription by RNA polymerase II {GO:0045944}; regulation of uterine smooth muscle contraction {GO:0070472}</t>
  </si>
  <si>
    <t>chromatin {GO:0000785}; cytoplasm {GO:0005737}; nucleus {GO:0005634}</t>
  </si>
  <si>
    <t>actin binding {GO:0003779}; histone methyltransferase activity (H3-K36 specific) {GO:0046975}; histone methyltransferase activity (H3-K4 specific) {GO:0042800}; protein-L-histidine N-tele-methyltransferase activity {GO:0018064}; protein-lysine N-methyltransferase activity {GO:0016279}; RNA polymerase II-specific DNA-binding transcription factor binding {GO:0061629}; transcription coactivator activity {GO:0003713}</t>
  </si>
  <si>
    <t>PKMTs methylate histone lysines {R-MMU-3214841}</t>
  </si>
  <si>
    <t>sp|Q8CHT0|AL4A1_MOUSE</t>
  </si>
  <si>
    <t>Delta-1-pyrroline-5-carboxylate dehydrogenase, mitochondrial (P5C dehydrogenase)</t>
  </si>
  <si>
    <t>Aldehyde dehydrogenase family 4 member A1; L-glutamate gamma-semialdehyde dehydrogenase</t>
  </si>
  <si>
    <t>AL4A1_MOUSE</t>
  </si>
  <si>
    <t>Q8CHT0</t>
  </si>
  <si>
    <t>B1AXW8; Q7TND0; Q8BXM3; Q8R0N1; Q8R1S2</t>
  </si>
  <si>
    <t>MGI:2443883</t>
  </si>
  <si>
    <t>3D-structure; Acetylation; Mitochondrion; NAD; Oxidoreductase; Phosphoprotein; Proline metabolism; Transit peptide</t>
  </si>
  <si>
    <t>Proline metabolism</t>
  </si>
  <si>
    <t>proline catabolic process to glutamate {GO:0010133}</t>
  </si>
  <si>
    <t>cytosol {GO:0005829}; mitochondrial matrix {GO:0005759}; mitochondrion {GO:0005739}</t>
  </si>
  <si>
    <t>1-pyrroline-5-carboxylate dehydrogenase activity {GO:0003842}; aldehyde dehydrogenase (NAD+) activity {GO:0004029}; identical protein binding {GO:0042802}</t>
  </si>
  <si>
    <t>Amino-acid degradation; L-proline degradation into L- glutamate; L-glutamate from L-proline: step 2/2.</t>
  </si>
  <si>
    <t>Glyoxylate metabolism and glycine degradation {R-MMU-389661}; Proline catabolism {R-MMU-70688}</t>
  </si>
  <si>
    <t>sp|Q8R3R8|GBRL1_MOUSE</t>
  </si>
  <si>
    <t>Gamma-aminobutyric acid receptor-associated protein-like 1</t>
  </si>
  <si>
    <t>GABA(A) receptor-associated protein-like 1; Glandular epithelial cell protein 1 (GEC-1)</t>
  </si>
  <si>
    <t>GBRL1_MOUSE</t>
  </si>
  <si>
    <t>Q8R3R8</t>
  </si>
  <si>
    <t>Q3TG14; Q3TJB9; Q3TXZ5; Q9JJ97</t>
  </si>
  <si>
    <t>Apg8l; Atg8l; Gec1</t>
  </si>
  <si>
    <t>MGI:1914980</t>
  </si>
  <si>
    <t>3D-structure; Autophagy; Cytoplasm; Cytoplasmic vesicle; Cytoskeleton; Endoplasmic reticulum; Golgi apparatus; Lipoprotein; Membrane; Microtubule</t>
  </si>
  <si>
    <t>Cytoplasm; Cytoplasmic vesicle; Cytoskeleton; Endoplasmic reticulum; Golgi apparatus; Membrane; Microtubule</t>
  </si>
  <si>
    <t>autophagosome assembly {GO:0000045}; autophagy of mitochondrion {GO:0000422}; cellular response to nitrogen starvation {GO:0006995}; glycophagy {GO:0061723}; macroautophagy {GO:0016236}; substrate localization to autophagosome {GO:0061753}</t>
  </si>
  <si>
    <t>autophagosome {GO:0005776}; autophagosome membrane {GO:0000421}; cell body {GO:0044297}; cytoplasmic vesicle membrane {GO:0030659}; cytosol {GO:0005829}; dendrite cytoplasm {GO:0032839}; dendrite membrane {GO:0032590}; endoplasmic reticulum {GO:0005783}; Golgi apparatus {GO:0005794}; microtubule {GO:0005874}; mitochondrion {GO:0005739}</t>
  </si>
  <si>
    <t>cytoskeletal protein binding {GO:0008092}; GABA receptor binding {GO:0050811}; protein-membrane adaptor activity {GO:0043495}; Tat protein binding {GO:0030957}; ubiquitin protein ligase binding {GO:0031625}</t>
  </si>
  <si>
    <t>sp|Q9DCS9|NDUBA_MOUSE</t>
  </si>
  <si>
    <t>NADH dehydrogenase [ubiquinone] 1 beta subcomplex subunit 10</t>
  </si>
  <si>
    <t>Complex I-PDSW (CI-PDSW); NADH-ubiquinone oxidoreductase PDSW subunit</t>
  </si>
  <si>
    <t>NDUBA_MOUSE</t>
  </si>
  <si>
    <t>Q9DCS9</t>
  </si>
  <si>
    <t>Q3UAE3</t>
  </si>
  <si>
    <t>MGI:1915592</t>
  </si>
  <si>
    <t>3D-structure; Electron transport; Membrane; Mitochondrion; Mitochondrion inner membrane; Phosphoprotein; Respiratory chain; Transport</t>
  </si>
  <si>
    <t>sp|Q9DCS3|MECR_MOUSE</t>
  </si>
  <si>
    <t>Enoyl-[acyl-carrier-protein] reductase, mitochondrial</t>
  </si>
  <si>
    <t>2-enoyl thioester reductase; Nuclear receptor-binding factor 1 (NRBF-1)</t>
  </si>
  <si>
    <t>MECR_MOUSE</t>
  </si>
  <si>
    <t>Q9DCS3</t>
  </si>
  <si>
    <t>Q99L39</t>
  </si>
  <si>
    <t>Nrbf1</t>
  </si>
  <si>
    <t>MGI:1349441</t>
  </si>
  <si>
    <t>Acetylation; Fatty acid biosynthesis; Fatty acid metabolism; Lipid biosynthesis; Lipid metabolism; Mitochondrion; NADP; Oxidoreductase; Transit peptide</t>
  </si>
  <si>
    <t>fatty acid biosynthetic process {GO:0006633}; fatty acid metabolic process {GO:0006631}</t>
  </si>
  <si>
    <t>nuclear receptor binding {GO:0016922}; oxidoreductase activity, acting on the CH-OH group of donors, NAD or NADP as acceptor {GO:0016616}; signaling receptor binding {GO:0005102}; trans-2-enoyl-CoA reductase (NADPH) activity {GO:0019166}</t>
  </si>
  <si>
    <t>Beta oxidation of decanoyl-CoA to octanoyl-CoA-CoA {R-MMU-77346}</t>
  </si>
  <si>
    <t>sp|Q61249|IGBP1_MOUSE</t>
  </si>
  <si>
    <t>Immunoglobulin-binding protein 1</t>
  </si>
  <si>
    <t>Alpha4 phosphoprotein; CD79a-binding protein 1; Lymphocyte signal transduction molecule alpha 4; Protein phosphatase 2/4/6 regulatory subunit; p52</t>
  </si>
  <si>
    <t>IGBP1_MOUSE</t>
  </si>
  <si>
    <t>Q61249</t>
  </si>
  <si>
    <t>Pc52</t>
  </si>
  <si>
    <t>MGI:1346500</t>
  </si>
  <si>
    <t>3D-structure; Acetylation; B-cell activation; Chaperone; Cytoplasm; Phosphoprotein; Ubl conjugation</t>
  </si>
  <si>
    <t>B-cell activation</t>
  </si>
  <si>
    <t>B cell activation {GO:0042113}; negative regulation of apoptotic signaling pathway {GO:2001234}; negative regulation of protein dephosphorylation {GO:0035308}; positive regulation of dephosphorylation {GO:0035306}; positive regulation of transcription by RNA polymerase II {GO:0045944}; regulation of dephosphorylation {GO:0035303}</t>
  </si>
  <si>
    <t>enzyme binding {GO:0019899}; mitogen-activated protein kinase kinase binding {GO:0031434}; protein domain specific binding {GO:0019904}; protein phosphatase 2A binding {GO:0051721}; protein phosphatase regulator activity {GO:0019888}; protein-containing complex binding {GO:0044877}</t>
  </si>
  <si>
    <t>sp|Q8R0G9|NU133_MOUSE</t>
  </si>
  <si>
    <t>sp|Q80V26|IMPA3_MOUSE</t>
  </si>
  <si>
    <t>Golgi-resident adenosine 3',5'-bisphosphate 3'-phosphatase (Golgi-resident PAP phosphatase; gPAPP)</t>
  </si>
  <si>
    <t>3'(2'), 5'-bisphosphate nucleotidase 2; Inositol monophosphatase domain-containing protein 1; Myo-inositol monophosphatase A3; Phosphoadenosine phosphate 3'-nucleotidase</t>
  </si>
  <si>
    <t>IMPA3_MOUSE</t>
  </si>
  <si>
    <t>Q80V26</t>
  </si>
  <si>
    <t>A6H6P6</t>
  </si>
  <si>
    <t>MGI:1915720</t>
  </si>
  <si>
    <t>Acetylation; Glycoprotein; Golgi apparatus; Hydrolase; Magnesium; Membrane; Metal-binding; Signal-anchor; Transmembrane; Transmembrane helix</t>
  </si>
  <si>
    <t>chondrocyte development {GO:0002063}; chondroitin sulfate metabolic process {GO:0030204}; embryonic digit morphogenesis {GO:0042733}; endochondral ossification {GO:0001958}; inositol phosphate dephosphorylation {GO:0046855}; phosphatidylinositol phosphate biosynthetic process {GO:0046854}; post-embryonic development {GO:0009791}; skeletal system development {GO:0001501}</t>
  </si>
  <si>
    <t>cytosol {GO:0005829}; endomembrane system {GO:0012505}; Golgi apparatus {GO:0005794}; integral component of membrane {GO:0016021}; nuclear body {GO:0016604}; nucleoplasm {GO:0005654}; trans-Golgi network membrane {GO:0032588}</t>
  </si>
  <si>
    <t>3'(2'),5'-bisphosphate nucleotidase activity {GO:0008441}; 3',5'-nucleotide bisphosphate phosphatase activity {GO:0097657}; 3'-nucleotidase activity {GO:0008254}; metal ion binding {GO:0046872}</t>
  </si>
  <si>
    <t>Sulfur metabolism..</t>
  </si>
  <si>
    <t>sp|Q3UGS4|MCRI1_MOUSE</t>
  </si>
  <si>
    <t>Mapk-regulated corepressor-interacting protein 1</t>
  </si>
  <si>
    <t>Protein FAM195B</t>
  </si>
  <si>
    <t>MCRI1_MOUSE</t>
  </si>
  <si>
    <t>Q3UGS4</t>
  </si>
  <si>
    <t>Q8QZS4</t>
  </si>
  <si>
    <t>Fam195b</t>
  </si>
  <si>
    <t>MGI:2384752</t>
  </si>
  <si>
    <t>regulation of epithelial to mesenchymal transition {GO:0010717}</t>
  </si>
  <si>
    <t>cytoplasm {GO:0005737}; cytoplasmic stress granule {GO:0010494}; nucleus {GO:0005634}</t>
  </si>
  <si>
    <t>sp|Q80Y14|GLRX5_MOUSE</t>
  </si>
  <si>
    <t>Glutaredoxin-related protein 5, mitochondrial</t>
  </si>
  <si>
    <t>Monothiol glutaredoxin-5</t>
  </si>
  <si>
    <t>GLRX5_MOUSE</t>
  </si>
  <si>
    <t>Q80Y14</t>
  </si>
  <si>
    <t>Q3YML1; Q9D6E9</t>
  </si>
  <si>
    <t>MGI:1920296</t>
  </si>
  <si>
    <t>2Fe-2S; Iron; Iron-sulfur; Metal-binding; Mitochondrion; Phosphoprotein; Redox-active center; Transit peptide</t>
  </si>
  <si>
    <t>[2Fe-2S] cluster assembly {GO:0044571}; hemopoiesis {GO:0030097}; protein maturation by [2Fe-2S] cluster transfer {GO:0106034}; protein maturation by [4Fe-4S] cluster transfer {GO:0106035}</t>
  </si>
  <si>
    <t>dendrite {GO:0030425}; iron-sulfur cluster assembly complex {GO:1990229}; mitochondrial matrix {GO:0005759}; mitochondrion {GO:0005739}; neuronal cell body {GO:0043025}; nucleus {GO:0005634}</t>
  </si>
  <si>
    <t>2 iron, 2 sulfur cluster binding {GO:0051537}; glutathione oxidoreductase activity {GO:0097573}; metal ion binding {GO:0046872}</t>
  </si>
  <si>
    <t>Mitochondrial iron-sulfur cluster biogenesis {R-MMU-1362409}</t>
  </si>
  <si>
    <t>sp|Q6PIP5|NUDC1_MOUSE</t>
  </si>
  <si>
    <t>NudC domain-containing protein 1</t>
  </si>
  <si>
    <t>NUDC1_MOUSE</t>
  </si>
  <si>
    <t>Q6PIP5</t>
  </si>
  <si>
    <t>Q3THV3; Q71EC1; Q8BJZ5</t>
  </si>
  <si>
    <t>MGI:1914679</t>
  </si>
  <si>
    <t>Cytoplasm; Nucleus; Phosphoprotein</t>
  </si>
  <si>
    <t>sp|Q923T9|KCC2G_MOUSE</t>
  </si>
  <si>
    <t>Calcium/calmodulin-dependent protein kinase type II subunit gamma (CaM kinase II subunit gamma; CaMK-II subunit gamma)</t>
  </si>
  <si>
    <t>KCC2G_MOUSE</t>
  </si>
  <si>
    <t>Q923T9</t>
  </si>
  <si>
    <t>Q3U3H3; Q8VED3</t>
  </si>
  <si>
    <t>MGI:88259</t>
  </si>
  <si>
    <t>Alternative splicing; ATP-binding; Calmodulin-binding; Developmental protein; Differentiation; Kinase; Membrane; Neurogenesis; Nucleotide-binding; Phosphoprotein; Sarcoplasmic reticulum; Serine/threonine-protein kinase; Transferase</t>
  </si>
  <si>
    <t>Membrane; Sarcoplasmic reticulum</t>
  </si>
  <si>
    <t>Calmodulin-binding; Developmental protein; Kinase; Serine/threonine-protein kinase; Transferase</t>
  </si>
  <si>
    <t>calcium ion transport {GO:0006816}; cell differentiation {GO:0030154}; G1/S transition of mitotic cell cycle {GO:0000082}; nervous system development {GO:0007399}; protein autophosphorylation {GO:0046777}; regulation of neuron projection development {GO:0010975}; regulation of protein localization to plasma membrane {GO:1903076}; regulation of relaxation of cardiac muscle {GO:1901897}; response to hypoxia {GO:0001666}; response to oxidative stress {GO:0006979}</t>
  </si>
  <si>
    <t>calcium- and calmodulin-dependent protein kinase complex {GO:0005954}; cytoplasm {GO:0005737}; neuron projection {GO:0043005}; postsynaptic density {GO:0014069}; sarcoplasmic reticulum membrane {GO:0033017}</t>
  </si>
  <si>
    <t>ATP binding {GO:0005524}; calmodulin binding {GO:0005516}; calmodulin-dependent protein kinase activity {GO:0004683}; identical protein binding {GO:0042802}; protein homodimerization activity {GO:0042803}; protein serine kinase activity {GO:0106310}; protein serine/threonine kinase activity {GO:0004674}</t>
  </si>
  <si>
    <t>HSF1-dependent transactivation {R-MMU-3371571}; Trafficking of AMPA receptors {R-MMU-399719}; Unblocking of NMDA receptors, glutamate binding and activation {R-MMU-438066}; Ion homeostasis {R-MMU-5578775}; RAF activation {R-MMU-5673000}; RAF/MAP kinase cascade {R-MMU-5673001}; Interferon gamma signaling {R-MMU-877300}; Ion transport by P-type ATPases {R-MMU-936837}</t>
  </si>
  <si>
    <t>sp|Q6NSR8|PEPL1_MOUSE</t>
  </si>
  <si>
    <t>Probable aminopeptidase NPEPL1</t>
  </si>
  <si>
    <t>Aminopeptidase-like 1</t>
  </si>
  <si>
    <t>PEPL1_MOUSE</t>
  </si>
  <si>
    <t>Q6NSR8</t>
  </si>
  <si>
    <t>A2ACM6; Q66JY0</t>
  </si>
  <si>
    <t>MGI:2448523</t>
  </si>
  <si>
    <t>Aminopeptidase; Hydrolase; Manganese; Metal-binding; Protease; Zinc</t>
  </si>
  <si>
    <t>Manganese; Metal-binding; Zinc</t>
  </si>
  <si>
    <t>manganese ion binding {GO:0030145}; metalloaminopeptidase activity {GO:0070006}; peptidase activity {GO:0008233}</t>
  </si>
  <si>
    <t>sp|Q9D8B4|NDUAB_MOUSE</t>
  </si>
  <si>
    <t>NADH dehydrogenase [ubiquinone] 1 alpha subcomplex subunit 11</t>
  </si>
  <si>
    <t>Complex I-B14.7 (CI-B14.7); NADH-ubiquinone oxidoreductase subunit B14.7</t>
  </si>
  <si>
    <t>NDUAB_MOUSE</t>
  </si>
  <si>
    <t>Q9D8B4</t>
  </si>
  <si>
    <t>MGI:1917125</t>
  </si>
  <si>
    <t>sp|P24472|GSTA4_MOUSE</t>
  </si>
  <si>
    <t>Glutathione S-transferase A4</t>
  </si>
  <si>
    <t>GST A4-4 (GSTA4-4); GST class-alpha member 4; Glutathione S-transferase 5.7 (GST 5.7)</t>
  </si>
  <si>
    <t>GSTA4_MOUSE</t>
  </si>
  <si>
    <t>P24472</t>
  </si>
  <si>
    <t>Q9CQ81; Q9CTY7; Q9CY87; Q9D038</t>
  </si>
  <si>
    <t>Gsta</t>
  </si>
  <si>
    <t>MGI:1309515</t>
  </si>
  <si>
    <t>3D-structure; Acetylation; Cytoplasm; Transferase</t>
  </si>
  <si>
    <t>glutathione metabolic process {GO:0006749}; xenobiotic metabolic process {GO:0006805}</t>
  </si>
  <si>
    <t>glutathione transferase activity {GO:0004364}; organic cyclic compound binding {GO:0097159}; toxic substance binding {GO:0015643}</t>
  </si>
  <si>
    <t>sp|Q9D0M3|CY1_MOUSE</t>
  </si>
  <si>
    <t>Cytochrome c1, heme protein, mitochondrial</t>
  </si>
  <si>
    <t>Complex III subunit 4; Complex III subunit IV; Cytochrome b-c1 complex subunit 4; Ubiquinol-cytochrome-c reductase complex cytochrome c1 subunit (Cytochrome c-1)</t>
  </si>
  <si>
    <t>CY1_MOUSE</t>
  </si>
  <si>
    <t>Q9D0M3</t>
  </si>
  <si>
    <t>Q3TDC5; Q3UAN2; Q63ZW4; Q9DCG0</t>
  </si>
  <si>
    <t>MGI:1913695</t>
  </si>
  <si>
    <t>3D-structure; Alternative splicing; Electron transport; Heme; Iron; Membrane; Metal-binding; Mitochondrion; Mitochondrion inner membrane; Respiratory chain; Transit peptide; Translocase; Transmembrane; Transmembrane helix; Transport</t>
  </si>
  <si>
    <t>cellular respiration {GO:0045333}; mitochondrial electron transport, ubiquinol to cytochrome c {GO:0006122}; response to glucagon {GO:0033762}</t>
  </si>
  <si>
    <t>heme binding {GO:0020037}; metal ion binding {GO:0046872}; ubiquinol-cytochrome-c reductase activity {GO:0008121}</t>
  </si>
  <si>
    <t>tr|Q3TJ22|Q3TJ22_MOUSE</t>
  </si>
  <si>
    <t>sp|Q9QXA5|LSM4_MOUSE</t>
  </si>
  <si>
    <t>U6 snRNA-associated Sm-like protein LSm4</t>
  </si>
  <si>
    <t>LSM4_MOUSE</t>
  </si>
  <si>
    <t>Q9QXA5</t>
  </si>
  <si>
    <t>MGI:1354692</t>
  </si>
  <si>
    <t>Acetylation; mRNA processing; mRNA splicing; Nucleus; Ribonucleoprotein; RNA-binding; Spliceosome</t>
  </si>
  <si>
    <t>mRNA splicing, via spliceosome {GO:0000398}; nuclear-transcribed mRNA catabolic process {GO:0000956}; P-body assembly {GO:0033962}; spliceosomal snRNP assembly {GO:0000387}</t>
  </si>
  <si>
    <t>cytoplasm {GO:0005737}; cytosol {GO:0005829}; Lsm2-8 complex {GO:0120115}; membrane {GO:0016020}; neuron projection {GO:0043005}; nucleoplasm {GO:0005654}; nucleus {GO:0005634}; P-body {GO:0000932}; protein-containing complex {GO:0032991}; spliceosomal complex {GO:0005681}; spliceosomal tri-snRNP complex {GO:0097526}; U2-type precatalytic spliceosome {GO:0071005}; U4/U6 x U5 tri-snRNP complex {GO:0046540}; U6 snRNP {GO:0005688}</t>
  </si>
  <si>
    <t>PH domain binding {GO:0042731}; RNA binding {GO:0003723}; U6 snRNA binding {GO:0017070}</t>
  </si>
  <si>
    <t>sp|Q920A5|RISC_MOUSE</t>
  </si>
  <si>
    <t>Retinoid-inducible serine carboxypeptidase</t>
  </si>
  <si>
    <t>Serine carboxypeptidase 1</t>
  </si>
  <si>
    <t>RISC_MOUSE</t>
  </si>
  <si>
    <t>Q920A5</t>
  </si>
  <si>
    <t>Q9D625</t>
  </si>
  <si>
    <t>Risc</t>
  </si>
  <si>
    <t>MGI:1921867</t>
  </si>
  <si>
    <t>Carboxypeptidase; Glycoprotein; Hydrolase; Protease; Secreted; Signal</t>
  </si>
  <si>
    <t>blood vessel diameter maintenance {GO:0097746}; negative regulation of blood pressure {GO:0045776}; proteolysis {GO:0006508}</t>
  </si>
  <si>
    <t>cytosol {GO:0005829}; extracellular region {GO:0005576}</t>
  </si>
  <si>
    <t>sp|Q9DCF9|SSRG_MOUSE</t>
  </si>
  <si>
    <t>Translocon-associated protein subunit gamma (TRAP-gamma)</t>
  </si>
  <si>
    <t>Signal sequence receptor subunit gamma (SSR-gamma)</t>
  </si>
  <si>
    <t>SSRG_MOUSE</t>
  </si>
  <si>
    <t>Q9DCF9</t>
  </si>
  <si>
    <t>Q8C0Z8</t>
  </si>
  <si>
    <t>MGI:1914687</t>
  </si>
  <si>
    <t>Acetylation; Alternative splicing; Endoplasmic reticulum; Membrane; Phosphoprotein; Transmembrane; Transmembrane helix</t>
  </si>
  <si>
    <t>SRP-dependent cotranslational protein targeting to membrane {GO:0006614}</t>
  </si>
  <si>
    <t>sp|Q3TRM4|PLPL6_MOUSE</t>
  </si>
  <si>
    <t>Patatin-like phospholipase domain-containing protein 6</t>
  </si>
  <si>
    <t>Neuropathy target esterase</t>
  </si>
  <si>
    <t>PLPL6_MOUSE</t>
  </si>
  <si>
    <t>Q3TRM4</t>
  </si>
  <si>
    <t>Q7TQD6; Q9R114</t>
  </si>
  <si>
    <t>Nte</t>
  </si>
  <si>
    <t>MGI:1354723</t>
  </si>
  <si>
    <t>Alternative splicing; Endoplasmic reticulum; Glycoprotein; Hydrolase; Lipid degradation; Lipid metabolism; Membrane; Phosphoprotein; Repeat; Transmembrane; Transmembrane helix</t>
  </si>
  <si>
    <t>angiogenesis {GO:0001525}; animal organ morphogenesis {GO:0009887}; lipid catabolic process {GO:0016042}; phosphatidylcholine metabolic process {GO:0046470}</t>
  </si>
  <si>
    <t>cytosol {GO:0005829}; endoplasmic reticulum {GO:0005783}; endoplasmic reticulum membrane {GO:0005789}; integral component of membrane {GO:0016021}; membrane {GO:0016020}</t>
  </si>
  <si>
    <t>carboxylic ester hydrolase activity {GO:0052689}; lysophospholipase activity {GO:0004622}; phosphatidyl phospholipase B activity {GO:0102545}</t>
  </si>
  <si>
    <t>Glycerophospholipid catabolism {R-MMU-6814848}</t>
  </si>
  <si>
    <t>sp|P23242|CXA1_MOUSE</t>
  </si>
  <si>
    <t>Gap junction alpha-1 protein</t>
  </si>
  <si>
    <t>Connexin-43 (Cx43); Gap junction 43 kDa heart protein</t>
  </si>
  <si>
    <t>CXA1_MOUSE</t>
  </si>
  <si>
    <t>P23242</t>
  </si>
  <si>
    <t>Q544I7; Q8CE05</t>
  </si>
  <si>
    <t>Cxn-43</t>
  </si>
  <si>
    <t>MGI:95713</t>
  </si>
  <si>
    <t>Acetylation; Cell junction; Cell membrane; Disulfide bond; Endoplasmic reticulum; Gap junction; Isopeptide bond; Membrane; Phosphoprotein; S-nitrosylation; Transmembrane; Transmembrane helix; Ubl conjugation</t>
  </si>
  <si>
    <t>Cell junction; Cell membrane; Endoplasmic reticulum; Gap junction; Membrane</t>
  </si>
  <si>
    <t>Acetylation; Disulfide bond; Isopeptide bond; Phosphoprotein; S-nitrosylation; Ubl conjugation</t>
  </si>
  <si>
    <t>adult heart development {GO:0007512}; apoptotic process {GO:0006915}; ATP transport {GO:0015867}; atrial ventricular junction remodeling {GO:0003294}; blood vessel morphogenesis {GO:0048514}; bone development {GO:0060348}; bone remodeling {GO:0046849}; cardiac conduction {GO:0061337}; cell communication {GO:0007154}; cell communication by chemical coupling {GO:0010643}; cell communication by electrical coupling {GO:0010644}; cell-cell junction organization {GO:0045216}; cell-cell signaling {GO:0007267}; cellular response to amyloid-beta {GO:1904646}; cellular response to mechanical stimulus {GO:0071260}; cellular response to parathyroid hormone stimulus {GO:0071374}; cellular response to pH {GO:0071467}; chronic inflammatory response {GO:0002544}; columnar/cuboidal epithelial cell maturation {GO:0002069}; decidualization {GO:0046697}; embryonic digit morphogenesis {GO:0042733}; embryonic heart tube development {GO:0035050}; endothelium development {GO:0003158}; epicardial cell to mesenchymal cell transition {GO:0003347}; epididymis development {GO:1905867}; establishment of epithelial cell polarity {GO:0090162}; export across plasma membrane {GO:0140115}; glutamate secretion {GO:0014047}; heart development {GO:0007507}; heart looping {GO:0001947}; in utero embryonic development {GO:0001701}; lens development in camera-type eye {GO:0002088}; maintenance of protein localization in endoplasmic reticulum {GO:0035437}; male gonad development {GO:0008584}; microtubule-based transport {GO:0099111}; milk ejection reflex {GO:0060156}; negative regulation of cardiac muscle cell proliferation {GO:0060044}; negative regulation of cell growth {GO:0030308}; negative regulation of cell population proliferation {GO:0008285}; negative regulation of DNA biosynthetic process {GO:2000279}; negative regulation of endothelial cell proliferation {GO:0001937}; negative regulation of gene expression {GO:0010629}; negative regulation of wound healing {GO:0061045}; neuroblast migration {GO:0097402}; neuron migration {GO:0001764}; neuron projection morphogenesis {GO:0048812}; osteoblast differentiation {GO:0001649}; positive regulation of behavioral fear response {GO:2000987}; positive regulation of cell communication by chemical coupling {GO:0010652}; positive regulation of cold-induced thermogenesis {GO:0120162}; positive regulation of cytosolic calcium ion concentration {GO:0007204}; positive regulation of gene expression {GO:0010628}; positive regulation of glomerular filtration {GO:0003104}; positive regulation of insulin secretion {GO:0032024}; positive regulation of protein catabolic process {GO:0045732}; positive regulation of striated muscle tissue development {GO:0045844}; positive regulation of vasoconstriction {GO:0045907}; regulation of apoptotic process {GO:0042981}; regulation of atrial cardiac muscle cell membrane depolarization {GO:0060371}; regulation of bicellular tight junction assembly {GO:2000810}; regulation of blood vessel remodeling {GO:0060312}; regulation of bone mineralization {GO:0030500}; regulation of bone remodeling {GO:0046850}; regulation of calcium ion transport {GO:0051924}; regulation of cell communication by electrical coupling {GO:0010649}; regulation of heart contraction {GO:0008016}; regulation of transmembrane transporter activity {GO:0022898}; regulation of ventricular cardiac muscle cell membrane depolarization {GO:0060373}; regulation of ventricular cardiac muscle cell membrane repolarization {GO:0060307}; response to estradiol {GO:0032355}; response to fluid shear stress {GO:0034405}; response to glucose {GO:0009749}; response to ischemia {GO:0002931}; response to lipopolysaccharide {GO:0032496}; response to peptide hormone {GO:0043434}; response to pH {GO:0009268}; response to retinoic acid {GO:0032526}; skeletal muscle tissue regeneration {GO:0043403}; spermatogenesis {GO:0007283}; T cell activation {GO:0042110}; T cell proliferation {GO:0042098}; transmembrane transport {GO:0055085}; vascular transport {GO:0010232}; vasodilation {GO:0042311}; xenobiotic transport {GO:0042908}</t>
  </si>
  <si>
    <t>apical plasma membrane {GO:0016324}; cell junction {GO:0030054}; cell-cell contact zone {GO:0044291}; cell-cell junction {GO:0005911}; connexin complex {GO:0005922}; contractile fiber {GO:0043292}; cytoplasm {GO:0005737}; cytosol {GO:0005829}; early endosome {GO:0005769}; endoplasmic reticulum {GO:0005783}; endosome {GO:0005768}; fascia adherens {GO:0005916}; gap junction {GO:0005921}; Golgi apparatus {GO:0005794}; integral component of membrane {GO:0016021}; intercalated disc {GO:0014704}; intermediate filament {GO:0005882}; intracellular membrane-bounded organelle {GO:0043231}; late endosome {GO:0005770}; lateral plasma membrane {GO:0016328}; lysosome {GO:0005764}; membrane {GO:0016020}; membrane raft {GO:0045121}; mitochondrial outer membrane {GO:0005741}; mitochondrion {GO:0005739}; multivesicular body {GO:0005771}; nucleoplasm {GO:0005654}; nucleus {GO:0005634}; plasma membrane {GO:0005886}; protein-containing complex {GO:0032991}; tight junction {GO:0070160}</t>
  </si>
  <si>
    <t>alpha-tubulin binding {GO:0043014}; beta-catenin binding {GO:0008013}; beta-tubulin binding {GO:0048487}; connexin binding {GO:0071253}; disordered domain specific binding {GO:0097718}; efflux transmembrane transporter activity {GO:0015562}; gap junction channel activity {GO:0005243}; gap junction channel activity involved in cardiac conduction electrical coupling {GO:0086075}; gap junction channel activity involved in cell communication by electrical coupling {GO:1903763}; gap junction hemi-channel activity {GO:0055077}; glutathione transmembrane transporter activity {GO:0034634}; ion transmembrane transporter activity {GO:0015075}; PDZ domain binding {GO:0030165}; protein domain specific binding {GO:0019904}; protein tyrosine kinase binding {GO:1990782}; scaffold protein binding {GO:0097110}; SH3 domain binding {GO:0017124}; signaling receptor binding {GO:0005102}; tubulin binding {GO:0015631}</t>
  </si>
  <si>
    <t>Microtubule-dependent trafficking of connexons from Golgi to the plasma membrane {R-MMU-190840}; Gap junction assembly {R-MMU-190861}; Gap junction degradation {R-MMU-190873}; Regulation of gap junction activity {R-MMU-191650}; Formation of annular gap junctions {R-MMU-196025}; RHOQ GTPase cycle {R-MMU-9013406}</t>
  </si>
  <si>
    <t>sp|P17047|LAMP2_MOUSE</t>
  </si>
  <si>
    <t>Lysosome-associated membrane glycoprotein 2 (LAMP-2; Lysosome-associated membrane protein 2)</t>
  </si>
  <si>
    <t>CD107 antigen-like family member B; Lysosomal membrane glycoprotein type B (LGP-B); CD_antigen=CD107b</t>
  </si>
  <si>
    <t>LAMP2_MOUSE</t>
  </si>
  <si>
    <t>P17047</t>
  </si>
  <si>
    <t>A2A430; Q3TXG5; Q8BSG8</t>
  </si>
  <si>
    <t>Lamp-2</t>
  </si>
  <si>
    <t>MGI:96748</t>
  </si>
  <si>
    <t>3D-structure; Alternative splicing; Autophagy; Cell membrane; Cytoplasmic vesicle; Disulfide bond; Endosome; Glycoprotein; Lysosome; Membrane; Signal; Transmembrane; Transmembrane helix</t>
  </si>
  <si>
    <t>Cell membrane; Cytoplasmic vesicle; Endosome; Lysosome; Membrane</t>
  </si>
  <si>
    <t>autophagosome maturation {GO:0097352}; autophagy {GO:0006914}; cellular response to starvation {GO:0009267}; chaperone-mediated autophagy {GO:0061684}; establishment of protein localization to organelle {GO:0072594}; lysosomal protein catabolic process {GO:1905146}; muscle cell cellular homeostasis {GO:0046716}; negative regulation of protein-containing complex assembly {GO:0031333}; protein stabilization {GO:0050821}; protein targeting {GO:0006605}; protein targeting to lysosome involved in chaperone-mediated autophagy {GO:0061740}; regulation of protein stability {GO:0031647}</t>
  </si>
  <si>
    <t>autolysosome {GO:0044754}; chaperone-mediated autophagy translocation complex {GO:0061742}; endosome {GO:0005768}; extracellular exosome {GO:0070062}; extracellular space {GO:0005615}; integral component of autophagosome membrane {GO:0097637}; intracellular membrane-bounded organelle {GO:0043231}; late endosome {GO:0005770}; late endosome membrane {GO:0031902}; lysosomal matrix {GO:1990836}; lysosomal membrane {GO:0005765}; lysosome {GO:0005764}; membrane {GO:0016020}; membrane raft {GO:0045121}; perinuclear region of cytoplasm {GO:0048471}; phagocytic vesicle membrane {GO:0030670}; plasma membrane {GO:0005886}; platelet dense granule membrane {GO:0031088}; trans-Golgi network {GO:0005802}</t>
  </si>
  <si>
    <t>enzyme binding {GO:0019899}; protein domain specific binding {GO:0019904}</t>
  </si>
  <si>
    <t>Platelet degranulation {R-MMU-114608}; Neutrophil degranulation {R-MMU-6798695}</t>
  </si>
  <si>
    <t>sp|P31750|AKT1_MOUSE</t>
  </si>
  <si>
    <t>RAC-alpha serine/threonine-protein kinase</t>
  </si>
  <si>
    <t>AKT1 kinase; Protein kinase B (PKB); Protein kinase B alpha (PKB alpha); Proto-oncogene c-Akt; RAC-PK-alpha; Thymoma viral proto-oncogene</t>
  </si>
  <si>
    <t>AKT1_MOUSE</t>
  </si>
  <si>
    <t>P31750</t>
  </si>
  <si>
    <t>Q62274; Q6GSA6</t>
  </si>
  <si>
    <t>Akt; Rac</t>
  </si>
  <si>
    <t>MGI:87986</t>
  </si>
  <si>
    <t>Acetylation; Apoptosis; ATP-binding; Carbohydrate metabolism; Cell membrane; Cytoplasm; Developmental protein; Disulfide bond; Glucose metabolism; Glycogen biosynthesis; Glycogen metabolism; Glycoprotein; Isopeptide bond; Kinase; Membrane; Neurogenesis; Nucleotide-binding; Nucleus; Phosphoprotein; Serine/threonine-protein kinase; Sugar transport; Transferase; Translation regulation; Transport; Ubl conjugation</t>
  </si>
  <si>
    <t>Apoptosis; Carbohydrate metabolism; Glucose metabolism; Glycogen biosynthesis; Glycogen metabolism; Neurogenesis; Sugar transport; Translation regulation; Transport</t>
  </si>
  <si>
    <t>Developmental protein; Kinase; Serine/threonine-protein kinase; Transferase</t>
  </si>
  <si>
    <t>activation-induced cell death of T cells {GO:0006924}; aging {GO:0007568}; apoptotic mitochondrial changes {GO:0008637}; behavioral response to pain {GO:0048266}; carbohydrate transport {GO:0008643}; cell migration involved in sprouting angiogenesis {GO:0002042}; cell projection organization {GO:0030030}; cellular response to cadmium ion {GO:0071276}; cellular response to decreased oxygen levels {GO:0036294}; cellular response to DNA damage stimulus {GO:0006974}; cellular response to epidermal growth factor stimulus {GO:0071364}; cellular response to granulocyte macrophage colony-stimulating factor stimulus {GO:0097011}; cellular response to growth factor stimulus {GO:0071363}; cellular response to hypoxia {GO:0071456}; cellular response to insulin stimulus {GO:0032869}; cellular response to mechanical stimulus {GO:0071260}; cellular response to nerve growth factor stimulus {GO:1990090}; cellular response to organic cyclic compound {GO:0071407}; cellular response to oxidised low-density lipoprotein particle stimulus {GO:0140052}; cellular response to peptide {GO:1901653}; cellular response to prostaglandin E stimulus {GO:0071380}; cellular response to reactive oxygen species {GO:0034614}; cellular response to tumor necrosis factor {GO:0071356}; cellular response to vascular endothelial growth factor stimulus {GO:0035924}; cytoskeleton organization {GO:0007010}; epidermal growth factor receptor signaling pathway {GO:0007173}; establishment of protein localization to mitochondrion {GO:0072655}; execution phase of apoptosis {GO:0097194}; gene expression {GO:0010467}; germ cell development {GO:0007281}; glucose homeostasis {GO:0042593}; glucose metabolic process {GO:0006006}; glycogen biosynthetic process {GO:0005978}; glycogen cell differentiation involved in embryonic placenta development {GO:0060709}; glycogen metabolic process {GO:0005977}; I-kappaB kinase/NF-kappaB signaling {GO:0007249}; inflammatory response {GO:0006954}; insulin receptor signaling pathway {GO:0008286}; insulin-like growth factor receptor signaling pathway {GO:0048009}; interleukin-18-mediated signaling pathway {GO:0035655}; intracellular signal transduction {GO:0035556}; labyrinthine layer blood vessel development {GO:0060716}; lipopolysaccharide-mediated signaling pathway {GO:0031663}; maintenance of protein location in mitochondrion {GO:0072656}; maternal placenta development {GO:0001893}; negative regulation of apoptotic process {GO:0043066}; negative regulation of autophagy {GO:0010507}; negative regulation of calcium import into the mitochondrion {GO:0110099}; negative regulation of cell size {GO:0045792}; negative regulation of cysteine-type endopeptidase activity involved in apoptotic process {GO:0043154}; negative regulation of endopeptidase activity {GO:0010951}; negative regulation of fatty acid beta-oxidation {GO:0031999}; negative regulation of gene expression {GO:0010629}; negative regulation of intrinsic apoptotic signaling pathway {GO:2001243}; negative regulation of JNK cascade {GO:0046329}; negative regulation of leukocyte cell-cell adhesion {GO:1903038}; negative regulation of long-chain fatty acid import across plasma membrane {GO:0010748}; negative regulation of lymphocyte migration {GO:2000402}; negative regulation of protein binding {GO:0032091}; negative regulation of protein kinase activity {GO:0006469}; negative regulation of protein ubiquitination {GO:0031397}; negative regulation of proteolysis {GO:0045861}; negative regulation of release of cytochrome c from mitochondria {GO:0090201}; negative regulation of superoxide anion generation {GO:0032929}; NIK/NF-kappaB signaling {GO:0038061}; osteoblast differentiation {GO:0001649}; peptidyl-serine phosphorylation {GO:0018105}; peptidyl-threonine phosphorylation {GO:0018107}; peripheral nervous system myelin maintenance {GO:0032287}; phosphatidylinositol 3-kinase signaling {GO:0014065}; phosphorylation {GO:0016310}; positive regulation of apoptotic process {GO:0043065}; positive regulation of blood vessel endothelial cell migration {GO:0043536}; positive regulation of cell growth {GO:0030307}; positive regulation of cell population proliferation {GO:0008284}; positive regulation of cyclin-dependent protein serine/threonine kinase activity {GO:0045737}; positive regulation of DNA-binding transcription factor activity {GO:0051091}; positive regulation of DNA-templated transcription {GO:0045893}; positive regulation of endodeoxyribonuclease activity {GO:0032079}; positive regulation of endothelial cell migration {GO:0010595}; positive regulation of endothelial cell proliferation {GO:0001938}; positive regulation of fat cell differentiation {GO:0045600}; positive regulation of fibroblast migration {GO:0010763}; positive regulation of G1/S transition of mitotic cell cycle {GO:1900087}; positive regulation of gene expression {GO:0010628}; positive regulation of glucose import {GO:0046326}; positive regulation of glucose metabolic process {GO:0010907}; positive regulation of glycogen biosynthetic process {GO:0045725}; positive regulation of I-kappaB phosphorylation {GO:1903721}; positive regulation of lipid biosynthetic process {GO:0046889}; positive regulation of mitochondrial membrane potential {GO:0010918}; positive regulation of nitric oxide biosynthetic process {GO:0045429}; positive regulation of nitric-oxide synthase activity {GO:0051000}; positive regulation of organ growth {GO:0046622}; positive regulation of peptidyl-serine phosphorylation {GO:0033138}; positive regulation of proteasomal ubiquitin-dependent protein catabolic process {GO:0032436}; positive regulation of protein localization to cell surface {GO:2000010}; positive regulation of protein localization to nucleus {GO:1900182}; positive regulation of protein localization to plasma membrane {GO:1903078}; positive regulation of protein metabolic process {GO:0051247}; positive regulation of protein phosphorylation {GO:0001934}; positive regulation of smooth muscle cell proliferation {GO:0048661}; positive regulation of sodium ion transport {GO:0010765}; positive regulation of transcription by RNA polymerase II {GO:0045944}; positive regulation of vasoconstriction {GO:0045907}; proteasome-mediated ubiquitin-dependent protein catabolic process {GO:0043161}; protein catabolic process {GO:0030163}; protein import into nucleus {GO:0006606}; protein kinase B signaling {GO:0043491}; protein phosphorylation {GO:0006468}; protein ubiquitination {GO:0016567}; regulation of aerobic respiration {GO:1903715}; regulation of apoptotic process {GO:0042981}; regulation of cell migration {GO:0030334}; regulation of glycogen biosynthetic process {GO:0005979}; regulation of myelination {GO:0031641}; regulation of neuron projection development {GO:0010975}; regulation of protein localization {GO:0032880}; regulation of translation {GO:0006417}; response to fluid shear stress {GO:0034405}; response to food {GO:0032094}; response to growth factor {GO:0070848}; response to growth hormone {GO:0060416}; response to heat {GO:0009408}; response to hormone {GO:0009725}; response to insulin-like growth factor stimulus {GO:1990418}; response to organic substance {GO:0010033}; response to oxidative stress {GO:0006979}; response to UV-A {GO:0070141}; signal transduction {GO:0007165}; sphingosine-1-phosphate receptor signaling pathway {GO:0003376}; spinal cord development {GO:0021510}; striated muscle cell differentiation {GO:0051146}; translation {GO:0006412}</t>
  </si>
  <si>
    <t>cell-cell junction {GO:0005911}; ciliary basal body {GO:0036064}; cytoplasm {GO:0005737}; cytosol {GO:0005829}; microtubule cytoskeleton {GO:0015630}; mitochondrion {GO:0005739}; nucleoplasm {GO:0005654}; nucleus {GO:0005634}; plasma membrane {GO:0005886}; protein-containing complex {GO:0032991}; spindle {GO:0005819}; vesicle {GO:0031982}</t>
  </si>
  <si>
    <t>14-3-3 protein binding {GO:0071889}; ATP binding {GO:0005524}; calmodulin binding {GO:0005516}; enzyme binding {GO:0019899}; GTPase activating protein binding {GO:0032794}; identical protein binding {GO:0042802}; kinase activity {GO:0016301}; nitric-oxide synthase regulator activity {GO:0030235}; phosphatidylinositol-3,4,5-trisphosphate binding {GO:0005547}; phosphatidylinositol-3,4-bisphosphate binding {GO:0043325}; potassium channel activator activity {GO:0099104}; protein homodimerization activity {GO:0042803}; protein kinase activity {GO:0004672}; protein kinase binding {GO:0019901}; protein kinase C binding {GO:0005080}; protein phosphatase 2A binding {GO:0051721}; protein serine kinase activity {GO:0106310}; protein serine/threonine kinase activity {GO:0004674}; protein serine/threonine/tyrosine kinase activity {GO:0004712}</t>
  </si>
  <si>
    <t>PIP3 activates AKT signaling {R-MMU-1257604}; Downregulation of ERBB2:ERBB3 signaling {R-MMU-1358803}; Tetrahydrobiopterin (BH4) synthesis, recycling, salvage and regulation {R-MMU-1474151}; MTOR signalling {R-MMU-165159}; AKT phosphorylates targets in the cytosol {R-MMU-198323}; AKT phosphorylates targets in the nucleus {R-MMU-198693}; Negative regulation of the PI3K/AKT network {R-MMU-199418}; eNOS activation {R-MMU-203615}; AKT-mediated inactivation of FOXO1A {R-MMU-211163}; Integrin signaling {R-MMU-354192}; Deactivation of the beta-catenin transactivating complex {R-MMU-3769402}; CD28 dependent PI3K/Akt signaling {R-MMU-389357}; CTLA4 inhibitory signaling {R-MMU-389513}; G beta:gamma signalling through PI3Kgamma {R-MMU-392451}; Butyrate Response Factor 1 (BRF1) binds and destabilizes mRNA {R-MMU-450385}; KSRP (KHSRP) binds and destabilizes mRNA {R-MMU-450604}; VEGFR2 mediated vascular permeability {R-MMU-5218920}; TP53 Regulates Metabolic Genes {R-MMU-5628897}; Regulation of TP53 Degradation {R-MMU-6804757}; Regulation of TP53 Activity through Acetylation {R-MMU-6804758}; Regulation of TP53 Activity through Association with Co-factors {R-MMU-6804759}; PI5P, PP2A and IER3 Regulate PI3K/AKT Signaling {R-MMU-6811558}; Cyclin E associated events during G1/S transition {R-MMU-69202}; Cyclin A:Cdk2-associated events at S phase entry {R-MMU-69656}; PTK6 Regulates RTKs and Their Effectors AKT1 and DOK1 {R-MMU-8849469}; RAB GEFs exchange GTP for GDP on RABs {R-MMU-8876198}; Regulation of PTEN stability and activity {R-MMU-8948751}; Extra-nuclear estrogen signaling {R-MMU-9009391}; Negative regulation of NOTCH4 signaling {R-MMU-9604323}; FLT3 Signaling {R-MMU-9607240}; Regulation of localization of FOXO transcription factors {R-MMU-9614399}; Estrogen-dependent nuclear events downstream of ESR-membrane signaling {R-MMU-9634638}; KEAP1-NFE2L2 pathway {R-MMU-9755511}</t>
  </si>
  <si>
    <t>sp|Q8BFZ3|ACTBL_MOUSE</t>
  </si>
  <si>
    <t>Beta-actin-like protein 2</t>
  </si>
  <si>
    <t>Kappa-actin</t>
  </si>
  <si>
    <t>ACTBL_MOUSE</t>
  </si>
  <si>
    <t>Q8BFZ3</t>
  </si>
  <si>
    <t>MGI:2444552</t>
  </si>
  <si>
    <t>ATP-binding; Cytoplasm; Cytoskeleton; Nucleotide-binding; Oxidation</t>
  </si>
  <si>
    <t>Oxidation</t>
  </si>
  <si>
    <t>axonogenesis {GO:0007409}; cell motility {GO:0048870}</t>
  </si>
  <si>
    <t>actin filament {GO:0005884}; axon {GO:0030424}; cytoplasm {GO:0005737}; glutamatergic synapse {GO:0098978}; membrane {GO:0016020}; NuA4 histone acetyltransferase complex {GO:0035267}; synapse {GO:0045202}</t>
  </si>
  <si>
    <t>ATP binding {GO:0005524}; protein kinase binding {GO:0019901}; structural constituent of postsynaptic actin cytoskeleton {GO:0098973}</t>
  </si>
  <si>
    <t>sp|P11440|CDK1_MOUSE</t>
  </si>
  <si>
    <t>Cyclin-dependent kinase 1 (CDK1)</t>
  </si>
  <si>
    <t>Cell division control protein 2 homolog; Cell division protein kinase 1; p34 protein kinase</t>
  </si>
  <si>
    <t>CDK1_MOUSE</t>
  </si>
  <si>
    <t>P11440</t>
  </si>
  <si>
    <t>P70337; Q3TI12</t>
  </si>
  <si>
    <t>Cdc2; Cdc2a; Cdkn1</t>
  </si>
  <si>
    <t>MGI:88351</t>
  </si>
  <si>
    <t>Acetylation; Apoptosis; ATP-binding; Biological rhythms; Cell cycle; Cell division; Cytoplasm; Cytoskeleton; Isopeptide bond; Kinase; Mitochondrion; Mitosis; Nucleotide-binding; Nucleus; Phosphoprotein; Serine/threonine-protein kinase; Transferase; Ubl conjugation</t>
  </si>
  <si>
    <t>Apoptosis; Biological rhythms; Cell cycle; Cell division; Mitosis</t>
  </si>
  <si>
    <t>animal organ regeneration {GO:0031100}; apoptotic process {GO:0006915}; cell division {GO:0051301}; cellular response to hydrogen peroxide {GO:0070301}; cellular response to organic cyclic compound {GO:0071407}; chromosome condensation {GO:0030261}; epithelial cell differentiation {GO:0030855}; fibroblast proliferation {GO:0048144}; G2/M transition of mitotic cell cycle {GO:0000086}; Golgi disassembly {GO:0090166}; mitotic cell cycle phase transition {GO:0044772}; mitotic G2 DNA damage checkpoint signaling {GO:0007095}; negative regulation of apoptotic process {GO:0043066}; negative regulation of gene expression {GO:0010629}; peptidyl-serine phosphorylation {GO:0018105}; peptidyl-threonine phosphorylation {GO:0018107}; positive regulation of cardiac muscle cell proliferation {GO:0060045}; positive regulation of DNA replication {GO:0045740}; positive regulation of G2/M transition of mitotic cell cycle {GO:0010971}; positive regulation of gene expression {GO:0010628}; positive regulation of mitochondrial ATP synthesis coupled electron transport {GO:1905448}; positive regulation of mitotic cell cycle {GO:0045931}; positive regulation of protein import into nucleus {GO:0042307}; positive regulation of protein localization to nucleus {GO:1900182}; protein localization to kinetochore {GO:0034501}; protein phosphorylation {GO:0006468}; protein-containing complex assembly {GO:0065003}; regulation of circadian rhythm {GO:0042752}; response to activity {GO:0014823}; response to amine {GO:0014075}; response to axon injury {GO:0048678}; response to cadmium ion {GO:0046686}; response to copper ion {GO:0046688}; response to ethanol {GO:0045471}; response to organonitrogen compound {GO:0010243}; response to toxic substance {GO:0009636}; response to xenobiotic stimulus {GO:0009410}; rhythmic process {GO:0048511}; ventricular cardiac muscle cell development {GO:0055015}</t>
  </si>
  <si>
    <t>centrosome {GO:0005813}; cyclin B1-CDK1 complex {GO:0097125}; cyclin-dependent protein kinase holoenzyme complex {GO:0000307}; cytoplasm {GO:0005737}; cytosol {GO:0005829}; midbody {GO:0030496}; mitochondrial matrix {GO:0005759}; mitotic spindle {GO:0072686}; nucleoplasm {GO:0005654}; nucleus {GO:0005634}; spindle microtubule {GO:0005876}</t>
  </si>
  <si>
    <t>ATP binding {GO:0005524}; chromatin binding {GO:0003682}; cyclin binding {GO:0030332}; cyclin-dependent protein kinase activity {GO:0097472}; cyclin-dependent protein serine/threonine kinase activity {GO:0004693}; histone kinase activity {GO:0035173}; Hsp70 protein binding {GO:0030544}; kinase activity {GO:0016301}; protein kinase activity {GO:0004672}; protein serine kinase activity {GO:0106310}; protein serine/threonine kinase activity {GO:0004674}; RNA polymerase II CTD heptapeptide repeat kinase activity {GO:0008353}</t>
  </si>
  <si>
    <t>MAPK3 (ERK1) activation {R-MMU-110056}; APC/C:Cdc20 mediated degradation of Cyclin B {R-MMU-174048}; Cdc20:Phospho-APC/C mediated degradation of Cyclin A {R-MMU-174184}; Regulation of APC/C activators between G1/S and early anaphase {R-MMU-176408}; Phosphorylation of the APC/C {R-MMU-176412}; Phosphorylation of Emi1 {R-MMU-176417}; Condensation of Prophase Chromosomes {R-MMU-2299718}; Resolution of Sister Chromatid Cohesion {R-MMU-2500257}; Regulation of PLK1 Activity at G2/M Transition {R-MMU-2565942}; Activation of NIMA Kinases NEK9, NEK6, NEK7 {R-MMU-2980767}; Initiation of Nuclear Envelope (NE) Reformation {R-MMU-2995383}; Nuclear Pore Complex (NPC) Disassembly {R-MMU-3301854};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Depolymerisation of the Nuclear Lamina {R-MMU-4419969}; Anchoring of the basal body to the plasma membrane {R-MMU-5620912}; MAPK6/MAPK4 signaling {R-MMU-5687128}; Ovarian tumor domain proteases {R-MMU-5689896}; TP53 Regulates Transcription of Genes Involved in G2 Cell Cycle Arrest {R-MMU-6804114}; Regulation of TP53 Degradation {R-MMU-6804757}; Mitotic Prophase {R-MMU-68875}; Cyclin A/B1/B2 associated events during G2/M transition {R-MMU-69273}; G2/M DNA replication checkpoint {R-MMU-69478}; Chk1/Chk2(Cds1) mediated inactivation of Cyclin B:Cdk1 complex {R-MMU-75035}; The role of GTSE1 in G2/M progression after G2 checkpoint {R-MMU-8852276}; AURKA Activation by TPX2 {R-MMU-8854518}; Transcriptional regulation by RUNX2 {R-MMU-8878166}</t>
  </si>
  <si>
    <t>sp|Q6A058|ARMX2_MOUSE</t>
  </si>
  <si>
    <t>Armadillo repeat-containing X-linked protein 2</t>
  </si>
  <si>
    <t>ARMX2_MOUSE</t>
  </si>
  <si>
    <t>Q6A058</t>
  </si>
  <si>
    <t>A2AKS5; Q9CXI9</t>
  </si>
  <si>
    <t>Kiaa0512</t>
  </si>
  <si>
    <t>MGI:1914666</t>
  </si>
  <si>
    <t>Membrane; Mitochondrion; Mitochondrion outer membrane; Repeat; Signal-anchor; Transmembrane; Transmembrane helix</t>
  </si>
  <si>
    <t>Repeat; Signal-anchor; Transmembrane; Transmembrane helix</t>
  </si>
  <si>
    <t>integral component of membrane {GO:0016021}; mitochondrial outer membrane {GO:0005741}; mitochondrion {GO:0005739}</t>
  </si>
  <si>
    <t>sp|Q9D0B6|PBDC1_MOUSE</t>
  </si>
  <si>
    <t>Protein PBDC1</t>
  </si>
  <si>
    <t>Polysaccharide biosynthesis domain-containing protein 1</t>
  </si>
  <si>
    <t>PBDC1_MOUSE</t>
  </si>
  <si>
    <t>Q9D0B6</t>
  </si>
  <si>
    <t>B1AUP5; Q8C5Z2; Q9CVL0</t>
  </si>
  <si>
    <t>MGI:1914933</t>
  </si>
  <si>
    <t>sp|Q80TH2|ERBIN_MOUSE</t>
  </si>
  <si>
    <t>Erbin</t>
  </si>
  <si>
    <t>Densin-180-like protein; Erbb2-interacting protein; Protein LAP2</t>
  </si>
  <si>
    <t>ERBIN_MOUSE</t>
  </si>
  <si>
    <t>Q80TH2</t>
  </si>
  <si>
    <t>E9QND6; Q8BQ14; Q8CE41; Q8K171; Q99JU3; Q9JI47</t>
  </si>
  <si>
    <t>MGI:1890169</t>
  </si>
  <si>
    <t>Alternative splicing; Cell junction; Cell membrane; Leucine-rich repeat; Membrane; Nucleus; Phosphoprotein; Repeat</t>
  </si>
  <si>
    <t>Cell junction; Cell membrane; Membrane; Nucleus</t>
  </si>
  <si>
    <t>cellular response to tumor necrosis factor {GO:0071356}; negative regulation of monocyte chemotactic protein-1 production {GO:0071638}; negative regulation of NF-kappaB transcription factor activity {GO:0032088}; negative regulation of nucleotide-binding oligomerization domain containing 2 signaling pathway {GO:0070433}; positive regulation of Ras protein signal transduction {GO:0046579}; protein targeting {GO:0006605}; regulation of postsynaptic membrane neurotransmitter receptor levels {GO:0099072}; response to lipopolysaccharide {GO:0032496}; response to muramyl dipeptide {GO:0032495}; signal transduction {GO:0007165}</t>
  </si>
  <si>
    <t>basolateral plasma membrane {GO:0016323}; cell junction {GO:0030054}; cytoplasm {GO:0005737}; glutamatergic synapse {GO:0098978}; hemidesmosome {GO:0030056}; neuromuscular junction {GO:0031594}; nuclear membrane {GO:0031965}; nuclear speck {GO:0016607}; nucleus {GO:0005634}; plasma membrane {GO:0005886}; postsynapse {GO:0098794}; postsynaptic specialization {GO:0099572}</t>
  </si>
  <si>
    <t>ErbB-2 class receptor binding {GO:0005176}; signaling receptor binding {GO:0005102}</t>
  </si>
  <si>
    <t>Signaling by ERBB2 {R-MMU-1227986}; Downregulation of ERBB2 signaling {R-MMU-8863795}; RHOA GTPase cycle {R-MMU-8980692}; RHOB GTPase cycle {R-MMU-9013026}; RHOC GTPase cycle {R-MMU-9013106}; RAC1 GTPase cycle {R-MMU-9013149}; RAC2 GTPase cycle {R-MMU-9013404}; RHOG GTPase cycle {R-MMU-9013408}; RAC3 GTPase cycle {R-MMU-9013423}; Drug-mediated inhibition of ERBB2 signaling {R-MMU-9652282}</t>
  </si>
  <si>
    <t>sp|P17183|ENOG_MOUSE</t>
  </si>
  <si>
    <t>Gamma-enolase</t>
  </si>
  <si>
    <t>2-phospho-D-glycerate hydro-lyase; Enolase 2; Neural enolase; Neuron-specific enolase (NSE)</t>
  </si>
  <si>
    <t>ENOG_MOUSE</t>
  </si>
  <si>
    <t>P17183</t>
  </si>
  <si>
    <t>Eno-2</t>
  </si>
  <si>
    <t>MGI:95394</t>
  </si>
  <si>
    <t>canonical glycolysis {GO:0061621}; gluconeogenesis {GO:0006094}; glycolytic process {GO:0006096}; multicellular organismal reproductive process {GO:0048609}; negative regulation of neuron death {GO:1901215}; regulation of neuron death {GO:1901214}; response to estradiol {GO:0032355}; response to xenobiotic stimulus {GO:0009410}</t>
  </si>
  <si>
    <t>cell cortex {GO:0005938}; cell surface {GO:0009986}; cytoplasm {GO:0005737}; cytosol {GO:0005829}; growth cone {GO:0030426}; membrane {GO:0016020}; membrane raft {GO:0045121}; myelin sheath {GO:0043209}; neuron projection {GO:0043005}; neuronal cell body {GO:0043025}; perikaryon {GO:0043204}; phosphopyruvate hydratase complex {GO:0000015}; photoreceptor inner segment {GO:0001917}; plasma membrane {GO:0005886}; synaptic membrane {GO:0097060}</t>
  </si>
  <si>
    <t>enzyme binding {GO:0019899}; identical protein binding {GO:0042802}; magnesium ion binding {GO:0000287}; phosphopyruvate hydratase activity {GO:0004634}; protein-containing complex binding {GO:0044877}</t>
  </si>
  <si>
    <t>sp|Q920N2|BPL1_MOUSE</t>
  </si>
  <si>
    <t>Biotin--[acetyl-CoA-carboxylase] ligase</t>
  </si>
  <si>
    <t>Biotin apo-protein ligase; Holocarboxylase synthetase (HCS)</t>
  </si>
  <si>
    <t>BPL1_MOUSE</t>
  </si>
  <si>
    <t>Q920N2</t>
  </si>
  <si>
    <t>MGI:894646</t>
  </si>
  <si>
    <t>ATP-binding; Cytoplasm; Ligase; Mitochondrion; Multifunctional enzyme; Nucleotide-binding; Phosphoprotein</t>
  </si>
  <si>
    <t>Ligase; Multifunctional enzyme</t>
  </si>
  <si>
    <t>post-translational protein modification {GO:0043687}; response to biotin {GO:0070781}</t>
  </si>
  <si>
    <t>chromatin {GO:0000785}; cytoplasm {GO:0005737}; cytosol {GO:0005829}; mitochondrion {GO:0005739}; nuclear lamina {GO:0005652}; nuclear matrix {GO:0016363}</t>
  </si>
  <si>
    <t>ATP binding {GO:0005524}; biotin binding {GO:0009374}; biotin-[acetyl-CoA-carboxylase] ligase activity {GO:0004077}; biotin-[methylcrotonoyl-CoA-carboxylase] ligase activity {GO:0004078}; biotin-[methylmalonyl-CoA-carboxytransferase] ligase activity {GO:0004079}; biotin-[propionyl-CoA-carboxylase (ATP-hydrolyzing)] ligase activity {GO:0004080}; biotin-protein ligase activity {GO:0018271}; enzyme binding {GO:0019899}; identical protein binding {GO:0042802}</t>
  </si>
  <si>
    <t>Biotin transport and metabolism {R-MMU-196780}</t>
  </si>
  <si>
    <t>sp|Q3THG9|AASD1_MOUSE</t>
  </si>
  <si>
    <t>Alanyl-tRNA editing protein Aarsd1</t>
  </si>
  <si>
    <t>Alanyl-tRNA deacylase alaX (AlaX; AlaXp-II); Alanyl-tRNA synthetase domain-containing protein 1</t>
  </si>
  <si>
    <t>AASD1_MOUSE</t>
  </si>
  <si>
    <t>Q3THG9</t>
  </si>
  <si>
    <t>Q3UWH8; Q8BVJ6; Q99JS9</t>
  </si>
  <si>
    <t>Alax</t>
  </si>
  <si>
    <t>MGI:1916934</t>
  </si>
  <si>
    <t>Cytoplasm; Metal-binding; Phosphoprotein; Protein biosynthesis; Zinc</t>
  </si>
  <si>
    <t>alanyl-tRNA aminoacylation {GO:0006419}; regulation of translational fidelity {GO:0006450}</t>
  </si>
  <si>
    <t>alanine-tRNA ligase activity {GO:0004813}; aminoacyl-tRNA editing activity {GO:0002161}; ATP binding {GO:0005524}; metal ion binding {GO:0046872}; nucleic acid binding {GO:0003676}; Ser-tRNA(Ala) hydrolase activity {GO:0002196}</t>
  </si>
  <si>
    <t>tr|D3Z0M9|D3Z0M9_MOUSE</t>
  </si>
  <si>
    <t>sp|Q9JJU8|SH3L1_MOUSE</t>
  </si>
  <si>
    <t>Adapter Sh3bgrl</t>
  </si>
  <si>
    <t>SH3 domain-binding glutamic acid-rich-like protein 1</t>
  </si>
  <si>
    <t>SH3L1_MOUSE</t>
  </si>
  <si>
    <t>Q9JJU8</t>
  </si>
  <si>
    <t>A2ALN7; Q3UB57</t>
  </si>
  <si>
    <t>MGI:1930849</t>
  </si>
  <si>
    <t>Cell membrane; Cytoplasm; Membrane; SH3-binding</t>
  </si>
  <si>
    <t>positive regulation of cytoplasmic translational initiation {GO:1904690}; proteasome-mediated ubiquitin-dependent protein catabolic process {GO:0043161}</t>
  </si>
  <si>
    <t>protein-RNA adaptor activity {GO:0140517}; SH3 domain binding {GO:0017124}; ubiquitin ligase-substrate adaptor activity {GO:1990756}</t>
  </si>
  <si>
    <t>sp|P54731|FAF1_MOUSE</t>
  </si>
  <si>
    <t>FAS-associated factor 1</t>
  </si>
  <si>
    <t>FAF1_MOUSE</t>
  </si>
  <si>
    <t>P54731</t>
  </si>
  <si>
    <t>Q6P1F8</t>
  </si>
  <si>
    <t>MGI:109419</t>
  </si>
  <si>
    <t>Apoptosis; Nucleus; Phosphoprotein</t>
  </si>
  <si>
    <t>apoptotic process {GO:0006915}; cell death {GO:0008219}; cytoplasmic sequestering of NF-kappaB {GO:0007253}; positive regulation of cell death {GO:0010942}; positive regulation of DNA replication {GO:0045740}; positive regulation of extrinsic apoptotic signaling pathway via death domain receptors {GO:1902043}; positive regulation of protein catabolic process {GO:0045732}; positive regulation of protein-containing complex assembly {GO:0031334}; regulation of cell adhesion {GO:0030155}; regulation of protein catabolic process {GO:0042176}; ubiquitin-dependent ERAD pathway {GO:0030433}</t>
  </si>
  <si>
    <t>cytoplasm {GO:0005737}; cytosol {GO:0005829}; endoplasmic reticulum {GO:0005783}; nuclear envelope {GO:0005635}; nucleoplasm {GO:0005654}; nucleus {GO:0005634}; ooplasm {GO:1990917}; perinuclear region of cytoplasm {GO:0048471}; VCP-NPL4-UFD1 AAA ATPase complex {GO:0034098}</t>
  </si>
  <si>
    <t>heat shock protein binding {GO:0031072}; NF-kappaB binding {GO:0051059}; protein domain specific binding {GO:0019904}; protein kinase binding {GO:0019901}; ubiquitin binding {GO:0043130}; ubiquitin protein ligase binding {GO:0031625}</t>
  </si>
  <si>
    <t>sp|P97494|GSH1_MOUSE</t>
  </si>
  <si>
    <t>Glutamate--cysteine ligase catalytic subunit</t>
  </si>
  <si>
    <t>GCS heavy chain; Gamma-ECS; Gamma-glutamylcysteine synthetase</t>
  </si>
  <si>
    <t>GSH1_MOUSE</t>
  </si>
  <si>
    <t>P97494</t>
  </si>
  <si>
    <t>O09166; Q8VCS5</t>
  </si>
  <si>
    <t>Glclc</t>
  </si>
  <si>
    <t>MGI:104990</t>
  </si>
  <si>
    <t>Acetylation; ATP-binding; Glutathione biosynthesis; Ligase; Nucleotide-binding; Phosphoprotein</t>
  </si>
  <si>
    <t>aging {GO:0007568}; blood vessel diameter maintenance {GO:0097746}; cell redox homeostasis {GO:0045454}; cellular response to fibroblast growth factor stimulus {GO:0044344}; cellular response to follicle-stimulating hormone stimulus {GO:0071372}; cellular response to glucose stimulus {GO:0071333}; cellular response to hepatocyte growth factor stimulus {GO:0035729}; cellular response to insulin stimulus {GO:0032869}; cellular response to mechanical stimulus {GO:0071260}; cellular response to thyroxine stimulus {GO:0097069}; cysteine metabolic process {GO:0006534}; glutamate metabolic process {GO:0006536}; glutathione biosynthetic process {GO:0006750}; glutathione metabolic process {GO:0006749}; L-ascorbic acid metabolic process {GO:0019852}; negative regulation of apoptotic process {GO:0043066}; negative regulation of DNA-templated transcription {GO:0045892}; negative regulation of extrinsic apoptotic signaling pathway {GO:2001237}; negative regulation of hepatic stellate cell activation {GO:2000490}; negative regulation of mitochondrial outer membrane permeabilization involved in apoptotic signaling pathway {GO:1901029}; negative regulation of neuron apoptotic process {GO:0043524}; negative regulation of protein ubiquitination {GO:0031397}; positive regulation of proteasomal ubiquitin-dependent protein catabolic process {GO:0032436}; regulation of mitochondrial depolarization {GO:0051900}; response to activity {GO:0014823}; response to arsenic-containing substance {GO:0046685}; response to cadmium ion {GO:0046686}; response to heat {GO:0009408}; response to hormone {GO:0009725}; response to human chorionic gonadotropin {GO:0044752}; response to interleukin-1 {GO:0070555}; response to nitrosative stress {GO:0051409}; response to nutrient {GO:0007584}; response to oxidative stress {GO:0006979}; response to xenobiotic stimulus {GO:0009410}</t>
  </si>
  <si>
    <t>cytosol {GO:0005829}; glutamate-cysteine ligase complex {GO:0017109}; mitochondrion {GO:0005739}</t>
  </si>
  <si>
    <t>ADP binding {GO:0043531}; ATP binding {GO:0005524}; glutamate binding {GO:0016595}; glutamate-cysteine ligase activity {GO:0004357}; magnesium ion binding {GO:0000287}; protein-containing complex binding {GO:0044877}</t>
  </si>
  <si>
    <t>Sulfur metabolism; glutathione biosynthesis; glutathione from L-cysteine and L-glutamate: step 1/2..</t>
  </si>
  <si>
    <t>sp|P83917|CBX1_MOUSE</t>
  </si>
  <si>
    <t>Chromobox protein homolog 1</t>
  </si>
  <si>
    <t>Heterochromatin protein 1 homolog beta (HP1 beta); Heterochromatin protein p25; M31; Modifier 1 protein</t>
  </si>
  <si>
    <t>CBX1_MOUSE</t>
  </si>
  <si>
    <t>P83917</t>
  </si>
  <si>
    <t>P23197</t>
  </si>
  <si>
    <t>Cbx</t>
  </si>
  <si>
    <t>MGI:105369</t>
  </si>
  <si>
    <t>3D-structure; Isopeptide bond; Nucleus; Phosphoprotein; Repeat; Ubl conjugation</t>
  </si>
  <si>
    <t>chromatin {GO:0000785}; chromocenter {GO:0010369}; chromosome, centromeric region {GO:0000775}; chromosome, telomeric region {GO:0000781}; female pronucleus {GO:0001939}; male pronucleus {GO:0001940}; nucleus {GO:0005634}; pericentric heterochromatin {GO:0005721}; site of DNA damage {GO:0090734}; spindle {GO:0005819}</t>
  </si>
  <si>
    <t>chromatin binding {GO:0003682}; enzyme binding {GO:0019899}; histone methyltransferase binding {GO:1990226}; identical protein binding {GO:0042802}; methylated histone binding {GO:0035064}</t>
  </si>
  <si>
    <t>sp|Q8CIB5|FERM2_MOUSE</t>
  </si>
  <si>
    <t>Fermitin family homolog 2</t>
  </si>
  <si>
    <t>Kindlin-2; Pleckstrin homology domain-containing family C member 1</t>
  </si>
  <si>
    <t>FERM2_MOUSE</t>
  </si>
  <si>
    <t>Q8CIB5</t>
  </si>
  <si>
    <t>Q8C542; Q8K035</t>
  </si>
  <si>
    <t>Plekhc1</t>
  </si>
  <si>
    <t>MGI:2385001</t>
  </si>
  <si>
    <t>3D-structure; Cell adhesion; Cell junction; Cell membrane; Cell projection; Cell shape; Cytoplasm; Cytoskeleton; Lipid-binding; Membrane; Nucleus; Phosphoprotein; Wnt signaling pathway</t>
  </si>
  <si>
    <t>Cell adhesion; Cell shape; Wnt signaling pathway</t>
  </si>
  <si>
    <t>adherens junction maintenance {GO:0034334}; cell adhesion {GO:0007155}; cell-matrix adhesion {GO:0007160}; focal adhesion assembly {GO:0048041}; integrin activation {GO:0033622}; integrin-mediated signaling pathway {GO:0007229}; limb development {GO:0060173}; negative regulation of cell death {GO:0060548}; negative regulation of fat cell differentiation {GO:0045599}; negative regulation of vascular permeability {GO:0043116}; positive regulation of cell migration {GO:0030335}; positive regulation of epithelial to mesenchymal transition {GO:0010718}; positive regulation of ERK1 and ERK2 cascade {GO:0070374}; positive regulation of focal adhesion assembly {GO:0051894}; positive regulation of GTPase activity {GO:0043547}; positive regulation of integrin activation {GO:0033625}; positive regulation of mesenchymal stem cell proliferation {GO:1902462}; positive regulation of myosin light chain kinase activity {GO:0035505}; positive regulation of osteoblast differentiation {GO:0045669}; positive regulation of protein kinase B signaling {GO:0051897}; positive regulation of protein localization to nucleus {GO:1900182}; positive regulation of stress fiber assembly {GO:0051496}; positive regulation of substrate adhesion-dependent cell spreading {GO:1900026}; positive regulation of wound healing, spreading of epidermal cells {GO:1903691}; protein localization to cell junction {GO:1902414}; protein localization to membrane {GO:0072657}; regulation of cell morphogenesis {GO:0022604}; regulation of cell shape {GO:0008360}; substrate adhesion-dependent cell spreading {GO:0034446}; transforming growth factor beta receptor signaling pathway {GO:0007179}; Wnt signaling pathway {GO:0016055}</t>
  </si>
  <si>
    <t>adherens junction {GO:0005912}; cell cortex {GO:0005938}; cell junction {GO:0030054}; cell surface {GO:0009986}; cell-substrate junction {GO:0030055}; cytoplasm {GO:0005737}; cytosol {GO:0005829}; extrinsic component of cytoplasmic side of plasma membrane {GO:0031234}; focal adhesion {GO:0005925}; I band {GO:0031674}; lamellipodium membrane {GO:0031258}; nucleoplasm {GO:0005654}; nucleus {GO:0005634}; plasma membrane {GO:0005886}; stress fiber {GO:0001725}</t>
  </si>
  <si>
    <t>actin binding {GO:0003779}; actin filament binding {GO:0051015}; integrin binding {GO:0005178}; phosphatidylinositol-3,4,5-trisphosphate binding {GO:0005547}; protein kinase binding {GO:0019901}; SMAD binding {GO:0046332}; type I transforming growth factor beta receptor binding {GO:0034713}</t>
  </si>
  <si>
    <t>Cell-extracellular matrix interactions {R-MMU-446353}; RAC1 GTPase cycle {R-MMU-9013149}; RAC3 GTPase cycle {R-MMU-9013423}</t>
  </si>
  <si>
    <t>tr|F8VQ05|F8VQ05_MOUSE</t>
  </si>
  <si>
    <t>sp|Q9CQZ5|NDUA6_MOUSE</t>
  </si>
  <si>
    <t>NADH dehydrogenase [ubiquinone] 1 alpha subcomplex subunit 6</t>
  </si>
  <si>
    <t>Complex I-B14 (CI-B14); NADH-ubiquinone oxidoreductase B14 subunit</t>
  </si>
  <si>
    <t>NDUA6_MOUSE</t>
  </si>
  <si>
    <t>Q9CQZ5</t>
  </si>
  <si>
    <t>MGI:1914380</t>
  </si>
  <si>
    <t>3D-structure; Electron transport; Membrane; Mitochondrion; Mitochondrion inner membrane; Respiratory chain; Transport</t>
  </si>
  <si>
    <t>aerobic respiration {GO:0009060}; mitochondrial respiratory chain complex I assembly {GO:0032981}; proton motive force-driven mitochondrial ATP synthesis {GO:0042776}; response to oxidative stress {GO:0006979}</t>
  </si>
  <si>
    <t>mitochondrial inner membrane {GO:0005743}; mitochondrial membrane {GO:0031966}; mitochondrial respiratory chain complex I {GO:0005747}; mitochondrion {GO:0005739}</t>
  </si>
  <si>
    <t>sp|Q9JKB1|UCHL3_MOUSE</t>
  </si>
  <si>
    <t>Ubiquitin carboxyl-terminal hydrolase isozyme L3 (UCH-L3)</t>
  </si>
  <si>
    <t>Ubiquitin thioesterase L3</t>
  </si>
  <si>
    <t>UCHL3_MOUSE</t>
  </si>
  <si>
    <t>Q9JKB1</t>
  </si>
  <si>
    <t>Q9EQX7</t>
  </si>
  <si>
    <t>MGI:1355274</t>
  </si>
  <si>
    <t>Cytoplasm; Hydrolase; Phosphoprotein; Protease; Thiol protease; Ubl conjugation pathway</t>
  </si>
  <si>
    <t>adult walking behavior {GO:0007628}; cellular response to insulin stimulus {GO:0032869}; eating behavior {GO:0042755}; positive regulation of fat cell differentiation {GO:0045600}; protein catabolic process {GO:0030163}; protein deubiquitination {GO:0016579}; retina development in camera-type eye {GO:0060041}; ubiquitin-dependent protein catabolic process {GO:0006511}</t>
  </si>
  <si>
    <t>cysteine-type deubiquitinase activity {GO:0004843}; deubiquitinase activity {GO:0101005}; peptidase activity {GO:0008233}; ubiquitin binding {GO:0043130}</t>
  </si>
  <si>
    <t>UCH proteinases {R-MMU-5689603}; Synthesis of active ubiquitin: roles of E1 and E2 enzymes {R-MMU-8866652}; Neddylation {R-MMU-8951664}</t>
  </si>
  <si>
    <t>sp|Q9JM14|NT5C_MOUSE</t>
  </si>
  <si>
    <t>5'(3')-deoxyribonucleotidase, cytosolic type</t>
  </si>
  <si>
    <t>Cytosolic 5',3'-pyrimidine nucleotidase; Deoxy-5'-nucleotidase 1 (dNT-1)</t>
  </si>
  <si>
    <t>NT5C_MOUSE</t>
  </si>
  <si>
    <t>Q9JM14</t>
  </si>
  <si>
    <t>Dnt1</t>
  </si>
  <si>
    <t>MGI:1354954</t>
  </si>
  <si>
    <t>3D-structure; Cytoplasm; Hydrolase; Magnesium; Metal-binding; Nucleotide metabolism; Nucleotide-binding; Phosphoprotein</t>
  </si>
  <si>
    <t>allantoin metabolic process {GO:0000255}; dCMP catabolic process {GO:0006249}; deoxyribonucleotide catabolic process {GO:0009264}; dephosphorylation {GO:0016311}; dGMP catabolic process {GO:0046055}; dTMP catabolic process {GO:0046074}; dUMP catabolic process {GO:0046079}; IMP catabolic process {GO:0006204}; pyrimidine deoxyribonucleotide catabolic process {GO:0009223}; UMP catabolic process {GO:0046050}</t>
  </si>
  <si>
    <t>5'-nucleotidase activity {GO:0008253}; identical protein binding {GO:0042802}; IMP 5'-nucleotidase activity {GO:0050483}; metal ion binding {GO:0046872}; nucleotidase activity {GO:0008252}; phosphatase activity {GO:0016791}; pyrimidine nucleotide binding {GO:0019103}</t>
  </si>
  <si>
    <t>Pyrimidine catabolism {R-MMU-73621}; Purine catabolism {R-MMU-74259}</t>
  </si>
  <si>
    <t>sp|Q99K01|PDXD1_MOUSE</t>
  </si>
  <si>
    <t>Pyridoxal-dependent decarboxylase domain-containing protein 1</t>
  </si>
  <si>
    <t>PDXD1_MOUSE</t>
  </si>
  <si>
    <t>Q99K01</t>
  </si>
  <si>
    <t>Q3TCL3; Q3TN13; Q8BMK9; Q8BW02; Q8BW51; Q8BZZ4; Q9DC25</t>
  </si>
  <si>
    <t>MGI:1920909</t>
  </si>
  <si>
    <t>Alternative splicing; Decarboxylase; Lyase; Phosphoprotein; Pyridoxal phosphate</t>
  </si>
  <si>
    <t>Decarboxylase; Lyase</t>
  </si>
  <si>
    <t>carboxylic acid metabolic process {GO:0019752}</t>
  </si>
  <si>
    <t>Golgi apparatus {GO:0005794}; intracellular membrane-bounded organelle {GO:0043231}</t>
  </si>
  <si>
    <t>carboxy-lyase activity {GO:0016831}; pyridoxal phosphate binding {GO:0030170}</t>
  </si>
  <si>
    <t>sp|Q9Z315|SNUT1_MOUSE</t>
  </si>
  <si>
    <t>U4/U6.U5 tri-snRNP-associated protein 1</t>
  </si>
  <si>
    <t>Hypoxia-associated factor; Squamous cell carcinoma antigen recognized by T-cells 1 (SART-1; mSART-1)</t>
  </si>
  <si>
    <t>SNUT1_MOUSE</t>
  </si>
  <si>
    <t>Q9Z315</t>
  </si>
  <si>
    <t>Q8K155; Q9R1I9; Q9R270</t>
  </si>
  <si>
    <t>Haf</t>
  </si>
  <si>
    <t>MGI:1309453</t>
  </si>
  <si>
    <t>Coiled coil; Isopeptide bond; mRNA processing; mRNA splicing; Nucleus; Phosphoprotein; Spliceosome; Ubl conjugation</t>
  </si>
  <si>
    <t>maturation of 5S rRNA {GO:0000481}; mRNA cis splicing, via spliceosome {GO:0045292}; mRNA splicing, via spliceosome {GO:0000398}; positive regulation of cytotoxic T cell differentiation {GO:0045585}</t>
  </si>
  <si>
    <t>Cajal body {GO:0015030}; catalytic step 2 spliceosome {GO:0071013}; Golgi apparatus {GO:0005794}; nuclear speck {GO:0016607}; nucleoplasm {GO:0005654}; nucleus {GO:0005634}; U2-type precatalytic spliceosome {GO:0071005}; U4/U6 x U5 tri-snRNP complex {GO:0046540}</t>
  </si>
  <si>
    <t>sp|Q9D7S7|RL22L_MOUSE</t>
  </si>
  <si>
    <t>60S ribosomal protein L22-like 1</t>
  </si>
  <si>
    <t>RL22L_MOUSE</t>
  </si>
  <si>
    <t>Q9D7S7</t>
  </si>
  <si>
    <t>Q9CXU8</t>
  </si>
  <si>
    <t>MGI:1915278</t>
  </si>
  <si>
    <t>Alternative splicing; Phosphoprotein; Ribonucleoprotein; Ribosomal protein</t>
  </si>
  <si>
    <t>cytosol {GO:0005829}; ribonucleoprotein complex {GO:1990904}; ribosome {GO:0005840}</t>
  </si>
  <si>
    <t>sp|Q9CRC8|LRC40_MOUSE</t>
  </si>
  <si>
    <t>Leucine-rich repeat-containing protein 40</t>
  </si>
  <si>
    <t>LRC40_MOUSE</t>
  </si>
  <si>
    <t>Q9CRC8</t>
  </si>
  <si>
    <t>Q78WQ9; Q8BS83</t>
  </si>
  <si>
    <t>MGI:1914394</t>
  </si>
  <si>
    <t>Leucine-rich repeat; Phosphoprotein; Repeat</t>
  </si>
  <si>
    <t>signal transduction {GO:0007165}</t>
  </si>
  <si>
    <t>cytoplasm {GO:0005737}; intracellular membrane-bounded organelle {GO:0043231}</t>
  </si>
  <si>
    <t>protein serine/threonine phosphatase activity {GO:0004722}</t>
  </si>
  <si>
    <t>sp|Q99KY4|GAK_MOUSE</t>
  </si>
  <si>
    <t>Cyclin-G-associated kinase</t>
  </si>
  <si>
    <t>GAK_MOUSE</t>
  </si>
  <si>
    <t>Q99KY4</t>
  </si>
  <si>
    <t>Q6P1I8; Q6P9S5; Q8BM74; Q8K0Q4</t>
  </si>
  <si>
    <t>MGI:2442153</t>
  </si>
  <si>
    <t>Acetylation; Alternative splicing; ATP-binding; Cell cycle; Cell junction; Cytoplasm; Golgi apparatus; Kinase; Methylation; Nucleotide-binding; Phosphoprotein; Serine/threonine-protein kinase; Transferase</t>
  </si>
  <si>
    <t>Cell junction; Cytoplasm; Golgi apparatus</t>
  </si>
  <si>
    <t>cell cycle {GO:0007049}; clathrin coat disassembly {GO:0072318}; clathrin-coated pit assembly {GO:1905224}; clathrin-dependent endocytosis {GO:0072583}; endoplasmic reticulum organization {GO:0007029}; epidermal cell differentiation {GO:0009913}; epithelial cell development {GO:0002064}; establishment of skin barrier {GO:0061436}; forebrain morphogenesis {GO:0048853}; Golgi organization {GO:0007030}; Golgi to lysosome transport {GO:0090160}; intrahepatic bile duct development {GO:0035622}; keratinocyte differentiation {GO:0030216}; negative regulation of neuron projection development {GO:0010977}; neural precursor cell proliferation {GO:0061351}; neuroepithelial cell differentiation {GO:0060563}; positive regulation of neural precursor cell proliferation {GO:2000179}; positive regulation of stem cell proliferation {GO:2000648}; protein localization to Golgi apparatus {GO:0034067}; protein localization to plasma membrane {GO:0072659}; protein phosphorylation {GO:0006468}; receptor-mediated endocytosis {GO:0006898}; stem cell differentiation {GO:0048863}; stem cell proliferation {GO:0072089}</t>
  </si>
  <si>
    <t>cytoplasm {GO:0005737}; cytosol {GO:0005829}; focal adhesion {GO:0005925}; Golgi apparatus {GO:0005794}; intracellular membrane-bounded organelle {GO:0043231}; perinuclear region of cytoplasm {GO:0048471}; vesicle {GO:0031982}</t>
  </si>
  <si>
    <t>ATP binding {GO:0005524}; clathrin binding {GO:0030276}; cyclin binding {GO:0030332}; protein serine kinase activity {GO:0106310}; protein serine/threonine kinase activity {GO:0004674}</t>
  </si>
  <si>
    <t>Golgi Associated Vesicle Biogenesis {R-MMU-432722}; Clathrin-mediated endocytosis {R-MMU-8856828}</t>
  </si>
  <si>
    <t>sp|Q9CZ04|CSN7A_MOUSE</t>
  </si>
  <si>
    <t>COP9 signalosome complex subunit 7a (SGN7a; Signalosome subunit 7a)</t>
  </si>
  <si>
    <t>JAB1-containing signalosome subunit 7a</t>
  </si>
  <si>
    <t>CSN7A_MOUSE</t>
  </si>
  <si>
    <t>Q9CZ04</t>
  </si>
  <si>
    <t>O88546; Q925R8; Q9CPQ4; Q9CWD2</t>
  </si>
  <si>
    <t>Csn7a</t>
  </si>
  <si>
    <t>MGI:1349400</t>
  </si>
  <si>
    <t>Acetylation; Alternative splicing; Coiled coil; Cytoplasm; Nucleus; Phosphoprotein; Signalosome</t>
  </si>
  <si>
    <t>COP9 signalosome assembly {GO:0010387}; protein deneddylation {GO:0000338}</t>
  </si>
  <si>
    <t>sp|Q9JMH9|MY18A_MOUSE</t>
  </si>
  <si>
    <t>Unconventional myosin-XVIIIa</t>
  </si>
  <si>
    <t>Molecule associated with JAK3 N-terminus (MAJN); Myosin containing a PDZ domain; Surfactant protein receptor SP-R210 (SP-R210)</t>
  </si>
  <si>
    <t>MY18A_MOUSE</t>
  </si>
  <si>
    <t>Q9JMH9</t>
  </si>
  <si>
    <t>Q3TBB2; Q3UH48; Q3UV60; Q5QD54; Q5QD55; Q5QD56; Q5SYN8; Q5SYN9; Q5SYP0; Q5SYP1; Q811D7</t>
  </si>
  <si>
    <t>Myspdz</t>
  </si>
  <si>
    <t>MGI:2667185</t>
  </si>
  <si>
    <t>Alternative splicing; ATP-binding; Coiled coil; Cytoplasm; Cytoskeleton; Golgi apparatus; Motor protein; Myosin; Nucleotide-binding; Phosphoprotein</t>
  </si>
  <si>
    <t>Cytoplasm; Cytoskeleton; Golgi apparatus</t>
  </si>
  <si>
    <t>Motor protein; Myosin</t>
  </si>
  <si>
    <t>actomyosin structure organization {GO:0031032}; asymmetric Golgi ribbon formation {GO:0090164}; cell migration {GO:0016477}; cellular response to interferon-gamma {GO:0071346}; Golgi organization {GO:0007030}; Golgi ribbon formation {GO:0090161}; Golgi vesicle budding {GO:0048194}; I-kappaB kinase/NF-kappaB signaling {GO:0007249}; negative regulation of apoptotic process {GO:0043066}; positive regulation of opsonization {GO:1903028}; positive regulation of protein secretion {GO:0050714}; regulation of macrophage activation {GO:0043030}</t>
  </si>
  <si>
    <t>actomyosin {GO:0042641}; brush border {GO:0005903}; cytoskeleton {GO:0005856}; endoplasmic reticulum-Golgi intermediate compartment {GO:0005793}; Golgi membrane {GO:0000139}; myosin filament {GO:0032982}; myosin II complex {GO:0016460}; phagocytic vesicle {GO:0045335}; trans-Golgi network {GO:0005802}</t>
  </si>
  <si>
    <t>actin filament binding {GO:0051015}; ADP binding {GO:0043531}; ATP binding {GO:0005524}</t>
  </si>
  <si>
    <t>sp|Q64133|AOFA_MOUSE</t>
  </si>
  <si>
    <t>Amine oxidase [flavin-containing] A</t>
  </si>
  <si>
    <t>Monoamine oxidase type A (MAO-A)</t>
  </si>
  <si>
    <t>AOFA_MOUSE</t>
  </si>
  <si>
    <t>Q64133</t>
  </si>
  <si>
    <t>B1AX52; Q8K0Z8</t>
  </si>
  <si>
    <t>MGI:96915</t>
  </si>
  <si>
    <t>Acetylation; Catecholamine metabolism; FAD; Flavoprotein; Membrane; Mitochondrion; Mitochondrion outer membrane; Neurotransmitter degradation; Oxidoreductase; Phosphoprotein; Transmembrane; Transmembrane helix</t>
  </si>
  <si>
    <t>Catecholamine metabolism; Neurotransmitter degradation</t>
  </si>
  <si>
    <t>dopamine catabolic process {GO:0042420}; neurotransmitter catabolic process {GO:0042135}; phenylethylamine metabolic process {GO:0042443}; positive regulation of signal transduction {GO:0009967}; serotonin metabolic process {GO:0042428}</t>
  </si>
  <si>
    <t>cytosol {GO:0005829}; integral component of membrane {GO:0016021}; mitochondrial outer membrane {GO:0005741}; mitochondrion {GO:0005739}</t>
  </si>
  <si>
    <t>aliphatic amine oxidase activity {GO:0052595}; flavin adenine dinucleotide binding {GO:0050660}; monoamine oxidase activity {GO:0097621}; phenethylamine:oxygen oxidoreductase (deaminating) activity {GO:0052596}; primary amine oxidase activity {GO:0008131}; serotonin binding {GO:0051378}</t>
  </si>
  <si>
    <t>Biogenic amines are oxidatively deaminated to aldehydes by MAOA and MAOB {R-MMU-141333}; Norepinephrine Neurotransmitter Release Cycle {R-MMU-181430}; Enzymatic degradation of dopamine by COMT {R-MMU-379397}; Enzymatic degradation of Dopamine by monoamine oxidase {R-MMU-379398}; Dopamine clearance from the synaptic cleft {R-MMU-379401}; Metabolism of serotonin {R-MMU-380612}</t>
  </si>
  <si>
    <t>sp|Q9DBE8|ALG2_MOUSE</t>
  </si>
  <si>
    <t>Alpha-1,3/1,6-mannosyltransferase ALG2</t>
  </si>
  <si>
    <t>Asparagine-linked glycosylation protein 2 homolog; GDP-Man:Man(1)GlcNAc(2)-PP-Dol alpha-1,3-mannosyltransferase; GDP-Man:Man(1)GlcNAc(2)-PP-dolichol mannosyltransferase; GDP-Man:Man(2)GlcNAc(2)-PP-Dol alpha-1,6-mannosyltransferase</t>
  </si>
  <si>
    <t>ALG2_MOUSE</t>
  </si>
  <si>
    <t>Q9DBE8</t>
  </si>
  <si>
    <t>Q7TN30; Q9CWI6; Q9JJA8</t>
  </si>
  <si>
    <t>MGI:1914731</t>
  </si>
  <si>
    <t>Glycosyltransferase; Membrane; Transferase; Transmembrane; Transmembrane helix</t>
  </si>
  <si>
    <t>dolichol-linked oligosaccharide biosynthetic process {GO:0006488}; oligosaccharide-lipid intermediate biosynthetic process {GO:0006490}; protein glycosylation {GO:0006486}; response to calcium ion {GO:0051592}</t>
  </si>
  <si>
    <t>cytoplasm {GO:0005737}; integral component of membrane {GO:0016021}; membrane {GO:0016020}; nucleus {GO:0005634}; perinuclear region of cytoplasm {GO:0048471}</t>
  </si>
  <si>
    <t>alpha-1,3-mannosyltransferase activity {GO:0000033}; calcium-dependent protein binding {GO:0048306}; GDP-Man:Man1GlcNAc2-PP-Dol alpha-1,3-mannosyltransferase activity {GO:0004378}; GDP-Man:Man2GlcNAc2-PP-dolichol alpha-1,6-mannosyltransferase activity {GO:0102704}; protein heterodimerization activity {GO:0046982}; protein N-terminus binding {GO:0047485}</t>
  </si>
  <si>
    <t>Biosynthesis of the N-glycan precursor (dolichol lipid-linked oligosaccharide, LLO) and transfer to a nascent protein {R-MMU-446193}</t>
  </si>
  <si>
    <t>sp|Q64213|SF01_MOUSE</t>
  </si>
  <si>
    <t>Splicing factor 1</t>
  </si>
  <si>
    <t>CW17; Mammalian branch point-binding protein (BBP; mBBP); Transcription factor ZFM1 (mZFM); Zinc finger gene in MEN1 locus; Zinc finger protein 162</t>
  </si>
  <si>
    <t>SF01_MOUSE</t>
  </si>
  <si>
    <t>Q64213</t>
  </si>
  <si>
    <t>E9QK02; O08817; P70167; Q61454; Q921Z4</t>
  </si>
  <si>
    <t>Zfm1; Zfp162</t>
  </si>
  <si>
    <t>MGI:1095403</t>
  </si>
  <si>
    <t>Acetylation; Alternative splicing; Metal-binding; mRNA processing; mRNA splicing; Nucleus; Phosphoprotein; Repressor; RNA-binding; Spliceosome; Transcription; Transcription regulation; Zinc; Zinc-finger</t>
  </si>
  <si>
    <t>Leydig cell differentiation {GO:0033327}; male sex determination {GO:0030238}; mRNA splicing, via spliceosome {GO:0000398}; negative regulation of smooth muscle cell proliferation {GO:0048662}; nuclear body organization {GO:0030575}; regulation of mRNA splicing, via spliceosome {GO:0048024}; regulation of steroid biosynthetic process {GO:0050810}</t>
  </si>
  <si>
    <t>cytoplasm {GO:0005737}; nuclear body {GO:0016604}; nucleoplasm {GO:0005654}; nucleus {GO:0005634}; spliceosomal complex {GO:0005681}; U2AF complex {GO:0089701}</t>
  </si>
  <si>
    <t>identical protein binding {GO:0042802}; mRNA binding {GO:0003729}; pre-mRNA branch point binding {GO:0045131}; RNA binding {GO:0003723}; zinc ion binding {GO:0008270}</t>
  </si>
  <si>
    <t>sp|P70699|LYAG_MOUSE</t>
  </si>
  <si>
    <t>Lysosomal alpha-glucosidase</t>
  </si>
  <si>
    <t>Acid maltase</t>
  </si>
  <si>
    <t>LYAG_MOUSE</t>
  </si>
  <si>
    <t>P70699</t>
  </si>
  <si>
    <t>Q3UJB2; Q8BGI6; Q91Z45</t>
  </si>
  <si>
    <t>MGI:95609</t>
  </si>
  <si>
    <t>Disulfide bond; Glycoprotein; Glycosidase; Hydrolase; Lysosome; Membrane; Signal</t>
  </si>
  <si>
    <t>Lysosome; Membrane</t>
  </si>
  <si>
    <t>cardiac muscle contraction {GO:0060048}; diaphragm contraction {GO:0002086}; glycogen catabolic process {GO:0005980}; glycogen metabolic process {GO:0005977}; glycophagy {GO:0061723}; heart morphogenesis {GO:0003007}; locomotory behavior {GO:0007626}; lysosome organization {GO:0007040}; muscle cell cellular homeostasis {GO:0046716}; neuromuscular process controlling balance {GO:0050885}; neuromuscular process controlling posture {GO:0050884}; regulation of the force of heart contraction {GO:0002026}; striated muscle contraction {GO:0006941}; tissue development {GO:0009888}; vacuolar sequestering {GO:0043181}</t>
  </si>
  <si>
    <t>autolysosome lumen {GO:0120282}; intracellular membrane-bounded organelle {GO:0043231}; lysosomal membrane {GO:0005765}; lysosome {GO:0005764}; membrane {GO:0016020}</t>
  </si>
  <si>
    <t>alpha-1,4-glucosidase activity {GO:0004558}; alpha-glucosidase activity {GO:0090599}; carbohydrate binding {GO:0030246}; glucan 1,6-alpha-glucosidase activity {GO:0043896}; hydrolase activity, hydrolyzing O-glycosyl compounds {GO:0004553}; maltose alpha-glucosidase activity {GO:0032450}</t>
  </si>
  <si>
    <t>sp|Q8VBT0|TMX1_MOUSE</t>
  </si>
  <si>
    <t>Thioredoxin-related transmembrane protein 1</t>
  </si>
  <si>
    <t>Thioredoxin domain-containing protein 1</t>
  </si>
  <si>
    <t>TMX1_MOUSE</t>
  </si>
  <si>
    <t>Q8VBT0</t>
  </si>
  <si>
    <t>Q3UCI8; Q9CSD5</t>
  </si>
  <si>
    <t>Txndc; Txndc1</t>
  </si>
  <si>
    <t>MGI:1919986</t>
  </si>
  <si>
    <t>Disulfide bond; Electron transport; Endoplasmic reticulum; Membrane; Phosphoprotein; Redox-active center; Signal; Transmembrane; Transmembrane helix; Transport</t>
  </si>
  <si>
    <t>Redox-active center; Signal; Transmembrane; Transmembrane helix</t>
  </si>
  <si>
    <t>response to endoplasmic reticulum stress {GO:0034976}</t>
  </si>
  <si>
    <t>endomembrane system {GO:0012505}; endoplasmic reticulum membrane {GO:0005789}; integral component of membrane {GO:0016021}</t>
  </si>
  <si>
    <t>disulfide oxidoreductase activity {GO:0015036}</t>
  </si>
  <si>
    <t>sp|O35350|CAN1_MOUSE</t>
  </si>
  <si>
    <t>Calpain-1 catalytic subunit</t>
  </si>
  <si>
    <t>Calcium-activated neutral proteinase 1 (CANP 1); Calpain mu-type; Calpain-1 large subunit; Micromolar-calpain (muCANP)</t>
  </si>
  <si>
    <t>CAN1_MOUSE</t>
  </si>
  <si>
    <t>O35350</t>
  </si>
  <si>
    <t>O88666</t>
  </si>
  <si>
    <t>MGI:88263</t>
  </si>
  <si>
    <t>Autocatalytic cleavage; Calcium; Cell membrane; Cytoplasm; Hydrolase; Membrane; Metal-binding; Phosphoprotein; Protease; Repeat; Thiol protease</t>
  </si>
  <si>
    <t>Autocatalytic cleavage; Phosphoprotein</t>
  </si>
  <si>
    <t>cellular response to hydrogen peroxide {GO:0070301}; mammary gland involution {GO:0060056}; negative regulation of actin filament polymerization {GO:0030837}; negative regulation of NIK/NF-kappaB signaling {GO:1901223}; positive regulation of cardiac muscle cell apoptotic process {GO:0010666}; positive regulation of leukocyte tethering or rolling {GO:1903238}; positive regulation of vascular permeability {GO:0043117}; protein autoprocessing {GO:0016540}; protein catabolic process {GO:0030163}; proteolysis {GO:0006508}; receptor catabolic process {GO:0032801}; regulation of catalytic activity {GO:0050790}; response to angiotensin {GO:1990776}; self proteolysis {GO:0097264}</t>
  </si>
  <si>
    <t>calpain complex {GO:0110158}; cornified envelope {GO:0001533}; cytoplasm {GO:0005737}; cytosol {GO:0005829}; lysosome {GO:0005764}; membrane {GO:0016020}; mitochondrion {GO:0005739}; plasma membrane {GO:0005886}</t>
  </si>
  <si>
    <t>calcium ion binding {GO:0005509}; calcium-dependent cysteine-type endopeptidase activity {GO:0004198}; cytoskeletal protein binding {GO:0008092}; enzyme binding {GO:0019899}; peptidase activity {GO:0008233}</t>
  </si>
  <si>
    <t>Degradation of the extracellular matrix {R-MMU-1474228}; Neutrophil degranulation {R-MMU-6798695}</t>
  </si>
  <si>
    <t>sp|P15327|PMGE_MOUSE</t>
  </si>
  <si>
    <t>Bisphosphoglycerate mutase (BPGM)</t>
  </si>
  <si>
    <t>2,3-bisphosphoglycerate mutase, erythrocyte; 2,3-bisphosphoglycerate synthase; BPG-dependent PGAM</t>
  </si>
  <si>
    <t>PMGE_MOUSE</t>
  </si>
  <si>
    <t>P15327</t>
  </si>
  <si>
    <t>Q543Z6</t>
  </si>
  <si>
    <t>MGI:1098242</t>
  </si>
  <si>
    <t>defense response to protozoan {GO:0042832}; erythrocyte development {GO:0048821}; establishment of blood-brain barrier {GO:0060856}; glycolytic process {GO:0006096}; neuroinflammatory response {GO:0150076}; nucleoside phosphate metabolic process {GO:0006753}; oxygen transport {GO:0015671}</t>
  </si>
  <si>
    <t>bisphosphoglycerate mutase activity {GO:0004082}; hydrolase activity {GO:0016787}; phosphoglycerate mutase activity {GO:0004619}</t>
  </si>
  <si>
    <t>sp|Q9ERG0|LIMA1_MOUSE</t>
  </si>
  <si>
    <t>LIM domain and actin-binding protein 1</t>
  </si>
  <si>
    <t>Epithelial protein lost in neoplasm (mEPLIN)</t>
  </si>
  <si>
    <t>LIMA1_MOUSE</t>
  </si>
  <si>
    <t>Q9ERG0</t>
  </si>
  <si>
    <t>Q8K2H0; Q9ERG1</t>
  </si>
  <si>
    <t>D15Ertd366e; Eplin</t>
  </si>
  <si>
    <t>MGI:1920992</t>
  </si>
  <si>
    <t>Acetylation; Actin-binding; Alternative promoter usage; Cell membrane; Cell projection; Cholesterol metabolism; Cytoplasm; Cytoskeleton; LIM domain; Lipid metabolism; Membrane; Metal-binding; Phosphoprotein; Steroid metabolism; Sterol metabolism; Zinc</t>
  </si>
  <si>
    <t>actin filament bundle assembly {GO:0051017}; cell migration {GO:0016477}; cholesterol homeostasis {GO:0042632}; cholesterol metabolic process {GO:0008203}; intestinal cholesterol absorption {GO:0030299}; negative regulation of actin filament depolymerization {GO:0030835}; ruffle organization {GO:0031529}</t>
  </si>
  <si>
    <t>actin cytoskeleton {GO:0015629}; brush border {GO:0005903}; brush border membrane {GO:0031526}; cleavage furrow {GO:0032154}; cytosol {GO:0005829}; focal adhesion {GO:0005925}; plasma membrane {GO:0005886}; ruffle {GO:0001726}; stress fiber {GO:0001725}</t>
  </si>
  <si>
    <t>actin filament binding {GO:0051015}; actin monomer binding {GO:0003785}; metal ion binding {GO:0046872}</t>
  </si>
  <si>
    <t>sp|Q8BGZ4|CDC23_MOUSE</t>
  </si>
  <si>
    <t>Cell division cycle protein 23 homolog</t>
  </si>
  <si>
    <t>Anaphase-promoting complex subunit 8 (APC8); Cyclosome subunit 8</t>
  </si>
  <si>
    <t>CDC23_MOUSE</t>
  </si>
  <si>
    <t>Q8BGZ4</t>
  </si>
  <si>
    <t>Q6PD06; Q8C0F1</t>
  </si>
  <si>
    <t>Anapc8</t>
  </si>
  <si>
    <t>MGI:1098815</t>
  </si>
  <si>
    <t>Acetylation; Alternative splicing; Cell cycle; Cell division; Isopeptide bond; Mitosis; Phosphoprotein; Repeat; TPR repeat; Ubl conjugation; Ubl conjugation pathway</t>
  </si>
  <si>
    <t>Cell cycle; Cell division; Mitosis; Ubl conjugation pathway</t>
  </si>
  <si>
    <t>anaphase-promoting complex-dependent catabolic process {GO:0031145}; cell division {GO:0051301}; metaphase/anaphase transition of mitotic cell cycle {GO:0007091}; mitotic cell cycle {GO:0000278}; mitotic metaphase plate congression {GO:0007080}; positive regulation of mitotic metaphase/anaphase transition {GO:0045842}; protein K11-linked ubiquitination {GO:0070979}; protein ubiquitination {GO:0016567}; regulation of mitotic metaphase/anaphase transition {GO:0030071}</t>
  </si>
  <si>
    <t>anaphase-promoting complex {GO:0005680}; cytoplasm {GO:0005737}</t>
  </si>
  <si>
    <t>Inactivation of APC/C via direct inhibition of the APC/C complex {R-MMU-141430}; APC/C:Cdc20 mediated degradation of Cyclin B {R-MMU-174048}; Autodegradation of Cdh1 by Cdh1:APC/C {R-MMU-174084}; APC/C:Cdc20 mediated degradation of Securin {R-MMU-174154}; APC/C:Cdh1 mediated degradation of Cdc20 and other APC/C:Cdh1 targeted proteins in late mitosis/early G1 {R-MMU-174178}; Cdc20:Phospho-APC/C mediated degradation of Cyclin A {R-MMU-174184}; Conversion from APC/C:Cdc20 to APC/C:Cdh1 in late anaphase {R-MMU-176407}; Regulation of APC/C activators between G1/S and early anaphase {R-MMU-176408}; APC/C:Cdc20 mediated degradation of mitotic proteins {R-MMU-176409}; Phosphorylation of the APC/C {R-MMU-176412}; APC-Cdc20 mediated degradation of Nek2A {R-MMU-179409}; Separation of Sister Chromatids {R-MMU-2467813}; Senescence-Associated Secretory Phenotype (SASP) {R-MMU-2559582}; Assembly of the pre-replicative complex {R-MMU-68867}; CDK-mediated phosphorylation and removal of Cdc6 {R-MMU-69017}; Antigen processing: Ubiquitination &amp; Proteasome degradation {R-MMU-983168}</t>
  </si>
  <si>
    <t>sp|Q9QYB1|CLIC4_MOUSE</t>
  </si>
  <si>
    <t>Chloride intracellular channel protein 4 (mc3s5/mtCLIC)</t>
  </si>
  <si>
    <t>CLIC4_MOUSE</t>
  </si>
  <si>
    <t>Q9QYB1</t>
  </si>
  <si>
    <t>Q8BMG5</t>
  </si>
  <si>
    <t>MGI:1352754</t>
  </si>
  <si>
    <t>Acetylation; Cell membrane; Chloride; Chloride channel; Cytoplasm; Cytoplasmic vesicle; Ion channel; Ion transport; Membrane; Mitochondrion; Nucleus; Phosphoprotein; Transmembrane; Transmembrane helix; Transport; Voltage-gated channel</t>
  </si>
  <si>
    <t>Cell membrane; Cytoplasm; Cytoplasmic vesicle; Membrane; Mitochondrion; Nucleus</t>
  </si>
  <si>
    <t>angiogenesis {GO:0001525}; branching morphogenesis of an epithelial tube {GO:0048754}; cellular response to calcium ion {GO:0071277}; chloride transport {GO:0006821}; endothelial cell morphogenesis {GO:0001886}; fertilization {GO:0009566}; keratinocyte differentiation {GO:0030216}; multicellular organism growth {GO:0035264}; negative regulation of cell migration {GO:0030336}; regulation of ion transmembrane transport {GO:0034765}; retina vasculature morphogenesis in camera-type eye {GO:0061299}; vacuolar acidification {GO:0007035}</t>
  </si>
  <si>
    <t>apical part of cell {GO:0045177}; cell surface {GO:0009986}; cell-cell junction {GO:0005911}; centrosome {GO:0005813}; chloride channel complex {GO:0034707}; cytoplasm {GO:0005737}; cytoplasmic vesicle membrane {GO:0030659}; cytosol {GO:0005829}; membrane {GO:0016020}; microtubule cytoskeleton {GO:0015630}; microvillus {GO:0005902}; midbody {GO:0030496}; mitochondrion {GO:0005739}; nuclear matrix {GO:0016363}; perinuclear region of cytoplasm {GO:0048471}; plasma membrane {GO:0005886}</t>
  </si>
  <si>
    <t>chloride channel activity {GO:0005254}; protein-containing complex binding {GO:0044877}; voltage-gated ion channel activity {GO:0005244}</t>
  </si>
  <si>
    <t>sp|Q9ES28|ARHG7_MOUSE</t>
  </si>
  <si>
    <t>Rho guanine nucleotide exchange factor 7</t>
  </si>
  <si>
    <t>Beta-Pix; PAK-interacting exchange factor beta; p85SPR</t>
  </si>
  <si>
    <t>ARHG7_MOUSE</t>
  </si>
  <si>
    <t>Q9ES28</t>
  </si>
  <si>
    <t>O08757; Q3UTS5; Q6XPA5; Q6ZQI5; Q8C750; Q91ZZ6; Q9ES27</t>
  </si>
  <si>
    <t>Kiaa0142; Pak3bp</t>
  </si>
  <si>
    <t>MGI:1860493</t>
  </si>
  <si>
    <t>3D-structure; Alternative initiation; Alternative splicing; Cell junction; Cell projection; Coiled coil; Cytoplasm; Guanine-nucleotide releasing factor; Neurogenesis; Phosphoprotein; SH3 domain</t>
  </si>
  <si>
    <t>astrocyte cell migration {GO:0043615}; Golgi organization {GO:0007030}; hematopoietic progenitor cell differentiation {GO:0002244}; lamellipodium assembly {GO:0030032}; negative regulation of microtubule nucleation {GO:1905833}; positive regulation of apoptotic process {GO:0043065}; positive regulation of growth hormone secretion {GO:0060124}; positive regulation of GTPase activity {GO:0043547}; positive regulation of protein binding {GO:0032092}; postsynaptic actin cytoskeleton organization {GO:0098974}; presynaptic actin cytoskeleton organization {GO:0099140}; regulation of GTP binding {GO:1904424}; small GTPase mediated signal transduction {GO:0007264}</t>
  </si>
  <si>
    <t>cell cortex {GO:0005938}; centrosome {GO:0005813}; cytoplasm {GO:0005737}; cytosol {GO:0005829}; focal adhesion {GO:0005925}; GABA-ergic synapse {GO:0098982}; growth cone {GO:0030426}; lamellipodium {GO:0030027}; mitotic spindle pole {GO:0097431}; neuron projection {GO:0043005}; neuronal cell body {GO:0043025}; plasma membrane {GO:0005886}; postsynapse {GO:0098794}; protein-containing complex {GO:0032991}; ruffle {GO:0001726}; storage vacuole {GO:0000322}</t>
  </si>
  <si>
    <t>gamma-tubulin binding {GO:0043015}; guanyl-nucleotide exchange factor activity {GO:0005085}; protein kinase binding {GO:0019901}; small GTPase binding {GO:0031267}</t>
  </si>
  <si>
    <t>EGFR downregulation {R-MMU-182971}; NRAGE signals death through JNK {R-MMU-193648}; Ephrin signaling {R-MMU-3928664}; G alpha (12/13) signalling events {R-MMU-416482}; RHOA GTPase cycle {R-MMU-8980692}; RAC1 GTPase cycle {R-MMU-9013149}; RHOQ GTPase cycle {R-MMU-9013406}; RHOU GTPase cycle {R-MMU-9013420}; RHOV GTPase cycle {R-MMU-9013424}</t>
  </si>
  <si>
    <t>sp|O54781|SRPK2_MOUSE</t>
  </si>
  <si>
    <t>SRSF protein kinase 2 C-terminal</t>
  </si>
  <si>
    <t>SFRS protein kinase 2; Serine/arginine-rich protein-specific kinase 2 (SR-protein-specific kinase 2)</t>
  </si>
  <si>
    <t>SRPK2_MOUSE</t>
  </si>
  <si>
    <t>O54781</t>
  </si>
  <si>
    <t>Q8VCD9</t>
  </si>
  <si>
    <t>MGI:1201408</t>
  </si>
  <si>
    <t>ATP-binding; Chromosome; Cytoplasm; Differentiation; Kinase; mRNA processing; mRNA splicing; Nucleotide-binding; Nucleus; Phosphoprotein; Serine/threonine-protein kinase; Transferase</t>
  </si>
  <si>
    <t>Differentiation; mRNA processing; mRNA splicing</t>
  </si>
  <si>
    <t>angiogenesis {GO:0001525}; cell differentiation {GO:0030154}; intracellular signal transduction {GO:0035556}; negative regulation of viral genome replication {GO:0045071}; nuclear speck organization {GO:0035063}; peptidyl-serine phosphorylation {GO:0018105}; positive regulation of cell cycle {GO:0045787}; positive regulation of cell population proliferation {GO:0008284}; positive regulation of gene expression {GO:0010628}; positive regulation of neuron apoptotic process {GO:0043525}; positive regulation of viral genome replication {GO:0045070}; protein phosphorylation {GO:0006468}; R-loop disassembly {GO:0062176}; regulation of mRNA processing {GO:0050684}; RNA splicing {GO:0008380}; spliceosomal complex assembly {GO:0000245}</t>
  </si>
  <si>
    <t>chromatin {GO:0000785}; cytoplasm {GO:0005737}; cytosol {GO:0005829}; nuclear speck {GO:0016607}; nucleolus {GO:0005730}; nucleoplasm {GO:0005654}; nucleus {GO:0005634}</t>
  </si>
  <si>
    <t>14-3-3 protein binding {GO:0071889}; ATP binding {GO:0005524}; magnesium ion binding {GO:0000287}; protein serine kinase activity {GO:0106310}; protein serine/threonine kinase activity {GO:0004674}</t>
  </si>
  <si>
    <t>sp|Q9QYA2|TOM40_MOUSE</t>
  </si>
  <si>
    <t>Mitochondrial import receptor subunit TOM40 homolog</t>
  </si>
  <si>
    <t>Mitochondrial outer membrane protein of 35 kDa (MOM35); Protein Haymaker; Translocase of outer membrane 40 kDa subunit homolog</t>
  </si>
  <si>
    <t>TOM40_MOUSE</t>
  </si>
  <si>
    <t>Q9QYA2</t>
  </si>
  <si>
    <t>Q3TBZ2; Q3TQA1; Q8VI26; Q8VI27; Q9Z2N1</t>
  </si>
  <si>
    <t>Mom35; Tom40</t>
  </si>
  <si>
    <t>MGI:1858259</t>
  </si>
  <si>
    <t>Ion transport; Membrane; Mitochondrion; Mitochondrion outer membrane; Porin; Protein transport; Transmembrane; Transmembrane beta strand; Transport</t>
  </si>
  <si>
    <t>Ion transport; Protein transport; Transport</t>
  </si>
  <si>
    <t>positive regulation of apoptotic process {GO:0043065}; protein import into mitochondrial matrix {GO:0030150}; protein insertion into mitochondrial membrane {GO:0051204}; protein targeting to mitochondrion {GO:0006626}</t>
  </si>
  <si>
    <t>cytosol {GO:0005829}; integral component of membrane {GO:0016021}; integral component of mitochondrial membrane {GO:0032592}; integral component of mitochondrial outer membrane {GO:0031307}; mitochondria-associated endoplasmic reticulum membrane {GO:0044233}; mitochondrial inner membrane {GO:0005743}; mitochondrial outer membrane {GO:0005741}; mitochondrial outer membrane translocase complex {GO:0005742}; mitochondrion {GO:0005739}; pore complex {GO:0046930}</t>
  </si>
  <si>
    <t>cation channel activity {GO:0005261}; porin activity {GO:0015288}; preprotein binding {GO:0070678}; protein transmembrane transporter activity {GO:0008320}</t>
  </si>
  <si>
    <t>PINK1-PRKN Mediated Mitophagy {R-MMU-5205685}</t>
  </si>
  <si>
    <t>sp|Q9DBU3|RIOK3_MOUSE</t>
  </si>
  <si>
    <t>Serine/threonine-protein kinase RIO3</t>
  </si>
  <si>
    <t>RIO kinase 3</t>
  </si>
  <si>
    <t>RIOK3_MOUSE</t>
  </si>
  <si>
    <t>Q9DBU3</t>
  </si>
  <si>
    <t>Q3UI51; Q8CIC1</t>
  </si>
  <si>
    <t>MGI:1914128</t>
  </si>
  <si>
    <t>Antiviral defense; ATP-binding; Cytoplasm; Immunity; Innate immunity; Kinase; Magnesium; Metal-binding; Nucleotide-binding; Phosphoprotein; Ribosome biogenesis; Serine/threonine-protein kinase; Transferase</t>
  </si>
  <si>
    <t>Antiviral defense; Immunity; Innate immunity; Ribosome biogenesis</t>
  </si>
  <si>
    <t>cellular response to dsDNA {GO:1990786}; cellular response to dsRNA {GO:0071359}; cellular response to virus {GO:0098586}; defense response to virus {GO:0051607}; innate immune response {GO:0045087}; maturation of SSU-rRNA {GO:0030490}; negative regulation of I-kappaB kinase/NF-kappaB signaling {GO:0043124}; negative regulation of MDA-5 signaling pathway {GO:0039534}; negative regulation of protein-containing complex assembly {GO:0031333}; positive regulation of innate immune response {GO:0045089}; positive regulation of interferon-beta production {GO:0032728}; protein phosphorylation {GO:0006468}</t>
  </si>
  <si>
    <t>cytosol {GO:0005829}; preribosome, small subunit precursor {GO:0030688}</t>
  </si>
  <si>
    <t>ATP binding {GO:0005524}; caspase binding {GO:0089720}; metal ion binding {GO:0046872}; protein serine kinase activity {GO:0106310}; protein serine/threonine kinase activity {GO:0004674}</t>
  </si>
  <si>
    <t>sp|Q5SUF2|LC7L3_MOUSE</t>
  </si>
  <si>
    <t>Luc7-like protein 3</t>
  </si>
  <si>
    <t>Cisplatin resistance-associated-overexpressed protein</t>
  </si>
  <si>
    <t>LC7L3_MOUSE</t>
  </si>
  <si>
    <t>Q5SUF2</t>
  </si>
  <si>
    <t>Q3U9D5; Q8BUJ5; Q921Z3; Q9CRS7; Q9CTY4</t>
  </si>
  <si>
    <t>Crop</t>
  </si>
  <si>
    <t>MGI:1914934</t>
  </si>
  <si>
    <t>Acetylation; Alternative splicing; Coiled coil; DNA-binding; Isopeptide bond; mRNA processing; mRNA splicing; Nucleus; Phosphoprotein; Ubl conjugation</t>
  </si>
  <si>
    <t>mRNA splice site selection {GO:0006376}; RNA splicing {GO:0008380}</t>
  </si>
  <si>
    <t>nuclear speck {GO:0016607}; nucleoplasm {GO:0005654}; nucleus {GO:0005634}; U1 snRNP {GO:0005685}; U2-type prespliceosome {GO:0071004}</t>
  </si>
  <si>
    <t>DNA binding {GO:0003677}; mRNA binding {GO:0003729}</t>
  </si>
  <si>
    <t>sp|B1AY13|UBP24_MOUSE</t>
  </si>
  <si>
    <t>Ubiquitin carboxyl-terminal hydrolase 24</t>
  </si>
  <si>
    <t>Deubiquitinating enzyme 24; Ubiquitin thioesterase 24; Ubiquitin-specific-processing protease 24</t>
  </si>
  <si>
    <t>UBP24_MOUSE</t>
  </si>
  <si>
    <t>B1AY13</t>
  </si>
  <si>
    <t>Q8BLI7</t>
  </si>
  <si>
    <t>MGI:1919936</t>
  </si>
  <si>
    <t>Alternative splicing; Hydrolase; Phosphoprotein; Protease; Thiol protease; Ubl conjugation pathway</t>
  </si>
  <si>
    <t>protein deubiquitination {GO:0016579}; ubiquitin-dependent protein catabolic process {GO:0006511}</t>
  </si>
  <si>
    <t>cysteine-type deubiquitinase activity {GO:0004843}; cysteine-type endopeptidase activity {GO:0004197}</t>
  </si>
  <si>
    <t>sp|Q8CBY8|DCTN4_MOUSE</t>
  </si>
  <si>
    <t>Dynactin subunit 4</t>
  </si>
  <si>
    <t>Dynactin subunit p62</t>
  </si>
  <si>
    <t>DCTN4_MOUSE</t>
  </si>
  <si>
    <t>Q8CBY8</t>
  </si>
  <si>
    <t>Q923A0; Q9D4X0</t>
  </si>
  <si>
    <t>MGI:1914915</t>
  </si>
  <si>
    <t>Acetylation; Alternative splicing; Coiled coil; Cytoplasm; Cytoskeleton; Isopeptide bond; Phosphoprotein; Ubl conjugation</t>
  </si>
  <si>
    <t>cell cortex {GO:0005938}; centrosome {GO:0005813}; cytoplasmic dynein complex {GO:0005868}; dynactin complex {GO:0005869}; focal adhesion {GO:0005925}; kinetochore {GO:0000776}; sarcomere {GO:0030017}; spindle pole {GO:0000922}; stress fiber {GO:0001725}</t>
  </si>
  <si>
    <t>sp|O08740|RPB11_MOUSE</t>
  </si>
  <si>
    <t>DNA-directed RNA polymerase II subunit RPB11 (RNA polymerase II subunit B11)</t>
  </si>
  <si>
    <t>DNA-directed RNA polymerase II subunit J; RNA polymerase II 13.3 kDa subunit; RPB14</t>
  </si>
  <si>
    <t>RPB11_MOUSE</t>
  </si>
  <si>
    <t>O08740</t>
  </si>
  <si>
    <t>Rpo2-4</t>
  </si>
  <si>
    <t>MGI:109582</t>
  </si>
  <si>
    <t>Acetylation; DNA-directed RNA polymerase; Nucleus; Transcription</t>
  </si>
  <si>
    <t>DNA-directed RNA polymerase; Nucleus</t>
  </si>
  <si>
    <t>nucleoplasm {GO:0005654}; nucleus {GO:0005634}; RNA polymerase II, core complex {GO:0005665}</t>
  </si>
  <si>
    <t>DNA binding {GO:0003677}; LRR domain binding {GO:0030275}; protein dimerization activity {GO:0046983}; RNA polymerase II activity {GO:0001055}</t>
  </si>
  <si>
    <t>sp|Q99NB8|UBQL4_MOUSE</t>
  </si>
  <si>
    <t>Ubiquilin-4</t>
  </si>
  <si>
    <t>Ataxin-1 interacting ubiquitin-like protein (A1Up); Ataxin-1 ubiquitin-like-interacting protein A1U; Connexin43-interacting protein of 75 kDa (CIP75)</t>
  </si>
  <si>
    <t>UBQL4_MOUSE</t>
  </si>
  <si>
    <t>Q99NB8</t>
  </si>
  <si>
    <t>Q8BP88</t>
  </si>
  <si>
    <t>MGI:2150152</t>
  </si>
  <si>
    <t>3D-structure; Autophagy; Chromosome; Cytoplasm; Cytoplasmic vesicle; DNA damage; DNA repair; Endoplasmic reticulum; Isopeptide bond; Nucleus; Phosphoprotein; Ubl conjugation</t>
  </si>
  <si>
    <t>Autophagy; DNA damage; DNA repair</t>
  </si>
  <si>
    <t>Chromosome; Cytoplasm; Cytoplasmic vesicle; Endoplasmic reticulum; Nucleus</t>
  </si>
  <si>
    <t>autophagy {GO:0006914}; cellular response to DNA damage stimulus {GO:0006974}; DNA repair {GO:0006281}; negative regulation of autophagosome maturation {GO:1901097}; negative regulation of double-strand break repair via homologous recombination {GO:2000042}; regulation of proteasomal ubiquitin-dependent protein catabolic process {GO:0032434}; ubiquitin-dependent protein catabolic process {GO:0006511}</t>
  </si>
  <si>
    <t>autophagosome {GO:0005776}; cytoplasm {GO:0005737}; cytoplasmic vesicle {GO:0031410}; cytosol {GO:0005829}; cytosolic proteasome complex {GO:0031597}; endoplasmic reticulum membrane {GO:0005789}; nuclear proteasome complex {GO:0031595}; nucleoplasm {GO:0005654}; nucleus {GO:0005634}; perinuclear region of cytoplasm {GO:0048471}; protein-containing complex {GO:0032991}; site of DNA damage {GO:0090734}</t>
  </si>
  <si>
    <t>identical protein binding {GO:0042802}; K48-linked polyubiquitin modification-dependent protein binding {GO:0036435}; polyubiquitin modification-dependent protein binding {GO:0031593}</t>
  </si>
  <si>
    <t>sp|Q8VHR5|P66B_MOUSE</t>
  </si>
  <si>
    <t>Transcriptional repressor p66-beta</t>
  </si>
  <si>
    <t>GATA zinc finger domain-containing protein 2B; p66/p68</t>
  </si>
  <si>
    <t>P66B_MOUSE</t>
  </si>
  <si>
    <t>Q8VHR5</t>
  </si>
  <si>
    <t>Q8C9Q3</t>
  </si>
  <si>
    <t>MGI:2443225</t>
  </si>
  <si>
    <t>Alternative splicing; Coiled coil; Isopeptide bond; Metal-binding; Nucleus; Phosphoprotein; Repressor; Transcription; Transcription regulation; Ubl conjugation; Zinc; Zinc-finger</t>
  </si>
  <si>
    <t>chromatin remodeling {GO:0006338}; histone deacetylation {GO:0016575}; negative regulation of DNA-templated transcription {GO:0045892}; negative regulation of transcription by RNA polymerase II {GO:0000122}; positive regulation of DNA-templated transcription {GO:0045893}; regulation of cell fate specification {GO:0042659}; regulation of stem cell differentiation {GO:2000736}</t>
  </si>
  <si>
    <t>chromosome, telomeric region {GO:0000781}; nuclear speck {GO:0016607}; nucleoplasm {GO:0005654}; NuRD complex {GO:0016581}</t>
  </si>
  <si>
    <t>sequence-specific DNA binding {GO:0043565}; zinc ion binding {GO:0008270}</t>
  </si>
  <si>
    <t>HDACs deacetylate histones {R-MMU-3214815}; Regulation of TP53 Activity through Acetylation {R-MMU-6804758}; RNA Polymerase I Transcription Initiation {R-MMU-73762}; Regulation of PTEN gene transcription {R-MMU-8943724}</t>
  </si>
  <si>
    <t>sp|Q922H1|ANM3_MOUSE</t>
  </si>
  <si>
    <t>Protein arginine N-methyltransferase 3</t>
  </si>
  <si>
    <t>Heterogeneous nuclear ribonucleoprotein methyltransferase-like protein 3</t>
  </si>
  <si>
    <t>ANM3_MOUSE</t>
  </si>
  <si>
    <t>Q922H1</t>
  </si>
  <si>
    <t>Q3U2K1; Q80VU9; Q8BFV5</t>
  </si>
  <si>
    <t>Hrmt1l3</t>
  </si>
  <si>
    <t>MGI:1919224</t>
  </si>
  <si>
    <t>3D-structure; Acetylation; Cytoplasm; Metal-binding; Methyltransferase; Phosphoprotein; S-adenosyl-L-methionine; Transferase; Zinc; Zinc-finger</t>
  </si>
  <si>
    <t>dendritic spine morphogenesis {GO:0060997}; negative regulation of protein ubiquitination {GO:0031397}; negative regulation of retinoic acid biosynthetic process {GO:1900053}; peptidyl-arginine methylation {GO:0018216}; peptidyl-arginine methylation, to asymmetrical-dimethyl arginine {GO:0019919}; protein methylation {GO:0006479}</t>
  </si>
  <si>
    <t>metal ion binding {GO:0046872}; methyltransferase activity {GO:0008168}; modified amino acid binding {GO:0072341}; protein-arginine N-methyltransferase activity {GO:0016274}; protein-arginine omega-N asymmetric methyltransferase activity {GO:0035242}; protein-arginine omega-N monomethyltransferase activity {GO:0035241}; ribosome binding {GO:0043022}</t>
  </si>
  <si>
    <t>RMTs methylate histone arginines {R-MMU-3214858}; Protein methylation {R-MMU-8876725}</t>
  </si>
  <si>
    <t>sp|Q9JK81|MYG1_MOUSE</t>
  </si>
  <si>
    <t>MYG1 exonuclease</t>
  </si>
  <si>
    <t>Protein Gamm1</t>
  </si>
  <si>
    <t>MYG1_MOUSE</t>
  </si>
  <si>
    <t>Q9JK81</t>
  </si>
  <si>
    <t>Q9CYX0</t>
  </si>
  <si>
    <t>MGI:1929864</t>
  </si>
  <si>
    <t>Acetylation; Hydrolase; Mitochondrion; Nuclease; Nucleus; Transit peptide</t>
  </si>
  <si>
    <t>Hydrolase; Nuclease</t>
  </si>
  <si>
    <t>locomotory exploration behavior {GO:0035641}</t>
  </si>
  <si>
    <t>cytoplasm {GO:0005737}; mitochondrial matrix {GO:0005759}; mitochondrion {GO:0005739}; nucleolus {GO:0005730}; nucleoplasm {GO:0005654}; nucleus {GO:0005634}</t>
  </si>
  <si>
    <t>nuclease activity {GO:0004518}</t>
  </si>
  <si>
    <t>sp|A2ASQ1|AGRIN_MOUSE</t>
  </si>
  <si>
    <t>Agrin C-terminal 22 kDa fragment (C90; C22)</t>
  </si>
  <si>
    <t>AGRIN_MOUSE</t>
  </si>
  <si>
    <t>A2ASQ1</t>
  </si>
  <si>
    <t>A2ASP9; A2ASQ0; B2RWU1</t>
  </si>
  <si>
    <t>Agrin</t>
  </si>
  <si>
    <t>MGI:87961</t>
  </si>
  <si>
    <t>3D-structure; Alternative splicing; Calcium; Cell membrane; Developmental protein; Differentiation; Disulfide bond; EGF-like domain; Glycoprotein; Heparan sulfate; Laminin EGF-like domain; Membrane; Metal-binding; Phosphoprotein; Proteoglycan; Repeat; Signal-anchor; Synapse; Transmembrane; Transmembrane helix</t>
  </si>
  <si>
    <t>EGF-like domain; Laminin EGF-like domain; Repeat; Signal-anchor; Transmembrane; Transmembrane helix</t>
  </si>
  <si>
    <t>Disulfide bond; Glycoprotein; Heparan sulfate; Phosphoprotein; Proteoglycan</t>
  </si>
  <si>
    <t>animal organ morphogenesis {GO:0009887}; cell differentiation {GO:0030154}; chemical synaptic transmission {GO:0007268}; motor neuron apoptotic process {GO:0097049}; negative regulation of P-type sodium:potassium-exchanging transporter activity {GO:1903407}; negative regulation of sodium ion export across plasma membrane {GO:1903277}; neuromuscular junction development {GO:0007528}; neurotransmitter receptor metabolic process {GO:0045213}; plasma membrane organization {GO:0007009}; positive regulation of filopodium assembly {GO:0051491}; positive regulation of GTPase activity {GO:0043547}; positive regulation of motor neuron apoptotic process {GO:2000673}; positive regulation of peptidyl-tyrosine phosphorylation {GO:0050731}; positive regulation of protein binding {GO:0032092}; positive regulation of protein geranylgeranylation {GO:2000541}; positive regulation of protein phosphorylation {GO:0001934}; positive regulation of protein tyrosine kinase activity {GO:0061098}; positive regulation of synaptic assembly at neuromuscular junction {GO:0045887}; positive regulation of transcription by RNA polymerase II {GO:0045944}; receptor clustering {GO:0043113}; regulation of axon guidance {GO:1902667}; regulation of cardiac muscle cell membrane potential {GO:0086036}; regulation of cardiac muscle contraction {GO:0055117}; regulation of GTPase activity {GO:0043087}; regulation of microtubule cytoskeleton organization {GO:0070507}; regulation of protein phosphorylation {GO:0001932}; regulation of synapse organization {GO:0050807}; skeletal muscle acetylcholine-gated channel clustering {GO:0071340}; synapse assembly {GO:0007416}; tissue development {GO:0009888}</t>
  </si>
  <si>
    <t>anchoring junction {GO:0070161}; axonal growth cone {GO:0044295}; basement membrane {GO:0005604}; cell surface {GO:0009986}; collagen-containing extracellular matrix {GO:0062023}; extracellular region {GO:0005576}; extracellular space {GO:0005615}; glutamatergic synapse {GO:0098978}; Golgi lumen {GO:0005796}; integral component of membrane {GO:0016021}; sarcolemma {GO:0042383}; synapse {GO:0045202}; synaptic cleft {GO:0043083}</t>
  </si>
  <si>
    <t>acetylcholine receptor regulator activity {GO:0030548}; ATPase inhibitor activity {GO:0042030}; BMP binding {GO:0036122}; calcium ion binding {GO:0005509}; chondroitin sulfate binding {GO:0035374}; dystroglycan binding {GO:0002162}; heparan sulfate proteoglycan binding {GO:0043395}; sialic acid binding {GO:0033691}; transforming growth factor beta binding {GO:0050431}; transmembrane transporter binding {GO:0044325}</t>
  </si>
  <si>
    <t>A tetrasaccharide linker sequence is required for GAG synthesis {R-MMU-1971475}; HS-GAG biosynthesis {R-MMU-2022928}; HS-GAG degradation {R-MMU-2024096}; ECM proteoglycans {R-MMU-3000178}; Retinoid metabolism and transport {R-MMU-975634}</t>
  </si>
  <si>
    <t>sp|P46718|PDCD2_MOUSE</t>
  </si>
  <si>
    <t>Programmed cell death protein 2</t>
  </si>
  <si>
    <t>Zinc finger protein Rp-8</t>
  </si>
  <si>
    <t>PDCD2_MOUSE</t>
  </si>
  <si>
    <t>P46718</t>
  </si>
  <si>
    <t>Q8BR06</t>
  </si>
  <si>
    <t>Rp8</t>
  </si>
  <si>
    <t>MGI:104643</t>
  </si>
  <si>
    <t>Apoptosis; DNA-binding; Metal-binding; Nucleus; Ubl conjugation; Zinc; Zinc-finger</t>
  </si>
  <si>
    <t>activation of cysteine-type endopeptidase activity involved in apoptotic process {GO:0006919}; apoptotic process {GO:0006915}; positive regulation of apoptotic process {GO:0043065}; positive regulation of hematopoietic stem cell proliferation {GO:1902035}; regulation of hematopoietic progenitor cell differentiation {GO:1901532}</t>
  </si>
  <si>
    <t>DNA binding {GO:0003677}; enzyme binding {GO:0019899}; metal ion binding {GO:0046872}</t>
  </si>
  <si>
    <t>sp|Q7TPM6|FSD1_MOUSE</t>
  </si>
  <si>
    <t>Fibronectin type III and SPRY domain-containing protein 1</t>
  </si>
  <si>
    <t>FSD1_MOUSE</t>
  </si>
  <si>
    <t>Q7TPM6</t>
  </si>
  <si>
    <t>Q3UNE6</t>
  </si>
  <si>
    <t>MGI:1934858</t>
  </si>
  <si>
    <t>Alternative splicing; Cell cycle; Cell division; Coiled coil; Cytoplasm; Cytoskeleton; Methylation; Microtubule; Mitosis; Nucleus</t>
  </si>
  <si>
    <t>cell cycle {GO:0007049}; cell division {GO:0051301}; cytoplasmic microtubule organization {GO:0031122}; regulation of cell division {GO:0051302}; regulation of cytokinesis {GO:0032465}; regulation of mitotic spindle organization {GO:0060236}</t>
  </si>
  <si>
    <t>centrosome {GO:0005813}; cleavage furrow {GO:0032154}; cytoplasm {GO:0005737}; microtubule {GO:0005874}; nucleus {GO:0005634}</t>
  </si>
  <si>
    <t>identical protein binding {GO:0042802}; microtubule binding {GO:0008017}</t>
  </si>
  <si>
    <t>sp|P61924|COPZ1_MOUSE</t>
  </si>
  <si>
    <t>Coatomer subunit zeta-1</t>
  </si>
  <si>
    <t>Zeta-1-coat protein (Zeta-1 COP)</t>
  </si>
  <si>
    <t>COPZ1_MOUSE</t>
  </si>
  <si>
    <t>P61924</t>
  </si>
  <si>
    <t>Q9Y3C3</t>
  </si>
  <si>
    <t>Copz</t>
  </si>
  <si>
    <t>MGI:1929063</t>
  </si>
  <si>
    <t>3D-structure; Acetylation; Cytoplasm; Cytoplasmic vesicle; ER-Golgi transport; Golgi apparatus; Membrane; Protein transport; Transport</t>
  </si>
  <si>
    <t>intra-Golgi vesicle-mediated transport {GO:0006891}; intracellular protein transport {GO:0006886}; retrograde vesicle-mediated transport, Golgi to endoplasmic reticulum {GO:0006890}; toxin transport {GO:1901998}</t>
  </si>
  <si>
    <t>COPI vesicle coat {GO:0030126}; Golgi membrane {GO:0000139}</t>
  </si>
  <si>
    <t>sp|Q9R0Q3|TMED2_MOUSE</t>
  </si>
  <si>
    <t>Transmembrane emp24 domain-containing protein 2</t>
  </si>
  <si>
    <t>COPI-coated vesicle membrane protein p24; Membrane protein p24A; Sid 394; p24 family protein beta-1 (p24beta1)</t>
  </si>
  <si>
    <t>TMED2_MOUSE</t>
  </si>
  <si>
    <t>Q9R0Q3</t>
  </si>
  <si>
    <t>Rnp24; Sid394</t>
  </si>
  <si>
    <t>MGI:1929269</t>
  </si>
  <si>
    <t>Coiled coil; Cytoplasmic vesicle; Endoplasmic reticulum; ER-Golgi transport; Golgi apparatus; Membrane; Protein transport; Signal; Transmembrane; Transmembrane helix; Transport</t>
  </si>
  <si>
    <t>allantois development {GO:1905069}; branching involved in labyrinthine layer morphogenesis {GO:0060670}; chorion development {GO:0060717}; embryonic morphogenesis {GO:0048598}; embryonic placenta development {GO:0001892}; endoplasmic reticulum membrane organization {GO:0090158}; endoplasmic reticulum organization {GO:0007029}; endoplasmic reticulum to Golgi vesicle-mediated transport {GO:0006888}; Golgi organization {GO:0007030}; heart looping {GO:0001947}; in utero embryonic development {GO:0001701}; intracellular protein transport {GO:0006886}; labyrinthine layer blood vessel development {GO:0060716}; maternal placenta development {GO:0001893}; multicellular organism growth {GO:0035264}; negative regulation of endoplasmic reticulum stress-induced eIF2 alpha phosphorylation {GO:1903912}; negative regulation of GTPase activity {GO:0034260}; neural tube closure {GO:0001843}; PERK-mediated unfolded protein response {GO:0036499}; positive regulation of gene expression {GO:0010628}; post-anal tail morphogenesis {GO:0036342}; protein localization {GO:0008104}; protein localization to plasma membrane {GO:0072659}; regulation of SREBP signaling pathway {GO:2000638}; somite rostral/caudal axis specification {GO:0032525}; somitogenesis {GO:0001756}</t>
  </si>
  <si>
    <t>COPI-coated vesicle {GO:0030137}; COPI-coated vesicle membrane {GO:0030663}; 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Golgi apparatus {GO:0005794}; Golgi cisterna membrane {GO:0032580}; integral component of membrane {GO:0016021}; intracellular membrane-bounded organelle {GO:0043231}; zymogen granule membrane {GO:0042589}</t>
  </si>
  <si>
    <t>Pre-NOTCH Processing in Golgi {R-MMU-1912420}; COPII-mediated vesicle transport {R-MMU-204005}; Cargo concentration in the ER {R-MMU-5694530}; COPI-mediated anterograde transport {R-MMU-6807878}; COPI-dependent Golgi-to-ER retrograde traffic {R-MMU-6811434}</t>
  </si>
  <si>
    <t>sp|Q9JJG0|TACC2_MOUSE</t>
  </si>
  <si>
    <t>Transforming acidic coiled-coil-containing protein 2</t>
  </si>
  <si>
    <t>TACC2_MOUSE</t>
  </si>
  <si>
    <t>Q9JJG0</t>
  </si>
  <si>
    <t>Q3TN02; Q811U0; Q8BQD4; Q99KQ6</t>
  </si>
  <si>
    <t>MGI:1928899</t>
  </si>
  <si>
    <t>Alternative splicing; Coiled coil; Cytoplasm; Cytoskeleton; Nucleus; Phosphoprotein</t>
  </si>
  <si>
    <t>astral microtubule organization {GO:0030953}; cell population proliferation {GO:0008283}; cerebral cortex development {GO:0021987}; interkinetic nuclear migration {GO:0022027}; microtubule cytoskeleton organization {GO:0000226}; mitotic spindle organization {GO:0007052}; neurogenesis {GO:0022008}; regulation of microtubule-based process {GO:0032886}; stem cell proliferation {GO:0072089}</t>
  </si>
  <si>
    <t>cytoplasm {GO:0005737}; cytosol {GO:0005829}; microtubule organizing center {GO:0005815}; nucleoplasm {GO:0005654}; plasma membrane {GO:0005886}</t>
  </si>
  <si>
    <t>nuclear receptor binding {GO:0016922}; protein domain specific binding {GO:0019904}</t>
  </si>
  <si>
    <t>sp|Q61464|ZN638_MOUSE</t>
  </si>
  <si>
    <t>Zinc finger protein 638</t>
  </si>
  <si>
    <t>Nuclear protein 220; Zinc finger matrin-like protein</t>
  </si>
  <si>
    <t>ZN638_MOUSE</t>
  </si>
  <si>
    <t>Q61464</t>
  </si>
  <si>
    <t>Q6DFV9; Q8C941</t>
  </si>
  <si>
    <t>MGI:1203484</t>
  </si>
  <si>
    <t>Activator; Alternative splicing; DNA-binding; Isopeptide bond; Metal-binding; Methylation; Nucleus; Phosphoprotein; Repeat; Repressor; Transcription; Transcription regulation; Ubl conjugation; Zinc; Zinc-finger</t>
  </si>
  <si>
    <t>RNA splicing {GO:0008380}</t>
  </si>
  <si>
    <t>intracellular membrane-bounded organelle {GO:0043231}; nuclear speck {GO:0016607}; nucleoplasm {GO:0005654}; nucleus {GO:0005634}</t>
  </si>
  <si>
    <t>sp|A2ADY9|DDI2_MOUSE</t>
  </si>
  <si>
    <t>Protein DDI1 homolog 2</t>
  </si>
  <si>
    <t>DDI2_MOUSE</t>
  </si>
  <si>
    <t>A2ADY9</t>
  </si>
  <si>
    <t>MGI:1917244</t>
  </si>
  <si>
    <t>Aspartyl protease; Chromosome; Cytoplasm; Hydrolase; Phosphoprotein; Protease</t>
  </si>
  <si>
    <t>Chromosome; Cytoplasm</t>
  </si>
  <si>
    <t>cellular response to hydroxyurea {GO:0072711}; proteasomal protein catabolic process {GO:0010498}; protein processing {GO:0016485}; regulation of DNA stability {GO:0097752}; regulation of protein stability {GO:0031647}</t>
  </si>
  <si>
    <t>chromosome {GO:0005694}; cytosol {GO:0005829}; nucleoplasm {GO:0005654}</t>
  </si>
  <si>
    <t>aspartic-type endopeptidase activity {GO:0004190}; identical protein binding {GO:0042802}; ubiquitin binding {GO:0043130}</t>
  </si>
  <si>
    <t>sp|Q91V76|CK054_MOUSE</t>
  </si>
  <si>
    <t>Ester hydrolase C11orf54 homolog</t>
  </si>
  <si>
    <t>CK054_MOUSE</t>
  </si>
  <si>
    <t>Q91V76</t>
  </si>
  <si>
    <t>MGI:1918234</t>
  </si>
  <si>
    <t>Hydrolase; Metal-binding; Nucleus; Zinc</t>
  </si>
  <si>
    <t>hydrolase activity, acting on ester bonds {GO:0016788}; zinc ion binding {GO:0008270}</t>
  </si>
  <si>
    <t>sp|Q9R190|MTA2_MOUSE</t>
  </si>
  <si>
    <t>Metastasis-associated protein MTA2</t>
  </si>
  <si>
    <t>Metastasis-associated 1-like 1</t>
  </si>
  <si>
    <t>MTA2_MOUSE</t>
  </si>
  <si>
    <t>Q9R190</t>
  </si>
  <si>
    <t>Q3TVT8</t>
  </si>
  <si>
    <t>Mta1l1</t>
  </si>
  <si>
    <t>MGI:1346340</t>
  </si>
  <si>
    <t>Acetylation; DNA-binding; Isopeptide bond; Metal-binding; Nucleus; Phosphoprotein; Ubl conjugation; Zinc; Zinc-finger</t>
  </si>
  <si>
    <t>chromatin remodeling {GO:0006338}; chromosome organization {GO:0051276}; DNA methylation {GO:0006306}; histone deacetylation {GO:0016575}; negative regulation of DNA-templated transcription {GO:0045892}; negative regulation of transcription by RNA polymerase II {GO:0000122}; positive regulation of DNA-templated transcription {GO:0045893}; positive regulation of transcription by RNA polymerase II {GO:0045944}; regulation of cell fate specification {GO:0042659}; regulation of fibroblast migration {GO:0010762}; regulation of stem cell differentiation {GO:2000736}</t>
  </si>
  <si>
    <t>chromosome, telomeric region {GO:0000781}; histone deacetylase complex {GO:0000118}; nucleoplasm {GO:0005654}; nucleus {GO:0005634}; NuRD complex {GO:0016581}; transcription regulator complex {GO:0005667}</t>
  </si>
  <si>
    <t>chromatin binding {GO:0003682}; histone deacetylase activity {GO:0004407}; histone deacetylase binding {GO:0042826}; metal ion binding {GO:0046872}; RNA polymerase II-specific DNA-binding transcription factor binding {GO:0061629}; sequence-specific DNA binding {GO:0043565}; transcription coactivator activity {GO:0003713}; transcription coregulator activity {GO:0003712}; transcription corepressor activity {GO:0003714}</t>
  </si>
  <si>
    <t>sp|O55013|TPPC3_MOUSE</t>
  </si>
  <si>
    <t>Trafficking protein particle complex subunit 3</t>
  </si>
  <si>
    <t>BET3 homolog</t>
  </si>
  <si>
    <t>TPPC3_MOUSE</t>
  </si>
  <si>
    <t>O55013</t>
  </si>
  <si>
    <t>MGI:1351486</t>
  </si>
  <si>
    <t>3D-structure; Endoplasmic reticulum; ER-Golgi transport; Golgi apparatus; Lipoprotein; Palmitate; Transport</t>
  </si>
  <si>
    <t>Lipoprotein; Palmitate</t>
  </si>
  <si>
    <t>COPII vesicle coating {GO:0048208}; endoplasmic reticulum to Golgi vesicle-mediated transport {GO:0006888}; intra-Golgi vesicle-mediated transport {GO:0006891}; vesicle coating {GO:0006901}; vesicle tethering {GO:0099022}</t>
  </si>
  <si>
    <t>cis-Golgi network membrane {GO:0033106}; cytoplasm {GO:0005737}; cytosol {GO:0005829}; endoplasmic reticulum {GO:0005783}; Golgi apparatus {GO:0005794}; Golgi membrane {GO:0000139}; TRAPP complex {GO:0030008}; TRAPPII protein complex {GO:1990071}; TRAPPIII protein complex {GO:1990072}</t>
  </si>
  <si>
    <t>COPII-mediated vesicle transport {R-MMU-204005}; RAB GEFs exchange GTP for GDP on RABs {R-MMU-8876198}</t>
  </si>
  <si>
    <t>sp|Q99J45|NRBP_MOUSE</t>
  </si>
  <si>
    <t>Nuclear receptor-binding protein</t>
  </si>
  <si>
    <t>HLS7-interacting protein kinase; MLF1 adapter molecule</t>
  </si>
  <si>
    <t>NRBP_MOUSE</t>
  </si>
  <si>
    <t>Q99J45</t>
  </si>
  <si>
    <t>Q8BL77</t>
  </si>
  <si>
    <t>Madm; Nrbp</t>
  </si>
  <si>
    <t>MGI:2183436</t>
  </si>
  <si>
    <t>Acetylation; Cell projection; Cytoplasm; Membrane; Phosphoprotein</t>
  </si>
  <si>
    <t>Cell projection; Cytoplasm; Membrane</t>
  </si>
  <si>
    <t>endoplasmic reticulum to Golgi vesicle-mediated transport {GO:0006888}; intracellular signal transduction {GO:0035556}</t>
  </si>
  <si>
    <t>cell cortex {GO:0005938}; cytoplasm {GO:0005737}; endomembrane system {GO:0012505}; lamellipodium {GO:0030027}; membrane {GO:0016020}; perinuclear region of cytoplasm {GO:0048471}</t>
  </si>
  <si>
    <t>identical protein binding {GO:0042802}; protein homodimerization activity {GO:0042803}; protein serine/threonine kinase activity {GO:0004674}</t>
  </si>
  <si>
    <t>sp|Q91WG4|ELP2_MOUSE</t>
  </si>
  <si>
    <t>Elongator complex protein 2 (ELP2)</t>
  </si>
  <si>
    <t>STAT3-interacting protein 1 (StIP1)</t>
  </si>
  <si>
    <t>ELP2_MOUSE</t>
  </si>
  <si>
    <t>Q91WG4</t>
  </si>
  <si>
    <t>Q3TIH5; Q3TIT0; Q8CBW6; Q9ESY7</t>
  </si>
  <si>
    <t>Statip1</t>
  </si>
  <si>
    <t>MGI:1889642</t>
  </si>
  <si>
    <t>Alternative splicing; Cytoplasm; Nucleus; Repeat; tRNA processing; WD repeat</t>
  </si>
  <si>
    <t>proteasome assembly {GO:0043248}; regulation of receptor signaling pathway via JAK-STAT {GO:0046425}; transcription elongation by RNA polymerase II promoter {GO:0006368}; tRNA wobble uridine modification {GO:0002098}</t>
  </si>
  <si>
    <t>cytosol {GO:0005829}; elongator holoenzyme complex {GO:0033588}; nucleoplasm {GO:0005654}; proteasome complex {GO:0000502}; transcription elongation factor complex {GO:0008023}</t>
  </si>
  <si>
    <t>endopeptidase activator activity {GO:0061133}; protein kinase binding {GO:0019901}; RNA polymerase II complex binding {GO:0000993}</t>
  </si>
  <si>
    <t>sp|Q8K296|MTMR3_MOUSE</t>
  </si>
  <si>
    <t>Myotubularin-related protein 3</t>
  </si>
  <si>
    <t>Phosphatidylinositol-3,5-bisphosphate 3-phosphatase; Phosphatidylinositol-3-phosphate phosphatase</t>
  </si>
  <si>
    <t>MTMR3_MOUSE</t>
  </si>
  <si>
    <t>Q8K296</t>
  </si>
  <si>
    <t>Q5NCA4</t>
  </si>
  <si>
    <t>MGI:1921552</t>
  </si>
  <si>
    <t>Alternative splicing; Coiled coil; Cytoplasm; Hydrolase; Lipid metabolism; Membrane; Metal-binding; Phosphoprotein; Protein phosphatase; Zinc; Zinc-finger</t>
  </si>
  <si>
    <t>cellular response to glucose starvation {GO:0042149}; phosphatidylinositol 5-phosphate metabolic process {GO:1904562}; phosphatidylinositol dephosphorylation {GO:0046856}; protein dephosphorylation {GO:0006470}; regulation of autophagosome assembly {GO:2000785}; regulation of autophagy {GO:0010506}; regulation of phosphatidylinositol dephosphorylation {GO:0060304}</t>
  </si>
  <si>
    <t>cytoplasm {GO:0005737}; extrinsic component of membrane {GO:0019898}; membrane {GO:0016020}</t>
  </si>
  <si>
    <t>metal ion binding {GO:0046872}; phosphatidylinositol-3,5-bisphosphate 3-phosphatase activity {GO:0052629}; phosphatidylinositol-3-phosphatase activity {GO:0004438}; protein phosphatase binding {GO:0019903}; protein serine/threonine phosphatase activity {GO:0004722}; protein tyrosine phosphatase activity {GO:0004725}; protein tyrosine/serine/threonine phosphatase activity {GO:0008138}</t>
  </si>
  <si>
    <t>Macroautophagy {R-MMU-1632852}; Synthesis of PIPs at the plasma membrane {R-MMU-1660499}</t>
  </si>
  <si>
    <t>sp|P62073|TIM10_MOUSE</t>
  </si>
  <si>
    <t>Mitochondrial import inner membrane translocase subunit Tim10</t>
  </si>
  <si>
    <t>TIM10_MOUSE</t>
  </si>
  <si>
    <t>P62073</t>
  </si>
  <si>
    <t>Q9WV99; Q9WVA0; Q9Y5J8</t>
  </si>
  <si>
    <t>Tim10</t>
  </si>
  <si>
    <t>MGI:1353429</t>
  </si>
  <si>
    <t>Chaperone; Disulfide bond; Membrane; Metal-binding; Mitochondrion; Mitochondrion inner membrane; Protein transport; Translocation; Transport; Zinc</t>
  </si>
  <si>
    <t>sp|Q9WVA4|TAGL2_MOUSE</t>
  </si>
  <si>
    <t>Transgelin-2</t>
  </si>
  <si>
    <t>SM22-beta</t>
  </si>
  <si>
    <t>TAGL2_MOUSE</t>
  </si>
  <si>
    <t>Q9WVA4</t>
  </si>
  <si>
    <t>Q3TIB8; Q6A0C6; Q78ZX2; Q91VU2</t>
  </si>
  <si>
    <t>Kiaa0120</t>
  </si>
  <si>
    <t>MGI:1312985</t>
  </si>
  <si>
    <t>epithelial cell differentiation {GO:0030855}</t>
  </si>
  <si>
    <t>cytoskeleton {GO:0005856}</t>
  </si>
  <si>
    <t>sp|Q62523|ZYX_MOUSE</t>
  </si>
  <si>
    <t>Zyxin</t>
  </si>
  <si>
    <t>ZYX_MOUSE</t>
  </si>
  <si>
    <t>Q62523</t>
  </si>
  <si>
    <t>P70461; Q3UGQ3</t>
  </si>
  <si>
    <t>MGI:103072</t>
  </si>
  <si>
    <t>Acetylation; Cell adhesion; Cell junction; Cytoplasm; Cytoskeleton; LIM domain; Metal-binding; Methylation; Nucleus; Phosphoprotein; Repeat; Zinc</t>
  </si>
  <si>
    <t>cell-matrix adhesion {GO:0007160}; cellular response to interferon-gamma {GO:0071346}; integrin-mediated signaling pathway {GO:0007229}; regulation of inflammatory response {GO:0050727}; signal transduction {GO:0007165}; stress fiber assembly {GO:0043149}; transforming growth factor beta receptor signaling pathway {GO:0007179}</t>
  </si>
  <si>
    <t>actin cytoskeleton {GO:0015629}; adherens junction {GO:0005912}; cytoplasm {GO:0005737}; cytosol {GO:0005829}; focal adhesion {GO:0005925}; nucleus {GO:0005634}; phagocytic vesicle {GO:0045335}; plasma membrane {GO:0005886}; stress fiber {GO:0001725}</t>
  </si>
  <si>
    <t>sp|O09117|SYPL1_MOUSE</t>
  </si>
  <si>
    <t>Synaptophysin-like protein 1</t>
  </si>
  <si>
    <t>Pantophysin</t>
  </si>
  <si>
    <t>SYPL1_MOUSE</t>
  </si>
  <si>
    <t>O09117</t>
  </si>
  <si>
    <t>Q8BQI8; Q8BQJ1; Q8C749</t>
  </si>
  <si>
    <t>Pphn; Sypl</t>
  </si>
  <si>
    <t>MGI:108081</t>
  </si>
  <si>
    <t>Alternative splicing; Cytoplasmic vesicle; Glycoprotein; Membrane; Transmembrane; Transmembrane helix</t>
  </si>
  <si>
    <t>Cytoplasmic vesicle; Membrane</t>
  </si>
  <si>
    <t>integral component of synaptic vesicle membrane {GO:0030285}; melanosome {GO:0042470}; membrane {GO:0016020}; secretory granule {GO:0030141}; synaptic vesicle membrane {GO:0030672}</t>
  </si>
  <si>
    <t>sp|Q9CPP6|NDUA5_MOUSE</t>
  </si>
  <si>
    <t>NADH dehydrogenase [ubiquinone] 1 alpha subcomplex subunit 5</t>
  </si>
  <si>
    <t>Complex I subunit B13; Complex I-13kD-B (CI-13kD-B); NADH-ubiquinone oxidoreductase 13 kDa-B subunit</t>
  </si>
  <si>
    <t>NDUA5_MOUSE</t>
  </si>
  <si>
    <t>Q9CPP6</t>
  </si>
  <si>
    <t>Q9CY90; Q9D2P2; Q9D703; Q9D739</t>
  </si>
  <si>
    <t>MGI:1915452</t>
  </si>
  <si>
    <t>aerobic respiration {GO:0009060}; mitochondrial respiratory chain complex I assembly {GO:0032981}; proton motive force-driven mitochondrial ATP synthesis {GO:0042776}; respiratory electron transport chain {GO:0022904}</t>
  </si>
  <si>
    <t>mitochondrial inner membrane {GO:0005743}; mitochondrial respiratory chain complex I {GO:0005747}; mitochondrion {GO:0005739}; protein-containing complex {GO:0032991}; respiratory chain complex I {GO:0045271}</t>
  </si>
  <si>
    <t>sp|Q9QZ73|DCNL1_MOUSE</t>
  </si>
  <si>
    <t>DCN1-like protein 1 (DCNL1)</t>
  </si>
  <si>
    <t>DCUN1 domain-containing protein 1; Defective in cullin neddylation protein 1-like protein 1; Testis-specific protein 3</t>
  </si>
  <si>
    <t>DCNL1_MOUSE</t>
  </si>
  <si>
    <t>Q9QZ73</t>
  </si>
  <si>
    <t>Q3TMX2; Q8CDZ7</t>
  </si>
  <si>
    <t>Dcun1l1; Rp42; Tes3</t>
  </si>
  <si>
    <t>MGI:2150386</t>
  </si>
  <si>
    <t>Acetylation; Cytoplasm; Nucleus; Proto-oncogene; Ubl conjugation; Ubl conjugation pathway</t>
  </si>
  <si>
    <t>positive regulation of protein neddylation {GO:2000436}; positive regulation of ubiquitin-protein transferase activity {GO:0051443}; protein neddylation {GO:0045116}; regulation of protein neddylation {GO:2000434}; regulation of protein ubiquitination {GO:0031396}</t>
  </si>
  <si>
    <t>cytoplasm {GO:0005737}; cytosol {GO:0005829}; nucleoplasm {GO:0005654}; nucleus {GO:0005634}; ubiquitin ligase complex {GO:0000151}</t>
  </si>
  <si>
    <t>cullin family protein binding {GO:0097602}; ubiquitin conjugating enzyme binding {GO:0031624}; ubiquitin-like protein binding {GO:0032182}</t>
  </si>
  <si>
    <t>sp|Q9D9V3|ECHD1_MOUSE</t>
  </si>
  <si>
    <t>Ethylmalonyl-CoA decarboxylase</t>
  </si>
  <si>
    <t>Enoyl-CoA hydratase domain-containing protein 1; Methylmalonyl-CoA decarboxylase (MMCD)</t>
  </si>
  <si>
    <t>ECHD1_MOUSE</t>
  </si>
  <si>
    <t>Q9D9V3</t>
  </si>
  <si>
    <t>Q3U8C0; Q3UM30; Q8C185; Q9CTC5</t>
  </si>
  <si>
    <t>MGI:1277169</t>
  </si>
  <si>
    <t>Acetylation; Alternative splicing; Cytoplasm; Lyase</t>
  </si>
  <si>
    <t>carboxy-lyase activity {GO:0016831}; enoyl-CoA hydratase activity {GO:0004300}</t>
  </si>
  <si>
    <t>sp|Q63810|CANB1_MOUSE</t>
  </si>
  <si>
    <t>Calcineurin subunit B type 1</t>
  </si>
  <si>
    <t>Protein phosphatase 2B regulatory subunit 1; Protein phosphatase 3 regulatory subunit B alpha isoform 1</t>
  </si>
  <si>
    <t>CANB1_MOUSE</t>
  </si>
  <si>
    <t>Q63810</t>
  </si>
  <si>
    <t>Q3V067; Q5F225</t>
  </si>
  <si>
    <t>Cnb</t>
  </si>
  <si>
    <t>MGI:107172</t>
  </si>
  <si>
    <t>3D-structure; Alternative splicing; Calcium; Cell membrane; Cytoplasm; Lipoprotein; Membrane; Metal-binding; Myristate; Phosphoprotein; Repeat</t>
  </si>
  <si>
    <t>branching involved in blood vessel morphogenesis {GO:0001569}; calcineurin-mediated signaling {GO:0097720}; calcineurin-NFAT signaling cascade {GO:0033173}; epithelial to mesenchymal transition {GO:0001837}; heart development {GO:0007507}; lung epithelial cell differentiation {GO:0060487}; myelination in peripheral nervous system {GO:0022011}; negative regulation of calcium ion import across plasma membrane {GO:1905949}; negative regulation of voltage-gated calcium channel activity {GO:1901386}; positive regulation of calcineurin-NFAT signaling cascade {GO:0070886}; positive regulation of calcium ion import across plasma membrane {GO:1905665}; positive regulation of transcription by RNA polymerase II {GO:0045944}; positive regulation of voltage-gated calcium channel activity {GO:1901387}; postsynaptic modulation of chemical synaptic transmission {GO:0099170}; protein dephosphorylation {GO:0006470}; protein import into nucleus {GO:0006606}; protein localization to nucleus {GO:0034504}; regulation of postsynaptic neurotransmitter receptor internalization {GO:0099149}; Schwann cell development {GO:0014044}</t>
  </si>
  <si>
    <t>calcineurin complex {GO:0005955}; cytosol {GO:0005829}; glutamatergic synapse {GO:0098978}; parallel fiber to Purkinje cell synapse {GO:0098688}; postsynapse {GO:0098794}; protein serine/threonine phosphatase complex {GO:0008287}; sarcolemma {GO:0042383}; Schaffer collateral - CA1 synapse {GO:0098685}; synapse {GO:0045202}</t>
  </si>
  <si>
    <t>calcium ion binding {GO:0005509}; calcium-dependent protein serine/threonine phosphatase regulator activity {GO:0008597}; cyclosporin A binding {GO:0016018}; enzyme binding {GO:0019899}; phosphatase binding {GO:0019902}; phosphoprotein phosphatase activity {GO:0004721}; protein domain specific binding {GO:0019904}</t>
  </si>
  <si>
    <t>Activation of BAD and translocation to mitochondria {R-MMU-111447}; Calcineurin activates NFAT {R-MMU-2025928}; FCERI mediated Ca+2 mobilization {R-MMU-2871809}; Ca2+ pathway {R-MMU-4086398}; CLEC7A (Dectin-1) induces NFAT activation {R-MMU-5607763}</t>
  </si>
  <si>
    <t>sp|Q810J8|ZFYV1_MOUSE</t>
  </si>
  <si>
    <t>Zinc finger FYVE domain-containing protein 1</t>
  </si>
  <si>
    <t>ZFYV1_MOUSE</t>
  </si>
  <si>
    <t>Q810J8</t>
  </si>
  <si>
    <t>Q3TC20</t>
  </si>
  <si>
    <t>MGI:3026685</t>
  </si>
  <si>
    <t>Endoplasmic reticulum; Golgi apparatus; Lipid droplet; Metal-binding; Mitochondrion; Repeat; Zinc; Zinc-finger</t>
  </si>
  <si>
    <t>Endoplasmic reticulum; Golgi apparatus; Lipid droplet; Mitochondrion</t>
  </si>
  <si>
    <t>cellular response to starvation {GO:0009267}; lipid droplet formation {GO:0140042}; macroautophagy {GO:0016236}</t>
  </si>
  <si>
    <t>autophagosome {GO:0005776}; endoplasmic reticulum {GO:0005783}; endoplasmic reticulum membrane {GO:0005789}; extrinsic component of omegasome membrane {GO:0097629}; Golgi apparatus {GO:0005794}; Golgi stack {GO:0005795}; lipid droplet {GO:0005811}; membrane {GO:0016020}; mitochondria-associated endoplasmic reticulum membrane {GO:0044233}; mitochondrion {GO:0005739}; omegasome {GO:1990462}; perinuclear region of cytoplasm {GO:0048471}; phagophore assembly site {GO:0000407}</t>
  </si>
  <si>
    <t>1-phosphatidylinositol binding {GO:0005545}; metal ion binding {GO:0046872}; phosphatidylinositol-3,4,5-trisphosphate binding {GO:0005547}; phosphatidylinositol-3,4-bisphosphate binding {GO:0043325}; phosphatidylinositol-3-phosphate binding {GO:0032266}</t>
  </si>
  <si>
    <t>sp|Q811D0|DLG1_MOUSE</t>
  </si>
  <si>
    <t>Disks large homolog 1</t>
  </si>
  <si>
    <t>Embryo-dlg/synapse-associated protein 97 (E-dlg/SAP97); Synapse-associated protein 97 (SAP-97; SAP97)</t>
  </si>
  <si>
    <t>DLG1_MOUSE</t>
  </si>
  <si>
    <t>Q811D0</t>
  </si>
  <si>
    <t>Q62402; Q6PGB5; Q8CGN7</t>
  </si>
  <si>
    <t>Dlgh1</t>
  </si>
  <si>
    <t>MGI:107231</t>
  </si>
  <si>
    <t>3D-structure; Alternative splicing; Cell junction; Cell membrane; Cytoplasm; Endoplasmic reticulum; Membrane; Phosphoprotein; Repeat; SH3 domain; Synapse; Ubl conjugation</t>
  </si>
  <si>
    <t>Cell junction; Cell membrane; Cytoplasm; Endoplasmic reticulum; Membrane; Synapse</t>
  </si>
  <si>
    <t>actin filament organization {GO:0007015}; actin filament polymerization {GO:0030041}; activation of protein kinase activity {GO:0032147}; amyloid precursor protein metabolic process {GO:0042982}; astral microtubule organization {GO:0030953}; bicellular tight junction assembly {GO:0070830}; branching involved in ureteric bud morphogenesis {GO:0001658}; cell population proliferation {GO:0008283}; cell-cell adhesion {GO:0098609}; chemical synaptic transmission {GO:0007268}; cortical actin cytoskeleton organization {GO:0030866}; cortical microtubule organization {GO:0043622}; embryonic skeletal system morphogenesis {GO:0048704}; endothelial cell proliferation {GO:0001935}; establishment of centrosome localization {GO:0051660}; establishment or maintenance of epithelial cell apical/basal polarity {GO:0045197}; hard palate development {GO:0060022}; immunological synapse formation {GO:0001771}; lens development in camera-type eye {GO:0002088}; membrane raft organization {GO:0031579}; negative regulation of epithelial cell proliferation {GO:0050680}; negative regulation of ERK1 and ERK2 cascade {GO:0070373}; negative regulation of G1/S transition of mitotic cell cycle {GO:2000134}; negative regulation of p38MAPK cascade {GO:1903753}; negative regulation of protein kinase B signaling {GO:0051898}; negative regulation of T cell proliferation {GO:0042130}; negative regulation of transcription by RNA polymerase II {GO:0000122}; neurotransmitter receptor localization to postsynaptic specialization membrane {GO:0099645}; peristalsis {GO:0030432}; positive regulation of actin filament polymerization {GO:0030838}; positive regulation of cell population proliferation {GO:0008284}; positive regulation of developmental growth {GO:0048639}; positive regulation of multicellular organism growth {GO:0040018}; positive regulation of potassium ion transport {GO:0043268}; positive regulation of protein localization to plasma membrane {GO:1903078}; protein kinase B signaling {GO:0043491}; protein localization {GO:0008104}; protein localization to plasma membrane {GO:0072659}; protein-containing complex localization {GO:0031503}; receptor clustering {GO:0043113}; receptor localization to synapse {GO:0097120}; regulation of cell shape {GO:0008360}; regulation of membrane potential {GO:0042391}; regulation of myelination {GO:0031641}; regulation of potassium ion export across plasma membrane {GO:1903764}; regulation of potassium ion import {GO:1903286}; regulation of protein localization {GO:0032880}; regulation of protein localization to synapse {GO:1902473}; regulation of ventricular cardiac muscle cell action potential {GO:0098911}; regulation of voltage-gated potassium channel activity involved in ventricular cardiac muscle cell action potential repolarization {GO:1903760}; reproductive structure development {GO:0048608}; smooth muscle tissue development {GO:0048745}; T cell activation {GO:0042110}; T cell proliferation {GO:0042098}; tissue morphogenesis {GO:0048729}; ureteric bud development {GO:0001657}</t>
  </si>
  <si>
    <t>adherens junction {GO:0005912}; apical plasma membrane {GO:0016324}; basal plasma membrane {GO:0009925}; basement membrane {GO:0005604}; basolateral plasma membrane {GO:0016323}; bicellular tight junction {GO:0005923}; cell junction {GO:0030054}; cell projection membrane {GO:0031253}; cell-cell junction {GO:0005911}; cytoplasm {GO:0005737}; cytoplasmic side of plasma membrane {GO:0009898}; cytosol {GO:0005829}; dendrite {GO:0030425}; endoplasmic reticulum {GO:0005783}; endoplasmic reticulum membrane {GO:0005789}; glutamatergic synapse {GO:0098978}; Golgi apparatus {GO:0005794}; immunological synapse {GO:0001772}; lateral loop {GO:0043219}; lateral plasma membrane {GO:0016328}; membrane raft {GO:0045121}; microtubule {GO:0005874}; microvillus {GO:0005902}; MPP7-DLG1-LIN7 complex {GO:0097025}; myelin sheath abaxonal region {GO:0035748}; neuromuscular junction {GO:0031594}; neuron projection {GO:0043005}; neuronal cell body {GO:0043025}; node of Ranvier {GO:0033268}; nucleus {GO:0005634}; paranode region of axon {GO:0033270}; perinuclear region of cytoplasm {GO:0048471}; plasma membrane {GO:0005886}; postsynaptic density {GO:0014069}; postsynaptic density membrane {GO:0098839}; postsynaptic density, intracellular component {GO:0099092}; presynaptic membrane {GO:0042734}; synapse {GO:0045202}; synaptic membrane {GO:0097060}; synaptic vesicle membrane {GO:0030672}; T-tubule {GO:0030315}</t>
  </si>
  <si>
    <t>ionotropic glutamate receptor binding {GO:0035255}; kinase binding {GO:0019900}; kinesin binding {GO:0019894}; L27 domain binding {GO:0097016}; mitogen-activated protein kinase kinase binding {GO:0031434}; molecular adaptor activity {GO:0060090}; PDZ domain binding {GO:0030165}; phosphatase binding {GO:0019902}; potassium channel regulator activity {GO:0015459}; protein C-terminus binding {GO:0008022}; protein kinase binding {GO:0019901}; structural constituent of postsynaptic density {GO:0098919}; transmembrane transporter binding {GO:0044325}</t>
  </si>
  <si>
    <t>Trafficking of AMPA receptors {R-MMU-399719}; Unblocking of NMDA receptors, glutamate binding and activation {R-MMU-438066}; Activation of Ca-permeable Kainate Receptor {R-MMU-451308}; RAF/MAP kinase cascade {R-MMU-5673001}; Synaptic adhesion-like molecules {R-MMU-8849932}</t>
  </si>
  <si>
    <t>sp|P38060|HMGCL_MOUSE</t>
  </si>
  <si>
    <t>Hydroxymethylglutaryl-CoA lyase, mitochondrial (HL; HMG-CoA lyase)</t>
  </si>
  <si>
    <t>3-hydroxy-3-methylglutarate-CoA lyase</t>
  </si>
  <si>
    <t>HMGCL_MOUSE</t>
  </si>
  <si>
    <t>P38060</t>
  </si>
  <si>
    <t>Q8QZS6</t>
  </si>
  <si>
    <t>MGI:96158</t>
  </si>
  <si>
    <t>Acetylation; Disulfide bond; Lipid metabolism; Lyase; Metal-binding; Mitochondrion; Peroxisome; Transit peptide</t>
  </si>
  <si>
    <t>Mitochondrion; Peroxisome</t>
  </si>
  <si>
    <t>acyl-CoA metabolic process {GO:0006637}; ketone body biosynthetic process {GO:0046951}; leucine catabolic process {GO:0006552}; lipid metabolic process {GO:0006629}; mitochondrion organization {GO:0007005}</t>
  </si>
  <si>
    <t>mitochondrial inner membrane {GO:0005743}; mitochondrial matrix {GO:0005759}; mitochondrion {GO:0005739}; peroxisome {GO:0005777}; protein-containing complex {GO:0032991}</t>
  </si>
  <si>
    <t>carboxylic acid binding {GO:0031406}; fatty-acyl-CoA binding {GO:0000062}; hydroxymethylglutaryl-CoA lyase activity {GO:0004419}; magnesium ion binding {GO:0000287}; manganese ion binding {GO:0030145}; metal ion binding {GO:0046872}; structural molecule activity {GO:0005198}</t>
  </si>
  <si>
    <t>Metabolic intermediate metabolism; (S)-3-hydroxy-3- methylglutaryl-CoA degradation; acetoacetate from (S)-3-hydroxy-3- methylglutaryl-CoA: step 1/1.</t>
  </si>
  <si>
    <t>Synthesis of Ketone Bodies {R-MMU-77111}; Peroxisomal protein import {R-MMU-9033241}</t>
  </si>
  <si>
    <t>sp|Q8K2V6|IPO11_MOUSE</t>
  </si>
  <si>
    <t>Importin-11 (Imp11)</t>
  </si>
  <si>
    <t>Ran-binding protein 11 (RanBP11)</t>
  </si>
  <si>
    <t>IPO11_MOUSE</t>
  </si>
  <si>
    <t>Q8K2V6</t>
  </si>
  <si>
    <t>Q8BU45; Q8K0B4</t>
  </si>
  <si>
    <t>Ranbp11</t>
  </si>
  <si>
    <t>MGI:2442377</t>
  </si>
  <si>
    <t>protein import into nucleus {GO:0006606}; ribosomal protein import into nucleus {GO:0006610}</t>
  </si>
  <si>
    <t>nuclear import signal receptor activity {GO:0061608}; small GTPase binding {GO:0031267}</t>
  </si>
  <si>
    <t>sp|Q9Z0H8|CLIP2_MOUSE</t>
  </si>
  <si>
    <t>CAP-Gly domain-containing linker protein 2</t>
  </si>
  <si>
    <t>Cytoplasmic linker protein 115 (CLIP-115); Cytoplasmic linker protein 2</t>
  </si>
  <si>
    <t>CLIP2_MOUSE</t>
  </si>
  <si>
    <t>Q9Z0H8</t>
  </si>
  <si>
    <t>Q7TSI9; Q8CHU1; Q9EP81</t>
  </si>
  <si>
    <t>Cyln2; Kiaa0291</t>
  </si>
  <si>
    <t>MGI:1313136</t>
  </si>
  <si>
    <t>Alternative splicing; Coiled coil; Cytoplasm; Cytoskeleton; Microtubule; Phosphoprotein; Repeat</t>
  </si>
  <si>
    <t>cytoplasmic microtubule organization {GO:0031122}</t>
  </si>
  <si>
    <t>cytoplasm {GO:0005737}; cytoplasmic microtubule {GO:0005881}; dendritic microtubule {GO:1901588}; lamellar body {GO:0042599}; microtubule cytoskeleton {GO:0015630}; microtubule plus-end {GO:0035371}; nucleus {GO:0005634}</t>
  </si>
  <si>
    <t>microtubule binding {GO:0008017}; microtubule plus-end binding {GO:0051010}</t>
  </si>
  <si>
    <t>sp|Q9Z172|SUMO3_MOUSE</t>
  </si>
  <si>
    <t>Small ubiquitin-related modifier 3 (SUMO-3)</t>
  </si>
  <si>
    <t>SMT3 homolog 1; Ubiquitin-like protein SMT3A (Smt3A)</t>
  </si>
  <si>
    <t>SUMO3_MOUSE</t>
  </si>
  <si>
    <t>Q9Z172</t>
  </si>
  <si>
    <t>Q14C17; Q3TBL9; Q3UDI5</t>
  </si>
  <si>
    <t>MGI:1336201</t>
  </si>
  <si>
    <t>Alternative splicing; Cytoplasm; Isopeptide bond; Nucleus; Ubl conjugation; Ubl conjugation pathway</t>
  </si>
  <si>
    <t>negative regulation of DNA binding {GO:0043392}; positive regulation of ubiquitin-dependent protein catabolic process {GO:2000060}; protein localization to nucleus {GO:0034504}; protein sumoylation {GO:0016925}; regulation of protein localization to nucleus {GO:1900180}</t>
  </si>
  <si>
    <t>cytoplasm {GO:0005737}; nuclear body {GO:0016604}; nucleoplasm {GO:0005654}; nucleus {GO:0005634}; PML body {GO:0016605}</t>
  </si>
  <si>
    <t>protein tag {GO:0031386}; SUMO transferase activity {GO:0019789}; ubiquitin-like protein ligase binding {GO:0044389}</t>
  </si>
  <si>
    <t>SUMO is proteolytically processed {R-MMU-3065679}; SUMOylation of DNA damage response and repair proteins {R-MMU-3108214}; SUMOylation of transcription factors {R-MMU-3232118}; SUMOylation of transcription cofactors {R-MMU-3899300}; SUMOylation of intracellular receptors {R-MMU-4090294}; SUMOylation of chromatin organization proteins {R-MMU-4551638}; SUMOylation of DNA replication proteins {R-MMU-4615885}; SUMOylation of immune response proteins {R-MMU-4755510}; Formation of Incision Complex in GG-NER {R-MMU-5696395}</t>
  </si>
  <si>
    <t>sp|Q9WTP7|KAD3_MOUSE</t>
  </si>
  <si>
    <t>GTP:AMP phosphotransferase AK3, mitochondrial</t>
  </si>
  <si>
    <t>Adenylate kinase 3 (AK 3); Adenylate kinase 3 alpha-like 1</t>
  </si>
  <si>
    <t>KAD3_MOUSE</t>
  </si>
  <si>
    <t>Q9WTP7</t>
  </si>
  <si>
    <t>Q3UDN7; Q8BGX5; Q9D7Z1; Q9DB57; Q9DBM5</t>
  </si>
  <si>
    <t>Ak3l; Ak3l1; Akl3l</t>
  </si>
  <si>
    <t>MGI:1860835</t>
  </si>
  <si>
    <t>Acetylation; GTP-binding; Kinase; Mitochondrion; Nucleotide-binding; Phosphoprotein; Transferase</t>
  </si>
  <si>
    <t>ADP biosynthetic process {GO:0006172}; AMP metabolic process {GO:0046033}; AMP phosphorylation {GO:0006756}; ATP metabolic process {GO:0046034}; dATP metabolic process {GO:0046060}; GTP metabolic process {GO:0046039}; ITP metabolic process {GO:0046041}; nucleoside triphosphate biosynthetic process {GO:0009142}; phosphorylation {GO:0016310}; UTP metabolic process {GO:0046051}</t>
  </si>
  <si>
    <t>cytoplasm {GO:0005737}; mitochondrial intermembrane space {GO:0005758}; mitochondrial matrix {GO:0005759}; mitochondrion {GO:0005739}</t>
  </si>
  <si>
    <t>adenylate kinase activity {GO:0004017}; ATP binding {GO:0005524}; GTP binding {GO:0005525}; identical protein binding {GO:0042802}; nucleoside triphosphate adenylate kinase activity {GO:0046899}</t>
  </si>
  <si>
    <t>sp|Q9CYN2|SPCS2_MOUSE</t>
  </si>
  <si>
    <t>Signal peptidase complex subunit 2</t>
  </si>
  <si>
    <t>Microsomal signal peptidase 25 kDa subunit (SPase 25 kDa subunit)</t>
  </si>
  <si>
    <t>SPCS2_MOUSE</t>
  </si>
  <si>
    <t>Q9CYN2</t>
  </si>
  <si>
    <t>Q3THR2; Q80X74; Q921V8; Q9CXK1</t>
  </si>
  <si>
    <t>Spc25</t>
  </si>
  <si>
    <t>MGI:1913874</t>
  </si>
  <si>
    <t>Acetylation; Endoplasmic reticulum; Membrane; Transmembrane; Transmembrane helix</t>
  </si>
  <si>
    <t>protein targeting to ER {GO:0045047}; signal peptide processing {GO:0006465}</t>
  </si>
  <si>
    <t>sp|Q8VE47|UBA5_MOUSE</t>
  </si>
  <si>
    <t>Ubiquitin-like modifier-activating enzyme 5 (Ubiquitin-activating enzyme 5)</t>
  </si>
  <si>
    <t>UFM1-activating enzyme</t>
  </si>
  <si>
    <t>UBA5_MOUSE</t>
  </si>
  <si>
    <t>Q8VE47</t>
  </si>
  <si>
    <t>Q3TG27; Q3U8X9; Q3U9E7; Q9CYD6</t>
  </si>
  <si>
    <t>MGI:1913913</t>
  </si>
  <si>
    <t>ATP-binding; Cytoplasm; Endoplasmic reticulum; Golgi apparatus; Membrane; Metal-binding; Nucleotide-binding; Nucleus; Phosphoprotein; Ubl conjugation pathway; Zinc</t>
  </si>
  <si>
    <t>Cytoplasm; Endoplasmic reticulum; Golgi apparatus; Membrane; Nucleus</t>
  </si>
  <si>
    <t>erythrocyte differentiation {GO:0030218}; megakaryocyte differentiation {GO:0030219}; neuromuscular process {GO:0050905}; protein K69-linked ufmylation {GO:1990592}; protein modification by small protein conjugation {GO:0032446}; protein ufmylation {GO:0071569}; regulation of intracellular estrogen receptor signaling pathway {GO:0033146}; response to endoplasmic reticulum stress {GO:0034976}; reticulophagy {GO:0061709}</t>
  </si>
  <si>
    <t>cytoplasm {GO:0005737}; cytosol {GO:0005829}; endoplasmic reticulum membrane {GO:0005789}; Golgi apparatus {GO:0005794}; intracellular membrane-bounded organelle {GO:0043231}; nucleus {GO:0005634}</t>
  </si>
  <si>
    <t>ATP binding {GO:0005524}; protein homodimerization activity {GO:0042803}; UFM1 activating enzyme activity {GO:0071566}; zinc ion binding {GO:0008270}</t>
  </si>
  <si>
    <t>sp|O35857|TIM44_MOUSE</t>
  </si>
  <si>
    <t>Mitochondrial import inner membrane translocase subunit TIM44</t>
  </si>
  <si>
    <t>TIM44_MOUSE</t>
  </si>
  <si>
    <t>O35857</t>
  </si>
  <si>
    <t>Q2NLC5</t>
  </si>
  <si>
    <t>Mimt44; Tim44</t>
  </si>
  <si>
    <t>MGI:1343262</t>
  </si>
  <si>
    <t>ATP-binding; Membrane; Mitochondrion; Mitochondrion inner membrane; Nucleotide-binding; Phosphoprotein; Protein transport; Transit peptide; Translocation; Transport</t>
  </si>
  <si>
    <t>intracellular protein transport {GO:0006886}; protein import into mitochondrial matrix {GO:0030150}</t>
  </si>
  <si>
    <t>fibrillar center {GO:0001650}; mitochondrial inner membrane {GO:0005743}; mitochondrial matrix {GO:0005759}; mitochondrion {GO:0005739}</t>
  </si>
  <si>
    <t>ATP binding {GO:0005524}; chaperone binding {GO:0051087}; enzyme binding {GO:0019899}</t>
  </si>
  <si>
    <t>sp|Q64310|SURF4_MOUSE</t>
  </si>
  <si>
    <t>Surfeit locus protein 4</t>
  </si>
  <si>
    <t>SURF4_MOUSE</t>
  </si>
  <si>
    <t>Q64310</t>
  </si>
  <si>
    <t>MGI:98445</t>
  </si>
  <si>
    <t>Endoplasmic reticulum; Golgi apparatus; Membrane; Protein transport; Transmembrane; Transmembrane helix; Transport</t>
  </si>
  <si>
    <t>Golgi organization {GO:0007030}; lipid homeostasis {GO:0055088}; lipoprotein transport {GO:0042953}; positive regulation of organelle organization {GO:0010638}; regulation of lipid transport {GO:0032368}</t>
  </si>
  <si>
    <t>cytosol {GO:0005829}; endoplasmic reticulum {GO:0005783}; endoplasmic reticulum membrane {GO:0005789}; endoplasmic reticulum-Golgi intermediate compartment {GO:0005793}; endoplasmic reticulum-Golgi intermediate compartment membrane {GO:0033116}; Golgi apparatus {GO:0005794}; Golgi membrane {GO:0000139}; integral component of membrane {GO:0016021}; nuclear membrane {GO:0031965}</t>
  </si>
  <si>
    <t>Neutrophil degranulation {R-MMU-6798695}; COPI-dependent Golgi-to-ER retrograde traffic {R-MMU-6811434}</t>
  </si>
  <si>
    <t>sp|Q6PIU9|YJ005_MOUSE</t>
  </si>
  <si>
    <t>Uncharacterized protein FLJ45252 homolog</t>
  </si>
  <si>
    <t>YJ005_MOUSE</t>
  </si>
  <si>
    <t>Q6PIU9</t>
  </si>
  <si>
    <t>Q8BPJ9</t>
  </si>
  <si>
    <t>sp|Q9D0L7|ARM10_MOUSE</t>
  </si>
  <si>
    <t>Armadillo repeat-containing protein 10</t>
  </si>
  <si>
    <t>ARM10_MOUSE</t>
  </si>
  <si>
    <t>Q9D0L7</t>
  </si>
  <si>
    <t>Q80ZY2; Q9CUN3; Q9CZ87</t>
  </si>
  <si>
    <t>MGI:1914461</t>
  </si>
  <si>
    <t>Alternative splicing; Endoplasmic reticulum; Growth regulation; Membrane; Phosphoprotein; Transmembrane; Transmembrane helix</t>
  </si>
  <si>
    <t>negative regulation of apoptotic process {GO:0043066}; negative regulation of intrinsic apoptotic signaling pathway by p53 class mediator {GO:1902254}; positive regulation of growth rate {GO:0040010}</t>
  </si>
  <si>
    <t>endoplasmic reticulum {GO:0005783}; endoplasmic reticulum membrane {GO:0005789}; integral component of membrane {GO:0016021}; mitochondrion {GO:0005739}</t>
  </si>
  <si>
    <t>DNA binding domain binding {GO:0050692}; p53 binding {GO:0002039}</t>
  </si>
  <si>
    <t>sp|P58281|OPA1_MOUSE</t>
  </si>
  <si>
    <t>Dynamin-like 120 kDa protein, form S1</t>
  </si>
  <si>
    <t>Large GTP-binding protein (LargeG); Optic atrophy protein 1 homolog</t>
  </si>
  <si>
    <t>OPA1_MOUSE</t>
  </si>
  <si>
    <t>P58281</t>
  </si>
  <si>
    <t>A6H6Q3; Q3ULA5; Q8BKU7; Q8BLL3; Q8BM08; Q8R3J7</t>
  </si>
  <si>
    <t>MGI:1921393</t>
  </si>
  <si>
    <t>Acetylation; Alternative splicing; Apoptosis; Coiled coil; GTP-binding; Hydrolase; Lipid-binding; Membrane; Mitochondrion; Mitochondrion inner membrane; Nucleotide-binding; Sensory transduction; Transit peptide; Transmembrane; Transmembrane helix; Vision</t>
  </si>
  <si>
    <t>Apoptosis; Sensory transduction; Vision</t>
  </si>
  <si>
    <t>apoptotic process {GO:0006915}; calcium import into the mitochondrion {GO:0036444}; cellular senescence {GO:0090398}; GTP metabolic process {GO:0046039}; inner mitochondrial membrane organization {GO:0007007}; intracellular distribution of mitochondria {GO:0048312}; membrane tubulation {GO:0097749}; mitochondrial fusion {GO:0008053}; mitochondrial genome maintenance {GO:0000002}; mitochondrion morphogenesis {GO:0070584}; mitochondrion organization {GO:0007005}; negative regulation of apoptotic process {GO:0043066}; negative regulation of endoplasmic reticulum stress-induced intrinsic apoptotic signaling pathway {GO:1902236}; negative regulation of intrinsic apoptotic signaling pathway {GO:2001243}; negative regulation of release of cytochrome c from mitochondria {GO:0090201}; neural tube closure {GO:0001843}; positive regulation of cellular response to insulin stimulus {GO:1900078}; positive regulation of dendrite development {GO:1900006}; positive regulation of dendritic spine morphogenesis {GO:0061003}; positive regulation of insulin receptor signaling pathway {GO:0046628}; positive regulation of mitochondrial fusion {GO:0010636}; positive regulation of neuron maturation {GO:0014042}; protein complex oligomerization {GO:0051259}; visual perception {GO:0007601}</t>
  </si>
  <si>
    <t>cytoplasm {GO:0005737}; cytosol {GO:0005829}; dendrite {GO:0030425}; extrinsic component of mitochondrial inner membrane {GO:0031314}; integral component of membrane {GO:0016021}; membrane {GO:0016020}; microtubule {GO:0005874}; mitochondrial crista {GO:0030061}; mitochondrial inner membrane {GO:0005743}; mitochondrial intermembrane space {GO:0005758}; mitochondrial membrane {GO:0031966}; mitochondrial outer membrane {GO:0005741}; mitochondrion {GO:0005739}; nucleoplasm {GO:0005654}</t>
  </si>
  <si>
    <t>cardiolipin binding {GO:1901612}; GTP binding {GO:0005525}; GTPase activity {GO:0003924}; kinase binding {GO:0019900}; microtubule binding {GO:0008017}; phosphatidic acid binding {GO:0070300}; protein-containing complex binding {GO:0044877}</t>
  </si>
  <si>
    <t>Regulation of Apoptosis {R-MMU-169911}</t>
  </si>
  <si>
    <t>sp|Q80W21|GSTM7_MOUSE</t>
  </si>
  <si>
    <t>Glutathione S-transferase Mu 7</t>
  </si>
  <si>
    <t>GST class-mu 7 (GSTM-7)</t>
  </si>
  <si>
    <t>GSTM7_MOUSE</t>
  </si>
  <si>
    <t>Q80W21</t>
  </si>
  <si>
    <t>Q3TRV7; Q3V4E2</t>
  </si>
  <si>
    <t>MGI:1915562</t>
  </si>
  <si>
    <t>3D-structure; Cytoplasm; Transferase</t>
  </si>
  <si>
    <t>cellular detoxification of nitrogen compound {GO:0070458}; cellular response to caffeine {GO:0071313}; glutathione metabolic process {GO:0006749}; hepoxilin biosynthetic process {GO:0051122}; linoleic acid metabolic process {GO:0043651}; negative regulation of ryanodine-sensitive calcium-release channel activity {GO:0060315}; nitrobenzene metabolic process {GO:0018916}; positive regulation of ryanodine-sensitive calcium-release channel activity {GO:0060316}; regulation of release of sequestered calcium ion into cytosol by sarcoplasmic reticulum {GO:0010880}; xenobiotic catabolic process {GO:0042178}</t>
  </si>
  <si>
    <t>cytoplasm {GO:0005737}; cytosol {GO:0005829}; intercellular bridge {GO:0045171}; sarcoplasmic reticulum {GO:0016529}</t>
  </si>
  <si>
    <t>enzyme binding {GO:0019899}; fatty acid binding {GO:0005504}; glutathione binding {GO:0043295}; glutathione peroxidase activity {GO:0004602}; glutathione transferase activity {GO:0004364}; protein homodimerization activity {GO:0042803}; signaling receptor binding {GO:0005102}</t>
  </si>
  <si>
    <t>sp|Q8BPB0|MOB1B_MOUSE</t>
  </si>
  <si>
    <t>MOB kinase activator 1B</t>
  </si>
  <si>
    <t>Mob1 homolog 1A; Mps one binder kinase activator-like 1A</t>
  </si>
  <si>
    <t>MOB1B_MOUSE</t>
  </si>
  <si>
    <t>Q8BPB0</t>
  </si>
  <si>
    <t>Mobkl1a</t>
  </si>
  <si>
    <t>MGI:1915723</t>
  </si>
  <si>
    <t>3D-structure; Acetylation; Cytoplasm; Metal-binding; Nucleus; Phosphoprotein; Zinc</t>
  </si>
  <si>
    <t>hippo signaling {GO:0035329}; positive regulation of protein phosphorylation {GO:0001934}; regulation of protein autophosphorylation {GO:0031952}; signal transduction {GO:0007165}</t>
  </si>
  <si>
    <t>kinase activator activity {GO:0019209}; kinase binding {GO:0019900}; metal ion binding {GO:0046872}; protein kinase activator activity {GO:0030295}</t>
  </si>
  <si>
    <t>Signaling by Hippo {R-MMU-2028269}</t>
  </si>
  <si>
    <t>sp|Q6PAM1|TXLNA_MOUSE</t>
  </si>
  <si>
    <t>Alpha-taxilin</t>
  </si>
  <si>
    <t>TXLNA_MOUSE</t>
  </si>
  <si>
    <t>Q6PAM1</t>
  </si>
  <si>
    <t>Q6P1E5</t>
  </si>
  <si>
    <t>Txln</t>
  </si>
  <si>
    <t>MGI:105968</t>
  </si>
  <si>
    <t>Alternative splicing; Coiled coil; Exocytosis; Phosphoprotein</t>
  </si>
  <si>
    <t>B cell activation {GO:0042113}; exocytosis {GO:0006887}</t>
  </si>
  <si>
    <t>syntaxin binding {GO:0019905}</t>
  </si>
  <si>
    <t>Other interleukin signaling {R-MMU-449836}</t>
  </si>
  <si>
    <t>sp|Q99JX3|GORS2_MOUSE</t>
  </si>
  <si>
    <t>Golgi reassembly-stacking protein 2 (GRS2)</t>
  </si>
  <si>
    <t>Golgi reassembly-stacking protein of 55 kDa (GRASP55)</t>
  </si>
  <si>
    <t>GORS2_MOUSE</t>
  </si>
  <si>
    <t>Q99JX3</t>
  </si>
  <si>
    <t>Q3U9D2; Q8CCD0; Q91W68</t>
  </si>
  <si>
    <t>MGI:2135962</t>
  </si>
  <si>
    <t>3D-structure; Alternative splicing; Differentiation; Endoplasmic reticulum; Golgi apparatus; Lipoprotein; Membrane; Methylation; Myristate; Palmitate; Phosphoprotein; Repeat; Spermatogenesis</t>
  </si>
  <si>
    <t>Lipoprotein; Methylation; Myristate; Palmitate; Phosphoprotein</t>
  </si>
  <si>
    <t>cell differentiation {GO:0030154}; establishment of protein localization to plasma membrane {GO:0061951}; Golgi organization {GO:0007030}; organelle assembly {GO:0070925}; organelle organization {GO:0006996}; response to endoplasmic reticulum stress {GO:0034976}; spermatogenesis {GO:0007283}</t>
  </si>
  <si>
    <t>endoplasmic reticulum membrane {GO:0005789}; Golgi apparatus {GO:0005794}; Golgi medial cisterna {GO:0005797}; Golgi membrane {GO:0000139}</t>
  </si>
  <si>
    <t>Golgi Cisternae Pericentriolar Stack Reorganization {R-MMU-162658}</t>
  </si>
  <si>
    <t>sp|Q9CPT4|MYDGF_MOUSE</t>
  </si>
  <si>
    <t>Myeloid-derived growth factor (MYDGF)</t>
  </si>
  <si>
    <t>MYDGF_MOUSE</t>
  </si>
  <si>
    <t>Q9CPT4</t>
  </si>
  <si>
    <t>A2RSI7; Q3UG74</t>
  </si>
  <si>
    <t>MGI:2156020</t>
  </si>
  <si>
    <t>Angiogenesis; Apoptosis; Endoplasmic reticulum; Golgi apparatus; Secreted; Signal</t>
  </si>
  <si>
    <t>Angiogenesis; Apoptosis</t>
  </si>
  <si>
    <t>Endoplasmic reticulum; Golgi apparatus; Secreted</t>
  </si>
  <si>
    <t>angiogenesis {GO:0001525}; apoptotic process {GO:0006915}; negative regulation of apoptotic process {GO:0043066}; positive regulation of angiogenesis {GO:0045766}; positive regulation of endothelial cell proliferation {GO:0001938}; positive regulation of MAPK cascade {GO:0043410}; positive regulation of phosphatidylinositol 3-kinase signaling {GO:0014068}; positive regulation of protein kinase B signaling {GO:0051897}; positive regulation of protein phosphorylation {GO:0001934}; positive regulation of transcription by RNA polymerase II {GO:0045944}</t>
  </si>
  <si>
    <t>endoplasmic reticulum {GO:0005783}; endoplasmic reticulum-Golgi intermediate compartment {GO:0005793}; extracellular region {GO:0005576}; extracellular space {GO:0005615}; Golgi apparatus {GO:0005794}</t>
  </si>
  <si>
    <t>sp|Q07076|ANXA7_MOUSE</t>
  </si>
  <si>
    <t>Annexin A7</t>
  </si>
  <si>
    <t>Annexin VII; Annexin-7; Synexin</t>
  </si>
  <si>
    <t>ANXA7_MOUSE</t>
  </si>
  <si>
    <t>Q07076</t>
  </si>
  <si>
    <t>Q3TT33</t>
  </si>
  <si>
    <t>Anx7</t>
  </si>
  <si>
    <t>MGI:88031</t>
  </si>
  <si>
    <t>Acetylation; Annexin; Calcium; Calcium/phospholipid-binding; Repeat</t>
  </si>
  <si>
    <t>autophagy {GO:0006914}; cellular calcium ion homeostasis {GO:0006874}; cellular water homeostasis {GO:0009992}; glial cell proliferation {GO:0014009}; hemostasis {GO:0007599}; membrane fusion {GO:0061025}; negative regulation of gene expression {GO:0010629}; regulation of cell shape {GO:0008360}; response to calcium ion {GO:0051592}; response to organic cyclic compound {GO:0014070}; response to salt stress {GO:0009651}</t>
  </si>
  <si>
    <t>chromaffin granule membrane {GO:0042584}; collagen-containing extracellular matrix {GO:0062023}; cytosol {GO:0005829}; endoplasmic reticulum membrane {GO:0005789}; nuclear envelope {GO:0005635}; nucleus {GO:0005634}; plasma membrane {GO:0005886}; vesicle {GO:0031982}</t>
  </si>
  <si>
    <t>calcium ion binding {GO:0005509}; calcium-dependent phospholipid binding {GO:0005544}; calcium-dependent protein binding {GO:0048306}; integrin binding {GO:0005178}</t>
  </si>
  <si>
    <t>sp|Q6A009|LTN1_MOUSE</t>
  </si>
  <si>
    <t>E3 ubiquitin-protein ligase listerin</t>
  </si>
  <si>
    <t>RING finger protein 160; RING-type E3 ubiquitin transferase listerin; Zinc finger protein 294 (Zfp-294)</t>
  </si>
  <si>
    <t>LTN1_MOUSE</t>
  </si>
  <si>
    <t>Q6A009</t>
  </si>
  <si>
    <t>E9QN94; Q6PIW6; Q8BZ44</t>
  </si>
  <si>
    <t>Kiaa0714; Lister; Rnf160; Zfp294; Znf294</t>
  </si>
  <si>
    <t>MGI:1926163</t>
  </si>
  <si>
    <t>Cytoplasm; Metal-binding; Neurodegeneration; Repeat; Transferase; Ubl conjugation; Ubl conjugation pathway; Zinc; Zinc-finger</t>
  </si>
  <si>
    <t>protein autoubiquitination {GO:0051865}; rescue of stalled ribosome {GO:0072344}; ribosome-associated ubiquitin-dependent protein catabolic process {GO:1990116}</t>
  </si>
  <si>
    <t>cytosol {GO:0005829}; RQC complex {GO:1990112}</t>
  </si>
  <si>
    <t>ribosomal large subunit binding {GO:0043023}; ubiquitin protein ligase activity {GO:0061630}; ubiquitin-protein transferase activity {GO:0004842}; zinc ion binding {GO:0008270}</t>
  </si>
  <si>
    <t>sp|Q9CQQ8|LSM7_MOUSE</t>
  </si>
  <si>
    <t>U6 snRNA-associated Sm-like protein LSm7</t>
  </si>
  <si>
    <t>LSM7_MOUSE</t>
  </si>
  <si>
    <t>Q9CQQ8</t>
  </si>
  <si>
    <t>MGI:1913344</t>
  </si>
  <si>
    <t>mRNA catabolic process {GO:0006402}; mRNA splicing, via spliceosome {GO:0000398}; nuclear-transcribed mRNA catabolic process {GO:0000956}</t>
  </si>
  <si>
    <t>catalytic step 2 spliceosome {GO:0071013}; cytoplasm {GO:0005737}; Lsm1-7-Pat1 complex {GO:1990726}; Lsm2-8 complex {GO:0120115}; nucleus {GO:0005634}; ribonucleoprotein complex {GO:1990904}; spliceosomal tri-snRNP complex {GO:0097526}; U12-type spliceosomal complex {GO:0005689}; U2-type precatalytic spliceosome {GO:0071005}; U2-type prespliceosome {GO:0071004}; U4/U6 x U5 tri-snRNP complex {GO:0046540}; U6 snRNP {GO:0005688}</t>
  </si>
  <si>
    <t>sp|Q9DBG5|PLIN3_MOUSE</t>
  </si>
  <si>
    <t>Perilipin-3</t>
  </si>
  <si>
    <t>Cargo selection protein TIP47; Mannose-6-phosphate receptor-binding protein 1</t>
  </si>
  <si>
    <t>PLIN3_MOUSE</t>
  </si>
  <si>
    <t>Q9DBG5</t>
  </si>
  <si>
    <t>Q3TK05; Q8BKV9; Q9CZK1</t>
  </si>
  <si>
    <t>M6prbp1; Tip47</t>
  </si>
  <si>
    <t>MGI:1914155</t>
  </si>
  <si>
    <t>3D-structure; Acetylation; Coiled coil; Cytoplasm; Endosome; Isopeptide bond; Lipid droplet; Membrane; Phosphoprotein; Transport; Ubl conjugation</t>
  </si>
  <si>
    <t>Cytoplasm; Endosome; Lipid droplet; Membrane</t>
  </si>
  <si>
    <t>cellular response to glucose starvation {GO:0042149}; lipid droplet disassembly {GO:1905691}; lipid storage {GO:0019915}; positive regulation of sequestering of triglyceride {GO:0010890}</t>
  </si>
  <si>
    <t>cytosol {GO:0005829}; endosome membrane {GO:0010008}; lipid droplet {GO:0005811}</t>
  </si>
  <si>
    <t>Retrograde transport at the Trans-Golgi-Network {R-MMU-6811440}; RHOBTB3 ATPase cycle {R-MMU-9706019}</t>
  </si>
  <si>
    <t>sp|Q8BR90|RIMC1_MOUSE</t>
  </si>
  <si>
    <t>RAB7A-interacting MON1-CCZ1 complex subunit 1</t>
  </si>
  <si>
    <t>UPF0600 protein C5orf51 homolog</t>
  </si>
  <si>
    <t>RIMC1_MOUSE</t>
  </si>
  <si>
    <t>Q8BR90</t>
  </si>
  <si>
    <t>Q91YM1</t>
  </si>
  <si>
    <t>MGI:2146232</t>
  </si>
  <si>
    <t>Acetylation; Alternative splicing; Autophagy; Cytoplasm</t>
  </si>
  <si>
    <t>mitophagy {GO:0000423}</t>
  </si>
  <si>
    <t>sp|Q91XD6|VPS36_MOUSE</t>
  </si>
  <si>
    <t>Vacuolar protein-sorting-associated protein 36</t>
  </si>
  <si>
    <t>ESCRT-II complex subunit VPS36</t>
  </si>
  <si>
    <t>VPS36_MOUSE</t>
  </si>
  <si>
    <t>Q91XD6</t>
  </si>
  <si>
    <t>Q9CVA3</t>
  </si>
  <si>
    <t>MGI:1917410</t>
  </si>
  <si>
    <t>3D-structure; Coiled coil; Cytoplasm; Endosome; Lipid-binding; Membrane; Nucleus; Protein transport; Transcription; Transcription regulation; Transport</t>
  </si>
  <si>
    <t>endosomal transport {GO:0016197}; protein transport to vacuole involved in ubiquitin-dependent protein catabolic process via the multivesicular body sorting pathway {GO:0043328}</t>
  </si>
  <si>
    <t>cytosol {GO:0005829}; endosome {GO:0005768}; ESCRT II complex {GO:0000814}; late endosome {GO:0005770}; late endosome membrane {GO:0031902}; lysosome {GO:0005764}; nucleus {GO:0005634}</t>
  </si>
  <si>
    <t>phosphatidylinositol-3-phosphate binding {GO:0032266}; protein C-terminus binding {GO:0008022}; ubiquitin binding {GO:0043130}</t>
  </si>
  <si>
    <t>sp|E9PVX6|KI67_MOUSE</t>
  </si>
  <si>
    <t>Proliferation marker protein Ki-67</t>
  </si>
  <si>
    <t>Antigen identified by monoclonal antibody Ki-67 homolog (Antigen KI-67 homolog; Antigen Ki67 homolog)</t>
  </si>
  <si>
    <t>KI67_MOUSE</t>
  </si>
  <si>
    <t>E9PVX6</t>
  </si>
  <si>
    <t>Q61769; Q7TSF6</t>
  </si>
  <si>
    <t>MGI:106035</t>
  </si>
  <si>
    <t>Acetylation; Alternative splicing; ATP-binding; Cell cycle; Chromosome; DNA-binding; Isopeptide bond; Nucleotide-binding; Nucleus; Phosphoprotein; Repeat; Ubl conjugation</t>
  </si>
  <si>
    <t>cell population proliferation {GO:0008283}; cholangiocyte proliferation {GO:1990705}; epithelial cell proliferation {GO:0050673}; hepatocyte proliferation {GO:0072574}; meiotic cell cycle {GO:0051321}; regulation of chromatin organization {GO:1902275}; regulation of chromosome segregation {GO:0051983}; regulation of mitotic nuclear division {GO:0007088}; stem cell proliferation {GO:0072089}</t>
  </si>
  <si>
    <t>chromosome {GO:0005694}; chromosome, centromeric region {GO:0000775}; condensed chromosome {GO:0000793}; cytoplasm {GO:0005737}; nuclear body {GO:0016604}; nucleolus {GO:0005730}; nucleoplasm {GO:0005654}; nucleus {GO:0005634}</t>
  </si>
  <si>
    <t>ATP binding {GO:0005524}; DNA binding {GO:0003677}; protein C-terminus binding {GO:0008022}</t>
  </si>
  <si>
    <t>sp|P63015|PAX6_MOUSE</t>
  </si>
  <si>
    <t>Paired box protein Pax-6</t>
  </si>
  <si>
    <t>Oculorhombin</t>
  </si>
  <si>
    <t>PAX6_MOUSE</t>
  </si>
  <si>
    <t>P63015</t>
  </si>
  <si>
    <t>P32117; P70601; Q3UTV5; Q62222; Q64037; Q8CEI5; Q8VDB5; Q921Q8</t>
  </si>
  <si>
    <t>Pax-6; Sey</t>
  </si>
  <si>
    <t>MGI:97490</t>
  </si>
  <si>
    <t>Alternative splicing; Cytoplasm; Developmental protein; Differentiation; Disease variant; DNA-binding; Homeobox; Nucleus; Paired box; Transcription; Transcription regulation; Ubl conjugation</t>
  </si>
  <si>
    <t>Homeobox; Paired box</t>
  </si>
  <si>
    <t>anatomical structure development {GO:0048856}; anterior/posterior pattern specification {GO:0009952}; astrocyte differentiation {GO:0048708}; axon guidance {GO:0007411}; axonogenesis {GO:0007409}; blood vessel development {GO:0001568}; brain development {GO:0007420}; camera-type eye development {GO:0043010}; cell differentiation {GO:0030154}; cell fate commitment {GO:0045165}; cell fate determination {GO:0001709}; cell population proliferation {GO:0008283}; cellular response to leukemia inhibitory factor {GO:1990830}; cerebral cortex development {GO:0021987}; cerebral cortex regionalization {GO:0021796}; chromatin remodeling {GO:0006338}; commitment of neuronal cell to specific neuron type in forebrain {GO:0021902}; cornea development in camera-type eye {GO:0061303}; DNA demethylation {GO:0080111}; DNA methylation {GO:0006306}; dorsal/ventral axis specification {GO:0009950}; dorsal/ventral pattern formation {GO:0009953}; embryonic camera-type eye morphogenesis {GO:0048596}; epithelial cell development {GO:0002064}; establishment of mitotic spindle orientation {GO:0000132}; eye photoreceptor cell development {GO:0042462}; forebrain development {GO:0030900}; forebrain dorsal/ventral pattern formation {GO:0021798}; forebrain-midbrain boundary formation {GO:0021905}; gene expression {GO:0010467}; glandular epithelial cell differentiation {GO:0002067}; glucose homeostasis {GO:0042593}; habenula development {GO:0021986}; hindbrain development {GO:0030902}; histone acetylation {GO:0016573}; insulin metabolic process {GO:1901142}; interkinetic nuclear migration {GO:0022027}; iris morphogenesis {GO:0061072}; keratinocyte differentiation {GO:0030216}; lacrimal gland development {GO:0032808}; learned vocalization behavior or vocal learning {GO:0098598}; lens development in camera-type eye {GO:0002088}; negative regulation of epithelial cell proliferation {GO:0050680}; negative regulation of neural precursor cell proliferation {GO:2000178}; negative regulation of neuroblast proliferation {GO:0007406}; negative regulation of neuron differentiation {GO:0045665}; negative regulation of protein phosphorylation {GO:0001933}; negative regulation of transcription by RNA polymerase II {GO:0000122}; neural crest cell migration {GO:0001755}; neural precursor cell proliferation {GO:0061351}; neuroblast proliferation {GO:0007405}; neuron differentiation {GO:0030182}; neuron migration {GO:0001764}; olfactory bulb development {GO:0021772}; olfactory bulb mitral cell layer development {GO:0061034}; oligodendrocyte cell fate specification {GO:0021778}; pallium development {GO:0021543}; pancreatic A cell development {GO:0003322}; pancreatic A cell differentiation {GO:0003310}; pituitary gland development {GO:0021983}; positive regulation of cell death {GO:0010942}; positive regulation of cell fate specification {GO:0042660}; positive regulation of core promoter binding {GO:1904798}; positive regulation of DNA-templated transcription {GO:0045893}; positive regulation of epithelial cell differentiation {GO:0030858}; positive regulation of gene expression {GO:0010628}; positive regulation of glucagon secretion {GO:0070094}; positive regulation of glutamatergic neuron differentiation {GO:0120008}; positive regulation of neuroblast proliferation {GO:0002052}; positive regulation of neuron migration {GO:2001224}; positive regulation of transcription by RNA polymerase II {GO:0045944}; protein localization to organelle {GO:0033365}; protein phosphorylation {GO:0006468}; regionalization {GO:0003002}; regulation of asymmetric cell division {GO:0009786}; regulation of cell migration {GO:0030334}; regulation of DNA-templated transcription {GO:0006355}; regulation of gene expression {GO:0010468}; regulation of neurogenesis {GO:0050767}; regulation of neuron differentiation {GO:0045664}; regulation of neuron projection development {GO:0010975}; regulation of timing of cell differentiation {GO:0048505}; regulation of transcription by RNA polymerase II {GO:0006357}; response to wounding {GO:0009611}; retina development in camera-type eye {GO:0060041}; rhombomere morphogenesis {GO:0021593}; salivary gland morphogenesis {GO:0007435}; sensory neuron migration {GO:1904937}; signal transduction involved in regulation of gene expression {GO:0023019}; smoothened signaling pathway {GO:0007224}; telencephalon regionalization {GO:0021978}; transcription by RNA polymerase II {GO:0006366}; type B pancreatic cell differentiation {GO:0003309}; ventral spinal cord development {GO:0021517}</t>
  </si>
  <si>
    <t>chromatin {GO:0000785}; cytoplasm {GO:0005737}; cytosol {GO:0005829}; nucleoplasm {GO:0005654}; nucleus {GO:0005634}; transcription regulator complex {GO:0005667}</t>
  </si>
  <si>
    <t>chromatin binding {GO:0003682}; chromatin DNA binding {GO:0031490}; co-SMAD binding {GO:0070410}; DNA binding {GO:0003677}; DNA-binding transcription activator activity, RNA polymerase II-specific {GO:0001228}; DNA-binding transcription factor activity {GO:0003700}; DNA-binding transcription factor activity, RNA polymerase II-specific {GO:0000981}; DNA-binding transcription repressor activity, RNA polymerase II-specific {GO:0001227}; double-stranded DNA binding {GO:0003690}; histone acetyltransferase binding {GO:0035035}; HMG box domain binding {GO:0071837}; minor groove of adenine-thymine-rich DNA binding {GO:0003680}; protein kinase binding {GO:0019901}; R-SMAD binding {GO:0070412}; RNA binding {GO:0003723}; RNA polymerase II cis-regulatory region sequence-specific DNA binding {GO:0000978}; RNA polymerase II core promoter sequence-specific DNA binding {GO:0000979}; sequence-specific DNA binding {GO:0043565}; sequence-specific double-stranded DNA binding {GO:1990837}; transcription cis-regulatory region binding {GO:0000976}; transcription coregulator binding {GO:0001221}; ubiquitin protein ligase binding {GO:0031625}</t>
  </si>
  <si>
    <t>sp|Q6PDY2|AEDO_MOUSE</t>
  </si>
  <si>
    <t>2-aminoethanethiol dioxygenase</t>
  </si>
  <si>
    <t>Cysteamine dioxygenase</t>
  </si>
  <si>
    <t>AEDO_MOUSE</t>
  </si>
  <si>
    <t>Q6PDY2</t>
  </si>
  <si>
    <t>Q3U2E1</t>
  </si>
  <si>
    <t>Gm237</t>
  </si>
  <si>
    <t>MGI:2685083</t>
  </si>
  <si>
    <t>3D-structure; Dioxygenase; Iron; Metal-binding; Oxidoreductase</t>
  </si>
  <si>
    <t>cellular response to hypoxia {GO:0071456}</t>
  </si>
  <si>
    <t>cysteamine dioxygenase activity {GO:0047800}; iron ion binding {GO:0005506}</t>
  </si>
  <si>
    <t>sp|P10518|HEM2_MOUSE</t>
  </si>
  <si>
    <t>Delta-aminolevulinic acid dehydratase (ALADH)</t>
  </si>
  <si>
    <t>Porphobilinogen synthase</t>
  </si>
  <si>
    <t>HEM2_MOUSE</t>
  </si>
  <si>
    <t>P10518</t>
  </si>
  <si>
    <t>Q3THV6</t>
  </si>
  <si>
    <t>Lv</t>
  </si>
  <si>
    <t>MGI:96853</t>
  </si>
  <si>
    <t>3D-structure; Allosteric enzyme; Heme biosynthesis; Lyase; Metal-binding; Phosphoprotein; Porphyrin biosynthesis; Zinc</t>
  </si>
  <si>
    <t>Allosteric enzyme; Lyase</t>
  </si>
  <si>
    <t>cellular response to interleukin-4 {GO:0071353}; cellular response to lead ion {GO:0071284}; heme biosynthetic process {GO:0006783}; negative regulation of proteasomal protein catabolic process {GO:1901799}; protein homooligomerization {GO:0051260}; protoporphyrinogen IX biosynthetic process {GO:0006782}; response to activity {GO:0014823}; response to aluminum ion {GO:0010044}; response to amino acid {GO:0043200}; response to arsenic-containing substance {GO:0046685}; response to cadmium ion {GO:0046686}; response to cobalt ion {GO:0032025}; response to ethanol {GO:0045471}; response to fatty acid {GO:0070542}; response to glucocorticoid {GO:0051384}; response to herbicide {GO:0009635}; response to hypoxia {GO:0001666}; response to ionizing radiation {GO:0010212}; response to iron ion {GO:0010039}; response to lipopolysaccharide {GO:0032496}; response to mercury ion {GO:0046689}; response to metal ion {GO:0010038}; response to methylmercury {GO:0051597}; response to nutrient {GO:0007584}; response to organic substance {GO:0010033}; response to oxidative stress {GO:0006979}; response to platinum ion {GO:0070541}; response to selenium ion {GO:0010269}; response to vitamin B1 {GO:0010266}; response to vitamin E {GO:0033197}; response to xenobiotic stimulus {GO:0009410}; response to zinc ion {GO:0010043}</t>
  </si>
  <si>
    <t>identical protein binding {GO:0042802}; porphobilinogen synthase activity {GO:0004655}; proteasome core complex binding {GO:1904854}; zinc ion binding {GO:0008270}</t>
  </si>
  <si>
    <t>Porphyrin-containing compound metabolism; protoporphyrin-IX biosynthesis; coproporphyrinogen-III from 5-aminolevulinate: step 1/4.</t>
  </si>
  <si>
    <t>Heme biosynthesis {R-MMU-189451}; Neutrophil degranulation {R-MMU-6798695}</t>
  </si>
  <si>
    <t>sp|Q9JLT4|TRXR2_MOUSE</t>
  </si>
  <si>
    <t>sp|Q8C167|PPCEL_MOUSE</t>
  </si>
  <si>
    <t>Prolyl endopeptidase-like</t>
  </si>
  <si>
    <t>Prolylendopeptidase-like</t>
  </si>
  <si>
    <t>PPCEL_MOUSE</t>
  </si>
  <si>
    <t>Q8C167</t>
  </si>
  <si>
    <t>Q3TR35; Q6ZQB4; Q8BUP5; Q99KJ9</t>
  </si>
  <si>
    <t>Kiaa0436</t>
  </si>
  <si>
    <t>MGI:2441932</t>
  </si>
  <si>
    <t>Alternative splicing; Cytoplasm; Cytoskeleton; Golgi apparatus; Hydrolase; Nucleus; Phosphoprotein; Protease; Serine protease</t>
  </si>
  <si>
    <t>Cytoplasm; Cytoskeleton; Golgi apparatus; Nucleus</t>
  </si>
  <si>
    <t>Golgi to plasma membrane protein transport {GO:0043001}; proteolysis {GO:0006508}; regulation of synaptic vesicle exocytosis {GO:2000300}; retrograde transport, endosome to Golgi {GO:0042147}</t>
  </si>
  <si>
    <t>cytoskeleton {GO:0005856}; cytosol {GO:0005829}; Golgi apparatus {GO:0005794}; nucleus {GO:0005634}</t>
  </si>
  <si>
    <t>sp|Q7TSV4|PGM2_MOUSE</t>
  </si>
  <si>
    <t>Phosphopentomutase</t>
  </si>
  <si>
    <t>Glucose phosphomutase 2; Phosphodeoxyribomutase; Phosphoglucomutase-1; Phosphoglucomutase-2 (PGM 2)</t>
  </si>
  <si>
    <t>PGM2_MOUSE</t>
  </si>
  <si>
    <t>Q7TSV4</t>
  </si>
  <si>
    <t>Q8K0P7; Q9CRS8</t>
  </si>
  <si>
    <t>Pgm1</t>
  </si>
  <si>
    <t>MGI:97564</t>
  </si>
  <si>
    <t>Carbohydrate metabolism; Cytoplasm; Glucose metabolism; Isomerase; Magnesium; Metal-binding; Phosphoprotein</t>
  </si>
  <si>
    <t>glucose metabolic process {GO:0006006}; glycogen catabolic process {GO:0005980}; purine ribonucleoside salvage {GO:0006166}</t>
  </si>
  <si>
    <t>magnesium ion binding {GO:0000287}; phosphoglucomutase activity {GO:0004614}; phosphopentomutase activity {GO:0008973}</t>
  </si>
  <si>
    <t>Neutrophil degranulation {R-MMU-6798695}; Pentose phosphate pathway {R-MMU-71336}</t>
  </si>
  <si>
    <t>sp|Q91VJ4|STK38_MOUSE</t>
  </si>
  <si>
    <t>Serine/threonine-protein kinase 38</t>
  </si>
  <si>
    <t>NDR1 protein kinase; Nuclear Dbf2-related kinase 1</t>
  </si>
  <si>
    <t>STK38_MOUSE</t>
  </si>
  <si>
    <t>Q91VJ4</t>
  </si>
  <si>
    <t>MGI:2442572</t>
  </si>
  <si>
    <t>Acetylation; ATP-binding; Cytoplasm; Kinase; Magnesium; Metal-binding; Nucleotide-binding; Nucleus; Phosphoprotein; Serine/threonine-protein kinase; Transferase; Ubl conjugation</t>
  </si>
  <si>
    <t>intracellular signal transduction {GO:0035556}; negative regulation of MAP kinase activity {GO:0043407}; peptidyl-serine phosphorylation {GO:0018105}; protein modification process {GO:0036211}; protein phosphorylation {GO:0006468}</t>
  </si>
  <si>
    <t>ATP binding {GO:0005524}; magnesium ion binding {GO:0000287}; mitogen-activated protein kinase kinase kinase binding {GO:0031435}; protein serine kinase activity {GO:0106310}; protein serine/threonine kinase activity {GO:0004674}</t>
  </si>
  <si>
    <t>RHOBTB2 GTPase cycle {R-MMU-9013418}; RHOBTB1 GTPase cycle {R-MMU-9013422}</t>
  </si>
  <si>
    <t>sp|Q923D5|WBP11_MOUSE</t>
  </si>
  <si>
    <t>WW domain-binding protein 11 (WBP-11)</t>
  </si>
  <si>
    <t>Splicing factor that interacts with PQBP-1 and PP1</t>
  </si>
  <si>
    <t>WBP11_MOUSE</t>
  </si>
  <si>
    <t>Q923D5</t>
  </si>
  <si>
    <t>O88539; Q3UMD8; Q8VDI0</t>
  </si>
  <si>
    <t>Sipp1</t>
  </si>
  <si>
    <t>MGI:1891823</t>
  </si>
  <si>
    <t>Acetylation; Coiled coil; Cytoplasm; Isopeptide bond; Methylation; mRNA processing; mRNA splicing; Nucleus; Phosphoprotein; rRNA processing; Ubl conjugation</t>
  </si>
  <si>
    <t>mRNA processing; mRNA splicing; rRNA processing</t>
  </si>
  <si>
    <t>mRNA cis splicing, via spliceosome {GO:0045292}; RNA splicing {GO:0008380}; rRNA processing {GO:0006364}</t>
  </si>
  <si>
    <t>cytoplasm {GO:0005737}; cytosol {GO:0005829}; intracellular membrane-bounded organelle {GO:0043231}; nuclear speck {GO:0016607}; nucleoplasm {GO:0005654}; nucleus {GO:0005634}; spliceosomal complex {GO:0005681}</t>
  </si>
  <si>
    <t>protein phosphatase regulator activity {GO:0019888}; WW domain binding {GO:0050699}</t>
  </si>
  <si>
    <t>sp|Q99LC2|CSTF1_MOUSE</t>
  </si>
  <si>
    <t>Cleavage stimulation factor subunit 1</t>
  </si>
  <si>
    <t>CF-1 50 kDa subunit; Cleavage stimulation factor 50 kDa subunit (CSTF 50 kDa subunit; CstF-50)</t>
  </si>
  <si>
    <t>CSTF1_MOUSE</t>
  </si>
  <si>
    <t>Q99LC2</t>
  </si>
  <si>
    <t>Q3UMB8; Q8BJW1; Q9CSU8</t>
  </si>
  <si>
    <t>MGI:1914587</t>
  </si>
  <si>
    <t>mRNA processing; Nucleus; Repeat; WD repeat</t>
  </si>
  <si>
    <t>mRNA 3'-end processing {GO:0031124}</t>
  </si>
  <si>
    <t>mRNA cleavage stimulating factor complex {GO:0005848}; nucleoplasm {GO:0005654}</t>
  </si>
  <si>
    <t>sp|Q8K2Q7|BROX_MOUSE</t>
  </si>
  <si>
    <t>BRO1 domain-containing protein BROX</t>
  </si>
  <si>
    <t>BRO1 domain- and CAAX motif-containing protein</t>
  </si>
  <si>
    <t>BROX_MOUSE</t>
  </si>
  <si>
    <t>Q8K2Q7</t>
  </si>
  <si>
    <t>Q8BWM8; Q9DCT7</t>
  </si>
  <si>
    <t>MGI:1918928</t>
  </si>
  <si>
    <t>Alternative splicing; Lipoprotein; Membrane; Methylation; Prenylation</t>
  </si>
  <si>
    <t>Lipoprotein; Methylation; Prenylation</t>
  </si>
  <si>
    <t>membrane {GO:0016020}</t>
  </si>
  <si>
    <t>sp|Q8VCC9|SPON1_MOUSE</t>
  </si>
  <si>
    <t>Spondin-1</t>
  </si>
  <si>
    <t>F-spondin</t>
  </si>
  <si>
    <t>SPON1_MOUSE</t>
  </si>
  <si>
    <t>Q8VCC9</t>
  </si>
  <si>
    <t>Q8K2Q8</t>
  </si>
  <si>
    <t>MGI:2385287</t>
  </si>
  <si>
    <t>Cell adhesion; Disulfide bond; Extracellular matrix; Glycoprotein; Metal-binding; Repeat; Secreted; Signal</t>
  </si>
  <si>
    <t>cell adhesion {GO:0007155}; negative regulation of amyloid-beta formation {GO:1902430}; positive regulation of amyloid precursor protein catabolic process {GO:1902993}; positive regulation of protein binding {GO:0032092}; positive regulation of protein processing {GO:0010954}; protein processing {GO:0016485}</t>
  </si>
  <si>
    <t>collagen-containing extracellular matrix {GO:0062023}; extracellular matrix {GO:0031012}; extracellular region {GO:0005576}</t>
  </si>
  <si>
    <t>LBD domain binding {GO:0050693}; metal ion binding {GO:0046872}</t>
  </si>
  <si>
    <t>O-glycosylation of TSR domain-containing proteins {R-MMU-5173214}</t>
  </si>
  <si>
    <t>sp|Q5F2E7|NUFP2_MOUSE</t>
  </si>
  <si>
    <t>FMR1-interacting protein NUFIP2</t>
  </si>
  <si>
    <t>82 kDa FMRP-interacting protein (82-FIP); FMRP-interacting protein 2</t>
  </si>
  <si>
    <t>NUFP2_MOUSE</t>
  </si>
  <si>
    <t>Q5F2E7</t>
  </si>
  <si>
    <t>Q3TCE2; Q3V195; Q80TF1</t>
  </si>
  <si>
    <t>Kiaa1321</t>
  </si>
  <si>
    <t>MGI:1915814</t>
  </si>
  <si>
    <t>Alternative splicing; Cytoplasm; Isopeptide bond; Methylation; Nucleus; Phosphoprotein; Ubl conjugation</t>
  </si>
  <si>
    <t>cytoplasm {GO:0005737}; cytoplasmic stress granule {GO:0010494}; cytosol {GO:0005829}; nuclear body {GO:0016604}; nucleoplasm {GO:0005654}; nucleus {GO:0005634}; polysomal ribosome {GO:0042788}</t>
  </si>
  <si>
    <t>sp|Q8CH25|SLTM_MOUSE</t>
  </si>
  <si>
    <t>SAFB-like transcription modulator</t>
  </si>
  <si>
    <t>Modulator of estrogen-induced transcription; SAF-like transcription modulator</t>
  </si>
  <si>
    <t>SLTM_MOUSE</t>
  </si>
  <si>
    <t>Q8CH25</t>
  </si>
  <si>
    <t>Q3UYE5; Q8BP76; Q8BR40; Q8VCF4; Q9CS57</t>
  </si>
  <si>
    <t>Met</t>
  </si>
  <si>
    <t>MGI:1913910</t>
  </si>
  <si>
    <t>Acetylation; Alternative splicing; Apoptosis; Coiled coil; Isopeptide bond; Methylation; Nucleus; Phosphoprotein; Repressor; RNA-binding; Transcription; Transcription regulation; Ubl conjugation</t>
  </si>
  <si>
    <t>Apoptosis; Transcription; Transcription regulation</t>
  </si>
  <si>
    <t>apoptotic process {GO:0006915}; regulation of mRNA processing {GO:0050684}; regulation of transcription by RNA polymerase II {GO:0006357}</t>
  </si>
  <si>
    <t>RNA binding {GO:0003723}; sequence-specific DNA binding {GO:0043565}</t>
  </si>
  <si>
    <t>sp|O88811|STAM2_MOUSE</t>
  </si>
  <si>
    <t>Signal transducing adapter molecule 2 (STAM-2)</t>
  </si>
  <si>
    <t>Hrs-binding protein</t>
  </si>
  <si>
    <t>STAM2_MOUSE</t>
  </si>
  <si>
    <t>O88811</t>
  </si>
  <si>
    <t>A2AU00; Q8C8Y4</t>
  </si>
  <si>
    <t>Hbp</t>
  </si>
  <si>
    <t>MGI:1929100</t>
  </si>
  <si>
    <t>3D-structure; Alternative splicing; Cytoplasm; Endosome; Membrane; Phosphoprotein; Protein transport; SH3 domain; Transport</t>
  </si>
  <si>
    <t>cytoplasm {GO:0005737}; cytosol {GO:0005829}; early endosome membrane {GO:0031901}; endocytic vesicle {GO:0030139}; intracellular membrane-bounded organelle {GO:0043231}; nucleoplasm {GO:0005654}</t>
  </si>
  <si>
    <t>phosphatidylinositol binding {GO:0035091}; ubiquitin binding {GO:0043130}</t>
  </si>
  <si>
    <t>EGFR downregulation {R-MMU-182971}; Ub-specific processing proteases {R-MMU-5689880}; Negative regulation of MET activity {R-MMU-6807004}; Cargo recognition for clathrin-mediated endocytosis {R-MMU-8856825}; Clathrin-mediated endocytosis {R-MMU-8856828}; RHOU GTPase cycle {R-MMU-9013420}; Endosomal Sorting Complex Required For Transport (ESCRT) {R-MMU-917729}</t>
  </si>
  <si>
    <t>sp|Q9R0B9|PLOD2_MOUSE</t>
  </si>
  <si>
    <t>Procollagen-lysine,2-oxoglutarate 5-dioxygenase 2</t>
  </si>
  <si>
    <t>Lysyl hydroxylase 2 (LH2)</t>
  </si>
  <si>
    <t>PLOD2_MOUSE</t>
  </si>
  <si>
    <t>Q9R0B9</t>
  </si>
  <si>
    <t>E9QM54; Q8VDT4</t>
  </si>
  <si>
    <t>MGI:1347007</t>
  </si>
  <si>
    <t>Dioxygenase; Endoplasmic reticulum; Glycoprotein; Iron; Membrane; Metal-binding; Oxidoreductase; Phosphoprotein; Signal; Vitamin C</t>
  </si>
  <si>
    <t>hydroxylysine biosynthetic process {GO:0046947}; peptidyl-lysine hydroxylation {GO:0017185}</t>
  </si>
  <si>
    <t>endoplasmic reticulum {GO:0005783}; rough endoplasmic reticulum membrane {GO:0030867}</t>
  </si>
  <si>
    <t>iron ion binding {GO:0005506}; L-ascorbic acid binding {GO:0031418}; procollagen-lysine 5-dioxygenase activity {GO:0008475}</t>
  </si>
  <si>
    <t>sp|O35127|C10_MOUSE</t>
  </si>
  <si>
    <t>Protein C10</t>
  </si>
  <si>
    <t>C10_MOUSE</t>
  </si>
  <si>
    <t>O35127</t>
  </si>
  <si>
    <t>Q545G8</t>
  </si>
  <si>
    <t>C10</t>
  </si>
  <si>
    <t>MGI:1315201</t>
  </si>
  <si>
    <t>Acetylation; Cytoplasm</t>
  </si>
  <si>
    <t>camera-type eye morphogenesis {GO:0048593}; cognition {GO:0050890}; corpus callosum morphogenesis {GO:0021540}; post-embryonic development {GO:0009791}; psychomotor behavior {GO:0036343}; regulation of skeletal muscle contraction {GO:0014819}; third ventricle development {GO:0021678}</t>
  </si>
  <si>
    <t>sp|Q91V64|ISOC1_MOUSE</t>
  </si>
  <si>
    <t>Isochorismatase domain-containing protein 1</t>
  </si>
  <si>
    <t>ISOC1_MOUSE</t>
  </si>
  <si>
    <t>Q91V64</t>
  </si>
  <si>
    <t>Q3U677</t>
  </si>
  <si>
    <t>MGI:1913557</t>
  </si>
  <si>
    <t>cytoplasm {GO:0005737}; peroxisome {GO:0005777}</t>
  </si>
  <si>
    <t>sp|Q99LL5|PWP1_MOUSE</t>
  </si>
  <si>
    <t>Periodic tryptophan protein 1 homolog</t>
  </si>
  <si>
    <t>PWP1_MOUSE</t>
  </si>
  <si>
    <t>Q99LL5</t>
  </si>
  <si>
    <t>Q9D6T6</t>
  </si>
  <si>
    <t>MGI:1914735</t>
  </si>
  <si>
    <t>Chromosome; Nucleus; Phosphoprotein; Repeat; Ribosome biogenesis; Transcription; Transcription regulation; WD repeat</t>
  </si>
  <si>
    <t>Ribosome biogenesis; Transcription; Transcription regulation</t>
  </si>
  <si>
    <t>histone H4-K20 trimethylation {GO:0034773}; negative regulation of peptidyl-serine phosphorylation of STAT protein {GO:0033140}; positive regulation of stem cell differentiation {GO:2000738}; positive regulation of transcription of nucleolar large rRNA by RNA polymerase I {GO:1901838}; rRNA processing {GO:0006364}</t>
  </si>
  <si>
    <t>chromosome {GO:0005694}; Golgi apparatus {GO:0005794}; nucleolus {GO:0005730}; nucleus {GO:0005634}</t>
  </si>
  <si>
    <t>H4K20me3 modified histone binding {GO:1990889}</t>
  </si>
  <si>
    <t>sp|Q61554|FBN1_MOUSE</t>
  </si>
  <si>
    <t>Asprosin</t>
  </si>
  <si>
    <t>FBN1_MOUSE</t>
  </si>
  <si>
    <t>Q61554</t>
  </si>
  <si>
    <t>A2AQ53; Q60826</t>
  </si>
  <si>
    <t>MGI:95489</t>
  </si>
  <si>
    <t>Calcium; Disulfide bond; EGF-like domain; Extracellular matrix; Glycoprotein; Hormone; Phosphoprotein; Repeat; Secreted; Signal</t>
  </si>
  <si>
    <t>activation of protein kinase A activity {GO:0034199}; anatomical structure morphogenesis {GO:0009653}; camera-type eye development {GO:0043010}; cell adhesion mediated by integrin {GO:0033627}; cellular response to insulin-like growth factor stimulus {GO:1990314}; cellular response to transforming growth factor beta stimulus {GO:0071560}; embryonic eye morphogenesis {GO:0048048}; glucose homeostasis {GO:0042593}; glucose metabolic process {GO:0006006}; heart development {GO:0007507}; kidney development {GO:0001822}; metanephros development {GO:0001656}; negative regulation of brown fat cell differentiation {GO:1903444}; negative regulation of insulin secretion {GO:0046676}; negative regulation of osteoclast development {GO:2001205}; negative regulation of osteoclast differentiation {GO:0045671}; positive regulation of appetite {GO:0032100}; post-embryonic eye morphogenesis {GO:0048050}; protein kinase A signaling {GO:0010737}; sequestering of BMP in extracellular matrix {GO:0035582}; sequestering of TGFbeta in extracellular matrix {GO:0035583}; skeletal system development {GO:0001501}</t>
  </si>
  <si>
    <t>basement membrane {GO:0005604}; collagen-containing extracellular matrix {GO:0062023}; extracellular matrix {GO:0031012}; extracellular region {GO:0005576}; extracellular space {GO:0005615}; microfibril {GO:0001527}</t>
  </si>
  <si>
    <t>calcium ion binding {GO:0005509}; extracellular matrix structural constituent {GO:0005201}; heparin binding {GO:0008201}; hormone activity {GO:0005179}; identical protein binding {GO:0042802}; integrin binding {GO:0005178}; protein-containing complex binding {GO:0044877}</t>
  </si>
  <si>
    <t>Degradation of the extracellular matrix {R-MMU-1474228}; Elastic fibre formation {R-MMU-1566948}; Molecules associated with elastic fibres {R-MMU-2129379}; Integrin cell surface interactions {R-MMU-216083}; TGF-beta receptor signaling activates SMADs {R-MMU-2173789}; Regulation of Insulin-like Growth Factor (IGF) transport and uptake by Insulin-like Growth Factor Binding Proteins (IGFBPs) {R-MMU-381426}; Post-translational protein phosphorylation {R-MMU-8957275}</t>
  </si>
  <si>
    <t>sp|Q9CQ75|NDUA2_MOUSE</t>
  </si>
  <si>
    <t>NADH dehydrogenase [ubiquinone] 1 alpha subcomplex subunit 2</t>
  </si>
  <si>
    <t>Complex I-B8 (CI-B8); NADH-ubiquinone oxidoreductase B8 subunit</t>
  </si>
  <si>
    <t>NDUA2_MOUSE</t>
  </si>
  <si>
    <t>Q9CQ75</t>
  </si>
  <si>
    <t>Q9WUB2</t>
  </si>
  <si>
    <t>MGI:1343103</t>
  </si>
  <si>
    <t>3D-structure; Acetylation; Disulfide bond; Electron transport; Membrane; Mitochondrion; Mitochondrion inner membrane; Respiratory chain; Transport</t>
  </si>
  <si>
    <t>aerobic respiration {GO:0009060}; blastocyst hatching {GO:0001835}; mitochondrial respiratory chain complex I assembly {GO:0032981}; proton motive force-driven mitochondrial ATP synthesis {GO:0042776}</t>
  </si>
  <si>
    <t>sp|Q9QXL2|KI21A_MOUSE</t>
  </si>
  <si>
    <t>Kinesin-like protein KIF21A</t>
  </si>
  <si>
    <t>KI21A_MOUSE</t>
  </si>
  <si>
    <t>Q9QXL2</t>
  </si>
  <si>
    <t>Q6P5H1; Q6ZPJ8; Q8BWZ9; Q8BXF1</t>
  </si>
  <si>
    <t>Kiaa1708</t>
  </si>
  <si>
    <t>MGI:109188</t>
  </si>
  <si>
    <t>3D-structure; Acetylation; Alternative splicing; ATP-binding; Cell projection; Coiled coil; Cytoplasm; Cytoskeleton; Microtubule; Motor protein; Nucleotide-binding; Phosphoprotein; Repeat; WD repeat</t>
  </si>
  <si>
    <t>axon {GO:0030424}; cytosol {GO:0005829}; dendrite {GO:0030425}; kinesin complex {GO:0005871}; microtubule {GO:0005874}; plasma membrane {GO:0005886}</t>
  </si>
  <si>
    <t>ankyrin repeat binding {GO:0071532}; ATP binding {GO:0005524}; ATP hydrolysis activity {GO:0016887}; microtubule binding {GO:0008017}; microtubule motor activity {GO:0003777}</t>
  </si>
  <si>
    <t>sp|Q8R1A4|DOCK7_MOUSE</t>
  </si>
  <si>
    <t>Dedicator of cytokinesis protein 7</t>
  </si>
  <si>
    <t>Protein moonlight</t>
  </si>
  <si>
    <t>DOCK7_MOUSE</t>
  </si>
  <si>
    <t>Q8R1A4</t>
  </si>
  <si>
    <t>Q45V78; Q5PRE6; Q6PJ17; Q9CSB6; Q9CXM7</t>
  </si>
  <si>
    <t>Gm430; Kiaa1771; Mnlt</t>
  </si>
  <si>
    <t>MGI:1914549</t>
  </si>
  <si>
    <t>Acetylation; Alternative splicing; Cell projection; Coiled coil; Developmental protein; Differentiation; Guanine-nucleotide releasing factor; Methylation; Neurogenesis; Phosphoprotein</t>
  </si>
  <si>
    <t>Developmental protein; Guanine-nucleotide releasing factor</t>
  </si>
  <si>
    <t>activation of GTPase activity {GO:0090630}; axonogenesis {GO:0007409}; establishment of neuroblast polarity {GO:0045200}; hematopoietic progenitor cell differentiation {GO:0002244}; interkinetic nuclear migration {GO:0022027}; microtubule cytoskeleton organization {GO:0000226}; negative regulation of cold-induced thermogenesis {GO:0120163}; neuron projection development {GO:0031175}; pigmentation {GO:0043473}; positive regulation of GTPase activity {GO:0043547}; positive regulation of peptidyl-serine phosphorylation {GO:0033138}; positive regulation of vascular associated smooth muscle cell migration {GO:1904754}; regulation of neurogenesis {GO:0050767}; small GTPase mediated signal transduction {GO:0007264}</t>
  </si>
  <si>
    <t>axon {GO:0030424}; COP9 signalosome {GO:0008180}</t>
  </si>
  <si>
    <t>guanyl-nucleotide exchange factor activity {GO:0005085}; small GTPase binding {GO:0031267}</t>
  </si>
  <si>
    <t>MET activates RAP1 and RAC1 {R-MMU-8875555}; CDC42 GTPase cycle {R-MMU-9013148}; RAC1 GTPase cycle {R-MMU-9013149}; Factors involved in megakaryocyte development and platelet production {R-MMU-983231}</t>
  </si>
  <si>
    <t>sp|Q9QY36|NAA10_MOUSE</t>
  </si>
  <si>
    <t>N-alpha-acetyltransferase 10</t>
  </si>
  <si>
    <t>N-terminal acetyltransferase complex ARD1 subunit homolog A; NatA catalytic subunit Naa10</t>
  </si>
  <si>
    <t>NAA10_MOUSE</t>
  </si>
  <si>
    <t>Q9QY36</t>
  </si>
  <si>
    <t>Ard1; Ard1a; Te2</t>
  </si>
  <si>
    <t>MGI:1915255</t>
  </si>
  <si>
    <t>Acetylation; Acyltransferase; Cytoplasm; Nucleus; Phosphoprotein; Transferase</t>
  </si>
  <si>
    <t>N-terminal protein amino acid acetylation {GO:0006474}; negative regulation of maintenance of mitotic sister chromatid cohesion, centromeric {GO:2000719}; protein acetylation {GO:0006473}</t>
  </si>
  <si>
    <t>acetyltransferase activity {GO:0016407}; N-acetyltransferase activity {GO:0008080}; peptide alpha-N-acetyltransferase activity {GO:0004596}; peptide-glutamate-alpha-N-acetyltransferase activity {GO:1990190}; peptide-serine-alpha-N-acetyltransferase activity {GO:1990189}; ribosome binding {GO:0043022}</t>
  </si>
  <si>
    <t>sp|Q99K28|ARFG2_MOUSE</t>
  </si>
  <si>
    <t>ADP-ribosylation factor GTPase-activating protein 2 (ARF GAP 2)</t>
  </si>
  <si>
    <t>GTPase-activating protein ZNF289; Zinc finger protein 289</t>
  </si>
  <si>
    <t>ARFG2_MOUSE</t>
  </si>
  <si>
    <t>Q99K28</t>
  </si>
  <si>
    <t>Q9D758; Q9JIH1</t>
  </si>
  <si>
    <t>Zfp289; Znf289</t>
  </si>
  <si>
    <t>MGI:1924288</t>
  </si>
  <si>
    <t>Acetylation; Alternative splicing; Coiled coil; Cytoplasm; ER-Golgi transport; Golgi apparatus; GTPase activation; Membrane; Metal-binding; Phosphoprotein; Protein transport; Transport; Zinc; Zinc-finger</t>
  </si>
  <si>
    <t>COPI coating of Golgi vesicle {GO:0048205}; protein transport {GO:0015031}</t>
  </si>
  <si>
    <t>cytosol {GO:0005829}; Golgi apparatus {GO:0005794}; Golgi membrane {GO:0000139}; plasma membrane {GO:0005886}</t>
  </si>
  <si>
    <t>GTPase activator activity {GO:0005096}; metal ion binding {GO:0046872}</t>
  </si>
  <si>
    <t>sp|Q9D958|SPCS1_MOUSE</t>
  </si>
  <si>
    <t>Signal peptidase complex subunit 1</t>
  </si>
  <si>
    <t>Microsomal signal peptidase 12 kDa subunit (SPase 12 kDa subunit)</t>
  </si>
  <si>
    <t>SPCS1_MOUSE</t>
  </si>
  <si>
    <t>Q9D958</t>
  </si>
  <si>
    <t>Q8BJM2</t>
  </si>
  <si>
    <t>Spc12</t>
  </si>
  <si>
    <t>MGI:1916269</t>
  </si>
  <si>
    <t>Endoplasmic reticulum; Membrane; Transmembrane; Transmembrane helix</t>
  </si>
  <si>
    <t>protein targeting to ER {GO:0045047}; signal peptide processing {GO:0006465}; viral protein processing {GO:0019082}; virion assembly {GO:0019068}</t>
  </si>
  <si>
    <t>endoplasmic reticulum membrane {GO:0005789}; integral component of endoplasmic reticulum membrane {GO:0030176}; signal peptidase complex {GO:0005787}</t>
  </si>
  <si>
    <t>sp|Q9JJF9|SPP2A_MOUSE</t>
  </si>
  <si>
    <t>Signal peptide peptidase-like 2A (SPP-like 2A; SPPL2a)</t>
  </si>
  <si>
    <t>Intramembrane protease 3 (IMP-3); Presenilin-like protein 2</t>
  </si>
  <si>
    <t>SPP2A_MOUSE</t>
  </si>
  <si>
    <t>Q9JJF9</t>
  </si>
  <si>
    <t>A2AI51; Q8R354</t>
  </si>
  <si>
    <t>MGI:1913802</t>
  </si>
  <si>
    <t>Endosome; Glycoprotein; Hydrolase; Lysosome; Membrane; Protease; Signal; Transmembrane; Transmembrane helix</t>
  </si>
  <si>
    <t>Endosome; Lysosome; Membrane</t>
  </si>
  <si>
    <t>membrane protein ectodomain proteolysis {GO:0006509}; membrane protein intracellular domain proteolysis {GO:0031293}; membrane protein proteolysis {GO:0033619}; regulation of immune response {GO:0050776}</t>
  </si>
  <si>
    <t>Golgi-associated vesicle membrane {GO:0030660}; integral component of cytoplasmic side of endoplasmic reticulum membrane {GO:0071458}; integral component of lumenal side of endoplasmic reticulum membrane {GO:0071556}; intracellular membrane-bounded organelle {GO:0043231}; late endosome {GO:0005770}; late endosome membrane {GO:0031902}; lysosomal membrane {GO:0005765}; membrane {GO:0016020}; plasma membrane {GO:0005886}</t>
  </si>
  <si>
    <t>aspartic endopeptidase activity, intramembrane cleaving {GO:0042500}; protein homodimerization activity {GO:0042803}</t>
  </si>
  <si>
    <t>Regulation of TNFR1 signaling {R-MMU-5357905}</t>
  </si>
  <si>
    <t>sp|Q99K51|PLST_MOUSE</t>
  </si>
  <si>
    <t>Plastin-3</t>
  </si>
  <si>
    <t>T-plastin</t>
  </si>
  <si>
    <t>PLST_MOUSE</t>
  </si>
  <si>
    <t>Q99K51</t>
  </si>
  <si>
    <t>B1AX56; Q3TUZ5</t>
  </si>
  <si>
    <t>MGI:104807</t>
  </si>
  <si>
    <t>Actin-binding; Calcium; Cytoplasm; Metal-binding; Phosphoprotein; Repeat</t>
  </si>
  <si>
    <t>actin filament bundle assembly {GO:0051017}; actin filament network formation {GO:0051639}; bone development {GO:0060348}; regulation of synaptic vesicle cycle {GO:0098693}</t>
  </si>
  <si>
    <t>actin filament {GO:0005884}; actin filament bundle {GO:0032432}; cytoplasm {GO:0005737}; cytosol {GO:0005829}; neuromuscular junction {GO:0031594}; plasma membrane {GO:0005886}; stereocilium {GO:0032420}</t>
  </si>
  <si>
    <t>actin filament binding {GO:0051015}; calcium ion binding {GO:0005509}; structural constituent of presynaptic actin cytoskeleton {GO:0098699}</t>
  </si>
  <si>
    <t>sp|Q99LB2|DHRS4_MOUSE</t>
  </si>
  <si>
    <t>Dehydrogenase/reductase SDR family member 4</t>
  </si>
  <si>
    <t>NADPH-dependent carbonyl reductase (CR); NADPH-dependent retinol dehydrogenase/reductase (NDRD; mouNRDR); Peroxisomal short-chain alcohol dehydrogenase (PSCD); Short chain dehydrogenase/reductase family 25C member 2 (Protein SDR25C2)</t>
  </si>
  <si>
    <t>DHRS4_MOUSE</t>
  </si>
  <si>
    <t>Q99LB2</t>
  </si>
  <si>
    <t>G3X8V7; Q9EQU4</t>
  </si>
  <si>
    <t>D14Ucla2</t>
  </si>
  <si>
    <t>MGI:90169</t>
  </si>
  <si>
    <t>Acetylation; NADP; Oxidoreductase; Peroxisome; Phosphoprotein</t>
  </si>
  <si>
    <t>cellular ketone metabolic process {GO:0042180}; retinal metabolic process {GO:0042574}; steroid metabolic process {GO:0008202}</t>
  </si>
  <si>
    <t>mitochondrion {GO:0005739}; nucleus {GO:0005634}; peroxisomal membrane {GO:0005778}; peroxisome {GO:0005777}</t>
  </si>
  <si>
    <t>3-keto sterol reductase activity {GO:0000253}; alcohol dehydrogenase [NAD(P)+] activity {GO:0018455}; carbonyl reductase (NADPH) activity {GO:0004090}; identical protein binding {GO:0042802}; NADP-retinol dehydrogenase activity {GO:0052650}; oxidoreductase activity, acting on NAD(P)H, quinone or similar compound as acceptor {GO:0016655}; retinal dehydrogenase activity {GO:0001758}</t>
  </si>
  <si>
    <t>RA biosynthesis pathway {R-MMU-5365859}; Peroxisomal protein import {R-MMU-9033241}</t>
  </si>
  <si>
    <t>sp|P55002|MFAP2_MOUSE</t>
  </si>
  <si>
    <t>Microfibrillar-associated protein 2 (MFAP-2)</t>
  </si>
  <si>
    <t>Microfibril-associated glycoprotein 1 (MAGP; MAGP-1)</t>
  </si>
  <si>
    <t>MFAP2_MOUSE</t>
  </si>
  <si>
    <t>P55002</t>
  </si>
  <si>
    <t>Magp; Magp1</t>
  </si>
  <si>
    <t>MGI:99559</t>
  </si>
  <si>
    <t>Disulfide bond; Extracellular matrix; Glycoprotein; Pyrrolidone carboxylic acid; Secreted; Signal; Sulfation</t>
  </si>
  <si>
    <t>Disulfide bond; Glycoprotein; Pyrrolidone carboxylic acid; Sulfation</t>
  </si>
  <si>
    <t>embryonic eye morphogenesis {GO:0048048}; platelet formation {GO:0030220}; positive regulation of cold-induced thermogenesis {GO:0120162}</t>
  </si>
  <si>
    <t>collagen-containing extracellular matrix {GO:0062023}; extracellular region {GO:0005576}; microfibril {GO:0001527}</t>
  </si>
  <si>
    <t>fibrinogen binding {GO:0070051}; fibronectin binding {GO:0001968}</t>
  </si>
  <si>
    <t>Elastic fibre formation {R-MMU-1566948}; Molecules associated with elastic fibres {R-MMU-2129379}</t>
  </si>
  <si>
    <t>sp|Q8BVA5|LDAH_MOUSE</t>
  </si>
  <si>
    <t>Lipid droplet-associated hydrolase</t>
  </si>
  <si>
    <t>Lipid droplet-associated serine hydrolase (mLDAH)</t>
  </si>
  <si>
    <t>LDAH_MOUSE</t>
  </si>
  <si>
    <t>Q8BVA5</t>
  </si>
  <si>
    <t>Q3TRE7; Q5RL52; Q6PG15; Q8BVV0</t>
  </si>
  <si>
    <t>MGI:1916082</t>
  </si>
  <si>
    <t>Alternative splicing; Endoplasmic reticulum; Hydrolase; Lipid droplet</t>
  </si>
  <si>
    <t>Endoplasmic reticulum; Lipid droplet</t>
  </si>
  <si>
    <t>foam cell differentiation {GO:0090077}; lipid storage {GO:0019915}</t>
  </si>
  <si>
    <t>endoplasmic reticulum {GO:0005783}; lipid droplet {GO:0005811}</t>
  </si>
  <si>
    <t>sterol esterase activity {GO:0004771}</t>
  </si>
  <si>
    <t>sp|Q80U93|NU214_MOUSE</t>
  </si>
  <si>
    <t>Nuclear pore complex protein Nup214</t>
  </si>
  <si>
    <t>214 kDa nucleoporin; Nucleoporin Nup214</t>
  </si>
  <si>
    <t>NU214_MOUSE</t>
  </si>
  <si>
    <t>Q80U93</t>
  </si>
  <si>
    <t>A2ATN2</t>
  </si>
  <si>
    <t>Kiaa0023</t>
  </si>
  <si>
    <t>MGI:1095411</t>
  </si>
  <si>
    <t>Acetylation; Coiled coil; Glycoprotein; Isopeptide bond; mRNA transport; Nuclear pore complex; Nucleus; Phosphoprotein; Protein transport; Repeat; Translocation; Transport; Ubl conjugation</t>
  </si>
  <si>
    <t>Nuclear pore complex; Nucleus</t>
  </si>
  <si>
    <t>mitotic cell cycle {GO:0000278}; mRNA export from nucleus {GO:0006406}; nucleocytoplasmic transport {GO:0006913}; protein export from nucleus {GO:0006611}; protein import into nucleus {GO:0006606}; regulation of cell cycle {GO:0051726}; regulation of nucleocytoplasmic transport {GO:0046822}; RNA export from nucleus {GO:0006405}</t>
  </si>
  <si>
    <t>cytoplasmic side of nuclear pore {GO:1990876}; nuclear envelope {GO:0005635}; nuclear pore {GO:0005643}</t>
  </si>
  <si>
    <t>nuclear export signal receptor activity {GO:0005049}; nuclear localization sequence binding {GO:0008139}; structural constituent of nuclear pore {GO:0017056}</t>
  </si>
  <si>
    <t>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{R-MMU-159236}; Regulation of Glucokinase by Glucokinase Regulatory Protein {R-MMU-170822}; snRNP Assembly {R-MMU-191859}; SUMOylation of DNA damage response and repair proteins {R-MMU-3108214}; SUMOylation of ubiquitinylation proteins {R-MMU-3232142}; Nuclear Pore Complex (NPC) Disassembly {R-MMU-3301854}; Regulation of HSF1-mediated heat shock response {R-MMU-3371453}; SUMOylation of SUMOylation proteins {R-MMU-4085377}; HuR (ELAVL1) binds and stabilizes mRNA {R-MMU-450520}; SUMOylation of chromatin organization proteins {R-MMU-4551638}; SUMOylation of RNA binding proteins {R-MMU-4570464}; SUMOylation of DNA replication proteins {R-MMU-4615885}; Transcriptional regulation by small RNAs {R-MMU-5578749}</t>
  </si>
  <si>
    <t>sp|Q9QXX0|JAG1_MOUSE</t>
  </si>
  <si>
    <t>Protein jagged-1 (Jagged1)</t>
  </si>
  <si>
    <t>CD_antigen=CD339</t>
  </si>
  <si>
    <t>JAG1_MOUSE</t>
  </si>
  <si>
    <t>Q9QXX0</t>
  </si>
  <si>
    <t>MGI:1095416</t>
  </si>
  <si>
    <t>Calcium; Cell membrane; Developmental protein; Disulfide bond; EGF-like domain; Glycoprotein; Membrane; Notch signaling pathway; Repeat; Signal; Transmembrane; Transmembrane helix</t>
  </si>
  <si>
    <t>animal organ morphogenesis {GO:0009887}; aorta morphogenesis {GO:0035909}; blood vessel remodeling {GO:0001974}; camera-type eye development {GO:0043010}; cardiac neural crest cell development involved in outflow tract morphogenesis {GO:0061309}; cardiac right ventricle morphogenesis {GO:0003215}; cardiac septum morphogenesis {GO:0060411}; ciliary body morphogenesis {GO:0061073}; distal tubule development {GO:0072017}; endocardial cushion cell development {GO:0061444}; inhibition of neuroepithelial cell differentiation {GO:0002085}; inner ear auditory receptor cell differentiation {GO:0042491}; inner ear development {GO:0048839}; loop of Henle development {GO:0072070}; morphogenesis of an epithelial sheet {GO:0002011}; negative regulation of cell differentiation {GO:0045596}; negative regulation of cell migration {GO:0030336}; negative regulation of cell-cell adhesion {GO:0022408}; negative regulation of cell-matrix adhesion {GO:0001953}; negative regulation of endothelial cell differentiation {GO:0045602}; negative regulation of fat cell differentiation {GO:0045599}; negative regulation of neuron differentiation {GO:0045665}; negative regulation of stem cell differentiation {GO:2000737}; nephron development {GO:0072006}; neuroendocrine cell differentiation {GO:0061101}; neuron differentiation {GO:0030182}; neuronal stem cell population maintenance {GO:0097150}; Notch signaling involved in heart development {GO:0061314}; Notch signaling pathway {GO:0007219}; podocyte development {GO:0072015}; positive regulation of cardiac epithelial to mesenchymal transition {GO:0062043}; positive regulation of gene expression {GO:0010628}; positive regulation of myeloid cell differentiation {GO:0045639}; positive regulation of Notch signaling pathway {GO:0045747}; positive regulation of osteoblast differentiation {GO:0045669}; positive regulation of transcription by RNA polymerase II {GO:0045944}; pulmonary artery morphogenesis {GO:0061156}; pulmonary valve morphogenesis {GO:0003184}; regulation of cell population proliferation {GO:0042127}; regulation of epithelial cell proliferation {GO:0050678}; regulation of reproductive process {GO:2000241}; response to muramyl dipeptide {GO:0032495}; T cell mediated immunity {GO:0002456}</t>
  </si>
  <si>
    <t>adherens junction {GO:0005912}; apical part of cell {GO:0045177}; apical plasma membrane {GO:0016324}; integral component of membrane {GO:0016021}; membrane {GO:0016020}; plasma membrane {GO:0005886}</t>
  </si>
  <si>
    <t>calcium ion binding {GO:0005509}; molecular adaptor activity {GO:0060090}; Notch binding {GO:0005112}; phospholipid binding {GO:0005543}; receptor ligand activity {GO:0048018}</t>
  </si>
  <si>
    <t>RAC1 GTPase cycle {R-MMU-9013149}; RAC3 GTPase cycle {R-MMU-9013423}; NOTCH3 Activation and Transmission of Signal to the Nucleus {R-MMU-9013507}</t>
  </si>
  <si>
    <t>sp|Q99KN2|CIAO1_MOUSE</t>
  </si>
  <si>
    <t>Probable cytosolic iron-sulfur protein assembly protein CIAO1</t>
  </si>
  <si>
    <t>WD repeat-containing protein 39</t>
  </si>
  <si>
    <t>CIAO1_MOUSE</t>
  </si>
  <si>
    <t>Q99KN2</t>
  </si>
  <si>
    <t>Q9DCZ7</t>
  </si>
  <si>
    <t>Wdr39</t>
  </si>
  <si>
    <t>MGI:1346998</t>
  </si>
  <si>
    <t>Chromosome partition; Cytoplasm; Repeat; WD repeat</t>
  </si>
  <si>
    <t>chromosome segregation {GO:0007059}; iron-sulfur cluster assembly {GO:0016226}; protein maturation by iron-sulfur cluster transfer {GO:0097428}; regulation of transcription by RNA polymerase II {GO:0006357}</t>
  </si>
  <si>
    <t>CIA complex {GO:0097361}; cytoplasm {GO:0005737}; MMXD complex {GO:0071817}</t>
  </si>
  <si>
    <t>DNA-binding transcription factor activity {GO:0003700}</t>
  </si>
  <si>
    <t>sp|Q9DCT8|CRIP2_MOUSE</t>
  </si>
  <si>
    <t>Cysteine-rich protein 2 (CRP-2)</t>
  </si>
  <si>
    <t>Heart LIM protein</t>
  </si>
  <si>
    <t>CRIP2_MOUSE</t>
  </si>
  <si>
    <t>Q9DCT8</t>
  </si>
  <si>
    <t>Crp2; Hlp</t>
  </si>
  <si>
    <t>MGI:1915587</t>
  </si>
  <si>
    <t>Acetylation; LIM domain; Metal-binding; Phosphoprotein; Repeat; Zinc</t>
  </si>
  <si>
    <t>hemopoiesis {GO:0030097}; positive regulation of cell population proliferation {GO:0008284}</t>
  </si>
  <si>
    <t>cell cortex {GO:0005938}</t>
  </si>
  <si>
    <t>sp|Q922H9|ZN330_MOUSE</t>
  </si>
  <si>
    <t>Zinc finger protein 330</t>
  </si>
  <si>
    <t>Nucleolar autoantigen 36; Nucleolar cysteine-rich protein</t>
  </si>
  <si>
    <t>ZN330_MOUSE</t>
  </si>
  <si>
    <t>Q922H9</t>
  </si>
  <si>
    <t>Q8C389; Q8K2M4</t>
  </si>
  <si>
    <t>Noa36; Zfp330</t>
  </si>
  <si>
    <t>MGI:1353574</t>
  </si>
  <si>
    <t>Alternative splicing; Centromere; Chromosome; Metal-binding; Nucleus; Phosphoprotein; Repeat; Zinc; Zinc-finger</t>
  </si>
  <si>
    <t>chromosome, centromeric region {GO:0000775}; midbody {GO:0030496}; nucleolus {GO:0005730}; nucleoplasm {GO:0005654}; nucleus {GO:0005634}</t>
  </si>
  <si>
    <t>sp|Q9QZR0|RNF25_MOUSE</t>
  </si>
  <si>
    <t>E3 ubiquitin-protein ligase RNF25</t>
  </si>
  <si>
    <t>RING finger protein 25; RING finger protein AO7; RING-type E3 ubiquitin transferase RNF25</t>
  </si>
  <si>
    <t>RNF25_MOUSE</t>
  </si>
  <si>
    <t>Q9QZR0</t>
  </si>
  <si>
    <t>Q3TAL8; Q9DCW7</t>
  </si>
  <si>
    <t>MGI:1890215</t>
  </si>
  <si>
    <t>Metal-binding; Transferase; Ubl conjugation; Ubl conjugation pathway; Zinc; Zinc-finger</t>
  </si>
  <si>
    <t>positive regulation of NF-kappaB transcription factor activity {GO:0051092}; protein ubiquitination {GO:0016567}</t>
  </si>
  <si>
    <t>metal ion binding {GO:0046872}; NF-kappaB binding {GO:0051059}; ubiquitin protein ligase activity {GO:0061630}; ubiquitin-protein transferase activity {GO:0004842}</t>
  </si>
  <si>
    <t>sp|Q8CFI7|RPB2_MOUSE</t>
  </si>
  <si>
    <t>DNA-directed RNA polymerase II subunit RPB2</t>
  </si>
  <si>
    <t>DNA-directed RNA polymerase II 140 kDa polypeptide; DNA-directed RNA polymerase II subunit B; RNA polymerase II subunit 2; RNA polymerase II subunit B2</t>
  </si>
  <si>
    <t>RPB2_MOUSE</t>
  </si>
  <si>
    <t>Q8CFI7</t>
  </si>
  <si>
    <t>MGI:2388280</t>
  </si>
  <si>
    <t>DNA-directed RNA polymerase; Magnesium; Metal-binding; Methylation; Nucleotidyltransferase; Nucleus; Phosphoprotein; Transcription; Transferase; Zinc; Zinc-finger</t>
  </si>
  <si>
    <t>transcription by RNA polymerase II {GO:0006366}</t>
  </si>
  <si>
    <t>chromosome, telomeric region {GO:0000781}; nucleoplasm {GO:0005654}; nucleus {GO:0005634}; RNA polymerase II, core complex {GO:0005665}</t>
  </si>
  <si>
    <t>chromatin binding {GO:0003682}; DNA binding {GO:0003677}; DNA-directed 5'-3' RNA polymerase activity {GO:0003899}; metal ion binding {GO:0046872}; ribonucleoside binding {GO:0032549}</t>
  </si>
  <si>
    <t>sp|O70589|CSKP_MOUSE</t>
  </si>
  <si>
    <t>Peripheral plasma membrane protein CASK</t>
  </si>
  <si>
    <t>Calcium/calmodulin-dependent serine protein kinase</t>
  </si>
  <si>
    <t>CSKP_MOUSE</t>
  </si>
  <si>
    <t>O70589</t>
  </si>
  <si>
    <t>A2ADP8; A2ADP9; A2ADQ4; O70588; Q3UW92</t>
  </si>
  <si>
    <t>MGI:1309489</t>
  </si>
  <si>
    <t>3D-structure; Alternative splicing; ATP-binding; Calmodulin-binding; Cell membrane; Cytoplasm; Kinase; Membrane; Nucleotide-binding; Nucleus; Phosphoprotein; Repeat; Serine/threonine-protein kinase; SH3 domain; Transferase</t>
  </si>
  <si>
    <t>Calmodulin-binding; Kinase; Serine/threonine-protein kinase; Transferase</t>
  </si>
  <si>
    <t>calcium ion import {GO:0070509}; establishment of localization in cell {GO:0051649}; negative regulation of cell-matrix adhesion {GO:0001953}; negative regulation of cellular response to growth factor stimulus {GO:0090288}; negative regulation of keratinocyte proliferation {GO:0010839}; negative regulation of wound healing {GO:0061045}; positive regulation of calcium ion import {GO:0090280}; positive regulation of dendritic spine morphogenesis {GO:0061003}; positive regulation of insulin secretion {GO:0032024}; positive regulation of transcription by RNA polymerase II {GO:0045944}; protein localization {GO:0008104}; protein localization to plasma membrane {GO:0072659}; protein phosphorylation {GO:0006468}; regulation of neurotransmitter secretion {GO:0046928}; regulation of synaptic vesicle exocytosis {GO:2000300}; regulation of transcription by RNA polymerase II {GO:0006357}</t>
  </si>
  <si>
    <t>apical dendrite {GO:0097440}; basement membrane {GO:0005604}; basolateral plasma membrane {GO:0016323}; cell-cell junction {GO:0005911}; ciliary membrane {GO:0060170}; cytoplasm {GO:0005737}; cytosol {GO:0005829}; dendrite {GO:0030425}; membrane {GO:0016020}; membrane raft {GO:0045121}; neuronal cell body {GO:0043025}; nuclear lamina {GO:0005652}; nuclear matrix {GO:0016363}; nucleolus {GO:0005730}; nucleus {GO:0005634}; perinuclear region of cytoplasm {GO:0048471}; plasma membrane {GO:0005886}; podocyte foot {GO:0098846}; postsynaptic density {GO:0014069}; presynaptic membrane {GO:0042734}; protein-containing complex {GO:0032991}; Schaffer collateral - CA1 synapse {GO:0098685}; synapse {GO:0045202}; synaptic membrane {GO:0097060}; vesicle {GO:0031982}</t>
  </si>
  <si>
    <t>ATP binding {GO:0005524}; calmodulin binding {GO:0005516}; neurexin family protein binding {GO:0042043}; PDZ domain binding {GO:0030165}; protein C-terminus binding {GO:0008022}; protein serine kinase activity {GO:0106310}; protein serine/threonine kinase activity {GO:0004674}; protein-containing complex binding {GO:0044877}; signaling receptor binding {GO:0005102}</t>
  </si>
  <si>
    <t>Dopamine Neurotransmitter Release Cycle {R-MMU-212676}; Neurexins and neuroligins {R-MMU-6794361}</t>
  </si>
  <si>
    <t>sp|O08547|SC22B_MOUSE</t>
  </si>
  <si>
    <t>Vesicle-trafficking protein SEC22b</t>
  </si>
  <si>
    <t>ER-Golgi SNARE of 24 kDa (ERS-24; ERS24); SEC22 vesicle-trafficking protein homolog B; SEC22 vesicle-trafficking protein-like 1 (mSec22b)</t>
  </si>
  <si>
    <t>SC22B_MOUSE</t>
  </si>
  <si>
    <t>O08547</t>
  </si>
  <si>
    <t>Q91VU3</t>
  </si>
  <si>
    <t>Sec22l1</t>
  </si>
  <si>
    <t>MGI:1338759</t>
  </si>
  <si>
    <t>3D-structure; Acetylation; Coiled coil; Endoplasmic reticulum; ER-Golgi transport; Golgi apparatus; Membrane; Phosphoprotein; Protein transport; Transmembrane; Transmembrane helix; Transport</t>
  </si>
  <si>
    <t>endoplasmic reticulum to Golgi vesicle-mediated transport {GO:0006888}; negative regulation of autophagosome assembly {GO:1902902}; positive regulation of protein catabolic process {GO:0045732}; protein transport {GO:0015031}; retrograde vesicle-mediated transport, Golgi to endoplasmic reticulum {GO:0006890}; vesicle fusion with Golgi apparatus {GO:0048280}; vesicle-mediated transport {GO:0016192}</t>
  </si>
  <si>
    <t>COPI-coated vesicle {GO:0030137}; endoplasmic reticulum membrane {GO:0005789}; endoplasmic reticulum-Golgi intermediate compartment {GO:0005793}; endoplasmic reticulum-Golgi intermediate compartment membrane {GO:0033116}; ER to Golgi transport vesicle membrane {GO:0012507}; Golgi membrane {GO:0000139}; integral component of membrane {GO:0016021}; melanosome {GO:0042470}; SNARE complex {GO:0031201}; synaptic vesicle {GO:0008021}</t>
  </si>
  <si>
    <t>ER-Phagosome pathway {R-MMU-1236974}; COPII-mediated vesicle transport {R-MMU-204005}; Cargo concentration in the ER {R-MMU-5694530}; COPI-dependent Golgi-to-ER retrograde traffic {R-MMU-6811434}</t>
  </si>
  <si>
    <t>sp|Q9D0W5|PPIL1_MOUSE</t>
  </si>
  <si>
    <t>Peptidyl-prolyl cis-trans isomerase-like 1 (PPIase)</t>
  </si>
  <si>
    <t>Rotamase PPIL1</t>
  </si>
  <si>
    <t>PPIL1_MOUSE</t>
  </si>
  <si>
    <t>Q9D0W5</t>
  </si>
  <si>
    <t>Q3UA03</t>
  </si>
  <si>
    <t>MGI:1916066</t>
  </si>
  <si>
    <t>Isomerase; mRNA processing; mRNA splicing; Nucleus; Phosphoprotein; Rotamase; Spliceosome</t>
  </si>
  <si>
    <t>embryonic brain development {GO:1990403}; mRNA splicing, via spliceosome {GO:0000398}; protein folding {GO:0006457}; protein peptidyl-prolyl isomerization {GO:0000413}</t>
  </si>
  <si>
    <t>catalytic step 2 spliceosome {GO:0071013}; nucleus {GO:0005634}; U2-type catalytic step 2 spliceosome {GO:0071007}</t>
  </si>
  <si>
    <t>cyclosporin A binding {GO:0016018}; disordered domain specific binding {GO:0097718}; peptidyl-prolyl cis-trans isomerase activity {GO:0003755}</t>
  </si>
  <si>
    <t>sp|O35660|GSTM6_MOUSE</t>
  </si>
  <si>
    <t>Glutathione S-transferase Mu 6</t>
  </si>
  <si>
    <t>GST class-mu 6; Glutathione-S-transferase class M5</t>
  </si>
  <si>
    <t>GSTM6_MOUSE</t>
  </si>
  <si>
    <t>O35660</t>
  </si>
  <si>
    <t>O35661; Q8K0C3</t>
  </si>
  <si>
    <t>Gstm5</t>
  </si>
  <si>
    <t>MGI:1309467</t>
  </si>
  <si>
    <t>Cytoplasm; Transferase</t>
  </si>
  <si>
    <t>glutathione metabolic process {GO:0006749}</t>
  </si>
  <si>
    <t>cytoplasm {GO:0005737}; cytosol {GO:0005829}; intercellular bridge {GO:0045171}</t>
  </si>
  <si>
    <t>enzyme binding {GO:0019899}; glutathione binding {GO:0043295}; glutathione transferase activity {GO:0004364}; protein homodimerization activity {GO:0042803}</t>
  </si>
  <si>
    <t>sp|Q62383|SPT6H_MOUSE</t>
  </si>
  <si>
    <t>Transcription elongation factor SPT6</t>
  </si>
  <si>
    <t>SPT6H_MOUSE</t>
  </si>
  <si>
    <t>Q62383</t>
  </si>
  <si>
    <t>Q5SYM0; Q6GQS3; Q6ZQI0; Q8BQY6</t>
  </si>
  <si>
    <t>Kiaa0162; Supt6</t>
  </si>
  <si>
    <t>MGI:107726</t>
  </si>
  <si>
    <t>Acetylation; Chaperone; Coiled coil; mRNA processing; mRNA splicing; mRNA transport; Nucleus; Phosphoprotein; Transcription; Transcription regulation; Transport</t>
  </si>
  <si>
    <t>blastocyst formation {GO:0001825}; mRNA processing {GO:0006397}; mRNA transcription by RNA polymerase II {GO:0042789}; mRNA transport {GO:0051028}; negative regulation of histone H3-K27 methylation {GO:0061086}; nucleosome organization {GO:0034728}; positive regulation of transcription elongation by RNA polymerase II {GO:0032968}; regulation of isotype switching {GO:0045191}; regulation of mRNA export from nucleus {GO:0010793}; regulation of mRNA processing {GO:0050684}; regulation of muscle cell differentiation {GO:0051147}; RNA splicing {GO:0008380}; transcription elongation by RNA polymerase II promoter {GO:0006368}</t>
  </si>
  <si>
    <t>transcription elongation factor complex {GO:0008023}</t>
  </si>
  <si>
    <t>DNA binding {GO:0003677}; histone binding {GO:0042393}; nucleosome binding {GO:0031491}</t>
  </si>
  <si>
    <t>Formation of RNA Pol II elongation complex {R-MMU-112382}; RNA Polymerase II Pre-transcription Events {R-MMU-674695}; RNA Polymerase II Transcription Elongation {R-MMU-75955}</t>
  </si>
  <si>
    <t>sp|P42232|STA5B_MOUSE</t>
  </si>
  <si>
    <t>Signal transducer and activator of transcription 5B</t>
  </si>
  <si>
    <t>STA5B_MOUSE</t>
  </si>
  <si>
    <t>P42232</t>
  </si>
  <si>
    <t>A2A5D5; Q541Q5; Q60804; Q8K3Q1; Q9JKM1; Q9R0X8</t>
  </si>
  <si>
    <t>MGI:103035</t>
  </si>
  <si>
    <t>Activator; Cytoplasm; DNA-binding; Nucleus; Phosphoprotein; SH2 domain; Transcription; Transcription regulation</t>
  </si>
  <si>
    <t>activated T cell proliferation {GO:0050798}; acute-phase response {GO:0006953}; B cell differentiation {GO:0030183}; cell population proliferation {GO:0008283}; cellular response to epidermal growth factor stimulus {GO:0071364}; cellular response to growth factor stimulus {GO:0071363}; cellular response to hormone stimulus {GO:0032870}; cytokine-mediated signaling pathway {GO:0019221}; defense response {GO:0006952}; development of secondary female sexual characteristics {GO:0046543}; development of secondary male sexual characteristics {GO:0046544}; erythrocyte differentiation {GO:0030218}; female pregnancy {GO:0007565}; gamma-delta T cell differentiation {GO:0042492}; growth hormone receptor signaling pathway via JAK-STAT {GO:0060397}; lactation {GO:0007595}; lipid storage {GO:0019915}; liver development {GO:0001889}; luteinization {GO:0001553}; lymphocyte differentiation {GO:0030098}; mast cell migration {GO:0097531}; mitotic cell cycle {GO:0000278}; myeloid cell apoptotic process {GO:0033028}; natural killer cell differentiation {GO:0001779}; natural killer cell mediated cytotoxicity {GO:0042267}; natural killer cell proliferation {GO:0001787}; negative regulation of erythrocyte differentiation {GO:0045647}; negative regulation of myeloid cell apoptotic process {GO:0033033}; Peyer's patch development {GO:0048541}; positive regulation of activated T cell proliferation {GO:0042104}; positive regulation of B cell differentiation {GO:0045579}; positive regulation of cell population proliferation {GO:0008284}; positive regulation of erythrocyte differentiation {GO:0045648}; positive regulation of fibroblast growth factor production {GO:0090271}; positive regulation of gamma-delta T cell differentiation {GO:0045588}; positive regulation of gene expression {GO:0010628}; positive regulation of inflammatory response {GO:0050729}; positive regulation of interleukin-2 production {GO:0032743}; positive regulation of lymphocyte differentiation {GO:0045621}; positive regulation of mitotic cell cycle {GO:0045931}; positive regulation of multicellular organism growth {GO:0040018}; positive regulation of natural killer cell differentiation {GO:0032825}; positive regulation of natural killer cell mediated cytotoxicity {GO:0045954}; positive regulation of natural killer cell proliferation {GO:0032819}; positive regulation of smooth muscle cell migration {GO:0014911}; positive regulation of smooth muscle cell proliferation {GO:0048661}; positive regulation of transcription by RNA polymerase II {GO:0045944}; progesterone metabolic process {GO:0042448}; receptor signaling pathway via JAK-STAT {GO:0007259}; regulation of cell adhesion {GO:0030155}; regulation of cell population proliferation {GO:0042127}; regulation of DNA-templated transcription {GO:0006355}; regulation of epithelial cell differentiation {GO:0030856}; regulation of multicellular organism growth {GO:0040014}; regulation of steroid metabolic process {GO:0019218}; regulation of transcription by RNA polymerase II {GO:0006357}; response to estradiol {GO:0032355}; response to interleukin-15 {GO:0070672}; response to interleukin-2 {GO:0070669}; response to interleukin-4 {GO:0070670}; response to lipopolysaccharide {GO:0032496}; response to peptide hormone {GO:0043434}; sex differentiation {GO:0007548}; T cell differentiation in thymus {GO:0033077}; T cell homeostasis {GO:0043029}; taurine metabolic process {GO:0019530}; transcription by RNA polymerase II {GO:0006366}</t>
  </si>
  <si>
    <t>chromatin binding {GO:0003682}; DNA binding {GO:0003677}; DNA-binding transcription activator activity, RNA polymerase II-specific {GO:0001228}; DNA-binding transcription factor activity {GO:0003700}; DNA-binding transcription factor activity, RNA polymerase II-specific {GO:0000981}; DNA-binding transcription factor binding {GO:0140297}; double-stranded DNA binding {GO:0003690}; identical protein binding {GO:0042802}; nuclear glucocorticoid receptor binding {GO:0035259}; protein dimerization activity {GO:0046983}; protein homodimerization activity {GO:0042803}; RNA polymerase II cis-regulatory region sequence-specific DNA binding {GO:0000978}; sequence-specific DNA binding {GO:0043565}</t>
  </si>
  <si>
    <t>Interleukin-7 signaling {R-MMU-1266695}; Signaling by SCF-KIT {R-MMU-1433557}; Downstream signal transduction {R-MMU-186763}; Interleukin-3, Interleukin-5 and GM-CSF signaling {R-MMU-512988}; Interleukin-20 family signaling {R-MMU-8854691}; Interleukin-15 signaling {R-MMU-8983432}; Interleukin-9 signaling {R-MMU-8985947}; Interleukin-2 signaling {R-MMU-9020558}; Interleukin-21 signaling {R-MMU-9020958}; Growth hormone receptor signaling {R-MMU-982772}</t>
  </si>
  <si>
    <t>sp|Q9CQ73|PKP2_MOUSE</t>
  </si>
  <si>
    <t>sp|P49919|CDN1C_MOUSE</t>
  </si>
  <si>
    <t>Cyclin-dependent kinase inhibitor 1C</t>
  </si>
  <si>
    <t>Cyclin-dependent kinase inhibitor p57; p57Kip2</t>
  </si>
  <si>
    <t>CDN1C_MOUSE</t>
  </si>
  <si>
    <t>P49919</t>
  </si>
  <si>
    <t>G3UW61</t>
  </si>
  <si>
    <t>Kip2</t>
  </si>
  <si>
    <t>MGI:104564</t>
  </si>
  <si>
    <t>Alternative splicing; Cell cycle; Methylation; Nucleus; Protein kinase inhibitor</t>
  </si>
  <si>
    <t>Protein kinase inhibitor</t>
  </si>
  <si>
    <t>adrenal gland development {GO:0030325}; aging {GO:0007568}; camera-type eye development {GO:0043010}; cell cycle {GO:0007049}; digestive system development {GO:0055123}; embryonic placenta morphogenesis {GO:0060669}; genomic imprinting {GO:0071514}; kidney development {GO:0001822}; multicellular organism growth {GO:0035264}; myeloid cell differentiation {GO:0030099}; negative regulation of cyclin-dependent protein kinase activity {GO:1904030}; negative regulation of cyclin-dependent protein serine/threonine kinase activity {GO:0045736}; negative regulation of DNA-templated transcription {GO:0045892}; negative regulation of epithelial cell proliferation {GO:0050680}; negative regulation of kinase activity {GO:0033673}; negative regulation of mitotic cell cycle {GO:0045930}; negative regulation of phosphorylation {GO:0042326}; negative regulation of transcription by RNA polymerase II {GO:0000122}; neuron maturation {GO:0042551}; placenta development {GO:0001890}; positive regulation of DNA-templated transcription {GO:0045893}; positive regulation of transforming growth factor beta receptor signaling pathway {GO:0030511}; regulation of exit from mitosis {GO:0007096}; regulation of lens fiber cell differentiation {GO:1902746}; skeletal system development {GO:0001501}; uterus development {GO:0060065}</t>
  </si>
  <si>
    <t>cyclin-dependent protein serine/threonine kinase inhibitor activity {GO:0004861}; protein kinase inhibitor activity {GO:0004860}; protein-containing complex binding {GO:0044877}</t>
  </si>
  <si>
    <t>Cyclin D associated events in G1 {R-MMU-69231}</t>
  </si>
  <si>
    <t>sp|Q91WK5|GCSH_MOUSE</t>
  </si>
  <si>
    <t>Glycine cleavage system H protein, mitochondrial</t>
  </si>
  <si>
    <t>Lipoic acid-containing protein</t>
  </si>
  <si>
    <t>GCSH_MOUSE</t>
  </si>
  <si>
    <t>Q91WK5</t>
  </si>
  <si>
    <t>Q9CY75; Q9D197</t>
  </si>
  <si>
    <t>MGI:1915383</t>
  </si>
  <si>
    <t>3D-structure; Lipoyl; Mitochondrion; Transit peptide</t>
  </si>
  <si>
    <t>glycine decarboxylation via glycine cleavage system {GO:0019464}; protein lipoylation {GO:0009249}</t>
  </si>
  <si>
    <t>cytoplasm {GO:0005737}; glycine cleavage complex {GO:0005960}; mitochondrion {GO:0005739}</t>
  </si>
  <si>
    <t>aminomethyltransferase activity {GO:0004047}; enzyme binding {GO:0019899}</t>
  </si>
  <si>
    <t>Glyoxylate metabolism and glycine degradation {R-MMU-389661}; Glycine degradation {R-MMU-6783984}</t>
  </si>
  <si>
    <t>sp|Q9CXF4|TBC15_MOUSE</t>
  </si>
  <si>
    <t>TBC1 domain family member 15</t>
  </si>
  <si>
    <t>GTPase-activating protein RAB7 (GAP for RAB7; Rab7-GAP)</t>
  </si>
  <si>
    <t>TBC15_MOUSE</t>
  </si>
  <si>
    <t>Q9CXF4</t>
  </si>
  <si>
    <t>Q3UI41</t>
  </si>
  <si>
    <t>MGI:1913937</t>
  </si>
  <si>
    <t>Acetylation; Cytoplasm; GTPase activation; Phosphoprotein</t>
  </si>
  <si>
    <t>activation of GTPase activity {GO:0090630}; regulation of GTPase activity {GO:0043087}</t>
  </si>
  <si>
    <t>TBC/RABGAPs {R-MMU-8854214}</t>
  </si>
  <si>
    <t>sp|P10711|TCEA1_MOUSE</t>
  </si>
  <si>
    <t>Transcription elongation factor A protein 1</t>
  </si>
  <si>
    <t>Transcription elongation factor S-II protein 1; Transcription elongation factor TFIIS.o</t>
  </si>
  <si>
    <t>TCEA1_MOUSE</t>
  </si>
  <si>
    <t>P10711</t>
  </si>
  <si>
    <t>P10712; P23713</t>
  </si>
  <si>
    <t>Tceat</t>
  </si>
  <si>
    <t>MGI:1196624</t>
  </si>
  <si>
    <t>Acetylation; Alternative splicing; DNA-binding; Isopeptide bond; Metal-binding; Nucleus; Phosphoprotein; Transcription; Transcription regulation; Ubl conjugation; Zinc; Zinc-finger</t>
  </si>
  <si>
    <t>DNA-templated transcription {GO:0006351}; erythrocyte differentiation {GO:0030218}; positive regulation of DNA-templated transcription {GO:0045893}; positive regulation of transcription by RNA polymerase II {GO:0045944}; transcription elongation by RNA polymerase II promoter {GO:0006368}</t>
  </si>
  <si>
    <t>nucleolus {GO:0005730}; nucleoplasm {GO:0005654}; nucleus {GO:0005634}; transcription factor TFIID complex {GO:0005669}</t>
  </si>
  <si>
    <t>DNA binding {GO:0003677}; zinc ion binding {GO:0008270}</t>
  </si>
  <si>
    <t>Formation of RNA Pol II elongation complex {R-MMU-112382}; RNA Polymerase II Pre-transcription Events {R-MMU-674695}; Formation of TC-NER Pre-Incision Complex {R-MMU-6781823}; Dual incision in TC-NER {R-MMU-6782135}; Gap-filling DNA repair synthesis and ligation in TC-NER {R-MMU-6782210}; TP53 Regulates Transcription of DNA Repair Genes {R-MMU-6796648}; RNA Polymerase II Transcription Elongation {R-MMU-75955}</t>
  </si>
  <si>
    <t>sp|P35278|RAB5C_MOUSE</t>
  </si>
  <si>
    <t>Ras-related protein Rab-5C</t>
  </si>
  <si>
    <t>RAB5C_MOUSE</t>
  </si>
  <si>
    <t>P35278</t>
  </si>
  <si>
    <t>Q8R1V8; Q8R2N8</t>
  </si>
  <si>
    <t>MGI:105306</t>
  </si>
  <si>
    <t>3D-structure; Cell membrane; Endosome; GTP-binding; Hydrolase; Lipoprotein; Membrane; Nucleotide-binding; Phosphoprotein; Prenylation; Protein transport; Transport</t>
  </si>
  <si>
    <t>endocytosis {GO:0006897}; endosome organization {GO:0007032}; intracellular protein transport {GO:0006886}; plasma membrane to endosome transport {GO:0048227}; regulation of endocytosis {GO:0030100}</t>
  </si>
  <si>
    <t>anchored component of synaptic vesicle membrane {GO:0098993}; cytoplasmic vesicle {GO:0031410}; early endosome {GO:0005769}; early endosome membrane {GO:0031901}; endocytic vesicle {GO:0030139}; endosome {GO:0005768}; lipid droplet {GO:0005811}; melanosome {GO:0042470}; plasma membrane {GO:0005886}</t>
  </si>
  <si>
    <t>G protein activity {GO:0003925}; GDP binding {GO:0019003}; GTP binding {GO:0005525}; GTPase activity {GO:0003924}</t>
  </si>
  <si>
    <t>Golgi Associated Vesicle Biogenesis {R-MMU-432722}; Neutrophil degranulation {R-MMU-6798695}; Clathrin-mediated endocytosis {R-MMU-8856828}; RAB geranylgeranylation {R-MMU-8873719}; RAB GEFs exchange GTP for GDP on RABs {R-MMU-8876198}</t>
  </si>
  <si>
    <t>sp|Q80TV8|CLAP1_MOUSE</t>
  </si>
  <si>
    <t>CLIP-associating protein 1</t>
  </si>
  <si>
    <t>Cytoplasmic linker-associated protein 1</t>
  </si>
  <si>
    <t>CLAP1_MOUSE</t>
  </si>
  <si>
    <t>Q80TV8</t>
  </si>
  <si>
    <t>Q505G6; Q6DI75; Q6PG14; Q8BNS4; Q99JH5; Q99JI2; Q9CVU1</t>
  </si>
  <si>
    <t>Kiaa0622</t>
  </si>
  <si>
    <t>MGI:1923957</t>
  </si>
  <si>
    <t>Alternative splicing; Cell cycle; Cell division; Centromere; Chromosome; Coiled coil; Cytoplasm; Cytoskeleton; Golgi apparatus; Kinetochore; Microtubule; Mitosis; Phosphoprotein; Repeat</t>
  </si>
  <si>
    <t>Centromere; Chromosome; Cytoplasm; Cytoskeleton; Golgi apparatus; Kinetochore; Microtubule</t>
  </si>
  <si>
    <t>astral microtubule organization {GO:0030953}; cell division {GO:0051301}; establishment of mitotic spindle localization {GO:0040001}; establishment of spindle orientation {GO:0051294}; exit from mitosis {GO:0010458}; Golgi organization {GO:0007030}; microtubule anchoring {GO:0034453}; microtubule bundle formation {GO:0001578}; microtubule cytoskeleton organization {GO:0000226}; microtubule nucleation {GO:0007020}; microtubule organizing center organization {GO:0031023}; mitotic spindle assembly {GO:0090307}; mitotic spindle organization {GO:0007052}; negative regulation of microtubule depolymerization {GO:0007026}; negative regulation of microtubule polymerization or depolymerization {GO:0031111}; negative regulation of stress fiber assembly {GO:0051497}; negative regulation of wound healing, spreading of epidermal cells {GO:1903690}; positive regulation of basement membrane assembly involved in embryonic body morphogenesis {GO:1904261}; positive regulation of epithelial cell migration {GO:0010634}; positive regulation of exocytosis {GO:0045921}; positive regulation of extracellular matrix disassembly {GO:0090091}; regulation of epithelial to mesenchymal transition {GO:0010717}; regulation of focal adhesion assembly {GO:0051893}; regulation of gastrulation {GO:0010470}; regulation of microtubule cytoskeleton organization {GO:0070507}; vesicle targeting {GO:0006903}</t>
  </si>
  <si>
    <t>basal cortex {GO:0045180}; cell cortex {GO:0005938}; centrosomal corona {GO:0031592}; centrosome {GO:0005813}; cortical microtubule cytoskeleton {GO:0030981}; cytoplasm {GO:0005737}; cytoplasmic microtubule {GO:0005881}; focal adhesion {GO:0005925}; Golgi apparatus {GO:0005794}; kinetochore {GO:0000776}; kinetochore microtubule {GO:0005828}; microtubule cytoskeleton {GO:0015630}; microtubule organizing center {GO:0005815}; mitotic spindle {GO:0072686}; spindle microtubule {GO:0005876}</t>
  </si>
  <si>
    <t>dystroglycan binding {GO:0002162}; kinetochore binding {GO:0043515}; microtubule binding {GO:0008017}; microtubule plus-end binding {GO:0051010}</t>
  </si>
  <si>
    <t>sp|P47809|MP2K4_MOUSE</t>
  </si>
  <si>
    <t>Dual specificity mitogen-activated protein kinase kinase 4 (MAP kinase kinase 4; MAPKK 4)</t>
  </si>
  <si>
    <t>C-JUN N-terminal kinase kinase 1 (JNK kinase 1; JNKK 1); JNK-activating kinase 1; MAPK/ERK kinase 4 (MEK 4); SAPK/ERK kinase 1 (SEK1)</t>
  </si>
  <si>
    <t>MP2K4_MOUSE</t>
  </si>
  <si>
    <t>P47809</t>
  </si>
  <si>
    <t>Jnkk1; Mek4; Mkk4; Prkmk4; Sek1; Serk1; Skk1</t>
  </si>
  <si>
    <t>MGI:1346869</t>
  </si>
  <si>
    <t>Acetylation; Apoptosis; ATP-binding; Cytoplasm; Kinase; Methylation; Nucleotide-binding; Nucleus; Phosphoprotein; Serine/threonine-protein kinase; Stress response; Transferase; Tyrosine-protein kinase</t>
  </si>
  <si>
    <t>Apoptosis; Stress response</t>
  </si>
  <si>
    <t>apoptotic process {GO:0006915}; cell growth involved in cardiac muscle cell development {GO:0061049}; cellular response to mechanical stimulus {GO:0071260}; cellular response to sorbitol {GO:0072709}; JNK cascade {GO:0007254}; MAPK cascade {GO:0000165}; negative regulation of motor neuron apoptotic process {GO:2000672}; positive regulation of apoptotic process {GO:0043065}; positive regulation of DNA replication {GO:0045740}; positive regulation of JNK cascade {GO:0046330}; positive regulation of JUN kinase activity {GO:0043507}; positive regulation of neuron apoptotic process {GO:0043525}; positive regulation of nitric-oxide synthase biosynthetic process {GO:0051770}; positive regulation of protein phosphorylation {GO:0001934}; positive regulation of smooth muscle cell apoptotic process {GO:0034393}; protein phosphorylation {GO:0006468}; response to wounding {GO:0009611}</t>
  </si>
  <si>
    <t>axon {GO:0030424}; cytosol {GO:0005829}; dendrite cytoplasm {GO:0032839}; nucleus {GO:0005634}; perikaryon {GO:0043204}</t>
  </si>
  <si>
    <t>ATP binding {GO:0005524}; JUN kinase kinase activity {GO:0008545}; MAP kinase kinase activity {GO:0004708}; protein serine kinase activity {GO:0106310}; protein serine/threonine kinase activity {GO:0004674}; protein tyrosine kinase activity {GO:0004713}</t>
  </si>
  <si>
    <t>Oxidative Stress Induced Senescence {R-MMU-2559580}; FCERI mediated MAPK activation {R-MMU-2871796}; JNK (c-Jun kinases) phosphorylation and activation mediated by activated human TAK1 {R-MMU-450321}</t>
  </si>
  <si>
    <t>sp|Q8BSY0|ASPH_MOUSE</t>
  </si>
  <si>
    <t>Aspartyl/asparaginyl beta-hydroxylase</t>
  </si>
  <si>
    <t>Aspartate beta-hydroxylase (ASP beta-hydroxylase); Peptide-aspartate beta-dioxygenase</t>
  </si>
  <si>
    <t>ASPH_MOUSE</t>
  </si>
  <si>
    <t>Q8BSY0</t>
  </si>
  <si>
    <t>Q6P8S1; Q9EPA6; Q9EQ64</t>
  </si>
  <si>
    <t>Bah</t>
  </si>
  <si>
    <t>MGI:1914186</t>
  </si>
  <si>
    <t>Alternative splicing; Calcium; Dioxygenase; Disulfide bond; Endoplasmic reticulum; Glycoprotein; Iron; Membrane; Metal-binding; Oxidoreductase; Phosphoprotein; Repeat; Sarcoplasmic reticulum; Signal-anchor; TPR repeat; Transmembrane; Transmembrane helix</t>
  </si>
  <si>
    <t>Repeat; Signal-anchor; TPR repeat; Transmembrane; Transmembrane helix</t>
  </si>
  <si>
    <t>Calcium; Iron; Metal-binding</t>
  </si>
  <si>
    <t>activation of cysteine-type endopeptidase activity {GO:0097202}; activation of store-operated calcium channel activity {GO:0032237}; calcium ion homeostasis {GO:0055074}; calcium ion transmembrane transport {GO:0070588}; cell population proliferation {GO:0008283}; cellular response to calcium ion {GO:0071277}; face morphogenesis {GO:0060325}; limb morphogenesis {GO:0035108}; negative regulation of cell population proliferation {GO:0008285}; pattern specification process {GO:0007389}; peptidyl-aspartic acid hydroxylation {GO:0042264}; positive regulation of calcium ion transport into cytosol {GO:0010524}; positive regulation of DNA-templated transcription {GO:0045893}; positive regulation of intracellular protein transport {GO:0090316}; positive regulation of proteolysis {GO:0045862}; regulation of cytosolic calcium ion concentration {GO:0051480}; regulation of inositol 1,4,5-trisphosphate-sensitive calcium-release channel activity {GO:0031585}; regulation of protein depolymerization {GO:1901879}; regulation of protein stability {GO:0031647}; response to ATP {GO:0033198}; roof of mouth development {GO:0060021}</t>
  </si>
  <si>
    <t>cortical endoplasmic reticulum {GO:0032541}; cytoplasm {GO:0005737}; endoplasmic reticulum {GO:0005783}; integral component of endoplasmic reticulum membrane {GO:0030176}; integral component of membrane {GO:0016021}; plasma membrane {GO:0005886}; sarcoplasmic reticulum membrane {GO:0033017}</t>
  </si>
  <si>
    <t>calcium ion binding {GO:0005509}; peptidyl-aspartic acid 3-dioxygenase activity {GO:0062101}</t>
  </si>
  <si>
    <t>Stimuli-sensing channels {R-MMU-2672351}; Ion homeostasis {R-MMU-5578775}</t>
  </si>
  <si>
    <t>sp|O88441|MTX2_MOUSE</t>
  </si>
  <si>
    <t>Metaxin-2</t>
  </si>
  <si>
    <t>Mitochondrial outer membrane import complex protein 2</t>
  </si>
  <si>
    <t>MTX2_MOUSE</t>
  </si>
  <si>
    <t>O88441</t>
  </si>
  <si>
    <t>Q3TFR2</t>
  </si>
  <si>
    <t>MGI:1859652</t>
  </si>
  <si>
    <t>Acetylation; Membrane; Mitochondrion; Mitochondrion outer membrane; Protein transport; Transport</t>
  </si>
  <si>
    <t>mitochondrial transport {GO:0006839}; mitochondrion organization {GO:0007005}; protein transport {GO:0015031}</t>
  </si>
  <si>
    <t>cytoplasm {GO:0005737}; mitochondrion {GO:0005739}; nucleolus {GO:0005730}; SAM complex {GO:0001401}</t>
  </si>
  <si>
    <t>sp|Q6ZQ88|KDM1A_MOUSE</t>
  </si>
  <si>
    <t>Lysine-specific histone demethylase 1A</t>
  </si>
  <si>
    <t>BRAF35-HDAC complex protein BHC110; Flavin-containing amine oxidase domain-containing protein 2</t>
  </si>
  <si>
    <t>KDM1A_MOUSE</t>
  </si>
  <si>
    <t>Q6ZQ88</t>
  </si>
  <si>
    <t>A3KG94; Q6PB53; Q8VEA1</t>
  </si>
  <si>
    <t>Aof2; Kiaa0601; Lsd1</t>
  </si>
  <si>
    <t>MGI:1196256</t>
  </si>
  <si>
    <t>Chromatin regulator; Coiled coil; Developmental protein; FAD; Flavoprotein; Isopeptide bond; Nucleus; Oxidoreductase; Phosphoprotein; Repressor; Transcription; Transcription regulation; Ubl conjugation</t>
  </si>
  <si>
    <t>Chromatin regulator; Developmental protein; Oxidoreductase; Repressor</t>
  </si>
  <si>
    <t>cell differentiation {GO:0030154}; cellular response to gamma radiation {GO:0071480}; cellular response to UV {GO:0034644}; chromatin organization {GO:0006325}; granulocyte differentiation {GO:0030851}; guanine metabolic process {GO:0046098}; histone H3-K4 demethylation {GO:0034720}; histone H3-K9 demethylation {GO:0033169}; muscle cell development {GO:0055001}; negative regulation of DNA damage response, signal transduction by p53 class mediator {GO:0043518}; negative regulation of DNA-binding transcription factor activity {GO:0043433}; negative regulation of DNA-templated transcription {GO:0045892}; negative regulation of histone H3-K4 methylation {GO:0051572}; negative regulation of histone H3-K9 methylation {GO:0051573}; negative regulation of intrinsic apoptotic signaling pathway in response to DNA damage by p53 class mediator {GO:1902166}; negative regulation of neurogenesis {GO:0050768}; negative regulation of protein binding {GO:0032091}; negative regulation of transcription by RNA polymerase II {GO:0000122}; neuron projection extension {GO:1990138}; pituitary gland development {GO:0021983}; positive regulation of cell size {GO:0045793}; positive regulation of chromatin binding {GO:0035563}; positive regulation of cold-induced thermogenesis {GO:0120162}; positive regulation of DNA-binding transcription factor activity {GO:0051091}; positive regulation of erythrocyte differentiation {GO:0045648}; positive regulation of histone ubiquitination {GO:0033184}; positive regulation of megakaryocyte differentiation {GO:0045654}; positive regulation of neural precursor cell proliferation {GO:2000179}; positive regulation of neuroblast proliferation {GO:0002052}; positive regulation of neuron projection development {GO:0010976}; positive regulation of stem cell proliferation {GO:2000648}; positive regulation of transcription by RNA polymerase II {GO:0045944}; protein demethylation {GO:0006482}; regulation of DNA methylation-dependent heterochromatin assembly {GO:0090308}; regulation of double-strand break repair via homologous recombination {GO:0010569}; regulation of neurogenesis {GO:0050767}; regulation of primitive erythrocyte differentiation {GO:0010725}; regulation of protein localization {GO:0032880}; regulation of transcription by RNA polymerase II {GO:0006357}; transcription by RNA polymerase II {GO:0006366}</t>
  </si>
  <si>
    <t>chromatin {GO:0000785}; chromosome, telomeric region {GO:0000781}; DNA repair complex {GO:1990391}; nucleoplasm {GO:0005654}; nucleus {GO:0005634}; protein-containing complex {GO:0032991}</t>
  </si>
  <si>
    <t>chromatin binding {GO:0003682}; demethylase activity {GO:0032451}; DNA-binding transcription factor binding {GO:0140297}; enzyme binding {GO:0019899}; flavin adenine dinucleotide binding {GO:0050660}; histone demethylase activity {GO:0032452}; histone H3-di/monomethyl-lysine-4 FAD-dependent demethylase activity {GO:0140682}; histone H3-methyl-lysine-4 demethylase activity {GO:0032453}; histone H3-methyl-lysine-9 demethylase activity {GO:0032454}; lncRNA binding {GO:0106222}; MRF binding {GO:0043426}; nuclear androgen receptor binding {GO:0050681}; nuclear receptor coactivator activity {GO:0030374}; oxidoreductase activity {GO:0016491}; p53 binding {GO:0002039}; promoter-specific chromatin binding {GO:1990841}; RNA polymerase II cis-regulatory region sequence-specific DNA binding {GO:0000978}; RNA polymerase II-specific DNA-binding transcription factor binding {GO:0061629}; telomeric repeat-containing RNA binding {GO:0061752}</t>
  </si>
  <si>
    <t>HDACs deacetylate histones {R-MMU-3214815}; HDMs demethylate histones {R-MMU-3214842}; Estrogen-dependent gene expression {R-MMU-9018519}; Factors involved in megakaryocyte development and platelet production {R-MMU-983231}</t>
  </si>
  <si>
    <t>sp|Q8VHI3|OFUT2_MOUSE</t>
  </si>
  <si>
    <t>GDP-fucose protein O-fucosyltransferase 2</t>
  </si>
  <si>
    <t>Peptide-O-fucosyltransferase 2 (O-FucT-2)</t>
  </si>
  <si>
    <t>OFUT2_MOUSE</t>
  </si>
  <si>
    <t>Q8VHI3</t>
  </si>
  <si>
    <t>Q8VEM2; Q9CV66</t>
  </si>
  <si>
    <t>MGI:1916863</t>
  </si>
  <si>
    <t>Carbohydrate metabolism; Disulfide bond; Endoplasmic reticulum; Fucose metabolism; Glycoprotein; Glycosyltransferase; Golgi apparatus; Signal; Transferase</t>
  </si>
  <si>
    <t>Carbohydrate metabolism; Fucose metabolism</t>
  </si>
  <si>
    <t>fucose metabolic process {GO:0006004}; fucosylation {GO:0036065}; mesoderm formation {GO:0001707}; positive regulation of protein folding {GO:1903334}; protein O-linked fucosylation {GO:0036066}; regulation of epithelial to mesenchymal transition {GO:0010717}; regulation of gene expression {GO:0010468}; regulation of secretion {GO:0051046}</t>
  </si>
  <si>
    <t>endoplasmic reticulum {GO:0005783}; Golgi apparatus {GO:0005794}</t>
  </si>
  <si>
    <t>fucosyltransferase activity {GO:0008417}; peptide-O-fucosyltransferase activity {GO:0046922}</t>
  </si>
  <si>
    <t>sp|Q9CQJ6|DENR_MOUSE</t>
  </si>
  <si>
    <t>Density-regulated protein (DRP)</t>
  </si>
  <si>
    <t>DENR_MOUSE</t>
  </si>
  <si>
    <t>Q9CQJ6</t>
  </si>
  <si>
    <t>Q3UXY1</t>
  </si>
  <si>
    <t>MGI:1915434</t>
  </si>
  <si>
    <t>Acetylation; Initiation factor; Phosphoprotein; Protein biosynthesis</t>
  </si>
  <si>
    <t>formation of translation preinitiation complex {GO:0001731}; IRES-dependent viral translational initiation {GO:0075522}; ribosome disassembly {GO:0032790}; translation reinitiation {GO:0002188}</t>
  </si>
  <si>
    <t>mRNA binding {GO:0003729}; translation initiation factor activity {GO:0003743}</t>
  </si>
  <si>
    <t>sp|P28867|KPCD_MOUSE</t>
  </si>
  <si>
    <t>Protein kinase C delta type catalytic subunit</t>
  </si>
  <si>
    <t>Tyrosine-protein kinase PRKCD; nPKC-delta; Sphingosine-dependent protein kinase-1 (SDK1)</t>
  </si>
  <si>
    <t>KPCD_MOUSE</t>
  </si>
  <si>
    <t>P28867</t>
  </si>
  <si>
    <t>Q91V85; Q9Z333</t>
  </si>
  <si>
    <t>Pkcd</t>
  </si>
  <si>
    <t>MGI:97598</t>
  </si>
  <si>
    <t>3D-structure; Alternative splicing; Apoptosis; ATP-binding; Cell cycle; Cell membrane; Cytoplasm; Kinase; Membrane; Metal-binding; Mitochondrion; Nucleotide-binding; Nucleus; Phosphoprotein; Repeat; Serine/threonine-protein kinase; Transferase; Tumor suppressor; Zinc; Zinc-finger</t>
  </si>
  <si>
    <t>activation of protein kinase activity {GO:0032147}; apoptotic process {GO:0006915}; B cell proliferation {GO:0042100}; cell chemotaxis {GO:0060326}; cell cycle {GO:0007049}; cellular response to angiotensin {GO:1904385}; cellular response to hydrogen peroxide {GO:0070301}; cellular response to hydroperoxide {GO:0071447}; cellular response to oxidative stress {GO:0034599}; cellular response to UV {GO:0034644}; cellular senescence {GO:0090398}; collagen metabolic process {GO:0032963}; D-aspartate import across plasma membrane {GO:0070779}; defense response to bacterium {GO:0042742}; immunoglobulin mediated immune response {GO:0016064}; intracellular signal transduction {GO:0035556}; negative regulation of actin filament polymerization {GO:0030837}; negative regulation of filopodium assembly {GO:0051490}; negative regulation of glial cell apoptotic process {GO:0034351}; negative regulation of insulin receptor signaling pathway {GO:0046627}; negative regulation of MAP kinase activity {GO:0043407}; negative regulation of peptidyl-tyrosine phosphorylation {GO:0050732}; negative regulation of platelet aggregation {GO:0090331}; neutrophil activation {GO:0042119}; peptidyl-serine phosphorylation {GO:0018105}; peptidyl-threonine phosphorylation {GO:0018107}; positive regulation of apoptotic process {GO:0043065}; positive regulation of apoptotic signaling pathway {GO:2001235}; positive regulation of ceramide biosynthetic process {GO:2000304}; positive regulation of endodeoxyribonuclease activity {GO:0032079}; positive regulation of glucose import {GO:0046326}; positive regulation of glucosylceramide catabolic process {GO:2000753}; positive regulation of MAP kinase activity {GO:0043406}; positive regulation of MAPK cascade {GO:0043410}; positive regulation of phospholipid scramblase activity {GO:1900163}; positive regulation of protein dephosphorylation {GO:0035307}; positive regulation of protein import into nucleus {GO:0042307}; positive regulation of response to DNA damage stimulus {GO:2001022}; positive regulation of sphingomyelin catabolic process {GO:2000755}; positive regulation of superoxide anion generation {GO:0032930}; post-translational protein modification {GO:0043687}; protein autophosphorylation {GO:0046777}; protein phosphorylation {GO:0006468}; regulation of actin cytoskeleton organization {GO:0032956}; regulation of ceramide biosynthetic process {GO:2000303}; regulation of phosphorylation {GO:0042325}; response to oxidative stress {GO:0006979}; termination of signal transduction {GO:0023021}</t>
  </si>
  <si>
    <t>cell-cell junction {GO:0005911}; cytoplasm {GO:0005737}; cytosol {GO:0005829}; endolysosome {GO:0036019}; endoplasmic reticulum {GO:0005783}; membrane {GO:0016020}; mitochondrion {GO:0005739}; nuclear matrix {GO:0016363}; nucleus {GO:0005634}; perinuclear region of cytoplasm {GO:0048471}; plasma membrane {GO:0005886}; postsynaptic cytosol {GO:0099524}</t>
  </si>
  <si>
    <t>ATP binding {GO:0005524}; calcium-dependent protein kinase C activity {GO:0004698}; calcium-independent protein kinase C activity {GO:0004699}; enzyme activator activity {GO:0008047}; enzyme binding {GO:0019899}; insulin receptor substrate binding {GO:0043560}; metal ion binding {GO:0046872}; non-membrane spanning protein tyrosine kinase activity {GO:0004715}; protein kinase activity {GO:0004672}; protein kinase binding {GO:0019901}; protein kinase C activity {GO:0004697}; protein serine kinase activity {GO:0106310}; protein serine/threonine kinase activity {GO:0004674}; TIR domain binding {GO:0070976}</t>
  </si>
  <si>
    <t>Apoptotic cleavage of cellular proteins {R-MMU-111465}; Calmodulin induced events {R-MMU-111933}; Effects of PIP2 hydrolysis {R-MMU-114508}; SHC1 events in ERBB2 signaling {R-MMU-1250196}; DAG and IP3 signaling {R-MMU-1489509}; Role of phospholipids in phagocytosis {R-MMU-2029485}; HuR (ELAVL1) binds and stabilizes mRNA {R-MMU-450520}; VEGFR2 mediated cell proliferation {R-MMU-5218921}; CLEC7A (Dectin-1) signaling {R-MMU-5607764}; RHO GTPases Activate NADPH Oxidases {R-MMU-5668599}; Neutrophil degranulation {R-MMU-6798695}; Interferon gamma signaling {R-MMU-877300}</t>
  </si>
  <si>
    <t>sp|Q99P31|HPBP1_MOUSE</t>
  </si>
  <si>
    <t>Hsp70-binding protein 1 (HspBP1)</t>
  </si>
  <si>
    <t>Heat shock protein-binding protein 1; Hsp70-interacting protein 1</t>
  </si>
  <si>
    <t>HPBP1_MOUSE</t>
  </si>
  <si>
    <t>Q99P31</t>
  </si>
  <si>
    <t>Q9CYV8</t>
  </si>
  <si>
    <t>Hspbp</t>
  </si>
  <si>
    <t>MGI:1913495</t>
  </si>
  <si>
    <t>Phosphoprotein; Repeat</t>
  </si>
  <si>
    <t>positive regulation of proteasomal ubiquitin-dependent protein catabolic process {GO:0032436}; positive regulation of protein ubiquitination {GO:0031398}</t>
  </si>
  <si>
    <t>adenyl-nucleotide exchange factor activity {GO:0000774}; ubiquitin protein ligase binding {GO:0031625}</t>
  </si>
  <si>
    <t>sp|B9EJR8|DAAF5_MOUSE</t>
  </si>
  <si>
    <t>sp|Q80YR5|SAFB2_MOUSE</t>
  </si>
  <si>
    <t>Scaffold attachment factor B2 (SAF-B2)</t>
  </si>
  <si>
    <t>SAFB2_MOUSE</t>
  </si>
  <si>
    <t>Q80YR5</t>
  </si>
  <si>
    <t>Q8K153</t>
  </si>
  <si>
    <t>MGI:2146808</t>
  </si>
  <si>
    <t>Acetylation; Cytoplasm; DNA-binding; Isopeptide bond; Methylation; Nucleus; Phosphoprotein; Repressor; RNA-binding; Transcription; Transcription regulation; Ubl conjugation</t>
  </si>
  <si>
    <t>regulation of androgen receptor signaling pathway {GO:0060765}; regulation of mRNA processing {GO:0050684}; regulation of transcription by RNA polymerase II {GO:0006357}; Sertoli cell differentiation {GO:0060008}</t>
  </si>
  <si>
    <t>cytoplasm {GO:0005737}; intracellular membrane-bounded organelle {GO:0043231}; nuclear body {GO:0016604}; nucleoplasm {GO:0005654}; nucleus {GO:0005634}</t>
  </si>
  <si>
    <t>identical protein binding {GO:0042802}; RNA binding {GO:0003723}; sequence-specific DNA binding {GO:0043565}</t>
  </si>
  <si>
    <t>sp|Q9D7H3|RTCA_MOUSE</t>
  </si>
  <si>
    <t>RNA 3'-terminal phosphate cyclase (RNA cyclase; RNA-3'-phosphate cyclase)</t>
  </si>
  <si>
    <t>RNA terminal phosphate cyclase domain-containing protein 1</t>
  </si>
  <si>
    <t>RTCA_MOUSE</t>
  </si>
  <si>
    <t>Q9D7H3</t>
  </si>
  <si>
    <t>Q3TVV2</t>
  </si>
  <si>
    <t>Rpc1; Rtcd1</t>
  </si>
  <si>
    <t>MGI:1913618</t>
  </si>
  <si>
    <t>ATP-binding; Ligase; Nucleotide-binding; Nucleus</t>
  </si>
  <si>
    <t>RNA processing {GO:0006396}</t>
  </si>
  <si>
    <t>ATP binding {GO:0005524}; RNA-3'-phosphate cyclase activity {GO:0003963}</t>
  </si>
  <si>
    <t>sp|Q8BXZ1|TMX3_MOUSE</t>
  </si>
  <si>
    <t>Protein disulfide-isomerase TMX3</t>
  </si>
  <si>
    <t>Thioredoxin domain-containing protein 10; Thioredoxin-related transmembrane protein 3</t>
  </si>
  <si>
    <t>TMX3_MOUSE</t>
  </si>
  <si>
    <t>Q8BXZ1</t>
  </si>
  <si>
    <t>Q3US84; Q6PGA1; Q6ZPH5; Q8BZB8</t>
  </si>
  <si>
    <t>Kiaa1830; Txndc10</t>
  </si>
  <si>
    <t>MGI:2442418</t>
  </si>
  <si>
    <t>Disulfide bond; Endoplasmic reticulum; Glycoprotein; Isomerase; Membrane; Redox-active center; Signal; Transmembrane; Transmembrane helix</t>
  </si>
  <si>
    <t>peptidyl-cysteine oxidation {GO:0018171}</t>
  </si>
  <si>
    <t>cell surface {GO:0009986}; endoplasmic reticulum {GO:0005783}; endoplasmic reticulum membrane {GO:0005789}; integral component of membrane {GO:0016021}</t>
  </si>
  <si>
    <t>sp|Q9DCT5|SDF2_MOUSE</t>
  </si>
  <si>
    <t>Stromal cell-derived factor 2 (SDF-2)</t>
  </si>
  <si>
    <t>SDF2_MOUSE</t>
  </si>
  <si>
    <t>Q9DCT5</t>
  </si>
  <si>
    <t>P97307</t>
  </si>
  <si>
    <t>MGI:108019</t>
  </si>
  <si>
    <t>Repeat; Secreted; Signal</t>
  </si>
  <si>
    <t>chaperone complex {GO:0101031}; endoplasmic reticulum {GO:0005783}; extracellular region {GO:0005576}</t>
  </si>
  <si>
    <t>misfolded protein binding {GO:0051787}</t>
  </si>
  <si>
    <t>sp|Q9CR62|M2OM_MOUSE</t>
  </si>
  <si>
    <t>Mitochondrial 2-oxoglutarate/malate carrier protein (OGCP; alpha-oxoglutarate carrier)</t>
  </si>
  <si>
    <t>Solute carrier family 25 member 11 (SLC25A11)</t>
  </si>
  <si>
    <t>M2OM_MOUSE</t>
  </si>
  <si>
    <t>Q9CR62</t>
  </si>
  <si>
    <t>MGI:1915113</t>
  </si>
  <si>
    <t>Acetylation; Antiport; Lipid transport; Membrane; Mitochondrion; Mitochondrion inner membrane; Phosphoprotein; Repeat; Transmembrane; Transmembrane helix; Transport</t>
  </si>
  <si>
    <t>Antiport; Lipid transport; Transport</t>
  </si>
  <si>
    <t>malate transmembrane transport {GO:0071423}; oxaloacetate transport {GO:0015729}; phosphate ion transmembrane transport {GO:0035435}; succinate transmembrane transport {GO:0071422}; sulfate transport {GO:0008272}; thiosulfate transport {GO:0015709}</t>
  </si>
  <si>
    <t>integral component of membrane {GO:0016021}; mitochondrial inner membrane {GO:0005743}; mitochondrion {GO:0005739}</t>
  </si>
  <si>
    <t>alpha-ketoglutarate transmembrane transporter activity {GO:0015139}; antiporter activity {GO:0015297}; malate transmembrane transporter activity {GO:0015140}; oxaloacetate transmembrane transporter activity {GO:0015131}; succinate transmembrane transporter activity {GO:0015141}; sulfate transmembrane transporter activity {GO:0015116}; thiosulfate transmembrane transporter activity {GO:0015117}; transmembrane transporter activity {GO:0022857}</t>
  </si>
  <si>
    <t>sp|P50543|S10AB_MOUSE</t>
  </si>
  <si>
    <t>Protein S100-A11</t>
  </si>
  <si>
    <t>Calgizzarin; Endothelial monocyte-activating polypeptide (EMAP); Protein S100-C; S100 calcium-binding protein A11</t>
  </si>
  <si>
    <t>S10AB_MOUSE</t>
  </si>
  <si>
    <t>P50543</t>
  </si>
  <si>
    <t>Q545S1</t>
  </si>
  <si>
    <t>S100c</t>
  </si>
  <si>
    <t>MGI:1338798</t>
  </si>
  <si>
    <t>Acetylation; Calcium; Cytoplasm; Disulfide bond; Metal-binding; Nucleus; Phosphoprotein; Repeat</t>
  </si>
  <si>
    <t>positive regulation of smooth muscle cell migration {GO:0014911}; regulation of cell population proliferation {GO:0042127}</t>
  </si>
  <si>
    <t>collagen-containing extracellular matrix {GO:0062023}; cytoplasm {GO:0005737}; extracellular space {GO:0005615}; nucleus {GO:0005634}; ruffle {GO:0001726}</t>
  </si>
  <si>
    <t>calcium ion binding {GO:0005509}; calcium-dependent protein binding {GO:0048306}; protein homodimerization activity {GO:0042803}; S100 protein binding {GO:0044548}</t>
  </si>
  <si>
    <t>tr|O35176|O35176_MOUSE</t>
  </si>
  <si>
    <t>sp|Q9EPE9|AT131_MOUSE</t>
  </si>
  <si>
    <t>Endoplasmic reticulum transmembrane helix translocase</t>
  </si>
  <si>
    <t>Endoplasmic reticulum P5A-ATPase</t>
  </si>
  <si>
    <t>AT131_MOUSE</t>
  </si>
  <si>
    <t>Q9EPE9</t>
  </si>
  <si>
    <t>B2RS54</t>
  </si>
  <si>
    <t>MGI:2180801</t>
  </si>
  <si>
    <t>ATP-binding; Endoplasmic reticulum; Glycoprotein; Magnesium; Membrane; Metal-binding; Nucleotide-binding; Phosphoprotein; Protein transport; Translocase; Transmembrane; Transmembrane helix; Transport</t>
  </si>
  <si>
    <t>cellular calcium ion homeostasis {GO:0006874}; extraction of mislocalized protein from ER membrane {GO:0140569}; protein transport {GO:0015031}; transmembrane transport {GO:0055085}</t>
  </si>
  <si>
    <t>endoplasmic reticulum membrane {GO:0005789}; integral component of endoplasmic reticulum membrane {GO:0030176}; membrane {GO:0016020}</t>
  </si>
  <si>
    <t>ATP binding {GO:0005524}; ATP hydrolysis activity {GO:0016887}; ATPase-coupled cation transmembrane transporter activity {GO:0019829}; metal ion binding {GO:0046872}; P-type ion transporter activity {GO:0015662}; transmembrane protein dislocase activity {GO:0140567}</t>
  </si>
  <si>
    <t>Ion transport by P-type ATPases {R-MMU-936837}</t>
  </si>
  <si>
    <t>sp|O35927|CTND2_MOUSE</t>
  </si>
  <si>
    <t>Catenin delta-2</t>
  </si>
  <si>
    <t>Neural plakophilin-related ARM-repeat protein (NPRAP); Neurojungin</t>
  </si>
  <si>
    <t>CTND2_MOUSE</t>
  </si>
  <si>
    <t>O35927</t>
  </si>
  <si>
    <t>B2RR80</t>
  </si>
  <si>
    <t>Catnd2; Nprap</t>
  </si>
  <si>
    <t>MGI:1195966</t>
  </si>
  <si>
    <t>Alternative splicing; Cell adhesion; Cell junction; Cell projection; Coiled coil; Developmental protein; Glycoprotein; Methylation; Nucleus; Phosphoprotein; Repeat; Transcription; Transcription regulation</t>
  </si>
  <si>
    <t>Cell adhesion; Transcription; Transcription regulation</t>
  </si>
  <si>
    <t>Cell junction; Cell projection; Nucleus</t>
  </si>
  <si>
    <t>cell-cell adhesion {GO:0098609}; cell-cell junction assembly {GO:0007043}; dendritic spine morphogenesis {GO:0060997}; learning {GO:0007612}; morphogenesis of a branching structure {GO:0001763}; regulation of canonical Wnt signaling pathway {GO:0060828}; regulation of synaptic plasticity {GO:0048167}; synapse organization {GO:0050808}</t>
  </si>
  <si>
    <t>adherens junction {GO:0005912}; cytoplasm {GO:0005737}; dendrite {GO:0030425}; neuron projection {GO:0043005}; nucleus {GO:0005634}; perikaryon {GO:0043204}; plasma membrane {GO:0005886}; postsynaptic density {GO:0014069}</t>
  </si>
  <si>
    <t>beta-catenin binding {GO:0008013}; cadherin binding {GO:0045296}</t>
  </si>
  <si>
    <t>sp|Q80U72|SCRIB_MOUSE</t>
  </si>
  <si>
    <t>Protein scribble homolog (Scribble)</t>
  </si>
  <si>
    <t>Protein LAP4</t>
  </si>
  <si>
    <t>SCRIB_MOUSE</t>
  </si>
  <si>
    <t>Q80U72</t>
  </si>
  <si>
    <t>Q6P5H7; Q7TPH8; Q80VB1; Q8CI48; Q8VII1; Q922S3</t>
  </si>
  <si>
    <t>Kiaa0147; Lap4; Scrib1</t>
  </si>
  <si>
    <t>MGI:2145950</t>
  </si>
  <si>
    <t>Alternative splicing; Cell junction; Cell membrane; Cell projection; Coiled coil; Cytoplasm; Developmental protein; Differentiation; Leucine-rich repeat; Lipoprotein; Membrane; Methylation; Palmitate; Phosphoprotein; Repeat; Synapse; Ubl conjugation</t>
  </si>
  <si>
    <t>Cell junction; Cell membrane; Cell projection; Cytoplasm; Membrane; Synapse</t>
  </si>
  <si>
    <t>Lipoprotein; Methylation; Palmitate; Phosphoprotein; Ubl conjugation</t>
  </si>
  <si>
    <t>activation of GTPase activity {GO:0090630}; apoptotic process involved in morphogenesis {GO:0060561}; astrocyte cell migration {GO:0043615}; auditory receptor cell morphogenesis {GO:0002093}; auditory receptor cell stereocilium organization {GO:0060088}; camera-type eye morphogenesis {GO:0048593}; cell migration {GO:0016477}; cell population proliferation {GO:0008283}; cell-cell adhesion {GO:0098609}; cochlear nucleus development {GO:0021747}; epithelial cell morphogenesis {GO:0003382}; establishment of apical/basal cell polarity {GO:0035089}; establishment of T cell polarity {GO:0001768}; establishment or maintenance of epithelial cell apical/basal polarity {GO:0045197}; inner ear receptor cell stereocilium organization {GO:0060122}; mammary gland duct morphogenesis {GO:0060603}; morphogenesis of embryonic epithelium {GO:0016331}; negative regulation of activated T cell proliferation {GO:0046007}; negative regulation of mitotic cell cycle {GO:0045930}; negative regulation of translational initiation {GO:0045947}; neural tube closure {GO:0001843}; neurotransmitter receptor transport postsynaptic membrane to endosome {GO:0098968}; neurotransmitter receptor transport, endosome to postsynaptic membrane {GO:0098887}; polarized epithelial cell differentiation {GO:0030859}; positive chemotaxis {GO:0050918}; positive regulation of apoptotic process {GO:0043065}; positive regulation of interferon-gamma production {GO:0032729}; positive regulation of receptor recycling {GO:0001921}; post-anal tail morphogenesis {GO:0036342}; protein localization {GO:0008104}; protein localization to adherens junction {GO:0071896}; receptor clustering {GO:0043113}; receptor localization to synapse {GO:0097120}; regulation of postsynaptic neurotransmitter receptor internalization {GO:0099149}; synaptic vesicle endocytosis {GO:0048488}; synaptic vesicle targeting {GO:0016080}; vesicle-mediated transport in synapse {GO:0099003}; wound healing {GO:0042060}</t>
  </si>
  <si>
    <t>adherens junction {GO:0005912}; apical plasma membrane {GO:0016324}; basolateral plasma membrane {GO:0016323}; cell junction {GO:0030054}; cell leading edge {GO:0031252}; cell-cell contact zone {GO:0044291}; cell-cell junction {GO:0005911}; cytoplasm {GO:0005737}; cytosol {GO:0005829}; extrinsic component of postsynaptic density membrane {GO:0099147}; glutamatergic synapse {GO:0098978}; immunological synapse {GO:0001772}; lamellipodium {GO:0030027}; myelin sheath abaxonal region {GO:0035748}; nucleoplasm {GO:0005654}; plasma membrane {GO:0005886}; postsynaptic density {GO:0014069}; postsynaptic membrane {GO:0045211}; presynaptic membrane {GO:0042734}; Scrib-APC-beta-catenin complex {GO:0034750}</t>
  </si>
  <si>
    <t>RHOQ GTPase cycle {R-MMU-9013406}; RND3 GTPase cycle {R-MMU-9696264}; RND2 GTPase cycle {R-MMU-9696270}</t>
  </si>
  <si>
    <t>sp|Q9Z2I0|LETM1_MOUSE</t>
  </si>
  <si>
    <t>Mitochondrial proton/calcium exchanger protein</t>
  </si>
  <si>
    <t>Leucine zipper-EF-hand-containing transmembrane protein 1</t>
  </si>
  <si>
    <t>LETM1_MOUSE</t>
  </si>
  <si>
    <t>Q9Z2I0</t>
  </si>
  <si>
    <t>Q5PQC5; Q7TMK8; Q80ZX6; Q8CGJ3; Q8K5E5</t>
  </si>
  <si>
    <t>MGI:1932557</t>
  </si>
  <si>
    <t>Acetylation; Antiport; Calcium; Calcium transport; Coiled coil; Ion transport; Membrane; Metal-binding; Mitochondrion; Mitochondrion inner membrane; Transit peptide; Transmembrane; Transmembrane helix; Transport</t>
  </si>
  <si>
    <t>Antiport; Calcium transport; Ion transport; Transport</t>
  </si>
  <si>
    <t>calcium export from the mitochondrion {GO:0099093}; cellular metal ion homeostasis {GO:0006875}; cristae formation {GO:0042407}; mitochondrial calcium ion homeostasis {GO:0051560}; mitochondrial calcium ion transmembrane transport {GO:0006851}; negative regulation of mitochondrial calcium ion concentration {GO:0051562}; protein hexamerization {GO:0034214}; protein homooligomerization {GO:0051260}; regulation of cellular hyperosmotic salinity response {GO:1900069}</t>
  </si>
  <si>
    <t>calcium:proton antiporter activity {GO:0015369}; metal ion binding {GO:0046872}; ribosome binding {GO:0043022}</t>
  </si>
  <si>
    <t>sp|Q8R4X3|RBM12_MOUSE</t>
  </si>
  <si>
    <t>RNA-binding protein 12</t>
  </si>
  <si>
    <t>RNA-binding motif protein 12; SH3/WW domain anchor protein in the nucleus (SWAN)</t>
  </si>
  <si>
    <t>RBM12_MOUSE</t>
  </si>
  <si>
    <t>Q8R4X3</t>
  </si>
  <si>
    <t>B6ICZ5; Q3TKT7; Q7TT14; Q8K373; Q8R302; Q9CS80</t>
  </si>
  <si>
    <t>MGI:1922960</t>
  </si>
  <si>
    <t>3D-structure; Nucleus; Phosphoprotein; Repeat; RNA-binding</t>
  </si>
  <si>
    <t>nucleoplasm {GO:0005654}; ribonucleoprotein complex {GO:1990904}</t>
  </si>
  <si>
    <t>sp|O35551|RABE1_MOUSE</t>
  </si>
  <si>
    <t>Rab GTPase-binding effector protein 1</t>
  </si>
  <si>
    <t>Rabaptin-5; Rabaptin-5alpha</t>
  </si>
  <si>
    <t>RABE1_MOUSE</t>
  </si>
  <si>
    <t>O35551</t>
  </si>
  <si>
    <t>A1L322; Q5QNU3; Q99L08; Q9CRP3; Q9EQF9; Q9JI94</t>
  </si>
  <si>
    <t>Rab5ep; Rabpt5; Rabpt5a</t>
  </si>
  <si>
    <t>MGI:1860236</t>
  </si>
  <si>
    <t>Acetylation; Alternative splicing; Apoptosis; Coiled coil; Cytoplasm; Cytoplasmic vesicle; Endocytosis; Endosome; Phosphoprotein; Protein transport; Transport</t>
  </si>
  <si>
    <t>Apoptosis; Endocytosis; Protein transport; Transport</t>
  </si>
  <si>
    <t>Cytoplasm; Cytoplasmic vesicle; Endosome</t>
  </si>
  <si>
    <t>apoptotic process {GO:0006915}; endocytosis {GO:0006897}; Golgi to plasma membrane transport {GO:0006893}; protein localization to ciliary membrane {GO:1903441}; protein transport {GO:0015031}; vesicle-mediated transport {GO:0016192}</t>
  </si>
  <si>
    <t>early endosome {GO:0005769}; endocytic vesicle {GO:0030139}; endosome {GO:0005768}; intracellular membrane-bounded organelle {GO:0043231}; protein-containing complex {GO:0032991}; recycling endosome {GO:0055037}</t>
  </si>
  <si>
    <t>growth factor activity {GO:0008083}; GTPase activator activity {GO:0005096}; protein domain specific binding {GO:0019904}; protein homodimerization activity {GO:0042803}</t>
  </si>
  <si>
    <t>tr|A0A8I4SYN6|A0A8I4SYN6_MOUSE</t>
  </si>
  <si>
    <t>sp|Q8VE62|PAIP1_MOUSE</t>
  </si>
  <si>
    <t>Polyadenylate-binding protein-interacting protein 1 (PABP-interacting protein 1; PAIP-1; Poly(A)-binding protein-interacting protein 1)</t>
  </si>
  <si>
    <t>PAIP1_MOUSE</t>
  </si>
  <si>
    <t>Q8VE62</t>
  </si>
  <si>
    <t>Q9WUC9</t>
  </si>
  <si>
    <t>MGI:2384993</t>
  </si>
  <si>
    <t>Cytoplasm; Translation regulation</t>
  </si>
  <si>
    <t>CRD-mediated mRNA stabilization {GO:0070934}; negative regulation of nuclear-transcribed mRNA catabolic process, deadenylation-dependent decay {GO:1900152}; positive regulation of cytoplasmic translation {GO:2000767}; regulation of translational initiation {GO:0006446}</t>
  </si>
  <si>
    <t>cytosol {GO:0005829}; mCRD-mediated mRNA stability complex {GO:0106002}</t>
  </si>
  <si>
    <t>RNA binding {GO:0003723}; translation activator activity {GO:0008494}</t>
  </si>
  <si>
    <t>Deadenylation of mRNA {R-MMU-429947}</t>
  </si>
  <si>
    <t>sp|Q9CR98|F136A_MOUSE</t>
  </si>
  <si>
    <t>Protein FAM136A</t>
  </si>
  <si>
    <t>F136A_MOUSE</t>
  </si>
  <si>
    <t>Q9CR98</t>
  </si>
  <si>
    <t>Q91YY1</t>
  </si>
  <si>
    <t>MGI:1913738</t>
  </si>
  <si>
    <t>sp|Q9EQC5|SCYL1_MOUSE</t>
  </si>
  <si>
    <t>N-terminal kinase-like protein</t>
  </si>
  <si>
    <t>105 kDa kinase-like protein; Mitosis-associated kinase-like protein NTKL; SCY1-like protein 1</t>
  </si>
  <si>
    <t>SCYL1_MOUSE</t>
  </si>
  <si>
    <t>Q9EQC5</t>
  </si>
  <si>
    <t>Q3TST7; Q3UKU0; Q8K222</t>
  </si>
  <si>
    <t>MGI:1931787</t>
  </si>
  <si>
    <t>Coiled coil; Cytoplasm; Cytoskeleton; ER-Golgi transport; Golgi apparatus; Phosphoprotein; Repeat; Transport</t>
  </si>
  <si>
    <t>inflammatory response {GO:0006954}; neuron development {GO:0048666}; protein localization {GO:0008104}; protein phosphorylation {GO:0006468}; retrograde vesicle-mediated transport, Golgi to endoplasmic reticulum {GO:0006890}; spinal cord motor neuron differentiation {GO:0021522}</t>
  </si>
  <si>
    <t>cis-Golgi network {GO:0005801}; COPI vesicle coat {GO:0030126}; cytoplasm {GO:0005737}; cytosol {GO:0005829}; endoplasmic reticulum-Golgi intermediate compartment {GO:0005793}; Golgi apparatus {GO:0005794}; microtubule organizing center {GO:0005815}</t>
  </si>
  <si>
    <t>ATP binding {GO:0005524}; protein kinase activity {GO:0004672}</t>
  </si>
  <si>
    <t>sp|Q9JK23|PSMG1_MOUSE</t>
  </si>
  <si>
    <t>Proteasome assembly chaperone 1</t>
  </si>
  <si>
    <t>Down syndrome critical region protein 2 homolog</t>
  </si>
  <si>
    <t>PSMG1_MOUSE</t>
  </si>
  <si>
    <t>Q9JK23</t>
  </si>
  <si>
    <t>Q8BU12</t>
  </si>
  <si>
    <t>MGI:1860263</t>
  </si>
  <si>
    <t>Acetylation; Chaperone; Cytoplasm; Endoplasmic reticulum; Phosphoprotein</t>
  </si>
  <si>
    <t>cerebellar granule cell precursor proliferation {GO:0021930}; chaperone-mediated protein complex assembly {GO:0051131}; proteasome core complex assembly {GO:0080129}</t>
  </si>
  <si>
    <t>chaperone complex {GO:0101031}; cytoplasm {GO:0005737}; cytosol {GO:0005829}; endoplasmic reticulum {GO:0005783}; Golgi apparatus {GO:0005794}; nucleoplasm {GO:0005654}</t>
  </si>
  <si>
    <t>sp|Q8R001|MARE2_MOUSE</t>
  </si>
  <si>
    <t>Microtubule-associated protein RP/EB family member 2</t>
  </si>
  <si>
    <t>APC-binding protein EB2; End-binding protein 2 (EB2)</t>
  </si>
  <si>
    <t>MARE2_MOUSE</t>
  </si>
  <si>
    <t>Q8R001</t>
  </si>
  <si>
    <t>Q3UF61; Q8BLZ6; Q8BYR6; Q8C177; Q8K109</t>
  </si>
  <si>
    <t>MGI:106271</t>
  </si>
  <si>
    <t>Alternative splicing; Cell cycle; Cell division; Cytoplasm; Cytoskeleton; Microtubule; Mitosis; Phosphoprotein</t>
  </si>
  <si>
    <t>cell division {GO:0051301}; positive regulation of ARF protein signal transduction {GO:0032014}; positive regulation of focal adhesion disassembly {GO:0120183}; positive regulation of GTPase activity {GO:0043547}; positive regulation of keratinocyte migration {GO:0051549}; protein localization to microtubule plus-end {GO:1904825}; regulation of microtubule polymerization or depolymerization {GO:0031110}; spindle assembly {GO:0051225}</t>
  </si>
  <si>
    <t>cytoplasmic microtubule {GO:0005881}; focal adhesion {GO:0005925}; microtubule cytoskeleton {GO:0015630}; microtubule organizing center {GO:0005815}; microtubule plus-end {GO:0035371}; spindle midzone {GO:0051233}</t>
  </si>
  <si>
    <t>identical protein binding {GO:0042802}; microtubule binding {GO:0008017}; microtubule plus-end binding {GO:0051010}; protein kinase binding {GO:0019901}</t>
  </si>
  <si>
    <t>sp|O35098|DPYL4_MOUSE</t>
  </si>
  <si>
    <t>Dihydropyrimidinase-related protein 4 (DRP-4)</t>
  </si>
  <si>
    <t>Collapsin response mediator protein 3 (CRMP-3); UNC33-like phosphoprotein 4 (ULIP-4)</t>
  </si>
  <si>
    <t>DPYL4_MOUSE</t>
  </si>
  <si>
    <t>O35098</t>
  </si>
  <si>
    <t>O08886; Q3UL94</t>
  </si>
  <si>
    <t>Crmp3; Ulip4</t>
  </si>
  <si>
    <t>MGI:1349764</t>
  </si>
  <si>
    <t>Alternative splicing; Cytoplasm; Phosphoprotein</t>
  </si>
  <si>
    <t>neuron death {GO:0070997}; neuron projection guidance {GO:0097485}</t>
  </si>
  <si>
    <t>filamin binding {GO:0031005}; hydrolase activity, acting on carbon-nitrogen (but not peptide) bonds {GO:0016810}; phosphoprotein binding {GO:0051219}</t>
  </si>
  <si>
    <t>sp|P83741|WNK1_MOUSE</t>
  </si>
  <si>
    <t>sp|Q3UA37|QRIC1_MOUSE</t>
  </si>
  <si>
    <t>Transcriptional regulator QRICH1</t>
  </si>
  <si>
    <t>Glutamine-rich protein 1</t>
  </si>
  <si>
    <t>QRIC1_MOUSE</t>
  </si>
  <si>
    <t>Q3UA37</t>
  </si>
  <si>
    <t>MGI:1916482</t>
  </si>
  <si>
    <t>Acetylation; Cell membrane; Cytoplasm; Isopeptide bond; Membrane; Nucleus; Phosphoprotein; Transcription; Transcription regulation; Ubl conjugation; Unfolded protein response</t>
  </si>
  <si>
    <t>Transcription; Transcription regulation; Unfolded protein response</t>
  </si>
  <si>
    <t>endoplasmic reticulum unfolded protein response {GO:0030968}; integrated stress response signaling {GO:0140467}; intrinsic apoptotic signaling pathway in response to endoplasmic reticulum stress {GO:0070059}; kidney development {GO:0001822}; PERK-mediated unfolded protein response {GO:0036499}; positive regulation of apoptotic process {GO:0043065}; positive regulation of DNA-templated transcription {GO:0045893}; response to endoplasmic reticulum stress {GO:0034976}</t>
  </si>
  <si>
    <t>cytoplasm {GO:0005737}; nucleoplasm {GO:0005654}; nucleus {GO:0005634}; plasma membrane {GO:0005886}</t>
  </si>
  <si>
    <t>sp|Q69Z99|ZN512_MOUSE</t>
  </si>
  <si>
    <t>Zinc finger protein 512</t>
  </si>
  <si>
    <t>ZN512_MOUSE</t>
  </si>
  <si>
    <t>Q69Z99</t>
  </si>
  <si>
    <t>Q3U365; Q3UDU3; Q3UJQ0; Q5FWY0; Q8BJF3</t>
  </si>
  <si>
    <t>Kiaa1805; Zfp512</t>
  </si>
  <si>
    <t>MGI:1917345</t>
  </si>
  <si>
    <t>DNA-binding; Isopeptide bond; Metal-binding; Nucleus; Repeat; Transcription; Transcription regulation; Ubl conjugation; Zinc; Zinc-finger</t>
  </si>
  <si>
    <t>DNA binding {GO:0003677}; metal ion binding {GO:0046872}</t>
  </si>
  <si>
    <t>sp|Q9CY45|EFMT1_MOUSE</t>
  </si>
  <si>
    <t>EEF1A lysine methyltransferase 1</t>
  </si>
  <si>
    <t>N(6)-adenine-specific DNA methyltransferase 2; Protein-lysine N-methyltransferase N6amt2</t>
  </si>
  <si>
    <t>EFMT1_MOUSE</t>
  </si>
  <si>
    <t>Q9CY45</t>
  </si>
  <si>
    <t>Q9CQR0</t>
  </si>
  <si>
    <t>MGI:1915293</t>
  </si>
  <si>
    <t>Acetylation; Cytoplasm; Methyltransferase; Phosphoprotein; Transferase</t>
  </si>
  <si>
    <t>peptidyl-lysine methylation {GO:0018022}</t>
  </si>
  <si>
    <t>methyltransferase activity {GO:0008168}; nucleic acid binding {GO:0003676}; protein-lysine N-methyltransferase activity {GO:0016279}</t>
  </si>
  <si>
    <t>Protein methylation {R-MMU-8876725}</t>
  </si>
  <si>
    <t>sp|Q8BL66|EEA1_MOUSE</t>
  </si>
  <si>
    <t>Early endosome antigen 1</t>
  </si>
  <si>
    <t>EEA1_MOUSE</t>
  </si>
  <si>
    <t>Q8BL66</t>
  </si>
  <si>
    <t>Q6DIC2</t>
  </si>
  <si>
    <t>MGI:2442192</t>
  </si>
  <si>
    <t>Coiled coil; Cytoplasm; Endosome; Membrane; Metal-binding; Phosphoprotein; Zinc; Zinc-finger</t>
  </si>
  <si>
    <t>endocytosis {GO:0006897}; modulation by host of viral process {GO:0044788}; vesicle fusion {GO:0006906}</t>
  </si>
  <si>
    <t>axonal spine {GO:0044308}; cytoplasmic vesicle {GO:0031410}; cytosol {GO:0005829}; early endosome {GO:0005769}; early endosome membrane {GO:0031901}; endosome {GO:0005768}; extrinsic component of plasma membrane {GO:0019897}; recycling endosome {GO:0055037}; serine-pyruvate aminotransferase complex {GO:0005969}</t>
  </si>
  <si>
    <t>1-phosphatidylinositol binding {GO:0005545}; GTP-dependent protein binding {GO:0030742}; metal ion binding {GO:0046872}; protein homodimerization activity {GO:0042803}</t>
  </si>
  <si>
    <t>Toll Like Receptor 9 (TLR9) Cascade {R-MMU-168138}</t>
  </si>
  <si>
    <t>sp|Q99NH0|ANR17_MOUSE</t>
  </si>
  <si>
    <t>Ankyrin repeat domain-containing protein 17</t>
  </si>
  <si>
    <t>Ankyrin repeat domain-containing protein FOE; Gene trap ankyrin repeat protein</t>
  </si>
  <si>
    <t>ANR17_MOUSE</t>
  </si>
  <si>
    <t>Q99NH0</t>
  </si>
  <si>
    <t>Q3TV99; Q5F4T7; Q6PG69; Q6ZQ66; Q8CHT4</t>
  </si>
  <si>
    <t>Foe; Gtar; Kiaa0697</t>
  </si>
  <si>
    <t>MGI:1932101</t>
  </si>
  <si>
    <t>Acetylation; Alternative splicing; ANK repeat; Coiled coil; Cytoplasm; Immunity; Innate immunity; Isopeptide bond; Methylation; Nucleus; Phosphoprotein; Repeat; RNA-binding; Ubl conjugation</t>
  </si>
  <si>
    <t>blood vessel maturation {GO:0001955}; defense response to bacterium {GO:0042742}; endoderm development {GO:0007492}; innate immune response {GO:0045087}; negative regulation of smooth muscle cell differentiation {GO:0051151}; positive regulation of cell cycle {GO:0045787}; positive regulation of G1/S transition of mitotic cell cycle {GO:1900087}; positive regulation of I-kappaB kinase/NF-kappaB signaling {GO:0043123}; positive regulation of MDA-5 signaling pathway {GO:1900245}; positive regulation of RIG-I signaling pathway {GO:1900246}; regulation of DNA replication {GO:0006275}</t>
  </si>
  <si>
    <t>chromatin {GO:0000785}; cytoplasm {GO:0005737}; male germ cell nucleus {GO:0001673}; nuclear membrane {GO:0031965}; nucleoplasm {GO:0005654}; nucleus {GO:0005634}</t>
  </si>
  <si>
    <t>chromatin binding {GO:0003682}; RNA binding {GO:0003723}</t>
  </si>
  <si>
    <t>sp|Q8BXQ2|PIGT_MOUSE</t>
  </si>
  <si>
    <t>GPI transamidase component PIG-T</t>
  </si>
  <si>
    <t>Neuronal development-associated protein 7; Phosphatidylinositol-glycan biosynthesis class T protein</t>
  </si>
  <si>
    <t>PIGT_MOUSE</t>
  </si>
  <si>
    <t>Q8BXQ2</t>
  </si>
  <si>
    <t>A2A5G2; Q3U2X2; Q99JA3</t>
  </si>
  <si>
    <t>Ndap7</t>
  </si>
  <si>
    <t>MGI:1926178</t>
  </si>
  <si>
    <t>Disulfide bond; Endoplasmic reticulum; Glycoprotein; GPI-anchor biosynthesis; Membrane; Signal; Transmembrane; Transmembrane helix</t>
  </si>
  <si>
    <t>GPI-anchor biosynthesis</t>
  </si>
  <si>
    <t>attachment of GPI anchor to protein {GO:0016255}; neuron apoptotic process {GO:0051402}; neuron differentiation {GO:0030182}</t>
  </si>
  <si>
    <t>cytoplasm {GO:0005737}; cytoplasmic vesicle {GO:0031410}; GPI-anchor transamidase complex {GO:0042765}</t>
  </si>
  <si>
    <t>Glycolipid biosynthesis; glycosylphosphatidylinositol-anchor biosynthesis.</t>
  </si>
  <si>
    <t>Attachment of GPI anchor to uPAR {R-MMU-162791}</t>
  </si>
  <si>
    <t>sp|Q8K1J6|TRNT1_MOUSE</t>
  </si>
  <si>
    <t>CCA tRNA nucleotidyltransferase 1, mitochondrial</t>
  </si>
  <si>
    <t>mitochondrial tRNA nucleotidyl transferase, CCA-adding (mt CCA-adding enzyme; mt tRNA CCA-diphosphorylase; mt tRNA CCA-pyrophosphorylase; mt tRNA adenylyltransferase)</t>
  </si>
  <si>
    <t>TRNT1_MOUSE</t>
  </si>
  <si>
    <t>Q8K1J6</t>
  </si>
  <si>
    <t>Q3TKW1; Q3UX99; Q920N6; Q9CSX0</t>
  </si>
  <si>
    <t>MGI:1917297</t>
  </si>
  <si>
    <t>Acetylation; Alternative splicing; ATP-binding; Magnesium; Mitochondrion; Nucleotide-binding; Nucleotidyltransferase; Phosphoprotein; RNA-binding; Transferase; Transit peptide; tRNA processing</t>
  </si>
  <si>
    <t>ATP-binding; Magnesium; Nucleotide-binding</t>
  </si>
  <si>
    <t>Nucleotidyltransferase; RNA-binding; Transferase</t>
  </si>
  <si>
    <t>mitochondrial tRNA 3'-end processing {GO:1990180}; tRNA 3'-terminal CCA addition {GO:0001680}; tRNA processing {GO:0008033}</t>
  </si>
  <si>
    <t>ATP binding {GO:0005524}; ATP:3'-cytidine-cytidine-tRNA adenylyltransferase activity {GO:0052929}; CTP:3'-cytidine-tRNA cytidylyltransferase activity {GO:0052928}; CTP:tRNA cytidylyltransferase activity {GO:0052927}; tRNA binding {GO:0000049}; tRNA cytidylyltransferase activity {GO:0016437}; tRNA nucleotidyltransferase activity {GO:0009022}</t>
  </si>
  <si>
    <t>sp|P70697|DCUP_MOUSE</t>
  </si>
  <si>
    <t>Uroporphyrinogen decarboxylase (UPD; URO-D)</t>
  </si>
  <si>
    <t>DCUP_MOUSE</t>
  </si>
  <si>
    <t>P70697</t>
  </si>
  <si>
    <t>Q91VW4</t>
  </si>
  <si>
    <t>MGI:98916</t>
  </si>
  <si>
    <t>Acetylation; Cytoplasm; Decarboxylase; Heme biosynthesis; Lyase; Porphyrin biosynthesis</t>
  </si>
  <si>
    <t>heme biosynthetic process {GO:0006783}; heme metabolic process {GO:0042168}; porphyrin-containing compound biosynthetic process {GO:0006779}; porphyrin-containing compound catabolic process {GO:0006787}; porphyrin-containing compound metabolic process {GO:0006778}; protoporphyrinogen IX biosynthetic process {GO:0006782}; uroporphyrinogen III metabolic process {GO:0046502}</t>
  </si>
  <si>
    <t>ferrous iron binding {GO:0008198}; uroporphyrinogen decarboxylase activity {GO:0004853}</t>
  </si>
  <si>
    <t>Porphyrin-containing compound metabolism; protoporphyrin-IX biosynthesis; coproporphyrinogen-III from 5-aminolevulinate: step 4/4.</t>
  </si>
  <si>
    <t>sp|Q8R0H9|GGA1_MOUSE</t>
  </si>
  <si>
    <t>ADP-ribosylation factor-binding protein GGA1</t>
  </si>
  <si>
    <t>Gamma-adaptin-related protein 1; Golgi-localized, gamma ear-containing, ARF-binding protein 1</t>
  </si>
  <si>
    <t>GGA1_MOUSE</t>
  </si>
  <si>
    <t>Q8R0H9</t>
  </si>
  <si>
    <t>Q3U2N1</t>
  </si>
  <si>
    <t>MGI:2146207</t>
  </si>
  <si>
    <t>Acetylation; Endosome; Golgi apparatus; Membrane; Phosphoprotein; Protein transport; Transport; Ubl conjugation</t>
  </si>
  <si>
    <t>Golgi to plasma membrane protein transport {GO:0043001}; Golgi to plasma membrane transport {GO:0006893}; intracellular protein transport {GO:0006886}; positive regulation of protein catabolic process {GO:0045732}; protein catabolic process {GO:0030163}; protein localization {GO:0008104}; protein localization to cell surface {GO:0034394}; protein localization to ciliary membrane {GO:1903441}; retrograde transport, endosome to Golgi {GO:0042147}; toxin transport {GO:1901998}</t>
  </si>
  <si>
    <t>cytosol {GO:0005829}; early endosome {GO:0005769}; early endosome membrane {GO:0031901}; Golgi apparatus {GO:0005794}; intracellular membrane-bounded organelle {GO:0043231}; nucleoplasm {GO:0005654}; protein-containing complex {GO:0032991}; trans-Golgi network {GO:0005802}</t>
  </si>
  <si>
    <t>phosphatidylinositol binding {GO:0035091}; small GTPase binding {GO:0031267}; ubiquitin binding {GO:0043130}</t>
  </si>
  <si>
    <t>sp|P97386|DNLI3_MOUSE</t>
  </si>
  <si>
    <t>DNA ligase 3</t>
  </si>
  <si>
    <t>DNA ligase III; Polydeoxyribonucleotide synthase [ATP] 3</t>
  </si>
  <si>
    <t>DNLI3_MOUSE</t>
  </si>
  <si>
    <t>P97386</t>
  </si>
  <si>
    <t>E9QL81; P97385</t>
  </si>
  <si>
    <t>MGI:109152</t>
  </si>
  <si>
    <t>Alternative splicing; ATP-binding; Cell cycle; Cell division; DNA damage; DNA recombination; DNA repair; DNA replication; Ligase; Magnesium; Metal-binding; Nucleotide-binding; Nucleus; Phosphoprotein; Zinc; Zinc-finger</t>
  </si>
  <si>
    <t>Cell cycle; Cell division; DNA damage; DNA recombination; DNA repair; DNA replication</t>
  </si>
  <si>
    <t>base-excision repair, DNA ligation {GO:0006288}; cell cycle {GO:0007049}; cell division {GO:0051301}; DNA biosynthetic process {GO:0071897}; DNA ligation {GO:0006266}; DNA recombination {GO:0006310}; double-strand break repair {GO:0006302}; double-strand break repair via alternative nonhomologous end joining {GO:0097681}; double-strand break repair via nonhomologous end joining {GO:0006303}; lagging strand elongation {GO:0006273}; mitochondrial DNA repair {GO:0043504}; mitochondrion organization {GO:0007005}; negative regulation of DNA recombination {GO:0045910}; negative regulation of mitochondrial DNA replication {GO:0090298}</t>
  </si>
  <si>
    <t>condensed nuclear chromosome {GO:0000794}; cytoplasm {GO:0005737}; DNA ligase III-XRCC1 complex {GO:0070421}; mitochondrion {GO:0005739}; nucleoplasm {GO:0005654}; nucleus {GO:0005634}; synaptonemal complex {GO:0000795}</t>
  </si>
  <si>
    <t>ATP binding {GO:0005524}; DNA binding {GO:0003677}; DNA ligase (ATP) activity {GO:0003910}; DNA ligase activity {GO:0003909}; zinc ion binding {GO:0008270}</t>
  </si>
  <si>
    <t>Resolution of AP sites via the single-nucleotide replacement pathway {R-MMU-110381}; APEX1-Independent Resolution of AP Sites via the Single Nucleotide Replacement Pathway {R-MMU-5649702}; HDR through MMEJ (alt-NHEJ) {R-MMU-5685939}; Gap-filling DNA repair synthesis and ligation in TC-NER {R-MMU-6782210}</t>
  </si>
  <si>
    <t>sp|P58774|TPM2_MOUSE</t>
  </si>
  <si>
    <t>Tropomyosin beta chain</t>
  </si>
  <si>
    <t>Beta-tropomyosin; Tropomyosin-2</t>
  </si>
  <si>
    <t>TPM2_MOUSE</t>
  </si>
  <si>
    <t>P58774</t>
  </si>
  <si>
    <t>P02560; P46901</t>
  </si>
  <si>
    <t>Tpm-2</t>
  </si>
  <si>
    <t>MGI:98810</t>
  </si>
  <si>
    <t>actin filament organization {GO:0007015}; muscle contraction {GO:0006936}; regulation of ATP-dependent activity {GO:0043462}</t>
  </si>
  <si>
    <t>actin cytoskeleton {GO:0015629}; actin filament {GO:0005884}; muscle thin filament tropomyosin {GO:0005862}</t>
  </si>
  <si>
    <t>actin binding {GO:0003779}; actin filament binding {GO:0051015}; identical protein binding {GO:0042802}; protein heterodimerization activity {GO:0046982}; protein homodimerization activity {GO:0042803}; structural constituent of cytoskeleton {GO:0005200}</t>
  </si>
  <si>
    <t>Striated Muscle Contraction {R-MMU-390522}; Smooth Muscle Contraction {R-MMU-445355}</t>
  </si>
  <si>
    <t>sp|Q03173|ENAH_MOUSE</t>
  </si>
  <si>
    <t>Protein enabled homolog</t>
  </si>
  <si>
    <t>NPC-derived proline-rich protein 1 (NDPP-1)</t>
  </si>
  <si>
    <t>ENAH_MOUSE</t>
  </si>
  <si>
    <t>Q03173</t>
  </si>
  <si>
    <t>P70430; P70431; P70432; P70433; Q5D053</t>
  </si>
  <si>
    <t>Mena; Ndpp1</t>
  </si>
  <si>
    <t>MGI:108360</t>
  </si>
  <si>
    <t>3D-structure; Actin-binding; Alternative splicing; Cell junction; Cell projection; Coiled coil; Cytoplasm; Cytoskeleton; Developmental protein; Differentiation; Neurogenesis; Phosphoprotein; Repeat; SH3-binding; Synapse</t>
  </si>
  <si>
    <t>Cell junction; Cell projection; Cytoplasm; Cytoskeleton; Synapse</t>
  </si>
  <si>
    <t>Coiled coil; Repeat; SH3-binding</t>
  </si>
  <si>
    <t>actin cytoskeleton organization {GO:0030036}; actin filament organization {GO:0007015}; actin polymerization or depolymerization {GO:0008154}; actin polymerization-dependent cell motility {GO:0070358}; axon guidance {GO:0007411}; cellular response to leukemia inhibitory factor {GO:1990830}; neural tube closure {GO:0001843}</t>
  </si>
  <si>
    <t>actin cytoskeleton {GO:0015629}; cell junction {GO:0030054}; cytosol {GO:0005829}; filopodium {GO:0030175}; focal adhesion {GO:0005925}; lamellipodium {GO:0030027}; neuron projection {GO:0043005}; plasma membrane {GO:0005886}; stress fiber {GO:0001725}; synapse {GO:0045202}</t>
  </si>
  <si>
    <t>actin binding {GO:0003779}; profilin binding {GO:0005522}; SH3 domain binding {GO:0017124}; WW domain binding {GO:0050699}</t>
  </si>
  <si>
    <t>Signaling by ROBO receptors {R-MMU-376176}</t>
  </si>
  <si>
    <t>sp|Q3UHD6|SNX27_MOUSE</t>
  </si>
  <si>
    <t>Sorting nexin-27</t>
  </si>
  <si>
    <t>SNX27_MOUSE</t>
  </si>
  <si>
    <t>Q3UHD6</t>
  </si>
  <si>
    <t>Q7TQL6; Q80TZ1; Q9CYB5</t>
  </si>
  <si>
    <t>Kiaa0488</t>
  </si>
  <si>
    <t>MGI:1923992</t>
  </si>
  <si>
    <t>Alternative splicing; Cytoplasm; Endosome; Lipid-binding; Membrane; Phosphoprotein; Protein transport; Transport</t>
  </si>
  <si>
    <t>endocytic recycling {GO:0032456}; endosomal transport {GO:0016197}; endosome to lysosome transport {GO:0008333}; endosome to plasma membrane protein transport {GO:0099638}; establishment of protein localization to plasma membrane {GO:0061951}; intracellular protein transport {GO:0006886}; negative regulation of inward rectifier potassium channel activity {GO:1903609}; positive regulation of AMPA glutamate receptor clustering {GO:1904719}; signal transduction {GO:0007165}</t>
  </si>
  <si>
    <t>cytosol {GO:0005829}; early endosome {GO:0005769}; early endosome membrane {GO:0031901}; endosome {GO:0005768}; immunological synapse {GO:0001772}; plasma membrane {GO:0005886}; postsynaptic density {GO:0014069}; retromer complex {GO:0030904}; WASH complex {GO:0071203}</t>
  </si>
  <si>
    <t>ionotropic glutamate receptor binding {GO:0035255}; phosphatidylinositol binding {GO:0035091}; phosphatidylinositol-3-phosphate binding {GO:0032266}</t>
  </si>
  <si>
    <t>sp|O54833|CSK22_MOUSE</t>
  </si>
  <si>
    <t>Casein kinase II subunit alpha' (CK II alpha')</t>
  </si>
  <si>
    <t>CSK22_MOUSE</t>
  </si>
  <si>
    <t>O54833</t>
  </si>
  <si>
    <t>MGI:88547</t>
  </si>
  <si>
    <t>Acetylation; Apoptosis; ATP-binding; Cell cycle; Cytoplasm; Kinase; Nucleotide-binding; Nucleus; Phosphoprotein; Serine/threonine-protein kinase; Transcription; Transcription regulation; Transferase; Wnt signaling pathway</t>
  </si>
  <si>
    <t>Apoptosis; Cell cycle; Transcription; Transcription regulation; Wnt signaling pathway</t>
  </si>
  <si>
    <t>apoptotic process {GO:0006915}; cell cycle {GO:0007049}; negative regulation of ubiquitin-dependent protein catabolic process {GO:2000059}; peptidyl-serine phosphorylation {GO:0018105}; peptidyl-threonine phosphorylation {GO:0018107}; protein phosphorylation {GO:0006468}; regulation of cell cycle {GO:0051726}; regulation of chromosome separation {GO:1905818}; Wnt signaling pathway {GO:0016055}</t>
  </si>
  <si>
    <t>acrosomal vesicle {GO:0001669}; chromatin {GO:0000785}; cytoplasm {GO:0005737}; cytosol {GO:0005829}; nucleus {GO:0005634}; PcG protein complex {GO:0031519}; plasma membrane {GO:0005886}; protein kinase CK2 complex {GO:0005956}</t>
  </si>
  <si>
    <t>ATP binding {GO:0005524}; protein kinase activity {GO:0004672}; protein N-terminus binding {GO:0047485}; protein serine kinase activity {GO:0106310}; protein serine/threonine kinase activity {GO:0004674}</t>
  </si>
  <si>
    <t>sp|Q9Z2V5|HDAC6_MOUSE</t>
  </si>
  <si>
    <t>Histone deacetylase 6 (HD6)</t>
  </si>
  <si>
    <t>Histone deacetylase mHDA2; Tubulin-lysine deacetylase HDAC6</t>
  </si>
  <si>
    <t>HDAC6_MOUSE</t>
  </si>
  <si>
    <t>Q9Z2V5</t>
  </si>
  <si>
    <t>B1AUA6</t>
  </si>
  <si>
    <t>MGI:1333752</t>
  </si>
  <si>
    <t>Actin-binding; Cell projection; Chromatin regulator; Cytoplasm; Cytoskeleton; Hydrolase; Metal-binding; Methylation; Nucleus; Phosphoprotein; Repeat; Repressor; Transcription; Transcription regulation; Ubl conjugation; Zinc; Zinc-finger</t>
  </si>
  <si>
    <t>Actin-binding; Chromatin regulator; Hydrolase; Repressor</t>
  </si>
  <si>
    <t>aggresome assembly {GO:0070842}; axonal transport of mitochondrion {GO:0019896}; cellular response to hydrogen peroxide {GO:0070301}; cellular response to misfolded protein {GO:0071218}; cellular response to topologically incorrect protein {GO:0035967}; cilium disassembly {GO:0061523}; collateral sprouting {GO:0048668}; dendritic spine morphogenesis {GO:0060997}; histone deacetylation {GO:0016575}; Hsp90 deacetylation {GO:0070846}; intracellular protein transport {GO:0006886}; lysosome localization {GO:0032418}; mitochondrion localization {GO:0051646}; negative regulation of microtubule depolymerization {GO:0007026}; negative regulation of protein-containing complex assembly {GO:0031333}; negative regulation of protein-containing complex disassembly {GO:0043242}; negative regulation of proteolysis {GO:0045861}; negative regulation of transcription by RNA polymerase II {GO:0000122}; parkin-mediated stimulation of mitophagy in response to mitochondrial depolarization {GO:0061734}; peptidyl-lysine deacetylation {GO:0034983}; polyubiquitinated misfolded protein transport {GO:0070845}; positive regulation of epithelial cell migration {GO:0010634}; positive regulation of hydrogen peroxide-mediated programmed cell death {GO:1901300}; positive regulation of mitophagy in response to mitochondrial depolarization {GO:0098779}; positive regulation of peptidyl-serine phosphorylation {GO:0033138}; positive regulation of signaling receptor activity {GO:2000273}; protein deacetylation {GO:0006476}; protein destabilization {GO:0031648}; protein polyubiquitination {GO:0000209}; protein quality control for misfolded or incompletely synthesized proteins {GO:0006515}; protein-containing complex disassembly {GO:0032984}; regulation of establishment of protein localization {GO:0070201}; regulation of fat cell differentiation {GO:0045598}; regulation of gene expression, epigenetic {GO:0040029}; regulation of macroautophagy {GO:0016241}; regulation of protein stability {GO:0031647}; response to growth factor {GO:0070848}; response to misfolded protein {GO:0051788}; tubulin deacetylation {GO:0090042}; ubiquitin-dependent protein catabolic process {GO:0006511}; ubiquitin-dependent protein catabolic process via the multivesicular body sorting pathway {GO:0043162}</t>
  </si>
  <si>
    <t>aggresome {GO:0016235}; axon {GO:0030424}; axon cytoplasm {GO:1904115}; caveola {GO:0005901}; cell leading edge {GO:0031252}; ciliary basal body {GO:0036064}; cytoplasm {GO:0005737}; cytosol {GO:0005829}; dendrite {GO:0030425}; histone deacetylase complex {GO:0000118}; inclusion body {GO:0016234}; microtubule {GO:0005874}; microtubule associated complex {GO:0005875}; microtubule cytoskeleton {GO:0015630}; neuron projection {GO:0043005}; neuronal cell body {GO:0043025}; nucleoplasm {GO:0005654}; nucleus {GO:0005634}; perikaryon {GO:0043204}; perinuclear region of cytoplasm {GO:0048471}; protein-containing complex {GO:0032991}</t>
  </si>
  <si>
    <t>actin binding {GO:0003779}; alpha-tubulin binding {GO:0043014}; beta-catenin binding {GO:0008013}; beta-tubulin binding {GO:0048487}; dynein complex binding {GO:0070840}; histone deacetylase activity {GO:0004407}; histone deacetylase binding {GO:0042826}; Hsp90 protein binding {GO:0051879}; microtubule binding {GO:0008017}; misfolded protein binding {GO:0051787}; polyubiquitin modification-dependent protein binding {GO:0031593}; protein lysine deacetylase activity {GO:0033558}; RNA polymerase II cis-regulatory region sequence-specific DNA binding {GO:0000978}; tau protein binding {GO:0048156}; transcription corepressor binding {GO:0001222}; tubulin deacetylase activity {GO:0042903}; ubiquitin binding {GO:0043130}; ubiquitin protein ligase binding {GO:0031625}; zinc ion binding {GO:0008270}</t>
  </si>
  <si>
    <t>HSF1 activation {R-MMU-3371511}; Notch-HLH transcription pathway {R-MMU-350054}; Cilium Assembly {R-MMU-5617833}; Aggrephagy {R-MMU-9646399}</t>
  </si>
  <si>
    <t>sp|Q07417|ACADS_MOUSE</t>
  </si>
  <si>
    <t>Short-chain specific acyl-CoA dehydrogenase, mitochondrial (SCAD)</t>
  </si>
  <si>
    <t>ACADS_MOUSE</t>
  </si>
  <si>
    <t>Q07417</t>
  </si>
  <si>
    <t>Q91W85</t>
  </si>
  <si>
    <t>MGI:87868</t>
  </si>
  <si>
    <t>butyrate catabolic process {GO:0046359}; fatty acid beta-oxidation using acyl-CoA dehydrogenase {GO:0033539}</t>
  </si>
  <si>
    <t>centrosome {GO:0005813}; mitochondrial matrix {GO:0005759}; mitochondrial membrane {GO:0031966}; mitochondrion {GO:0005739}; nucleoplasm {GO:0005654}</t>
  </si>
  <si>
    <t>acyl-CoA dehydrogenase activity {GO:0003995}; butyryl-CoA dehydrogenase activity {GO:0004085}; fatty-acyl-CoA binding {GO:0000062}; flavin adenine dinucleotide binding {GO:0050660}; identical protein binding {GO:0042802}</t>
  </si>
  <si>
    <t>Beta oxidation of hexanoyl-CoA to butanoyl-CoA {R-MMU-77350}; Beta oxidation of butanoyl-CoA to acetyl-CoA {R-MMU-77352}</t>
  </si>
  <si>
    <t>sp|Q6P1H6|ANKL2_MOUSE</t>
  </si>
  <si>
    <t>Ankyrin repeat and LEM domain-containing protein 2</t>
  </si>
  <si>
    <t>LEM domain-containing protein 4</t>
  </si>
  <si>
    <t>ANKL2_MOUSE</t>
  </si>
  <si>
    <t>Q6P1H6</t>
  </si>
  <si>
    <t>Q3UQF6; Q3UY52; Q3V1X7; Q6ZQ67; Q8BRM7; Q9CTK6</t>
  </si>
  <si>
    <t>D5Ertd585e; Kiaa0692; Lem4</t>
  </si>
  <si>
    <t>MGI:1261856</t>
  </si>
  <si>
    <t>Alternative splicing; ANK repeat; Cell cycle; Cell division; Endoplasmic reticulum; Membrane; Mitosis; Phosphoprotein; Signal-anchor; Transmembrane; Transmembrane helix</t>
  </si>
  <si>
    <t>ANK repeat; Signal-anchor; Transmembrane; Transmembrane helix</t>
  </si>
  <si>
    <t>cell division {GO:0051301}; central nervous system development {GO:0007417}; mitotic nuclear membrane reassembly {GO:0007084}; negative regulation of apoptotic process {GO:0043066}; negative regulation of phosphorylation {GO:0042326}; positive regulation of protein dephosphorylation {GO:0035307}</t>
  </si>
  <si>
    <t>protein phosphatase 2A binding {GO:0051721}</t>
  </si>
  <si>
    <t>Initiation of Nuclear Envelope (NE) Reformation {R-MMU-2995383}; RAC2 GTPase cycle {R-MMU-9013404}; RHOG GTPase cycle {R-MMU-9013408}</t>
  </si>
  <si>
    <t>sp|Q91WN1|DNJC9_MOUSE</t>
  </si>
  <si>
    <t>DnaJ homolog subfamily C member 9</t>
  </si>
  <si>
    <t>DNJC9_MOUSE</t>
  </si>
  <si>
    <t>Q91WN1</t>
  </si>
  <si>
    <t>Q3TSG3; Q8R0E3</t>
  </si>
  <si>
    <t>MGI:1915326</t>
  </si>
  <si>
    <t>Cell membrane; Chaperone; Cytoplasm; Membrane; Nucleus; Phosphoprotein</t>
  </si>
  <si>
    <t>nucleosome assembly {GO:0006334}; positive regulation of ATP-dependent activity {GO:0032781}</t>
  </si>
  <si>
    <t>chaperone complex {GO:0101031}; cytoplasm {GO:0005737}; cytosol {GO:0005829}; extracellular space {GO:0005615}; nucleoplasm {GO:0005654}; nucleus {GO:0005634}; plasma membrane {GO:0005886}</t>
  </si>
  <si>
    <t>chaperone binding {GO:0051087}; heat shock protein binding {GO:0031072}; histone binding {GO:0042393}</t>
  </si>
  <si>
    <t>sp|P49615|CDK5_MOUSE</t>
  </si>
  <si>
    <t>Cyclin-dependent kinase 5</t>
  </si>
  <si>
    <t>Cell division protein kinase 5; Cyclin-dependent-like kinase 5; Serine/threonine-protein kinase PSSALRE; Tau protein kinase II catalytic subunit (TPKII catalytic subunit)</t>
  </si>
  <si>
    <t>CDK5_MOUSE</t>
  </si>
  <si>
    <t>P49615</t>
  </si>
  <si>
    <t>MGI:101765</t>
  </si>
  <si>
    <t>Acetylation; Apoptosis; ATP-binding; Biological rhythms; Cell cycle; Cell division; Cell membrane; Cell projection; Cytoplasm; Kinase; Membrane; Neurodegeneration; Neurogenesis; Nucleotide-binding; Nucleus; Phosphoprotein; Serine/threonine-protein kinase; Synapse; Transferase</t>
  </si>
  <si>
    <t>Apoptosis; Biological rhythms; Cell cycle; Cell division; Neurogenesis</t>
  </si>
  <si>
    <t>apoptotic process {GO:0006915}; associative learning {GO:0008306}; axonogenesis {GO:0007409}; behavioral response to cocaine {GO:0048148}; calcium ion import {GO:0070509}; cell division {GO:0051301}; cell migration {GO:0016477}; cell-matrix adhesion {GO:0007160}; cellular response to amyloid-beta {GO:1904646}; central nervous system neuron development {GO:0021954}; cerebellar cortex development {GO:0021695}; cerebellar cortex formation {GO:0021697}; cerebellum development {GO:0021549}; cerebral cortex development {GO:0021987}; corpus callosum development {GO:0022038}; cortical actin cytoskeleton organization {GO:0030866}; dendrite morphogenesis {GO:0048813}; establishment of localization in cell {GO:0051649}; excitatory postsynaptic potential {GO:0060079}; exocytosis {GO:0006887}; forebrain development {GO:0030900}; hippocampus development {GO:0021766}; intracellular protein transport {GO:0006886}; layer formation in cerebral cortex {GO:0021819}; mitochondrion organization {GO:0007005}; motor neuron axon guidance {GO:0008045}; negative regulation of axon extension {GO:0030517}; negative regulation of cell cycle {GO:0045786}; negative regulation of DNA-templated transcription {GO:0045892}; negative regulation of neuron death {GO:1901215}; negative regulation of protein export from nucleus {GO:0046826}; negative regulation of protein ubiquitination {GO:0031397}; negative regulation of proteolysis {GO:0045861}; negative regulation of synaptic plasticity {GO:0031914}; neuron apoptotic process {GO:0051402}; neuron differentiation {GO:0030182}; neuron migration {GO:0001764}; neuron projection development {GO:0031175}; neuron projection morphogenesis {GO:0048812}; nucleocytoplasmic transport {GO:0006913}; oligodendrocyte differentiation {GO:0048709}; peptidyl-serine phosphorylation {GO:0018105}; peptidyl-threonine phosphorylation {GO:0018107}; phosphorylation {GO:0016310}; positive regulation of calcium ion-dependent exocytosis {GO:0045956}; positive regulation of glial cell apoptotic process {GO:0034352}; positive regulation of neuron apoptotic process {GO:0043525}; positive regulation of neuron death {GO:1901216}; positive regulation of presynaptic cytosolic calcium concentration {GO:0099533}; positive regulation of protein binding {GO:0032092}; positive regulation of protein kinase activity {GO:0045860}; positive regulation of protein phosphorylation {GO:0001934}; positive regulation of protein targeting to membrane {GO:0090314}; positive regulation of voltage-gated calcium channel activity {GO:1901387}; protein autophosphorylation {GO:0046777}; protein localization to synapse {GO:0035418}; protein phosphorylation {GO:0006468}; receptor catabolic process {GO:0032801}; receptor clustering {GO:0043113}; regulated exocytosis {GO:0045055}; regulation of cell migration {GO:0030334}; regulation of dendritic spine morphogenesis {GO:0061001}; regulation of postsynaptic membrane potential {GO:0060078}; regulation of protein localization to plasma membrane {GO:1903076}; regulation of synaptic plasticity {GO:0048167}; regulation of synaptic transmission, glutamatergic {GO:0051966}; regulation of transcription involved in G1/S transition of mitotic cell cycle {GO:0000083}; response to cocaine {GO:0042220}; response to wounding {GO:0009611}; rhythmic process {GO:0048511}; Schwann cell development {GO:0014044}; sensory perception of pain {GO:0019233}; serine phosphorylation of STAT protein {GO:0042501}; skeletal muscle tissue development {GO:0007519}; synapse assembly {GO:0007416}; synapse pruning {GO:0098883}; synaptic transmission, dopaminergic {GO:0001963}; synaptic transmission, glutamatergic {GO:0035249}; synaptic vesicle endocytosis {GO:0048488}; synaptic vesicle transport {GO:0048489}; telencephalon development {GO:0021537}; visual learning {GO:0008542}</t>
  </si>
  <si>
    <t>anchoring junction {GO:0070161}; axon {GO:0030424}; cell junction {GO:0030054}; cyclin-dependent protein kinase holoenzyme complex {GO:0000307}; cytoplasm {GO:0005737}; cytoskeleton {GO:0005856}; cytosol {GO:0005829}; dendrite {GO:0030425}; filopodium {GO:0030175}; glutamatergic synapse {GO:0098978}; growth cone {GO:0030426}; lamellipodium {GO:0030027}; membrane {GO:0016020}; microtubule {GO:0005874}; neuromuscular junction {GO:0031594}; neuron projection {GO:0043005}; neuronal cell body {GO:0043025}; nucleoplasm {GO:0005654}; nucleus {GO:0005634}; perikaryon {GO:0043204}; plasma membrane {GO:0005886}; postsynapse {GO:0098794}; postsynaptic density {GO:0014069}; presynapse {GO:0098793}; protein kinase 5 complex {GO:0016533}; Schaffer collateral - CA1 synapse {GO:0098685}</t>
  </si>
  <si>
    <t>acetylcholine receptor activator activity {GO:0030549}; ATP binding {GO:0005524}; cyclin-dependent protein serine/threonine kinase activity {GO:0004693}; cytoskeletal protein binding {GO:0008092}; ephrin receptor binding {GO:0046875}; ErbB-2 class receptor binding {GO:0005176}; ErbB-3 class receptor binding {GO:0043125}; Hsp90 protein binding {GO:0051879}; kinase activity {GO:0016301}; p53 binding {GO:0002039}; protein kinase activity {GO:0004672}; protein kinase binding {GO:0019901}; protein serine kinase activity {GO:0106310}; protein serine/threonine kinase activity {GO:0004674}; tau-protein kinase activity {GO:0050321}; voltage-gated calcium channel activity involved in positive regulation of presynaptic cytosolic calcium levels {GO:0099635}</t>
  </si>
  <si>
    <t>DARPP-32 events {R-MMU-180024}; CRMPs in Sema3A signaling {R-MMU-399956}; Regulation of TP53 Activity through Phosphorylation {R-MMU-6804756}; NGF-stimulated transcription {R-MMU-9031628}</t>
  </si>
  <si>
    <t>sp|Q8BRT1|CLAP2_MOUSE</t>
  </si>
  <si>
    <t>CLIP-associating protein 2</t>
  </si>
  <si>
    <t>Cytoplasmic linker-associated protein 2</t>
  </si>
  <si>
    <t>CLAP2_MOUSE</t>
  </si>
  <si>
    <t>Q8BRT1</t>
  </si>
  <si>
    <t>Q8CHE3; Q99JI3; Q9DB80</t>
  </si>
  <si>
    <t>Kiaa0627</t>
  </si>
  <si>
    <t>MGI:1923749</t>
  </si>
  <si>
    <t>3D-structure; Alternative splicing; Cell cycle; Cell division; Cell membrane; Cell projection; Centromere; Chromosome; Cytoplasm; Cytoskeleton; Golgi apparatus; Kinetochore; Meiosis; Membrane; Microtubule; Mitosis; Phosphoprotein; Repeat</t>
  </si>
  <si>
    <t>Cell cycle; Cell division; Meiosis; Mitosis</t>
  </si>
  <si>
    <t>Cell membrane; Cell projection; Centromere; Chromosome; Cytoplasm; Cytoskeleton; Golgi apparatus; Kinetochore; Membrane; Microtubule</t>
  </si>
  <si>
    <t>cell division {GO:0051301}; establishment of mitotic spindle localization {GO:0040001}; establishment or maintenance of cell polarity {GO:0007163}; exit from mitosis {GO:0010458}; fibroblast migration {GO:0010761}; Golgi organization {GO:0007030}; meiotic cell cycle {GO:0051321}; microtubule anchoring {GO:0034453}; microtubule cytoskeleton organization {GO:0000226}; microtubule depolymerization {GO:0007019}; microtubule nucleation {GO:0007020}; microtubule organizing center organization {GO:0031023}; mitotic spindle assembly {GO:0090307}; mitotic spindle organization {GO:0007052}; negative regulation of focal adhesion assembly {GO:0051895}; negative regulation of microtubule depolymerization {GO:0007026}; negative regulation of stress fiber assembly {GO:0051497}; negative regulation of wound healing, spreading of epidermal cells {GO:1903690}; platelet-derived growth factor receptor-beta signaling pathway {GO:0035791}; positive regulation of basement membrane assembly involved in embryonic body morphogenesis {GO:1904261}; positive regulation of epithelial cell migration {GO:0010634}; positive regulation of exocytosis {GO:0045921}; positive regulation of extracellular matrix disassembly {GO:0090091}; positive regulation of protein localization to membrane {GO:1905477}; protein localization to plasma membrane {GO:0072659}; regulation of actin cytoskeleton organization {GO:0032956}; regulation of axon extension {GO:0030516}; regulation of epithelial to mesenchymal transition {GO:0010717}; regulation of gastrulation {GO:0010470}; regulation of microtubule polymerization {GO:0031113}; regulation of microtubule polymerization or depolymerization {GO:0031110}; regulation of microtubule-based process {GO:0032886}; vesicle targeting {GO:0006903}</t>
  </si>
  <si>
    <t>axonal growth cone {GO:0044295}; basal cortex {GO:0045180}; cell cortex {GO:0005938}; cell leading edge {GO:0031252}; cortical microtubule plus-end {GO:1903754}; cytoplasmic microtubule {GO:0005881}; cytosol {GO:0005829}; focal adhesion {GO:0005925}; Golgi apparatus {GO:0005794}; kinetochore {GO:0000776}; microtubule {GO:0005874}; microtubule cytoskeleton {GO:0015630}; microtubule organizing center {GO:0005815}; mitotic spindle {GO:0072686}; plasma membrane {GO:0005886}; ruffle membrane {GO:0032587}; spindle microtubule {GO:0005876}; spindle pole {GO:0000922}; trans-Golgi network {GO:0005802}</t>
  </si>
  <si>
    <t>actin filament binding {GO:0051015}; dystroglycan binding {GO:0002162}; microtubule binding {GO:0008017}; microtubule plus-end binding {GO:0051010}; protein tyrosine kinase binding {GO:1990782}</t>
  </si>
  <si>
    <t>sp|Q3UZ39|LRRF1_MOUSE</t>
  </si>
  <si>
    <t>Leucine-rich repeat flightless-interacting protein 1 (LRR FLII-interacting protein 1)</t>
  </si>
  <si>
    <t>FLI-LRR-associated protein 1 (Flap-1); H186 FLAP</t>
  </si>
  <si>
    <t>LRRF1_MOUSE</t>
  </si>
  <si>
    <t>Q3UZ39</t>
  </si>
  <si>
    <t>O70323; Q3TS94</t>
  </si>
  <si>
    <t>Flap</t>
  </si>
  <si>
    <t>MGI:1342770</t>
  </si>
  <si>
    <t>Acetylation; Alternative splicing; Coiled coil; Cytoplasm; DNA-binding; Isopeptide bond; Nucleus; Phosphoprotein; Repressor; Transcription; Transcription regulation; Ubl conjugation</t>
  </si>
  <si>
    <t>negative regulation of transcription by RNA polymerase II {GO:0000122}; positive regulation of NF-kappaB transcription factor activity {GO:0051092}; regulation of transcription by RNA polymerase II {GO:0006357}</t>
  </si>
  <si>
    <t>DNA binding {GO:0003677}; DNA-binding transcription factor activity, RNA polymerase II-specific {GO:0000981}; DNA-binding transcription repressor activity, RNA polymerase II-specific {GO:0001227}; protein homodimerization activity {GO:0042803}; RNA polymerase II cis-regulatory region sequence-specific DNA binding {GO:0000978}</t>
  </si>
  <si>
    <t>sp|O88485|DC1I1_MOUSE</t>
  </si>
  <si>
    <t>Cytoplasmic dynein 1 intermediate chain 1</t>
  </si>
  <si>
    <t>Cytoplasmic dynein intermediate chain 1; Dynein intermediate chain 1, cytosolic (DH IC-1)</t>
  </si>
  <si>
    <t>DC1I1_MOUSE</t>
  </si>
  <si>
    <t>O88485</t>
  </si>
  <si>
    <t>O88486; Q80W09</t>
  </si>
  <si>
    <t>Dnci1; Dncic1</t>
  </si>
  <si>
    <t>MGI:107743</t>
  </si>
  <si>
    <t>Acetylation; Alternative splicing; Centromere; Chromosome; Cytoplasm; Cytoskeleton; Dynein; Kinetochore; Microtubule; Motor protein; Phosphoprotein; Repeat; Transport; WD repeat</t>
  </si>
  <si>
    <t>microtubule-based movement {GO:0007018}; transport along microtubule {GO:0010970}; vesicle transport along microtubule {GO:0047496}</t>
  </si>
  <si>
    <t>axon cytoplasm {GO:1904115}; cytoplasm {GO:0005737}; cytoplasmic dynein complex {GO:0005868}; cytoplasmic ribonucleoprotein granule {GO:0036464}; kinetochore {GO:0000776}; microtubule {GO:0005874}; nucleus {GO:0005634}; perinuclear region of cytoplasm {GO:0048471}; piccolo-bassoon transport vesicle {GO:1990257}; recycling endosome {GO:0055037}; spindle pole {GO:0000922}; vesicle {GO:0031982}</t>
  </si>
  <si>
    <t>dynein heavy chain binding {GO:0045504}; dynein light chain binding {GO:0045503}; microtubule binding {GO:0008017}; microtubule motor activity {GO:0003777}; spectrin binding {GO:0030507}</t>
  </si>
  <si>
    <t>sp|Q9D898|ARP5L_MOUSE</t>
  </si>
  <si>
    <t>Actin-related protein 2/3 complex subunit 5-like protein</t>
  </si>
  <si>
    <t>Arp2/3 complex 16 kDa subunit 2 (ARC16-2)</t>
  </si>
  <si>
    <t>ARP5L_MOUSE</t>
  </si>
  <si>
    <t>Q9D898</t>
  </si>
  <si>
    <t>MGI:1921442</t>
  </si>
  <si>
    <t>Actin-binding; Cytoplasm; Cytoskeleton; Phosphoprotein</t>
  </si>
  <si>
    <t>Arp2/3 complex-mediated actin nucleation {GO:0034314}; cell migration {GO:0016477}; regulation of actin filament polymerization {GO:0030833}</t>
  </si>
  <si>
    <t>Arp2/3 protein complex {GO:0005885}; cytoplasm {GO:0005737}; glutamatergic synapse {GO:0098978}; synapse {GO:0045202}</t>
  </si>
  <si>
    <t>sp|Q9R0E1|PLOD3_MOUSE</t>
  </si>
  <si>
    <t>Procollagen glycosyltransferase</t>
  </si>
  <si>
    <t>Lysyl hydroxylase 3 (LH3); Galactosylhydroxylysine-glucosyltransferase; Procollagen galactosyltransferase; Procollagen glucosyltransferase</t>
  </si>
  <si>
    <t>PLOD3_MOUSE</t>
  </si>
  <si>
    <t>Q9R0E1</t>
  </si>
  <si>
    <t>Q542E0; Q9CYY9</t>
  </si>
  <si>
    <t>MGI:1347008</t>
  </si>
  <si>
    <t>Dioxygenase; Disulfide bond; Endoplasmic reticulum; Glycoprotein; Glycosyltransferase; Iron; Manganese; Membrane; Metal-binding; Multifunctional enzyme; Oxidoreductase; Secreted; Signal; Transferase; Vitamin C</t>
  </si>
  <si>
    <t>Endoplasmic reticulum; Membrane; Secreted</t>
  </si>
  <si>
    <t>Iron; Manganese; Metal-binding; Vitamin C</t>
  </si>
  <si>
    <t>Dioxygenase; Glycosyltransferase; Multifunctional enzyme; Oxidoreductase; Transferase</t>
  </si>
  <si>
    <t>basement membrane assembly {GO:0070831}; collagen fibril organization {GO:0030199}; collagen metabolic process {GO:0032963}; endothelial cell morphogenesis {GO:0001886}; epidermis morphogenesis {GO:0048730}; hydroxylysine biosynthetic process {GO:0046947}; in utero embryonic development {GO:0001701}; lung morphogenesis {GO:0060425}; neural tube development {GO:0021915}; peptidyl-lysine hydroxylation {GO:0017185}; protein localization {GO:0008104}; protein O-linked glycosylation {GO:0006493}; vasodilation {GO:0042311}</t>
  </si>
  <si>
    <t>collagen-containing extracellular matrix {GO:0062023}; endoplasmic reticulum {GO:0005783}; endoplasmic reticulum lumen {GO:0005788}; endoplasmic reticulum membrane {GO:0005789}; extracellular space {GO:0005615}; Golgi apparatus {GO:0005794}; rough endoplasmic reticulum {GO:0005791}; trans-Golgi network {GO:0005802}</t>
  </si>
  <si>
    <t>iron ion binding {GO:0005506}; L-ascorbic acid binding {GO:0031418}; procollagen galactosyltransferase activity {GO:0050211}; procollagen glucosyltransferase activity {GO:0033823}; procollagen-lysine 5-dioxygenase activity {GO:0008475}</t>
  </si>
  <si>
    <t>sp|P62305|RUXE_MOUSE</t>
  </si>
  <si>
    <t>Small nuclear ribonucleoprotein E (snRNP-E)</t>
  </si>
  <si>
    <t>Sm protein E (Sm-E; SmE)</t>
  </si>
  <si>
    <t>RUXE_MOUSE</t>
  </si>
  <si>
    <t>P62305</t>
  </si>
  <si>
    <t>P08578; Q15498</t>
  </si>
  <si>
    <t>MGI:98346</t>
  </si>
  <si>
    <t>catalytic step 2 spliceosome {GO:0071013}; cytosol {GO:0005829}; methylosome {GO:0034709}; nucleus {GO:0005634}; pICln-Sm protein complex {GO:0034715}; precatalytic spliceosome {GO:0071011}; SMN-Sm protein complex {GO:0034719}; spliceosomal complex {GO:0005681}; telomerase holoenzyme complex {GO:0005697}; U1 snRNP {GO:0005685}; U12-type spliceosomal complex {GO:0005689}; U2 snRNP {GO:0005686}; U2-type catalytic step 2 spliceosome {GO:0071007}; U2-type precatalytic spliceosome {GO:0071005}; U4 snRNP {GO:0005687}; U4/U6 x U5 tri-snRNP complex {GO:0046540}; U5 snRNP {GO:0005682}; U7 snRNP {GO:0005683}</t>
  </si>
  <si>
    <t>sp|Q3V4B5|COMD6_MOUSE</t>
  </si>
  <si>
    <t>COMM domain-containing protein 6</t>
  </si>
  <si>
    <t>COMD6_MOUSE</t>
  </si>
  <si>
    <t>Q3V4B5</t>
  </si>
  <si>
    <t>MGI:1913450</t>
  </si>
  <si>
    <t>Acetylation; Cytoplasm; Nucleus; Transcription; Transcription regulation; Ubl conjugation pathway</t>
  </si>
  <si>
    <t>negative regulation of NF-kappaB transcription factor activity {GO:0032088}</t>
  </si>
  <si>
    <t>NF-kappaB binding {GO:0051059}</t>
  </si>
  <si>
    <t>sp|C0HKG5|RNT2A_MOUSE</t>
  </si>
  <si>
    <t>Ribonuclease T2-A</t>
  </si>
  <si>
    <t>Ribonuclease 6-A</t>
  </si>
  <si>
    <t>RNT2A_MOUSE</t>
  </si>
  <si>
    <t>C0HKG5</t>
  </si>
  <si>
    <t>Q9CQ01</t>
  </si>
  <si>
    <t>Rnase6pl</t>
  </si>
  <si>
    <t>MGI:1915445</t>
  </si>
  <si>
    <t>Disulfide bond; Endonuclease; Endoplasmic reticulum; Glycoprotein; Hydrolase; Immunity; Innate immunity; Lyase; Lysosome; Mitochondrion; Nuclease; Secreted; Signal</t>
  </si>
  <si>
    <t>Endoplasmic reticulum; Lysosome; Mitochondrion; Secreted</t>
  </si>
  <si>
    <t>Endonuclease; Hydrolase; Lyase; Nuclease</t>
  </si>
  <si>
    <t>innate immune response {GO:0045087}; RNA catabolic process {GO:0006401}</t>
  </si>
  <si>
    <t>endoplasmic reticulum lumen {GO:0005788}; extracellular region {GO:0005576}; extracellular space {GO:0005615}; lysosomal lumen {GO:0043202}; lysosome {GO:0005764}; mitochondrial intermembrane space {GO:0005758}</t>
  </si>
  <si>
    <t>endoribonuclease activity {GO:0004521}; ribonuclease activity {GO:0004540}; ribonuclease T2 activity {GO:0033897}; RNA binding {GO:0003723}</t>
  </si>
  <si>
    <t>sp|P85094|ISC2A_MOUSE</t>
  </si>
  <si>
    <t>Isochorismatase domain-containing protein 2A</t>
  </si>
  <si>
    <t>ISC2A_MOUSE</t>
  </si>
  <si>
    <t>P85094</t>
  </si>
  <si>
    <t>MGI:3609243</t>
  </si>
  <si>
    <t>Acetylation; Cytoplasm; Nucleus</t>
  </si>
  <si>
    <t>protein destabilization {GO:0031648}</t>
  </si>
  <si>
    <t>sp|Q8BGC0|HTSF1_MOUSE</t>
  </si>
  <si>
    <t>HIV Tat-specific factor 1 homolog</t>
  </si>
  <si>
    <t>HTSF1_MOUSE</t>
  </si>
  <si>
    <t>Q8BGC0</t>
  </si>
  <si>
    <t>B1AVC7; Q1WWK0; Q9CT41; Q9DAU3</t>
  </si>
  <si>
    <t>MGI:1919709</t>
  </si>
  <si>
    <t>Acetylation; Activator; Alternative splicing; Isopeptide bond; Nucleus; Phosphoprotein; Repeat; RNA-binding; Transcription; Transcription regulation; Ubl conjugation</t>
  </si>
  <si>
    <t>nucleoplasm {GO:0005654}; U2 snRNP {GO:0005686}; U2-type spliceosomal complex {GO:0005684}</t>
  </si>
  <si>
    <t>sp|Q8K4G5|ABLM1_MOUSE</t>
  </si>
  <si>
    <t>Actin-binding LIM protein 1 (abLIM-1)</t>
  </si>
  <si>
    <t>Actin-binding LIM protein family member 1</t>
  </si>
  <si>
    <t>ABLM1_MOUSE</t>
  </si>
  <si>
    <t>Q8K4G5</t>
  </si>
  <si>
    <t>Q80U86; Q8BIR9; Q8K4G3; Q8K4G4</t>
  </si>
  <si>
    <t>Ablim; Kiaa0059</t>
  </si>
  <si>
    <t>MGI:1194500</t>
  </si>
  <si>
    <t>Actin-binding; Alternative splicing; Coiled coil; Cytoplasm; Cytoskeleton; Isopeptide bond; LIM domain; Metal-binding; Phosphoprotein; Repeat; Ubl conjugation; Zinc</t>
  </si>
  <si>
    <t>Coiled coil; LIM domain; Repeat</t>
  </si>
  <si>
    <t>axon guidance {GO:0007411}; cilium assembly {GO:0060271}; cytoskeleton organization {GO:0007010}; lamellipodium assembly {GO:0030032}; positive regulation of transcription by RNA polymerase II {GO:0045944}; transcription by RNA polymerase II {GO:0006366}</t>
  </si>
  <si>
    <t>actin cytoskeleton {GO:0015629}; cytoplasm {GO:0005737}; lamellipodium {GO:0030027}; postsynaptic density {GO:0014069}; stress fiber {GO:0001725}</t>
  </si>
  <si>
    <t>actin binding {GO:0003779}; actin filament binding {GO:0051015}; metal ion binding {GO:0046872}</t>
  </si>
  <si>
    <t>sp|Q9Z2C9|MTMR7_MOUSE</t>
  </si>
  <si>
    <t>Myotubularin-related protein 7</t>
  </si>
  <si>
    <t>Inositol 1,3-bisphosphate phosphatase; Phosphatidylinositol-3-phosphate phosphatase</t>
  </si>
  <si>
    <t>MTMR7_MOUSE</t>
  </si>
  <si>
    <t>Q9Z2C9</t>
  </si>
  <si>
    <t>Q8C4J6</t>
  </si>
  <si>
    <t>MGI:1891693</t>
  </si>
  <si>
    <t>Coiled coil; Cytoplasm; Hydrolase; Lipid metabolism; Membrane; Phosphoprotein</t>
  </si>
  <si>
    <t>inositol phosphate dephosphorylation {GO:0046855}; phosphatidylinositol dephosphorylation {GO:0046856}</t>
  </si>
  <si>
    <t>cytoplasm {GO:0005737}; cytosol {GO:0005829}; endomembrane system {GO:0012505}; membrane {GO:0016020}</t>
  </si>
  <si>
    <t>inositol bisphosphate phosphatase activity {GO:0016312}; phosphatidylinositol-3-phosphatase activity {GO:0004438}</t>
  </si>
  <si>
    <t>Synthesis of PIPs at the late endosome membrane {R-MMU-1660517}</t>
  </si>
  <si>
    <t>sp|Q9JLQ0|CD2AP_MOUSE</t>
  </si>
  <si>
    <t>CD2-associated protein</t>
  </si>
  <si>
    <t>Mesenchyme-to-epithelium transition protein with SH3 domains 1 (METS-1)</t>
  </si>
  <si>
    <t>CD2AP_MOUSE</t>
  </si>
  <si>
    <t>Q9JLQ0</t>
  </si>
  <si>
    <t>E9QL86; O88903; Q8K4Z1; Q8VCI9</t>
  </si>
  <si>
    <t>Mets1</t>
  </si>
  <si>
    <t>MGI:1330281</t>
  </si>
  <si>
    <t>3D-structure; Cell cycle; Cell division; Cell junction; Cell projection; Coiled coil; Cytoplasm; Cytoskeleton; Isopeptide bond; Mitosis; Phosphoprotein; Repeat; SH3 domain; SH3-binding; Ubl conjugation</t>
  </si>
  <si>
    <t>Coiled coil; Repeat; SH3 domain; SH3-binding</t>
  </si>
  <si>
    <t>actin filament organization {GO:0007015}; cell cycle {GO:0007049}; cell division {GO:0051301}; cell migration {GO:0016477}; cell-cell adhesion {GO:0098609}; negative regulation of small GTPase mediated signal transduction {GO:0051058}; negative regulation of transforming growth factor beta1 production {GO:0032911}; positive regulation of protein localization to nucleus {GO:1900182}; positive regulation of protein secretion {GO:0050714}; proteasome-mediated ubiquitin-dependent protein catabolic process {GO:0043161}; regulation of actin cytoskeleton reorganization {GO:2000249}; regulation of receptor-mediated endocytosis {GO:0048259}; transforming growth factor beta1 production {GO:0032905}; vesicle organization {GO:0016050}</t>
  </si>
  <si>
    <t>axon {GO:0030424}; cell cortex {GO:0005938}; cell leading edge {GO:0031252}; cell-cell junction {GO:0005911}; centriolar satellite {GO:0034451}; cytoplasm {GO:0005737}; cytosol {GO:0005829}; dendrite {GO:0030425}; endocytic vesicle {GO:0030139}; fibrillar center {GO:0001650}; filamentous actin {GO:0031941}; perinuclear region of cytoplasm {GO:0048471}; plasma membrane {GO:0005886}; protein-containing complex {GO:0032991}; ruffle {GO:0001726}; vesicle {GO:0031982}</t>
  </si>
  <si>
    <t>beta-catenin binding {GO:0008013}; cadherin binding {GO:0045296}; identical protein binding {GO:0042802}; protein C-terminus binding {GO:0008022}; protein-containing complex binding {GO:0044877}; SH3 domain binding {GO:0017124}; vascular endothelial growth factor receptor binding {GO:0005172}</t>
  </si>
  <si>
    <t>sp|Q8BHA3|DTD2_MOUSE</t>
  </si>
  <si>
    <t>D-aminoacyl-tRNA deacylase 2</t>
  </si>
  <si>
    <t>Animalia-specific tRNA deacylase (ATD); D-tyrosyl-tRNA deacylase 2; L-alanyl-tRNA deacylase</t>
  </si>
  <si>
    <t>DTD2_MOUSE</t>
  </si>
  <si>
    <t>Q8BHA3</t>
  </si>
  <si>
    <t>Q9D363; Q9D4Q5</t>
  </si>
  <si>
    <t>MGI:1923485</t>
  </si>
  <si>
    <t>3D-structure; Alternative splicing; Cytoplasm; Hydrolase; RNA-binding; tRNA-binding</t>
  </si>
  <si>
    <t>Hydrolase; RNA-binding; tRNA-binding</t>
  </si>
  <si>
    <t>aminoacyl-tRNA metabolism involved in translational fidelity {GO:0106074}; tRNA metabolic process {GO:0006399}</t>
  </si>
  <si>
    <t>Ala-tRNA(Thr) hydrolase activity {GO:0106105}; D-tyrosyl-tRNA(Tyr) deacylase activity {GO:0051500}; tRNA binding {GO:0000049}</t>
  </si>
  <si>
    <t>sp|Q8CCP0|NEMF_MOUSE</t>
  </si>
  <si>
    <t>Ribosome quality control complex subunit NEMF</t>
  </si>
  <si>
    <t>Nuclear export mediator factor; Serologically defined colon cancer antigen 1 homolog</t>
  </si>
  <si>
    <t>NEMF_MOUSE</t>
  </si>
  <si>
    <t>Q8CCP0</t>
  </si>
  <si>
    <t>Q3TAS9; Q3UF46; Q66JX6; Q8C9R6; Q8CA65; Q8JZT9; Q8R072; Q9CW30; Q9CYB8; Q9D4A9</t>
  </si>
  <si>
    <t>Sdccag1</t>
  </si>
  <si>
    <t>MGI:1918305</t>
  </si>
  <si>
    <t>Alternative splicing; Coiled coil; Nucleus; Phosphoprotein</t>
  </si>
  <si>
    <t>CAT tailing {GO:0140708}; nuclear export {GO:0051168}; protein-containing complex assembly {GO:0065003}; rescue of stalled ribosome {GO:0072344}; ribosome-associated ubiquitin-dependent protein catabolic process {GO:1990116}</t>
  </si>
  <si>
    <t>cytosol {GO:0005829}; nucleus {GO:0005634}; RQC complex {GO:1990112}</t>
  </si>
  <si>
    <t>ribosomal large subunit binding {GO:0043023}; tRNA binding {GO:0000049}</t>
  </si>
  <si>
    <t>sp|Q64520|KGUA_MOUSE</t>
  </si>
  <si>
    <t>Guanylate kinase</t>
  </si>
  <si>
    <t>GMP kinase; Guanylate kinase 1</t>
  </si>
  <si>
    <t>KGUA_MOUSE</t>
  </si>
  <si>
    <t>Q64520</t>
  </si>
  <si>
    <t>Q564F2; Q564G0</t>
  </si>
  <si>
    <t>MGI:95871</t>
  </si>
  <si>
    <t>3D-structure; Alternative splicing; ATP-binding; Cytoplasm; Kinase; Nucleotide-binding; Transferase</t>
  </si>
  <si>
    <t>ATP metabolic process {GO:0046034}; dATP metabolic process {GO:0046060}; dGDP biosynthetic process {GO:0006185}; dGMP metabolic process {GO:0046054}; GDP biosynthetic process {GO:0046711}; GDP-mannose metabolic process {GO:0019673}; glycoprotein transport {GO:0034436}; GMP metabolic process {GO:0046037}; nucleotide phosphorylation {GO:0046939}; purine nucleotide metabolic process {GO:0006163}; xenobiotic metabolic process {GO:0006805}</t>
  </si>
  <si>
    <t>cytosol {GO:0005829}; photoreceptor inner segment {GO:0001917}</t>
  </si>
  <si>
    <t>ATP binding {GO:0005524}; guanylate kinase activity {GO:0004385}</t>
  </si>
  <si>
    <t>sp|Q9DAW6|PRP4_MOUSE</t>
  </si>
  <si>
    <t>U4/U6 small nuclear ribonucleoprotein Prp4</t>
  </si>
  <si>
    <t>U4/U6 snRNP 60 kDa protein; WD splicing factor Prp4</t>
  </si>
  <si>
    <t>PRP4_MOUSE</t>
  </si>
  <si>
    <t>Q9DAW6</t>
  </si>
  <si>
    <t>MGI:1917302</t>
  </si>
  <si>
    <t>Acetylation; mRNA processing; mRNA splicing; Nucleus; Repeat; Spliceosome; WD repeat</t>
  </si>
  <si>
    <t>Cajal body {GO:0015030}; nuclear speck {GO:0016607}; nucleus {GO:0005634}; spliceosomal snRNP complex {GO:0097525}; U2-type precatalytic spliceosome {GO:0071005}; U4/U6 snRNP {GO:0071001}; U4/U6 x U5 tri-snRNP complex {GO:0046540}</t>
  </si>
  <si>
    <t>U4 snRNA binding {GO:0030621}; U6 snRNA binding {GO:0017070}</t>
  </si>
  <si>
    <t>sp|O54941|SMCE1_MOUSE</t>
  </si>
  <si>
    <t>SWI/SNF-related matrix-associated actin-dependent regulator of chromatin subfamily E member 1</t>
  </si>
  <si>
    <t>BRG1-associated factor 57 (BAF57)</t>
  </si>
  <si>
    <t>SMCE1_MOUSE</t>
  </si>
  <si>
    <t>O54941</t>
  </si>
  <si>
    <t>Q8BPD9</t>
  </si>
  <si>
    <t>Baf57</t>
  </si>
  <si>
    <t>MGI:1927347</t>
  </si>
  <si>
    <t>Chromatin regulator; Coiled coil; DNA-binding; Isopeptide bond; Methylation; Neurogenesis; Nucleus; Phosphoprotein; Ubl conjugation</t>
  </si>
  <si>
    <t>chromatin remodeling {GO:0006338}; negative regulation of DNA-templated transcription {GO:0045892}; neurogenesis {GO:0022008}; nucleosome disassembly {GO:0006337}; positive regulation of cell differentiation {GO:0045597}; positive regulation of double-strand break repair {GO:2000781}; positive regulation of myoblast differentiation {GO:0045663}; positive regulation of stem cell population maintenance {GO:1902459}; positive regulation of T cell differentiation {GO:0045582};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</t>
  </si>
  <si>
    <t>bBAF complex {GO:0140092}; brahma complex {GO:0035060}; chromatin {GO:0000785}; kinetochore {GO:0000776}; nBAF complex {GO:0071565}; npBAF complex {GO:0071564}; nuclear matrix {GO:0016363}; nucleoplasm {GO:0005654}; nucleus {GO:0005634}; RSC-type complex {GO:0016586}; SWI/SNF complex {GO:0016514}</t>
  </si>
  <si>
    <t>DNA binding {GO:0003677}; N-acetyltransferase activity {GO:0008080}; nuclear receptor binding {GO:0016922}; protein N-terminus binding {GO:0047485}; RNA binding {GO:0003723}</t>
  </si>
  <si>
    <t>sp|P11438|LAMP1_MOUSE</t>
  </si>
  <si>
    <t>Lysosome-associated membrane glycoprotein 1 (LAMP-1; Lysosome-associated membrane protein 1)</t>
  </si>
  <si>
    <t>120 kDa lysosomal membrane glycoprotein; CD107 antigen-like family member A; LGP-120; Lysosomal membrane glycoprotein A (LGP-A); P2B; CD_antigen=CD107a</t>
  </si>
  <si>
    <t>LAMP1_MOUSE</t>
  </si>
  <si>
    <t>P11438</t>
  </si>
  <si>
    <t>Q62020</t>
  </si>
  <si>
    <t>Lamp-1</t>
  </si>
  <si>
    <t>MGI:96745</t>
  </si>
  <si>
    <t>3D-structure; Cell membrane; Disulfide bond; Endosome; Glycoprotein; Lysosome; Membrane; Signal; Transmembrane; Transmembrane helix</t>
  </si>
  <si>
    <t>Cell membrane; Endosome; Lysosome; Membrane</t>
  </si>
  <si>
    <t>autophagic cell death {GO:0048102}; establishment of protein localization to organelle {GO:0072594}; Golgi to lysosome transport {GO:0090160}; granzyme-mediated programmed cell death signaling pathway {GO:0140507}; positive regulation of natural killer cell degranulation {GO:0043323}; positive regulation of natural killer cell mediated cytotoxicity {GO:0045954}; protein stabilization {GO:0050821}; regulation of organelle transport along microtubule {GO:1902513}; spermatogenesis {GO:0007283}</t>
  </si>
  <si>
    <t>alveolar lamellar body {GO:0097208}; autolysosome {GO:0044754}; autophagosome membrane {GO:0000421}; cell surface {GO:0009986}; cytolytic granule {GO:0044194}; cytolytic granule membrane {GO:0101004}; cytoplasm {GO:0005737}; cytoplasmic vesicle {GO:0031410}; cytosol {GO:0005829}; dendrite {GO:0030425}; endosome {GO:0005768}; endosome membrane {GO:0010008}; external side of plasma membrane {GO:0009897}; integral component of synaptic vesicle membrane {GO:0030285}; late endosome {GO:0005770}; late endosome membrane {GO:0031902}; lysosomal membrane {GO:0005765}; lysosome {GO:0005764}; melanosome {GO:0042470}; multivesicular body {GO:0005771}; neuronal cell body {GO:0043025}; perinuclear region of cytoplasm {GO:0048471}; phagocytic vesicle {GO:0045335}; phagolysosome membrane {GO:0061474}; plasma membrane {GO:0005886}; sarcolemma {GO:0042383}; synaptic vesicle {GO:0008021}; vacuole {GO:0005773}; vesicle {GO:0031982}</t>
  </si>
  <si>
    <t>sp|Q8VCM8|NCLN_MOUSE</t>
  </si>
  <si>
    <t>Nicalin</t>
  </si>
  <si>
    <t>Nicastrin-like protein</t>
  </si>
  <si>
    <t>NCLN_MOUSE</t>
  </si>
  <si>
    <t>Q8VCM8</t>
  </si>
  <si>
    <t>Q8C7Y4; Q9CX81</t>
  </si>
  <si>
    <t>MGI:1926081</t>
  </si>
  <si>
    <t>Endoplasmic reticulum; Glycoprotein; Membrane; Signal; Transmembrane; Transmembrane helix</t>
  </si>
  <si>
    <t>protein stabilization {GO:0050821}; regulation of protein complex stability {GO:0061635}; regulation of protein-containing complex assembly {GO:0043254}; regulation of signal transduction {GO:0009966}</t>
  </si>
  <si>
    <t>sp|Q99JX7|NXF1_MOUSE</t>
  </si>
  <si>
    <t>Nuclear RNA export factor 1</t>
  </si>
  <si>
    <t>Tip-associated protein; Tip-associating protein; mRNA export factor TAP</t>
  </si>
  <si>
    <t>NXF1_MOUSE</t>
  </si>
  <si>
    <t>Q99JX7</t>
  </si>
  <si>
    <t>O88985; Q3TJA5</t>
  </si>
  <si>
    <t>Tap</t>
  </si>
  <si>
    <t>MGI:1858330</t>
  </si>
  <si>
    <t>Acetylation; Cytoplasm; Leucine-rich repeat; Methylation; mRNA transport; Nitration; Nuclear pore complex; Nucleus; Protein transport; Repeat; RNA-binding; Translocation; Transport</t>
  </si>
  <si>
    <t>Cytoplasm; Nuclear pore complex; Nucleus</t>
  </si>
  <si>
    <t>Acetylation; Methylation; Nitration</t>
  </si>
  <si>
    <t>mRNA export from nucleus {GO:0006406}; poly(A)+ mRNA export from nucleus {GO:0016973}; protein transport {GO:0015031}; RNA export from nucleus {GO:0006405}</t>
  </si>
  <si>
    <t>cytoplasm {GO:0005737}; cytoplasmic stress granule {GO:0010494}; nuclear inclusion body {GO:0042405}; nuclear pore {GO:0005643}; nuclear RNA export factor complex {GO:0042272}; nuclear speck {GO:0016607}; nucleoplasm {GO:0005654}; nucleus {GO:0005634}; transcription export complex {GO:0000346}</t>
  </si>
  <si>
    <t>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</t>
  </si>
  <si>
    <t>tr|Q3ULL6|Q3ULL6_MOUSE</t>
  </si>
  <si>
    <t>sp|P70335|ROCK1_MOUSE</t>
  </si>
  <si>
    <t>Rho-associated protein kinase 1</t>
  </si>
  <si>
    <t>Rho-associated, coiled-coil-containing protein kinase 1; Rho-associated, coiled-coil-containing protein kinase I (ROCK-I); p160 ROCK-1 (p160ROCK)</t>
  </si>
  <si>
    <t>ROCK1_MOUSE</t>
  </si>
  <si>
    <t>P70335</t>
  </si>
  <si>
    <t>Q8C3G4; Q8C7H0</t>
  </si>
  <si>
    <t>MGI:107927</t>
  </si>
  <si>
    <t>Acetylation; Alternative splicing; Apoptosis; ATP-binding; Cell membrane; Cell projection; Coiled coil; Cytoplasm; Cytoskeleton; Golgi apparatus; Kinase; Magnesium; Membrane; Metal-binding; Nucleotide-binding; Phosphoprotein; Serine/threonine-protein kinase; Transferase; Zinc; Zinc-finger</t>
  </si>
  <si>
    <t>Cell membrane; Cell projection; Cytoplasm; Cytoskeleton; Golgi apparatus; Membrane</t>
  </si>
  <si>
    <t>actin cytoskeleton organization {GO:0030036}; actomyosin structure organization {GO:0031032}; apical constriction {GO:0003383}; bleb assembly {GO:0032060}; blood vessel diameter maintenance {GO:0097746}; cortical actin cytoskeleton organization {GO:0030866}; cytoskeleton organization {GO:0007010}; embryonic morphogenesis {GO:0048598}; epithelial to mesenchymal transition {GO:0001837}; I-kappaB kinase/NF-kappaB signaling {GO:0007249}; leukocyte cell-cell adhesion {GO:0007159}; leukocyte migration {GO:0050900}; leukocyte tethering or rolling {GO:0050901}; membrane to membrane docking {GO:0022614}; mitotic cytokinesis {GO:0000281}; motor neuron apoptotic process {GO:0097049}; mRNA destabilization {GO:0061157}; myoblast migration {GO:0051451}; negative regulation of amyloid precursor protein catabolic process {GO:1902992}; negative regulation of amyloid-beta formation {GO:1902430}; negative regulation of angiogenesis {GO:0016525}; negative regulation of bicellular tight junction assembly {GO:1903347}; negative regulation of motor neuron apoptotic process {GO:2000672}; negative regulation of myosin-light-chain-phosphatase activity {GO:0035509}; negative regulation of phosphorylation {GO:0042326}; negative regulation of protein binding {GO:0032091}; neuron projection arborization {GO:0140058}; neuron projection development {GO:0031175}; peptidyl-serine phosphorylation {GO:0018105}; peptidyl-threonine phosphorylation {GO:0018107}; podocyte cell migration {GO:0090521}; positive regulation of amyloid-beta clearance {GO:1900223}; positive regulation of autophagy {GO:0010508}; positive regulation of cardiac muscle hypertrophy {GO:0010613}; positive regulation of connective tissue replacement {GO:1905205}; positive regulation of dephosphorylation {GO:0035306}; positive regulation of focal adhesion assembly {GO:0051894}; positive regulation of gene expression {GO:0010628}; positive regulation of MAPK cascade {GO:0043410}; positive regulation of phosphatase activity {GO:0010922}; protein localization to plasma membrane {GO:0072659}; protein phosphorylation {GO:0006468}; regulation of actin cytoskeleton organization {GO:0032956}; regulation of actin filament-based process {GO:0032970}; regulation of angiotensin-activated signaling pathway {GO:0110061}; regulation of cell junction assembly {GO:1901888}; regulation of cell migration {GO:0030334}; regulation of establishment of endothelial barrier {GO:1903140}; regulation of keratinocyte differentiation {GO:0045616}; regulation of microtubule cytoskeleton organization {GO:0070507}; regulation of neuron differentiation {GO:0045664}; regulation of synaptic vesicle endocytosis {GO:1900242}; response to angiotensin {GO:1990776}; response to transforming growth factor beta {GO:0071559}; Rho protein signal transduction {GO:0007266}</t>
  </si>
  <si>
    <t>amyloid-beta complex {GO:0106003}; bleb {GO:0032059}; centriole {GO:0005814}; cytoplasm {GO:0005737}; cytoplasmic stress granule {GO:0010494}; cytoskeleton {GO:0005856}; Golgi membrane {GO:0000139}; lamellipodium {GO:0030027}; plasma membrane {GO:0005886}; ruffle {GO:0001726}</t>
  </si>
  <si>
    <t>aspartic-type endopeptidase inhibitor activity {GO:0019828}; ATP binding {GO:0005524}; metal ion binding {GO:0046872}; protein serine kinase activity {GO:0106310}; protein serine/threonine kinase activity {GO:0004674}; Rho-dependent protein serine/threonine kinase activity {GO:0072518}; small GTPase binding {GO:0031267}</t>
  </si>
  <si>
    <t>Apoptotic cleavage of cellular proteins {R-MMU-111465}; EPHB-mediated forward signaling {R-MMU-3928662}; G alpha (12/13) signalling events {R-MMU-416482}; Sema4D induced cell migration and growth-cone collapse {R-MMU-416572}; VEGFA-VEGFR2 Pathway {R-MMU-4420097}; RHO GTPases Activate ROCKs {R-MMU-5627117}; Neutrophil degranulation {R-MMU-6798695}; RHOA GTPase cycle {R-MMU-8980692}; RHOB GTPase cycle {R-MMU-9013026}; RHOC GTPase cycle {R-MMU-9013106}; RHOH GTPase cycle {R-MMU-9013407}; RHOBTB1 GTPase cycle {R-MMU-9013422}; RND3 GTPase cycle {R-MMU-9696264}</t>
  </si>
  <si>
    <t>sp|P49962|SRP09_MOUSE</t>
  </si>
  <si>
    <t>Signal recognition particle 9 kDa protein (SRP9)</t>
  </si>
  <si>
    <t>SRP09_MOUSE</t>
  </si>
  <si>
    <t>P49962</t>
  </si>
  <si>
    <t>Q9D085</t>
  </si>
  <si>
    <t>MGI:1350930</t>
  </si>
  <si>
    <t>3D-structure; Cytoplasm; Ribonucleoprotein; RNA-binding; Signal recognition particle</t>
  </si>
  <si>
    <t>Cytoplasm; Signal recognition particle</t>
  </si>
  <si>
    <t>negative regulation of translational elongation {GO:0045900}; SRP-dependent cotranslational protein targeting to membrane {GO:0006614}</t>
  </si>
  <si>
    <t>signal recognition particle, endoplasmic reticulum targeting {GO:0005786}</t>
  </si>
  <si>
    <t>7S RNA binding {GO:0008312}</t>
  </si>
  <si>
    <t>sp|Q8BTV2|CPSF7_MOUSE</t>
  </si>
  <si>
    <t>Cleavage and polyadenylation specificity factor subunit 7</t>
  </si>
  <si>
    <t>CPSF7_MOUSE</t>
  </si>
  <si>
    <t>Q8BTV2</t>
  </si>
  <si>
    <t>Q3TNF1; Q8BKE7; Q8CFS8</t>
  </si>
  <si>
    <t>MGI:1917826</t>
  </si>
  <si>
    <t>Alternative splicing; Cytoplasm; Isopeptide bond; mRNA processing; Nucleus; Phosphoprotein; RNA-binding; Ubl conjugation</t>
  </si>
  <si>
    <t>messenger ribonucleoprotein complex assembly {GO:1990120}; mRNA 3'-end processing {GO:0031124}; mRNA alternative polyadenylation {GO:0110104}; pre-mRNA cleavage required for polyadenylation {GO:0098789}; protein heterotetramerization {GO:0051290}; protein tetramerization {GO:0051262}</t>
  </si>
  <si>
    <t>cytoplasm {GO:0005737}; mRNA cleavage and polyadenylation specificity factor complex {GO:0005847}; mRNA cleavage factor complex {GO:0005849}; nucleus {GO:0005634}</t>
  </si>
  <si>
    <t>mRNA Splicing - Major Pathway {R-MMU-72163}; mRNA 3'-end processing {R-MMU-72187}; RNA Polymerase II Transcription Termination {R-MMU-73856}; Processing of Intronless Pre-mRNAs {R-MMU-77595}; RHOBTB1 GTPase cycle {R-MMU-9013422}</t>
  </si>
  <si>
    <t>sp|Q6PGB8|SMCA1_MOUSE</t>
  </si>
  <si>
    <t>Probable global transcription activator SNF2L1</t>
  </si>
  <si>
    <t>ATP-dependent helicase SMARCA1; DNA-dependent ATPase SNF2L; Nucleosome-remodeling factor subunit SNF2L; SWI/SNF-related matrix-associated actin-dependent regulator of chromatin subfamily A member 1</t>
  </si>
  <si>
    <t>SMCA1_MOUSE</t>
  </si>
  <si>
    <t>Q6PGB8</t>
  </si>
  <si>
    <t>B1AUP6; B1AUP7; Q8BSS1; Q91Y58</t>
  </si>
  <si>
    <t>Snf2l</t>
  </si>
  <si>
    <t>MGI:1935127</t>
  </si>
  <si>
    <t>Activator; Alternative splicing; ATP-binding; Chromatin regulator; Coiled coil; DNA-binding; Helicase; Hydrolase; Isopeptide bond; Nucleotide-binding; Nucleus; Phosphoprotein; Repeat; Transcription; Transcription regulation; Ubl conjugation</t>
  </si>
  <si>
    <t>Activator; Chromatin regulator; DNA-binding; Helicase; Hydrolase</t>
  </si>
  <si>
    <t>brain development {GO:0007420}; chromatin remodeling {GO:0006338}; neuron differentiation {GO:0030182}; positive regulation of DNA-templated transcription {GO:0045893}; positive regulation of transcription by RNA polymerase II {GO:0045944}; regulation of DNA-templated transcription {GO:0006355}; regulation of neural precursor cell proliferation {GO:2000177}</t>
  </si>
  <si>
    <t>ATPase complex {GO:1904949}; CERF complex {GO:0090537}; chromatin {GO:0000785}; intracellular membrane-bounded organelle {GO:0043231}; nucleoplasm {GO:0005654}; nucleus {GO:0005634}; NURF complex {GO:0016589}</t>
  </si>
  <si>
    <t>ATP binding {GO:0005524}; ATP-dependent activity, acting on DNA {GO:0008094}; ATP-dependent chromatin remodeler activity {GO:0140658}; ATP-dependent DNA/DNA annealing activity {GO:0036310}; chromatin binding {GO:0003682}; DNA binding {GO:0003677}; helicase activity {GO:0004386}; hydrolase activity {GO:0016787}; nucleosome binding {GO:0031491}; RNA polymerase II-specific DNA-binding transcription factor binding {GO:0061629}</t>
  </si>
  <si>
    <t>sp|Q9CQY1|ATG12_MOUSE</t>
  </si>
  <si>
    <t>Ubiquitin-like protein ATG12</t>
  </si>
  <si>
    <t>Autophagy-related protein 12 (APG12-like)</t>
  </si>
  <si>
    <t>ATG12_MOUSE</t>
  </si>
  <si>
    <t>Q9CQY1</t>
  </si>
  <si>
    <t>Q3TKE5; Q9D7Y5</t>
  </si>
  <si>
    <t>Apg12; Apg12l</t>
  </si>
  <si>
    <t>MGI:1914776</t>
  </si>
  <si>
    <t>Acetylation; Autophagy; Cytoplasm; Isopeptide bond; Membrane; Ubl conjugation pathway</t>
  </si>
  <si>
    <t>autophagosome assembly {GO:0000045}; autophagy {GO:0006914}; autophagy of mitochondrion {GO:0000422}; autophagy of nucleus {GO:0044804}; C-terminal protein lipidation {GO:0006501}; macroautophagy {GO:0016236}; negative regulation of defense response to virus {GO:0050687}; negative regulation of innate immune response {GO:0045824}; negative regulation of type I interferon production {GO:0032480}; positive regulation of viral translation {GO:1904973}; protein lipidation {GO:0006497}; regulation of autophagosome maturation {GO:1901096}</t>
  </si>
  <si>
    <t>Atg12-Atg5-Atg16 complex {GO:0034274}; autophagosome {GO:0005776}; cytosol {GO:0005829}; intracellular membrane-bounded organelle {GO:0043231}; membrane {GO:0016020}; nucleoplasm {GO:0005654}; phagophore assembly site membrane {GO:0034045}; protein-containing complex {GO:0032991}; transferase complex {GO:1990234}</t>
  </si>
  <si>
    <t>Macroautophagy {R-MMU-1632852}; PINK1-PRKN Mediated Mitophagy {R-MMU-5205685}; Receptor Mediated Mitophagy {R-MMU-8934903}</t>
  </si>
  <si>
    <t>sp|P28798|GRN_MOUSE</t>
  </si>
  <si>
    <t>Granulin-7</t>
  </si>
  <si>
    <t>Acrogranin; Epithelin/granulin precursor; Glycoprotein of 88 Kda (GP88; Glycoprotein 88); PC cell-derived growth factor (PCDGF); Proepithelin (PEPI)</t>
  </si>
  <si>
    <t>GRN_MOUSE</t>
  </si>
  <si>
    <t>P28798</t>
  </si>
  <si>
    <t>MGI:95832</t>
  </si>
  <si>
    <t>Cytokine; Disulfide bond; Glycoprotein; Lysosome; Repeat; Secreted; Signal</t>
  </si>
  <si>
    <t>Cytokine</t>
  </si>
  <si>
    <t>astrocyte activation involved in immune response {GO:0002265}; blastocyst hatching {GO:0001835}; chondrocyte proliferation {GO:0035988}; embryo implantation {GO:0007566}; epithelial cell proliferation {GO:0050673}; locomotory exploration behavior {GO:0035641}; lysosomal lumen acidification {GO:0007042}; lysosomal protein catabolic process {GO:1905146}; lysosomal transport {GO:0007041}; lysosome organization {GO:0007040}; male mating behavior {GO:0060179}; microglial cell activation involved in immune response {GO:0002282}; negative regulation of hydrolase activity {GO:0051346}; negative regulation of inflammatory response {GO:0050728}; negative regulation of innate immune response {GO:0045824}; negative regulation of microglial cell activation {GO:1903979}; negative regulation of neuron apoptotic process {GO:0043524}; negative regulation of neutrophil activation {GO:1902564}; negative regulation of respiratory burst involved in inflammatory response {GO:0060266}; neural precursor cell proliferation {GO:0061351}; positive regulation of angiogenesis {GO:0045766}; positive regulation of aspartic-type peptidase activity {GO:1905247}; positive regulation of axon regeneration {GO:0048680}; positive regulation of cell migration {GO:0030335}; positive regulation of cell population proliferation {GO:0008284}; positive regulation of defense response to bacterium {GO:1900426}; positive regulation of dendritic spine development {GO:0060999}; positive regulation of endothelial cell migration {GO:0010595}; positive regulation of epithelial cell proliferation {GO:0050679}; positive regulation of inflammatory response to wounding {GO:0106016}; positive regulation of lysosome organization {GO:1905673}; positive regulation of neuron apoptotic process {GO:0043525}; positive regulation of neuron projection development {GO:0010976}; positive regulation of protein folding {GO:1903334}; positive regulation of trophectodermal cell proliferation {GO:1904075}; protein stabilization {GO:0050821}; regulation of inflammatory response {GO:0050727}; regulation of lysosome organization {GO:1905671}; response to estradiol {GO:0032355}; retina development in camera-type eye {GO:0060041}; synaptic vesicle endocytosis {GO:0048488}; trophectodermal cell proliferation {GO:0001834}</t>
  </si>
  <si>
    <t>endoplasmic reticulum {GO:0005783}; endosome {GO:0005768}; extracellular region {GO:0005576}; extracellular space {GO:0005615}; Golgi apparatus {GO:0005794}; late endosome {GO:0005770}; lysosomal membrane {GO:0005765}; lysosome {GO:0005764}; membrane {GO:0016020}; mitochondrion {GO:0005739}; plasma membrane {GO:0005886}; presynapse {GO:0098793}; trans-Golgi network {GO:0005802}; vesicle {GO:0031982}</t>
  </si>
  <si>
    <t>chaperone binding {GO:0051087}; cytokine activity {GO:0005125}</t>
  </si>
  <si>
    <t>sp|O70378|EMC8_MOUSE</t>
  </si>
  <si>
    <t>ER membrane protein complex subunit 8</t>
  </si>
  <si>
    <t>Neighbor of COX4</t>
  </si>
  <si>
    <t>EMC8_MOUSE</t>
  </si>
  <si>
    <t>O70378</t>
  </si>
  <si>
    <t>Cox4al; Cox4nb; Noc4</t>
  </si>
  <si>
    <t>MGI:1343095</t>
  </si>
  <si>
    <t>protein insertion into ER membrane by stop-transfer membrane-anchor sequence {GO:0045050}; tail-anchored membrane protein insertion into ER membrane {GO:0071816}</t>
  </si>
  <si>
    <t>cytoplasm {GO:0005737}; EMC complex {GO:0072546}; endoplasmic reticulum {GO:0005783}; endoplasmic reticulum membrane {GO:0005789}; Golgi apparatus {GO:0005794}; mitochondrion {GO:0005739}</t>
  </si>
  <si>
    <t>membrane insertase activity {GO:0032977}</t>
  </si>
  <si>
    <t>sp|Q6NV83|SR140_MOUSE</t>
  </si>
  <si>
    <t>U2 snRNP-associated SURP motif-containing protein</t>
  </si>
  <si>
    <t>140 kDa Ser/Arg-rich domain protein; U2-associated protein SR140</t>
  </si>
  <si>
    <t>SR140_MOUSE</t>
  </si>
  <si>
    <t>Q6NV83</t>
  </si>
  <si>
    <t>E9QK93; Q9CSW7; Q9CT00</t>
  </si>
  <si>
    <t>Sr140</t>
  </si>
  <si>
    <t>MGI:1915208</t>
  </si>
  <si>
    <t>Acetylation; Alternative splicing; Coiled coil; Isopeptide bond; Nucleus; Phosphoprotein; RNA-binding; Ubl conjugation</t>
  </si>
  <si>
    <t>sp|P35803|GPM6B_MOUSE</t>
  </si>
  <si>
    <t>Neuronal membrane glycoprotein M6-b (M6b)</t>
  </si>
  <si>
    <t>GPM6B_MOUSE</t>
  </si>
  <si>
    <t>P35803</t>
  </si>
  <si>
    <t>A2AEG4; Q8R3J6; Q99L14; Q9D4F5; Q9JHG9; Q9JHI1; Q9JHK2; Q9JI62; Q9JI63; Q9JI64; Q9JI65</t>
  </si>
  <si>
    <t>M6b</t>
  </si>
  <si>
    <t>MGI:107672</t>
  </si>
  <si>
    <t>Alternative splicing; Cell membrane; Glycoprotein; Membrane; Osteogenesis; Phosphoprotein; Protein transport; Transmembrane; Transmembrane helix; Transport</t>
  </si>
  <si>
    <t>Osteogenesis; Protein transport; Transport</t>
  </si>
  <si>
    <t>extracellular matrix assembly {GO:0085029}; negative regulation of protein localization to cell surface {GO:2000009}; negative regulation of serotonin uptake {GO:0051612}; neuron projection development {GO:0031175}; ossification {GO:0001503}; positive regulation of bone mineralization {GO:0030501}; protein transport {GO:0015031}; regulation of actin cytoskeleton organization {GO:0032956}; regulation of focal adhesion assembly {GO:0051893}</t>
  </si>
  <si>
    <t>integral component of membrane {GO:0016021}; membrane raft {GO:0045121}; plasma membrane {GO:0005886}</t>
  </si>
  <si>
    <t>sp|Q9D727|CF226_MOUSE</t>
  </si>
  <si>
    <t>Uncharacterized protein C6orf226 homolog</t>
  </si>
  <si>
    <t>CF226_MOUSE</t>
  </si>
  <si>
    <t>Q9D727</t>
  </si>
  <si>
    <t>Q9D1N0</t>
  </si>
  <si>
    <t>MGI:1914351</t>
  </si>
  <si>
    <t>sp|Q9CWU9|NUP37_MOUSE</t>
  </si>
  <si>
    <t>Nucleoporin Nup37</t>
  </si>
  <si>
    <t>Nup107-160 subcomplex subunit Nup37</t>
  </si>
  <si>
    <t>NUP37_MOUSE</t>
  </si>
  <si>
    <t>Q9CWU9</t>
  </si>
  <si>
    <t>Q9CZ80</t>
  </si>
  <si>
    <t>MGI:1919964</t>
  </si>
  <si>
    <t>Cell cycle; Cell division; Centromere; Chromosome; Chromosome partition; Kinetochore; Mitosis; mRNA transport; Nuclear pore complex; Nucleus; Protein transport; Repeat; Translocation; Transport; WD repeat</t>
  </si>
  <si>
    <t>Cell cycle; Cell division; Chromosome partition; Mitosis; Protein transport; Translocation; Transport; mRNA transport</t>
  </si>
  <si>
    <t>Centromere; Chromosome; Kinetochore; Nuclear pore complex; Nucleus</t>
  </si>
  <si>
    <t>cell cycle {GO:0007049}; cell division {GO:0051301}; chromosome segregation {GO:0007059}; mRNA transport {GO:0051028}; nucleocytoplasmic transport {GO:0006913}; protein transport {GO:0015031}</t>
  </si>
  <si>
    <t>kinetochore {GO:0000776}; nuclear envelope {GO:0005635}; nuclear pore {GO:0005643}; nuclear pore outer ring {GO:0031080}; nucleoplasm {GO:0005654}</t>
  </si>
  <si>
    <t>sp|Q9D7G0|PRPS1_MOUSE</t>
  </si>
  <si>
    <t>Ribose-phosphate pyrophosphokinase 1</t>
  </si>
  <si>
    <t>Phosphoribosyl pyrophosphate synthase I (PRS-I)</t>
  </si>
  <si>
    <t>PRPS1_MOUSE</t>
  </si>
  <si>
    <t>Q9D7G0</t>
  </si>
  <si>
    <t>Q76MX9</t>
  </si>
  <si>
    <t>MGI:97775</t>
  </si>
  <si>
    <t>ATP-binding; Kinase; Magnesium; Metal-binding; Nucleotide biosynthesis; Nucleotide-binding; Transferase</t>
  </si>
  <si>
    <t>5-phosphoribose 1-diphosphate biosynthetic process {GO:0006015}; hypoxanthine biosynthetic process {GO:0046101}; nervous system development {GO:0007399}; pentose-phosphate shunt {GO:0006098}; phosphorylation {GO:0016310}; purine nucleobase metabolic process {GO:0006144}; purine nucleotide biosynthetic process {GO:0006164}; ribonucleoside monophosphate biosynthetic process {GO:0009156}; urate biosynthetic process {GO:0034418}</t>
  </si>
  <si>
    <t>cytoplasm {GO:0005737}; cytosol {GO:0005829}; protein-containing complex {GO:0032991}; ribose phosphate diphosphokinase complex {GO:0002189}</t>
  </si>
  <si>
    <t>ADP binding {GO:0043531}; AMP binding {GO:0016208}; ATP binding {GO:0005524}; carbohydrate binding {GO:0030246}; GDP binding {GO:0019003}; identical protein binding {GO:0042802}; kinase activity {GO:0016301}; magnesium ion binding {GO:0000287}; protein homodimerization activity {GO:0042803}; ribose phosphate diphosphokinase activity {GO:0004749}</t>
  </si>
  <si>
    <t>Metabolic intermediate biosynthesis; 5-phospho-alpha-D-ribose 1-diphosphate biosynthesis; 5-phospho-alpha-D-ribose 1-diphosphate from D-ribose 5-phosphate (route I): step 1/1.</t>
  </si>
  <si>
    <t>5-Phosphoribose 1-diphosphate biosynthesis {R-MMU-73843}</t>
  </si>
  <si>
    <t>sp|Q5SQX6|CYFP2_MOUSE</t>
  </si>
  <si>
    <t>Cytoplasmic FMR1-interacting protein 2</t>
  </si>
  <si>
    <t>p53-inducible protein 121</t>
  </si>
  <si>
    <t>CYFP2_MOUSE</t>
  </si>
  <si>
    <t>Q5SQX6</t>
  </si>
  <si>
    <t>Q3UH21; Q3UHS8; Q8BSW0; Q8CHA9; Q924D3; Q9R181</t>
  </si>
  <si>
    <t>MGI:1924134</t>
  </si>
  <si>
    <t>Acetylation; Apoptosis; Cell adhesion; Cytoplasm; Nucleus; RNA editing; Synapse; Synaptosome</t>
  </si>
  <si>
    <t>Apoptosis; Cell adhesion</t>
  </si>
  <si>
    <t>Cytoplasm; Nucleus; Synapse; Synaptosome</t>
  </si>
  <si>
    <t>activation of cysteine-type endopeptidase activity {GO:0097202}; apoptotic process {GO:0006915}; cell morphogenesis {GO:0000902}; cell-cell adhesion {GO:0098609}; dendrite extension {GO:0097484}; neuron projection development {GO:0031175}; positive regulation of neurotrophin TRK receptor signaling pathway {GO:0051388}; positive regulation of proteolysis {GO:0045862}; regulation of actin filament polymerization {GO:0030833}</t>
  </si>
  <si>
    <t>anchoring junction {GO:0070161}; cytoplasm {GO:0005737}; neuron projection {GO:0043005}; nucleus {GO:0005634}; perinuclear region of cytoplasm {GO:0048471}; SCAR complex {GO:0031209}; synapse {GO:0045202}</t>
  </si>
  <si>
    <t>Regulation of actin dynamics for phagocytic cup formation {R-MMU-2029482}; VEGFA-VEGFR2 Pathway {R-MMU-4420097}; RHO GTPases Activate WASPs and WAVEs {R-MMU-5663213}; RAC1 GTPase cycle {R-MMU-9013149}</t>
  </si>
  <si>
    <t>sp|Q8BQ47|CNPY4_MOUSE</t>
  </si>
  <si>
    <t>Protein canopy homolog 4</t>
  </si>
  <si>
    <t>Protein associated with Tlr4</t>
  </si>
  <si>
    <t>CNPY4_MOUSE</t>
  </si>
  <si>
    <t>Q8BQ47</t>
  </si>
  <si>
    <t>Q8BT84; Q8BTB1; Q8CCG0</t>
  </si>
  <si>
    <t>Prat4b</t>
  </si>
  <si>
    <t>MGI:1913705</t>
  </si>
  <si>
    <t>Coiled coil; Disulfide bond; Secreted; Signal</t>
  </si>
  <si>
    <t>positive regulation of protein localization to plasma membrane {GO:1903078}; regulation of protein localization {GO:0032880}</t>
  </si>
  <si>
    <t>extracellular region {GO:0005576}</t>
  </si>
  <si>
    <t>sp|P61965|WDR5_MOUSE</t>
  </si>
  <si>
    <t>WD repeat-containing protein 5</t>
  </si>
  <si>
    <t>BMP2-induced 3-kb gene protein; WD repeat-containing protein BIG-3</t>
  </si>
  <si>
    <t>WDR5_MOUSE</t>
  </si>
  <si>
    <t>P61965</t>
  </si>
  <si>
    <t>Q91VA5; Q922C9; Q9NWX7; Q9UGP9</t>
  </si>
  <si>
    <t>Big; Big3</t>
  </si>
  <si>
    <t>MGI:2155884</t>
  </si>
  <si>
    <t>3D-structure; Acetylation; Chromatin regulator; Isopeptide bond; Nucleus; Repeat; Transcription; Transcription regulation; Ubl conjugation; WD repeat</t>
  </si>
  <si>
    <t>chromatin organization {GO:0006325}; gluconeogenesis {GO:0006094}; histone H3 acetylation {GO:0043966}; histone H3-K14 acetylation {GO:0044154}; histone H3-K4 methylation {GO:0051568}; histone H4-K16 acetylation {GO:0043984}; histone H4-K5 acetylation {GO:0043981}; histone H4-K8 acetylation {GO:0043982}; negative regulation of histone H3-K4 methylation {GO:0051572}; neuron projection development {GO:0031175}; positive regulation of DNA-templated transcription {GO:0045893}; positive regulation of gluconeogenesis {GO:0045722}; positive regulation of histone H3-K4 methylation {GO:0051571}; regulation of cell cycle {GO:0051726}; regulation of cell division {GO:0051302}; regulation of DNA-templated transcription {GO:0006355}; regulation of dosage compensation by inactivation of X chromosome {GO:1900095}; regulation of embryonic development {GO:0045995}; regulation of histone deacetylation {GO:0031063}; regulation of transcription by RNA polymerase II {GO:0006357}; regulation of tubulin deacetylation {GO:0090043}; skeletal system development {GO:0001501}</t>
  </si>
  <si>
    <t>ATAC complex {GO:0140672}; histone acetyltransferase complex {GO:0000123}; histone methyltransferase complex {GO:0035097}; mitotic spindle {GO:0072686}; MLL1 complex {GO:0071339}; MLL1/2 complex {GO:0044665}; MLL3/4 complex {GO:0044666}; NSL complex {GO:0044545}; nucleoplasm {GO:0005654}; nucleus {GO:0005634}; Set1C/COMPASS complex {GO:0048188}</t>
  </si>
  <si>
    <t>histone binding {GO:0042393}; histone methyltransferase activity (H3-K4 specific) {GO:0042800}; methylated histone binding {GO:0035064}</t>
  </si>
  <si>
    <t>PKMTs methylate histone lysines {R-MMU-3214841}; HATs acetylate histones {R-MMU-3214847}; RMTs methylate histone arginines {R-MMU-3214858}; RUNX1 regulates genes involved in megakaryocyte differentiation and platelet function {R-MMU-8936459}; Neddylation {R-MMU-8951664}</t>
  </si>
  <si>
    <t>sp|Q9ES00|UBE4B_MOUSE</t>
  </si>
  <si>
    <t>sp|Q58A65|JIP4_MOUSE</t>
  </si>
  <si>
    <t>C-Jun-amino-terminal kinase-interacting protein 4 (JIP-4; JNK-interacting protein 4)</t>
  </si>
  <si>
    <t>JNK-associated leucine-zipper protein (JLP); JNK/SAPK-associated protein 2 (JSAP2); Mitogen-activated protein kinase 8-interacting protein 4; Sperm-associated antigen 9</t>
  </si>
  <si>
    <t>JIP4_MOUSE</t>
  </si>
  <si>
    <t>Q58A65</t>
  </si>
  <si>
    <t>Q3UH77; Q3UHF0; Q58VQ4; Q5NC70; Q5NC78; Q6A057; Q6PAS3; Q8CJC2</t>
  </si>
  <si>
    <t>MGI:1918084</t>
  </si>
  <si>
    <t>Acetylation; Alternative splicing; Coiled coil; Cytoplasm; Lysosome; Membrane; Phosphoprotein</t>
  </si>
  <si>
    <t>Cytoplasm; Lysosome; Membrane</t>
  </si>
  <si>
    <t>lysosome localization {GO:0032418}; negative regulation of dendrite extension {GO:1903860}; negative regulation of neuron differentiation {GO:0045665}; negative regulation of protein phosphorylation {GO:0001933}; positive regulation of cell migration {GO:0030335}; positive regulation of MAPK cascade {GO:0043410}; positive regulation of neuron differentiation {GO:0045666}; retrograde transport, endosome to Golgi {GO:0042147}; striated muscle cell differentiation {GO:0051146}; vesicle-mediated transport {GO:0016192}</t>
  </si>
  <si>
    <t>centriolar satellite {GO:0034451}; cytoplasm {GO:0005737}; cytosol {GO:0005829}; lysosomal membrane {GO:0005765}; perinuclear region of cytoplasm {GO:0048471}</t>
  </si>
  <si>
    <t>identical protein binding {GO:0042802}; JUN kinase binding {GO:0008432}; kinesin binding {GO:0019894}; MAP-kinase scaffold activity {GO:0005078}; signaling receptor complex adaptor activity {GO:0030159}</t>
  </si>
  <si>
    <t>sp|Q8K327|CHAP1_MOUSE</t>
  </si>
  <si>
    <t>Chromosome alignment-maintaining phosphoprotein 1</t>
  </si>
  <si>
    <t>Zinc finger protein 828</t>
  </si>
  <si>
    <t>CHAP1_MOUSE</t>
  </si>
  <si>
    <t>Q8K327</t>
  </si>
  <si>
    <t>Q3UZ85; Q6ZPI1</t>
  </si>
  <si>
    <t>D8Ertd457e; Kiaa1802; Zfp828; Znf828</t>
  </si>
  <si>
    <t>MGI:1196398</t>
  </si>
  <si>
    <t>Acetylation; Centromere; Chromosome; Cytoplasm; Cytoskeleton; Isopeptide bond; Kinetochore; Metal-binding; Nucleus; Phosphoprotein; Ubl conjugation; Zinc; Zinc-finger</t>
  </si>
  <si>
    <t>attachment of mitotic spindle microtubules to kinetochore {GO:0051315}; protein localization to kinetochore {GO:0034501}; protein localization to microtubule {GO:0035372}; sister chromatid biorientation {GO:0031134}</t>
  </si>
  <si>
    <t>condensed chromosome {GO:0000793}; cytoplasm {GO:0005737}; Flemming body {GO:0090543}; kinetochore {GO:0000776}; nuclear body {GO:0016604}; nucleoplasm {GO:0005654}; nucleus {GO:0005634}; spindle {GO:0005819}</t>
  </si>
  <si>
    <t>sp|P56546|CTBP2_MOUSE</t>
  </si>
  <si>
    <t>C-terminal-binding protein 2 (CtBP2)</t>
  </si>
  <si>
    <t>CTBP2_MOUSE</t>
  </si>
  <si>
    <t>P56546</t>
  </si>
  <si>
    <t>O54855; O88462</t>
  </si>
  <si>
    <t>MGI:1201686</t>
  </si>
  <si>
    <t>Alternative splicing; Differentiation; Methylation; NAD; Nucleus; Oxidoreductase; Phosphoprotein; Repressor; Synapse; Transcription; Transcription regulation</t>
  </si>
  <si>
    <t>Nucleus; Synapse</t>
  </si>
  <si>
    <t>Oxidoreductase; Repressor</t>
  </si>
  <si>
    <t>cellular response to leukemia inhibitory factor {GO:1990830}; negative regulation of DNA-templated transcription {GO:0045892}; positive regulation of chromatin binding {GO:0035563}; positive regulation of retinoic acid receptor signaling pathway {GO:0048386}; positive regulation of transcription by RNA polymerase II {GO:0045944}; regulation of transcription by RNA polymerase II {GO:0006357}; synaptic vesicle docking {GO:0016081}; white fat cell differentiation {GO:0050872}</t>
  </si>
  <si>
    <t>anchoring junction {GO:0070161}; cytosol {GO:0005829}; GABA-ergic synapse {GO:0098982}; glutamatergic synapse {GO:0098978}; nucleus {GO:0005634}; photoreceptor ribbon synapse {GO:0098684}; presynaptic active zone cytoplasmic component {GO:0098831}; presynaptic cytosol {GO:0099523}; ribbon synapse {GO:0097470}; synapse {GO:0045202}; transcription repressor complex {GO:0017053}</t>
  </si>
  <si>
    <t>chromatin binding {GO:0003682}; DNA-binding transcription factor binding {GO:0140297}; identical protein binding {GO:0042802}; NAD binding {GO:0051287}; nuclear retinoic acid receptor binding {GO:0042974}; oxidoreductase activity, acting on the CH-OH group of donors, NAD or NADP as acceptor {GO:0016616}; protein kinase binding {GO:0019901}; protein-containing complex binding {GO:0044877}; structural constituent of presynaptic active zone {GO:0098882}; transcription coactivator activity {GO:0003713}; transcription coregulator binding {GO:0001221}; transcription corepressor activity {GO:0003714}; transcription corepressor binding {GO:0001222}</t>
  </si>
  <si>
    <t>Repression of WNT target genes. [P56546-2] {R-MMU-4641265}</t>
  </si>
  <si>
    <t>sp|Q9JKK7|TMOD2_MOUSE</t>
  </si>
  <si>
    <t>Tropomodulin-2</t>
  </si>
  <si>
    <t>Neuronal tropomodulin (N-Tmod)</t>
  </si>
  <si>
    <t>TMOD2_MOUSE</t>
  </si>
  <si>
    <t>Q9JKK7</t>
  </si>
  <si>
    <t>Q3UH50; Q8BGX9; Q9CUK4; Q9JLH9</t>
  </si>
  <si>
    <t>MGI:1355335</t>
  </si>
  <si>
    <t>Actin-binding; Alternative splicing; Cytoplasm; Cytoskeleton; Phosphoprotein</t>
  </si>
  <si>
    <t>actin filament organization {GO:0007015}; learning or memory {GO:0007611}; muscle contraction {GO:0006936}; myofibril assembly {GO:0030239}; neuron-neuron synaptic transmission {GO:0007270}; pointed-end actin filament capping {GO:0051694}; positive regulation of G protein-coupled receptor signaling pathway {GO:0045745}</t>
  </si>
  <si>
    <t>cytoskeleton {GO:0005856}; growth cone {GO:0030426}; myofibril {GO:0030016}; neuron projection {GO:0043005}; striated muscle thin filament {GO:0005865}; synapse {GO:0045202}</t>
  </si>
  <si>
    <t>actin binding {GO:0003779}; tropomyosin binding {GO:0005523}</t>
  </si>
  <si>
    <t>sp|P27601|GNA13_MOUSE</t>
  </si>
  <si>
    <t>Guanine nucleotide-binding protein subunit alpha-13 (G alpha-13; G-protein subunit alpha-13)</t>
  </si>
  <si>
    <t>GNA13_MOUSE</t>
  </si>
  <si>
    <t>P27601</t>
  </si>
  <si>
    <t>Q6PF99</t>
  </si>
  <si>
    <t>Gna-13</t>
  </si>
  <si>
    <t>MGI:95768</t>
  </si>
  <si>
    <t>3D-structure; Cytoplasm; GTP-binding; Lipoprotein; Magnesium; Membrane; Metal-binding; Nucleotide-binding; Nucleus; Palmitate; Phosphoprotein; Transducer</t>
  </si>
  <si>
    <t>activation of phospholipase D activity {GO:0031584}; adenylate cyclase-activating G protein-coupled receptor signaling pathway {GO:0007189}; adenylate cyclase-modulating G protein-coupled receptor signaling pathway {GO:0007188}; angiogenesis {GO:0001525}; branching involved in blood vessel morphogenesis {GO:0001569}; cell differentiation {GO:0030154}; G protein-coupled receptor signaling pathway {GO:0007186}; in utero embryonic development {GO:0001701}; intracellular signal transduction {GO:0035556}; multicellular organism aging {GO:0010259}; negative regulation of vascular associated smooth muscle cell migration {GO:1904753}; negative regulation of vascular associated smooth muscle cell proliferation {GO:1904706}; platelet activation {GO:0030168}; positive regulation of cytosolic calcium ion concentration {GO:0007204}; regulation of blood pressure {GO:0008217}; regulation of cell shape {GO:0008360}; regulation of fibroblast migration {GO:0010762}; Rho protein signal transduction {GO:0007266}</t>
  </si>
  <si>
    <t>brush border membrane {GO:0031526}; cytoplasm {GO:0005737}; cytosol {GO:0005829}; heterotrimeric G-protein complex {GO:0005834}; melanosome {GO:0042470}; nucleus {GO:0005634}; plasma membrane {GO:0005886}</t>
  </si>
  <si>
    <t>D5 dopamine receptor binding {GO:0031752}; G protein-coupled receptor binding {GO:0001664}; G-protein beta/gamma-subunit complex binding {GO:0031683}; GTP binding {GO:0005525}; GTPase activity {GO:0003924}; metal ion binding {GO:0046872}</t>
  </si>
  <si>
    <t>NRAGE signals death through JNK {R-MMU-193648}; G alpha (12/13) signalling events {R-MMU-416482}; Thromboxane signalling through TP receptor {R-MMU-428930}; Thrombin signalling through proteinase activated receptors (PARs) {R-MMU-456926}; CDC42 GTPase cycle {R-MMU-9013148}; RAC1 GTPase cycle {R-MMU-9013149}</t>
  </si>
  <si>
    <t>sp|Q5U4C1|GASP1_MOUSE</t>
  </si>
  <si>
    <t>G-protein coupled receptor-associated sorting protein 1 (GASP-1)</t>
  </si>
  <si>
    <t>GASP1_MOUSE</t>
  </si>
  <si>
    <t>Q5U4C1</t>
  </si>
  <si>
    <t>A2AGB6; Q8BKR8; Q8BUN4; Q8BYK9; Q8CHF4; Q8R095</t>
  </si>
  <si>
    <t>Kiaa0443</t>
  </si>
  <si>
    <t>MGI:1917418</t>
  </si>
  <si>
    <t>endosome to lysosome transport {GO:0008333}; G protein-coupled receptor catabolic process {GO:1990172}</t>
  </si>
  <si>
    <t>sp|Q9R060|NUBP1_MOUSE</t>
  </si>
  <si>
    <t>Cytosolic Fe-S cluster assembly factor NUBP1</t>
  </si>
  <si>
    <t>Nucleotide-binding protein 1 (NBP 1)</t>
  </si>
  <si>
    <t>NUBP1_MOUSE</t>
  </si>
  <si>
    <t>Q9R060</t>
  </si>
  <si>
    <t>Q3U053; Q7TMI1; Q9CRM5</t>
  </si>
  <si>
    <t>MGI:1347073</t>
  </si>
  <si>
    <t>4Fe-4S; Acetylation; ATP-binding; Cell projection; Cilium; Cilium biogenesis/degradation; Cytoplasm; Cytoskeleton; Iron; Iron-sulfur; Metal-binding; Nucleotide-binding; Nucleus; Phosphoprotein</t>
  </si>
  <si>
    <t>Cell projection; Cilium; Cytoplasm; Cytoskeleton; Nucleus</t>
  </si>
  <si>
    <t>cell projection organization {GO:0030030}; cellular iron ion homeostasis {GO:0006879}; centrosome localization {GO:0051642}; iron-sulfur cluster assembly {GO:0016226}; negative regulation of centrosome duplication {GO:0010826}; protein localization to cell cortex {GO:0072697}; regulation of cell growth {GO:0001558}</t>
  </si>
  <si>
    <t>centriole {GO:0005814}; cilium {GO:0005929}; cytosol {GO:0005829}; nucleus {GO:0005634}; plasma membrane {GO:0005886}</t>
  </si>
  <si>
    <t>4 iron, 4 sulfur cluster binding {GO:0051539}; ATP binding {GO:0005524}; ATP-dependent FeS chaperone activity {GO:0140663}; iron-sulfur cluster binding {GO:0051536}; metal ion binding {GO:0046872}</t>
  </si>
  <si>
    <t>sp|Q9CR56|KBRS2_MOUSE</t>
  </si>
  <si>
    <t>NF-kappa-B inhibitor-interacting Ras-like protein 2</t>
  </si>
  <si>
    <t>I-kappa-B-interacting Ras-like protein 2 (Kappa B-Ras protein 2; KappaB-Ras2)</t>
  </si>
  <si>
    <t>KBRS2_MOUSE</t>
  </si>
  <si>
    <t>Q9CR56</t>
  </si>
  <si>
    <t>Q8BWG0</t>
  </si>
  <si>
    <t>MGI:1919216</t>
  </si>
  <si>
    <t>Cytoplasm; GTP-binding; Nucleotide-binding</t>
  </si>
  <si>
    <t>I-kappaB kinase/NF-kappaB signaling {GO:0007249}; inflammatory response {GO:0006954}; lung alveolus development {GO:0048286}; Ral protein signal transduction {GO:0032484}; regulation of I-kappaB kinase/NF-kappaB signaling {GO:0043122}; regulation of tumor necrosis factor-mediated signaling pathway {GO:0010803}; surfactant homeostasis {GO:0043129}</t>
  </si>
  <si>
    <t>GTP binding {GO:0005525}; GTPase activating protein binding {GO:0032794}; GTPase activity {GO:0003924}</t>
  </si>
  <si>
    <t>RIP-mediated NFkB activation via ZBP1 {R-MMU-1810476}; TAK1-dependent IKK and NF-kappa-B activation {R-MMU-445989}; TRAF6 mediated NF-kB activation {R-MMU-933542}</t>
  </si>
  <si>
    <t>sp|Q9ER73|ELP4_MOUSE</t>
  </si>
  <si>
    <t>Elongator complex protein 4</t>
  </si>
  <si>
    <t>PAX6 neighbor gene protein</t>
  </si>
  <si>
    <t>ELP4_MOUSE</t>
  </si>
  <si>
    <t>Q9ER73</t>
  </si>
  <si>
    <t>Q8BGM1; Q8BVB1; Q8BZN8; Q9CTR2</t>
  </si>
  <si>
    <t>Paxneb</t>
  </si>
  <si>
    <t>MGI:1925016</t>
  </si>
  <si>
    <t>Cytoplasm; Nucleus; tRNA processing</t>
  </si>
  <si>
    <t>regulation of transcription by RNA polymerase II {GO:0006357}; tRNA wobble uridine modification {GO:0002098}</t>
  </si>
  <si>
    <t>cytoplasm {GO:0005737}; elongator holoenzyme complex {GO:0033588}; nucleoplasm {GO:0005654}; transcription elongation factor complex {GO:0008023}</t>
  </si>
  <si>
    <t>phosphorylase kinase regulator activity {GO:0008607}; RNA polymerase II complex binding {GO:0000993}</t>
  </si>
  <si>
    <t>sp|Q9ERD7|TBB3_MOUSE</t>
  </si>
  <si>
    <t>Tubulin beta-3 chain</t>
  </si>
  <si>
    <t>TBB3_MOUSE</t>
  </si>
  <si>
    <t>Q9ERD7</t>
  </si>
  <si>
    <t>Q3UF42; Q5I036</t>
  </si>
  <si>
    <t>MGI:107813</t>
  </si>
  <si>
    <t>Cell projection; Cytoplasm; Cytoskeleton; GTP-binding; Isopeptide bond; Magnesium; Metal-binding; Microtubule; Nucleotide-binding; Phosphoprotein</t>
  </si>
  <si>
    <t>axon guidance {GO:0007411}; dorsal root ganglion development {GO:1990791}; microtubule cytoskeleton organization {GO:0000226}; mitotic cell cycle {GO:0000278}; netrin-activated signaling pathway {GO:0038007}; neuron differentiation {GO:0030182}</t>
  </si>
  <si>
    <t>axon {GO:0030424}; cell periphery {GO:0071944}; cytoplasm {GO:0005737}; dendrite {GO:0030425}; filopodium {GO:0030175}; growth cone {GO:0030426}; intercellular bridge {GO:0045171}; lamellipodium {GO:0030027}; microtubule {GO:0005874}; microtubule cytoskeleton {GO:0015630}; mitotic spindle {GO:0072686}; neuronal cell body {GO:0043025}</t>
  </si>
  <si>
    <t>GTP binding {GO:0005525}; GTPase activity {GO:0003924}; netrin receptor binding {GO:1990890}; peptide binding {GO:0042277}; structural constituent of cytoskeleton {GO:0005200}</t>
  </si>
  <si>
    <t>sp|Q6PHQ8|NAA35_MOUSE</t>
  </si>
  <si>
    <t>N-alpha-acetyltransferase 35, NatC auxiliary subunit</t>
  </si>
  <si>
    <t>Embryonic growth-associated protein; Protein MAK10 homolog</t>
  </si>
  <si>
    <t>NAA35_MOUSE</t>
  </si>
  <si>
    <t>Q6PHQ8</t>
  </si>
  <si>
    <t>Q05CD3; Q8BYJ9; Q8K3H2</t>
  </si>
  <si>
    <t>Egap; Mak10</t>
  </si>
  <si>
    <t>MGI:1925939</t>
  </si>
  <si>
    <t>Cytoplasm; Phosphoprotein</t>
  </si>
  <si>
    <t>N-terminal peptidyl-methionine acetylation {GO:0017196}; N-terminal protein amino acid acetylation {GO:0006474}; negative regulation of apoptotic process {GO:0043066}; smooth muscle cell proliferation {GO:0048659}</t>
  </si>
  <si>
    <t>cytoplasm {GO:0005737}; cytosol {GO:0005829}; NatC complex {GO:0031417}; nucleoplasm {GO:0005654}; plasma membrane {GO:0005886}; polysome {GO:0005844}</t>
  </si>
  <si>
    <t>sp|P23591|FCL_MOUSE</t>
  </si>
  <si>
    <t>GDP-L-fucose synthase</t>
  </si>
  <si>
    <t>GDP-4-keto-6-deoxy-D-mannose-3,5-epimerase-4-reductase; Protein FX; Red cell NADP(H)-binding protein; Transplantation antigen P35B; Tum-P35B antigen</t>
  </si>
  <si>
    <t>FCL_MOUSE</t>
  </si>
  <si>
    <t>P23591</t>
  </si>
  <si>
    <t>MGI:98857</t>
  </si>
  <si>
    <t>Isomerase; Multifunctional enzyme; NADP; Oxidoreductase; Tumor antigen</t>
  </si>
  <si>
    <t>Isomerase; Multifunctional enzyme; Oxidoreductase; Tumor antigen</t>
  </si>
  <si>
    <t>'de novo' GDP-L-fucose biosynthetic process {GO:0042351}; GDP-mannose metabolic process {GO:0019673}; positive regulation of endothelial cell migration {GO:0010595}; positive regulation of endothelial cell-matrix adhesion via fibronectin {GO:1904906}; T cell mediated cytotoxicity {GO:0001913}</t>
  </si>
  <si>
    <t>GDP-L-fucose synthase activity {GO:0050577}; GDP-mannose 3,5-epimerase activity {GO:0047918}; identical protein binding {GO:0042802}</t>
  </si>
  <si>
    <t>Nucleotide-sugar biosynthesis; GDP-L-fucose biosynthesis via de novo pathway; GDP-L-fucose from GDP-alpha-D-mannose: step 2/2.</t>
  </si>
  <si>
    <t>GDP-fucose biosynthesis {R-MMU-6787639}</t>
  </si>
  <si>
    <t>sp|Q924C1|XPO5_MOUSE</t>
  </si>
  <si>
    <t>Exportin-5 (Exp5)</t>
  </si>
  <si>
    <t>Ran-binding protein 21</t>
  </si>
  <si>
    <t>XPO5_MOUSE</t>
  </si>
  <si>
    <t>Q924C1</t>
  </si>
  <si>
    <t>A2RRJ5; Q7TMP2; Q80TF9; Q9CRI9; Q9CT48</t>
  </si>
  <si>
    <t>Kiaa1291; Ranbp21</t>
  </si>
  <si>
    <t>MGI:1913789</t>
  </si>
  <si>
    <t>Acetylation; Alternative splicing; Cytoplasm; Nucleus; Protein transport; RNA-binding; RNA-mediated gene silencing; Transport; tRNA-binding</t>
  </si>
  <si>
    <t>Protein transport; RNA-mediated gene silencing; Transport</t>
  </si>
  <si>
    <t>RNA-binding; tRNA-binding</t>
  </si>
  <si>
    <t>positive regulation of post-transcriptional gene silencing by RNA {GO:1900370}; pre-miRNA export from nucleus {GO:0035281}; protein export from nucleus {GO:0006611}; RNA export from nucleus {GO:0006405}</t>
  </si>
  <si>
    <t>cytoplasm {GO:0005737}; cytosol {GO:0005829}; nucleoplasm {GO:0005654}; nucleus {GO:0005634}; RISC complex {GO:0016442}; RNA nuclear export complex {GO:0042565}</t>
  </si>
  <si>
    <t>mRNA binding {GO:0003729}; nuclear export signal receptor activity {GO:0005049}; pre-miRNA binding {GO:0070883}; RISC complex binding {GO:1905172}; RNA binding {GO:0003723}; small GTPase binding {GO:0031267}; tRNA binding {GO:0000049}</t>
  </si>
  <si>
    <t>sp|Q8K3C3|LZIC_MOUSE</t>
  </si>
  <si>
    <t>Protein LZIC</t>
  </si>
  <si>
    <t>Leucine zipper and CTNNBIP1 domain-containing protein; Leucine zipper and ICAT homologous domain-containing protein</t>
  </si>
  <si>
    <t>LZIC_MOUSE</t>
  </si>
  <si>
    <t>Q8K3C3</t>
  </si>
  <si>
    <t>Q9D8V3</t>
  </si>
  <si>
    <t>MGI:1916401</t>
  </si>
  <si>
    <t>beta-catenin binding {GO:0008013}</t>
  </si>
  <si>
    <t>sp|Q99MI1|RB6I2_MOUSE</t>
  </si>
  <si>
    <t>ELKS/Rab6-interacting/CAST family member 1 (ERC-1)</t>
  </si>
  <si>
    <t>CAZ-associated structural protein 2 (CAST2); Rab6-interacting protein 2</t>
  </si>
  <si>
    <t>RB6I2_MOUSE</t>
  </si>
  <si>
    <t>Q99MI1</t>
  </si>
  <si>
    <t>Q80TK7; Q8BPL1; Q8C7Y1; Q99MI2</t>
  </si>
  <si>
    <t>MGI:2151013</t>
  </si>
  <si>
    <t>Acetylation; Alternative splicing; Cell projection; Coiled coil; Cytoplasm; Cytoskeleton; Golgi apparatus; Membrane; Phosphoprotein; Protein transport; Synapse; Transport</t>
  </si>
  <si>
    <t>Cell projection; Cytoplasm; Cytoskeleton; Golgi apparatus; Membrane; Synapse</t>
  </si>
  <si>
    <t>I-kappaB phosphorylation {GO:0007252}; maintenance of presynaptic active zone structure {GO:0048790}; neuromuscular synaptic transmission {GO:0007274}; positive regulation of NF-kappaB transcription factor activity {GO:0051092}; protein transport {GO:0015031}; regulation of DNA-templated transcription {GO:0006355}; regulation of synaptic plasticity {GO:0048167}; retrograde transport, endosome to Golgi {GO:0042147}; synaptic vesicle priming {GO:0016082}</t>
  </si>
  <si>
    <t>anchoring junction {GO:0070161}; centrosome {GO:0005813}; ciliary basal body {GO:0036064}; cytoplasm {GO:0005737}; cytoskeleton of presynaptic active zone {GO:0048788}; GABA-ergic synapse {GO:0098982}; glutamatergic synapse {GO:0098978}; Golgi membrane {GO:0000139}; IkappaB kinase complex {GO:0008385}; membrane {GO:0016020}; postsynaptic density {GO:0014069}; presynaptic active zone cytoplasmic component {GO:0098831}; synapse {GO:0045202}; synaptic vesicle {GO:0008021}</t>
  </si>
  <si>
    <t>PDZ domain binding {GO:0030165}; small GTPase binding {GO:0031267}; structural constituent of presynaptic active zone {GO:0098882}; voltage-gated calcium channel activity involved in positive regulation of presynaptic cytosolic calcium levels {GO:0099635}</t>
  </si>
  <si>
    <t>sp|P62075|TIM13_MOUSE</t>
  </si>
  <si>
    <t>Mitochondrial import inner membrane translocase subunit Tim13</t>
  </si>
  <si>
    <t>TIM13_MOUSE</t>
  </si>
  <si>
    <t>P62075</t>
  </si>
  <si>
    <t>Q91VM6; Q9DC89; Q9UHL8; Q9WTL1</t>
  </si>
  <si>
    <t>Tim13a; Timm13a</t>
  </si>
  <si>
    <t>MGI:1353432</t>
  </si>
  <si>
    <t>Acetylation; Chaperone; Disulfide bond; Membrane; Metal-binding; Mitochondrion; Mitochondrion inner membrane; Phosphoprotein; Protein transport; Translocation; Transport; Zinc</t>
  </si>
  <si>
    <t>fibrillar center {GO:0001650}; mitochondrial inner membrane {GO:0005743}; mitochondrial intermembrane space protein transporter complex {GO:0042719}; mitochondrion {GO:0005739}</t>
  </si>
  <si>
    <t>sp|Q52KI8|SRRM1_MOUSE</t>
  </si>
  <si>
    <t>Serine/arginine repetitive matrix protein 1</t>
  </si>
  <si>
    <t>Plenty-of-prolines 101</t>
  </si>
  <si>
    <t>SRRM1_MOUSE</t>
  </si>
  <si>
    <t>Q52KI8</t>
  </si>
  <si>
    <t>E9QNW8; O70495; Q9CVG5</t>
  </si>
  <si>
    <t>Pop101</t>
  </si>
  <si>
    <t>MGI:1858303</t>
  </si>
  <si>
    <t>Acetylation; Alternative splicing; Citrullination; DNA-binding; Isopeptide bond; mRNA processing; mRNA splicing; Nucleus; Phosphoprotein; RNA-binding; Spliceosome; Ubl conjugation</t>
  </si>
  <si>
    <t>mRNA splicing, via spliceosome {GO:0000398}; regulation of mRNA splicing, via spliceosome {GO:0048024}; RNA splicing, via transesterification reactions {GO:0000375}</t>
  </si>
  <si>
    <t>catalytic step 2 spliceosome {GO:0071013}; nuclear matrix {GO:0016363}; nuclear speck {GO:0016607}; spliceosomal complex {GO:0005681}</t>
  </si>
  <si>
    <t>Transport of Mature mRNA derived from an Intron-Containing Transcript {R-MMU-159236}; mRNA Splicing - Major Pathway {R-MMU-72163}; mRNA 3'-end processing {R-MMU-72187}; RNA Polymerase II Transcription Termination {R-MMU-73856}; RHOBTB2 GTPase cycle {R-MMU-9013418}; RHOBTB1 GTPase cycle {R-MMU-9013422}</t>
  </si>
  <si>
    <t>sp|Q4VA53|PDS5B_MOUSE</t>
  </si>
  <si>
    <t>Sister chromatid cohesion protein PDS5 homolog B</t>
  </si>
  <si>
    <t>Androgen-induced proliferation inhibitor; Androgen-induced prostate proliferative shutoff-associated protein AS3</t>
  </si>
  <si>
    <t>PDS5B_MOUSE</t>
  </si>
  <si>
    <t>Q4VA53</t>
  </si>
  <si>
    <t>Q3TNZ4; Q7TSS4; Q80TM8; Q8BJ18; Q8BLH6; Q8BX77</t>
  </si>
  <si>
    <t>MGI:2140945</t>
  </si>
  <si>
    <t>Acetylation; Alternative splicing; Cell cycle; Cell division; Mitosis; Nucleus; Phosphoprotein; Repeat</t>
  </si>
  <si>
    <t>cell division {GO:0051301}; DNA repair {GO:0006281}; lens development in camera-type eye {GO:0002088}; mitotic sister chromatid cohesion {GO:0007064}; negative regulation of cell population proliferation {GO:0008285}; neuroblast migration {GO:0097402}; regulation of cell population proliferation {GO:0042127}</t>
  </si>
  <si>
    <t>chromatin {GO:0000785}; nucleoplasm {GO:0005654}; nucleus {GO:0005634}</t>
  </si>
  <si>
    <t>Separation of Sister Chromatids {R-MMU-2467813}; Establishment of Sister Chromatid Cohesion {R-MMU-2468052}; Cohesin Loading onto Chromatin {R-MMU-2470946}; Resolution of Sister Chromatid Cohesion {R-MMU-2500257}</t>
  </si>
  <si>
    <t>sp|Q9CQ43|DUT_MOUSE</t>
  </si>
  <si>
    <t>Deoxyuridine 5'-triphosphate nucleotidohydrolase (dUTPase)</t>
  </si>
  <si>
    <t>DUT_MOUSE</t>
  </si>
  <si>
    <t>Q9CQ43</t>
  </si>
  <si>
    <t>Q8VCG1; Q9JJ44</t>
  </si>
  <si>
    <t>Dutp</t>
  </si>
  <si>
    <t>MGI:1346051</t>
  </si>
  <si>
    <t>Alternative splicing; Hydrolase; Magnesium; Metal-binding; Nucleotide metabolism; Nucleus; Phosphoprotein; Transit peptide</t>
  </si>
  <si>
    <t>dTMP biosynthetic process {GO:0006231}; dUMP biosynthetic process {GO:0006226}; dUTP catabolic process {GO:0046081}; regulation of protein-containing complex assembly {GO:0043254}</t>
  </si>
  <si>
    <t>cytoplasm {GO:0005737}; cytosol {GO:0005829}; mitochondrion {GO:0005739}; nucleoplasm {GO:0005654}; nucleus {GO:0005634}</t>
  </si>
  <si>
    <t>dUTP diphosphatase activity {GO:0004170}; identical protein binding {GO:0042802}; magnesium ion binding {GO:0000287}; peroxisome proliferator activated receptor binding {GO:0042975}; pyrimidine deoxyribonucleotide binding {GO:0032556}; signaling receptor inhibitor activity {GO:0030547}</t>
  </si>
  <si>
    <t>Pyrimidine metabolism; dUMP biosynthesis; dUMP from dCTP (dUTP route): step 2/2..</t>
  </si>
  <si>
    <t>sp|P70236|MP2K6_MOUSE</t>
  </si>
  <si>
    <t>Dual specificity mitogen-activated protein kinase kinase 6 (MAP kinase kinase 6; MAPKK 6)</t>
  </si>
  <si>
    <t>MAPK/ERK kinase 6 (MEK 6); SAPKK3</t>
  </si>
  <si>
    <t>MP2K6_MOUSE</t>
  </si>
  <si>
    <t>P70236</t>
  </si>
  <si>
    <t>Prkmk6; Sapkk3</t>
  </si>
  <si>
    <t>MGI:1346870</t>
  </si>
  <si>
    <t>Apoptosis; ATP-binding; Cytoplasm; Cytoskeleton; Kinase; Nucleotide-binding; Nucleus; Phosphoprotein; Serine/threonine-protein kinase; Stress response; Transcription; Transcription regulation; Transferase; Tyrosine-protein kinase</t>
  </si>
  <si>
    <t>Apoptosis; Stress response; Transcription; Transcription regulation</t>
  </si>
  <si>
    <t>apoptotic process {GO:0006915}; bone development {GO:0060348}; cardiac muscle contraction {GO:0060048}; cellular response to sorbitol {GO:0072709}; MAPK cascade {GO:0000165}; negative regulation of cold-induced thermogenesis {GO:0120163}; osteoblast differentiation {GO:0001649}; ovulation cycle process {GO:0022602}; positive regulation of apoptotic process {GO:0043065}; positive regulation of MAP kinase activity {GO:0043406}; positive regulation of MAPK cascade {GO:0043410}; positive regulation of nitric-oxide synthase biosynthetic process {GO:0051770}; positive regulation of prostaglandin secretion {GO:0032308}; positive regulation of protein phosphorylation {GO:0001934}; protein phosphorylation {GO:0006468}; response to ischemia {GO:0002931}; response to xenobiotic stimulus {GO:0009410}; stress-activated MAPK cascade {GO:0051403}</t>
  </si>
  <si>
    <t>cytoskeleton {GO:0005856}; cytosol {GO:0005829}; nucleoplasm {GO:0005654}</t>
  </si>
  <si>
    <t>ATP binding {GO:0005524}; identical protein binding {GO:0042802}; MAP kinase kinase activity {GO:0004708}; phosphatase activator activity {GO:0019211}; protein kinase binding {GO:0019901}; protein serine kinase activity {GO:0106310}; protein serine/threonine kinase activator activity {GO:0043539}; protein serine/threonine kinase activity {GO:0004674}; protein tyrosine kinase activity {GO:0004713}</t>
  </si>
  <si>
    <t>NOD1/2 Signaling Pathway {R-MMU-168638}; Oxidative Stress Induced Senescence {R-MMU-2559580}; activated TAK1 mediates p38 MAPK activation {R-MMU-450302}; PI5P Regulates TP53 Acetylation {R-MMU-6811555}; Interleukin-1 signaling {R-MMU-9020702}</t>
  </si>
  <si>
    <t>sp|Q3TJZ6|FA98A_MOUSE</t>
  </si>
  <si>
    <t>Protein FAM98A</t>
  </si>
  <si>
    <t>FA98A_MOUSE</t>
  </si>
  <si>
    <t>Q3TJZ6</t>
  </si>
  <si>
    <t>Q99KJ2</t>
  </si>
  <si>
    <t>MGI:1919972</t>
  </si>
  <si>
    <t>lysosome localization {GO:0032418}; positive regulation of cell population proliferation {GO:0008284}; positive regulation of gene expression {GO:0010628}; positive regulation of ruffle assembly {GO:1900029}; protein methylation {GO:0006479}</t>
  </si>
  <si>
    <t>protein methyltransferase activity {GO:0008276}</t>
  </si>
  <si>
    <t>sp|Q6IR34|GPSM1_MOUSE</t>
  </si>
  <si>
    <t>G-protein-signaling modulator 1</t>
  </si>
  <si>
    <t>Activator of G-protein signaling 3</t>
  </si>
  <si>
    <t>GPSM1_MOUSE</t>
  </si>
  <si>
    <t>Q6IR34</t>
  </si>
  <si>
    <t>A2AIX7; A2AIX8; A2AIX9; Q61366; Q8BUK4; Q8BX78; Q8R0R9</t>
  </si>
  <si>
    <t>Ags3</t>
  </si>
  <si>
    <t>MGI:1915089</t>
  </si>
  <si>
    <t>Alternative splicing; Cell membrane; Cytoplasm; Developmental protein; Differentiation; Endoplasmic reticulum; Golgi apparatus; Membrane; Methylation; Neurogenesis; Phosphoprotein; Repeat; TPR repeat</t>
  </si>
  <si>
    <t>Cell membrane; Cytoplasm; Endoplasmic reticulum; Golgi apparatus; Membrane</t>
  </si>
  <si>
    <t>cell differentiation {GO:0030154}; establishment of mitotic spindle orientation {GO:0000132}; negative regulation of GTPase activity {GO:0034260}; negative regulation of guanyl-nucleotide exchange factor activity {GO:1905098}; nervous system development {GO:0007399}; positive regulation of macroautophagy {GO:0016239}; regulation of G protein-coupled receptor signaling pathway {GO:0008277}</t>
  </si>
  <si>
    <t>cell cortex {GO:0005938}; cytosol {GO:0005829}; endoplasmic reticulum membrane {GO:0005789}; Golgi membrane {GO:0000139}; nucleoplasm {GO:0005654}; plasma membrane {GO:0005886}; protein-containing complex {GO:0032991}</t>
  </si>
  <si>
    <t>G-protein alpha-subunit binding {GO:0001965}; GDP-dissociation inhibitor activity {GO:0005092}</t>
  </si>
  <si>
    <t>G alpha (i) signalling events {R-MMU-418594}</t>
  </si>
  <si>
    <t>sp|Q9D385|AR2BP_MOUSE</t>
  </si>
  <si>
    <t>ADP-ribosylation factor-like protein 2-binding protein (ARF-like 2-binding protein)</t>
  </si>
  <si>
    <t>Binder of ARF2 protein 1</t>
  </si>
  <si>
    <t>AR2BP_MOUSE</t>
  </si>
  <si>
    <t>Q9D385</t>
  </si>
  <si>
    <t>Q9CQW6</t>
  </si>
  <si>
    <t>Bart; Bart1</t>
  </si>
  <si>
    <t>MGI:1349429</t>
  </si>
  <si>
    <t>Alternative splicing; Cell projection; Cilium; Cytoplasm; Cytoskeleton; Mitochondrion; Nucleus</t>
  </si>
  <si>
    <t>Cell projection; Cilium; Cytoplasm; Cytoskeleton; Mitochondrion; Nucleus</t>
  </si>
  <si>
    <t>maintenance of protein location in nucleus {GO:0051457}; positive regulation of tyrosine phosphorylation of STAT protein {GO:0042531}</t>
  </si>
  <si>
    <t>centrosome {GO:0005813}; cilium {GO:0005929}; cytoplasm {GO:0005737}; cytosol {GO:0005829}; midbody {GO:0030496}; mitochondrial intermembrane space {GO:0005758}; nucleoplasm {GO:0005654}</t>
  </si>
  <si>
    <t>GTPase regulator activity {GO:0030695}; transcription coactivator activity {GO:0003713}</t>
  </si>
  <si>
    <t>sp|P63328|PP2BA_MOUSE</t>
  </si>
  <si>
    <t>Protein phosphatase 3 catalytic subunit alpha</t>
  </si>
  <si>
    <t>CAM-PRP catalytic subunit; Calcineurin A alpha; Calmodulin-dependent calcineurin A subunit alpha isoform (CNA alpha); Serine/threonine-protein phosphatase 2B catalytic subunit alpha isoform</t>
  </si>
  <si>
    <t>PP2BA_MOUSE</t>
  </si>
  <si>
    <t>P63328</t>
  </si>
  <si>
    <t>B2RRX2; P12816; P20652; Q3UCU1; Q64135</t>
  </si>
  <si>
    <t>Calna</t>
  </si>
  <si>
    <t>MGI:107164</t>
  </si>
  <si>
    <t>3D-structure; Acetylation; Alternative splicing; Calmodulin-binding; Cell membrane; Cell projection; Cytoplasm; Hydrolase; Iron; Membrane; Metal-binding; Nitration; Phosphoprotein; Protein phosphatase; Synapse; Zinc</t>
  </si>
  <si>
    <t>Calmodulin-binding; Hydrolase; Protein phosphatase</t>
  </si>
  <si>
    <t>Acetylation; Nitration; Phosphoprotein</t>
  </si>
  <si>
    <t>aging {GO:0007568}; brain development {GO:0007420}; calcineurin-mediated signaling {GO:0097720}; calcineurin-NFAT signaling cascade {GO:0033173}; calcium ion transport {GO:0006816}; calcium-mediated signaling {GO:0019722}; cardiac muscle hypertrophy in response to stress {GO:0014898}; cellular response to glucose stimulus {GO:0071333}; dendrite morphogenesis {GO:0048813}; dephosphorylation {GO:0016311}; epidermis development {GO:0008544}; excitatory postsynaptic potential {GO:0060079}; G1/S transition of mitotic cell cycle {GO:0000082}; keratinocyte differentiation {GO:0030216}; modulation of chemical synaptic transmission {GO:0050804}; multicellular organismal response to stress {GO:0033555}; negative regulation of calcium ion import across plasma membrane {GO:1905949}; negative regulation of chromatin binding {GO:0035562}; negative regulation of dendrite morphogenesis {GO:0050774}; negative regulation of gene expression {GO:0010629}; negative regulation of insulin secretion {GO:0046676}; negative regulation of miRNA maturation {GO:1903799}; negative regulation of signaling {GO:0023057}; negative regulation of voltage-gated calcium channel activity {GO:1901386}; peptidyl-serine dephosphorylation {GO:0070262}; positive regulation of activated T cell proliferation {GO:0042104}; positive regulation of calcineurin-NFAT signaling cascade {GO:0070886}; positive regulation of calcium ion import across plasma membrane {GO:1905665}; positive regulation of cardiac muscle hypertrophy {GO:0010613}; positive regulation of cardiac muscle hypertrophy in response to stress {GO:1903244}; positive regulation of cell adhesion {GO:0045785}; positive regulation of cell migration {GO:0030335}; positive regulation of connective tissue replacement {GO:1905205}; positive regulation of DNA-binding transcription factor activity {GO:0051091}; positive regulation of endocytosis {GO:0045807}; positive regulation of gene expression {GO:0010628}; positive regulation of glomerulus development {GO:0090193}; positive regulation of osteoblast differentiation {GO:0045669}; positive regulation of osteoclast differentiation {GO:0045672}; positive regulation of saliva secretion {GO:0046878}; positive regulation of transcription by RNA polymerase II {GO:0045944}; positive regulation of voltage-gated calcium channel activity {GO:1901387}; postsynaptic modulation of chemical synaptic transmission {GO:0099170}; protein dephosphorylation {GO:0006470}; protein import into nucleus {GO:0006606}; regulation of cell proliferation involved in kidney morphogenesis {GO:0061006}; renal filtration {GO:0097205}; response to amphetamine {GO:0001975}; response to calcium ion {GO:0051592}; skeletal muscle fiber development {GO:0048741}; transition between fast and slow fiber {GO:0014883}</t>
  </si>
  <si>
    <t>calcineurin complex {GO:0005955}; cytoplasm {GO:0005737}; cytoplasmic side of plasma membrane {GO:0009898}; cytosol {GO:0005829}; dendritic spine {GO:0043197}; glutamatergic synapse {GO:0098978}; mitochondrion {GO:0005739}; nucleoplasm {GO:0005654}; nucleus {GO:0005634}; plasma membrane {GO:0005886}; protein serine/threonine phosphatase complex {GO:0008287}; sarcolemma {GO:0042383}; Schaffer collateral - CA1 synapse {GO:0098685}; slit diaphragm {GO:0036057}; synapse {GO:0045202}; Z disc {GO:0030018}</t>
  </si>
  <si>
    <t>ATPase binding {GO:0051117}; calcium-dependent protein serine/threonine phosphatase activity {GO:0004723}; calmodulin binding {GO:0005516}; calmodulin-dependent protein phosphatase activity {GO:0033192}; cyclosporin A binding {GO:0016018}; enzyme binding {GO:0019899}; metal ion binding {GO:0046872}; molecular function activator activity {GO:0140677}; myosin phosphatase activity {GO:0017018}; phosphoprotein phosphatase activity {GO:0004721}; protein dimerization activity {GO:0046983}; protein serine/threonine phosphatase activity {GO:0004722}; protein-containing complex binding {GO:0044877}</t>
  </si>
  <si>
    <t>Calcineurin activates NFAT {R-MMU-2025928}; FCERI mediated Ca+2 mobilization {R-MMU-2871809}; Ca2+ pathway {R-MMU-4086398}; CLEC7A (Dectin-1) induces NFAT activation {R-MMU-5607763}</t>
  </si>
  <si>
    <t>sp|Q9DC51|GNAI3_MOUSE</t>
  </si>
  <si>
    <t>Guanine nucleotide-binding protein G(i) subunit alpha-3</t>
  </si>
  <si>
    <t>G(i) alpha-3</t>
  </si>
  <si>
    <t>GNAI3_MOUSE</t>
  </si>
  <si>
    <t>Q9DC51</t>
  </si>
  <si>
    <t>A2AE36; Q3TGV1; Q61019</t>
  </si>
  <si>
    <t>MGI:95773</t>
  </si>
  <si>
    <t>3D-structure; Cell cycle; Cell division; Cell membrane; Cytoplasm; Cytoskeleton; GTP-binding; Lipoprotein; Magnesium; Membrane; Metal-binding; Myristate; Nucleotide-binding; Palmitate; Transducer</t>
  </si>
  <si>
    <t>adenylate cyclase-inhibiting G protein-coupled receptor signaling pathway {GO:0007193}; adenylate cyclase-modulating G protein-coupled receptor signaling pathway {GO:0007188}; cell cycle {GO:0007049}; cell division {GO:0051301}; dopamine receptor signaling pathway {GO:0007212}; G protein-coupled receptor signaling pathway {GO:0007186}; GTP metabolic process {GO:0046039}; negative regulation of apoptotic signaling pathway {GO:2001234}; positive regulation of macroautophagy {GO:0016239}; positive regulation of NAD(P)H oxidase activity {GO:0033864}; positive regulation of superoxide anion generation {GO:0032930}; positive regulation of vascular associated smooth muscle cell proliferation {GO:1904707}; vesicle fusion {GO:0006906}</t>
  </si>
  <si>
    <t>centrosome {GO:0005813}; cytoplasm {GO:0005737}; endoplasmic reticulum membrane {GO:0005789}; Golgi apparatus {GO:0005794}; Golgi membrane {GO:0000139}; heterotrimeric G-protein complex {GO:0005834}; membrane {GO:0016020}; membrane raft {GO:0045121}; midbody {GO:0030496}; plasma membrane {GO:0005886}; zymogen granule {GO:0042588}</t>
  </si>
  <si>
    <t>G protein-coupled receptor binding {GO:0001664}; G protein-coupled serotonin receptor binding {GO:0031821}; G-protein beta/gamma-subunit complex binding {GO:0031683}; GDP binding {GO:0019003}; GTP binding {GO:0005525}; GTPase activating protein binding {GO:0032794}; GTPase activity {GO:0003924}; metal ion binding {GO:0046872}; protein domain specific binding {GO:0019904}</t>
  </si>
  <si>
    <t>Adenylate cyclase inhibitory pathway {R-MMU-170670}; ADP signalling through P2Y purinoceptor 12 {R-MMU-392170}; G alpha (i) signalling events {R-MMU-418594}; Extra-nuclear estrogen signaling {R-MMU-9009391}</t>
  </si>
  <si>
    <t>sp|Q9QZH3|PPIE_MOUSE</t>
  </si>
  <si>
    <t>Peptidyl-prolyl cis-trans isomerase E (PPIase E)</t>
  </si>
  <si>
    <t>Cyclophilin E; Cyclophilin-33; Rotamase E</t>
  </si>
  <si>
    <t>PPIE_MOUSE</t>
  </si>
  <si>
    <t>Q9QZH3</t>
  </si>
  <si>
    <t>Q9D8C0</t>
  </si>
  <si>
    <t>Cyp33</t>
  </si>
  <si>
    <t>MGI:1917118</t>
  </si>
  <si>
    <t>Isomerase; mRNA processing; mRNA splicing; Nucleus; Phosphoprotein; RNA-binding; Rotamase; Spliceosome</t>
  </si>
  <si>
    <t>Isomerase; RNA-binding; Rotamase</t>
  </si>
  <si>
    <t>mRNA splicing, via spliceosome {GO:0000398}; positive regulation of viral genome replication {GO:0045070}; protein folding {GO:0006457}; protein peptidyl-prolyl isomerization {GO:0000413}; regulation of DNA-templated transcription {GO:0006355}</t>
  </si>
  <si>
    <t>catalytic step 2 spliceosome {GO:0071013}; cytoplasm {GO:0005737}; cytosol {GO:0005829}; nuclear speck {GO:0016607}; nucleus {GO:0005634}; U2-type catalytic step 2 spliceosome {GO:0071007}</t>
  </si>
  <si>
    <t>cyclosporin A binding {GO:0016018}; mRNA binding {GO:0003729}; peptidyl-prolyl cis-trans isomerase activity {GO:0003755}; poly(A) binding {GO:0008143}</t>
  </si>
  <si>
    <t>Formation of TC-NER Pre-Incision Complex {R-MMU-6781823}; Dual incision in TC-NER {R-MMU-6782135}; Gap-filling DNA repair synthesis and ligation in TC-NER {R-MMU-6782210}; Neutrophil degranulation {R-MMU-6798695}; mRNA Splicing - Major Pathway {R-MMU-72163}</t>
  </si>
  <si>
    <t>sp|Q9ET30|TM9S3_MOUSE</t>
  </si>
  <si>
    <t>Transmembrane 9 superfamily member 3</t>
  </si>
  <si>
    <t>TM9S3_MOUSE</t>
  </si>
  <si>
    <t>Q9ET30</t>
  </si>
  <si>
    <t>Smbp</t>
  </si>
  <si>
    <t>MGI:1914262</t>
  </si>
  <si>
    <t>Glycoprotein; Membrane; Signal; Transmembrane; Transmembrane helix</t>
  </si>
  <si>
    <t>protein localization to membrane {GO:0072657}</t>
  </si>
  <si>
    <t>integral component of membrane {GO:0016021}; membrane {GO:0016020}</t>
  </si>
  <si>
    <t>sp|Q99J77|SIAS_MOUSE</t>
  </si>
  <si>
    <t>sp|Q3TC72|FAHD2_MOUSE</t>
  </si>
  <si>
    <t>Fumarylacetoacetate hydrolase domain-containing protein 2A</t>
  </si>
  <si>
    <t>FAHD2_MOUSE</t>
  </si>
  <si>
    <t>Q3TC72</t>
  </si>
  <si>
    <t>Q8K0V8</t>
  </si>
  <si>
    <t>Fahd2a</t>
  </si>
  <si>
    <t>MGI:1915376</t>
  </si>
  <si>
    <t>Acetylation; Calcium; Hydrolase; Magnesium; Metal-binding; Phosphoprotein</t>
  </si>
  <si>
    <t>hydro-lyase activity {GO:0016836}; hydrolase activity {GO:0016787}; metal ion binding {GO:0046872}</t>
  </si>
  <si>
    <t>sp|Q8R0Y6|AL1L1_MOUSE</t>
  </si>
  <si>
    <t>Cytosolic 10-formyltetrahydrofolate dehydrogenase (10-FTHFDH; FDH)</t>
  </si>
  <si>
    <t>Aldehyde dehydrogenase family 1 member L1</t>
  </si>
  <si>
    <t>AL1L1_MOUSE</t>
  </si>
  <si>
    <t>Q8R0Y6</t>
  </si>
  <si>
    <t>Fthfd</t>
  </si>
  <si>
    <t>MGI:1340024</t>
  </si>
  <si>
    <t>Acetylation; Cytoplasm; NADP; One-carbon metabolism; Oxidoreductase; Phosphopantetheine; Phosphoprotein</t>
  </si>
  <si>
    <t>10-formyltetrahydrofolate catabolic process {GO:0009258}; biosynthetic process {GO:0009058}; folic acid metabolic process {GO:0046655}; NADPH regeneration {GO:0006740}; one-carbon metabolic process {GO:0006730}</t>
  </si>
  <si>
    <t>aldehyde dehydrogenase (NAD+) activity {GO:0004029}; aldehyde dehydrogenase (NADP+) activity {GO:0033721}; aldehyde dehydrogenase [NAD(P)+] activity {GO:0004030}; formyltetrahydrofolate dehydrogenase activity {GO:0016155}; hydroxymethyl-, formyl- and related transferase activity {GO:0016742}; protein-containing complex binding {GO:0044877}</t>
  </si>
  <si>
    <t>sp|O89112|LANC1_MOUSE</t>
  </si>
  <si>
    <t>Glutathione S-transferase LANCL1</t>
  </si>
  <si>
    <t>40 kDa erythrocyte membrane protein (p40); LanC-like protein 1</t>
  </si>
  <si>
    <t>LANC1_MOUSE</t>
  </si>
  <si>
    <t>O89112</t>
  </si>
  <si>
    <t>MGI:1336997</t>
  </si>
  <si>
    <t>Acetylation; Cell membrane; Cytoplasm; Membrane; Metal-binding; Transferase; Zinc</t>
  </si>
  <si>
    <t>carbohydrate metabolic process {GO:0005975}; regulation of neuron apoptotic process {GO:0043523}; regulation of oxidative stress-induced neuron death {GO:1903203}</t>
  </si>
  <si>
    <t>cytoplasm {GO:0005737}; plasma membrane {GO:0005886}</t>
  </si>
  <si>
    <t>glutathione binding {GO:0043295}; glutathione transferase activity {GO:0004364}; low-density lipoprotein particle receptor binding {GO:0050750}; SH3 domain binding {GO:0017124}; zinc ion binding {GO:0008270}</t>
  </si>
  <si>
    <t>sp|Q925I1|ATAD3_MOUSE</t>
  </si>
  <si>
    <t>ATPase family AAA domain-containing protein 3</t>
  </si>
  <si>
    <t>AAA-ATPase TOB3</t>
  </si>
  <si>
    <t>ATAD3_MOUSE</t>
  </si>
  <si>
    <t>Q925I1</t>
  </si>
  <si>
    <t>A2AD89; Q3TA78; Q3UE74; Q69ZM7; Q8C6C6</t>
  </si>
  <si>
    <t>Atad3a; Kiaa1273</t>
  </si>
  <si>
    <t>MGI:1919214</t>
  </si>
  <si>
    <t>Acetylation; Alternative splicing; ATP-binding; Coiled coil; Membrane; Mitochondrion; Mitochondrion inner membrane; Mitochondrion nucleoid; Nucleotide-binding; Transmembrane; Transmembrane helix</t>
  </si>
  <si>
    <t>Membrane; Mitochondrion; Mitochondrion inner membrane; Mitochondrion nucleoid</t>
  </si>
  <si>
    <t>antiviral innate immune response {GO:0140374}; mitochondrion organization {GO:0007005}; negative regulation of apoptotic process {GO:0043066}; regulation of cell growth {GO:0001558}</t>
  </si>
  <si>
    <t>integral component of membrane {GO:0016021}; mitochondrial inner membrane {GO:0005743}; mitochondrial nucleoid {GO:0042645}; mitochondrion {GO:0005739}</t>
  </si>
  <si>
    <t>ATP binding {GO:0005524}; ATP hydrolysis activity {GO:0016887}; identical protein binding {GO:0042802}</t>
  </si>
  <si>
    <t>sp|Q6NZN0|RBM26_MOUSE</t>
  </si>
  <si>
    <t>RNA-binding protein 26</t>
  </si>
  <si>
    <t>Protein expressed in male leptotene and zygotene spermatocytes 393 (MLZ-393); RNA-binding motif protein 26</t>
  </si>
  <si>
    <t>RBM26_MOUSE</t>
  </si>
  <si>
    <t>Q6NZN0</t>
  </si>
  <si>
    <t>Q3TA77; Q3UTU9; Q8BQ22; Q8C7W9; Q8K101; Q921K4</t>
  </si>
  <si>
    <t>MGI:1921463</t>
  </si>
  <si>
    <t>Acetylation; Alternative splicing; Coiled coil; Isopeptide bond; Metal-binding; Phosphoprotein; Repeat; RNA-binding; Ubl conjugation; Zinc; Zinc-finger</t>
  </si>
  <si>
    <t>mRNA processing {GO:0006397}</t>
  </si>
  <si>
    <t>metal ion binding {GO:0046872}; RNA binding {GO:0003723}</t>
  </si>
  <si>
    <t>sp|Q8R1N4|NUDC3_MOUSE</t>
  </si>
  <si>
    <t>NudC domain-containing protein 3</t>
  </si>
  <si>
    <t>NUDC3_MOUSE</t>
  </si>
  <si>
    <t>Q8R1N4</t>
  </si>
  <si>
    <t>Q3TX16; Q5SVV6; Q5SVV7; Q6PFE4; Q6ZPZ2; Q8BL70; Q8BWN3; Q8BWW5</t>
  </si>
  <si>
    <t>Kiaa1068</t>
  </si>
  <si>
    <t>MGI:2144158</t>
  </si>
  <si>
    <t>cilium assembly {GO:0060271}; protein folding {GO:0006457}; protein localization to pericentriolar material {GO:1905793}</t>
  </si>
  <si>
    <t>cytoplasm {GO:0005737}; cytoplasmic dynein complex {GO:0005868}</t>
  </si>
  <si>
    <t>sp|Q9Z0F7|SYUG_MOUSE</t>
  </si>
  <si>
    <t>Gamma-synuclein</t>
  </si>
  <si>
    <t>Persyn</t>
  </si>
  <si>
    <t>SYUG_MOUSE</t>
  </si>
  <si>
    <t>Q9Z0F7</t>
  </si>
  <si>
    <t>MGI:1298397</t>
  </si>
  <si>
    <t>Cytoplasm; Cytoskeleton; Phosphoprotein; Repeat</t>
  </si>
  <si>
    <t>adult locomotory behavior {GO:0008344}; chemical synaptic transmission {GO:0007268}; negative regulation of neuron death {GO:1901215}; protein secretion {GO:0009306}; regulation of dopamine secretion {GO:0014059}; regulation of neuron death {GO:1901214}; regulation of neurotransmitter secretion {GO:0046928}; synapse organization {GO:0050808}; synaptic vesicle endocytosis {GO:0048488}</t>
  </si>
  <si>
    <t>axon {GO:0030424}; axon terminus {GO:0043679}; cytoplasm {GO:0005737}; microtubule organizing center {GO:0005815}; neuronal cell body {GO:0043025}; perinuclear region of cytoplasm {GO:0048471}; plasma membrane {GO:0005886}; spindle {GO:0005819}</t>
  </si>
  <si>
    <t>alpha-tubulin binding {GO:0043014}; beta-tubulin binding {GO:0048487}; cuprous ion binding {GO:1903136}</t>
  </si>
  <si>
    <t>sp|O88271|CFDP1_MOUSE</t>
  </si>
  <si>
    <t>Craniofacial development protein 1</t>
  </si>
  <si>
    <t>27 kDa craniofacial protein; Bucentaur; Protein Cp27</t>
  </si>
  <si>
    <t>CFDP1_MOUSE</t>
  </si>
  <si>
    <t>O88271</t>
  </si>
  <si>
    <t>O70565; Q9JMA5</t>
  </si>
  <si>
    <t>Bcnt; Cfdp; Cp27</t>
  </si>
  <si>
    <t>MGI:1344403</t>
  </si>
  <si>
    <t>Centromere; Chromosome; Developmental protein; Isopeptide bond; Kinetochore; Methylation; Phosphoprotein; Ubl conjugation</t>
  </si>
  <si>
    <t>Centromere; Chromosome; Kinetochore</t>
  </si>
  <si>
    <t>cell adhesion {GO:0007155}; chromatin remodeling {GO:0006338}; fibroblast apoptotic process {GO:0044346}; negative regulation of fibroblast apoptotic process {GO:2000270}; regulation of cell population proliferation {GO:0042127}; regulation of cell shape {GO:0008360}</t>
  </si>
  <si>
    <t>basement membrane {GO:0005604}; kinetochore {GO:0000776}; nucleus {GO:0005634}; Swr1 complex {GO:0000812}</t>
  </si>
  <si>
    <t>sp|Q8R180|ERO1A_MOUSE</t>
  </si>
  <si>
    <t>ERO1-like protein alpha (ERO1-L; ERO1-L-alpha)</t>
  </si>
  <si>
    <t>Endoplasmic reticulum oxidoreductase alpha; Endoplasmic reticulum oxidoreductin-1-like protein; Oxidoreductin-1-L-alpha</t>
  </si>
  <si>
    <t>ERO1A_MOUSE</t>
  </si>
  <si>
    <t>Q8R180</t>
  </si>
  <si>
    <t>Q9CV47; Q9QY03</t>
  </si>
  <si>
    <t>Ero1l</t>
  </si>
  <si>
    <t>MGI:1354385</t>
  </si>
  <si>
    <t>Apoptosis; Cell projection; Disulfide bond; Electron transport; Endoplasmic reticulum; FAD; Flavoprotein; Glycoprotein; Golgi apparatus; Membrane; Oxidoreductase; Phosphoprotein; Redox-active center; Secreted; Signal; Transport</t>
  </si>
  <si>
    <t>Apoptosis; Electron transport; Transport</t>
  </si>
  <si>
    <t>Cell projection; Endoplasmic reticulum; Golgi apparatus; Membrane; Secreted</t>
  </si>
  <si>
    <t>brown fat cell differentiation {GO:0050873}; cell redox homeostasis {GO:0045454}; cellular response to hypoxia {GO:0071456}; chaperone cofactor-dependent protein refolding {GO:0051085}; endoplasmic reticulum unfolded protein response {GO:0030968}; extracellular matrix organization {GO:0030198}; intrinsic apoptotic signaling pathway in response to endoplasmic reticulum stress {GO:0070059}; peptidyl-proline hydroxylation to 4-hydroxy-L-proline {GO:0018401}; protein folding {GO:0006457}; protein folding in endoplasmic reticulum {GO:0034975}; protein maturation by protein folding {GO:0022417}; release of sequestered calcium ion into cytosol {GO:0051209}; response to endoplasmic reticulum stress {GO:0034976}; response to oxidative stress {GO:0006979}</t>
  </si>
  <si>
    <t>dendrite {GO:0030425}; endoplasmic reticulum {GO:0005783}; endoplasmic reticulum membrane {GO:0005789}; extracellular space {GO:0005615}; Golgi lumen {GO:0005796}; integral component of endoplasmic reticulum membrane {GO:0030176}</t>
  </si>
  <si>
    <t>FAD binding {GO:0071949}; oxidoreductase activity {GO:0016491}; protein-disulfide reductase activity {GO:0015035}; thiol oxidase activity {GO:0016972}</t>
  </si>
  <si>
    <t>Insulin processing {R-MMU-264876}; Detoxification of Reactive Oxygen Species {R-MMU-3299685}</t>
  </si>
  <si>
    <t>sp|Q3UYV9|NCBP1_MOUSE</t>
  </si>
  <si>
    <t>Nuclear cap-binding protein subunit 1</t>
  </si>
  <si>
    <t>80 kDa nuclear cap-binding protein (CBP80; NCBP 80 kDa subunit)</t>
  </si>
  <si>
    <t>NCBP1_MOUSE</t>
  </si>
  <si>
    <t>Q3UYV9</t>
  </si>
  <si>
    <t>B1AWH4; Q3TEM1; Q7TNE8</t>
  </si>
  <si>
    <t>Cbp80</t>
  </si>
  <si>
    <t>MGI:1891840</t>
  </si>
  <si>
    <t>3D-structure; Acetylation; Coiled coil; Cytoplasm; Isopeptide bond; mRNA capping; mRNA processing; mRNA splicing; mRNA transport; Nonsense-mediated mRNA decay; Nucleus; Phosphoprotein; RNA-mediated gene silencing; Translation regulation; Transport; Ubl conjugation</t>
  </si>
  <si>
    <t>Nonsense-mediated mRNA decay; RNA-mediated gene silencing; Translation regulation; Transport; mRNA capping; mRNA processing; mRNA splicing; mRNA transport</t>
  </si>
  <si>
    <t>7-methylguanosine mRNA capping {GO:0006370}; alternative mRNA splicing, via spliceosome {GO:0000380}; cap-dependent translational initiation {GO:0002191}; defense response to virus {GO:0051607}; histone mRNA metabolic process {GO:0008334}; miRNA-mediated gene silencing {GO:0035195}; mRNA 3'-end processing {GO:0031124}; mRNA export from nucleus {GO:0006406}; mRNA splicing, via spliceosome {GO:0000398}; mRNA transcription by RNA polymerase II {GO:0042789}; nuclear-transcribed mRNA catabolic process, nonsense-mediated decay {GO:0000184}; positive regulation of cell growth {GO:0030307}; positive regulation of mRNA 3'-end processing {GO:0031442}; positive regulation of mRNA splicing, via spliceosome {GO:0048026}; positive regulation of phosphorylation of RNA polymerase II C-terminal domain {GO:1901409}; positive regulation of RNA binding {GO:1905216}; positive regulation of transcription elongation by RNA polymerase II {GO:0032968}; pre-mRNA cleavage required for polyadenylation {GO:0098789}; primary miRNA processing {GO:0031053}; regulation of mRNA processing {GO:0050684}; regulation of translational initiation {GO:0006446}; RNA catabolic process {GO:0006401}; snRNA export from nucleus {GO:0006408}; spliceosomal complex assembly {GO:0000245}</t>
  </si>
  <si>
    <t>cytoplasm {GO:0005737}; cytosol {GO:0005829}; mitochondrion {GO:0005739}; mRNA cap binding complex {GO:0005845}; nuclear cap binding complex {GO:0005846}; nucleoplasm {GO:0005654}; nucleus {GO:0005634}; ribonucleoprotein complex {GO:1990904}; RNA cap binding complex {GO:0034518}</t>
  </si>
  <si>
    <t>mRNA binding {GO:0003729}; RNA 7-methylguanosine cap binding {GO:0000340}; RNA cap binding {GO:0000339}</t>
  </si>
  <si>
    <t>SLBP independent Processing of Histone Pre-mRNAs {R-MMU-111367}; Formation of RNA Pol II elongation complex {R-MMU-112382}; Formation of the Early Elongation Complex {R-MMU-113418}; 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{R-MMU-159236}; RNA Polymerase II Pre-transcription Events {R-MMU-674695}; FGFR2 alternative splicing {R-MMU-6803529}; RNA polymerase II transcribes snRNA genes {R-MMU-6807505}; mRNA Capping {R-MMU-72086}; mRNA Splicing - Major Pathway {R-MMU-72163}; mRNA Splicing - Minor Pathway {R-MMU-72165}; mRNA 3'-end processing {R-MMU-72187}; Processing of Capped Intron-Containing Pre-mRNA {R-MMU-72203}; RNA Polymerase II Transcription Termination {R-MMU-73856}; SLBP Dependent Processing of Replication-Dependent Histone Pre-mRNAs {R-MMU-77588}; Processing of Intronless Pre-mRNAs {R-MMU-77595}; Nonsense Mediated Decay (NMD) independent of the Exon Junction Complex (EJC) {R-MMU-975956}; Nonsense Mediated Decay (NMD) enhanced by the Exon Junction Complex (EJC) {R-MMU-975957}</t>
  </si>
  <si>
    <t>sp|D3YYU8|OBSL1_MOUSE</t>
  </si>
  <si>
    <t>Obscurin-like protein 1</t>
  </si>
  <si>
    <t>OBSL1_MOUSE</t>
  </si>
  <si>
    <t>D3YYU8</t>
  </si>
  <si>
    <t>F7AD47; Q80WA6</t>
  </si>
  <si>
    <t>MGI:2138628</t>
  </si>
  <si>
    <t>Alternative splicing; Cytoplasm; Disulfide bond; Golgi apparatus; Immunoglobulin domain; Phosphoprotein; Repeat</t>
  </si>
  <si>
    <t>Immunoglobulin domain; Repeat</t>
  </si>
  <si>
    <t>Golgi organization {GO:0007030}; homophilic cell adhesion via plasma membrane adhesion molecules {GO:0007156}; microtubule cytoskeleton organization {GO:0000226}; positive regulation of dendrite morphogenesis {GO:0050775}; protein localization to Golgi apparatus {GO:0034067}; regulation of mitotic nuclear division {GO:0007088}; retina layer formation {GO:0010842}; synapse assembly {GO:0007416}</t>
  </si>
  <si>
    <t>3M complex {GO:1990393}; centrosome {GO:0005813}; cytoplasm {GO:0005737}; Golgi apparatus {GO:0005794}; perinuclear region of cytoplasm {GO:0048471}; synapse {GO:0045202}</t>
  </si>
  <si>
    <t>sp|Q03145|EPHA2_MOUSE</t>
  </si>
  <si>
    <t>Ephrin type-A receptor 2</t>
  </si>
  <si>
    <t>Epithelial cell kinase; Tyrosine-protein kinase receptor ECK; Tyrosine-protein kinase receptor MPK-5; Tyrosine-protein kinase receptor SEK-2</t>
  </si>
  <si>
    <t>EPHA2_MOUSE</t>
  </si>
  <si>
    <t>Q03145</t>
  </si>
  <si>
    <t>Q3UNI2; Q60633; Q62212</t>
  </si>
  <si>
    <t>Eck; Myk2; Sek2</t>
  </si>
  <si>
    <t>MGI:95278</t>
  </si>
  <si>
    <t>3D-structure; Angiogenesis; Apoptosis; ATP-binding; Cell adhesion; Cell junction; Cell membrane; Cell projection; Differentiation; Disulfide bond; Glycoprotein; Kinase; Membrane; Nucleotide-binding; Phosphoprotein; Receptor; Repeat; Signal; Transferase; Transmembrane; Transmembrane helix; Tyrosine-protein kinase; Ubl conjugation</t>
  </si>
  <si>
    <t>Angiogenesis; Apoptosis; Cell adhesion; Differentiation</t>
  </si>
  <si>
    <t>Cell junction; Cell membrane; Cell projection; Membrane</t>
  </si>
  <si>
    <t>Kinase; Receptor; Transferase; Tyrosine-protein kinase</t>
  </si>
  <si>
    <t>activation of GTPase activity {GO:0090630}; axial mesoderm formation {GO:0048320}; axon guidance {GO:0007411}; blood vessel development {GO:0001568}; blood vessel endothelial cell proliferation involved in sprouting angiogenesis {GO:0002043}; blood vessel morphogenesis {GO:0048514}; bone remodeling {GO:0046849}; branching involved in mammary gland duct morphogenesis {GO:0060444}; cAMP metabolic process {GO:0046058}; cell adhesion {GO:0007155}; cell chemotaxis {GO:0060326}; cell migration {GO:0016477}; cell motility {GO:0048870}; defense response to Gram-positive bacterium {GO:0050830}; ephrin receptor signaling pathway {GO:0048013}; inflammatory response {GO:0006954}; intrinsic apoptotic signaling pathway in response to DNA damage {GO:0008630}; keratinocyte differentiation {GO:0030216}; lens fiber cell morphogenesis {GO:0070309}; mammary gland epithelial cell proliferation {GO:0033598}; negative regulation of angiogenesis {GO:0016525}; negative regulation of chemokine production {GO:0032682}; negative regulation of cytokine production {GO:0001818}; negative regulation of lymphangiogenesis {GO:1901491}; negative regulation of protein kinase B signaling {GO:0051898}; neural tube development {GO:0021915}; neuron differentiation {GO:0030182}; notochord cell development {GO:0060035}; notochord formation {GO:0014028}; notochord morphogenesis {GO:0048570}; osteoblast differentiation {GO:0001649}; osteoclast differentiation {GO:0030316}; pericyte cell differentiation {GO:1904238}; positive regulation of bicellular tight junction assembly {GO:1903348}; positive regulation of cell migration {GO:0030335}; positive regulation of kinase activity {GO:0033674}; positive regulation of protein localization to plasma membrane {GO:1903078}; post-anal tail morphogenesis {GO:0036342}; protein kinase B signaling {GO:0043491}; protein localization to plasma membrane {GO:0072659}; regulation of angiogenesis {GO:0045765}; regulation of blood vessel endothelial cell migration {GO:0043535}; regulation of cell adhesion mediated by integrin {GO:0033628}; regulation of ERK1 and ERK2 cascade {GO:0070372}; regulation of lamellipodium assembly {GO:0010591}; response to growth factor {GO:0070848}; skeletal system development {GO:0001501}; transmembrane receptor protein tyrosine kinase signaling pathway {GO:0007169}; vasculogenesis {GO:0001570}</t>
  </si>
  <si>
    <t>cell surface {GO:0009986}; focal adhesion {GO:0005925}; integral component of plasma membrane {GO:0005887}; lamellipodium {GO:0030027}; lamellipodium membrane {GO:0031258}; leading edge membrane {GO:0031256}; neuron projection {GO:0043005}; plasma membrane {GO:0005886}; receptor complex {GO:0043235}; ruffle membrane {GO:0032587}; tight junction {GO:0070160}</t>
  </si>
  <si>
    <t>ATP binding {GO:0005524}; growth factor binding {GO:0019838}; transmembrane receptor protein tyrosine kinase activity {GO:0004714}; transmembrane-ephrin receptor activity {GO:0005005}</t>
  </si>
  <si>
    <t>EPH-Ephrin signaling {R-MMU-2682334}; EPHA-mediated growth cone collapse {R-MMU-3928663}; EPH-ephrin mediated repulsion of cells {R-MMU-3928665}; RAC1 GTPase cycle {R-MMU-9013149}; RAC2 GTPase cycle {R-MMU-9013404}; RHOG GTPase cycle {R-MMU-9013408}; RHOU GTPase cycle {R-MMU-9013420}; RAC3 GTPase cycle {R-MMU-9013423}; RHOV GTPase cycle {R-MMU-9013424}; RND3 GTPase cycle {R-MMU-9696264}; RND2 GTPase cycle {R-MMU-9696270}; RND1 GTPase cycle {R-MMU-9696273}</t>
  </si>
  <si>
    <t>sp|P57787|MOT4_MOUSE</t>
  </si>
  <si>
    <t>Monocarboxylate transporter 4 (MCT 4)</t>
  </si>
  <si>
    <t>Solute carrier family 16 member 3</t>
  </si>
  <si>
    <t>MOT4_MOUSE</t>
  </si>
  <si>
    <t>P57787</t>
  </si>
  <si>
    <t>Q9ES80; Q9ESF8</t>
  </si>
  <si>
    <t>Mct4</t>
  </si>
  <si>
    <t>MGI:1933438</t>
  </si>
  <si>
    <t>Cell membrane; Membrane; Phosphoprotein; Symport; Transmembrane; Transmembrane helix; Transport</t>
  </si>
  <si>
    <t>lactate transmembrane transport {GO:0035873}; monocarboxylic acid transport {GO:0015718}; plasma membrane lactate transport {GO:0035879}; pyruvate transmembrane transport {GO:1901475}</t>
  </si>
  <si>
    <t>apical plasma membrane {GO:0016324}; basolateral plasma membrane {GO:0016323}; integral component of membrane {GO:0016021}; integral component of plasma membrane {GO:0005887}; integral component of postsynaptic density membrane {GO:0099061}; lateral plasma membrane {GO:0016328}; nuclear membrane {GO:0031965}; parallel fiber to Purkinje cell synapse {GO:0098688}; plasma membrane {GO:0005886}</t>
  </si>
  <si>
    <t>lactate:proton symporter activity {GO:0015650}; monocarboxylic acid transmembrane transporter activity {GO:0008028}; pyruvate transmembrane transporter activity {GO:0050833}</t>
  </si>
  <si>
    <t>sp|Q921W4|QORL1_MOUSE</t>
  </si>
  <si>
    <t>Quinone oxidoreductase-like protein 1</t>
  </si>
  <si>
    <t>Quinone oxidoreductase homolog 1 (QOH-1); Zeta-crystallin homolog</t>
  </si>
  <si>
    <t>QORL1_MOUSE</t>
  </si>
  <si>
    <t>Q921W4</t>
  </si>
  <si>
    <t>Q3UKX2; Q8VCS1; Q9CWR9</t>
  </si>
  <si>
    <t>MGI:1913859</t>
  </si>
  <si>
    <t>Alternative splicing; NADP; Oxidoreductase</t>
  </si>
  <si>
    <t>sp|Q9QYB5|ADDG_MOUSE</t>
  </si>
  <si>
    <t>Gamma-adducin</t>
  </si>
  <si>
    <t>Adducin-like protein 70</t>
  </si>
  <si>
    <t>ADDG_MOUSE</t>
  </si>
  <si>
    <t>Q9QYB5</t>
  </si>
  <si>
    <t>Q8JZT6; Q9D2M5; Q9QYB6</t>
  </si>
  <si>
    <t>Addl</t>
  </si>
  <si>
    <t>MGI:1351615</t>
  </si>
  <si>
    <t>Acetylation; Actin-binding; Alternative splicing; Calmodulin-binding; Cell membrane; Cytoplasm; Cytoskeleton; Isopeptide bond; Membrane; Phosphoprotein; Ubl conjugation</t>
  </si>
  <si>
    <t>barbed-end actin filament capping {GO:0051016}; positive regulation of cytoskeleton organization {GO:0051495}; positive regulation of vasoconstriction {GO:0045907}; response to xenobiotic stimulus {GO:0009410}</t>
  </si>
  <si>
    <t>brush border {GO:0005903}; cell cortex {GO:0005938}; cell-cell junction {GO:0005911}; condensed nuclear chromosome {GO:0000794}; cytoplasm {GO:0005737}; cytoskeleton {GO:0005856}; membrane {GO:0016020}; plasma membrane {GO:0005886}; postsynaptic density {GO:0014069}</t>
  </si>
  <si>
    <t>actin filament binding {GO:0051015}; calmodulin binding {GO:0005516}; protein kinase C binding {GO:0005080}; structural constituent of cytoskeleton {GO:0005200}</t>
  </si>
  <si>
    <t>Miscellaneous transport and binding events {R-MMU-5223345}; RHOD GTPase cycle {R-MMU-9013405}; RHOF GTPase cycle {R-MMU-9035034}</t>
  </si>
  <si>
    <t>sp|Q8BMP6|GCP60_MOUSE</t>
  </si>
  <si>
    <t>Golgi resident protein GCP60</t>
  </si>
  <si>
    <t>Acyl-CoA-binding domain-containing protein 3; Golgi complex-associated protein 1 (GOCAP1); Golgi phosphoprotein 1 (GOLPH1); PBR- and PKA-associated protein 7; Peripheral benzodiazepine receptor-associated protein PAP7</t>
  </si>
  <si>
    <t>GCP60_MOUSE</t>
  </si>
  <si>
    <t>Q8BMP6</t>
  </si>
  <si>
    <t>O35371</t>
  </si>
  <si>
    <t>Gcp60; Pap7</t>
  </si>
  <si>
    <t>MGI:2181074</t>
  </si>
  <si>
    <t>Acetylation; Coiled coil; Golgi apparatus; Lipid biosynthesis; Lipid metabolism; Membrane; Mitochondrion; Phosphoprotein; Steroid biosynthesis</t>
  </si>
  <si>
    <t>Golgi apparatus; Membrane; Mitochondrion</t>
  </si>
  <si>
    <t>steroid biosynthetic process {GO:0006694}</t>
  </si>
  <si>
    <t>Golgi apparatus {GO:0005794}; Golgi membrane {GO:0000139}; mitochondrion {GO:0005739}</t>
  </si>
  <si>
    <t>fatty-acyl-CoA binding {GO:0000062}; protein kinase A regulatory subunit binding {GO:0034237}</t>
  </si>
  <si>
    <t>sp|P46978|STT3A_MOUSE</t>
  </si>
  <si>
    <t>Dolichyl-diphosphooligosaccharide--protein glycosyltransferase subunit STT3A (Oligosaccharyl transferase subunit STT3A; STT3-A)</t>
  </si>
  <si>
    <t>B5; Integral membrane protein 1</t>
  </si>
  <si>
    <t>STT3A_MOUSE</t>
  </si>
  <si>
    <t>P46978</t>
  </si>
  <si>
    <t>Itm1</t>
  </si>
  <si>
    <t>MGI:105124</t>
  </si>
  <si>
    <t>Endoplasmic reticulum; Glycoprotein; Glycosyltransferase; Magnesium; Manganese; Membrane; Metal-binding; Transferase; Transmembrane; Transmembrane helix</t>
  </si>
  <si>
    <t>co-translational protein modification {GO:0043686}; post-translational protein modification {GO:0043687}; protein N-linked glycosylation {GO:0006487}; protein N-linked glycosylation via asparagine {GO:0018279}</t>
  </si>
  <si>
    <t>endoplasmic reticulum membrane {GO:0005789}; integral component of membrane {GO:0016021}; membrane {GO:0016020}; oligosaccharyltransferase complex {GO:0008250}; oligosaccharyltransferase III complex {GO:0035000}</t>
  </si>
  <si>
    <t>sp|Q80WQ2|VAC14_MOUSE</t>
  </si>
  <si>
    <t>Protein VAC14 homolog</t>
  </si>
  <si>
    <t>VAC14_MOUSE</t>
  </si>
  <si>
    <t>Q80WQ2</t>
  </si>
  <si>
    <t>Q3TAX7; Q8C8K8</t>
  </si>
  <si>
    <t>D8Wsu151e</t>
  </si>
  <si>
    <t>MGI:2157980</t>
  </si>
  <si>
    <t>Acetylation; Disease variant; Endoplasmic reticulum; Endosome; Membrane; Microsome; Neurodegeneration; Neuropathy; Phosphoprotein; Repeat</t>
  </si>
  <si>
    <t>Endoplasmic reticulum; Endosome; Membrane; Microsome</t>
  </si>
  <si>
    <t>Disease variant; Neurodegeneration; Neuropathy</t>
  </si>
  <si>
    <t>phosphatidylinositol biosynthetic process {GO:0006661}; positive regulation of kinase activity {GO:0033674}; response to osmotic stress {GO:0006970}</t>
  </si>
  <si>
    <t>cytosol {GO:0005829}; endoplasmic reticulum {GO:0005783}; endosome membrane {GO:0010008}; extrinsic component of vacuolar membrane {GO:0000306}; intracellular membrane-bounded organelle {GO:0043231}; PAS complex {GO:0070772}; vacuolar membrane {GO:0005774}</t>
  </si>
  <si>
    <t>identical protein binding {GO:0042802}; kinase activator activity {GO:0019209}</t>
  </si>
  <si>
    <t>Synthesis of PIPs at the Golgi membrane {R-MMU-1660514}; Synthesis of PIPs at the early endosome membrane {R-MMU-1660516}; Synthesis of PIPs at the late endosome membrane {R-MMU-1660517}</t>
  </si>
  <si>
    <t>sp|Q9CQC7|NDUB4_MOUSE</t>
  </si>
  <si>
    <t>NADH dehydrogenase [ubiquinone] 1 beta subcomplex subunit 4</t>
  </si>
  <si>
    <t>Complex I-B15 (CI-B15); NADH-ubiquinone oxidoreductase B15 subunit</t>
  </si>
  <si>
    <t>NDUB4_MOUSE</t>
  </si>
  <si>
    <t>Q9CQC7</t>
  </si>
  <si>
    <t>MGI:1915444</t>
  </si>
  <si>
    <t>sp|Q9CRT8|XPOT_MOUSE</t>
  </si>
  <si>
    <t>Exportin-T</t>
  </si>
  <si>
    <t>Exportin(tRNA); tRNA exportin</t>
  </si>
  <si>
    <t>XPOT_MOUSE</t>
  </si>
  <si>
    <t>Q9CRT8</t>
  </si>
  <si>
    <t>Q52KI1</t>
  </si>
  <si>
    <t>MGI:1920442</t>
  </si>
  <si>
    <t>Acetylation; Cytoplasm; Nucleus; RNA-binding; Transport; tRNA-binding</t>
  </si>
  <si>
    <t>intracellular protein transport {GO:0006886}; tRNA export from nucleus {GO:0006409}; tRNA re-export from nucleus {GO:0071528}</t>
  </si>
  <si>
    <t>cytoplasm {GO:0005737}; cytosol {GO:0005829}; nuclear matrix {GO:0016363}; nuclear pore {GO:0005643}; nucleoplasm {GO:0005654}</t>
  </si>
  <si>
    <t>small GTPase binding {GO:0031267}; tRNA binding {GO:0000049}</t>
  </si>
  <si>
    <t>sp|Q99LI7|CSTF3_MOUSE</t>
  </si>
  <si>
    <t>Cleavage stimulation factor subunit 3</t>
  </si>
  <si>
    <t>CF-1 77 kDa subunit; Cleavage stimulation factor 77 kDa subunit (CSTF 77 kDa subunit; CstF-77)</t>
  </si>
  <si>
    <t>CSTF3_MOUSE</t>
  </si>
  <si>
    <t>Q99LI7</t>
  </si>
  <si>
    <t>MGI:1351825</t>
  </si>
  <si>
    <t>3D-structure; Acetylation; mRNA processing; Nucleus; Phosphoprotein; Repeat</t>
  </si>
  <si>
    <t>mRNA 3'-end processing {GO:0031124}; RNA 3'-end processing {GO:0031123}</t>
  </si>
  <si>
    <t>sp|Q9DAX9|APBP2_MOUSE</t>
  </si>
  <si>
    <t>Amyloid protein-binding protein 2</t>
  </si>
  <si>
    <t>Amyloid beta precursor protein-binding protein 2 (APP-BP2)</t>
  </si>
  <si>
    <t>APBP2_MOUSE</t>
  </si>
  <si>
    <t>Q9DAX9</t>
  </si>
  <si>
    <t>Q5SX12; Q80U61</t>
  </si>
  <si>
    <t>MGI:1914134</t>
  </si>
  <si>
    <t>Cytoplasm; Cytoskeleton; Membrane; Microtubule; Nucleus; Protein transport; Repeat; TPR repeat; Transport; Ubl conjugation pathway</t>
  </si>
  <si>
    <t>Protein transport; Transport; Ubl conjugation pathway</t>
  </si>
  <si>
    <t>intracellular protein transport {GO:0006886}; intracellular transport {GO:0046907}; proteasome-mediated ubiquitin-dependent protein catabolic process {GO:0043161}; protein ubiquitination {GO:0016567}</t>
  </si>
  <si>
    <t>Cul2-RING ubiquitin ligase complex {GO:0031462}; cytoplasmic vesicle membrane {GO:0030659}; microtubule {GO:0005874}; nucleoplasm {GO:0005654}</t>
  </si>
  <si>
    <t>ubiquitin ligase-substrate adaptor activity {GO:1990756}</t>
  </si>
  <si>
    <t>sp|Q9DCG9|TR112_MOUSE</t>
  </si>
  <si>
    <t>Multifunctional methyltransferase subunit TRM112-like protein</t>
  </si>
  <si>
    <t>tRNA methyltransferase 112 homolog</t>
  </si>
  <si>
    <t>TR112_MOUSE</t>
  </si>
  <si>
    <t>Q9DCG9</t>
  </si>
  <si>
    <t>Q91YP8; Q9D1N6</t>
  </si>
  <si>
    <t>MGI:1914924</t>
  </si>
  <si>
    <t>histone lysine methylation {GO:0034968}; peptidyl-glutamine methylation {GO:0018364}; positive regulation of rRNA processing {GO:2000234}; rRNA (guanine-N7)-methylation {GO:0070476}; rRNA methylation {GO:0031167}; tRNA methylation {GO:0030488}; tRNA N2-guanine methylation {GO:0002940}</t>
  </si>
  <si>
    <t>nucleoplasm {GO:0005654}; perinuclear region of cytoplasm {GO:0048471}; protein-containing complex {GO:0032991}</t>
  </si>
  <si>
    <t>protein heterodimerization activity {GO:0046982}; protein methyltransferase activity {GO:0008276}</t>
  </si>
  <si>
    <t>Methylation {R-MMU-156581}; Eukaryotic Translation Termination {R-MMU-72764}</t>
  </si>
  <si>
    <t>sp|Q8VE92|RBM4B_MOUSE</t>
  </si>
  <si>
    <t>RNA-binding protein 4B</t>
  </si>
  <si>
    <t>RNA-binding motif protein 30; RNA-binding motif protein 4B; RNA-binding protein 30</t>
  </si>
  <si>
    <t>RBM4B_MOUSE</t>
  </si>
  <si>
    <t>Q8VE92</t>
  </si>
  <si>
    <t>Rbm30</t>
  </si>
  <si>
    <t>MGI:1913954</t>
  </si>
  <si>
    <t>Activator; Metal-binding; mRNA processing; mRNA splicing; Nucleus; Repeat; RNA-binding; Zinc; Zinc-finger</t>
  </si>
  <si>
    <t>circadian regulation of gene expression {GO:0032922}; circadian rhythm {GO:0007623}; entrainment of circadian clock by photoperiod {GO:0043153}; mRNA splicing, via spliceosome {GO:0000398}; positive regulation of gene expression {GO:0010628}; regulation of translation {GO:0006417}</t>
  </si>
  <si>
    <t>cytosol {GO:0005829}; nuclear speck {GO:0016607}; nucleolus {GO:0005730}; nucleoplasm {GO:0005654}; protein-containing complex {GO:0032991}</t>
  </si>
  <si>
    <t>mRNA binding {GO:0003729}; RNA binding {GO:0003723}; zinc ion binding {GO:0008270}</t>
  </si>
  <si>
    <t>sp|Q6PD26|PIGS_MOUSE</t>
  </si>
  <si>
    <t>GPI transamidase component PIG-S</t>
  </si>
  <si>
    <t>Phosphatidylinositol-glycan biosynthesis class S protein</t>
  </si>
  <si>
    <t>PIGS_MOUSE</t>
  </si>
  <si>
    <t>Q6PD26</t>
  </si>
  <si>
    <t>MGI:2687325</t>
  </si>
  <si>
    <t>Endoplasmic reticulum; Glycoprotein; GPI-anchor biosynthesis; Membrane; Transmembrane; Transmembrane helix</t>
  </si>
  <si>
    <t>attachment of GPI anchor to protein {GO:0016255}</t>
  </si>
  <si>
    <t>GPI-anchor transamidase complex {GO:0042765}</t>
  </si>
  <si>
    <t>sp|P35922|FMR1_MOUSE</t>
  </si>
  <si>
    <t>Fragile X messenger ribonucleoprotein 1</t>
  </si>
  <si>
    <t>Fragile X messenger ribonucleoprotein (FMRP); Protein FMR-1 (mFmr1p)</t>
  </si>
  <si>
    <t>FMR1_MOUSE</t>
  </si>
  <si>
    <t>P35922</t>
  </si>
  <si>
    <t>MGI:95564</t>
  </si>
  <si>
    <t>Acetylation; Activator; Alternative splicing; Cell membrane; Cell projection; Centromere; Chromosome; Cytoplasm; DNA damage; Membrane; Methylation; mRNA processing; mRNA splicing; mRNA transport; Neurogenesis; Nucleus; Phosphoprotein; Postsynaptic cell membrane; Repeat; Repressor; Ribonucleoprotein; RNA-binding; RNA-mediated gene silencing; Synapse; Synaptosome; Translation regulation; Transport; Ubl conjugation</t>
  </si>
  <si>
    <t>DNA damage; Neurogenesis; RNA-mediated gene silencing; Translation regulation; Transport; mRNA processing; mRNA splicing; mRNA transport</t>
  </si>
  <si>
    <t>Cell membrane; Cell projection; Centromere; Chromosome; Cytoplasm; Membrane; Nucleus; Postsynaptic cell membrane; Synapse; Synaptosome</t>
  </si>
  <si>
    <t>anterograde axonal transport {GO:0008089}; cellular response to virus {GO:0098586}; central nervous system development {GO:0007417}; dendritic spine development {GO:0060996}; DNA repair {GO:0006281}; excitatory chemical synaptic transmission {GO:0098976}; gene silencing by RNA {GO:0031047}; glutamate receptor signaling pathway {GO:0007215}; inhibitory chemical synaptic transmission {GO:0098977}; modulation by host of viral RNA genome replication {GO:0044830}; mRNA processing {GO:0006397}; mRNA transport {GO:0051028}; negative regulation of cytoplasmic translation {GO:2000766}; negative regulation of gene expression {GO:0010629}; negative regulation of long-term synaptic depression {GO:1900453}; negative regulation of mRNA catabolic process {GO:1902373}; negative regulation of neuron apoptotic process {GO:0043524}; negative regulation of neuron differentiation {GO:0045665}; negative regulation of protein processing {GO:0010955}; negative regulation of receptor internalization {GO:0002091}; negative regulation of synaptic vesicle exocytosis {GO:2000301}; negative regulation of translation {GO:0017148}; negative regulation of translational initiation {GO:0045947}; negative regulation of voltage-gated calcium channel activity {GO:1901386}; positive regulation of dendritic spine development {GO:0060999}; positive regulation of filopodium assembly {GO:0051491}; positive regulation of gene expression {GO:0010628}; positive regulation of intracellular transport of viral material {GO:1901254}; positive regulation of long-term neuronal synaptic plasticity {GO:0048170}; positive regulation of long-term synaptic depression {GO:1900454}; positive regulation of long-term synaptic potentiation {GO:1900273}; positive regulation of miRNA-mediated gene silencing {GO:2000637}; positive regulation of mRNA binding {GO:1902416}; positive regulation of proteasomal protein catabolic process {GO:1901800}; positive regulation of protein phosphorylation {GO:0001934}; positive regulation of receptor internalization {GO:0002092}; positive regulation of response to DNA damage stimulus {GO:2001022}; positive regulation of synaptic transmission {GO:0050806}; positive regulation of translation {GO:0045727}; regulation of alternative mRNA splicing, via spliceosome {GO:0000381}; regulation of dendritic spine development {GO:0060998}; regulation of filopodium assembly {GO:0051489}; regulation of miRNA-mediated gene silencing {GO:0060964}; regulation of modification of synaptic structure {GO:1905244}; regulation of mRNA stability {GO:0043488}; regulation of neuronal action potential {GO:0098908}; regulation of neurotransmitter secretion {GO:0046928}; regulation of translation at postsynapse, modulating synaptic transmission {GO:0099578}; regulation of translation at presynapse, modulating synaptic transmission {GO:0099577}; response to interleukin-17 {GO:0097396}; RNA splicing {GO:0008380}; social behavior {GO:0035176}; transmission of nerve impulse {GO:0019226}</t>
  </si>
  <si>
    <t>anchoring junction {GO:0070161}; axon {GO:0030424}; axon cytoplasm {GO:1904115}; axon terminus {GO:0043679}; Cajal body {GO:0015030}; cell body {GO:0044297}; cell projection {GO:0042995}; chromocenter {GO:0010369}; chromosome {GO:0005694}; chromosome, centromeric region {GO:0000775}; cytoplasm {GO:0005737}; cytoplasmic ribonucleoprotein granule {GO:0036464}; cytoplasmic stress granule {GO:0010494}; cytosol {GO:0005829}; dendrite {GO:0030425}; dendritic filopodium {GO:1902737}; dendritic spine {GO:0043197}; dendritic spine head {GO:0044327}; dendritic spine neck {GO:0044326}; extrinsic component of plasma membrane {GO:0019897}; filopodium tip {GO:0032433}; glial cell projection {GO:0097386}; glutamatergic synapse {GO:0098978}; growth cone {GO:0030426}; growth cone filopodium {GO:1990812}; hippocampal mossy fiber to CA3 synapse {GO:0098686}; membrane {GO:0016020}; messenger ribonucleoprotein complex {GO:1990124}; microtubule cytoskeleton {GO:0015630}; mRNA cap binding complex {GO:0005845}; neuron projection {GO:0043005}; neuronal cell body {GO:0043025}; neuronal ribonucleoprotein granule {GO:0071598}; nucleolus {GO:0005730}; nucleoplasm {GO:0005654}; nucleus {GO:0005634}; perikaryon {GO:0043204}; perinuclear region of cytoplasm {GO:0048471}; polysome {GO:0005844}; postsynapse {GO:0098794}; postsynaptic cytosol {GO:0099524}; postsynaptic density {GO:0014069}; postsynaptic membrane {GO:0045211}; presynapse {GO:0098793}; presynaptic cytosol {GO:0099523}; presynaptic membrane {GO:0042734}; proximal dendrite {GO:1990635}; ribonucleoprotein complex {GO:1990904}; rough endoplasmic reticulum {GO:0005791}; Schaffer collateral - CA1 synapse {GO:0098685}; SMN complex {GO:0032797}; smooth endoplasmic reticulum {GO:0005790}; spine apparatus {GO:0097444}; synapse {GO:0045202}; terminal bouton {GO:0043195}</t>
  </si>
  <si>
    <t>chromatin binding {GO:0003682}; dynein complex binding {GO:0070840}; G-quadruplex RNA binding {GO:0002151}; identical protein binding {GO:0042802}; methylated histone binding {GO:0035064}; microtubule binding {GO:0008017}; miRNA binding {GO:0035198}; mRNA 3'-UTR binding {GO:0003730}; mRNA 5'-UTR binding {GO:0048027}; mRNA binding {GO:0003729}; poly(G) binding {GO:0034046}; poly(U) RNA binding {GO:0008266}; protein domain specific binding {GO:0019904}; protein heterodimerization activity {GO:0046982}; protein homodimerization activity {GO:0042803}; protein kinase binding {GO:0019901}; protein phosphatase binding {GO:0019903}; ribosome binding {GO:0043022}; RNA 7-methylguanosine cap binding {GO:0000340}; RNA binding {GO:0003723}; RNA stem-loop binding {GO:0035613}; RNA strand annealing activity {GO:0033592}; sequence-specific mRNA binding {GO:1990825}; siRNA binding {GO:0035197}; translation initiation factor binding {GO:0031369}; translation regulator activity {GO:0045182}; translation repressor activity {GO:0030371}; transmembrane transporter binding {GO:0044325}</t>
  </si>
  <si>
    <t>sp|A2A432|CUL4B_MOUSE</t>
  </si>
  <si>
    <t>Cullin-4B (CUL-4B)</t>
  </si>
  <si>
    <t>CUL4B_MOUSE</t>
  </si>
  <si>
    <t>A2A432</t>
  </si>
  <si>
    <t>Q3TU30; Q8BSL3; Q8CHD6; Q91YZ7; Q99KS9; Q9CZM5</t>
  </si>
  <si>
    <t>MGI:1919834</t>
  </si>
  <si>
    <t>Alternative splicing; Cell cycle; DNA damage; DNA repair; Isopeptide bond; Nucleus; Phosphoprotein; Ubl conjugation; Ubl conjugation pathway</t>
  </si>
  <si>
    <t>Cell cycle; DNA damage; DNA repair; Ubl conjugation pathway</t>
  </si>
  <si>
    <t>astrocyte differentiation {GO:0048708}; cell cycle {GO:0007049}; cellular response to DNA damage stimulus {GO:0006974}; cellular response to UV {GO:0034644}; gene expression {GO:0010467}; histone H2A monoubiquitination {GO:0035518}; neuron projection development {GO:0031175}; positive regulation of G1/S transition of mitotic cell cycle {GO:1900087}; positive regulation of protein catabolic process {GO:0045732}; proteasomal protein catabolic process {GO:0010498}; protein ubiquitination {GO:0016567}; ribosome biogenesis {GO:0042254}; SCF-dependent proteasomal ubiquitin-dependent protein catabolic process {GO:0031146}; UV-damage excision repair {GO:0070914}</t>
  </si>
  <si>
    <t>Cul4-RING E3 ubiquitin ligase complex {GO:0080008}; Cul4A-RING E3 ubiquitin ligase complex {GO:0031464}; Cul4B-RING E3 ubiquitin ligase complex {GO:0031465}; cullin-RING ubiquitin ligase complex {GO:0031461}; cytosol {GO:0005829}; nucleoplasm {GO:0005654}; nucleus {GO:0005634}</t>
  </si>
  <si>
    <t>damaged DNA binding {GO:0003684}; protein-macromolecule adaptor activity {GO:0030674}; ubiquitin protein ligase binding {GO:0031625}</t>
  </si>
  <si>
    <t>sp|Q99LC8|EI2BA_MOUSE</t>
  </si>
  <si>
    <t>Translation initiation factor eIF-2B subunit alpha</t>
  </si>
  <si>
    <t>eIF-2B GDP-GTP exchange factor subunit alpha</t>
  </si>
  <si>
    <t>EI2BA_MOUSE</t>
  </si>
  <si>
    <t>Q99LC8</t>
  </si>
  <si>
    <t>MGI:2384802</t>
  </si>
  <si>
    <t>Acetylation; Initiation factor; Protein biosynthesis</t>
  </si>
  <si>
    <t>negative regulation of guanyl-nucleotide exchange factor activity {GO:1905098}; oligodendrocyte development {GO:0014003}; response to amino acid starvation {GO:1990928}; response to glucose {GO:0009749}; response to heat {GO:0009408}; response to peptide hormone {GO:0043434}; T cell receptor signaling pathway {GO:0050852}; translation {GO:0006412}; translational initiation {GO:0006413}</t>
  </si>
  <si>
    <t>cytoplasm {GO:0005737}; eukaryotic translation initiation factor 2 complex {GO:0005850}; eukaryotic translation initiation factor 2B complex {GO:0005851}; membrane {GO:0016020}; plasma membrane {GO:0005886}</t>
  </si>
  <si>
    <t>GDP binding {GO:0019003}; GTP binding {GO:0005525}; guanyl-nucleotide exchange factor activity {GO:0005085}; identical protein binding {GO:0042802}; translation initiation factor activity {GO:0003743}</t>
  </si>
  <si>
    <t>sp|Q8CHW4|EI2BE_MOUSE</t>
  </si>
  <si>
    <t>Translation initiation factor eIF-2B subunit epsilon</t>
  </si>
  <si>
    <t>eIF-2B GDP-GTP exchange factor subunit epsilon</t>
  </si>
  <si>
    <t>EI2BE_MOUSE</t>
  </si>
  <si>
    <t>Q8CHW4</t>
  </si>
  <si>
    <t>Q3TU39</t>
  </si>
  <si>
    <t>MGI:2446176</t>
  </si>
  <si>
    <t>Initiation factor; Isopeptide bond; Methylation; Phosphoprotein; Protein biosynthesis; Ubl conjugation</t>
  </si>
  <si>
    <t>aging {GO:0007568}; astrocyte development {GO:0014002}; astrocyte differentiation {GO:0048708}; hippocampus development {GO:0021766}; myelination {GO:0042552}; oligodendrocyte development {GO:0014003}; ovarian follicle development {GO:0001541}; positive regulation of apoptotic process {GO:0043065}; positive regulation of translation {GO:0045727}; positive regulation of translational initiation {GO:0045948}; response to endoplasmic reticulum stress {GO:0034976}; response to glucose {GO:0009749}; response to heat {GO:0009408}; response to lithium ion {GO:0010226}; response to peptide hormone {GO:0043434}; T cell receptor signaling pathway {GO:0050852}; translational initiation {GO:0006413}</t>
  </si>
  <si>
    <t>cytoplasm {GO:0005737}; cytosol {GO:0005829}; eukaryotic translation initiation factor 2B complex {GO:0005851}; nucleus {GO:0005634}</t>
  </si>
  <si>
    <t>guanyl-nucleotide exchange factor activity {GO:0005085}; translation initiation factor activity {GO:0003743}; translation initiation factor binding {GO:0031369}</t>
  </si>
  <si>
    <t>sp|P23780|BGAL_MOUSE</t>
  </si>
  <si>
    <t>Beta-galactosidase</t>
  </si>
  <si>
    <t>Acid beta-galactosidase (Lactase)</t>
  </si>
  <si>
    <t>BGAL_MOUSE</t>
  </si>
  <si>
    <t>P23780</t>
  </si>
  <si>
    <t>Bgl; Glb-1</t>
  </si>
  <si>
    <t>MGI:88151</t>
  </si>
  <si>
    <t>3D-structure; Disulfide bond; Glycoprotein; Glycosidase; Hydrolase; Lysosome; Signal; Zymogen</t>
  </si>
  <si>
    <t>cellular carbohydrate metabolic process {GO:0044262}; galactose catabolic process {GO:0019388}; response to cortisone {GO:0051413}; response to Thyroglobulin triiodothyronine {GO:1904016}</t>
  </si>
  <si>
    <t>cytoplasm {GO:0005737}; extracellular space {GO:0005615}; Golgi apparatus {GO:0005794}; intracellular membrane-bounded organelle {GO:0043231}; lysosome {GO:0005764}; vacuole {GO:0005773}</t>
  </si>
  <si>
    <t>beta-galactosidase activity {GO:0004565}; galactoside binding {GO:0016936}; hydrolase activity {GO:0016787}; protein homodimerization activity {GO:0042803}</t>
  </si>
  <si>
    <t>Glycosphingolipid metabolism {R-MMU-1660662}; Keratan sulfate degradation {R-MMU-2022857}; HS-GAG degradation {R-MMU-2024096}; Sialic acid metabolism {R-MMU-4085001}; Neutrophil degranulation {R-MMU-6798695}</t>
  </si>
  <si>
    <t>sp|P62254|UB2G1_MOUSE</t>
  </si>
  <si>
    <t>Ubiquitin-conjugating enzyme E2 G1, N-terminally processed</t>
  </si>
  <si>
    <t>E2 ubiquitin-conjugating enzyme G1; E217K; UBC7; Ubiquitin carrier protein G1; Ubiquitin-protein ligase G1</t>
  </si>
  <si>
    <t>UB2G1_MOUSE</t>
  </si>
  <si>
    <t>P62254</t>
  </si>
  <si>
    <t>Q4VAA6; Q99462</t>
  </si>
  <si>
    <t>Ube2g</t>
  </si>
  <si>
    <t>MGI:1914378</t>
  </si>
  <si>
    <t>Acetylation; ATP-binding; Nucleotide-binding; Transferase; Ubl conjugation; Ubl conjugation pathway</t>
  </si>
  <si>
    <t>proteasome-mediated ubiquitin-dependent protein catabolic process {GO:0043161}; protein catabolic process {GO:0030163}; protein K48-linked ubiquitination {GO:0070936}; protein K63-linked ubiquitination {GO:0070534}; protein polyubiquitination {GO:0000209}; ubiquitin-dependent protein catabolic process {GO:0006511}</t>
  </si>
  <si>
    <t>ATP binding {GO:0005524}; ubiquitin conjugating enzyme activity {GO:0061631}; ubiquitin protein ligase binding {GO:0031625}; ubiquitin-protein transferase activity {GO:0004842}</t>
  </si>
  <si>
    <t>sp|Q8BHL5|ELMO2_MOUSE</t>
  </si>
  <si>
    <t>Engulfment and cell motility protein 2</t>
  </si>
  <si>
    <t>Protein ced-12 homolog A</t>
  </si>
  <si>
    <t>ELMO2_MOUSE</t>
  </si>
  <si>
    <t>Q8BHL5</t>
  </si>
  <si>
    <t>A2A5A6; Q5GMG3; Q8BHL9; Q8BQG1; Q8CBM8; Q8CC50; Q8CH98; Q91ZU2; Q9CT75</t>
  </si>
  <si>
    <t>Kiaa1834</t>
  </si>
  <si>
    <t>MGI:2153045</t>
  </si>
  <si>
    <t>3D-structure; Alternative splicing; Apoptosis; Cytoplasm; Membrane; Phagocytosis; Phosphoprotein; SH3-binding</t>
  </si>
  <si>
    <t>Apoptosis; Phagocytosis</t>
  </si>
  <si>
    <t>actin filament organization {GO:0007015}; apoptotic process {GO:0006915}; cell chemotaxis {GO:0060326}; cell motility {GO:0048870}; cell-cell adhesion {GO:0098609}; phagocytosis {GO:0006909}</t>
  </si>
  <si>
    <t>cytosol {GO:0005829}; membrane {GO:0016020}</t>
  </si>
  <si>
    <t>receptor tyrosine kinase binding {GO:0030971}; SH3 domain binding {GO:0017124}</t>
  </si>
  <si>
    <t>Regulation of actin dynamics for phagocytic cup formation {R-MMU-2029482}; VEGFA-VEGFR2 Pathway {R-MMU-4420097}; PTK6 Regulates RHO GTPases, RAS GTPase and MAP kinases {R-MMU-8849471}; RHOG GTPase cycle {R-MMU-9013408}</t>
  </si>
  <si>
    <t>sp|O08599|STXB1_MOUSE</t>
  </si>
  <si>
    <t>Syntaxin-binding protein 1</t>
  </si>
  <si>
    <t>Protein unc-18 homolog 1 (Unc18-1); Protein unc-18 homolog A (Unc-18A)</t>
  </si>
  <si>
    <t>STXB1_MOUSE</t>
  </si>
  <si>
    <t>O08599</t>
  </si>
  <si>
    <t>A2ARS2; A2ARS3; A2ARS4; Q5WAC6; Q8VD51</t>
  </si>
  <si>
    <t>MGI:107363</t>
  </si>
  <si>
    <t>Alternative splicing; Cytoplasm; Membrane; Phosphoprotein; Protein transport; Transport</t>
  </si>
  <si>
    <t>axon target recognition {GO:0007412}; cellular response to interferon-gamma {GO:0071346}; developmental process involved in reproduction {GO:0003006}; establishment of localization in cell {GO:0051649}; exocytosis {GO:0006887}; intracellular protein transport {GO:0006886}; long-term synaptic depression {GO:0060292}; negative regulation of neuron apoptotic process {GO:0043524}; negative regulation of protein-containing complex assembly {GO:0031333}; negative regulation of synaptic transmission, GABAergic {GO:0032229}; neuromuscular synaptic transmission {GO:0007274}; neuron apoptotic process {GO:0051402}; neurotransmitter secretion {GO:0007269}; platelet aggregation {GO:0070527}; platelet degranulation {GO:0002576}; positive regulation of calcium ion-dependent exocytosis {GO:0045956}; positive regulation of exocytosis {GO:0045921}; positive regulation of glutamate secretion, neurotransmission {GO:1903296}; positive regulation of mast cell degranulation {GO:0043306}; positive regulation of vesicle docking {GO:0106022}; presynaptic dense core vesicle exocytosis {GO:0099525}; protein localization to plasma membrane {GO:0072659}; protein stabilization {GO:0050821}; regulation of acrosomal vesicle exocytosis {GO:2000367}; regulation of synaptic vesicle priming {GO:0010807}; regulation of vesicle fusion {GO:0031338}; response to estradiol {GO:0032355}; SNARE complex assembly {GO:0035493}; synaptic vesicle fusion to presynaptic active zone membrane {GO:0031629}; synaptic vesicle maturation {GO:0016188}; synaptic vesicle priming {GO:0016082}; vesicle docking involved in exocytosis {GO:0006904}; vesicle-mediated transport {GO:0016192}</t>
  </si>
  <si>
    <t>axon {GO:0030424}; cytoplasm {GO:0005737}; cytoskeleton {GO:0005856}; cytosol {GO:0005829}; extrinsic component of presynaptic active zone membrane {GO:0098891}; glutamatergic synapse {GO:0098978}; mitochondrion {GO:0005739}; myelin sheath {GO:0043209}; nucleoplasm {GO:0005654}; nucleus {GO:0005634}; perinuclear region of cytoplasm {GO:0048471}; phagocytic vesicle {GO:0045335}; plasma membrane {GO:0005886}; platelet alpha granule {GO:0031091}; postsynapse {GO:0098794}; presynapse {GO:0098793}; presynaptic active zone membrane {GO:0048787}; protein-containing complex {GO:0032991}; secretory granule {GO:0030141}</t>
  </si>
  <si>
    <t>identical protein binding {GO:0042802}; phospholipase binding {GO:0043274}; protein domain specific binding {GO:0019904}; protein kinase binding {GO:0019901}; protein N-terminus binding {GO:0047485}; SNARE binding {GO:0000149}; syntaxin binding {GO:0019905}; syntaxin-1 binding {GO:0017075}</t>
  </si>
  <si>
    <t>Serotonin Neurotransmitter Release Cycle {R-MMU-181429}; Norepinephrine Neurotransmitter Release Cycle {R-MMU-181430}; Glutamate Neurotransmitter Release Cycle {R-MMU-210500}; Dopamine Neurotransmitter Release Cycle {R-MMU-212676}; Acetylcholine Neurotransmitter Release Cycle {R-MMU-264642}; GABA synthesis, release, reuptake and degradation {R-MMU-888590}</t>
  </si>
  <si>
    <t>sp|P20357|MTAP2_MOUSE</t>
  </si>
  <si>
    <t>Microtubule-associated protein 2 (MAP-2)</t>
  </si>
  <si>
    <t>MTAP2_MOUSE</t>
  </si>
  <si>
    <t>P20357</t>
  </si>
  <si>
    <t>E9QLE1</t>
  </si>
  <si>
    <t>Mtap2</t>
  </si>
  <si>
    <t>MGI:97175</t>
  </si>
  <si>
    <t>Calmodulin-binding; Cell projection; Cytoplasm; Cytoskeleton; Microtubule; Phosphoprotein; Repeat</t>
  </si>
  <si>
    <t>axonogenesis {GO:0007409}; cellular response to organic substance {GO:0071310}; central nervous system neuron development {GO:0021954}; dendrite development {GO:0016358}; establishment of cell polarity {GO:0030010}; microtubule bundle formation {GO:0001578}; microtubule cytoskeleton organization {GO:0000226}; negative regulation of axon extension {GO:0030517}; negative regulation of microtubule binding {GO:1904527}; negative regulation of microtubule depolymerization {GO:0007026}; negative regulation of microtubule polymerization {GO:0031115}; neuron projection development {GO:0031175}; positive regulation of anterograde dense core granule transport {GO:1901953}; positive regulation of anterograde synaptic vesicle transport {GO:1903744}; regulation of organelle transport along microtubule {GO:1902513}; regulation of protein localization {GO:0032880}</t>
  </si>
  <si>
    <t>actin cytoskeleton {GO:0015629}; apical dendrite {GO:0097440}; apical distal dendrite {GO:0150014}; axon hillock {GO:0043203}; axon initial segment {GO:0043194}; basal dendrite {GO:0097441}; CA3 pyramidal cell dendrite {GO:0097442}; cell body {GO:0044297}; cytoplasm {GO:0005737}; dendrite {GO:0030425}; dendrite cytoplasm {GO:0032839}; dendritic branch {GO:0044307}; dendritic filopodium {GO:1902737}; dendritic growth cone {GO:0044294}; dendritic shaft {GO:0043198}; distal dendrite {GO:0150002}; microtubule {GO:0005874}; microtubule associated complex {GO:0005875}; microtubule cytoskeleton {GO:0015630}; neuron projection {GO:0043005}; neuronal cell body {GO:0043025}; nuclear periphery {GO:0034399}; postsynaptic density {GO:0014069}; primary dendrite {GO:0150001}; protein-containing complex {GO:0032991}; proximal dendrite {GO:1990635}; proximal neuron projection {GO:1990769}; rough endoplasmic reticulum {GO:0005791}; ruffle membrane {GO:0032587}; smooth endoplasmic reticulum {GO:0005790}</t>
  </si>
  <si>
    <t>actin binding {GO:0003779}; calmodulin binding {GO:0005516}; cytoskeletal regulatory protein binding {GO:0005519}; dystroglycan binding {GO:0002162}; microtubule binding {GO:0008017}; protein kinase binding {GO:0019901}</t>
  </si>
  <si>
    <t>sp|Q80SY4|MIB1_MOUSE</t>
  </si>
  <si>
    <t>E3 ubiquitin-protein ligase MIB1</t>
  </si>
  <si>
    <t>DAPK-interacting protein 1 (DIP-1); Mind bomb homolog 1; RING-type E3 ubiquitin transferase MIB1</t>
  </si>
  <si>
    <t>MIB1_MOUSE</t>
  </si>
  <si>
    <t>Q80SY4</t>
  </si>
  <si>
    <t>Q5XK51; Q6IS57; Q6YI52; Q6ZPT8; Q8BNR1; Q8C6W2; Q921Q1</t>
  </si>
  <si>
    <t>Dip1; Kiaa1323; Mib</t>
  </si>
  <si>
    <t>MGI:2443157</t>
  </si>
  <si>
    <t>ANK repeat; Cell membrane; Coiled coil; Cytoplasm; Cytoskeleton; Membrane; Metal-binding; Notch signaling pathway; Phosphoprotein; Repeat; Transferase; Ubl conjugation; Ubl conjugation pathway; Zinc; Zinc-finger</t>
  </si>
  <si>
    <t>Notch signaling pathway; Ubl conjugation pathway</t>
  </si>
  <si>
    <t>ANK repeat; Coiled coil; Repeat; Zinc-finger</t>
  </si>
  <si>
    <t>blood vessel development {GO:0001568}; endocytosis {GO:0006897}; heart development {GO:0007507}; heart looping {GO:0001947}; in utero embryonic development {GO:0001701}; negative regulation of neuron differentiation {GO:0045665}; neural tube formation {GO:0001841}; neuron differentiation {GO:0030182}; Notch signaling pathway {GO:0007219}; positive regulation of endocytosis {GO:0045807}; protein ubiquitination {GO:0016567}; somitogenesis {GO:0001756}; ubiquitin-dependent protein catabolic process {GO:0006511}</t>
  </si>
  <si>
    <t>centrosome {GO:0005813}; cytoplasm {GO:0005737}; cytoplasmic vesicle {GO:0031410}; plasma membrane {GO:0005886}; postsynaptic density {GO:0014069}</t>
  </si>
  <si>
    <t>ubiquitin-protein transferase activity {GO:0004842}; zinc ion binding {GO:0008270}</t>
  </si>
  <si>
    <t>sp|Q9ES56|TPPC4_MOUSE</t>
  </si>
  <si>
    <t>Trafficking protein particle complex subunit 4</t>
  </si>
  <si>
    <t>Synbindin; TRS23 homolog</t>
  </si>
  <si>
    <t>TPPC4_MOUSE</t>
  </si>
  <si>
    <t>Q9ES56</t>
  </si>
  <si>
    <t>Q9DB31</t>
  </si>
  <si>
    <t>MGI:1926211</t>
  </si>
  <si>
    <t>Cell membrane; Endoplasmic reticulum; ER-Golgi transport; Golgi apparatus; Membrane; Postsynaptic cell membrane; Synapse; Transport</t>
  </si>
  <si>
    <t>Cell membrane; Endoplasmic reticulum; Golgi apparatus; Membrane; Postsynaptic cell membrane; Synapse</t>
  </si>
  <si>
    <t>autophagy {GO:0006914}; COPII vesicle coating {GO:0048208}; dendrite development {GO:0016358}; endoplasmic reticulum to Golgi vesicle-mediated transport {GO:0006888}; vesicle coating {GO:0006901}; vesicle tethering {GO:0099022}; vesicle-mediated transport {GO:0016192}</t>
  </si>
  <si>
    <t>anchoring junction {GO:0070161}; cytoplasm {GO:0005737}; dendrite {GO:0030425}; endoplasmic reticulum {GO:0005783}; Golgi membrane {GO:0000139}; Golgi stack {GO:0005795}; plasma membrane {GO:0005886}; postsynaptic membrane {GO:0045211}; synapse {GO:0045202}; synaptic vesicle {GO:0008021}; TRAPP complex {GO:0030008}; TRAPPII protein complex {GO:1990071}; TRAPPIII protein complex {GO:1990072}</t>
  </si>
  <si>
    <t>tr|B2RXT3|B2RXT3_MOUSE</t>
  </si>
  <si>
    <t>sp|Q9QZK2|BCAR3_MOUSE</t>
  </si>
  <si>
    <t>Breast cancer anti-estrogen resistance protein 3 homolog</t>
  </si>
  <si>
    <t>p130Cas-binding protein AND-34</t>
  </si>
  <si>
    <t>BCAR3_MOUSE</t>
  </si>
  <si>
    <t>Q9QZK2</t>
  </si>
  <si>
    <t>Q3TNC9; Q3UP10</t>
  </si>
  <si>
    <t>And34</t>
  </si>
  <si>
    <t>MGI:1352501</t>
  </si>
  <si>
    <t>Acetylation; Alternative splicing; Cell junction; Cytoplasm; Guanine-nucleotide releasing factor; Methylation; Phosphoprotein; SH2 domain</t>
  </si>
  <si>
    <t>Cell junction; Cytoplasm</t>
  </si>
  <si>
    <t>endothelin receptor signaling pathway {GO:0086100}; insulin receptor signaling pathway {GO:0008286}; lens morphogenesis in camera-type eye {GO:0002089}; positive regulation of DNA replication {GO:0045740}; positive regulation of epidermal growth factor receptor signaling pathway {GO:0045742}; positive regulation of GTPase activity {GO:0043547}; positive regulation of MAPK cascade {GO:0043410}; positive regulation of peptidyl-serine phosphorylation {GO:0033138}; small GTPase mediated signal transduction {GO:0007264}</t>
  </si>
  <si>
    <t>cytoplasm {GO:0005737}; focal adhesion {GO:0005925}; membrane {GO:0016020}</t>
  </si>
  <si>
    <t>guanyl-nucleotide exchange factor activity {GO:0005085}; kinase binding {GO:0019900}; phosphotyrosine residue binding {GO:0001784}</t>
  </si>
  <si>
    <t>sp|Q9DBR0|AKAP8_MOUSE</t>
  </si>
  <si>
    <t>A-kinase anchor protein 8 (AKAP-8)</t>
  </si>
  <si>
    <t>A-kinase anchor protein 95 kDa (AKAP 95)</t>
  </si>
  <si>
    <t>AKAP8_MOUSE</t>
  </si>
  <si>
    <t>Q9DBR0</t>
  </si>
  <si>
    <t>Q9R0L8</t>
  </si>
  <si>
    <t>Akap95</t>
  </si>
  <si>
    <t>MGI:1928488</t>
  </si>
  <si>
    <t>Cytoplasm; DNA-binding; Immunity; Innate immunity; Isopeptide bond; Metal-binding; Methylation; Nucleus; Phosphoprotein; Protein transport; Repeat; Transcription; Transcription regulation; Transport; Ubl conjugation; Zinc; Zinc-finger</t>
  </si>
  <si>
    <t>Immunity; Innate immunity; Protein transport; Transcription; Transcription regulation; Transport</t>
  </si>
  <si>
    <t>cell cycle G2/M phase transition {GO:0044839}; cellular response to lipopolysaccharide {GO:0071222}; cellular response to prostaglandin E stimulus {GO:0071380}; innate immune response {GO:0045087}; mitotic chromosome condensation {GO:0007076}; negative regulation of tumor necrosis factor production {GO:0032720}; positive regulation of histone deacetylation {GO:0031065}; protein transport {GO:0015031}</t>
  </si>
  <si>
    <t>chromatin {GO:0000785}; condensed chromosome {GO:0000793}; female pronucleus {GO:0001939}; Golgi apparatus {GO:0005794}; mitochondrion {GO:0005739}; nuclear matrix {GO:0016363}; nucleolus {GO:0005730}; nucleoplasm {GO:0005654}; nucleus {GO:0005634}</t>
  </si>
  <si>
    <t>chromatin binding {GO:0003682}; DNA binding {GO:0003677}; double-stranded DNA binding {GO:0003690}; histone deacetylase binding {GO:0042826}; NF-kappaB binding {GO:0051059}; protein kinase A regulatory subunit binding {GO:0034237}; zinc ion binding {GO:0008270}</t>
  </si>
  <si>
    <t>sp|Q921M4|GOGA2_MOUSE</t>
  </si>
  <si>
    <t>Golgin subfamily A member 2</t>
  </si>
  <si>
    <t>130 kDa cis-Golgi matrix protein (GM130)</t>
  </si>
  <si>
    <t>GOGA2_MOUSE</t>
  </si>
  <si>
    <t>Q921M4</t>
  </si>
  <si>
    <t>A2AN43; A2AN47</t>
  </si>
  <si>
    <t>MGI:2139395</t>
  </si>
  <si>
    <t>Alternative splicing; Cell cycle; Cell division; Coiled coil; Cytoplasm; Cytoskeleton; Golgi apparatus; Membrane; Methylation; Microtubule; Mitosis; Phosphoprotein; Protein transport; Transport</t>
  </si>
  <si>
    <t>Cytoplasm; Cytoskeleton; Golgi apparatus; Membrane; Microtubule</t>
  </si>
  <si>
    <t>asymmetric cell division {GO:0008356}; axonogenesis {GO:0007409}; centrosome cycle {GO:0007098}; endoplasmic reticulum to Golgi vesicle-mediated transport {GO:0006888}; Golgi disassembly {GO:0090166}; Golgi localization {GO:0051645}; Golgi organization {GO:0007030}; Golgi ribbon formation {GO:0090161}; meiotic spindle assembly {GO:0090306}; microtubule nucleation {GO:0007020}; mitotic spindle assembly {GO:0090307}; negative regulation of autophagy {GO:0010507}; negative regulation of protein binding {GO:0032091}; positive regulation of axonogenesis {GO:0050772}; positive regulation of protein glycosylation {GO:0060050}; protein glycosylation {GO:0006486}; protein homotetramerization {GO:0051289}; protein transport {GO:0015031}; spindle assembly {GO:0051225}</t>
  </si>
  <si>
    <t>cis-Golgi network {GO:0005801}; COPII-coated ER to Golgi transport vesicle {GO:0030134}; cytoplasm {GO:0005737}; endoplasmic reticulum-Golgi intermediate compartment membrane {GO:0033116}; Golgi apparatus {GO:0005794}; Golgi cis cisterna {GO:0000137}; Golgi cisterna membrane {GO:0032580}; Golgi membrane {GO:0000139}; microtubule {GO:0005874}; mitotic spindle {GO:0072686}; neuronal cell body {GO:0043025}; perinuclear region of cytoplasm {GO:0048471}; protein-containing complex {GO:0032991}; spindle pole {GO:0000922}</t>
  </si>
  <si>
    <t>identical protein binding {GO:0042802}; importin-alpha family protein binding {GO:0061676}; microtubule binding {GO:0008017}; protein kinase binding {GO:0019901}; protein-containing complex binding {GO:0044877}; syntaxin binding {GO:0019905}</t>
  </si>
  <si>
    <t>Golgi Cisternae Pericentriolar Stack Reorganization {R-MMU-162658}; COPII-mediated vesicle transport {R-MMU-204005}; COPI-mediated anterograde transport {R-MMU-6807878}; RHOD GTPase cycle {R-MMU-9013405}</t>
  </si>
  <si>
    <t>sp|P42567|EPS15_MOUSE</t>
  </si>
  <si>
    <t>Epidermal growth factor receptor substrate 15 (Protein Eps15)</t>
  </si>
  <si>
    <t>Protein AF-1p</t>
  </si>
  <si>
    <t>EPS15_MOUSE</t>
  </si>
  <si>
    <t>P42567</t>
  </si>
  <si>
    <t>Q8C431</t>
  </si>
  <si>
    <t>MGI:104583</t>
  </si>
  <si>
    <t>3D-structure; Acetylation; Alternative splicing; Calcium; Cell membrane; Coated pit; Cytoplasm; Endocytosis; Endosome; Membrane; Metal-binding; Phosphoprotein; Protein transport; Repeat; SH3-binding; Transport; Ubl conjugation</t>
  </si>
  <si>
    <t>Cell membrane; Coated pit; Cytoplasm; Endosome; Membrane</t>
  </si>
  <si>
    <t>Repeat; SH3-binding</t>
  </si>
  <si>
    <t>clathrin coat assembly {GO:0048268}; endocytic recycling {GO:0032456}; endocytosis {GO:0006897}; endosomal transport {GO:0016197}; Golgi to endosome transport {GO:0006895}; positive regulation of receptor recycling {GO:0001921}; postsynaptic neurotransmitter receptor internalization {GO:0098884}; protein transport {GO:0015031}; receptor-mediated endocytosis of virus by host cell {GO:0019065}; regulation of cell population proliferation {GO:0042127}; regulation of protein localization {GO:0032880}; viral entry into host cell {GO:0046718}</t>
  </si>
  <si>
    <t>aggresome {GO:0016235}; AP-2 adaptor complex {GO:0030122}; apical plasma membrane {GO:0016324}; basal plasma membrane {GO:0009925}; ciliary membrane {GO:0060170}; clathrin coat of coated pit {GO:0030132}; clathrin-coated pit {GO:0005905}; clathrin-coated vesicle {GO:0030136}; cytosol {GO:0005829}; early endosome {GO:0005769}; early endosome membrane {GO:0031901}; glutamatergic synapse {GO:0098978}; intracellular membrane-bounded organelle {GO:0043231}; plasma membrane {GO:0005886}; postsynapse {GO:0098794}; synapse {GO:0045202}</t>
  </si>
  <si>
    <t>calcium ion binding {GO:0005509}; identical protein binding {GO:0042802}; polyubiquitin modification-dependent protein binding {GO:0031593}; SH3 domain binding {GO:0017124}</t>
  </si>
  <si>
    <t>sp|Q9DBL7|COASY_MOUSE</t>
  </si>
  <si>
    <t>Dephospho-CoA kinase</t>
  </si>
  <si>
    <t>Dephospho-CoA pyrophosphorylase; Pantetheine-phosphate adenylyltransferase (PPAT; DPCK); Dephosphocoenzyme A kinase (DPCOAK)</t>
  </si>
  <si>
    <t>COASY_MOUSE</t>
  </si>
  <si>
    <t>Q9DBL7</t>
  </si>
  <si>
    <t>A2BFA8; Q3TVZ2; Q8K3Y4</t>
  </si>
  <si>
    <t>Ukr1</t>
  </si>
  <si>
    <t>MGI:1918993</t>
  </si>
  <si>
    <t>3D-structure; ATP-binding; Coenzyme A biosynthesis; Cytoplasm; Kinase; Mitochondrion; Multifunctional enzyme; Nucleotide-binding; Nucleotidyltransferase; Phosphoprotein; Transferase</t>
  </si>
  <si>
    <t>Coenzyme A biosynthesis</t>
  </si>
  <si>
    <t>Kinase; Multifunctional enzyme; Nucleotidyltransferase; Transferase</t>
  </si>
  <si>
    <t>coenzyme A biosynthetic process {GO:0015937}; phosphorylation {GO:0016310}</t>
  </si>
  <si>
    <t>mitochondrial matrix {GO:0005759}</t>
  </si>
  <si>
    <t>ATP binding {GO:0005524}; dephospho-CoA kinase activity {GO:0004140}; pantetheine-phosphate adenylyltransferase activity {GO:0004595}</t>
  </si>
  <si>
    <t>Cofactor biosynthesis; coenzyme A biosynthesis; CoA from (R)- pantothenate: step 5/5..</t>
  </si>
  <si>
    <t>Coenzyme A biosynthesis {R-MMU-196783}</t>
  </si>
  <si>
    <t>tr|G3X8U3|G3X8U3_MOUSE</t>
  </si>
  <si>
    <t>sp|Q99LR1|ABD12_MOUSE</t>
  </si>
  <si>
    <t>Lysophosphatidylserine lipase ABHD12</t>
  </si>
  <si>
    <t>2-arachidonoylglycerol hydrolase ABHD12; Abhydrolase domain-containing protein 12; Monoacylglycerol lipase ABHD12; Oxidized phosphatidylserine lipase ABHD12</t>
  </si>
  <si>
    <t>ABD12_MOUSE</t>
  </si>
  <si>
    <t>Q99LR1</t>
  </si>
  <si>
    <t>A2ANB4; Q99M06</t>
  </si>
  <si>
    <t>MGI:1923442</t>
  </si>
  <si>
    <t>Alternative splicing; Endoplasmic reticulum; Glycoprotein; Hydrolase; Lipid metabolism; Membrane; Mitochondrion; Transmembrane; Transmembrane helix</t>
  </si>
  <si>
    <t>Endoplasmic reticulum; Membrane; Mitochondrion</t>
  </si>
  <si>
    <t>acylglycerol catabolic process {GO:0046464}; adult walking behavior {GO:0007628}; glycerophospholipid catabolic process {GO:0046475}; monoacylglycerol catabolic process {GO:0052651}; phosphatidylserine catabolic process {GO:0006660}; phospholipid catabolic process {GO:0009395}; protein depalmitoylation {GO:0002084}; regulation of inflammatory response {GO:0050727}; response to auditory stimulus {GO:0010996}</t>
  </si>
  <si>
    <t>AMPA glutamate receptor complex {GO:0032281}; cytoplasm {GO:0005737}; dendrite cytoplasm {GO:0032839}; endoplasmic reticulum membrane {GO:0005789}; integral component of membrane {GO:0016021}; membrane {GO:0016020}; mitochondrion {GO:0005739}</t>
  </si>
  <si>
    <t>acylglycerol lipase activity {GO:0047372}; lysophospholipase activity {GO:0004622}; palmitoyl-(protein) hydrolase activity {GO:0008474}; phospholipase activity {GO:0004620}</t>
  </si>
  <si>
    <t>Arachidonate production from DAG {R-MMU-426048}</t>
  </si>
  <si>
    <t>sp|B2RUR8|OTU7B_MOUSE</t>
  </si>
  <si>
    <t>OTU domain-containing protein 7B</t>
  </si>
  <si>
    <t>Cellular zinc finger anti-NF-kappa-B protein; Zinc finger A20 domain-containing protein 1; Zinc finger protein Cezanne</t>
  </si>
  <si>
    <t>OTU7B_MOUSE</t>
  </si>
  <si>
    <t>B2RUR8</t>
  </si>
  <si>
    <t>Q8CFS0</t>
  </si>
  <si>
    <t>MGI:2654703</t>
  </si>
  <si>
    <t>Adaptive immunity; Cytoplasm; Hydrolase; Immunity; Metal-binding; Nucleus; Phosphoprotein; Protease; Thiol protease; Ubl conjugation pathway; Zinc; Zinc-finger</t>
  </si>
  <si>
    <t>Adaptive immunity; Immunity; Ubl conjugation pathway</t>
  </si>
  <si>
    <t>adaptive immune response {GO:0002250}; in utero embryonic development {GO:0001701}; mucosal immune response {GO:0002385}; negative regulation of I-kappaB kinase/NF-kappaB signaling {GO:0043124}; negative regulation of interleukin-8 production {GO:0032717}; negative regulation of protein localization to nucleus {GO:1900181}; negative regulation of transcription by RNA polymerase II {GO:0000122}; protein deubiquitination {GO:0016579}; protein deubiquitination involved in ubiquitin-dependent protein catabolic process {GO:0071947}; protein K11-linked deubiquitination {GO:0035871}; protein K48-linked deubiquitination {GO:0071108}; protein K63-linked deubiquitination {GO:0070536}</t>
  </si>
  <si>
    <t>cysteine-type deubiquitinase activity {GO:0004843}; cysteine-type peptidase activity {GO:0008234}; DNA binding {GO:0003677}; K63-linked polyubiquitin modification-dependent protein binding {GO:0070530}; Lys48-specific deubiquitinase activity {GO:1990380}; zinc ion binding {GO:0008270}</t>
  </si>
  <si>
    <t>TNFR1-induced proapoptotic signaling {R-MMU-5357786}; Regulation of TNFR1 signaling {R-MMU-5357905}; TNFR1-induced NFkappaB signaling pathway {R-MMU-5357956}; Ovarian tumor domain proteases {R-MMU-5689896}</t>
  </si>
  <si>
    <t>sp|Q8BH98|MBOA1_MOUSE</t>
  </si>
  <si>
    <t>Lysophospholipid acyltransferase 1 (LPLAT 1)</t>
  </si>
  <si>
    <t>1-acylglycerophosphocholine O-acyltransferase; 1-acylglycerophosphoethanolamine O-acyltransferase MBOAT1; 1-acylglycerophosphoserine O-acyltransferase MBOAT1; Lysophosphatidylethanolamine acyltransferase 1 (LPE acyltransferase 1; LPEAT1; Lyso-PE acyltransferase); Lysophosphatidylserine acyltransferase (LPSAT; Lyso-PS acyltransferase); Membrane-bound O-acyltransferase domain-containing protein 1 (O-acyltransferase domain-containing protein 1)</t>
  </si>
  <si>
    <t>MBOA1_MOUSE</t>
  </si>
  <si>
    <t>Q8BH98</t>
  </si>
  <si>
    <t>A9EDS0; Q8R3T2</t>
  </si>
  <si>
    <t>MGI:2387184</t>
  </si>
  <si>
    <t>Acyltransferase; Endoplasmic reticulum; Lipid biosynthesis; Lipid metabolism; Membrane; Phospholipid biosynthesis; Phospholipid metabolism; Phosphoprotein; Transferase; Transmembrane; Transmembrane helix</t>
  </si>
  <si>
    <t>Lipid biosynthesis; Lipid metabolism; Phospholipid biosynthesis; Phospholipid metabolism</t>
  </si>
  <si>
    <t>lipid modification {GO:0030258}; phosphatidylethanolamine acyl-chain remodeling {GO:0036152}; phosphatidylserine acyl-chain remodeling {GO:0036150}; phospholipid biosynthetic process {GO:0008654}; regulation of neuron projection development {GO:0010975}</t>
  </si>
  <si>
    <t>endoplasmic reticulum membrane {GO:0005789}; integral component of membrane {GO:0016021}; membrane {GO:0016020}</t>
  </si>
  <si>
    <t>1-acylglycerophosphocholine O-acyltransferase activity {GO:0047184}; 1-acylglycerophosphoethanolamine O-acyltransferase activity {GO:0106262}; 1-acylglycerophosphoserine O-acyltransferase activity {GO:0106263}; acyltransferase activity {GO:0016746}</t>
  </si>
  <si>
    <t>Lipid metabolism; phospholipid metabolism.</t>
  </si>
  <si>
    <t>Acyl chain remodelling of PS {R-MMU-1482801}; Acyl chain remodelling of PE {R-MMU-1482839}</t>
  </si>
  <si>
    <t>sp|Q9CY97|SSU72_MOUSE</t>
  </si>
  <si>
    <t>RNA polymerase II subunit A C-terminal domain phosphatase SSU72 (CTD phosphatase SSU72)</t>
  </si>
  <si>
    <t>SSU72_MOUSE</t>
  </si>
  <si>
    <t>Q9CY97</t>
  </si>
  <si>
    <t>Q3UF99; Q91YL1; Q9DB51</t>
  </si>
  <si>
    <t>MGI:1916241</t>
  </si>
  <si>
    <t>Alternative splicing; Coiled coil; Cytoplasm; Hydrolase; mRNA processing; Nucleus; Protein phosphatase</t>
  </si>
  <si>
    <t>dephosphorylation of RNA polymerase II C-terminal domain {GO:0070940}; mRNA polyadenylation {GO:0006378}; termination of RNA polymerase II transcription {GO:0006369}</t>
  </si>
  <si>
    <t>cytosol {GO:0005829}; mRNA cleavage and polyadenylation specificity factor complex {GO:0005847}; nucleoplasm {GO:0005654}</t>
  </si>
  <si>
    <t>myosin phosphatase activity {GO:0017018}; RNA polymerase II CTD heptapeptide repeat phosphatase activity {GO:0008420}</t>
  </si>
  <si>
    <t>RNA polymerase II transcribes snRNA genes {R-MMU-6807505}</t>
  </si>
  <si>
    <t>sp|Q3V1L4|5NTC_MOUSE</t>
  </si>
  <si>
    <t>Cytosolic purine 5'-nucleotidase</t>
  </si>
  <si>
    <t>Cytosolic nucleoside phosphotransferase 5'N</t>
  </si>
  <si>
    <t>5NTC_MOUSE</t>
  </si>
  <si>
    <t>Q3V1L4</t>
  </si>
  <si>
    <t>Q6P223; Q8BZ43; Q9D8G6</t>
  </si>
  <si>
    <t>MGI:2178563</t>
  </si>
  <si>
    <t>Allosteric enzyme; ATP-binding; Cytoplasm; Hydrolase; Magnesium; Metal-binding; Nucleotide metabolism; Nucleotide-binding; Phosphoprotein; Transferase</t>
  </si>
  <si>
    <t>Allosteric enzyme; Hydrolase; Transferase</t>
  </si>
  <si>
    <t>adenosine metabolic process {GO:0046085}; allantoin metabolic process {GO:0000255}; dGMP catabolic process {GO:0046055}; dGMP metabolic process {GO:0046054}; GMP catabolic process {GO:0046038}; GMP catabolic process to guanine {GO:0006202}; GMP metabolic process {GO:0046037}; IMP catabolic process {GO:0006204}; IMP metabolic process {GO:0046040}; nucleotide phosphorylation {GO:0046939}</t>
  </si>
  <si>
    <t>5'-nucleotidase activity {GO:0008253}; ATP binding {GO:0005524}; GMP 5'-nucleotidase activity {GO:0050484}; identical protein binding {GO:0042802}; IMP 5'-nucleotidase activity {GO:0050483}; metal ion binding {GO:0046872}; nucleoside phosphotransferase activity {GO:0050146}; XMP 5'-nucleosidase activity {GO:0106411}</t>
  </si>
  <si>
    <t>Abacavir metabolism {R-MMU-2161541}; Purine catabolism {R-MMU-74259}</t>
  </si>
  <si>
    <t>sp|P36536|SAR1A_MOUSE</t>
  </si>
  <si>
    <t>GTP-binding protein SAR1a</t>
  </si>
  <si>
    <t>SAR1A_MOUSE</t>
  </si>
  <si>
    <t>P36536</t>
  </si>
  <si>
    <t>Sara; Sara1</t>
  </si>
  <si>
    <t>MGI:98230</t>
  </si>
  <si>
    <t>Endoplasmic reticulum; ER-Golgi transport; Golgi apparatus; GTP-binding; Nucleotide-binding; Phosphoprotein; Protein transport; Transport</t>
  </si>
  <si>
    <t>COPII-coated vesicle cargo loading {GO:0090110}; endoplasmic reticulum to Golgi vesicle-mediated transport {GO:0006888}; intracellular protein transport {GO:0006886}; membrane organization {GO:0061024}; negative regulation of cargo loading into COPII-coated vesicle {GO:1901303}; positive regulation of protein exit from endoplasmic reticulum {GO:0070863}; regulation of cargo loading into COPII-coated vesicle {GO:1901301}; regulation of COPII vesicle coating {GO:0003400}; vesicle organization {GO:0016050}; vesicle-mediated transport {GO:0016192}</t>
  </si>
  <si>
    <t>COPII vesicle coat {GO:0030127}; endoplasmic reticulum {GO:0005783}; endoplasmic reticulum exit site {GO:0070971}; Golgi apparatus {GO:0005794}; sarcoplasmic reticulum {GO:0016529}</t>
  </si>
  <si>
    <t>sp|P08556|RASN_MOUSE</t>
  </si>
  <si>
    <t>GTPase NRas</t>
  </si>
  <si>
    <t>Transforming protein N-Ras</t>
  </si>
  <si>
    <t>RASN_MOUSE</t>
  </si>
  <si>
    <t>P08556</t>
  </si>
  <si>
    <t>MGI:97376</t>
  </si>
  <si>
    <t>Acetylation; Cell membrane; Golgi apparatus; GTP-binding; Hydrolase; Isopeptide bond; Lipoprotein; Membrane; Methylation; Nucleotide-binding; Palmitate; Phosphoprotein; Prenylation; Proto-oncogene; Ubl conjugation</t>
  </si>
  <si>
    <t>Cell membrane; Golgi apparatus; Membrane</t>
  </si>
  <si>
    <t>Acetylation; Isopeptide bond; Lipoprotein; Methylation; Palmitate; Phosphoprotein; Prenylation; Ubl conjugation</t>
  </si>
  <si>
    <t>defense response to protozoan {GO:0042832}; negative regulation of skeletal muscle tissue development {GO:0048642}; positive regulation of angiogenesis {GO:0045766}; positive regulation of endothelial cell proliferation {GO:0001938}; positive regulation of fibroblast proliferation {GO:0048146}; positive regulation of interferon-gamma production {GO:0032729}; Ras protein signal transduction {GO:0007265}; regulation of cell cycle {GO:0051726}; regulation of gene expression {GO:0010468}; regulation of protein phosphorylation {GO:0001932}; T cell receptor signaling pathway {GO:0050852}</t>
  </si>
  <si>
    <t>Golgi apparatus {GO:0005794}; Golgi membrane {GO:0000139}; membrane {GO:0016020}; plasma membrane {GO:0005886}</t>
  </si>
  <si>
    <t>G protein activity {GO:0003925}; GDP binding {GO:0019003}; GTP binding {GO:0005525}; GTPase activity {GO:0003924}; protein-containing complex binding {GO:0044877}</t>
  </si>
  <si>
    <t>Activation of RAS in B cells {R-MMU-1169092}; SHC1 events in ERBB4 signaling {R-MMU-1250347}; Signaling by SCF-KIT {R-MMU-1433557}; p38MAPK events {R-MMU-171007}; GRB2 events in EGFR signaling {R-MMU-179812}; SHC1 events in EGFR signaling {R-MMU-180336}; Downstream signal transduction {R-MMU-186763}; GRB2 events in ERBB2 signaling {R-MMU-1963640}; Tie2 Signaling {R-MMU-210993}; EGFR Transactivation by Gastrin {R-MMU-2179392}; DAP12 signaling {R-MMU-2424491}; FCERI mediated MAPK activation {R-MMU-2871796}; NCAM signaling for neurite out-growth {R-MMU-375165}; VEGFR2 mediated cell proliferation {R-MMU-5218921}; CD209 (DC-SIGN) signaling {R-MMU-5621575}; SHC-mediated cascade:FGFR1 {R-MMU-5654688}; FRS-mediated FGFR1 signaling {R-MMU-5654693}; SHC-mediated cascade:FGFR2 {R-MMU-5654699}; FRS-mediated FGFR2 signaling {R-MMU-5654700}; SHC-mediated cascade:FGFR3 {R-MMU-5654704}; FRS-mediated FGFR3 signaling {R-MMU-5654706}; FRS-mediated FGFR4 signaling {R-MMU-5654712}; SHC-mediated cascade:FGFR4 {R-MMU-5654719}; Regulation of RAS by GAPs {R-MMU-5658442}; RAF activation {R-MMU-5673000}; RAF/MAP kinase cascade {R-MMU-5673001}; MAP2K and MAPK activation {R-MMU-5674135}; Negative regulation of MAPK pathway {R-MMU-5675221}; Neutrophil degranulation {R-MMU-6798695}; PTK6 Regulates RHO GTPases, RAS GTPase and MAP kinases {R-MMU-8849471}; MET activates RAS signaling {R-MMU-8851805}; FLT3 Signaling {R-MMU-9607240}; Estrogen-stimulated signaling through PRKCZ {R-MMU-9634635}; RAS processing {R-MMU-9648002}</t>
  </si>
  <si>
    <t>sp|Q8BH57|WDR48_MOUSE</t>
  </si>
  <si>
    <t>WD repeat-containing protein 48</t>
  </si>
  <si>
    <t>USP1-associated factor 1</t>
  </si>
  <si>
    <t>WDR48_MOUSE</t>
  </si>
  <si>
    <t>Q8BH57</t>
  </si>
  <si>
    <t>Q80TD4; Q80XI0; Q8BRM0; Q8CBK0; Q922Z9; Q9CRR1; Q9CSL0</t>
  </si>
  <si>
    <t>Kiaa1449; Uaf1</t>
  </si>
  <si>
    <t>MGI:1914811</t>
  </si>
  <si>
    <t>Acetylation; Alternative splicing; Cytoplasm; DNA damage; DNA repair; DNA-binding; Endosome; Lysosome; Nucleus; Phosphoprotein; Repeat; Ubl conjugation pathway; WD repeat</t>
  </si>
  <si>
    <t>Cytoplasm; Endosome; Lysosome; Nucleus</t>
  </si>
  <si>
    <t>cellular response to DNA damage stimulus {GO:0006974}; double-strand break repair via homologous recombination {GO:0000724}; embryonic organ development {GO:0048568}; homeostasis of number of cells {GO:0048872}; male gonad development {GO:0008584}; multicellular organism growth {GO:0035264}; positive regulation of double-strand break repair via homologous recombination {GO:1905168}; positive regulation of epithelial cell proliferation {GO:0050679}; protein deubiquitination {GO:0016579}; regulation of protein monoubiquitination {GO:1902525}; seminiferous tubule development {GO:0072520}; single fertilization {GO:0007338}; skeletal system morphogenesis {GO:0048705}; skin development {GO:0043588}; spermatogenesis {GO:0007283}</t>
  </si>
  <si>
    <t>intracellular membrane-bounded organelle {GO:0043231}; late endosome {GO:0005770}; lysosome {GO:0005764}; nucleus {GO:0005634}</t>
  </si>
  <si>
    <t>deubiquitinase activator activity {GO:0035800}; DNA binding {GO:0003677}; double-stranded DNA binding {GO:0003690}; single-stranded DNA binding {GO:0003697}; ubiquitin binding {GO:0043130}</t>
  </si>
  <si>
    <t>Recognition of DNA damage by PCNA-containing replication complex {R-MMU-110314}; Ub-specific processing proteases {R-MMU-5689880}; Fanconi Anemia Pathway {R-MMU-6783310}</t>
  </si>
  <si>
    <t>sp|Q8CHY6|P66A_MOUSE</t>
  </si>
  <si>
    <t>Transcriptional repressor p66 alpha</t>
  </si>
  <si>
    <t>GATA zinc finger domain-containing protein 2A</t>
  </si>
  <si>
    <t>P66A_MOUSE</t>
  </si>
  <si>
    <t>Q8CHY6</t>
  </si>
  <si>
    <t>Q8BTQ2; Q8VEC9</t>
  </si>
  <si>
    <t>MGI:2384585</t>
  </si>
  <si>
    <t>Coiled coil; Isopeptide bond; Metal-binding; Methylation; Nucleus; Phosphoprotein; Repressor; Transcription; Transcription regulation; Ubl conjugation; Zinc; Zinc-finger</t>
  </si>
  <si>
    <t>anterior neuropore closure {GO:0021506}; blood vessel development {GO:0001568}; chromatin remodeling {GO:0006338}; embryonic body morphogenesis {GO:0010172}; histone deacetylation {GO:0016575}; in utero embryonic development {GO:0001701}; negative regulation of DNA-templated transcription {GO:0045892}; negative regulation of transcription by RNA polymerase II {GO:0000122}; neural fold formation {GO:0001842}; positive regulation of DNA-templated transcription {GO:0045893}; programmed cell death {GO:0012501}; regulation of cell fate specification {GO:0042659}; regulation of stem cell differentiation {GO:2000736}</t>
  </si>
  <si>
    <t>nuclear speck {GO:0016607}; nucleoplasm {GO:0005654}; nucleus {GO:0005634}; NuRD complex {GO:0016581}</t>
  </si>
  <si>
    <t>metal ion binding {GO:0046872}; protein-macromolecule adaptor activity {GO:0030674}</t>
  </si>
  <si>
    <t>sp|P56375|ACYP2_MOUSE</t>
  </si>
  <si>
    <t>Acylphosphatase-2</t>
  </si>
  <si>
    <t>Acylphosphatase, muscle type isozyme; Acylphosphate phosphohydrolase 2</t>
  </si>
  <si>
    <t>ACYP2_MOUSE</t>
  </si>
  <si>
    <t>P56375</t>
  </si>
  <si>
    <t>Q5SPV7; Q8BQX2</t>
  </si>
  <si>
    <t>Acyp</t>
  </si>
  <si>
    <t>MGI:1922822</t>
  </si>
  <si>
    <t>Hydrolase; Phosphoprotein</t>
  </si>
  <si>
    <t>acylphosphatase activity {GO:0003998}; identical protein binding {GO:0042802}</t>
  </si>
  <si>
    <t>sp|Q8R3G1|PP1R8_MOUSE</t>
  </si>
  <si>
    <t>Nuclear inhibitor of protein phosphatase 1 (NIPP-1)</t>
  </si>
  <si>
    <t>Protein phosphatase 1 regulatory inhibitor subunit 8</t>
  </si>
  <si>
    <t>PP1R8_MOUSE</t>
  </si>
  <si>
    <t>Q8R3G1</t>
  </si>
  <si>
    <t>Q8C087</t>
  </si>
  <si>
    <t>Nipp1</t>
  </si>
  <si>
    <t>MGI:2140494</t>
  </si>
  <si>
    <t>3D-structure; Developmental protein; DNA-binding; mRNA processing; mRNA splicing; Nucleus; Phosphoprotein; Protein phosphatase inhibitor; Repressor; RNA-binding; Spliceosome; Transcription; Transcription regulation</t>
  </si>
  <si>
    <t>DNA-binding; Developmental protein; Protein phosphatase inhibitor; RNA-binding; Repressor</t>
  </si>
  <si>
    <t>cell population proliferation {GO:0008283}; mRNA processing {GO:0006397}; negative regulation of protein dephosphorylation {GO:0035308}; RNA splicing {GO:0008380}</t>
  </si>
  <si>
    <t>nuclear speck {GO:0016607}; nucleoplasm {GO:0005654}; spliceosomal complex {GO:0005681}</t>
  </si>
  <si>
    <t>DNA binding {GO:0003677}; mRNA binding {GO:0003729}; protein phosphatase regulator activity {GO:0019888}; protein serine/threonine phosphatase inhibitor activity {GO:0004865}</t>
  </si>
  <si>
    <t>sp|Q9R1K9|CETN2_MOUSE</t>
  </si>
  <si>
    <t>Centrin-2</t>
  </si>
  <si>
    <t>Caltractin isoform 1</t>
  </si>
  <si>
    <t>CETN2_MOUSE</t>
  </si>
  <si>
    <t>Q9R1K9</t>
  </si>
  <si>
    <t>B1AUQ6; B1AUQ8; Q3UBB4; Q9CWM0</t>
  </si>
  <si>
    <t>Calt</t>
  </si>
  <si>
    <t>MGI:1347085</t>
  </si>
  <si>
    <t>Acetylation; Calcium; Cell cycle; Cell division; Cytoplasm; Cytoskeleton; DNA damage; DNA repair; Isopeptide bond; Metal-binding; Mitosis; mRNA transport; Nuclear pore complex; Nucleus; Phosphoprotein; Protein transport; Repeat; Translocation; Transport; Ubl conjugation</t>
  </si>
  <si>
    <t>Cell cycle; Cell division; DNA damage; DNA repair; Mitosis; Protein transport; Translocation; Transport; mRNA transport</t>
  </si>
  <si>
    <t>cell division {GO:0051301}; centriole replication {GO:0007099}; mitotic cell cycle {GO:0000278}; mRNA transport {GO:0051028}; nucleotide-excision repair {GO:0006289}; protein transport {GO:0015031}; regulation of cytokinesis {GO:0032465}; spermatogenesis {GO:0007283}</t>
  </si>
  <si>
    <t>9+2 motile cilium {GO:0097729}; apical part of cell {GO:0045177}; centriole {GO:0005814}; centrosome {GO:0005813}; ciliary basal body {GO:0036064}; cilium {GO:0005929}; cytoplasm {GO:0005737}; nuclear pore nuclear basket {GO:0044615}; photoreceptor connecting cilium {GO:0032391}; transcription export complex 2 {GO:0070390}; XPC complex {GO:0071942}</t>
  </si>
  <si>
    <t>calcium ion binding {GO:0005509}; G-protein beta/gamma-subunit complex binding {GO:0031683}; heterotrimeric G-protein binding {GO:0032795}; microtubule binding {GO:0008017}</t>
  </si>
  <si>
    <t>Regulation of PLK1 Activity at G2/M Transition {R-MMU-2565942}; SUMOylation of DNA damage response and repair proteins {R-MMU-3108214};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DNA Damage Recognition in GG-NER {R-MMU-5696394}; Formation of Incision Complex in GG-NER {R-MMU-5696395}; AURKA Activation by TPX2 {R-MMU-8854518}</t>
  </si>
  <si>
    <t>sp|Q8BIJ6|SYIM_MOUSE</t>
  </si>
  <si>
    <t>Isoleucine--tRNA ligase, mitochondrial</t>
  </si>
  <si>
    <t>Isoleucyl-tRNA synthetase (IleRS)</t>
  </si>
  <si>
    <t>SYIM_MOUSE</t>
  </si>
  <si>
    <t>Q8BIJ6</t>
  </si>
  <si>
    <t>Q3TKT8; Q8BIJ0; Q8BIP3</t>
  </si>
  <si>
    <t>MGI:1919586</t>
  </si>
  <si>
    <t>Acetylation; Aminoacyl-tRNA synthetase; ATP-binding; Ligase; Mitochondrion; Nucleotide-binding; Protein biosynthesis; Transit peptide</t>
  </si>
  <si>
    <t>isoleucyl-tRNA aminoacylation {GO:0006428}; mitochondrial translation {GO:0032543}</t>
  </si>
  <si>
    <t>aminoacyl-tRNA editing activity {GO:0002161}; ATP binding {GO:0005524}; isoleucine-tRNA ligase activity {GO:0004822}; tRNA binding {GO:0000049}</t>
  </si>
  <si>
    <t>sp|P51885|LUM_MOUSE</t>
  </si>
  <si>
    <t>Lumican</t>
  </si>
  <si>
    <t>Keratan sulfate proteoglycan lumican (KSPG lumican)</t>
  </si>
  <si>
    <t>LUM_MOUSE</t>
  </si>
  <si>
    <t>P51885</t>
  </si>
  <si>
    <t>Q3TP25; Q99JZ3; Q9CXK0</t>
  </si>
  <si>
    <t>Lcn; Ldc</t>
  </si>
  <si>
    <t>MGI:109347</t>
  </si>
  <si>
    <t>Disulfide bond; Extracellular matrix; Glycoprotein; Leucine-rich repeat; Phosphoprotein; Proteoglycan; Pyrrolidone carboxylic acid; Repeat; Secreted; Signal; Sulfation</t>
  </si>
  <si>
    <t>Leucine-rich repeat; Repeat; Signal</t>
  </si>
  <si>
    <t>Disulfide bond; Glycoprotein; Phosphoprotein; Proteoglycan; Pyrrolidone carboxylic acid; Sulfation</t>
  </si>
  <si>
    <t>collagen fibril organization {GO:0030199}; positive regulation of transcription by RNA polymerase II {GO:0045944}; positive regulation of transforming growth factor beta1 production {GO:0032914}; visual perception {GO:0007601}</t>
  </si>
  <si>
    <t>collagen-containing extracellular matrix {GO:0062023}; extracellular matrix {GO:0031012}; extracellular space {GO:0005615}; fibrillar collagen trimer {GO:0005583}</t>
  </si>
  <si>
    <t>collagen binding {GO:0005518}</t>
  </si>
  <si>
    <t>Keratan sulfate biosynthesis {R-MMU-2022854}; Keratan sulfate degradation {R-MMU-2022857}; Integrin cell surface interactions {R-MMU-216083}</t>
  </si>
  <si>
    <t>sp|Q01063|PDE4D_MOUSE</t>
  </si>
  <si>
    <t>cAMP-specific 3',5'-cyclic phosphodiesterase 4D</t>
  </si>
  <si>
    <t>DPDE3</t>
  </si>
  <si>
    <t>PDE4D_MOUSE</t>
  </si>
  <si>
    <t>Q01063</t>
  </si>
  <si>
    <t>B2KF58; Q6TRH9; Q8C4Q7; Q8CG05</t>
  </si>
  <si>
    <t>MGI:99555</t>
  </si>
  <si>
    <t>Alternative splicing; cAMP; Cell membrane; Cytoplasm; Cytoskeleton; Hydrolase; Isopeptide bond; Magnesium; Manganese; Membrane; Metal-binding; Phosphoprotein; Ubl conjugation; Zinc</t>
  </si>
  <si>
    <t>Magnesium; Manganese; Metal-binding; Zinc; cAMP</t>
  </si>
  <si>
    <t>adrenergic receptor signaling pathway {GO:0071875}; aging {GO:0007568}; cAMP catabolic process {GO:0006198}; cellular response to cAMP {GO:0071320}; cellular response to epinephrine stimulus {GO:0071872}; cellular response to lipopolysaccharide {GO:0071222}; establishment of endothelial barrier {GO:0061028}; memory {GO:0007613}; multicellular organism growth {GO:0035264}; negative regulation of cAMP-mediated signaling {GO:0043951}; negative regulation of heart contraction {GO:0045822}; negative regulation of peptidyl-serine phosphorylation {GO:0033137}; negative regulation of relaxation of cardiac muscle {GO:1901898}; neutrophil chemotaxis {GO:0030593}; neutrophil migration {GO:1990266}; positive regulation of cell-cell adhesion {GO:0022409}; positive regulation of interferon-gamma production {GO:0032729}; positive regulation of interleukin-2 production {GO:0032743}; positive regulation of interleukin-5 production {GO:0032754}; positive regulation of protein phosphorylation {GO:0001934}; positive regulation of smooth muscle cell migration {GO:0014911}; positive regulation of smooth muscle cell proliferation {GO:0048661}; protein-containing complex assembly {GO:0065003}; regulation of cAMP-mediated signaling {GO:0043949}; regulation of cardiac muscle cell contraction {GO:0086004}; regulation of cell communication by electrical coupling involved in cardiac conduction {GO:1901844}; regulation of G protein-coupled receptor signaling pathway {GO:0008277}; regulation of heart rate {GO:0002027}; regulation of release of sequestered calcium ion into cytosol by sarcoplasmic reticulum {GO:0010880}; regulation of ryanodine-sensitive calcium-release channel activity {GO:0060314}; regulation of signaling receptor activity {GO:0010469}; signal transduction {GO:0007165}; smooth muscle contraction {GO:0006939}; T cell receptor signaling pathway {GO:0050852}</t>
  </si>
  <si>
    <t>apical plasma membrane {GO:0016324}; calcium channel complex {GO:0034704}; centrosome {GO:0005813}; cytosol {GO:0005829}; Golgi apparatus {GO:0005794}; myofibril {GO:0030016}; nucleus {GO:0005634}; perinuclear region of cytoplasm {GO:0048471}; plasma membrane {GO:0005886}; potassium channel complex {GO:0034705}; protein-containing complex {GO:0032991}; voltage-gated calcium channel complex {GO:0005891}</t>
  </si>
  <si>
    <t>3',5'-cyclic-AMP phosphodiesterase activity {GO:0004115}; 3',5'-cyclic-nucleotide phosphodiesterase activity {GO:0004114}; ATPase binding {GO:0051117}; beta-2 adrenergic receptor binding {GO:0031698}; cAMP binding {GO:0030552}; cyclic-nucleotide phosphodiesterase activity {GO:0004112}; enzyme binding {GO:0019899}; heterocyclic compound binding {GO:1901363}; metal ion binding {GO:0046872}; scaffold protein binding {GO:0097110}; transmembrane transporter binding {GO:0044325}</t>
  </si>
  <si>
    <t>Purine metabolism; 3',5'-cyclic AMP degradation; AMP from 3',5'-cyclic AMP: step 1/1.</t>
  </si>
  <si>
    <t>DARPP-32 events {R-MMU-180024}; G alpha (s) signalling events {R-MMU-418555}</t>
  </si>
  <si>
    <t>sp|O54988|SLK_MOUSE</t>
  </si>
  <si>
    <t>STE20-like serine/threonine-protein kinase (STE20-like kinase; mSLK)</t>
  </si>
  <si>
    <t>Etk4; STE20-related kinase SMAK; STE20-related serine/threonine-protein kinase (STE20-related kinase); Serine/threonine-protein kinase 2</t>
  </si>
  <si>
    <t>SLK_MOUSE</t>
  </si>
  <si>
    <t>O54988</t>
  </si>
  <si>
    <t>A2RRK4; Q80U65; Q8CAU2; Q8CDW2; Q9WU41</t>
  </si>
  <si>
    <t>Kiaa0204; Stk2</t>
  </si>
  <si>
    <t>MGI:103241</t>
  </si>
  <si>
    <t>Alternative splicing; Apoptosis; ATP-binding; Coiled coil; Cytoplasm; Kinase; Nucleotide-binding; Phosphoprotein; Serine/threonine-protein kinase; Transferase</t>
  </si>
  <si>
    <t>apoptotic process {GO:0006915}; cytoplasmic microtubule organization {GO:0031122}; positive regulation of apoptotic process {GO:0043065}; protein autophosphorylation {GO:0046777}; protein phosphorylation {GO:0006468}; regulation of apoptotic process {GO:0042981}; regulation of cell migration {GO:0030334}; regulation of focal adhesion assembly {GO:0051893}</t>
  </si>
  <si>
    <t>cell leading edge {GO:0031252}; cytoplasm {GO:0005737}; perinuclear region of cytoplasm {GO:0048471}</t>
  </si>
  <si>
    <t>ATP binding {GO:0005524}; identical protein binding {GO:0042802}; protein homodimerization activity {GO:0042803}; protein kinase activity {GO:0004672}; protein serine kinase activity {GO:0106310}; protein serine/threonine kinase activity {GO:0004674}</t>
  </si>
  <si>
    <t>RHOA GTPase cycle {R-MMU-8980692}; RHOB GTPase cycle {R-MMU-9013026}; RHOC GTPase cycle {R-MMU-9013106}</t>
  </si>
  <si>
    <t>sp|P18872|GNAO_MOUSE</t>
  </si>
  <si>
    <t>Guanine nucleotide-binding protein G(o) subunit alpha</t>
  </si>
  <si>
    <t>GNAO_MOUSE</t>
  </si>
  <si>
    <t>P18872</t>
  </si>
  <si>
    <t>P18873</t>
  </si>
  <si>
    <t>Gna0; Gnao</t>
  </si>
  <si>
    <t>MGI:95775</t>
  </si>
  <si>
    <t>3D-structure; Alternative splicing; Cell membrane; GTP-binding; Lipoprotein; Magnesium; Membrane; Metal-binding; Myristate; Nucleotide-binding; Palmitate; Transducer</t>
  </si>
  <si>
    <t>adenylate cyclase-modulating G protein-coupled receptor signaling pathway {GO:0007188}; aging {GO:0007568}; dopamine receptor signaling pathway {GO:0007212}; G protein-coupled receptor signaling pathway {GO:0007186}; locomotory behavior {GO:0007626}; negative regulation of calcium ion transport {GO:0051926}; positive regulation of GTPase activity {GO:0043547}; regulation of heart contraction {GO:0008016}; response to organonitrogen compound {GO:0010243}</t>
  </si>
  <si>
    <t>cell body {GO:0044297}; dendrite {GO:0030425}; heterotrimeric G-protein complex {GO:0005834}; membrane {GO:0016020}; myelin sheath {GO:0043209}; neuron projection {GO:0043005}; plasma membrane {GO:0005886}</t>
  </si>
  <si>
    <t>corticotropin-releasing hormone receptor 1 binding {GO:0051430}; G protein-coupled receptor binding {GO:0001664}; G protein-coupled serotonin receptor binding {GO:0031821}; G-protein beta/gamma-subunit complex binding {GO:0031683}; GTP binding {GO:0005525}; GTPase activating protein binding {GO:0032794}; GTPase activity {GO:0003924}; metal ion binding {GO:0046872}; mu-type opioid receptor binding {GO:0031852}; signaling receptor binding {GO:0005102}</t>
  </si>
  <si>
    <t>Ca2+ pathway {R-MMU-4086398}</t>
  </si>
  <si>
    <t>sp|P20065|TYB4_MOUSE</t>
  </si>
  <si>
    <t>Hemoregulatory peptide AcSDKP (T beta 4)</t>
  </si>
  <si>
    <t>N-acetyl-SDKP (AcSDKP); Seraspenide</t>
  </si>
  <si>
    <t>TYB4_MOUSE</t>
  </si>
  <si>
    <t>P20065</t>
  </si>
  <si>
    <t>Ptmb4; Tmsb4</t>
  </si>
  <si>
    <t>MGI:99510</t>
  </si>
  <si>
    <t>3D-structure; Acetylation; Actin-binding; Alternative splicing; Cytoplasm; Cytoskeleton; Isopeptide bond; Phosphoprotein; Ubl conjugation</t>
  </si>
  <si>
    <t>actin filament organization {GO:0007015}; negative regulation of cell cycle G1/S phase transition {GO:1902807}; negative regulation of hematopoietic stem cell differentiation {GO:1902037}; positive regulation of DNA-templated transcription {GO:0045893}; positive regulation of smooth muscle cell differentiation {GO:0051152}; positive regulation of smooth muscle cell migration {GO:0014911}; regulation of cell migration {GO:0030334}; sequestering of actin monomers {GO:0042989}</t>
  </si>
  <si>
    <t>cytoplasm {GO:0005737}; cytoskeleton {GO:0005856}; cytosol {GO:0005829}; nucleus {GO:0005634}</t>
  </si>
  <si>
    <t>actin monomer binding {GO:0003785}; enzyme binding {GO:0019899}</t>
  </si>
  <si>
    <t>sp|Q8VI63|MOB2_MOUSE</t>
  </si>
  <si>
    <t>MOB kinase activator 2</t>
  </si>
  <si>
    <t>Mob2 homolog; Mps one binder kinase activator-like 2; Ovary-specific MOB-like protein</t>
  </si>
  <si>
    <t>MOB2_MOUSE</t>
  </si>
  <si>
    <t>Q8VI63</t>
  </si>
  <si>
    <t>Q3UXL5; Q9CZJ5</t>
  </si>
  <si>
    <t>Mmh</t>
  </si>
  <si>
    <t>MGI:1919891</t>
  </si>
  <si>
    <t>Alternative splicing; Cytoplasm; Metal-binding; Nucleus; Phosphoprotein; Zinc</t>
  </si>
  <si>
    <t>actin cytoskeleton organization {GO:0030036}; positive regulation of neuron projection development {GO:0010976}; positive regulation of protein phosphorylation {GO:0001934}; signal transduction {GO:0007165}</t>
  </si>
  <si>
    <t>cytoplasm {GO:0005737}; cytosol {GO:0005829}; neuron projection terminus {GO:0044306}; nucleolus {GO:0005730}; nucleoplasm {GO:0005654}; nucleus {GO:0005634}; perinuclear region of cytoplasm {GO:0048471}</t>
  </si>
  <si>
    <t>metal ion binding {GO:0046872}; protein kinase activator activity {GO:0030295}</t>
  </si>
  <si>
    <t>sp|Q8BGW1|FTO_MOUSE</t>
  </si>
  <si>
    <t>Alpha-ketoglutarate-dependent dioxygenase FTO</t>
  </si>
  <si>
    <t>Fat mass and obesity-associated protein; Protein fatso; U6 small nuclear RNA (2'-O-methyladenosine-N(6)-)-demethylase FTO; U6 small nuclear RNA N(6)-methyladenosine-demethylase FTO; mRNA (2'-O-methyladenosine-N(6)-)-demethylase FTO (m6A(m)-demethylase FTO); mRNA N(6)-methyladenosine demethylase FTO; tRNA N1-methyl adenine demethylase FTO</t>
  </si>
  <si>
    <t>FTO_MOUSE</t>
  </si>
  <si>
    <t>Q8BGW1</t>
  </si>
  <si>
    <t>Q3TTZ5; Q6ZPI7; Q8BR68; Q8CB66; Q8R250; Q9QZ13</t>
  </si>
  <si>
    <t>MGI:1347093</t>
  </si>
  <si>
    <t>Acetylation; Alternative splicing; Cytoplasm; Dioxygenase; Iron; Metal-binding; Nucleus; Oxidoreductase</t>
  </si>
  <si>
    <t>adipose tissue development {GO:0060612}; DNA dealkylation involved in DNA repair {GO:0006307}; DNA demethylation {GO:0080111}; mRNA destabilization {GO:0061157}; oxidative demethylation {GO:0070989}; oxidative single-stranded DNA demethylation {GO:0035552}; oxidative single-stranded RNA demethylation {GO:0035553}; regulation of brown fat cell differentiation {GO:0090335}; regulation of lipid storage {GO:0010883}; regulation of multicellular organism growth {GO:0040014}; regulation of respiratory system process {GO:0044065}; regulation of white fat cell proliferation {GO:0070350}; RNA repair {GO:0042245}; temperature homeostasis {GO:0001659}</t>
  </si>
  <si>
    <t>cytoplasm {GO:0005737}; cytosol {GO:0005829}; intracellular membrane-bounded organelle {GO:0043231}; nuclear speck {GO:0016607}; nucleus {GO:0005634}; plasma membrane {GO:0005886}</t>
  </si>
  <si>
    <t>DNA-N1-methyladenine dioxygenase activity {GO:0043734}; ferrous iron binding {GO:0008198}; mRNA N6-methyladenosine dioxygenase activity {GO:1990931}; oxidative DNA demethylase activity {GO:0035516}; oxidative RNA demethylase activity {GO:0035515}; tRNA demethylase activity {GO:1990984}</t>
  </si>
  <si>
    <t>Reversal of alkylation damage by DNA dioxygenases {R-MMU-73943}</t>
  </si>
  <si>
    <t>sp|Q99M28|RNPS1_MOUSE</t>
  </si>
  <si>
    <t>RNA-binding protein with serine-rich domain 1</t>
  </si>
  <si>
    <t>RNPS1_MOUSE</t>
  </si>
  <si>
    <t>Q99M28</t>
  </si>
  <si>
    <t>Q3TMJ1; Q922H8</t>
  </si>
  <si>
    <t>MGI:97960</t>
  </si>
  <si>
    <t>Acetylation; Alternative splicing; Cytoplasm; Isopeptide bond; mRNA processing; mRNA splicing; Nonsense-mediated mRNA decay; Nucleus; Phosphoprotein; RNA-binding; Ubl conjugation</t>
  </si>
  <si>
    <t>mRNA splicing, via spliceosome {GO:0000398}; negative regulation of mRNA splicing, via spliceosome {GO:0048025}; nuclear-transcribed mRNA catabolic process, nonsense-mediated decay {GO:0000184}; positive regulation of apoptotic process {GO:0043065}; regulation of alternative mRNA splicing, via spliceosome {GO:0000381}</t>
  </si>
  <si>
    <t>ASAP complex {GO:0061574}; cytoplasm {GO:0005737}; nuclear speck {GO:0016607}; nucleoplasm {GO:0005654}; nucleus {GO:0005634}</t>
  </si>
  <si>
    <t>sp|Q91YP3|DEOC_MOUSE</t>
  </si>
  <si>
    <t>Deoxyribose-phosphate aldolase (DERA)</t>
  </si>
  <si>
    <t>2-deoxy-D-ribose 5-phosphate aldolase; Phosphodeoxyriboaldolase (Deoxyriboaldolase)</t>
  </si>
  <si>
    <t>DEOC_MOUSE</t>
  </si>
  <si>
    <t>Q91YP3</t>
  </si>
  <si>
    <t>Q3UD33; Q9CZI8</t>
  </si>
  <si>
    <t>MGI:1913762</t>
  </si>
  <si>
    <t>Cytoplasm; Lyase; Nucleus; Schiff base</t>
  </si>
  <si>
    <t>carbohydrate catabolic process {GO:0016052}; deoxyribonucleoside catabolic process {GO:0046121}; deoxyribonucleotide catabolic process {GO:0009264}; deoxyribose phosphate catabolic process {GO:0046386}</t>
  </si>
  <si>
    <t>deoxyribose-phosphate aldolase activity {GO:0004139}</t>
  </si>
  <si>
    <t>Carbohydrate degradation; 2-deoxy-D-ribose 1-phosphate degradation; D-glyceraldehyde 3-phosphate and acetaldehyde from 2- deoxy-alpha-D-ribose 1-phosphate: step 2/2.</t>
  </si>
  <si>
    <t>sp|Q9ER00|STX12_MOUSE</t>
  </si>
  <si>
    <t>Syntaxin-12</t>
  </si>
  <si>
    <t>STX12_MOUSE</t>
  </si>
  <si>
    <t>Q9ER00</t>
  </si>
  <si>
    <t>Q3UIV9; Q921T9</t>
  </si>
  <si>
    <t>MGI:1931027</t>
  </si>
  <si>
    <t>Acetylation; Coiled coil; Endosome; Golgi apparatus; Membrane; Phosphoprotein; Protein transport; Transmembrane; Transmembrane helix; Transport</t>
  </si>
  <si>
    <t>autophagosome assembly {GO:0000045}; cholesterol efflux {GO:0033344}; endocytic recycling {GO:0032456}; intracellular protein transport {GO:0006886}; protein stabilization {GO:0050821}; synaptic vesicle to endosome fusion {GO:0016189}; vesicle docking {GO:0048278}; vesicle fusion {GO:0006906}</t>
  </si>
  <si>
    <t>BLOC-1 complex {GO:0031083}; early endosome membrane {GO:0031901}; endomembrane system {GO:0012505}; Golgi apparatus {GO:0005794}; Golgi membrane {GO:0000139}; integral component of membrane {GO:0016021}; integral component of synaptic vesicle membrane {GO:0030285}; intracellular membrane-bounded organelle {GO:0043231}; membrane raft {GO:0045121}; nucleoplasm {GO:0005654}; phagocytic vesicle {GO:0045335}; phagophore assembly site {GO:0000407}; postsynaptic recycling endosome {GO:0098837}; recycling endosome {GO:0055037}; recycling endosome membrane {GO:0055038}; SNARE complex {GO:0031201}; synaptic vesicle {GO:0008021}; vesicle {GO:0031982}</t>
  </si>
  <si>
    <t>SNAP receptor activity {GO:0005484}; SNARE binding {GO:0000149}</t>
  </si>
  <si>
    <t>sp|Q9CZR8|EFTS_MOUSE</t>
  </si>
  <si>
    <t>Elongation factor Ts, mitochondrial (EF-Ts; EF-TsMt)</t>
  </si>
  <si>
    <t>EFTS_MOUSE</t>
  </si>
  <si>
    <t>Q9CZR8</t>
  </si>
  <si>
    <t>Q3TFF5</t>
  </si>
  <si>
    <t>MGI:1913649</t>
  </si>
  <si>
    <t>Elongation factor; Mitochondrion; Phosphoprotein; Protein biosynthesis; Transit peptide</t>
  </si>
  <si>
    <t>mitochondrial translational elongation {GO:0070125}; regulation of mitochondrial translation {GO:0070129}; translational elongation {GO:0006414}</t>
  </si>
  <si>
    <t>mitochondrial matrix {GO:0005759}; mitochondrion {GO:0005739}; nucleoplasm {GO:0005654}</t>
  </si>
  <si>
    <t>sp|Q91XB0|TREX1_MOUSE</t>
  </si>
  <si>
    <t>Three-prime repair exonuclease 1</t>
  </si>
  <si>
    <t>3'-5' exonuclease TREX1</t>
  </si>
  <si>
    <t>TREX1_MOUSE</t>
  </si>
  <si>
    <t>Q91XB0</t>
  </si>
  <si>
    <t>Q3TAD7; Q9D6W2; Q9R1B0</t>
  </si>
  <si>
    <t>MGI:1328317</t>
  </si>
  <si>
    <t>3D-structure; Cytoplasm; Endoplasmic reticulum; Exonuclease; Hydrolase; Magnesium; Membrane; Metal-binding; Nuclease; Nucleus; Phosphoprotein; Ubl conjugation</t>
  </si>
  <si>
    <t>activation of immune response {GO:0002253}; adaptive immune response {GO:0002250}; apoptotic cell clearance {GO:0043277}; atrial cardiac muscle tissue development {GO:0003228}; blood vessel development {GO:0001568}; CD86 biosynthetic process {GO:0035781}; cellular response to DNA damage stimulus {GO:0006974}; cellular response to gamma radiation {GO:0071480}; cellular response to hydroxyurea {GO:0072711}; cellular response to interferon-beta {GO:0035458}; cellular response to organic substance {GO:0071310}; cellular response to oxidative stress {GO:0034599}; cellular response to reactive oxygen species {GO:0034614}; cellular response to type I interferon {GO:0071357}; cellular response to UV {GO:0034644}; defense response to virus {GO:0051607}; determination of adult lifespan {GO:0008340}; DNA catabolic process {GO:0006308}; DNA catabolic process, exonucleolytic {GO:0000738}; DNA damage checkpoint signaling {GO:0000077}; DNA duplex unwinding {GO:0032508}; DNA metabolic process {GO:0006259}; DNA modification {GO:0006304}; DNA replication {GO:0006260}; DNA synthesis involved in UV-damage excision repair {GO:1904161}; establishment of protein localization {GO:0045184}; generation of precursor metabolites and energy {GO:0006091}; heart morphogenesis {GO:0003007}; heart process {GO:0003015}; immune complex formation {GO:0097281}; immune response {GO:0006955}; immune response in brain or nervous system {GO:0002383}; inflammatory response {GO:0006954}; inflammatory response to antigenic stimulus {GO:0002437}; innate immune response {GO:0045087}; kidney development {GO:0001822}; lymphoid progenitor cell differentiation {GO:0002320}; macrophage activation involved in immune response {GO:0002281}; mitotic G1 DNA damage checkpoint signaling {GO:0031571}; negative regulation of innate immune response {GO:0045824}; negative regulation of type I interferon-mediated signaling pathway {GO:0060339}; organ or tissue specific immune response {GO:0002251}; protein stabilization {GO:0050821}; regulation of catalytic activity {GO:0050790}; regulation of cellular respiration {GO:0043457}; regulation of fatty acid metabolic process {GO:0019217}; regulation of gene expression {GO:0010468}; regulation of glycolytic process {GO:0006110}; regulation of immunoglobulin production {GO:0002637}; regulation of inflammatory response {GO:0050727}; regulation of innate immune response {GO:0045088}; regulation of lipid biosynthetic process {GO:0046890}; regulation of lysosome organization {GO:1905671}; regulation of protein complex stability {GO:0061635}; regulation of T cell activation {GO:0050863}; regulation of tumor necrosis factor production {GO:0032680}; regulation of type I interferon production {GO:0032479}; response to UV {GO:0009411}; T cell antigen processing and presentation {GO:0002457}; transposition, RNA-mediated {GO:0032197}; type I interferon signaling pathway {GO:0060337}</t>
  </si>
  <si>
    <t>cytoplasm {GO:0005737}; cytosol {GO:0005829}; endoplasmic reticulum {GO:0005783}; endoplasmic reticulum membrane {GO:0005789}; nuclear replication fork {GO:0043596}; nucleus {GO:0005634}; oligosaccharyltransferase complex {GO:0008250}; protein-DNA complex {GO:0032993}</t>
  </si>
  <si>
    <t>3'-5' exonuclease activity {GO:0008408}; 3'-5'-exodeoxyribonuclease activity {GO:0008296}; adenyl deoxyribonucleotide binding {GO:0032558}; DNA binding {GO:0003677}; DNA binding, bending {GO:0008301}; double-stranded DNA binding {GO:0003690}; exodeoxyribonuclease III activity {GO:0008853}; identical protein binding {GO:0042802}; magnesium ion binding {GO:0000287}; MutLalpha complex binding {GO:0032405}; MutSalpha complex binding {GO:0032407}; protein homodimerization activity {GO:0042803}; single-stranded DNA binding {GO:0003697}; WW domain binding {GO:0050699}</t>
  </si>
  <si>
    <t>sp|Q922D4|PP6R3_MOUSE</t>
  </si>
  <si>
    <t>Serine/threonine-protein phosphatase 6 regulatory subunit 3</t>
  </si>
  <si>
    <t>SAPS domain family member 3</t>
  </si>
  <si>
    <t>PP6R3_MOUSE</t>
  </si>
  <si>
    <t>Q922D4</t>
  </si>
  <si>
    <t>Q6ZPM9; Q8BTW6; Q9D2X9</t>
  </si>
  <si>
    <t>D19Ertd703e; Kiaa1558; Pp6r3; Saps3</t>
  </si>
  <si>
    <t>MGI:1921807</t>
  </si>
  <si>
    <t>Alternative splicing; Cytoplasm; Nucleus; Phosphoprotein</t>
  </si>
  <si>
    <t>regulation of phosphoprotein phosphatase activity {GO:0043666}</t>
  </si>
  <si>
    <t>cytosol {GO:0005829}; nucleoplasm {GO:0005654}; nucleus {GO:0005634}; plasma membrane {GO:0005886}</t>
  </si>
  <si>
    <t>protein phosphatase binding {GO:0019903}; protein phosphatase regulator activity {GO:0019888}</t>
  </si>
  <si>
    <t>sp|Q6P2L7|GOLM2_MOUSE</t>
  </si>
  <si>
    <t>Protein GOLM2</t>
  </si>
  <si>
    <t>Cancer susceptibility candidate gene 4 protein homolog (CASC4); Golgi membrane protein 2</t>
  </si>
  <si>
    <t>GOLM2_MOUSE</t>
  </si>
  <si>
    <t>Q6P2L7</t>
  </si>
  <si>
    <t>A2AR57; Q6RZW5; Q6RZW6; Q8C4Z2</t>
  </si>
  <si>
    <t>MGI:2443129</t>
  </si>
  <si>
    <t>Acetylation; Alternative splicing; Coiled coil; Membrane; Phosphoprotein; Signal-anchor; Transmembrane; Transmembrane helix</t>
  </si>
  <si>
    <t>Golgi apparatus {GO:0005794}; integral component of membrane {GO:0016021}</t>
  </si>
  <si>
    <t>sp|Q3UW53|NIBA1_MOUSE</t>
  </si>
  <si>
    <t>Protein Niban 1</t>
  </si>
  <si>
    <t>Protein FAM129A; Protein Niban</t>
  </si>
  <si>
    <t>NIBA1_MOUSE</t>
  </si>
  <si>
    <t>Q3UW53</t>
  </si>
  <si>
    <t>A0PJB3; Q3TD68; Q6PE79; Q9ESL7</t>
  </si>
  <si>
    <t>MGI:2137237</t>
  </si>
  <si>
    <t>Cytoplasm; Lipoprotein; Membrane; Myristate; Phosphoprotein; Stress response; Translation regulation</t>
  </si>
  <si>
    <t>Stress response; Translation regulation</t>
  </si>
  <si>
    <t>negative regulation of protein phosphorylation {GO:0001933}; positive regulation of protein phosphorylation {GO:0001934}; positive regulation of translation {GO:0045727}; response to endoplasmic reticulum stress {GO:0034976}</t>
  </si>
  <si>
    <t>sp|Q3UDK1|TRAD1_MOUSE</t>
  </si>
  <si>
    <t>TRAF-type zinc finger domain-containing protein 1</t>
  </si>
  <si>
    <t>Protein FLN29</t>
  </si>
  <si>
    <t>TRAD1_MOUSE</t>
  </si>
  <si>
    <t>Q3UDK1</t>
  </si>
  <si>
    <t>Q8CFI8</t>
  </si>
  <si>
    <t>Fln29</t>
  </si>
  <si>
    <t>MGI:1923551</t>
  </si>
  <si>
    <t>Acetylation; Alternative splicing; Metal-binding; Phosphoprotein; Zinc; Zinc-finger</t>
  </si>
  <si>
    <t>negative regulation of innate immune response {GO:0045824}</t>
  </si>
  <si>
    <t>sp|Q9CR95|NECP1_MOUSE</t>
  </si>
  <si>
    <t>Adaptin ear-binding coat-associated protein 1</t>
  </si>
  <si>
    <t>NECAP endocytosis-associated protein 1 (NECAP-1)</t>
  </si>
  <si>
    <t>NECP1_MOUSE</t>
  </si>
  <si>
    <t>Q9CR95</t>
  </si>
  <si>
    <t>Q3TH13; Q78JW3; Q8C4P1</t>
  </si>
  <si>
    <t>MGI:1914852</t>
  </si>
  <si>
    <t>3D-structure; Cell membrane; Cytoplasmic vesicle; Endocytosis; Membrane; Phosphoprotein; Protein transport; Repeat; Transport</t>
  </si>
  <si>
    <t>Cell membrane; Cytoplasmic vesicle; Membrane</t>
  </si>
  <si>
    <t>endocytosis {GO:0006897}; protein transport {GO:0015031}; vesicle-mediated transport {GO:0016192}</t>
  </si>
  <si>
    <t>clathrin vesicle coat {GO:0030125}; clathrin-coated pit {GO:0005905}</t>
  </si>
  <si>
    <t>Golgi Associated Vesicle Biogenesis {R-MMU-432722}; Cargo recognition for clathrin-mediated endocytosis {R-MMU-8856825}; Clathrin-mediated endocytosis {R-MMU-8856828}</t>
  </si>
  <si>
    <t>sp|Q91YW3|DNJC3_MOUSE</t>
  </si>
  <si>
    <t>DnaJ homolog subfamily C member 3</t>
  </si>
  <si>
    <t>Interferon-induced, double-stranded RNA-activated protein kinase inhibitor; Protein kinase inhibitor of 58 kDa (Protein kinase inhibitor p58)</t>
  </si>
  <si>
    <t>DNJC3_MOUSE</t>
  </si>
  <si>
    <t>Q91YW3</t>
  </si>
  <si>
    <t>Q60873</t>
  </si>
  <si>
    <t>P58ipk</t>
  </si>
  <si>
    <t>MGI:107373</t>
  </si>
  <si>
    <t>3D-structure; Chaperone; Disulfide bond; Endoplasmic reticulum; Phosphoprotein; Repeat; Repressor; Signal; Stress response; TPR repeat; Translation regulation; Unfolded protein response</t>
  </si>
  <si>
    <t>Stress response; Translation regulation; Unfolded protein response</t>
  </si>
  <si>
    <t>Repeat; Signal; TPR repeat</t>
  </si>
  <si>
    <t>Chaperone; Repressor</t>
  </si>
  <si>
    <t>cellular response to cold {GO:0070417}; endoplasmic reticulum unfolded protein response {GO:0030968}; negative regulation of apoptotic process {GO:0043066}; negative regulation of endoplasmic reticulum stress-induced eIF2 alpha phosphorylation {GO:1903912}; negative regulation of protein kinase activity {GO:0006469}; positive regulation of translation initiation in response to endoplasmic reticulum stress {GO:0036494}; protein folding in endoplasmic reticulum {GO:0034975}; proteolysis involved in protein catabolic process {GO:0051603}; response to endoplasmic reticulum stress {GO:0034976}</t>
  </si>
  <si>
    <t>cytoplasm {GO:0005737}; cytosol {GO:0005829}; endoplasmic reticulum {GO:0005783}; endoplasmic reticulum lumen {GO:0005788}; smooth endoplasmic reticulum {GO:0005790}</t>
  </si>
  <si>
    <t>chaperone binding {GO:0051087}; misfolded protein binding {GO:0051787}; protein kinase binding {GO:0019901}; protein kinase inhibitor activity {GO:0004860}</t>
  </si>
  <si>
    <t>sp|Q8VE70|PDC10_MOUSE</t>
  </si>
  <si>
    <t>Programmed cell death protein 10</t>
  </si>
  <si>
    <t>TF-1 cell apoptosis-related protein 15</t>
  </si>
  <si>
    <t>PDC10_MOUSE</t>
  </si>
  <si>
    <t>Q8VE70</t>
  </si>
  <si>
    <t>Q9DAR3; Q9WV43</t>
  </si>
  <si>
    <t>Tfar15</t>
  </si>
  <si>
    <t>MGI:1928396</t>
  </si>
  <si>
    <t>Acetylation; Angiogenesis; Apoptosis; Cell membrane; Cytoplasm; Golgi apparatus; Isopeptide bond; Membrane; Ubl conjugation</t>
  </si>
  <si>
    <t>Cell membrane; Cytoplasm; Golgi apparatus; Membrane</t>
  </si>
  <si>
    <t>angiogenesis {GO:0001525}; cellular response to leukemia inhibitory factor {GO:1990830}; endothelium development {GO:0003158}; establishment of Golgi localization {GO:0051683}; Golgi reassembly {GO:0090168}; intrinsic apoptotic signaling pathway in response to hydrogen peroxide {GO:0036481}; negative regulation of apoptotic process {GO:0043066}; negative regulation of blood vessel endothelial cell proliferation involved in sprouting angiogenesis {GO:1903588}; negative regulation of cell migration involved in sprouting angiogenesis {GO:0090051}; negative regulation of gene expression {GO:0010629}; positive regulation of cell migration {GO:0030335}; positive regulation of cell population proliferation {GO:0008284}; positive regulation of gene expression {GO:0010628}; positive regulation of intracellular protein transport {GO:0090316}; positive regulation of MAP kinase activity {GO:0043406}; positive regulation of Notch signaling pathway {GO:0045747}; positive regulation of peptidyl-serine phosphorylation {GO:0033138}; positive regulation of protein serine/threonine kinase activity {GO:0071902}; positive regulation of stress-activated MAPK cascade {GO:0032874}; protein stabilization {GO:0050821}; regulation of angiogenesis {GO:0045765}; regulation of Golgi organization {GO:1903358}; response to hydrogen peroxide {GO:0042542}; wound healing, spreading of cells {GO:0044319}</t>
  </si>
  <si>
    <t>cytoplasm {GO:0005737}; cytosol {GO:0005829}; FAR/SIN/STRIPAK complex {GO:0090443}; Golgi apparatus {GO:0005794}; Golgi membrane {GO:0000139}; plasma membrane {GO:0005886}</t>
  </si>
  <si>
    <t>protein homodimerization activity {GO:0042803}; protein kinase binding {GO:0019901}; protein N-terminus binding {GO:0047485}</t>
  </si>
  <si>
    <t>sp|Q8BX17|GEMI5_MOUSE</t>
  </si>
  <si>
    <t>Gem-associated protein 5 (Gemin5)</t>
  </si>
  <si>
    <t>GEMI5_MOUSE</t>
  </si>
  <si>
    <t>Q8BX17</t>
  </si>
  <si>
    <t>Q3UPH2</t>
  </si>
  <si>
    <t>MGI:2449311</t>
  </si>
  <si>
    <t>Coiled coil; Cytoplasm; Isopeptide bond; mRNA processing; mRNA splicing; Nucleus; Phosphoprotein; Protein biosynthesis; Repeat; RNA-binding; Translation regulation; Ubl conjugation; WD repeat</t>
  </si>
  <si>
    <t>Protein biosynthesis; Translation regulation; mRNA processing; mRNA splicing</t>
  </si>
  <si>
    <t>regulation of translation {GO:0006417}; spliceosomal snRNP assembly {GO:0000387}; translation {GO:0006412}</t>
  </si>
  <si>
    <t>cytoplasm {GO:0005737}; cytosol {GO:0005829}; Gemini of coiled bodies {GO:0097504}; nuclear body {GO:0016604}; nucleoplasm {GO:0005654}; nucleus {GO:0005634}; SMN complex {GO:0032797}; SMN-Gemin2 complex {GO:0034718}; SMN-Sm protein complex {GO:0034719}</t>
  </si>
  <si>
    <t>mRNA 3'-UTR binding {GO:0003730}; ribosome binding {GO:0043022}; RNA 7-methylguanosine cap binding {GO:0000340}; snRNA binding {GO:0017069}; U1 snRNA binding {GO:0030619}; U4 snRNA binding {GO:0030621}; U4atac snRNA binding {GO:0030622}</t>
  </si>
  <si>
    <t>snRNP Assembly {R-MMU-191859}</t>
  </si>
  <si>
    <t>sp|Q9D1G1|RAB1B_MOUSE</t>
  </si>
  <si>
    <t>Ras-related protein Rab-1B</t>
  </si>
  <si>
    <t>RAB1B_MOUSE</t>
  </si>
  <si>
    <t>Q9D1G1</t>
  </si>
  <si>
    <t>Q3U0N1</t>
  </si>
  <si>
    <t>MGI:1923558</t>
  </si>
  <si>
    <t>Acetylation; Autophagy; Cytoplasm; GTP-binding; Hydrolase; Lipoprotein; Membrane; Methylation; Nucleotide-binding; Phosphoprotein; Prenylation; Protein transport; Transport</t>
  </si>
  <si>
    <t>Autophagy; Protein transport; Transport</t>
  </si>
  <si>
    <t>autophagosome assembly {GO:0000045}; endoplasmic reticulum to Golgi vesicle-mediated transport {GO:0006888}; Golgi organization {GO:0007030}; intracellular protein transport {GO:0006886}; positive regulation of glycoprotein metabolic process {GO:1903020}; regulation of autophagosome assembly {GO:2000785}</t>
  </si>
  <si>
    <t>endoplasmic reticulum-Golgi intermediate compartment {GO:0005793}; Golgi apparatus {GO:0005794}; mitochondrion {GO:0005739}; perinuclear region of cytoplasm {GO:0048471}; phagophore assembly site membrane {GO:0034045}; synapse {GO:0045202}</t>
  </si>
  <si>
    <t>sp|Q8VC66|ADIP_MOUSE</t>
  </si>
  <si>
    <t>Afadin- and alpha-actinin-binding protein (ADIP)</t>
  </si>
  <si>
    <t>Afadin DIL domain-interacting protein</t>
  </si>
  <si>
    <t>ADIP_MOUSE</t>
  </si>
  <si>
    <t>Q8VC66</t>
  </si>
  <si>
    <t>Q8BG59; Q8C7X0; Q8K2F7</t>
  </si>
  <si>
    <t>MGI:2139150</t>
  </si>
  <si>
    <t>Cell adhesion; Cell junction; Cell projection; Cilium biogenesis/degradation; Coiled coil; Cytoplasm; Cytoskeleton; Nucleus; Phosphoprotein</t>
  </si>
  <si>
    <t>Cell adhesion; Cilium biogenesis/degradation</t>
  </si>
  <si>
    <t>Cell junction; Cell projection; Cytoplasm; Cytoskeleton; Nucleus</t>
  </si>
  <si>
    <t>cell adhesion {GO:0007155}; centrosome cycle {GO:0007098}; cilium assembly {GO:0060271}; intraciliary transport involved in cilium assembly {GO:0035735}; regulation of cell motility {GO:2000145}; regulation of Rac protein signal transduction {GO:0035020}</t>
  </si>
  <si>
    <t>adherens junction {GO:0005912}; cell leading edge {GO:0031252}; centriolar satellite {GO:0034451}; ciliary basal body {GO:0036064}; cytoplasm {GO:0005737}; nucleus {GO:0005634}; protein-containing complex {GO:0032991}</t>
  </si>
  <si>
    <t>protein domain specific binding {GO:0019904}</t>
  </si>
  <si>
    <t>sp|O88522|NEMO_MOUSE</t>
  </si>
  <si>
    <t>NF-kappa-B essential modulator (NEMO)</t>
  </si>
  <si>
    <t>IkB kinase-associated protein 1 (IKKAP1; mFIP-3); Inhibitor of nuclear factor kappa-B kinase subunit gamma (I-kappa-B kinase subunit gamma; IKK-gamma; IKKG; IkB kinase subunit gamma); NF-kappa-B essential modifier</t>
  </si>
  <si>
    <t>NEMO_MOUSE</t>
  </si>
  <si>
    <t>O88522</t>
  </si>
  <si>
    <t>Q924H4</t>
  </si>
  <si>
    <t>Nemo</t>
  </si>
  <si>
    <t>MGI:1338074</t>
  </si>
  <si>
    <t>3D-structure; Coiled coil; Cytoplasm; Disulfide bond; DNA damage; Isopeptide bond; Metal-binding; Nucleus; Phosphoprotein; Transcription; Transcription regulation; Ubl conjugation; Zinc; Zinc-finger</t>
  </si>
  <si>
    <t>activation of NF-kappaB-inducing kinase activity {GO:0007250}; anoikis {GO:0043276}; B cell homeostasis {GO:0001782}; cellular response to DNA damage stimulus {GO:0006974}; establishment of vesicle localization {GO:0051650}; negative regulation of endoplasmic reticulum stress-induced intrinsic apoptotic signaling pathway {GO:1902236}; positive regulation of gene expression {GO:0010628}; positive regulation of I-kappaB kinase/NF-kappaB signaling {GO:0043123}; positive regulation of macroautophagy {GO:0016239}; positive regulation of NF-kappaB transcription factor activity {GO:0051092}; positive regulation of T cell receptor signaling pathway {GO:0050862}; positive regulation of transcription by RNA polymerase II {GO:0045944}; protein-containing complex assembly {GO:0065003}; regulation of I-kappaB kinase/NF-kappaB signaling {GO:0043122}</t>
  </si>
  <si>
    <t>cytoplasm {GO:0005737}; cytosol {GO:0005829}; IkappaB kinase complex {GO:0008385}; mitotic spindle {GO:0072686}; nucleus {GO:0005634}; protein-containing complex {GO:0032991}; spindle pole {GO:0000922}; ubiquitin ligase complex {GO:0000151}</t>
  </si>
  <si>
    <t>identical protein binding {GO:0042802}; K63-linked polyubiquitin modification-dependent protein binding {GO:0070530}; linear polyubiquitin binding {GO:1990450}; metal ion binding {GO:0046872}; peroxisome proliferator activated receptor binding {GO:0042975}; protein domain specific binding {GO:0019904}; protein heterodimerization activity {GO:0046982}; protein homodimerization activity {GO:0042803}; protein-containing complex binding {GO:0044877}; transferrin receptor binding {GO:1990459}; ubiquitin protein ligase binding {GO:0031625}</t>
  </si>
  <si>
    <t>Activation of NF-kappaB in B cells {R-MMU-1169091}; NOD1/2 Signaling Pathway {R-MMU-168638}; RIP-mediated NFkB activation via ZBP1 {R-MMU-1810476}; Downstream TCR signaling {R-MMU-202424}; FCERI mediated NF-kB activation {R-MMU-2871837}; TAK1-dependent IKK and NF-kappa-B activation {R-MMU-445989}; activated TAK1 mediates p38 MAPK activation {R-MMU-450302}; JNK (c-Jun kinases) phosphorylation and activation mediated by activated human TAK1 {R-MMU-450321}; SUMOylation of immune response proteins {R-MMU-4755510}; Regulation of TNFR1 signaling {R-MMU-5357905}; TNFR1-induced NFkappaB signaling pathway {R-MMU-5357956}; CLEC7A (Dectin-1) signaling {R-MMU-5607764}; MAP3K8 (TPL2)-dependent MAPK1/3 activation {R-MMU-5684264}; Ub-specific processing proteases {R-MMU-5689880}; Ovarian tumor domain proteases {R-MMU-5689896}; Interleukin-1 signaling {R-MMU-9020702}; TRAF6 mediated NF-kB activation {R-MMU-933542}; IRAK1 recruits IKK complex {R-MMU-937039}; IKK complex recruitment mediated by RIP1 {R-MMU-937041}; IRAK1 recruits IKK complex upon TLR7/8 or 9 stimulation {R-MMU-975144}; Regulation of NF-kappa B signaling {R-MMU-9758274}</t>
  </si>
  <si>
    <t>sp|Q8VDQ8|SIR2_MOUSE</t>
  </si>
  <si>
    <t>NAD-dependent protein deacetylase sirtuin-2</t>
  </si>
  <si>
    <t>NAD-dependent protein defatty-acylase sirtuin-2; Regulatory protein SIR2 homolog 2; SIR2-like protein 2 (mSIR2L2)</t>
  </si>
  <si>
    <t>SIR2_MOUSE</t>
  </si>
  <si>
    <t>Q8VDQ8</t>
  </si>
  <si>
    <t>E9PXF5; Q9CXS5; Q9EQ18; Q9ERJ9; U5TP50</t>
  </si>
  <si>
    <t>Sir2l2</t>
  </si>
  <si>
    <t>MGI:1927664</t>
  </si>
  <si>
    <t>Acetylation; Alternative splicing; Autophagy; Cell cycle; Cell division; Cell membrane; Cell projection; Chromosome; Cytoplasm; Cytoskeleton; Differentiation; Meiosis; Membrane; Metal-binding; Microtubule; Mitosis; NAD; Neurogenesis; Nucleus; Phosphoprotein; Transcription; Transcription regulation; Transferase; Ubl conjugation; Zinc</t>
  </si>
  <si>
    <t>Autophagy; Cell cycle; Cell division; Differentiation; Meiosis; Mitosis; Neurogenesis; Transcription; Transcription regulation</t>
  </si>
  <si>
    <t>Cell membrane; Cell projection; Chromosome; Cytoplasm; Cytoskeleton; Membrane; Microtubule; Nucleus</t>
  </si>
  <si>
    <t>autophagy {GO:0006914}; cell division {GO:0051301}; cellular lipid catabolic process {GO:0044242}; cellular response to caloric restriction {GO:0061433}; cellular response to epinephrine stimulus {GO:0071872}; cellular response to hepatocyte growth factor stimulus {GO:0035729}; cellular response to hypoxia {GO:0071456}; cellular response to molecule of bacterial origin {GO:0071219}; cellular response to oxidative stress {GO:0034599}; hepatocyte growth factor receptor signaling pathway {GO:0048012}; histone deacetylation {GO:0016575}; histone H3 deacetylation {GO:0070932}; histone H4 deacetylation {GO:0070933}; meiotic cell cycle {GO:0051321}; myelination in peripheral nervous system {GO:0022011}; negative regulation of apoptotic process {GO:0043066}; negative regulation of autophagy {GO:0010507}; negative regulation of cell population proliferation {GO:0008285}; negative regulation of defense response to bacterium {GO:1900425}; negative regulation of DNA-templated transcription {GO:0045892}; negative regulation of fat cell differentiation {GO:0045599}; negative regulation of NLRP3 inflammasome complex assembly {GO:1900226}; negative regulation of oligodendrocyte differentiation {GO:0048715}; negative regulation of oligodendrocyte progenitor proliferation {GO:0070446}; negative regulation of peptidyl-threonine phosphorylation {GO:0010801}; negative regulation of protein catabolic process {GO:0042177}; negative regulation of reactive oxygen species metabolic process {GO:2000378}; negative regulation of striated muscle tissue development {GO:0045843}; negative regulation of transcription by RNA polymerase II {GO:0000122}; negative regulation of transcription from RNA polymerase II promoter in response to hypoxia {GO:0061428}; NLRP3 inflammasome complex assembly {GO:0044546}; peptidyl-lysine deacetylation {GO:0034983}; phosphatidylinositol 3-kinase signaling {GO:0014065}; positive regulation of attachment of spindle microtubules to kinetochore {GO:0051987}; positive regulation of cell division {GO:0051781}; positive regulation of DNA binding {GO:0043388}; positive regulation of execution phase of apoptosis {GO:1900119}; positive regulation of meiotic nuclear division {GO:0045836}; positive regulation of oocyte maturation {GO:1900195}; positive regulation of proteasomal ubiquitin-dependent protein catabolic process {GO:0032436}; positive regulation of proteasomal ubiquitin-dependent protein catabolic process involved in cellular response to hypoxia {GO:2000777}; positive regulation of transcription by RNA polymerase II {GO:0045944}; proteasome-mediated ubiquitin-dependent protein catabolic process {GO:0043161}; protein ADP-ribosylation {GO:0006471}; protein deacetylation {GO:0006476}; protein kinase B signaling {GO:0043491}; regulation of cell cycle {GO:0051726}; regulation of fat cell differentiation {GO:0045598}; regulation of myelination {GO:0031641}; regulation of postsynaptic neurotransmitter receptor internalization {GO:0099149}; tubulin deacetylation {GO:0090042}</t>
  </si>
  <si>
    <t>centriole {GO:0005814}; centrosome {GO:0005813}; chromosome {GO:0005694}; cytoplasm {GO:0005737}; cytosol {GO:0005829}; glial cell projection {GO:0097386}; glutamatergic synapse {GO:0098978}; growth cone {GO:0030426}; heterochromatin {GO:0000792}; juxtaparanode region of axon {GO:0044224}; lateral loop {GO:0043219}; meiotic spindle {GO:0072687}; microtubule {GO:0005874}; midbody {GO:0030496}; mitochondrion {GO:0005739}; mitotic spindle {GO:0072686}; myelin sheath {GO:0043209}; myelin sheath abaxonal region {GO:0035748}; nucleolus {GO:0005730}; nucleus {GO:0005634}; paranodal junction {GO:0033010}; paranode region of axon {GO:0033270}; perikaryon {GO:0043204}; perinuclear region of cytoplasm {GO:0048471}; plasma membrane {GO:0005886}; Schmidt-Lanterman incisure {GO:0043220}; spindle {GO:0005819}; terminal loop {GO:0097456}</t>
  </si>
  <si>
    <t>chromatin binding {GO:0003682}; DNA-binding transcription factor binding {GO:0140297}; histone acetyltransferase binding {GO:0035035}; histone deacetylase activity {GO:0004407}; histone deacetylase binding {GO:0042826}; NAD+ ADP-ribosyltransferase activity {GO:0003950}; NAD+ binding {GO:0070403}; NAD-dependent histone deacetylase activity {GO:0017136}; NAD-dependent histone deacetylase activity (H4-K16 specific) {GO:0046970}; NAD-dependent protein deacetylase activity {GO:0034979}; NAD-dependent protein demyristoylase activity {GO:0140773}; NAD-dependent protein depalmitoylase activity {GO:0140774}; protein lysine deacetylase activity {GO:0033558}; tubulin deacetylase activity {GO:0042903}; ubiquitin binding {GO:0043130}; zinc ion binding {GO:0008270}</t>
  </si>
  <si>
    <t>Initiation of Nuclear Envelope (NE) Reformation {R-MMU-2995383}</t>
  </si>
  <si>
    <t>sp|Q8VHN8|TIRR_MOUSE</t>
  </si>
  <si>
    <t>Tudor-interacting repair regulator protein</t>
  </si>
  <si>
    <t>NUDT16-like protein 1; Protein syndesmos</t>
  </si>
  <si>
    <t>TIRR_MOUSE</t>
  </si>
  <si>
    <t>Q8VHN8</t>
  </si>
  <si>
    <t>Q3TW47; Q8R039; Q8R3D9; Q9CR90; Q9D8M0</t>
  </si>
  <si>
    <t>MGI:1914161</t>
  </si>
  <si>
    <t>3D-structure; Alternative splicing; Isopeptide bond; Nucleus; RNA-binding; Ubl conjugation</t>
  </si>
  <si>
    <t>negative regulation of double-strand break repair via nonhomologous end joining {GO:2001033}</t>
  </si>
  <si>
    <t>snoRNA binding {GO:0030515}</t>
  </si>
  <si>
    <t>sp|Q91VK1|5MP1_MOUSE</t>
  </si>
  <si>
    <t>eIF5-mimic protein 1</t>
  </si>
  <si>
    <t>Basic leucine zipper and W2 domain-containing protein 2</t>
  </si>
  <si>
    <t>5MP1_MOUSE</t>
  </si>
  <si>
    <t>Q91VK1</t>
  </si>
  <si>
    <t>Q9D0N4</t>
  </si>
  <si>
    <t>5mp1</t>
  </si>
  <si>
    <t>MGI:1914162</t>
  </si>
  <si>
    <t>Acetylation; Cytoplasm; Phosphoprotein; Translation regulation</t>
  </si>
  <si>
    <t>sp|Q8BWZ3|NAA25_MOUSE</t>
  </si>
  <si>
    <t>N-alpha-acetyltransferase 25, NatB auxiliary subunit</t>
  </si>
  <si>
    <t>Mitochondrial distribution and morphology protein 20; N-terminal acetyltransferase B complex subunit MDM20 (NatB complex subunit MDM20); N-terminal acetyltransferase B complex subunit NAA25</t>
  </si>
  <si>
    <t>NAA25_MOUSE</t>
  </si>
  <si>
    <t>Q8BWZ3</t>
  </si>
  <si>
    <t>A1A4B7; Q3KQI7; Q3TJC6; Q7TMM2</t>
  </si>
  <si>
    <t>Mdm20</t>
  </si>
  <si>
    <t>MGI:2442563</t>
  </si>
  <si>
    <t>Alternative splicing; Cytoplasm; Repeat; TPR repeat</t>
  </si>
  <si>
    <t>N-terminal peptidyl-methionine acetylation {GO:0017196}</t>
  </si>
  <si>
    <t>cytoplasm {GO:0005737}; cytosol {GO:0005829}; Golgi apparatus {GO:0005794}; NatB complex {GO:0031416}</t>
  </si>
  <si>
    <t>sp|Q99JI6|RAP1B_MOUSE</t>
  </si>
  <si>
    <t>Ras-related protein Rap-1b</t>
  </si>
  <si>
    <t>GTP-binding protein smg p21B</t>
  </si>
  <si>
    <t>RAP1B_MOUSE</t>
  </si>
  <si>
    <t>Q99JI6</t>
  </si>
  <si>
    <t>MGI:894315</t>
  </si>
  <si>
    <t>ADP-ribosylation; Cell junction; Cell membrane; Cytoplasm; GTP-binding; Hydrolase; Lipoprotein; Membrane; Methylation; Nucleotide-binding; Phosphoprotein; Prenylation</t>
  </si>
  <si>
    <t>Cell junction; Cell membrane; Cytoplasm; Membrane</t>
  </si>
  <si>
    <t>ADP-ribosylation; Lipoprotein; Methylation; Phosphoprotein; Prenylation</t>
  </si>
  <si>
    <t>calcium-ion regulated exocytosis {GO:0017156}; cell population proliferation {GO:0008283}; cellular response to cAMP {GO:0071320}; cellular response to organic cyclic compound {GO:0071407}; cellular response to xenobiotic stimulus {GO:0071466}; establishment of endothelial barrier {GO:0061028}; establishment of localization in cell {GO:0051649}; negative regulation of calcium ion-dependent exocytosis {GO:0045955}; negative regulation of synaptic vesicle exocytosis {GO:2000301}; positive regulation of ERK1 and ERK2 cascade {GO:0070374}; positive regulation of integrin activation {GO:0033625}; Rap protein signal transduction {GO:0032486}; regulation of cell junction assembly {GO:1901888}; regulation of establishment of cell polarity {GO:2000114}; small GTPase mediated signal transduction {GO:0007264}</t>
  </si>
  <si>
    <t>cell-cell junction {GO:0005911}; cytosol {GO:0005829}; lipid droplet {GO:0005811}; plasma membrane {GO:0005886}</t>
  </si>
  <si>
    <t>Integrin signaling {R-MMU-354192}; GRB2:SOS provides linkage to MAPK signaling for Integrins {R-MMU-354194}; p130Cas linkage to MAPK signaling for integrins {R-MMU-372708}; Rap1 signalling {R-MMU-392517}; MAP2K and MAPK activation {R-MMU-5674135}; Neutrophil degranulation {R-MMU-6798695}; MET activates RAP1 and RAC1 {R-MMU-8875555}</t>
  </si>
  <si>
    <t>sp|P43247|MSH2_MOUSE</t>
  </si>
  <si>
    <t>DNA mismatch repair protein Msh2</t>
  </si>
  <si>
    <t>MutS protein homolog 2</t>
  </si>
  <si>
    <t>MSH2_MOUSE</t>
  </si>
  <si>
    <t>P43247</t>
  </si>
  <si>
    <t>MGI:101816</t>
  </si>
  <si>
    <t>Acetylation; ATP-binding; Cell cycle; Chromosome; DNA damage; DNA repair; DNA-binding; Nucleotide-binding; Nucleus; Phosphoprotein</t>
  </si>
  <si>
    <t>Cell cycle; DNA damage; DNA repair</t>
  </si>
  <si>
    <t>B cell differentiation {GO:0030183}; B cell mediated immunity {GO:0019724}; cellular response to DNA damage stimulus {GO:0006974}; determination of adult lifespan {GO:0008340}; DNA repair {GO:0006281}; double-strand break repair {GO:0006302}; germ cell development {GO:0007281}; in utero embryonic development {GO:0001701}; intrinsic apoptotic signaling pathway in response to DNA damage {GO:0008630}; intrinsic apoptotic signaling pathway in response to DNA damage by p53 class mediator {GO:0042771}; isotype switching {GO:0045190}; maintenance of DNA repeat elements {GO:0043570}; male gonad development {GO:0008584}; mismatch repair {GO:0006298}; mitotic intra-S DNA damage checkpoint signaling {GO:0031573}; mitotic recombination {GO:0006312}; negative regulation of DNA recombination {GO:0045910}; negative regulation of neuron apoptotic process {GO:0043524}; oxidative phosphorylation {GO:0006119}; positive regulation of helicase activity {GO:0051096}; positive regulation of isotype switching to IgA isotypes {GO:0048298}; positive regulation of isotype switching to IgG isotypes {GO:0048304}; postreplication repair {GO:0006301}; protein localization to chromatin {GO:0071168}; regulation of cell cycle {GO:0051726}; response to UV-B {GO:0010224}; response to X-ray {GO:0010165}; somatic hypermutation of immunoglobulin genes {GO:0016446}; somatic recombination of immunoglobulin gene segments {GO:0016447}; somatic recombination of immunoglobulin genes involved in immune response {GO:0002204}</t>
  </si>
  <si>
    <t>chromosome {GO:0005694}; MutSalpha complex {GO:0032301}; MutSbeta complex {GO:0032302}; nucleoplasm {GO:0005654}; nucleus {GO:0005634}</t>
  </si>
  <si>
    <t>ADP binding {GO:0043531}; ATP binding {GO:0005524}; ATP hydrolysis activity {GO:0016887}; ATP-dependent activity, acting on DNA {GO:0008094}; ATP-dependent DNA damage sensor activity {GO:0140664}; centromeric DNA binding {GO:0019237}; chromatin binding {GO:0003682}; damaged DNA binding {GO:0003684}; dinucleotide insertion or deletion binding {GO:0032139}; dinucleotide repeat insertion binding {GO:0032181}; DNA binding {GO:0003677}; double-stranded DNA binding {GO:0003690}; enzyme binding {GO:0019899}; four-way junction DNA binding {GO:0000400}; guanine/thymine mispair binding {GO:0032137}; magnesium ion binding {GO:0000287}; mismatched DNA binding {GO:0030983}; MutLalpha complex binding {GO:0032405}; oxidized purine DNA binding {GO:0032357}; protein C-terminus binding {GO:0008022}; protein homodimerization activity {GO:0042803}; protein kinase binding {GO:0019901}; single guanine insertion binding {GO:0032142}; single thymine insertion binding {GO:0032143}; single-stranded DNA binding {GO:0003697}</t>
  </si>
  <si>
    <t>Mismatch repair (MMR) directed by MSH2:MSH6 (MutSalpha) {R-MMU-5358565}; Mismatch repair (MMR) directed by MSH2:MSH3 (MutSbeta) {R-MMU-5358606}</t>
  </si>
  <si>
    <t>sp|Q6PGH1|BUD31_MOUSE</t>
  </si>
  <si>
    <t>Protein BUD31 homolog</t>
  </si>
  <si>
    <t>Protein G10 homolog</t>
  </si>
  <si>
    <t>BUD31_MOUSE</t>
  </si>
  <si>
    <t>Q6PGH1</t>
  </si>
  <si>
    <t>E0CX20</t>
  </si>
  <si>
    <t>MGI:2141291</t>
  </si>
  <si>
    <t>Acetylation; Alternative splicing; mRNA processing; mRNA splicing; Nucleus; Spliceosome</t>
  </si>
  <si>
    <t>mRNA splicing, via spliceosome {GO:0000398}; positive regulation of androgen receptor activity {GO:2000825}</t>
  </si>
  <si>
    <t>chromatin {GO:0000785}; nucleus {GO:0005634}; spliceosomal complex {GO:0005681}; U2-type catalytic step 2 spliceosome {GO:0071007}</t>
  </si>
  <si>
    <t>nuclear receptor binding {GO:0016922}; nuclear receptor coactivator activity {GO:0030374}</t>
  </si>
  <si>
    <t>sp|Q91VR8|BRK1_MOUSE</t>
  </si>
  <si>
    <t>Protein BRICK1 (BRK1)</t>
  </si>
  <si>
    <t>BRK1_MOUSE</t>
  </si>
  <si>
    <t>Q91VR8</t>
  </si>
  <si>
    <t>Q3TLB8</t>
  </si>
  <si>
    <t>MGI:1915406</t>
  </si>
  <si>
    <t>Acetylation; Coiled coil; Cytoplasm; Cytoskeleton</t>
  </si>
  <si>
    <t>actin cytoskeleton organization {GO:0030036}; actin filament organization {GO:0007015}; cell motility {GO:0048870}; fibroblast proliferation {GO:0048144}; in utero embryonic development {GO:0001701}; positive regulation of Arp2/3 complex-mediated actin nucleation {GO:2000601}; positive regulation of fibroblast proliferation {GO:0048146}; positive regulation of lamellipodium assembly {GO:0010592}; positive regulation of protein-containing complex assembly {GO:0031334}; Rac protein signal transduction {GO:0016601}; regulation of actin polymerization or depolymerization {GO:0008064}</t>
  </si>
  <si>
    <t>cytoskeleton {GO:0005856}; lamellipodium {GO:0030027}; SCAR complex {GO:0031209}</t>
  </si>
  <si>
    <t>identical protein binding {GO:0042802}; protein-containing complex binding {GO:0044877}; small GTPase binding {GO:0031267}</t>
  </si>
  <si>
    <t>sp|Q9WVG6|CARM1_MOUSE</t>
  </si>
  <si>
    <t>Histone-arginine methyltransferase CARM1</t>
  </si>
  <si>
    <t>Coactivator-associated arginine methyltransferase 1; Protein arginine N-methyltransferase 4</t>
  </si>
  <si>
    <t>CARM1_MOUSE</t>
  </si>
  <si>
    <t>Q9WVG6</t>
  </si>
  <si>
    <t>Q3TYB9; Q8K1Y5; Q91W24; Q99KX8</t>
  </si>
  <si>
    <t>Prmt4</t>
  </si>
  <si>
    <t>MGI:1913208</t>
  </si>
  <si>
    <t>3D-structure; Alternative splicing; Chromatin regulator; Chromosome; Cytoplasm; Methylation; Methyltransferase; Nucleus; Phosphoprotein; S-adenosyl-L-methionine; Transcription; Transcription regulation; Transferase</t>
  </si>
  <si>
    <t>cell population proliferation {GO:0008283}; chromatin organization {GO:0006325}; endochondral bone morphogenesis {GO:0060350}; histone arginine methylation {GO:0034969}; histone H3-R17 methylation {GO:0034971}; histone H3-R2 methylation {GO:0034970}; histone methylation {GO:0016571}; intracellular estrogen receptor signaling pathway {GO:0030520}; intracellular steroid hormone receptor signaling pathway {GO:0030518}; negative regulation of dendrite development {GO:2000171}; negative regulation of protein binding {GO:0032091}; positive regulation of cell population proliferation {GO:0008284}; positive regulation of fat cell differentiation {GO:0045600}; positive regulation of NF-kappaB transcription factor activity {GO:0051092}; positive regulation of transcription by RNA polymerase II {GO:0045944}; protein localization to chromatin {GO:0071168}; protein methylation {GO:0006479}; regulation of DNA-templated transcription {GO:0006355}; regulation of growth plate cartilage chondrocyte proliferation {GO:0003420}; regulation of intracellular estrogen receptor signaling pathway {GO:0033146}; regulation of mRNA binding {GO:1902415}; replication fork reversal {GO:0071932}; response to cAMP {GO:0051591}</t>
  </si>
  <si>
    <t>cytoplasm {GO:0005737}; cytosol {GO:0005829}; nuclear replication fork {GO:0043596}; nucleoplasm {GO:0005654}; nucleus {GO:0005634}; protein-containing complex {GO:0032991}; RNA polymerase II transcription regulator complex {GO:0090575}</t>
  </si>
  <si>
    <t>histone methyltransferase activity {GO:0042054}; histone methyltransferase activity (H3-R17 specific) {GO:0035642}; histone-arginine N-methyltransferase activity {GO:0008469}; lysine-acetylated histone binding {GO:0070577}; nuclear receptor coactivator activity {GO:0030374}; protein homodimerization activity {GO:0042803}; protein methyltransferase activity {GO:0008276}; protein-arginine N-methyltransferase activity {GO:0016274}; protein-arginine omega-N asymmetric methyltransferase activity {GO:0035242}; transcription cis-regulatory region binding {GO:0000976}; transcription coactivator activity {GO:0003713}</t>
  </si>
  <si>
    <t>RMTs methylate histone arginines {R-MMU-3214858}; Regulation of lipid metabolism by PPARalpha {R-MMU-400206}; Estrogen-dependent gene expression {R-MMU-9018519}; Cytoprotection by HMOX1 {R-MMU-9707564}</t>
  </si>
  <si>
    <t>sp|Q91VH2|SNX9_MOUSE</t>
  </si>
  <si>
    <t>Sorting nexin-9</t>
  </si>
  <si>
    <t>SNX9_MOUSE</t>
  </si>
  <si>
    <t>Q91VH2</t>
  </si>
  <si>
    <t>MGI:1913866</t>
  </si>
  <si>
    <t>3D-structure; Acetylation; Cell cycle; Cell division; Cell membrane; Cell projection; Cytoplasm; Cytoplasmic vesicle; Endocytosis; Golgi apparatus; Lipid-binding; Membrane; Mitosis; Phosphoprotein; Protein transport; SH3 domain; Transport; Ubl conjugation</t>
  </si>
  <si>
    <t>Cell membrane; Cell projection; Cytoplasm; Cytoplasmic vesicle; Golgi apparatus; Membrane</t>
  </si>
  <si>
    <t>cleavage furrow formation {GO:0036089}; endocytosis {GO:0006897}; endosomal transport {GO:0016197}; intracellular protein transport {GO:0006886}; lipid tube assembly {GO:0060988}; mitotic cytokinesis {GO:0000281}; plasma membrane tubulation {GO:0097320}; positive regulation of actin filament polymerization {GO:0030838}; positive regulation of GTPase activity {GO:0043547}; positive regulation of membrane protein ectodomain proteolysis {GO:0051044}; positive regulation of protein kinase activity {GO:0045860}; protein-containing complex assembly {GO:0065003}; receptor-mediated endocytosis {GO:0006898}</t>
  </si>
  <si>
    <t>clathrin-coated vesicle {GO:0030136}; cytoplasm {GO:0005737}; cytoplasmic vesicle {GO:0031410}; cytoplasmic vesicle membrane {GO:0030659}; cytosol {GO:0005829}; extrinsic component of cytoplasmic side of plasma membrane {GO:0031234}; plasma membrane {GO:0005886}; ruffle {GO:0001726}; trans-Golgi network {GO:0005802}</t>
  </si>
  <si>
    <t>1-phosphatidylinositol binding {GO:0005545}; Arp2/3 complex binding {GO:0071933}; identical protein binding {GO:0042802}; phosphatidylinositol binding {GO:0035091}; protein homodimerization activity {GO:0042803}; ubiquitin protein ligase binding {GO:0031625}</t>
  </si>
  <si>
    <t>sp|Q61164|CTCF_MOUSE</t>
  </si>
  <si>
    <t>Transcriptional repressor CTCF</t>
  </si>
  <si>
    <t>11-zinc finger protein; CCCTC-binding factor; CTCFL paralog</t>
  </si>
  <si>
    <t>CTCF_MOUSE</t>
  </si>
  <si>
    <t>Q61164</t>
  </si>
  <si>
    <t>MGI:109447</t>
  </si>
  <si>
    <t>Acetylation; Activator; Centromere; Chromatin regulator; Chromosome; Chromosome partition; DNA-binding; Isopeptide bond; Metal-binding; Nucleus; Phosphoprotein; Repeat; Repressor; Transcription; Transcription regulation; Tumor suppressor; Ubl conjugation; Zinc; Zinc-finger</t>
  </si>
  <si>
    <t>Chromosome partition; Transcription; Transcription regulation</t>
  </si>
  <si>
    <t>Activator; Chromatin regulator; DNA-binding; Repressor</t>
  </si>
  <si>
    <t>chromatin looping {GO:0140588}; chromosome segregation {GO:0007059}; DNA methylation {GO:0006306}; dosage compensation by inactivation of X chromosome {GO:0009048}; genomic imprinting {GO:0071514}; maintenance of DNA methylation {GO:0010216}; negative regulation of cell population proliferation {GO:0008285}; negative regulation of DNA-templated transcription {GO:0045892}; negative regulation of gene expression {GO:0010629}; negative regulation of transcription by RNA polymerase II {GO:0000122}; positive regulation of DNA-templated transcription {GO:0045893}; positive regulation of gene expression {GO:0010628}; positive regulation of miRNA transcription {GO:1902895}; protein localization to chromosome, centromeric region {GO:0071459}; regulation of DNA-templated transcription {GO:0006355}; regulation of gene expression by genomic imprinting {GO:0006349}; regulation of gene expression, epigenetic {GO:0040029}; regulation of histone acetylation {GO:0035065}; regulation of histone methylation {GO:0031060}; regulation of transcription by RNA polymerase II {GO:0006357}</t>
  </si>
  <si>
    <t>chromosome, centromeric region {GO:0000775}; condensed chromosome {GO:0000793}; dense fibrillar component {GO:0001651}; granular component {GO:0001652}; male germ cell nucleus {GO:0001673}; nucleolus {GO:0005730}; nucleoplasm {GO:0005654}; nucleus {GO:0005634}</t>
  </si>
  <si>
    <t>chromatin binding {GO:0003682}; chromatin insulator sequence binding {GO:0043035}; DNA binding {GO:0003677}; DNA-binding transcription activator activity, RNA polymerase II-specific {GO:0001228}; DNA-binding transcription factor activity {GO:0003700}; DNA-binding transcription factor binding {GO:0140297}; DNA-binding transcription repressor activity, RNA polymerase II-specific {GO:0001227}; metal ion binding {GO:0046872}; RNA polymerase II cis-regulatory region sequence-specific DNA binding {GO:0000978}; sequence-specific DNA binding {GO:0043565}; transcription cis-regulatory region binding {GO:0000976}; transcription coregulator binding {GO:0001221}</t>
  </si>
  <si>
    <t>sp|Q9WV54|ASAH1_MOUSE</t>
  </si>
  <si>
    <t>Acid ceramidase subunit beta</t>
  </si>
  <si>
    <t>Acylsphingosine deacylase; N-acylethanolamine hydrolase ASAH1; N-acylsphingosine amidohydrolase</t>
  </si>
  <si>
    <t>ASAH1_MOUSE</t>
  </si>
  <si>
    <t>Q9WV54</t>
  </si>
  <si>
    <t>Asah</t>
  </si>
  <si>
    <t>MGI:1277124</t>
  </si>
  <si>
    <t>Disulfide bond; Glycoprotein; Hydrolase; Lipid metabolism; Lysosome; Secreted; Signal; Sphingolipid metabolism; Zymogen</t>
  </si>
  <si>
    <t>Lipid metabolism; Sphingolipid metabolism</t>
  </si>
  <si>
    <t>cellular response to tumor necrosis factor {GO:0071356}; ceramide biosynthetic process {GO:0046513}; ceramide catabolic process {GO:0046514}; fatty acid metabolic process {GO:0006631}; keratinocyte differentiation {GO:0030216}; lung development {GO:0030324}; negative regulation of nucleic acid-templated transcription {GO:1903507}; regulation of programmed necrotic cell death {GO:0062098}; regulation of steroid biosynthetic process {GO:0050810}; response to organic substance {GO:0010033}; sphingosine biosynthetic process {GO:0046512}</t>
  </si>
  <si>
    <t>extracellular space {GO:0005615}; lysosome {GO:0005764}; nucleus {GO:0005634}</t>
  </si>
  <si>
    <t>ceramidase activity {GO:0102121}; fatty acid amide hydrolase activity {GO:0017064}; hydrolase activity, acting on carbon-nitrogen (but not peptide) bonds {GO:0016810}; hydrolase activity, acting on carbon-nitrogen (but not peptide) bonds, in linear amides {GO:0016811}; N-acylsphingosine amidohydrolase activity {GO:0017040}; nuclear receptor binding {GO:0016922}; transcription corepressor activity {GO:0003714}</t>
  </si>
  <si>
    <t>Glycosphingolipid metabolism {R-MMU-1660662}; Neutrophil degranulation {R-MMU-6798695}</t>
  </si>
  <si>
    <t>sp|Q60675|LAMA2_MOUSE</t>
  </si>
  <si>
    <t>Laminin subunit alpha-2</t>
  </si>
  <si>
    <t>Laminin M chain; Laminin-12 subunit alpha; Laminin-2 subunit alpha; Laminin-4 subunit alpha; Merosin heavy chain</t>
  </si>
  <si>
    <t>LAMA2_MOUSE</t>
  </si>
  <si>
    <t>Q60675</t>
  </si>
  <si>
    <t>F8VQ43; Q05003; Q64061</t>
  </si>
  <si>
    <t>MGI:99912</t>
  </si>
  <si>
    <t>animal organ morphogenesis {GO:0009887}; axon guidance {GO:0007411}; cell adhesion {GO:0007155}; positive regulation of cell adhesion {GO:0045785}; positive regulation of integrin-mediated signaling pathway {GO:2001046}; positive regulation of muscle cell differentiation {GO:0051149}; positive regulation of synaptic transmission, cholinergic {GO:0032224}; regulation of basement membrane organization {GO:0110011}; regulation of cell migration {GO:0030334}; regulation of embryonic development {GO:0045995}; tissue development {GO:0009888}</t>
  </si>
  <si>
    <t>basement membrane {GO:0005604}; collagen-containing extracellular matrix {GO:0062023}; dendritic spine {GO:0043197}; extracellular region {GO:0005576}; neuromuscular junction {GO:0031594}; protein complex involved in cell-matrix adhesion {GO:0098637}; sarcolemma {GO:0042383}; synaptic cleft {GO:0043083}</t>
  </si>
  <si>
    <t>extracellular matrix structural constituent {GO:0005201}; signaling receptor binding {GO:0005102}</t>
  </si>
  <si>
    <t>sp|Q9DAI2|IFT22_MOUSE</t>
  </si>
  <si>
    <t>Intraflagellar transport protein 22 homolog</t>
  </si>
  <si>
    <t>Rab-like protein 5</t>
  </si>
  <si>
    <t>IFT22_MOUSE</t>
  </si>
  <si>
    <t>Q9DAI2</t>
  </si>
  <si>
    <t>Rabl5</t>
  </si>
  <si>
    <t>MGI:1914536</t>
  </si>
  <si>
    <t>Cell projection; Cilium; GTP-binding; Nucleotide-binding; Phosphoprotein</t>
  </si>
  <si>
    <t>Cell projection; Cilium</t>
  </si>
  <si>
    <t>cilium assembly {GO:0060271}; intracellular protein transport {GO:0006886}; intraciliary anterograde transport {GO:0035720}; intraciliary transport {GO:0042073}</t>
  </si>
  <si>
    <t>centrosome {GO:0005813}; cilium {GO:0005929}; intraciliary transport particle B {GO:0030992}</t>
  </si>
  <si>
    <t>sp|Q8BP27|SFR1_MOUSE</t>
  </si>
  <si>
    <t>Swi5-dependent recombination DNA repair protein 1 homolog</t>
  </si>
  <si>
    <t>Meiosis protein 5 homolog</t>
  </si>
  <si>
    <t>SFR1_MOUSE</t>
  </si>
  <si>
    <t>Q8BP27</t>
  </si>
  <si>
    <t>Q3TH62; Q3TI03; Q3TJK0; Q3UIQ6; Q8R3W0; Q9CRT7; Q9D0D7; Q9D116; Q9D4W4</t>
  </si>
  <si>
    <t>Mei5; Meir5</t>
  </si>
  <si>
    <t>MGI:1915038</t>
  </si>
  <si>
    <t>Alternative splicing; Coiled coil; DNA damage; DNA repair; Nucleus; Phosphoprotein; Transcription; Transcription regulation</t>
  </si>
  <si>
    <t>cellular response to estrogen stimulus {GO:0071391}; double-strand break repair via homologous recombination {GO:0000724}; positive regulation of DNA-templated transcription {GO:0045893}</t>
  </si>
  <si>
    <t>nucleus {GO:0005634}; Swi5-Sfr1 complex {GO:0032798}</t>
  </si>
  <si>
    <t>nuclear receptor coactivator activity {GO:0030374}</t>
  </si>
  <si>
    <t>sp|Q8R3E3|WIPI1_MOUSE</t>
  </si>
  <si>
    <t>WD repeat domain phosphoinositide-interacting protein 1 (WIPI-1)</t>
  </si>
  <si>
    <t>WD40 repeat protein interacting with phosphoinositides of 49 kDa (WIPI 49 kDa)</t>
  </si>
  <si>
    <t>WIPI1_MOUSE</t>
  </si>
  <si>
    <t>Q8R3E3</t>
  </si>
  <si>
    <t>Q8BGE1; Q8R1A9; Q8R1C7</t>
  </si>
  <si>
    <t>D11Ertd498e</t>
  </si>
  <si>
    <t>MGI:1261864</t>
  </si>
  <si>
    <t>Alternative splicing; Autophagy; Cytoplasm; Cytoplasmic vesicle; Cytoskeleton; Endosome; Golgi apparatus; Lipid-binding; Membrane; Repeat; WD repeat</t>
  </si>
  <si>
    <t>Cytoplasm; Cytoplasmic vesicle; Cytoskeleton; Endosome; Golgi apparatus; Membrane</t>
  </si>
  <si>
    <t>autophagosome assembly {GO:0000045}; autophagy of mitochondrion {GO:0000422}; autophagy of nucleus {GO:0044804}; cellular response to starvation {GO:0009267}; positive regulation of autophagosome assembly {GO:2000786}; protein lipidation {GO:0006497}; protein localization to phagophore assembly site {GO:0034497}; vesicle targeting, trans-Golgi to endosome {GO:0048203}</t>
  </si>
  <si>
    <t>autophagosome membrane {GO:0000421}; clathrin-coated vesicle {GO:0030136}; cytoplasm {GO:0005737}; cytoskeleton {GO:0005856}; cytosol {GO:0005829}; endosome membrane {GO:0010008}; extrinsic component of membrane {GO:0019898}; phagophore assembly site {GO:0000407}; phagophore assembly site membrane {GO:0034045}; trans-Golgi network {GO:0005802}</t>
  </si>
  <si>
    <t>nuclear androgen receptor binding {GO:0050681}; nuclear estrogen receptor binding {GO:0030331}; phosphatidylinositol-3,5-bisphosphate binding {GO:0080025}; phosphatidylinositol-3-phosphate binding {GO:0032266}; signaling receptor binding {GO:0005102}</t>
  </si>
  <si>
    <t>sp|Q920B9|SP16H_MOUSE</t>
  </si>
  <si>
    <t>FACT complex subunit SPT16</t>
  </si>
  <si>
    <t>Chromatin-specific transcription elongation factor 140 kDa subunit; FACT 140 kDa subunit; FACTp140; Facilitates chromatin transcription complex subunit SPT16</t>
  </si>
  <si>
    <t>SP16H_MOUSE</t>
  </si>
  <si>
    <t>Q920B9</t>
  </si>
  <si>
    <t>Q3TZ48; Q3UFH0; Q921H4</t>
  </si>
  <si>
    <t>Fact140; Factp140; Supt16</t>
  </si>
  <si>
    <t>MGI:1890948</t>
  </si>
  <si>
    <t>Acetylation; ADP-ribosylation; Chromosome; Coiled coil; DNA damage; DNA repair; DNA replication; Isopeptide bond; Nucleus; Phosphoprotein; Transcription; Transcription regulation; Ubl conjugation</t>
  </si>
  <si>
    <t>DNA repair {GO:0006281}; DNA replication {GO:0006260}; DNA replication-independent chromatin organization {GO:0034724}; nucleosome assembly {GO:0006334}; nucleosome disassembly {GO:0006337}; positive regulation of transcription elongation by RNA polymerase II {GO:0032968}; transcription elongation by RNA polymerase II promoter {GO:0006368}</t>
  </si>
  <si>
    <t>FACT complex {GO:0035101}; nucleoplasm {GO:0005654}; nucleus {GO:0005634}</t>
  </si>
  <si>
    <t>nucleosome binding {GO:0031491}</t>
  </si>
  <si>
    <t>sp|Q62422|OSTF1_MOUSE</t>
  </si>
  <si>
    <t>Osteoclast-stimulating factor 1</t>
  </si>
  <si>
    <t>SH3 domain protein 3</t>
  </si>
  <si>
    <t>OSTF1_MOUSE</t>
  </si>
  <si>
    <t>Q62422</t>
  </si>
  <si>
    <t>Q3UF05</t>
  </si>
  <si>
    <t>Sh3d3; Sh3p2</t>
  </si>
  <si>
    <t>MGI:700012</t>
  </si>
  <si>
    <t>Acetylation; ANK repeat; Cytoplasm; Phosphoprotein; Repeat; SH3 domain</t>
  </si>
  <si>
    <t>ANK repeat; Repeat; SH3 domain</t>
  </si>
  <si>
    <t>SH3 domain binding {GO:0017124}</t>
  </si>
  <si>
    <t>sp|Q64442|DHSO_MOUSE</t>
  </si>
  <si>
    <t>Sorbitol dehydrogenase (SDH; SORD)</t>
  </si>
  <si>
    <t>L-iditol 2-dehydrogenase; Polyol dehydrogenase; Xylitol dehydrogenase (XDH)</t>
  </si>
  <si>
    <t>DHSO_MOUSE</t>
  </si>
  <si>
    <t>Q64442</t>
  </si>
  <si>
    <t>Q569V5; Q9CPS0</t>
  </si>
  <si>
    <t>Sdh1</t>
  </si>
  <si>
    <t>MGI:98266</t>
  </si>
  <si>
    <t>Acetylation; Cell projection; Cilium; Flagellum; Membrane; Metal-binding; Mitochondrion; NAD; Oxidoreductase; Phosphoprotein; Zinc</t>
  </si>
  <si>
    <t>Cell projection; Cilium; Flagellum; Membrane; Mitochondrion</t>
  </si>
  <si>
    <t>flagellated sperm motility {GO:0030317}; fructose biosynthetic process {GO:0046370}; glucuronate catabolic process to xylulose 5-phosphate {GO:0019640}; L-xylitol catabolic process {GO:0051160}; L-xylitol metabolic process {GO:0051164}; response to cadmium ion {GO:0046686}; response to copper ion {GO:0046688}; response to hormone {GO:0009725}; response to nutrient levels {GO:0031667}; response to osmotic stress {GO:0006970}; response to xenobiotic stimulus {GO:0009410}; sorbitol catabolic process {GO:0006062}; sorbitol metabolic process {GO:0006060}</t>
  </si>
  <si>
    <t>cytosol {GO:0005829}; extracellular exosome {GO:0070062}; membrane {GO:0016020}; mitochondrial membrane {GO:0031966}; mitochondrion {GO:0005739}; motile cilium {GO:0031514}</t>
  </si>
  <si>
    <t>D-sorbitol dehydrogenase (acceptor) activity {GO:0047833}; D-xylulose reductase activity {GO:0046526}; identical protein binding {GO:0042802}; L-iditol 2-dehydrogenase activity {GO:0003939}; NAD binding {GO:0051287}; zinc ion binding {GO:0008270}</t>
  </si>
  <si>
    <t>Fructose biosynthesis {R-MMU-5652227}; Formation of xylulose-5-phosphate {R-MMU-5661270}</t>
  </si>
  <si>
    <t>sp|Q6P9R2|OXSR1_MOUSE</t>
  </si>
  <si>
    <t>Serine/threonine-protein kinase OSR1</t>
  </si>
  <si>
    <t>Oxidative stress-responsive 1 protein</t>
  </si>
  <si>
    <t>OXSR1_MOUSE</t>
  </si>
  <si>
    <t>Q6P9R2</t>
  </si>
  <si>
    <t>Q8BVZ9; Q8C0B9</t>
  </si>
  <si>
    <t>MGI:1917378</t>
  </si>
  <si>
    <t>Acetylation; ATP-binding; Cytoplasm; Kinase; Magnesium; Metal-binding; Nucleotide-binding; Phosphoprotein; Serine/threonine-protein kinase; Transferase</t>
  </si>
  <si>
    <t>cellular hypotonic response {GO:0071476}; cellular response to chemokine {GO:1990869}; chemokine (C-C motif) ligand 21 signaling pathway {GO:0038116}; chemokine (C-X-C motif) ligand 12 signaling pathway {GO:0038146}; intracellular signal transduction {GO:0035556}; negative regulation of potassium ion transmembrane transport {GO:1901380}; negative regulation of potassium ion transmembrane transporter activity {GO:1901017}; osmosensory signaling pathway {GO:0007231}; peptidyl-threonine phosphorylation {GO:0018107}; positive regulation of T cell chemotaxis {GO:0010820}; protein autophosphorylation {GO:0046777}; protein phosphorylation {GO:0006468}; response to oxidative stress {GO:0006979}; response to xenobiotic stimulus {GO:0009410}; signal transduction {GO:0007165}</t>
  </si>
  <si>
    <t>ATP binding {GO:0005524}; identical protein binding {GO:0042802}; magnesium ion binding {GO:0000287}; protein kinase binding {GO:0019901}; protein serine kinase activity {GO:0106310}; protein serine/threonine kinase activity {GO:0004674}</t>
  </si>
  <si>
    <t>sp|Q9DBY8|NVL_MOUSE</t>
  </si>
  <si>
    <t>Nuclear valosin-containing protein-like (NVLp; Nuclear VCP-like protein)</t>
  </si>
  <si>
    <t>NVL_MOUSE</t>
  </si>
  <si>
    <t>Q9DBY8</t>
  </si>
  <si>
    <t>Q3USC4; Q8BW27; Q8K2B5</t>
  </si>
  <si>
    <t>MGI:1914709</t>
  </si>
  <si>
    <t>3D-structure; Acetylation; ATP-binding; Isopeptide bond; Nucleotide-binding; Nucleus; Phosphoprotein; Repeat; Ribosome biogenesis; Ubl conjugation</t>
  </si>
  <si>
    <t>positive regulation of protein binding {GO:0032092}; positive regulation of telomerase activity {GO:0051973}; regulation of protein localization to nucleolus {GO:1904749}; ribosomal large subunit biogenesis {GO:0042273}; ribosome biogenesis {GO:0042254}; rRNA processing {GO:0006364}</t>
  </si>
  <si>
    <t>nuclear exosome (RNase complex) {GO:0000176}; nucleolus {GO:0005730}; nucleoplasm {GO:0005654}; nucleus {GO:0005634}; telomerase holoenzyme complex {GO:0005697}</t>
  </si>
  <si>
    <t>ATP binding {GO:0005524}; ATP hydrolysis activity {GO:0016887}; preribosome binding {GO:1990275}</t>
  </si>
  <si>
    <t>sp|P97315|CSRP1_MOUSE</t>
  </si>
  <si>
    <t>Cysteine and glycine-rich protein 1</t>
  </si>
  <si>
    <t>Cysteine-rich protein 1 (CRP; CRP1)</t>
  </si>
  <si>
    <t>CSRP1_MOUSE</t>
  </si>
  <si>
    <t>P97315</t>
  </si>
  <si>
    <t>Crp1; Csrp</t>
  </si>
  <si>
    <t>MGI:88549</t>
  </si>
  <si>
    <t>Acetylation; Isopeptide bond; LIM domain; Metal-binding; Nucleus; Phosphoprotein; Repeat; Ubl conjugation; Zinc</t>
  </si>
  <si>
    <t>actin cytoskeleton organization {GO:0030036}; muscle tissue development {GO:0060537}; sarcomere organization {GO:0045214}</t>
  </si>
  <si>
    <t>actin cytoskeleton {GO:0015629}; cytoplasm {GO:0005737}; nucleoplasm {GO:0005654}; nucleus {GO:0005634}; Z disc {GO:0030018}</t>
  </si>
  <si>
    <t>actinin binding {GO:0042805}; metal ion binding {GO:0046872}; structural constituent of muscle {GO:0008307}</t>
  </si>
  <si>
    <t>sp|Q8BH59|S2512_MOUSE</t>
  </si>
  <si>
    <t>Electrogenic aspartate/glutamate antiporter SLC25A12, mitochondrial</t>
  </si>
  <si>
    <t>Solute carrier family 25 member 12</t>
  </si>
  <si>
    <t>S2512_MOUSE</t>
  </si>
  <si>
    <t>Q8BH59</t>
  </si>
  <si>
    <t>A2BFG0</t>
  </si>
  <si>
    <t>MGI:1926080</t>
  </si>
  <si>
    <t>Acetylation; Calcium; Membrane; Metal-binding; Mitochondrion; Mitochondrion inner membrane; Repeat; Transmembrane; Transmembrane helix; Transport</t>
  </si>
  <si>
    <t>aspartate transmembrane transport {GO:0015810}; glutamate biosynthetic process {GO:0006537}; L-glutamate transmembrane transport {GO:0015813}; malate-aspartate shuttle {GO:0043490}; negative regulation of glucose catabolic process to lactate via pyruvate {GO:1904024}; positive regulation of ATP biosynthetic process {GO:2001171}; positive regulation of glucose metabolic process {GO:0010907}; positive regulation of myelination {GO:0031643}; response to calcium ion {GO:0051592}</t>
  </si>
  <si>
    <t>integral component of membrane {GO:0016021}; mitochondrial inner membrane {GO:0005743}; mitochondrion {GO:0005739}; myelin sheath {GO:0043209}</t>
  </si>
  <si>
    <t>3-sulfino-L-alanine: proton, glutamate antiporter activity {GO:0000514}; aspartate:glutamate, proton antiporter activity {GO:0000515}; calcium ion binding {GO:0005509}; identical protein binding {GO:0042802}; L-aspartate transmembrane transporter activity {GO:0015183}; L-glutamate transmembrane transporter activity {GO:0005313}; transmembrane transporter activity {GO:0022857}</t>
  </si>
  <si>
    <t>sp|Q9CR67|TMM33_MOUSE</t>
  </si>
  <si>
    <t>Transmembrane protein 33</t>
  </si>
  <si>
    <t>Protein DB83</t>
  </si>
  <si>
    <t>TMM33_MOUSE</t>
  </si>
  <si>
    <t>Q9CR67</t>
  </si>
  <si>
    <t>Q544Q3; Q9D3M3; Q9DAV4</t>
  </si>
  <si>
    <t>Db83</t>
  </si>
  <si>
    <t>MGI:1915128</t>
  </si>
  <si>
    <t>Acetylation; Endoplasmic reticulum; Immunity; Innate immunity; Membrane; Nucleus; Transmembrane; Transmembrane helix</t>
  </si>
  <si>
    <t>endoplasmic reticulum tubular network organization {GO:0071786}; innate immune response {GO:0045087}; membrane organization {GO:0061024}; positive regulation of IRE1-mediated unfolded protein response {GO:1903896}; positive regulation of PERK-mediated unfolded protein response {GO:1903899}; regulation of endoplasmic reticulum tubular network organization {GO:1903371}; response to endoplasmic reticulum stress {GO:0034976}</t>
  </si>
  <si>
    <t>endoplasmic reticulum {GO:0005783}; endoplasmic reticulum membrane {GO:0005789}; integral component of endoplasmic reticulum membrane {GO:0030176}; melanosome {GO:0042470}; nuclear envelope {GO:0005635}</t>
  </si>
  <si>
    <t>sp|P56382|ATP5E_MOUSE</t>
  </si>
  <si>
    <t>ATP synthase subunit epsilon, mitochondrial (ATPase subunit epsilon)</t>
  </si>
  <si>
    <t>ATP synthase F1 subunit epsilon</t>
  </si>
  <si>
    <t>ATP5E_MOUSE</t>
  </si>
  <si>
    <t>P56382</t>
  </si>
  <si>
    <t>Atp5e</t>
  </si>
  <si>
    <t>MGI:1855697</t>
  </si>
  <si>
    <t>Acetylation; ATP synthesis; CF(1); Hydrogen ion transport; Ion transport; Membrane; Mitochondrion; Mitochondrion inner membrane; Transport</t>
  </si>
  <si>
    <t>proton motive force-driven ATP synthesis {GO:0015986}; proton motive force-driven mitochondrial ATP synthesis {GO:0042776}</t>
  </si>
  <si>
    <t>mitochondrial inner membrane {GO:0005743}; mitochondrial proton-transporting ATP synthase complex {GO:0005753}; mitochondrial proton-transporting ATP synthase complex, catalytic sector F(1) {GO:0000275}; mitochondrion {GO:0005739}; proton-transporting ATP synthase complex, catalytic core F(1) {GO:0045261}</t>
  </si>
  <si>
    <t>ATP hydrolysis activity {GO:0016887}; P-type proton-exporting transporter activity {GO:0008553}; protein-containing complex binding {GO:0044877}; proton-transporting ATP synthase activity, rotational mechanism {GO:0046933}</t>
  </si>
  <si>
    <t>sp|Q8C0E2|VP26B_MOUSE</t>
  </si>
  <si>
    <t>Vacuolar protein sorting-associated protein 26B</t>
  </si>
  <si>
    <t>Vesicle protein sorting 26B</t>
  </si>
  <si>
    <t>VP26B_MOUSE</t>
  </si>
  <si>
    <t>Q8C0E2</t>
  </si>
  <si>
    <t>Q3TN45; Q8K2V3</t>
  </si>
  <si>
    <t>MGI:1917656</t>
  </si>
  <si>
    <t>cellular response to interferon-gamma {GO:0071346}; intracellular protein transport {GO:0006886}; retrograde transport, endosome to Golgi {GO:0042147}</t>
  </si>
  <si>
    <t>cytosol {GO:0005829}; early endosome {GO:0005769}; endosome {GO:0005768}; late endosome {GO:0005770}; phagocytic vesicle {GO:0045335}; retromer complex {GO:0030904}</t>
  </si>
  <si>
    <t>sp|Q9CQ45|NENF_MOUSE</t>
  </si>
  <si>
    <t>Neudesin</t>
  </si>
  <si>
    <t>Neuron-derived neurotrophic factor; Secreted protein of unknown function (SPUF protein)</t>
  </si>
  <si>
    <t>NENF_MOUSE</t>
  </si>
  <si>
    <t>Q9CQ45</t>
  </si>
  <si>
    <t>Q5TM91</t>
  </si>
  <si>
    <t>Spuf</t>
  </si>
  <si>
    <t>MGI:1913458</t>
  </si>
  <si>
    <t>Acetylation; Endoplasmic reticulum; Heme; Iron; Metal-binding; Mitochondrion; Secreted; Signal</t>
  </si>
  <si>
    <t>Endoplasmic reticulum; Mitochondrion; Secreted</t>
  </si>
  <si>
    <t>MAPK cascade {GO:0000165}; negative regulation of appetite {GO:0032099}; negative regulation of neuron death {GO:1901215}; positive regulation of MAPK cascade {GO:0043410}</t>
  </si>
  <si>
    <t>endomembrane system {GO:0012505}; endoplasmic reticulum {GO:0005783}; extracellular space {GO:0005615}; membrane {GO:0016020}; mitochondrion {GO:0005739}</t>
  </si>
  <si>
    <t>growth factor activity {GO:0008083}; metal ion binding {GO:0046872}</t>
  </si>
  <si>
    <t>sp|P70318|TIAR_MOUSE</t>
  </si>
  <si>
    <t>Nucleolysin TIAR</t>
  </si>
  <si>
    <t>TIA-1-related protein</t>
  </si>
  <si>
    <t>TIAR_MOUSE</t>
  </si>
  <si>
    <t>P70318</t>
  </si>
  <si>
    <t>MGI:107913</t>
  </si>
  <si>
    <t>Acetylation; Apoptosis; Cytoplasm; Lysosome; Nucleus; Phosphoprotein; Repeat; RNA-binding</t>
  </si>
  <si>
    <t>Cytoplasm; Lysosome; Nucleus</t>
  </si>
  <si>
    <t>apoptotic process {GO:0006915}; germ cell development {GO:0007281}; negative regulation of cell population proliferation {GO:0008285}; positive regulation of hippo signaling {GO:0035332}; positive regulation of miRNA-mediated gene silencing {GO:2000637}; positive regulation of stem cell proliferation {GO:2000648}; stem cell division {GO:0017145}; stem cell proliferation {GO:0072089}</t>
  </si>
  <si>
    <t>cytolytic granule {GO:0044194}; cytoplasm {GO:0005737}; cytoplasmic stress granule {GO:0010494}; nucleus {GO:0005634}; ribonucleoprotein complex {GO:1990904}</t>
  </si>
  <si>
    <t>DNA binding {GO:0003677}; mRNA 3'-UTR AU-rich region binding {GO:0035925}; mRNA 3'-UTR binding {GO:0003730}; protein-RNA adaptor activity {GO:0140517}</t>
  </si>
  <si>
    <t>sp|Q8VI36|PAXI_MOUSE</t>
  </si>
  <si>
    <t>Paxillin</t>
  </si>
  <si>
    <t>PAXI_MOUSE</t>
  </si>
  <si>
    <t>Q8VI36</t>
  </si>
  <si>
    <t>Q3TB62; Q3TZQ6; Q8VI37</t>
  </si>
  <si>
    <t>MGI:108295</t>
  </si>
  <si>
    <t>3D-structure; Acetylation; Alternative splicing; Cell adhesion; Cell junction; Cytoplasm; Cytoskeleton; LIM domain; Metal-binding; Phosphoprotein; Repeat; Zinc</t>
  </si>
  <si>
    <t>branching morphogenesis of an epithelial tube {GO:0048754}; cytoskeleton organization {GO:0007010}; endothelial cell migration {GO:0043542}; focal adhesion assembly {GO:0048041}; growth hormone receptor signaling pathway {GO:0060396}; integrin-mediated signaling pathway {GO:0007229}; lamellipodium assembly {GO:0030032}; peptidyl-tyrosine phosphorylation {GO:0018108}; positive regulation of angiogenesis {GO:0045766}; positive regulation of protein kinase activity {GO:0045860}; positive regulation of stress fiber assembly {GO:0051496}; regulation of cell shape {GO:0008360}; response to peptide {GO:1901652}; substrate adhesion-dependent cell spreading {GO:0034446}; transforming growth factor beta receptor signaling pathway {GO:0007179}</t>
  </si>
  <si>
    <t>cell cortex {GO:0005938}; cell leading edge {GO:0031252}; cell-cell junction {GO:0005911}; cytosol {GO:0005829}; focal adhesion {GO:0005925}; lamellipodium {GO:0030027}; plasma membrane {GO:0005886}; stress fiber {GO:0001725}</t>
  </si>
  <si>
    <t>beta-catenin binding {GO:0008013}; BH4 domain binding {GO:0051435}; integrin binding {GO:0005178}; MAP-kinase scaffold activity {GO:0005078}; metal ion binding {GO:0046872}; neuropilin binding {GO:0038191}; protein kinase binding {GO:0019901}; protein phosphatase binding {GO:0019903}; protein-containing complex binding {GO:0044877}; signaling receptor complex adaptor activity {GO:0030159}; transcription coregulator activity {GO:0003712}; vinculin binding {GO:0017166}</t>
  </si>
  <si>
    <t>GAB1 signalosome {R-MMU-180292}; VEGFA-VEGFR2 Pathway {R-MMU-4420097}; Smooth Muscle Contraction {R-MMU-445355}; Localization of the PINCH-ILK-PARVIN complex to focal adhesions {R-MMU-446343}; Regulation of cytoskeletal remodeling and cell spreading by IPP complex components {R-MMU-446388}; PTK6 Regulates RHO GTPases, RAS GTPase and MAP kinases {R-MMU-8849471}</t>
  </si>
  <si>
    <t>sp|Q8VCM7|FIBG_MOUSE</t>
  </si>
  <si>
    <t>Fibrinogen gamma chain</t>
  </si>
  <si>
    <t>FIBG_MOUSE</t>
  </si>
  <si>
    <t>Q8VCM7</t>
  </si>
  <si>
    <t>Q8WUR3; Q91ZP0</t>
  </si>
  <si>
    <t>MGI:95526</t>
  </si>
  <si>
    <t>Adaptive immunity; Blood coagulation; Calcium; Coiled coil; Disulfide bond; Glycoprotein; Hemostasis; Immunity; Innate immunity; Isopeptide bond; Metal-binding; Phosphoprotein; Secreted; Signal</t>
  </si>
  <si>
    <t>Disulfide bond; Glycoprotein; Isopeptide bond; Phosphoprotein</t>
  </si>
  <si>
    <t>adaptive immune response {GO:0002250}; blood coagulation, fibrin clot formation {GO:0072378}; cell-matrix adhesion {GO:0007160}; fibrinolysis {GO:0042730}; innate immune response {GO:0045087}; negative regulation of endothelial cell apoptotic process {GO:2000352}; negative regulation of extrinsic apoptotic signaling pathway via death domain receptors {GO:1902042}; negative regulation of platelet aggregation {GO:0090331}; plasminogen activation {GO:0031639}; platelet aggregation {GO:0070527}; positive regulation of ERK1 and ERK2 cascade {GO:0070374}; positive regulation of exocytosis {GO:0045921}; positive regulation of heterotypic cell-cell adhesion {GO:0034116}; positive regulation of peptide hormone secretion {GO:0090277}; positive regulation of protein secretion {GO:0050714}; positive regulation of vasoconstriction {GO:0045907}; protein polymerization {GO:0051258}; protein secretion {GO:0009306}; protein-containing complex assembly {GO:0065003}; response to calcium ion {GO:0051592}</t>
  </si>
  <si>
    <t>blood microparticle {GO:0072562}; cell cortex {GO:0005938}; cell surface {GO:0009986}; collagen-containing extracellular matrix {GO:0062023}; cytoplasm {GO:0005737}; external side of plasma membrane {GO:0009897}; extracellular space {GO:0005615}; fibrinogen complex {GO:0005577}; platelet alpha granule {GO:0031091}; synapse {GO:0045202}</t>
  </si>
  <si>
    <t>cell adhesion molecule binding {GO:0050839}; identical protein binding {GO:0042802}; metal ion binding {GO:0046872}; signaling receptor binding {GO:0005102}; structural molecule activity {GO:0005198}</t>
  </si>
  <si>
    <t>Platelet degranulation {R-MMU-114608}; Common Pathway of Fibrin Clot Formation {R-MMU-140875}; Integrin cell surface interactions {R-MMU-216083}; Integrin signaling {R-MMU-354192}; GRB2:SOS provides linkage to MAPK signaling for Integrins {R-MMU-354194}; p130Cas linkage to MAPK signaling for integrins {R-MMU-372708}; Regulation of Insulin-like Growth Factor (IGF) transport and uptake by Insulin-like Growth Factor Binding Proteins (IGFBPs) {R-MMU-381426}; MAP2K and MAPK activation {R-MMU-5674135}; Regulation of TLR by endogenous ligand {R-MMU-5686938}; Post-translational protein phosphorylation {R-MMU-8957275}</t>
  </si>
  <si>
    <t>sp|Q8BSQ9|PB1_MOUSE</t>
  </si>
  <si>
    <t>Protein polybromo-1</t>
  </si>
  <si>
    <t>BRG1-associated factor 180 (BAF180)</t>
  </si>
  <si>
    <t>PB1_MOUSE</t>
  </si>
  <si>
    <t>Q8BSQ9</t>
  </si>
  <si>
    <t>E9QPW1; Q05C64; Q05CL6; Q7TMP1; Q7TNU2; Q9CV51</t>
  </si>
  <si>
    <t>Baf180; Pb1</t>
  </si>
  <si>
    <t>MGI:1923998</t>
  </si>
  <si>
    <t>3D-structure; Acetylation; Alternative splicing; Bromodomain; Chromatin regulator; DNA-binding; Isopeptide bond; Nucleus; Phosphoprotein; Repeat; Transcription; Transcription regulation; Tumor suppressor; Ubl conjugation</t>
  </si>
  <si>
    <t>Bromodomain; Repeat</t>
  </si>
  <si>
    <t>blastocyst formation {GO:0001825}; blood vessel remodeling {GO:0001974}; cardiac vascular smooth muscle cell development {GO:0060948}; chromatin remodeling {GO:0006338}; epicardium-derived cardiac endothelial cell differentiation {GO:0003349}; heart development {GO:0007507}; heart morphogenesis {GO:0003007}; negative regulation of cell population proliferation {GO:0008285}; placenta development {GO:0001890}; positive regulation of cell differentiation {GO:0045597}; positive regulation of dendritic spine development {GO:0060999}; positive regulation of DNA-templated transcription {GO:0045893}; positive regulation of double-strand break repair {GO:2000781}; positive regulation of myoblast differentiation {GO:0045663}; positive regulation of T cell differentiation {GO:0045582};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{GO:0006357}; vasculogenesis involved in coronary vascular morphogenesis {GO:0060979}</t>
  </si>
  <si>
    <t>chromatin {GO:0000785}; kinetochore {GO:0000776}; nuclear matrix {GO:0016363}; nucleoplasm {GO:0005654}; nucleus {GO:0005634}; RSC-type complex {GO:0016586}; SWI/SNF complex {GO:0016514}</t>
  </si>
  <si>
    <t>chromatin binding {GO:0003682}; DNA binding {GO:0003677}</t>
  </si>
  <si>
    <t>sp|Q3UH66|WNK2_MOUSE</t>
  </si>
  <si>
    <t>Serine/threonine-protein kinase WNK2</t>
  </si>
  <si>
    <t>Protein kinase lysine-deficient 2; Protein kinase with no lysine 2</t>
  </si>
  <si>
    <t>WNK2_MOUSE</t>
  </si>
  <si>
    <t>Q3UH66</t>
  </si>
  <si>
    <t>Q3V387; Q6PAN9; Q6ZPI6; Q7TNS1; Q811F2</t>
  </si>
  <si>
    <t>MGI:1922857</t>
  </si>
  <si>
    <t>Alternative splicing; ATP-binding; Cell membrane; Cytoplasm; Kinase; Membrane; Methylation; Nucleotide-binding; Phosphoprotein; Serine/threonine-protein kinase; Transferase</t>
  </si>
  <si>
    <t>intracellular signal transduction {GO:0035556}; ion homeostasis {GO:0050801}; negative regulation of cell population proliferation {GO:0008285}; negative regulation of ERK1 and ERK2 cascade {GO:0070373}; negative regulation of sodium ion transport {GO:0010766}; positive regulation of canonical Wnt signaling pathway {GO:0090263}; positive regulation of potassium ion import across plasma membrane {GO:1903288}; positive regulation of sodium ion transmembrane transporter activity {GO:2000651}; protein autophosphorylation {GO:0046777}; protein phosphorylation {GO:0006468}</t>
  </si>
  <si>
    <t>ATP binding {GO:0005524}; chloride channel inhibitor activity {GO:0019869}; potassium channel inhibitor activity {GO:0019870}; protein serine kinase activity {GO:0106310}; protein serine/threonine kinase activity {GO:0004674}</t>
  </si>
  <si>
    <t>tr|E9Q512|E9Q512_MOUSE</t>
  </si>
  <si>
    <t>sp|P97760|RPB3_MOUSE</t>
  </si>
  <si>
    <t>DNA-directed RNA polymerase II subunit RPB3 (RNA polymerase II subunit 3; RNA polymerase II subunit B3)</t>
  </si>
  <si>
    <t>DNA-directed RNA polymerase II 33 kDa polypeptide (RPB33); DNA-directed RNA polymerase II subunit C; RPB31</t>
  </si>
  <si>
    <t>RPB3_MOUSE</t>
  </si>
  <si>
    <t>P97760</t>
  </si>
  <si>
    <t>Q99M46</t>
  </si>
  <si>
    <t>Rpo2-3</t>
  </si>
  <si>
    <t>MGI:109299</t>
  </si>
  <si>
    <t>DNA-directed RNA polymerase; Nucleus; Phosphoprotein; Transcription</t>
  </si>
  <si>
    <t>cytoplasm {GO:0005737}; cytosol {GO:0005829}; nucleoplasm {GO:0005654}; nucleus {GO:0005634}; RNA polymerase II, core complex {GO:0005665}</t>
  </si>
  <si>
    <t>DNA binding {GO:0003677}; DNA-directed 5'-3' RNA polymerase activity {GO:0003899}; protein dimerization activity {GO:0046983}</t>
  </si>
  <si>
    <t>sp|Q8BT60|CPNE3_MOUSE</t>
  </si>
  <si>
    <t>Copine-3</t>
  </si>
  <si>
    <t>Copine III</t>
  </si>
  <si>
    <t>CPNE3_MOUSE</t>
  </si>
  <si>
    <t>Q8BT60</t>
  </si>
  <si>
    <t>Q5CZX9; Q5DU22</t>
  </si>
  <si>
    <t>Kiaa0636</t>
  </si>
  <si>
    <t>MGI:1917818</t>
  </si>
  <si>
    <t>Calcium; Cell junction; Cell membrane; Cytoplasm; Membrane; Metal-binding; Nucleus; Phosphoprotein; Repeat</t>
  </si>
  <si>
    <t>cellular response to calcium ion {GO:0071277}; cellular response to growth factor stimulus {GO:0071363}; ERBB2 signaling pathway {GO:0038128}; positive regulation of cell migration {GO:0030335}</t>
  </si>
  <si>
    <t>cell junction {GO:0030054}; cytoplasm {GO:0005737}; cytosol {GO:0005829}; focal adhesion {GO:0005925}; mitochondrion {GO:0005739}; nucleolus {GO:0005730}; nucleoplasm {GO:0005654}; nucleus {GO:0005634}; plasma membrane {GO:0005886}</t>
  </si>
  <si>
    <t>calcium-dependent phospholipid binding {GO:0005544}; calcium-dependent protein binding {GO:0048306}; metal ion binding {GO:0046872}; protein serine/threonine kinase activity {GO:0004674}; receptor tyrosine kinase binding {GO:0030971}</t>
  </si>
  <si>
    <t>Glycerophospholipid biosynthesis {R-MMU-1483206}; Neutrophil degranulation {R-MMU-6798695}</t>
  </si>
  <si>
    <t>sp|Q9Z1G4|VPP1_MOUSE</t>
  </si>
  <si>
    <t>V-type proton ATPase 116 kDa subunit a 1 (V-ATPase 116 kDa subunit a 1)</t>
  </si>
  <si>
    <t>Clathrin-coated vesicle/synaptic vesicle proton pump 116 kDa subunit; Vacuolar adenosine triphosphatase subunit Ac116; Vacuolar proton pump subunit 1; Vacuolar proton translocating ATPase 116 kDa subunit a isoform 1</t>
  </si>
  <si>
    <t>VPP1_MOUSE</t>
  </si>
  <si>
    <t>Q9Z1G4</t>
  </si>
  <si>
    <t>A2A5A1; Q9JHJ4; Q9JL13; Q9JL14</t>
  </si>
  <si>
    <t>Atp6n1</t>
  </si>
  <si>
    <t>MGI:103286</t>
  </si>
  <si>
    <t>Alternative splicing; Cytoplasmic vesicle; Hydrogen ion transport; Ion transport; Membrane; Phosphoprotein; Synapse; Transmembrane; Transmembrane helix; Transport</t>
  </si>
  <si>
    <t>regulation of macroautophagy {GO:0016241}; toxin transport {GO:1901998}; vacuolar acidification {GO:0007035}</t>
  </si>
  <si>
    <t>anchoring junction {GO:0070161}; clathrin-coated vesicle membrane {GO:0030665}; cytoplasm {GO:0005737}; cytosol {GO:0005829}; Golgi apparatus {GO:0005794}; integral component of synaptic vesicle membrane {GO:0030285}; intracellular membrane-bounded organelle {GO:0043231}; intracellular organelle {GO:0043229}; melanosome {GO:0042470}; membrane {GO:0016020}; nuclear speck {GO:0016607}; perinuclear region of cytoplasm {GO:0048471}; plasma membrane {GO:0005886}; synaptic vesicle {GO:0008021}; vacuolar proton-transporting V-type ATPase complex {GO:0016471}; vacuolar proton-transporting V-type ATPase, V0 domain {GO:0000220}</t>
  </si>
  <si>
    <t>ROS and RNS production in phagocytes {R-MMU-1222556}; Neutrophil degranulation {R-MMU-6798695}; Insulin receptor recycling {R-MMU-77387}; Transferrin endocytosis and recycling {R-MMU-917977}; Ion channel transport {R-MMU-983712}</t>
  </si>
  <si>
    <t>sp|Q9D358|PPAC_MOUSE</t>
  </si>
  <si>
    <t>sp|Q9D281|NXP20_MOUSE</t>
  </si>
  <si>
    <t>Protein Noxp20</t>
  </si>
  <si>
    <t>Nervous system overexpressed protein 20; Protein FAM114A1</t>
  </si>
  <si>
    <t>NXP20_MOUSE</t>
  </si>
  <si>
    <t>Q9D281</t>
  </si>
  <si>
    <t>Q8BMQ0; Q8R2U1; Q9D3K6</t>
  </si>
  <si>
    <t>Noxp20</t>
  </si>
  <si>
    <t>MGI:1915553</t>
  </si>
  <si>
    <t>cytosol {GO:0005829}; Golgi apparatus {GO:0005794}; nucleoplasm {GO:0005654}</t>
  </si>
  <si>
    <t>sp|Q80YA7|DPP8_MOUSE</t>
  </si>
  <si>
    <t>Dipeptidyl peptidase 8 (DP8)</t>
  </si>
  <si>
    <t>Dipeptidyl peptidase VIII (DPP VIII)</t>
  </si>
  <si>
    <t>DPP8_MOUSE</t>
  </si>
  <si>
    <t>Q80YA7</t>
  </si>
  <si>
    <t>Q9D4G6</t>
  </si>
  <si>
    <t>MGI:1921638</t>
  </si>
  <si>
    <t>Aminopeptidase; Cytoplasm; Hydrolase; Protease; Serine protease</t>
  </si>
  <si>
    <t>aminopeptidase activity {GO:0004177}; dipeptidyl-peptidase activity {GO:0008239}; serine-type peptidase activity {GO:0008236}</t>
  </si>
  <si>
    <t>sp|Q00899|TYY1_MOUSE</t>
  </si>
  <si>
    <t>Transcriptional repressor protein YY1</t>
  </si>
  <si>
    <t>Delta transcription factor; NF-E1; UCR-motif DNA-binding protein; Yin and yang 1 (YY-1)</t>
  </si>
  <si>
    <t>TYY1_MOUSE</t>
  </si>
  <si>
    <t>Q00899</t>
  </si>
  <si>
    <t>Ucrbp</t>
  </si>
  <si>
    <t>MGI:99150</t>
  </si>
  <si>
    <t>Activator; ADP-ribosylation; Cytoplasm; Differentiation; DNA damage; DNA recombination; DNA repair; DNA-binding; Isopeptide bond; Metal-binding; Nucleus; Phosphoprotein; Repeat; Repressor; Spermatogenesis; Transcription; Transcription regulation; Ubl conjugation; Zinc; Zinc-finger</t>
  </si>
  <si>
    <t>DNA damage; DNA recombination; DNA repair; Differentiation; Spermatogenesis; Transcription; Transcription regulation</t>
  </si>
  <si>
    <t>ADP-ribosylation; Isopeptide bond; Phosphoprotein; Ubl conjugation</t>
  </si>
  <si>
    <t>anterior/posterior pattern specification {GO:0009952}; B cell differentiation {GO:0030183}; camera-type eye morphogenesis {GO:0048593}; cell development {GO:0048468}; cellular response to DNA damage stimulus {GO:0006974}; cellular response to interleukin-1 {GO:0071347}; cellular response to UV {GO:0034644}; chromatin remodeling {GO:0006338}; chromosome organization {GO:0051276}; double-strand break repair via homologous recombination {GO:0000724}; gene expression {GO:0010467}; immunoglobulin heavy chain V-D-J recombination {GO:0071707}; negative regulation of cell growth involved in cardiac muscle cell development {GO:0061052}; negative regulation of gene expression {GO:0010629}; negative regulation of interferon-beta production {GO:0032688}; negative regulation of miRNA transcription {GO:1902894}; negative regulation of transcription by RNA polymerase II {GO:0000122}; positive regulation of DNA repair {GO:0045739}; positive regulation of DNA-templated transcription {GO:0045893}; positive regulation of gene expression {GO:0010628}; positive regulation of telomere maintenance in response to DNA damage {GO:1904507}; positive regulation of transcription by RNA polymerase II {GO:0045944}; regulation of cell cycle {GO:0051726}; regulation of chromosome organization {GO:0033044}; regulation of DNA repair {GO:0006282}; regulation of DNA replication {GO:0006275}; regulation of DNA strand elongation {GO:0060382}; regulation of DNA-templated transcription {GO:0006355}; regulation of embryonic development {GO:0045995}; regulation of transcription by RNA polymerase II {GO:0006357}; response to prostaglandin F {GO:0034696}; response to UV-C {GO:0010225}; RNA localization {GO:0006403}; spermatogenesis {GO:0007283}; telomere maintenance {GO:0000723}</t>
  </si>
  <si>
    <t>chromatin {GO:0000785}; chromatin silencing complex {GO:0005677}; cytoplasm {GO:0005737}; Ino80 complex {GO:0031011}; nuclear matrix {GO:0016363}; nucleoplasm {GO:0005654}; nucleus {GO:0005634}; PcG protein complex {GO:0031519}; transcription regulator complex {GO:0005667}</t>
  </si>
  <si>
    <t>chromatin binding {GO:0003682}; cis-regulatory region sequence-specific DNA binding {GO:0000987}; DNA binding {GO:0003677}; DNA-binding transcription activator activity, RNA polymerase II-specific {GO:0001228}; DNA-binding transcription factor activity {GO:0003700}; DNA-binding transcription factor activity, RNA polymerase II-specific {GO:0000981}; DNA-binding transcription factor binding {GO:0140297}; DNA-binding transcription repressor activity, RNA polymerase II-specific {GO:0001227}; four-way junction DNA binding {GO:0000400}; metal ion binding {GO:0046872}; RNA binding {GO:0003723}; RNA polymerase II cis-regulatory region sequence-specific DNA binding {GO:0000978}; sequence-specific DNA binding {GO:0043565}; sequence-specific double-stranded DNA binding {GO:1990837}; SMAD binding {GO:0046332}; transcription cis-regulatory region binding {GO:0000976}</t>
  </si>
  <si>
    <t>UCH proteinases {R-MMU-5689603}; DNA Damage Recognition in GG-NER {R-MMU-5696394}</t>
  </si>
  <si>
    <t>sp|P62743|AP2S1_MOUSE</t>
  </si>
  <si>
    <t>AP-2 complex subunit sigma</t>
  </si>
  <si>
    <t>Adaptor protein complex AP-2 subunit sigma; Adaptor-related protein complex 2 subunit sigma; Clathrin assembly protein 2 sigma small chain; Clathrin coat assembly protein AP17; Clathrin coat-associated protein AP17; Plasma membrane adaptor AP-2 17 kDa protein; Sigma-adaptin 3b; Sigma2-adaptin</t>
  </si>
  <si>
    <t>AP2S1_MOUSE</t>
  </si>
  <si>
    <t>P62743</t>
  </si>
  <si>
    <t>P70626; P97626; Q00380</t>
  </si>
  <si>
    <t>Ap17; Claps2</t>
  </si>
  <si>
    <t>MGI:2141861</t>
  </si>
  <si>
    <t>3D-structure; Cell membrane; Coated pit; Endocytosis; Membrane; Phosphoprotein; Protein transport; Transport</t>
  </si>
  <si>
    <t>clathrin-dependent endocytosis {GO:0072583}; intracellular protein transport {GO:0006886}; postsynaptic neurotransmitter receptor internalization {GO:0098884}; vesicle-mediated transport {GO:0016192}</t>
  </si>
  <si>
    <t>AP-2 adaptor complex {GO:0030122}; cytoplasmic side of plasma membrane {GO:0009898}; intracellular membrane-bounded organelle {GO:0043231}; postsynapse {GO:0098794}</t>
  </si>
  <si>
    <t>sp|Q99ME9|GTPB4_MOUSE</t>
  </si>
  <si>
    <t>GTP-binding protein 4</t>
  </si>
  <si>
    <t>Chronic renal failure gene protein; GTP-binding protein NGB; Nucleolar GTP-binding protein 1</t>
  </si>
  <si>
    <t>GTPB4_MOUSE</t>
  </si>
  <si>
    <t>Q99ME9</t>
  </si>
  <si>
    <t>Q99K16; Q99P78; Q9CT02</t>
  </si>
  <si>
    <t>Crfg; Nog1</t>
  </si>
  <si>
    <t>MGI:1916487</t>
  </si>
  <si>
    <t>Acetylation; GTP-binding; Isopeptide bond; Nucleotide-binding; Nucleus; Phosphoprotein; Ribosome biogenesis; Ubl conjugation</t>
  </si>
  <si>
    <t>maturation of LSU-rRNA from tricistronic rRNA transcript (SSU-rRNA, 5.8S rRNA, LSU-rRNA) {GO:0000463}; negative regulation of cell migration {GO:0030336}; negative regulation of cell population proliferation {GO:0008285}; negative regulation of cell-cell adhesion {GO:0022408}; negative regulation of collagen binding {GO:0033342}; negative regulation of DNA replication {GO:0008156}; negative regulation of protein ubiquitination {GO:0031397}; protein stabilization {GO:0050821}; regulation of cyclin-dependent protein serine/threonine kinase activity {GO:0000079}; ribosomal large subunit biogenesis {GO:0042273}</t>
  </si>
  <si>
    <t>cytoplasm {GO:0005737}; cytosol {GO:0005829}; nuclear membrane {GO:0031965}; nucleolus {GO:0005730}; nucleoplasm {GO:0005654}; nucleus {GO:0005634}; perinuclear region of cytoplasm {GO:0048471}</t>
  </si>
  <si>
    <t>GTP binding {GO:0005525}; GTPase activity {GO:0003924}; preribosome binding {GO:1990275}; RNA binding {GO:0003723}</t>
  </si>
  <si>
    <t>sp|Q9CXW2|RT22_MOUSE</t>
  </si>
  <si>
    <t>28S ribosomal protein S22, mitochondrial (MRP-S22; S22mt)</t>
  </si>
  <si>
    <t>RT22_MOUSE</t>
  </si>
  <si>
    <t>Q9CXW2</t>
  </si>
  <si>
    <t>Q3U3T2; Q8VDG9; Q9D185</t>
  </si>
  <si>
    <t>Rpms22</t>
  </si>
  <si>
    <t>MGI:1928137</t>
  </si>
  <si>
    <t>Acetylation; Mitochondrion; Phosphoprotein; Ribonucleoprotein; Ribosomal protein</t>
  </si>
  <si>
    <t>mitochondrial translation {GO:0032543}</t>
  </si>
  <si>
    <t>mitochondrial inner membrane {GO:0005743}; mitochondrial small ribosomal subunit {GO:0005763}; mitochondrion {GO:0005739}</t>
  </si>
  <si>
    <t>sp|Q8BX10|PGAM5_MOUSE</t>
  </si>
  <si>
    <t>Serine/threonine-protein phosphatase PGAM5, mitochondrial</t>
  </si>
  <si>
    <t>Phosphoglycerate mutase family member 5</t>
  </si>
  <si>
    <t>PGAM5_MOUSE</t>
  </si>
  <si>
    <t>Q8BX10</t>
  </si>
  <si>
    <t>B2RSM6; Q3UK19; Q80VY8; Q8BM78; Q9CZU2</t>
  </si>
  <si>
    <t>MGI:1919792</t>
  </si>
  <si>
    <t>Acetylation; Alternative splicing; Hydrolase; Membrane; Mitochondrion; Mitochondrion outer membrane; Necrosis; Phosphoprotein; Transmembrane; Transmembrane helix</t>
  </si>
  <si>
    <t>Necrosis</t>
  </si>
  <si>
    <t>dephosphorylation {GO:0016311}; necroptotic process {GO:0070266}; negative regulation of cold-induced thermogenesis {GO:0120163}; peptidyl-threonine dephosphorylation {GO:0035970}; positive regulation of mitochondrial fission {GO:0090141}</t>
  </si>
  <si>
    <t>GTPase activator activity {GO:0005096}; myosin phosphatase activity {GO:0017018}; phosphatase activity {GO:0016791}; protein serine/threonine phosphatase activity {GO:0004722}; protein-containing complex binding {GO:0044877}</t>
  </si>
  <si>
    <t>Receptor Mediated Mitophagy {R-MMU-8934903}</t>
  </si>
  <si>
    <t>sp|O55042|SYUA_MOUSE</t>
  </si>
  <si>
    <t>Alpha-synuclein</t>
  </si>
  <si>
    <t>Non-A beta component of AD amyloid; Non-A4 component of amyloid precursor (NACP)</t>
  </si>
  <si>
    <t>SYUA_MOUSE</t>
  </si>
  <si>
    <t>O55042</t>
  </si>
  <si>
    <t>Q3U130; Q9CXF8; Q9EQC3; Q9QUR3</t>
  </si>
  <si>
    <t>Syn</t>
  </si>
  <si>
    <t>MGI:1277151</t>
  </si>
  <si>
    <t>Acetylation; Alternative splicing; Cell projection; Copper; Cytoplasm; Membrane; Metal-binding; Nucleus; Phosphoprotein; Repeat; Secreted; Synapse; Ubl conjugation</t>
  </si>
  <si>
    <t>Cell projection; Cytoplasm; Membrane; Nucleus; Secreted; Synapse</t>
  </si>
  <si>
    <t>activation of cysteine-type endopeptidase activity involved in apoptotic process {GO:0006919}; adult locomotory behavior {GO:0008344}; behavioral response to cocaine {GO:0048148}; cellular response to copper ion {GO:0071280}; cellular response to oxidative stress {GO:0034599}; chemical synaptic transmission {GO:0007268}; dopamine biosynthetic process {GO:0042416}; dopamine metabolic process {GO:0042417}; excitatory postsynaptic potential {GO:0060079}; fatty acid metabolic process {GO:0006631}; long-term synaptic potentiation {GO:0060291}; membrane organization {GO:0061024}; microglial cell activation {GO:0001774}; mitochondrial ATP synthesis coupled electron transport {GO:0042775}; mitochondrial membrane organization {GO:0007006}; negative regulation of apoptotic process {GO:0043066}; negative regulation of chaperone-mediated autophagy {GO:1904715}; negative regulation of cysteine-type endopeptidase activity involved in apoptotic process {GO:0043154}; negative regulation of dopamine metabolic process {GO:0045963}; negative regulation of dopamine uptake involved in synaptic transmission {GO:0051585}; negative regulation of exocytosis {GO:0045920}; negative regulation of histone acetylation {GO:0035067}; negative regulation of microtubule polymerization {GO:0031115}; negative regulation of monooxygenase activity {GO:0032769}; negative regulation of neuron apoptotic process {GO:0043524}; negative regulation of neuron death {GO:1901215}; negative regulation of norepinephrine uptake {GO:0051622}; negative regulation of platelet-derived growth factor receptor signaling pathway {GO:0010642}; negative regulation of protein phosphorylation {GO:0001933}; negative regulation of serotonin uptake {GO:0051612}; negative regulation of thrombin-activated receptor signaling pathway {GO:0070495}; negative regulation of transporter activity {GO:0032410}; neuron apoptotic process {GO:0051402}; neurotransmitter secretion {GO:0007269}; neutral lipid metabolic process {GO:0006638}; phospholipid metabolic process {GO:0006644}; positive regulation of endocytosis {GO:0045807}; positive regulation of exocytosis {GO:0045921}; positive regulation of glutathione peroxidase activity {GO:1903284}; positive regulation of hydrogen peroxide catabolic process {GO:1903285}; positive regulation of inflammatory response {GO:0050729}; positive regulation of inositol phosphate biosynthetic process {GO:0060732}; positive regulation of neuron death {GO:1901216}; positive regulation of neurotransmitter secretion {GO:0001956}; positive regulation of peptidyl-serine phosphorylation {GO:0033138}; positive regulation of protein serine/threonine kinase activity {GO:0071902}; positive regulation of receptor recycling {GO:0001921}; positive regulation of release of sequestered calcium ion into cytosol {GO:0051281}; positive regulation of SNARE complex assembly {GO:0035543}; positive regulation of synaptic transmission {GO:0050806}; protein complex oligomerization {GO:0051259}; protein destabilization {GO:0031648}; protein tetramerization {GO:0051262}; receptor internalization {GO:0031623}; regulation of acyl-CoA biosynthetic process {GO:0050812}; regulation of dopamine secretion {GO:0014059}; regulation of glutamate secretion {GO:0014048}; regulation of locomotion {GO:0040012}; regulation of long-term neuronal synaptic plasticity {GO:0048169}; regulation of macrophage activation {GO:0043030}; regulation of neuron death {GO:1901214}; regulation of neuronal synaptic plasticity {GO:0048168}; regulation of neurotransmitter secretion {GO:0046928}; regulation of norepinephrine uptake {GO:0051621}; regulation of phospholipase activity {GO:0010517}; regulation of presynapse assembly {GO:1905606}; regulation of reactive oxygen species metabolic process {GO:2000377}; regulation of transmembrane transporter activity {GO:0022898}; response to interferon-gamma {GO:0034341}; response to interleukin-1 {GO:0070555}; response to iron(II) ion {GO:0010040}; response to lipopolysaccharide {GO:0032496}; response to magnesium ion {GO:0032026}; response to xenobiotic stimulus {GO:0009410}; SNARE complex assembly {GO:0035493}; synapse organization {GO:0050808}; synaptic transmission, dopaminergic {GO:0001963}; synaptic vesicle endocytosis {GO:0048488}; synaptic vesicle exocytosis {GO:0016079}; synaptic vesicle priming {GO:0016082}; synaptic vesicle transport {GO:0048489}</t>
  </si>
  <si>
    <t>actin cytoskeleton {GO:0015629}; anchoring junction {GO:0070161}; axon {GO:0030424}; axon terminus {GO:0043679}; cell cortex {GO:0005938}; cytoplasm {GO:0005737}; cytoplasmic vesicle membrane {GO:0030659}; cytoskeleton {GO:0005856}; cytosol {GO:0005829}; extracellular region {GO:0005576}; extracellular space {GO:0005615}; Golgi apparatus {GO:0005794}; growth cone {GO:0030426}; inclusion body {GO:0016234}; intracellular membrane-bounded organelle {GO:0043231}; membrane {GO:0016020}; mitochondrial inner membrane {GO:0005743}; mitochondrial intermembrane space {GO:0005758}; mitochondrial matrix {GO:0005759}; mitochondrial outer membrane {GO:0005741}; mitochondrion {GO:0005739}; neuronal cell body {GO:0043025}; nuclear outer membrane {GO:0005640}; nucleus {GO:0005634}; perinuclear region of cytoplasm {GO:0048471}; plasma membrane {GO:0005886}; platelet alpha granule membrane {GO:0031092}; postsynapse {GO:0098794}; presynapse {GO:0098793}; protein-containing complex {GO:0032991}; ribosome {GO:0005840}; rough endoplasmic reticulum {GO:0005791}; supramolecular fiber {GO:0099512}; synapse {GO:0045202}; synaptic vesicle {GO:0008021}; synaptic vesicle membrane {GO:0030672}; terminal bouton {GO:0043195}</t>
  </si>
  <si>
    <t>actin binding {GO:0003779}; alpha-tubulin binding {GO:0043014}; arachidonic acid binding {GO:0050544}; beta-tubulin binding {GO:0048487}; calcium ion binding {GO:0005509}; copper ion binding {GO:0005507}; cuprous ion binding {GO:1903136}; cysteine-type endopeptidase inhibitor activity involved in apoptotic process {GO:0043027}; dynein complex binding {GO:0070840}; enzyme binding {GO:0019899}; ferrous iron binding {GO:0008198}; histone binding {GO:0042393}; Hsp70 protein binding {GO:0030544}; identical protein binding {GO:0042802}; kinesin binding {GO:0019894}; magnesium ion binding {GO:0000287}; microtubule binding {GO:0008017}; oxidoreductase activity {GO:0016491}; phospholipase binding {GO:0043274}; phospholipid binding {GO:0005543}; phosphoprotein binding {GO:0051219}; protein domain specific binding {GO:0019904}; protein N-terminus binding {GO:0047485}; SNARE binding {GO:0000149}; tau protein binding {GO:0048156}; zinc ion binding {GO:0008270}</t>
  </si>
  <si>
    <t>sp|Q8WTY4|CPIN1_MOUSE</t>
  </si>
  <si>
    <t>Anamorsin</t>
  </si>
  <si>
    <t>Cytokine-induced apoptosis inhibitor 1; Fe-S cluster assembly protein DRE2 homolog</t>
  </si>
  <si>
    <t>CPIN1_MOUSE</t>
  </si>
  <si>
    <t>Q8WTY4</t>
  </si>
  <si>
    <t>Q3UJW5; Q8VC24; Q91W83</t>
  </si>
  <si>
    <t>MGI:1922083</t>
  </si>
  <si>
    <t>2Fe-2S; 4Fe-4S; Apoptosis; Cytoplasm; Iron; Iron-sulfur; Metal-binding; Mitochondrion; Nucleus; Phosphoprotein</t>
  </si>
  <si>
    <t>2Fe-2S; 4Fe-4S; Iron; Iron-sulfur; Metal-binding</t>
  </si>
  <si>
    <t>apoptotic process {GO:0006915}; hemopoiesis {GO:0030097}; iron-sulfur cluster assembly {GO:0016226}; negative regulation of apoptotic process {GO:0043066}</t>
  </si>
  <si>
    <t>cytoplasm {GO:0005737}; mitochondrial intermembrane space {GO:0005758}; mitochondrion {GO:0005739}; nucleolus {GO:0005730}; nucleoplasm {GO:0005654}</t>
  </si>
  <si>
    <t>2 iron, 2 sulfur cluster binding {GO:0051537}; 4 iron, 4 sulfur cluster binding {GO:0051539}; electron transfer activity {GO:0009055}; metal ion binding {GO:0046872}; methyltransferase activity {GO:0008168}</t>
  </si>
  <si>
    <t>sp|Q91WG2|RABE2_MOUSE</t>
  </si>
  <si>
    <t>Rab GTPase-binding effector protein 2</t>
  </si>
  <si>
    <t>Rabaptin-5beta</t>
  </si>
  <si>
    <t>RABE2_MOUSE</t>
  </si>
  <si>
    <t>Q91WG2</t>
  </si>
  <si>
    <t>Q3UMK8; Q99KN3</t>
  </si>
  <si>
    <t>Rabpt5b</t>
  </si>
  <si>
    <t>MGI:1917564</t>
  </si>
  <si>
    <t>Alternative splicing; Cell projection; Cilium biogenesis/degradation; Coiled coil; Cytoplasm; Cytoskeleton; Endocytosis; Endosome; Phosphoprotein; Protein transport; Transport</t>
  </si>
  <si>
    <t>Cilium biogenesis/degradation; Endocytosis; Protein transport; Transport</t>
  </si>
  <si>
    <t>Cell projection; Cytoplasm; Cytoskeleton; Endosome</t>
  </si>
  <si>
    <t>cell projection organization {GO:0030030}; endocytosis {GO:0006897}; protein transport {GO:0015031}; regulation of cilium assembly {GO:1902017}</t>
  </si>
  <si>
    <t>centrosome {GO:0005813}; ciliary basal body {GO:0036064}; cytosol {GO:0005829}; early endosome {GO:0005769}; intracellular membrane-bounded organelle {GO:0043231}</t>
  </si>
  <si>
    <t>growth factor activity {GO:0008083}; GTPase activator activity {GO:0005096}</t>
  </si>
  <si>
    <t>sp|Q9R0E2|PLOD1_MOUSE</t>
  </si>
  <si>
    <t>Procollagen-lysine,2-oxoglutarate 5-dioxygenase 1</t>
  </si>
  <si>
    <t>Lysyl hydroxylase 1 (LH1)</t>
  </si>
  <si>
    <t>PLOD1_MOUSE</t>
  </si>
  <si>
    <t>Q9R0E2</t>
  </si>
  <si>
    <t>Plod</t>
  </si>
  <si>
    <t>MGI:99907</t>
  </si>
  <si>
    <t>Dioxygenase; Endoplasmic reticulum; Glycoprotein; Iron; Membrane; Metal-binding; Oxidoreductase; Signal; Vitamin C</t>
  </si>
  <si>
    <t>epidermis development {GO:0008544}; peptidyl-lysine hydroxylation {GO:0017185}; response to hypoxia {GO:0001666}</t>
  </si>
  <si>
    <t>catalytic complex {GO:1902494}; collagen-containing extracellular matrix {GO:0062023}; endoplasmic reticulum {GO:0005783}; rough endoplasmic reticulum membrane {GO:0030867}</t>
  </si>
  <si>
    <t>ferrous iron binding {GO:0008198}; L-ascorbic acid binding {GO:0031418}; peptide binding {GO:0042277}; procollagen-lysine 5-dioxygenase activity {GO:0008475}</t>
  </si>
  <si>
    <t>sp|Q922Q9|CHID1_MOUSE</t>
  </si>
  <si>
    <t>Chitinase domain-containing protein 1</t>
  </si>
  <si>
    <t>CHID1_MOUSE</t>
  </si>
  <si>
    <t>Q922Q9</t>
  </si>
  <si>
    <t>Q3TVF7; Q6P8U4; Q8C7C5; Q9CXR7</t>
  </si>
  <si>
    <t>MGI:1915288</t>
  </si>
  <si>
    <t>Alternative splicing; Immunity; Innate immunity; Lysosome; Secreted; Signal</t>
  </si>
  <si>
    <t>carbohydrate metabolic process {GO:0005975}; innate immune response {GO:0045087}; negative regulation of cytokine production involved in inflammatory response {GO:1900016}</t>
  </si>
  <si>
    <t>extracellular region {GO:0005576}; extracellular space {GO:0005615}; late endosome {GO:0005770}; lysosome {GO:0005764}; trans-Golgi network {GO:0005802}</t>
  </si>
  <si>
    <t>chitin binding {GO:0008061}; oligosaccharide binding {GO:0070492}</t>
  </si>
  <si>
    <t>sp|Q9R0U0|SRS10_MOUSE</t>
  </si>
  <si>
    <t>Serine/arginine-rich splicing factor 10</t>
  </si>
  <si>
    <t>FUS-interacting serine-arginine-rich protein 1; Neural-salient serine/arginine-rich protein; Neural-specific SR protein; Splicing factor, arginine/serine-rich 13A; TLS-associated protein with Ser-Arg repeats (TASR; TLS-associated protein with SR repeats); TLS-associated serine-arginine protein (TLS-associated SR protein)</t>
  </si>
  <si>
    <t>SRS10_MOUSE</t>
  </si>
  <si>
    <t>Q9R0U0</t>
  </si>
  <si>
    <t>B1AV44; B1AV45; O70307; O88468; Q3TGW7; Q8CFZ1; Q9R0T9</t>
  </si>
  <si>
    <t>Fusip1; Nssr; Sfrs13a; Srsf13a</t>
  </si>
  <si>
    <t>MGI:1333805</t>
  </si>
  <si>
    <t>Alternative splicing; mRNA processing; mRNA splicing; Nucleus; Phosphoprotein; RNA-binding</t>
  </si>
  <si>
    <t>cytosolic transport {GO:0016482}; mRNA splice site selection {GO:0006376}; mRNA splicing, via spliceosome {GO:0000398}; negative regulation of mRNA splicing, via spliceosome {GO:0048025}; regulation of DNA-templated transcription {GO:0006355}; regulation of mRNA splicing, via spliceosome {GO:0048024}; RNA splicing, via transesterification reactions {GO:0000375}</t>
  </si>
  <si>
    <t>axon terminus {GO:0043679}; cytoplasm {GO:0005737}; cytosol {GO:0005829}; dendrite {GO:0030425}; neuronal cell body {GO:0043025}; nuclear speck {GO:0016607}; nucleoplasm {GO:0005654}</t>
  </si>
  <si>
    <t>RNA binding {GO:0003723}; unfolded protein binding {GO:0051082}</t>
  </si>
  <si>
    <t>sp|Q9QZ06|TOLIP_MOUSE</t>
  </si>
  <si>
    <t>Toll-interacting protein</t>
  </si>
  <si>
    <t>TOLIP_MOUSE</t>
  </si>
  <si>
    <t>Q9QZ06</t>
  </si>
  <si>
    <t>Q543N1; Q9D5P5</t>
  </si>
  <si>
    <t>MGI:1891808</t>
  </si>
  <si>
    <t>Acetylation; Autophagy; Cytoplasm; Endosome; Immunity; Inflammatory response; Innate immunity; Phosphoprotein; Repeat</t>
  </si>
  <si>
    <t>Autophagy; Immunity; Inflammatory response; Innate immunity</t>
  </si>
  <si>
    <t>Cytoplasm; Endosome</t>
  </si>
  <si>
    <t>autophagy {GO:0006914}; epithelial cell differentiation {GO:0030855}; inflammatory response {GO:0006954}; innate immune response {GO:0045087}; interleukin-1-mediated signaling pathway {GO:0070498}; phosphorylation {GO:0016310}; positive regulation of protein sumoylation {GO:0033235}; protein localization to endosome {GO:0036010}; signal transduction {GO:0007165}; ubiquitin-dependent protein catabolic process {GO:0006511}</t>
  </si>
  <si>
    <t>cytoplasm {GO:0005737}; nuclear body {GO:0016604}; perinuclear region of cytoplasm {GO:0048471}; protein-containing complex {GO:0032991}</t>
  </si>
  <si>
    <t>interleukin-1, type I receptor binding {GO:0005150}; kinase binding {GO:0019900}; SUMO binding {GO:0032183}; Toll-like receptor binding {GO:0035325}; ubiquitin binding {GO:0043130}; ubiquitin conjugating enzyme binding {GO:0031624}; ubiquitin protein ligase binding {GO:0031625}</t>
  </si>
  <si>
    <t>Neutrophil degranulation {R-MMU-6798695}; Interleukin-1 signaling {R-MMU-9020702}</t>
  </si>
  <si>
    <t>sp|Q9QZB9|DCTN5_MOUSE</t>
  </si>
  <si>
    <t>Dynactin subunit 5</t>
  </si>
  <si>
    <t>Dynactin subunit p25</t>
  </si>
  <si>
    <t>DCTN5_MOUSE</t>
  </si>
  <si>
    <t>Q9QZB9</t>
  </si>
  <si>
    <t>Q3U9A4; Q8BPE5; Q91XC6; Q99J17</t>
  </si>
  <si>
    <t>MGI:1891689</t>
  </si>
  <si>
    <t>Acetylation; Centromere; Chromosome; Cytoplasm; Cytoskeleton; Kinetochore</t>
  </si>
  <si>
    <t>aorta development {GO:0035904}; coronary vasculature development {GO:0060976}; ventricular septum development {GO:0003281}</t>
  </si>
  <si>
    <t>centrosome {GO:0005813}; cytoplasm {GO:0005737}; dynactin complex {GO:0005869}; kinetochore {GO:0000776}; nuclear membrane {GO:0031965}; nucleoplasm {GO:0005654}</t>
  </si>
  <si>
    <t>sp|Q9Z2Y8|PLPHP_MOUSE</t>
  </si>
  <si>
    <t>Pyridoxal phosphate homeostasis protein (PLP homeostasis protein)</t>
  </si>
  <si>
    <t>Proline synthase co-transcribed bacterial homolog protein; Pyridoxal phosphate-binding protein</t>
  </si>
  <si>
    <t>PLPHP_MOUSE</t>
  </si>
  <si>
    <t>Q9Z2Y8</t>
  </si>
  <si>
    <t>MGI:1891207</t>
  </si>
  <si>
    <t>Phosphoprotein; Pyridoxal phosphate</t>
  </si>
  <si>
    <t>pyridoxal phosphate binding {GO:0030170}</t>
  </si>
  <si>
    <t>sp|Q9CR51|VATG1_MOUSE</t>
  </si>
  <si>
    <t>V-type proton ATPase subunit G 1 (V-ATPase subunit G 1)</t>
  </si>
  <si>
    <t>V-ATPase 13 kDa subunit 1; Vacuolar proton pump subunit G 1</t>
  </si>
  <si>
    <t>VATG1_MOUSE</t>
  </si>
  <si>
    <t>Q9CR51</t>
  </si>
  <si>
    <t>Atp6g1</t>
  </si>
  <si>
    <t>MGI:1913540</t>
  </si>
  <si>
    <t>Acetylation; Cell membrane; Hydrogen ion transport; Ion transport; Membrane; Transport</t>
  </si>
  <si>
    <t>cellular iron ion homeostasis {GO:0006879}; cellular response to increased oxygen levels {GO:0036295}</t>
  </si>
  <si>
    <t>apical plasma membrane {GO:0016324}; cytosol {GO:0005829}; lysosomal membrane {GO:0005765}; plasma membrane {GO:0005886}; vacuolar proton-transporting V-type ATPase complex {GO:0016471}; vacuolar proton-transporting V-type ATPase, V1 domain {GO:0000221}</t>
  </si>
  <si>
    <t>ATP hydrolysis activity {GO:0016887}; ATPase binding {GO:0051117}; proton-transporting ATPase activity, rotational mechanism {GO:0046961}</t>
  </si>
  <si>
    <t>sp|Q9D824|FIP1_MOUSE</t>
  </si>
  <si>
    <t>Pre-mRNA 3'-end-processing factor FIP1</t>
  </si>
  <si>
    <t>FIP1-like 1 protein</t>
  </si>
  <si>
    <t>FIP1_MOUSE</t>
  </si>
  <si>
    <t>Q9D824</t>
  </si>
  <si>
    <t>Q8BWX7; Q99LH0; Q9DBB2</t>
  </si>
  <si>
    <t>MGI:1914149</t>
  </si>
  <si>
    <t>Alternative splicing; mRNA processing; Nucleus; Phosphoprotein; RNA-binding</t>
  </si>
  <si>
    <t>mRNA polyadenylation {GO:0006378}; pre-mRNA cleavage required for polyadenylation {GO:0098789}</t>
  </si>
  <si>
    <t>mRNA cleavage and polyadenylation specificity factor complex {GO:0005847}; nucleoplasm {GO:0005654}; nucleus {GO:0005634}</t>
  </si>
  <si>
    <t>Transport of Mature mRNA Derived from an Intronless Transcript {R-MMU-159231}; mRNA Splicing - Major Pathway {R-MMU-72163}; mRNA 3'-end processing {R-MMU-72187}; RNA Polymerase II Transcription Termination {R-MMU-73856}; Processing of Intronless Pre-mRNAs {R-MMU-77595}</t>
  </si>
  <si>
    <t>sp|Q922S4|PDE2A_MOUSE</t>
  </si>
  <si>
    <t>cGMP-dependent 3',5'-cyclic phosphodiesterase</t>
  </si>
  <si>
    <t>Cyclic GMP-stimulated phosphodiesterase (CGS-PDE; cGSPDE)</t>
  </si>
  <si>
    <t>PDE2A_MOUSE</t>
  </si>
  <si>
    <t>Q922S4</t>
  </si>
  <si>
    <t>Q3TCR8; Q3TXZ6; Q8K2U1</t>
  </si>
  <si>
    <t>MGI:2446107</t>
  </si>
  <si>
    <t>3D-structure; Alternative splicing; cAMP; Cell membrane; cGMP; cGMP-binding; Cytoplasm; Hydrolase; Lipoprotein; Magnesium; Membrane; Metal-binding; Mitochondrion; Mitochondrion inner membrane; Mitochondrion outer membrane; Myristate; Nucleotide-binding; Palmitate; Phosphoprotein; Repeat; Zinc</t>
  </si>
  <si>
    <t>Cell membrane; Cytoplasm; Membrane; Mitochondrion; Mitochondrion inner membrane; Mitochondrion outer membrane</t>
  </si>
  <si>
    <t>Magnesium; Metal-binding; Nucleotide-binding; Zinc; cAMP; cGMP; cGMP-binding</t>
  </si>
  <si>
    <t>adenylate cyclase-inhibiting G protein-coupled receptor signaling pathway {GO:0007193}; aorta development {GO:0035904}; cAMP-mediated signaling {GO:0019933}; cardiac septum development {GO:0003279}; cellular response to 2,3,7,8-tetrachlorodibenzodioxine {GO:1904613}; cellular response to cAMP {GO:0071320}; cellular response to cGMP {GO:0071321}; cellular response to granulocyte macrophage colony-stimulating factor stimulus {GO:0097011}; cellular response to lipopolysaccharide {GO:0071222}; cellular response to macrophage colony-stimulating factor stimulus {GO:0036006}; cellular response to mechanical stimulus {GO:0071260}; cGMP catabolic process {GO:0046069}; cGMP-mediated signaling {GO:0019934}; coronary vasculature development {GO:0060976}; establishment of endothelial barrier {GO:0061028}; heart development {GO:0007507}; heart valve development {GO:0003170}; negative regulation of cAMP-mediated signaling {GO:0043951}; negative regulation of cell death {GO:0060548}; negative regulation of cGMP-mediated signaling {GO:0010754}; negative regulation of oxidative phosphorylation {GO:0090324}; negative regulation of transcription by RNA polymerase II {GO:0000122}; negative regulation of vascular permeability {GO:0043116}; positive regulation of gene expression {GO:0010628}; positive regulation of inflammatory response {GO:0050729}; positive regulation of vascular permeability {GO:0043117}; regulation of cAMP-mediated signaling {GO:0043949}; regulation of cGMP-mediated signaling {GO:0010752}; regulation of mitochondrion organization {GO:0010821}; regulation of nitric oxide mediated signal transduction {GO:0010749}; signal transduction {GO:0007165}; ventricular septum development {GO:0003281}</t>
  </si>
  <si>
    <t>axon {GO:0030424}; cytoplasm {GO:0005737}; cytosol {GO:0005829}; dendrite {GO:0030425}; endoplasmic reticulum {GO:0005783}; Golgi apparatus {GO:0005794}; hippocampal mossy fiber {GO:0097457}; membrane raft {GO:0045121}; mitochondrial inner membrane {GO:0005743}; mitochondrial matrix {GO:0005759}; mitochondrial outer membrane {GO:0005741}; mitochondrion {GO:0005739}; nucleus {GO:0005634}; perinuclear region of cytoplasm {GO:0048471}; plasma membrane {GO:0005886}; presynaptic membrane {GO:0042734}; synaptic membrane {GO:0097060}</t>
  </si>
  <si>
    <t>3',5'-cyclic-AMP phosphodiesterase activity {GO:0004115}; 3',5'-cyclic-GMP phosphodiesterase activity {GO:0047555}; 3',5'-cyclic-nucleotide phosphodiesterase activity {GO:0004114}; cAMP binding {GO:0030552}; cGMP binding {GO:0030553}; cGMP-stimulated cyclic-nucleotide phosphodiesterase activity {GO:0004118}; GAF domain binding {GO:0036004}; identical protein binding {GO:0042802}; magnesium ion binding {GO:0000287}; phosphate ion binding {GO:0042301}; protein homodimerization activity {GO:0042803}; TPR domain binding {GO:0030911}; zinc ion binding {GO:0008270}</t>
  </si>
  <si>
    <t>cGMP effects {R-MMU-418457}; G alpha (s) signalling events {R-MMU-418555}</t>
  </si>
  <si>
    <t>sp|P35569|IRS1_MOUSE</t>
  </si>
  <si>
    <t>Insulin receptor substrate 1 (IRS-1)</t>
  </si>
  <si>
    <t>IRS1_MOUSE</t>
  </si>
  <si>
    <t>P35569</t>
  </si>
  <si>
    <t>Irs-1</t>
  </si>
  <si>
    <t>MGI:99454</t>
  </si>
  <si>
    <t>3D-structure; Phosphoprotein; Repeat; Transducer; Ubl conjugation</t>
  </si>
  <si>
    <t>cell migration {GO:0016477}; cellular response to fatty acid {GO:0071398}; cellular response to insulin stimulus {GO:0032869}; epithelial cell migration {GO:0010631}; insulin receptor signaling pathway {GO:0008286}; insulin-like growth factor receptor signaling pathway {GO:0048009}; lipid catabolic process {GO:0016042}; mammary gland development {GO:0030879}; negative regulation of insulin receptor signaling pathway {GO:0046627}; negative regulation of insulin secretion {GO:0046676}; negative regulation of somatostatin secretion {GO:0090275}; phosphatidylinositol 3-kinase signaling {GO:0014065}; positive regulation of epithelial cell migration {GO:0010634}; positive regulation of fatty acid beta-oxidation {GO:0032000}; positive regulation of glucagon secretion {GO:0070094}; positive regulation of glucose import {GO:0046326}; positive regulation of glucose metabolic process {GO:0010907}; positive regulation of glycogen biosynthetic process {GO:0045725}; positive regulation of insulin receptor signaling pathway {GO:0046628}; positive regulation of mesenchymal cell proliferation {GO:0002053}; positive regulation of phosphatidylinositol 3-kinase activity {GO:0043552}; positive regulation of phosphorylation {GO:0042327}; protein kinase B signaling {GO:0043491}; protein localization to nucleus {GO:0034504}; regulation of gene expression {GO:0010468}; response to caffeine {GO:0031000}; response to insulin {GO:0032868}; response to peptide hormone {GO:0043434}</t>
  </si>
  <si>
    <t>caveola {GO:0005901}; ciliary basal body {GO:0036064}; cytoplasm {GO:0005737}; cytosol {GO:0005829}; insulin receptor complex {GO:0005899}; intracellular membrane-bounded organelle {GO:0043231}; nucleoplasm {GO:0005654}; nucleus {GO:0005634}; plasma membrane {GO:0005886}</t>
  </si>
  <si>
    <t>insulin receptor binding {GO:0005158}; insulin-like growth factor receptor binding {GO:0005159}; phosphatidylinositol 3-kinase binding {GO:0043548}; phosphotyrosine residue binding {GO:0001784}; protein domain specific binding {GO:0019904}; protein kinase binding {GO:0019901}; protein kinase C binding {GO:0005080}; protein-containing complex binding {GO:0044877}; SH2 domain binding {GO:0042169}; signaling receptor complex adaptor activity {GO:0030159}; transmembrane receptor protein tyrosine kinase adaptor activity {GO:0005068}</t>
  </si>
  <si>
    <t>PI3K Cascade {R-MMU-109704}; IRS-mediated signalling {R-MMU-112399}; SOS-mediated signalling {R-MMU-112412}; PIP3 activates AKT signaling {R-MMU-1257604}; Interleukin-7 signaling {R-MMU-1266695}; PI3K/AKT activation {R-MMU-198203}; Signaling by ALK {R-MMU-201556}; IRS-related events triggered by IGF1R {R-MMU-2428928}; RAF/MAP kinase cascade {R-MMU-5673001}; PI5P, PP2A and IER3 Regulate PI3K/AKT Signaling {R-MMU-6811558}; IRS activation {R-MMU-74713}; Signal attenuation {R-MMU-74749}</t>
  </si>
  <si>
    <t>sp|Q99LY9|NDUS5_MOUSE</t>
  </si>
  <si>
    <t>NADH dehydrogenase [ubiquinone] iron-sulfur protein 5</t>
  </si>
  <si>
    <t>Complex I-15 kDa (CI-15 kDa); NADH-ubiquinone oxidoreductase 15 kDa subunit</t>
  </si>
  <si>
    <t>NDUS5_MOUSE</t>
  </si>
  <si>
    <t>Q99LY9</t>
  </si>
  <si>
    <t>Q3U734</t>
  </si>
  <si>
    <t>MGI:1890889</t>
  </si>
  <si>
    <t>3D-structure; Disulfide bond; Electron transport; Membrane; Mitochondrion; Mitochondrion inner membrane; Respiratory chain; Transport</t>
  </si>
  <si>
    <t>sp|A2AAY5|SPD2B_MOUSE</t>
  </si>
  <si>
    <t>SH3 and PX domain-containing protein 2B</t>
  </si>
  <si>
    <t>Factor for adipocyte differentiation 49; Tyrosine kinase substrate with four SH3 domains</t>
  </si>
  <si>
    <t>SPD2B_MOUSE</t>
  </si>
  <si>
    <t>A2AAY5</t>
  </si>
  <si>
    <t>B6F0V1; Q1LZL8; Q1LZM5; Q3TB89; Q8BIC6</t>
  </si>
  <si>
    <t>Fad49; Tks4</t>
  </si>
  <si>
    <t>MGI:2442062</t>
  </si>
  <si>
    <t>Cell junction; Cell projection; Cytoplasm; Differentiation; Phosphoprotein; Repeat; SH3 domain</t>
  </si>
  <si>
    <t>adipose tissue development {GO:0060612}; bone development {GO:0060348}; cranial skeletal system development {GO:1904888}; extracellular matrix disassembly {GO:0022617}; eye development {GO:0001654}; heart development {GO:0007507}; osteoblast fate commitment {GO:0002051}; podosome assembly {GO:0071800}; positive regulation of adipose tissue development {GO:1904179}; positive regulation of fat cell differentiation {GO:0045600}; positive regulation of gene expression {GO:0010628}; positive regulation of multicellular organism growth {GO:0040018}; positive regulation of stress fiber assembly {GO:0051496}; protein localization to membrane {GO:0072657}; regulation of brood size {GO:0060378}; skeletal system development {GO:0001501}; skeletal system morphogenesis {GO:0048705}; superoxide anion generation {GO:0042554}; superoxide metabolic process {GO:0006801}</t>
  </si>
  <si>
    <t>anchoring junction {GO:0070161}; cell projection {GO:0042995}; cytoplasm {GO:0005737}; podosome {GO:0002102}</t>
  </si>
  <si>
    <t>phosphatidylinositol-3,5-bisphosphate binding {GO:0080025}; phosphatidylinositol-3-phosphate binding {GO:0032266}; phosphatidylinositol-4-phosphate binding {GO:0070273}; phosphatidylinositol-5-phosphate binding {GO:0010314}; SH2 domain binding {GO:0042169}; superoxide-generating NADPH oxidase activator activity {GO:0016176}</t>
  </si>
  <si>
    <t>sp|Q7TSJ2|MAP6_MOUSE</t>
  </si>
  <si>
    <t>Microtubule-associated protein 6 (MAP-6)</t>
  </si>
  <si>
    <t>Stable tubule-only polypeptide (STOP)</t>
  </si>
  <si>
    <t>MAP6_MOUSE</t>
  </si>
  <si>
    <t>Q7TSJ2</t>
  </si>
  <si>
    <t>O55129; O70586; O70587; Q78DV4; Q78DV5</t>
  </si>
  <si>
    <t>Mtap6</t>
  </si>
  <si>
    <t>MGI:1201690</t>
  </si>
  <si>
    <t>Alternative promoter usage; Alternative splicing; Calmodulin-binding; Cell projection; Cytoplasm; Cytoplasmic vesicle; Cytoskeleton; Golgi apparatus; Lipoprotein; Membrane; Microtubule; Palmitate; Phosphoprotein; Repeat; Transport</t>
  </si>
  <si>
    <t>Cell projection; Cytoplasm; Cytoplasmic vesicle; Cytoskeleton; Golgi apparatus; Membrane; Microtubule</t>
  </si>
  <si>
    <t>axonal transport of mitochondrion {GO:0019896}; cytoskeleton-dependent intracellular transport {GO:0030705}; dendrite morphogenesis {GO:0048813}; lysosome localization {GO:0032418}; microtubule cytoskeleton organization {GO:0000226}; positive regulation of axonogenesis {GO:0050772}; regulation of microtubule cytoskeleton organization {GO:0070507}</t>
  </si>
  <si>
    <t>axon {GO:0030424}; axon cytoplasm {GO:1904115}; cis-Golgi network {GO:0005801}; dendrite {GO:0030425}; Golgi apparatus {GO:0005794}; Golgi-associated vesicle {GO:0005798}; microtubule {GO:0005874}; neuron projection {GO:0043005}; perinuclear region of cytoplasm {GO:0048471}; secretory vesicle {GO:0099503}; transport vesicle membrane {GO:0030658}</t>
  </si>
  <si>
    <t>calmodulin binding {GO:0005516}; microtubule binding {GO:0008017}</t>
  </si>
  <si>
    <t>sp|Q9DCB1|HMGN3_MOUSE</t>
  </si>
  <si>
    <t>High mobility group nucleosome-binding domain-containing protein 3</t>
  </si>
  <si>
    <t>HMGN3_MOUSE</t>
  </si>
  <si>
    <t>Q9DCB1</t>
  </si>
  <si>
    <t>Q7M737; Q99JU1</t>
  </si>
  <si>
    <t>MGI:2138069</t>
  </si>
  <si>
    <t>Alternative splicing; Chromatin regulator; DNA-binding; Nucleus; Phosphoprotein</t>
  </si>
  <si>
    <t>chromatin organization {GO:0006325}; positive regulation of DNA-binding transcription factor activity {GO:0051091}; positive regulation of transcription by RNA polymerase II {GO:0045944}; regulation of insulin secretion involved in cellular response to glucose stimulus {GO:0061178}; regulation of transcription by RNA polymerase II {GO:0006357}; transcription by RNA polymerase II {GO:0006366}</t>
  </si>
  <si>
    <t>chromatin {GO:0000785}; cytosol {GO:0005829}; nucleoplasm {GO:0005654}; nucleus {GO:0005634}</t>
  </si>
  <si>
    <t>sp|Q8CBE3|WDR37_MOUSE</t>
  </si>
  <si>
    <t>WD repeat-containing protein 37</t>
  </si>
  <si>
    <t>WDR37_MOUSE</t>
  </si>
  <si>
    <t>Q8CBE3</t>
  </si>
  <si>
    <t>Q80Y96; Q8CCL2</t>
  </si>
  <si>
    <t>Kiaa0982</t>
  </si>
  <si>
    <t>MGI:1920393</t>
  </si>
  <si>
    <t>Cytoplasm; Nucleus; Repeat; WD repeat</t>
  </si>
  <si>
    <t>sp|Q8K021|SCAM1_MOUSE</t>
  </si>
  <si>
    <t>Secretory carrier-associated membrane protein 1 (Secretory carrier membrane protein 1)</t>
  </si>
  <si>
    <t>SCAM1_MOUSE</t>
  </si>
  <si>
    <t>Q8K021</t>
  </si>
  <si>
    <t>MGI:1349480</t>
  </si>
  <si>
    <t>Acetylation; Endosome; Golgi apparatus; Membrane; Phosphoprotein; Protein transport; Transmembrane; Transmembrane helix; Transport</t>
  </si>
  <si>
    <t>endocytosis {GO:0006897}; establishment of localization in cell {GO:0051649}; exocytosis {GO:0006887}; protein transport {GO:0015031}</t>
  </si>
  <si>
    <t>clathrin-coated vesicle {GO:0030136}; cytoplasmic vesicle membrane {GO:0030659}; integral component of membrane {GO:0016021}; integral component of synaptic vesicle membrane {GO:0030285}; recycling endosome membrane {GO:0055038}; synapse {GO:0045202}; synaptic vesicle {GO:0008021}; synaptic vesicle membrane {GO:0030672}; trans-Golgi network {GO:0005802}; trans-Golgi network membrane {GO:0032588}; zymogen granule membrane {GO:0042589}</t>
  </si>
  <si>
    <t>sp|Q91VX2|UBAP2_MOUSE</t>
  </si>
  <si>
    <t>Ubiquitin-associated protein 2 (UBAP-2)</t>
  </si>
  <si>
    <t>Protein lingerer homolog 1 (mLig-1)</t>
  </si>
  <si>
    <t>UBAP2_MOUSE</t>
  </si>
  <si>
    <t>Q91VX2</t>
  </si>
  <si>
    <t>Q812D6; Q99K40</t>
  </si>
  <si>
    <t>MGI:1916176</t>
  </si>
  <si>
    <t>sp|Q9Z1K6|ARI2_MOUSE</t>
  </si>
  <si>
    <t>E3 ubiquitin-protein ligase ARIH2 (ARI-2; Protein ariadne-2 homolog)</t>
  </si>
  <si>
    <t>RING-type E3 ubiquitin transferase ARIH2; Triad1 protein; UbcM4-interacting protein 48</t>
  </si>
  <si>
    <t>ARI2_MOUSE</t>
  </si>
  <si>
    <t>Q9Z1K6</t>
  </si>
  <si>
    <t>Ari2; Triad1; Uip48</t>
  </si>
  <si>
    <t>MGI:1344361</t>
  </si>
  <si>
    <t>Cytoplasm; Metal-binding; Nucleus; Phosphoprotein; Repeat; Transferase; Ubl conjugation; Ubl conjugation pathway; Zinc; Zinc-finger</t>
  </si>
  <si>
    <t>developmental cell growth {GO:0048588}; hematopoietic stem cell proliferation {GO:0071425}; positive regulation of proteasomal ubiquitin-dependent protein catabolic process {GO:0032436}; protein K48-linked ubiquitination {GO:0070936}; protein K63-linked ubiquitination {GO:0070534}; protein polyubiquitination {GO:0000209}; protein ubiquitination {GO:0016567}; ubiquitin-dependent protein catabolic process {GO:0006511}</t>
  </si>
  <si>
    <t>Cul5-RING ubiquitin ligase complex {GO:0031466}; cytoplasm {GO:0005737}; nucleoplasm {GO:0005654}; nucleus {GO:0005634}; ubiquitin ligase complex {GO:0000151}</t>
  </si>
  <si>
    <t>metal ion binding {GO:0046872}; ubiquitin conjugating enzyme binding {GO:0031624}; ubiquitin protein ligase activity {GO:0061630}; ubiquitin-protein transferase activity {GO:0004842}</t>
  </si>
  <si>
    <t>sp|P62307|RUXF_MOUSE</t>
  </si>
  <si>
    <t>Small nuclear ribonucleoprotein F (snRNP-F)</t>
  </si>
  <si>
    <t>Sm protein F (Sm-F; SmF)</t>
  </si>
  <si>
    <t>RUXF_MOUSE</t>
  </si>
  <si>
    <t>P62307</t>
  </si>
  <si>
    <t>Q15356</t>
  </si>
  <si>
    <t>MGI:1917128</t>
  </si>
  <si>
    <t>Acetylation; Cytoplasm; mRNA processing; mRNA splicing; Nucleus; Ribonucleoprotein; RNA-binding; Spliceosome</t>
  </si>
  <si>
    <t>mRNA splicing, via spliceosome {GO:0000398}; RNA splicing {GO:0008380}; spliceosomal snRNP assembly {GO:0000387}</t>
  </si>
  <si>
    <t>catalytic step 2 spliceosome {GO:0071013}; cytosol {GO:0005829}; methylosome {GO:0034709}; nucleus {GO:0005634}; pICln-Sm protein complex {GO:0034715}; small nuclear ribonucleoprotein complex {GO:0030532}; SMN-Sm protein complex {GO:0034719}; spliceosomal complex {GO:0005681}; U1 snRNP {GO:0005685}; U12-type spliceosomal complex {GO:0005689}; U2-type catalytic step 2 spliceosome {GO:0071007}; U2-type precatalytic spliceosome {GO:0071005}; U4 snRNP {GO:0005687}; U4/U6 x U5 tri-snRNP complex {GO:0046540}; U7 snRNP {GO:0005683}</t>
  </si>
  <si>
    <t>sp|Q5DTM8|BRE1A_MOUSE</t>
  </si>
  <si>
    <t>E3 ubiquitin-protein ligase BRE1A (BRE1-A)</t>
  </si>
  <si>
    <t>RING finger protein 20; RING-type E3 ubiquitin transferase BRE1A</t>
  </si>
  <si>
    <t>BRE1A_MOUSE</t>
  </si>
  <si>
    <t>Q5DTM8</t>
  </si>
  <si>
    <t>A2AIR3; Q3UT10; Q3V350; Q7TT11; Q8BKA8; Q8BKN8; Q8BUF7; Q8BVU4</t>
  </si>
  <si>
    <t>Bre1a; Kiaa4116</t>
  </si>
  <si>
    <t>MGI:1925927</t>
  </si>
  <si>
    <t>Acetylation; Alternative splicing; Chromatin regulator; Coiled coil; Metal-binding; Nucleus; Phosphoprotein; Transferase; Ubl conjugation pathway; Zinc; Zinc-finger</t>
  </si>
  <si>
    <t>Chromatin regulator; Transferase</t>
  </si>
  <si>
    <t>chromatin organization {GO:0006325}; histone H2B conserved C-terminal lysine ubiquitination {GO:0071894}; histone H2B ubiquitination {GO:0033523}; histone monoubiquitination {GO:0010390}; histone ubiquitination {GO:0016574}; negative regulation of cell migration {GO:0030336}; positive regulation of DNA-templated transcription {GO:0045893}; positive regulation of histone methylation {GO:0031062}; protein polyubiquitination {GO:0000209}; regulation of DNA-templated transcription {GO:0006355}; ubiquitin-dependent protein catabolic process {GO:0006511}</t>
  </si>
  <si>
    <t>HULC complex {GO:0033503}; nucleolus {GO:0005730}; nucleoplasm {GO:0005654}; nucleus {GO:0005634}; ubiquitin ligase complex {GO:0000151}</t>
  </si>
  <si>
    <t>chromatin binding {GO:0003682}; histone binding {GO:0042393}; identical protein binding {GO:0042802}; metal ion binding {GO:0046872}; mRNA 3'-UTR binding {GO:0003730}; p53 binding {GO:0002039}; transcription coactivator activity {GO:0003713}; ubiquitin protein ligase activity {GO:0061630}; ubiquitin protein ligase binding {GO:0031625}; ubiquitin-protein transferase activity {GO:0004842}</t>
  </si>
  <si>
    <t>E3 ubiquitin ligases ubiquitinate target proteins {R-MMU-8866654}; RHOBTB1 GTPase cycle {R-MMU-9013422}</t>
  </si>
  <si>
    <t>sp|Q9EP72|EMC7_MOUSE</t>
  </si>
  <si>
    <t>ER membrane protein complex subunit 7</t>
  </si>
  <si>
    <t>EMC7_MOUSE</t>
  </si>
  <si>
    <t>Q9EP72</t>
  </si>
  <si>
    <t>Orf3</t>
  </si>
  <si>
    <t>MGI:1920274</t>
  </si>
  <si>
    <t>EMC complex {GO:0072546}; endoplasmic reticulum membrane {GO:0005789}; integral component of endoplasmic reticulum membrane {GO:0030176}; integral component of membrane {GO:0016021}</t>
  </si>
  <si>
    <t>carbohydrate binding {GO:0030246}; membrane insertase activity {GO:0032977}</t>
  </si>
  <si>
    <t>sp|Q9DCC8|TOM20_MOUSE</t>
  </si>
  <si>
    <t>Mitochondrial import receptor subunit TOM20 homolog</t>
  </si>
  <si>
    <t>Mitochondrial 20 kDa outer membrane protein; Outer mitochondrial membrane receptor Tom20</t>
  </si>
  <si>
    <t>TOM20_MOUSE</t>
  </si>
  <si>
    <t>Q9DCC8</t>
  </si>
  <si>
    <t>MGI:1915202</t>
  </si>
  <si>
    <t>Isopeptide bond; Membrane; Mitochondrion; Mitochondrion outer membrane; Phosphoprotein; Protein transport; Transmembrane; Transmembrane helix; Transport; Ubl conjugation</t>
  </si>
  <si>
    <t>protein import into mitochondrial matrix {GO:0030150}; protein targeting to mitochondrion {GO:0006626}; response to 3,3',5-triiodo-L-thyronine {GO:1905242}; response to muscle activity {GO:0014850}; tRNA import into mitochondrion {GO:0016031}</t>
  </si>
  <si>
    <t>integral component of mitochondrial outer membrane {GO:0031307}; mitochondria-associated endoplasmic reticulum membrane {GO:0044233}; mitochondrial envelope {GO:0005740}; mitochondrial outer membrane {GO:0005741}; mitochondrial outer membrane translocase complex {GO:0005742}; mitochondrion {GO:0005739}; sperm midpiece {GO:0097225}</t>
  </si>
  <si>
    <t>mitochondrion targeting sequence binding {GO:0030943}; protein-transporting ATPase activity {GO:0015450}; unfolded protein binding {GO:0051082}</t>
  </si>
  <si>
    <t>PINK1-PRKN Mediated Mitophagy {R-MMU-5205685}; Ub-specific processing proteases {R-MMU-5689880}</t>
  </si>
  <si>
    <t>sp|Q8VBZ3|CLPT1_MOUSE</t>
  </si>
  <si>
    <t>Putative lipid scramblase CLPTM1</t>
  </si>
  <si>
    <t>Cleft lip and palate transmembrane protein 1 homolog; Thymic epithelial cell surface antigen</t>
  </si>
  <si>
    <t>CLPT1_MOUSE</t>
  </si>
  <si>
    <t>Q8VBZ3</t>
  </si>
  <si>
    <t>O08708; Q3U758; Q3U823; Q3UG77; Q8VEJ6</t>
  </si>
  <si>
    <t>N14</t>
  </si>
  <si>
    <t>MGI:1927155</t>
  </si>
  <si>
    <t>Acetylation; Developmental protein; Differentiation; Glycoprotein; Membrane; Phosphoprotein; Transmembrane; Transmembrane helix</t>
  </si>
  <si>
    <t>cell differentiation {GO:0030154}; regulation of T cell differentiation in thymus {GO:0033081}</t>
  </si>
  <si>
    <t>external side of plasma membrane {GO:0009897}; integral component of membrane {GO:0016021}; membrane {GO:0016020}</t>
  </si>
  <si>
    <t>GABA receptor binding {GO:0050811}</t>
  </si>
  <si>
    <t>sp|Q91VJ5|PQBP1_MOUSE</t>
  </si>
  <si>
    <t>Polyglutamine-binding protein 1 (PQBP-1)</t>
  </si>
  <si>
    <t>38 kDa nuclear protein containing a WW domain (Npw38); Polyglutamine tract-binding protein 1</t>
  </si>
  <si>
    <t>PQBP1_MOUSE</t>
  </si>
  <si>
    <t>Q91VJ5</t>
  </si>
  <si>
    <t>Q80WW2; Q9ER43; Q9QYY2</t>
  </si>
  <si>
    <t>Npw38</t>
  </si>
  <si>
    <t>MGI:1859638</t>
  </si>
  <si>
    <t>Immunity; Innate immunity; mRNA processing; mRNA splicing; Nucleus; Phosphoprotein; Repeat; Transcription; Transcription regulation</t>
  </si>
  <si>
    <t>Immunity; Innate immunity; Transcription; Transcription regulation; mRNA processing; mRNA splicing</t>
  </si>
  <si>
    <t>activation of innate immune response {GO:0002218}; alternative mRNA splicing, via spliceosome {GO:0000380}; cellular response to exogenous dsRNA {GO:0071360}; defense response to virus {GO:0051607}; innate immune response {GO:0045087}; neuron projection development {GO:0031175}; positive regulation of defense response to virus by host {GO:0002230}; positive regulation of non-motile cilium assembly {GO:1902857}; positive regulation of type I interferon production {GO:0032481}; regulation of dendrite morphogenesis {GO:0048814}; regulation of RNA splicing {GO:0043484}</t>
  </si>
  <si>
    <t>centrosome {GO:0005813}; ciliary base {GO:0097546}; cilium {GO:0005929}; cytoplasm {GO:0005737}; cytoplasmic stress granule {GO:0010494}; neuronal ribonucleoprotein granule {GO:0071598}; nuclear body {GO:0016604}; nuclear speck {GO:0016607}; nucleus {GO:0005634}</t>
  </si>
  <si>
    <t>double-stranded DNA binding {GO:0003690}; protein C-terminus binding {GO:0008022}; ribonucleoprotein complex binding {GO:0043021}</t>
  </si>
  <si>
    <t>sp|P55096|ABCD3_MOUSE</t>
  </si>
  <si>
    <t>ATP-binding cassette sub-family D member 3</t>
  </si>
  <si>
    <t>68 kDa peroxisomal membrane protein (PMP68); 70 kDa peroxisomal membrane protein (PMP70)</t>
  </si>
  <si>
    <t>ABCD3_MOUSE</t>
  </si>
  <si>
    <t>P55096</t>
  </si>
  <si>
    <t>Pmp70; Pxmp1</t>
  </si>
  <si>
    <t>MGI:1349216</t>
  </si>
  <si>
    <t>Acetylation; ATP-binding; Glycoprotein; Hydrolase; Membrane; Nucleotide-binding; Peroxisome; Phosphoprotein; Translocase; Transmembrane; Transmembrane helix; Transport</t>
  </si>
  <si>
    <t>Membrane; Peroxisome</t>
  </si>
  <si>
    <t>Hydrolase; Translocase</t>
  </si>
  <si>
    <t>bile acid and bile salt transport {GO:0015721}; bile acid biosynthetic process {GO:0006699}; fatty acid beta-oxidation {GO:0006635}; fatty acid biosynthetic process {GO:0006633}; lipid transport {GO:0006869}; long-chain fatty acid import into peroxisome {GO:0015910}; peroxisome organization {GO:0007031}; phytanic acid metabolic process {GO:1903512}; response to organic cyclic compound {GO:0014070}; response to xenobiotic stimulus {GO:0009410}; very long-chain fatty acid catabolic process {GO:0042760}; very long-chain fatty acid metabolic process {GO:0000038}</t>
  </si>
  <si>
    <t>integral component of membrane {GO:0016021}; intracellular membrane-bounded organelle {GO:0043231}; mitochondrial inner membrane {GO:0005743}; mitochondrion {GO:0005739}; peroxisomal matrix {GO:0005782}; peroxisomal membrane {GO:0005778}; peroxisome {GO:0005777}</t>
  </si>
  <si>
    <t>ABC-type transporter activity {GO:0140359}; acyl-CoA hydrolase activity {GO:0047617}; ATP binding {GO:0005524}; ATP hydrolysis activity {GO:0016887}; ATPase-coupled transmembrane transporter activity {GO:0042626}; long-chain fatty acid transporter activity {GO:0005324}; protein homodimerization activity {GO:0042803}; protein self-association {GO:0043621}</t>
  </si>
  <si>
    <t>ABC transporters in lipid homeostasis {R-MMU-1369062}; RHOA GTPase cycle {R-MMU-8980692}; RHOC GTPase cycle {R-MMU-9013106}; Class I peroxisomal membrane protein import {R-MMU-9603798}</t>
  </si>
  <si>
    <t>sp|Q9JHJ0|TMOD3_MOUSE</t>
  </si>
  <si>
    <t>Tropomodulin-3</t>
  </si>
  <si>
    <t>Ubiquitous tropomodulin (U-Tmod)</t>
  </si>
  <si>
    <t>TMOD3_MOUSE</t>
  </si>
  <si>
    <t>Q9JHJ0</t>
  </si>
  <si>
    <t>Q3TIT1</t>
  </si>
  <si>
    <t>MGI:1355315</t>
  </si>
  <si>
    <t>actin cytoskeleton organization {GO:0030036}; actin filament organization {GO:0007015}; erythrocyte development {GO:0048821}; mitotic cell cycle phase transition {GO:0044772}; muscle contraction {GO:0006936}; myofibril assembly {GO:0030239}; pointed-end actin filament capping {GO:0051694}; positive regulation of mitotic cell cycle phase transition {GO:1901992}</t>
  </si>
  <si>
    <t>cytoskeleton {GO:0005856}; filamentous actin {GO:0031941}; lamellipodium {GO:0030027}; myofibril {GO:0030016}; ruffle {GO:0001726}; striated muscle thin filament {GO:0005865}</t>
  </si>
  <si>
    <t>actin binding {GO:0003779}; microtubule minus-end binding {GO:0051011}; tropomyosin binding {GO:0005523}</t>
  </si>
  <si>
    <t>Striated Muscle Contraction {R-MMU-390522}; RHOBTB2 GTPase cycle {R-MMU-9013418}; RND3 GTPase cycle {R-MMU-9696264}</t>
  </si>
  <si>
    <t>sp|Q9D8W7|OCAD2_MOUSE</t>
  </si>
  <si>
    <t>OCIA domain-containing protein 2</t>
  </si>
  <si>
    <t>OCAD2_MOUSE</t>
  </si>
  <si>
    <t>Q9D8W7</t>
  </si>
  <si>
    <t>MGI:1916377</t>
  </si>
  <si>
    <t>Acetylation; Endosome</t>
  </si>
  <si>
    <t>response to bacterium {GO:0009617}</t>
  </si>
  <si>
    <t>endosome {GO:0005768}; mitochondrial inner membrane {GO:0005743}; mitochondrion {GO:0005739}</t>
  </si>
  <si>
    <t>sp|P47857|PFKAM_MOUSE</t>
  </si>
  <si>
    <t>ATP-dependent 6-phosphofructokinase, muscle type (ATP-PFK; PFK-M)</t>
  </si>
  <si>
    <t>6-phosphofructokinase type A; Phosphofructo-1-kinase isozyme A (PFK-A); Phosphohexokinase</t>
  </si>
  <si>
    <t>PFKAM_MOUSE</t>
  </si>
  <si>
    <t>P47857</t>
  </si>
  <si>
    <t>C8CMN5; C8CMN6; C8CMN7; O35513; Q543L1; Q9JK94</t>
  </si>
  <si>
    <t>Pfk-m; Pfka</t>
  </si>
  <si>
    <t>MGI:97548</t>
  </si>
  <si>
    <t>Acetylation; Allosteric enzyme; Alternative splicing; ATP-binding; Cell projection; Cilium; Cytoplasm; Flagellum; Glycolysis; Glycoprotein; Hydroxylation; Kinase; Magnesium; Metal-binding; Nucleotide-binding; Phosphoprotein; Transferase</t>
  </si>
  <si>
    <t>Cell projection; Cilium; Cytoplasm; Flagellum</t>
  </si>
  <si>
    <t>Acetylation; Glycoprotein; Hydroxylation; Phosphoprotein</t>
  </si>
  <si>
    <t>canonical glycolysis {GO:0061621}; fructose 1,6-bisphosphate metabolic process {GO:0030388}; fructose 6-phosphate metabolic process {GO:0006002}; glucose homeostasis {GO:0042593}; glycogen catabolic process {GO:0005980}; glycolysis from storage polysaccharide through glucose-1-phosphate {GO:0093001}; glycolytic process {GO:0006096}; glycolytic process through fructose-6-phosphate {GO:0061615}; muscle cell cellular homeostasis {GO:0046716}; positive regulation of insulin secretion {GO:0032024}; positive regulation of transcription by RNA polymerase II {GO:0045944}</t>
  </si>
  <si>
    <t>6-phosphofructokinase complex {GO:0005945}; apical plasma membrane {GO:0016324}; cytosol {GO:0005829}; membrane {GO:0016020}; nucleus {GO:0005634}; sperm principal piece {GO:0097228}</t>
  </si>
  <si>
    <t>6-phosphofructokinase activity {GO:0003872}; AMP binding {GO:0016208}; ATP binding {GO:0005524}; carbohydrate binding {GO:0030246}; fructose binding {GO:0070061}; fructose-6-phosphate binding {GO:0070095}; identical protein binding {GO:0042802}; kinase binding {GO:0019900}; metal ion binding {GO:0046872}; monosaccharide binding {GO:0048029}; phosphofructokinase activity {GO:0008443}; protein C-terminus binding {GO:0008022}</t>
  </si>
  <si>
    <t>sp|Q9D2C2|SAAL1_MOUSE</t>
  </si>
  <si>
    <t>Protein SAAL1</t>
  </si>
  <si>
    <t>Synoviocyte proliferation-associated in collagen-induced arthritis protein 1 (SPACIA1)</t>
  </si>
  <si>
    <t>SAAL1_MOUSE</t>
  </si>
  <si>
    <t>Q9D2C2</t>
  </si>
  <si>
    <t>Q3UYS6; Q8R2L2</t>
  </si>
  <si>
    <t>MGI:1926185</t>
  </si>
  <si>
    <t>Alternative splicing; Nucleus; Phosphoprotein</t>
  </si>
  <si>
    <t>positive regulation of synoviocyte proliferation {GO:1901647}</t>
  </si>
  <si>
    <t>tr|F8VPK0|F8VPK0_MOUSE</t>
  </si>
  <si>
    <t>sp|O89050|MKLN1_MOUSE</t>
  </si>
  <si>
    <t>Muskelin</t>
  </si>
  <si>
    <t>MKLN1_MOUSE</t>
  </si>
  <si>
    <t>O89050</t>
  </si>
  <si>
    <t>MGI:1351638</t>
  </si>
  <si>
    <t>3D-structure; Acetylation; Cell projection; Cytoplasm; Kelch repeat; Nucleus; Repeat; Synapse</t>
  </si>
  <si>
    <t>actin cytoskeleton reorganization {GO:0031532}; cell-matrix adhesion {GO:0007160}; regulation of cell shape {GO:0008360}; regulation of receptor internalization {GO:0002090}</t>
  </si>
  <si>
    <t>anchoring junction {GO:0070161}; cell cortex {GO:0005938}; cytoplasm {GO:0005737}; cytosol {GO:0005829}; nucleoplasm {GO:0005654}; postsynapse {GO:0098794}; ruffle {GO:0001726}; ubiquitin ligase complex {GO:0000151}</t>
  </si>
  <si>
    <t>sp|Q9DCR2|AP3S1_MOUSE</t>
  </si>
  <si>
    <t>AP-3 complex subunit sigma-1</t>
  </si>
  <si>
    <t>AP-3 complex subunit sigma-3A; Adaptor-related protein complex 3 subunit sigma-1; Sigma-3A-adaptin (Sigma3A-adaptin); Sigma-adaptin 3a</t>
  </si>
  <si>
    <t>AP3S1_MOUSE</t>
  </si>
  <si>
    <t>Q9DCR2</t>
  </si>
  <si>
    <t>O88670</t>
  </si>
  <si>
    <t>MGI:1337062</t>
  </si>
  <si>
    <t>anterograde axonal transport {GO:0008089}; anterograde synaptic vesicle transport {GO:0048490}; clathrin-coated vesicle cargo loading, AP-3-mediated {GO:0035654}; Golgi to vacuole transport {GO:0006896}; intracellular protein transport {GO:0006886}; intracellular transport {GO:0046907}; melanosome assembly {GO:1903232}; platelet dense granule organization {GO:0060155}; synaptic vesicle coating {GO:0016183}; synaptic vesicle recycling {GO:0036465}; vesicle-mediated transport {GO:0016192}</t>
  </si>
  <si>
    <t>AP-3 adaptor complex {GO:0030123}; axon cytoplasm {GO:1904115}; cytoplasmic vesicle membrane {GO:0030659}; early endosome {GO:0005769}; intracellular membrane-bounded organelle {GO:0043231}; membrane {GO:0016020}; presynapse {GO:0098793}; trans-Golgi network {GO:0005802}</t>
  </si>
  <si>
    <t>sp|Q8VDC1|FYCO1_MOUSE</t>
  </si>
  <si>
    <t>FYVE and coiled-coil domain-containing protein 1</t>
  </si>
  <si>
    <t>FYCO1_MOUSE</t>
  </si>
  <si>
    <t>Q8VDC1</t>
  </si>
  <si>
    <t>Q3V385; Q7TMT0; Q8BJN2</t>
  </si>
  <si>
    <t>MGI:107277</t>
  </si>
  <si>
    <t>3D-structure; Acetylation; Coiled coil; Cytoplasmic vesicle; Endosome; Lysosome; Metal-binding; Phosphoprotein; Zinc; Zinc-finger</t>
  </si>
  <si>
    <t>Cytoplasmic vesicle; Endosome; Lysosome</t>
  </si>
  <si>
    <t>plus-end-directed vesicle transport along microtubule {GO:0072383}; positive regulation of autophagosome maturation {GO:1901098}</t>
  </si>
  <si>
    <t>autophagosome {GO:0005776}; Golgi apparatus {GO:0005794}; intracellular membrane-bounded organelle {GO:0043231}; late endosome {GO:0005770}; lysosome {GO:0005764}</t>
  </si>
  <si>
    <t>sp|Q9D0D5|T2EA_MOUSE</t>
  </si>
  <si>
    <t>General transcription factor IIE subunit 1</t>
  </si>
  <si>
    <t>General transcription factor IIE 56 kDa subunit; Transcription initiation factor IIE subunit alpha (TFIIE-alpha)</t>
  </si>
  <si>
    <t>T2EA_MOUSE</t>
  </si>
  <si>
    <t>Q9D0D5</t>
  </si>
  <si>
    <t>Q544T0</t>
  </si>
  <si>
    <t>MGI:1921447</t>
  </si>
  <si>
    <t>Acetylation; Metal-binding; Nucleus; Phosphoprotein; Transcription; Transcription regulation; Zinc; Zinc-finger</t>
  </si>
  <si>
    <t>transcription by RNA polymerase II {GO:0006366}; transcription open complex formation at RNA polymerase II promoter {GO:0001113}</t>
  </si>
  <si>
    <t>cytosol {GO:0005829}; nucleoplasm {GO:0005654}; nucleus {GO:0005634}; transcription factor TFIID complex {GO:0005669}; transcription factor TFIIE complex {GO:0005673}; transcription preinitiation complex {GO:0097550}</t>
  </si>
  <si>
    <t>metal ion binding {GO:0046872}; RNA polymerase II general transcription initiation factor activity {GO:0016251}</t>
  </si>
  <si>
    <t>RNA Polymerase II Pre-transcription Events {R-MMU-674695}; RNA polymerase II transcribes snRNA genes {R-MMU-6807505}; RNA Polymerase II Promoter Escape {R-MMU-73776}; RNA Polymerase II Transcription Pre-Initiation And Promoter Opening {R-MMU-73779}; RNA Polymerase II Transcription Initiation {R-MMU-75953}; RNA Polymerase II Transcription Initiation And Promoter Clearance {R-MMU-76042}</t>
  </si>
  <si>
    <t>sp|Q78JE5|FBX22_MOUSE</t>
  </si>
  <si>
    <t>F-box only protein 22</t>
  </si>
  <si>
    <t>FBX22_MOUSE</t>
  </si>
  <si>
    <t>Q78JE5</t>
  </si>
  <si>
    <t>Fbx22</t>
  </si>
  <si>
    <t>MGI:1926014</t>
  </si>
  <si>
    <t>Acetylation; Cytoplasm; Ubl conjugation pathway</t>
  </si>
  <si>
    <t>cellular response to starvation {GO:0009267}; nucleocytoplasmic transport {GO:0006913}; positive regulation of proteasomal ubiquitin-dependent protein catabolic process {GO:0032436}; positive regulation of ubiquitin-dependent protein catabolic process {GO:2000060}; proteasome-mediated ubiquitin-dependent protein catabolic process {GO:0043161}; protein polyubiquitination {GO:0000209}; regulation of myotube differentiation {GO:0010830}; regulation of skeletal muscle fiber development {GO:0048742}; ubiquitin-dependent protein catabolic process {GO:0006511}</t>
  </si>
  <si>
    <t>cytoplasm {GO:0005737}; nucleus {GO:0005634}; Z disc {GO:0030018}</t>
  </si>
  <si>
    <t>Neddylation {R-MMU-8951664}; Antigen processing: Ubiquitination &amp; Proteasome degradation {R-MMU-983168}</t>
  </si>
  <si>
    <t>sp|Q9D024|CCD47_MOUSE</t>
  </si>
  <si>
    <t>PAT complex subunit CCDC47</t>
  </si>
  <si>
    <t>Adipocyte-specific protein 4; Calumin; Coiled-coil domain-containing protein 47</t>
  </si>
  <si>
    <t>CCD47_MOUSE</t>
  </si>
  <si>
    <t>Q9D024</t>
  </si>
  <si>
    <t>B1AR94; Q3TSB5; Q3V1S7; Q8C5D9; Q920S6</t>
  </si>
  <si>
    <t>MGI:1914413</t>
  </si>
  <si>
    <t>Alternative splicing; Chaperone; Coiled coil; Endoplasmic reticulum; Glycoprotein; Membrane; Signal; Transmembrane; Transmembrane helix</t>
  </si>
  <si>
    <t>calcium ion homeostasis {GO:0055074}; endoplasmic reticulum calcium ion homeostasis {GO:0032469}; endoplasmic reticulum organization {GO:0007029}; ER overload response {GO:0006983}; ERAD pathway {GO:0036503}; post-embryonic development {GO:0009791}; protein insertion into ER membrane {GO:0045048}; ubiquitin-dependent ERAD pathway {GO:0030433}</t>
  </si>
  <si>
    <t>chaperone complex {GO:0101031}; endoplasmic reticulum {GO:0005783}; endoplasmic reticulum membrane {GO:0005789}; integral component of endoplasmic reticulum membrane {GO:0030176}; rough endoplasmic reticulum {GO:0005791}; rough endoplasmic reticulum membrane {GO:0030867}</t>
  </si>
  <si>
    <t>calcium ion binding {GO:0005509}; protein folding chaperone {GO:0044183}; ribosome binding {GO:0043022}</t>
  </si>
  <si>
    <t>tr|Q6NZR5|Q6NZR5_MOUSE</t>
  </si>
  <si>
    <t>sp|P54276|MSH6_MOUSE</t>
  </si>
  <si>
    <t>DNA mismatch repair protein Msh6</t>
  </si>
  <si>
    <t>G/T mismatch-binding protein (GTBP; GTMBP); MutS protein homolog 6; MutS-alpha 160 kDa subunit (p160)</t>
  </si>
  <si>
    <t>MSH6_MOUSE</t>
  </si>
  <si>
    <t>P54276</t>
  </si>
  <si>
    <t>O54710; Q6GTK8</t>
  </si>
  <si>
    <t>Gtmbp</t>
  </si>
  <si>
    <t>MGI:1343961</t>
  </si>
  <si>
    <t>Acetylation; ATP-binding; Chromosome; DNA damage; DNA repair; DNA-binding; Nucleotide-binding; Nucleus; Phosphoprotein</t>
  </si>
  <si>
    <t>determination of adult lifespan {GO:0008340}; DNA repair {GO:0006281}; intrinsic apoptotic signaling pathway {GO:0097193}; intrinsic apoptotic signaling pathway in response to DNA damage {GO:0008630}; isotype switching {GO:0045190}; mismatch repair {GO:0006298}; negative regulation of DNA recombination {GO:0045910}; positive regulation of helicase activity {GO:0051096}; response to UV {GO:0009411}; somatic hypermutation of immunoglobulin genes {GO:0016446}; somatic recombination of immunoglobulin gene segments {GO:0016447}; spermatogenesis {GO:0007283}</t>
  </si>
  <si>
    <t>chromatin {GO:0000785}; cytosol {GO:0005829}; Golgi apparatus {GO:0005794}; intracellular membrane-bounded organelle {GO:0043231}; MutSalpha complex {GO:0032301}; nucleoplasm {GO:0005654}; nucleus {GO:0005634}</t>
  </si>
  <si>
    <t>ADP binding {GO:0043531}; ATP binding {GO:0005524}; ATP-dependent activity, acting on DNA {GO:0008094}; ATP-dependent DNA damage sensor activity {GO:0140664}; chromatin binding {GO:0003682}; damaged DNA binding {GO:0003684}; DNA binding {GO:0003677}; double-stranded DNA binding {GO:0003690}; enzyme binding {GO:0019899}; four-way junction DNA binding {GO:0000400}; guanine/thymine mispair binding {GO:0032137}; magnesium ion binding {GO:0000287}; methylated histone binding {GO:0035064}; mismatched DNA binding {GO:0030983}; MutLalpha complex binding {GO:0032405}; oxidized purine DNA binding {GO:0032357}; single guanine insertion binding {GO:0032142}; single thymine insertion binding {GO:0032143}</t>
  </si>
  <si>
    <t>Mismatch repair (MMR) directed by MSH2:MSH6 (MutSalpha) {R-MMU-5358565}</t>
  </si>
  <si>
    <t>sp|Q91V12|BACH_MOUSE</t>
  </si>
  <si>
    <t>Cytosolic acyl coenzyme A thioester hydrolase</t>
  </si>
  <si>
    <t>Acyl-CoA thioesterase 7; Brain acyl-CoA hydrolase (BACH); CTE-IIa (CTE-II); Long chain acyl-CoA thioester hydrolase</t>
  </si>
  <si>
    <t>BACH_MOUSE</t>
  </si>
  <si>
    <t>Q91V12</t>
  </si>
  <si>
    <t>A2A8K9; A2A8L0; A2A8L2; Q3U8C6; Q59HQ2</t>
  </si>
  <si>
    <t>Bach</t>
  </si>
  <si>
    <t>MGI:1917275</t>
  </si>
  <si>
    <t>3D-structure; Acetylation; Alternative splicing; Cytoplasm; Fatty acid metabolism; Hydrolase; Lipid metabolism; Repeat; Serine esterase</t>
  </si>
  <si>
    <t>acyl-CoA metabolic process {GO:0006637}; coenzyme A biosynthetic process {GO:0015937}; fatty acid catabolic process {GO:0009062}; fatty acid metabolic process {GO:0006631}; long-chain fatty-acyl-CoA catabolic process {GO:0036116}; medium-chain fatty acid biosynthetic process {GO:0051792}; medium-chain fatty-acyl-CoA catabolic process {GO:0036114}; palmitic acid biosynthetic process {GO:1900535}</t>
  </si>
  <si>
    <t>cytoplasm {GO:0005737}; cytosol {GO:0005829}; mitochondrial matrix {GO:0005759}; neuron projection {GO:0043005}; neuronal cell body {GO:0043025}; nucleoplasm {GO:0005654}</t>
  </si>
  <si>
    <t>acyl-CoA hydrolase activity {GO:0047617}; carboxylic ester hydrolase activity {GO:0052689}; fatty-acyl-CoA binding {GO:0000062}; identical protein binding {GO:0042802}; long-chain fatty acyl-CoA binding {GO:0036042}; myristoyl-CoA hydrolase activity {GO:0102991}; palmitoyl-CoA hydrolase activity {GO:0016290}; protein homodimerization activity {GO:0042803}</t>
  </si>
  <si>
    <t>sp|P29391|FRIL1_MOUSE</t>
  </si>
  <si>
    <t>Ferritin light chain 1</t>
  </si>
  <si>
    <t>Ferritin L subunit 1</t>
  </si>
  <si>
    <t>FRIL1_MOUSE</t>
  </si>
  <si>
    <t>P29391</t>
  </si>
  <si>
    <t>Q8WUQ8</t>
  </si>
  <si>
    <t>Ftl; Ftl-1</t>
  </si>
  <si>
    <t>MGI:95589</t>
  </si>
  <si>
    <t>3D-structure; Iron; Iron storage; Metal-binding</t>
  </si>
  <si>
    <t>Iron storage</t>
  </si>
  <si>
    <t>intracellular sequestering of iron ion {GO:0006880}; iron ion transport {GO:0006826}</t>
  </si>
  <si>
    <t>autolysosome {GO:0044754}; cytoplasm {GO:0005737}; endocytic vesicle lumen {GO:0071682}; extracellular region {GO:0005576}; intracellular ferritin complex {GO:0008043}</t>
  </si>
  <si>
    <t>ferric iron binding {GO:0008199}; ferrous iron binding {GO:0008198}; identical protein binding {GO:0042802}; iron ion binding {GO:0005506}</t>
  </si>
  <si>
    <t>sp|O70152|DPM1_MOUSE</t>
  </si>
  <si>
    <t>Dolichol-phosphate mannosyltransferase subunit 1</t>
  </si>
  <si>
    <t>Dolichol-phosphate mannose synthase subunit 1 (DPM synthase subunit 1); Dolichyl-phosphate beta-D-mannosyltransferase subunit 1; Mannose-P-dolichol synthase subunit 1 (MPD synthase)</t>
  </si>
  <si>
    <t>DPM1_MOUSE</t>
  </si>
  <si>
    <t>O70152</t>
  </si>
  <si>
    <t>Q9D829</t>
  </si>
  <si>
    <t>MGI:1330239</t>
  </si>
  <si>
    <t>Acetylation; Endoplasmic reticulum; Glycosyltransferase; Phosphoprotein; Transferase</t>
  </si>
  <si>
    <t>dolichol metabolic process {GO:0019348}; GDP-mannose metabolic process {GO:0019673}; GPI anchor biosynthetic process {GO:0006506}; protein mannosylation {GO:0035268}; protein O-linked mannosylation {GO:0035269}</t>
  </si>
  <si>
    <t>dolichol-phosphate-mannose synthase complex {GO:0033185}; endoplasmic reticulum {GO:0005783}; endoplasmic reticulum membrane {GO:0005789}; intracellular membrane-bounded organelle {GO:0043231}; membrane {GO:0016020}</t>
  </si>
  <si>
    <t>alcohol binding {GO:0043178}; dolichyl-phosphate beta-D-mannosyltransferase activity {GO:0004582}; dolichyl-phosphate-mannose-protein mannosyltransferase activity {GO:0004169}; mannose binding {GO:0005537}</t>
  </si>
  <si>
    <t>Synthesis of dolichyl-phosphate mannose {R-MMU-162699}</t>
  </si>
  <si>
    <t>sp|Q3TIR3|RIC8A_MOUSE</t>
  </si>
  <si>
    <t>Synembryn-A</t>
  </si>
  <si>
    <t>Protein Ric-8A</t>
  </si>
  <si>
    <t>RIC8A_MOUSE</t>
  </si>
  <si>
    <t>Q3TIR3</t>
  </si>
  <si>
    <t>Q3TEY3; Q99JW0; Q9ERR6</t>
  </si>
  <si>
    <t>Ric8</t>
  </si>
  <si>
    <t>MGI:2141866</t>
  </si>
  <si>
    <t>Cell membrane; Cytoplasm; Guanine-nucleotide releasing factor; Membrane; Phosphoprotein</t>
  </si>
  <si>
    <t>adenylate cyclase-inhibiting G protein-coupled receptor signaling pathway {GO:0007193}; basement membrane organization {GO:0071711}; cell migration involved in gastrulation {GO:0042074}; cell-cell adhesion involved in gastrulation {GO:0070586}; G protein-coupled receptor signaling pathway {GO:0007186}; gastrulation {GO:0007369}; in utero embryonic development {GO:0001701}; regulation of G protein-coupled receptor signaling pathway {GO:0008277}; response to light stimulus {GO:0009416}; vasculature development {GO:0001944}; visual learning {GO:0008542}</t>
  </si>
  <si>
    <t>cytoplasm {GO:0005737}; cytosol {GO:0005829}; membrane {GO:0016020}; plasma membrane {GO:0005886}</t>
  </si>
  <si>
    <t>G-protein alpha-subunit binding {GO:0001965}; GTPase activator activity {GO:0005096}; guanyl-nucleotide exchange factor activity {GO:0005085}</t>
  </si>
  <si>
    <t>sp|Q9DB29|IAH1_MOUSE</t>
  </si>
  <si>
    <t>Isoamyl acetate-hydrolyzing esterase 1 homolog</t>
  </si>
  <si>
    <t>IAH1_MOUSE</t>
  </si>
  <si>
    <t>Q9DB29</t>
  </si>
  <si>
    <t>MGI:1914982</t>
  </si>
  <si>
    <t>Hydrolase; Lipid degradation; Lipid metabolism</t>
  </si>
  <si>
    <t>lipid catabolic process {GO:0016042}</t>
  </si>
  <si>
    <t>hydrolase activity {GO:0016787}; identical protein binding {GO:0042802}</t>
  </si>
  <si>
    <t>sp|Q8C6E0|CFA36_MOUSE</t>
  </si>
  <si>
    <t>Cilia- and flagella-associated protein 36</t>
  </si>
  <si>
    <t>Coiled-coil domain-containing protein 104</t>
  </si>
  <si>
    <t>CFA36_MOUSE</t>
  </si>
  <si>
    <t>Q8C6E0</t>
  </si>
  <si>
    <t>Q9CWQ4</t>
  </si>
  <si>
    <t>MGI:1913994</t>
  </si>
  <si>
    <t>3D-structure; Cell projection; Cilium; Coiled coil; Cytoplasm; Flagellum; Nucleus; Phosphoprotein</t>
  </si>
  <si>
    <t>Cell projection; Cilium; Cytoplasm; Flagellum; Nucleus</t>
  </si>
  <si>
    <t>axoneme {GO:0005930}; ciliary base {GO:0097546}; ciliary transition zone {GO:0035869}; motile cilium {GO:0031514}; nucleus {GO:0005634}</t>
  </si>
  <si>
    <t>sp|Q9JHK4|PGTA_MOUSE</t>
  </si>
  <si>
    <t>Geranylgeranyl transferase type-2 subunit alpha</t>
  </si>
  <si>
    <t>Geranylgeranyl transferase type II subunit alpha; Rab geranyl-geranyltransferase subunit alpha (Rab GG transferase alpha; Rab GGTase alpha); Rab geranylgeranyltransferase subunit alpha</t>
  </si>
  <si>
    <t>PGTA_MOUSE</t>
  </si>
  <si>
    <t>Q9JHK4</t>
  </si>
  <si>
    <t>Q9JLX2</t>
  </si>
  <si>
    <t>MGI:1860443</t>
  </si>
  <si>
    <t>Alternative splicing; Leucine-rich repeat; Phosphoprotein; Prenyltransferase; Repeat; Transferase</t>
  </si>
  <si>
    <t>protein geranylgeranylation {GO:0018344}</t>
  </si>
  <si>
    <t>cytoplasm {GO:0005737}; Rab-protein geranylgeranyltransferase complex {GO:0005968}</t>
  </si>
  <si>
    <t>Rab geranylgeranyltransferase activity {GO:0004663}; small GTPase binding {GO:0031267}; zinc ion binding {GO:0008270}</t>
  </si>
  <si>
    <t>TP53 regulates transcription of several additional cell death genes whose specific roles in p53-dependent apoptosis remain uncertain {R-MMU-6803205}; RAB geranylgeranylation {R-MMU-8873719}</t>
  </si>
  <si>
    <t>sp|P61750|ARF4_MOUSE</t>
  </si>
  <si>
    <t>ADP-ribosylation factor 4</t>
  </si>
  <si>
    <t>ARF4_MOUSE</t>
  </si>
  <si>
    <t>P61750</t>
  </si>
  <si>
    <t>P36403; Q3TGC2; Q9CXX3</t>
  </si>
  <si>
    <t>MGI:99433</t>
  </si>
  <si>
    <t>ER-Golgi transport; Golgi apparatus; GTP-binding; Lipoprotein; Membrane; Myristate; Nucleotide-binding; Phosphoprotein; Protein transport; Transport</t>
  </si>
  <si>
    <t>activation of phospholipase D activity {GO:0031584}; apical protein localization {GO:0045176}; cell migration {GO:0016477}; dendritic spine development {GO:0060996}; epidermal growth factor receptor signaling pathway {GO:0007173}; establishment or maintenance of epithelial cell apical/basal polarity {GO:0045197}; intracellular protein transport {GO:0006886}; learning {GO:0007612}; negative regulation of apoptotic process {GO:0043066}; positive regulation of transcription by RNA polymerase II {GO:0045944}; protein ADP-ribosylation {GO:0006471}; protein localization to cilium {GO:0061512}; regulation of postsynapse organization {GO:0099175}; regulation of reactive oxygen species metabolic process {GO:2000377}; regulation of synapse organization {GO:0050807}; retrograde vesicle-mediated transport, Golgi to endoplasmic reticulum {GO:0006890}; vesicle-mediated transport {GO:0016192}</t>
  </si>
  <si>
    <t>cytoplasm {GO:0005737}; cytosol {GO:0005829}; dendritic spine {GO:0043197}; glutamatergic synapse {GO:0098978}; Golgi apparatus {GO:0005794}; plasma membrane {GO:0005886}; ruffle membrane {GO:0032587}</t>
  </si>
  <si>
    <t>epidermal growth factor receptor binding {GO:0005154}; GTP binding {GO:0005525}; GTPase activity {GO:0003924}</t>
  </si>
  <si>
    <t>VxPx cargo-targeting to cilium {R-MMU-5620916}; COPI-mediated anterograde transport {R-MMU-6807878}; COPI-dependent Golgi-to-ER retrograde traffic {R-MMU-6811434}</t>
  </si>
  <si>
    <t>sp|Q9WTX8|MD1L1_MOUSE</t>
  </si>
  <si>
    <t>Mitotic spindle assembly checkpoint protein MAD1</t>
  </si>
  <si>
    <t>Mitotic arrest deficient 1-like protein 1 (MAD1-like protein 1)</t>
  </si>
  <si>
    <t>MD1L1_MOUSE</t>
  </si>
  <si>
    <t>Q9WTX8</t>
  </si>
  <si>
    <t>Q9WTX9</t>
  </si>
  <si>
    <t>Mad1</t>
  </si>
  <si>
    <t>MGI:1341857</t>
  </si>
  <si>
    <t>Acetylation; Alternative splicing; Cell cycle; Cell division; Centromere; Chromosome; Coiled coil; Cytoplasm; Cytoskeleton; Isopeptide bond; Kinetochore; Mitosis; Nucleus; Phosphoprotein; Ubl conjugation</t>
  </si>
  <si>
    <t>attachment of mitotic spindle microtubules to kinetochore {GO:0051315}; cell division {GO:0051301}; cytoplasmic sequestering of protein {GO:0051220}; deactivation of mitotic spindle assembly checkpoint {GO:1902426}; mitotic spindle assembly checkpoint signaling {GO:0007094}; negative regulation of T cell proliferation {GO:0042130}; positive regulation of mitotic cell cycle spindle assembly checkpoint {GO:0090267}; regulation of metaphase plate congression {GO:0090235}; regulation of mitotic cell cycle phase transition {GO:1901990}; thymus development {GO:0048538}</t>
  </si>
  <si>
    <t>cytoplasm {GO:0005737}; kinetochore {GO:0000776}; MAD1 complex {GO:1990706}; microtubule organizing center {GO:0005815}; mitotic spindle {GO:0072686}; mitotic spindle assembly checkpoint MAD1-MAD2 complex {GO:1990728}; mitotic spindle pole {GO:0097431}; nuclear envelope {GO:0005635}; nuclear pore nuclear basket {GO:0044615}; nucleus {GO:0005634}; spindle pole {GO:0000922}</t>
  </si>
  <si>
    <t>identical protein binding {GO:0042802}; kinetochore binding {GO:0043515}</t>
  </si>
  <si>
    <t>sp|Q8BRN9|C2D1B_MOUSE</t>
  </si>
  <si>
    <t>Coiled-coil and C2 domain-containing protein 1B</t>
  </si>
  <si>
    <t>Five prime repressor element under dual repression-binding protein 2 (FRE under dual repression-binding protein 2; Freud-2)</t>
  </si>
  <si>
    <t>C2D1B_MOUSE</t>
  </si>
  <si>
    <t>Q8BRN9</t>
  </si>
  <si>
    <t>B2RQ40; Q3UJ60; Q69Z95</t>
  </si>
  <si>
    <t>Kiaa1836</t>
  </si>
  <si>
    <t>MGI:2443076</t>
  </si>
  <si>
    <t>Coiled coil; Nucleus; Phosphoprotein; Transcription; Transcription regulation</t>
  </si>
  <si>
    <t>negative regulation of transcription by RNA polymerase II {GO:0000122}; regulation of transcription by RNA polymerase II {GO:0006357}</t>
  </si>
  <si>
    <t>intracellular membrane-bounded organelle {GO:0043231}; nucleoplasm {GO:0005654}; nucleus {GO:0005634}</t>
  </si>
  <si>
    <t>DNA-binding transcription factor activity, RNA polymerase II-specific {GO:0000981}; DNA-binding transcription repressor activity, RNA polymerase II-specific {GO:0001227}; RNA polymerase II cis-regulatory region sequence-specific DNA binding {GO:0000978}</t>
  </si>
  <si>
    <t>Sealing of the nuclear envelope (NE) by ESCRT-III {R-MMU-9668328}</t>
  </si>
  <si>
    <t>sp|O88967|YMEL1_MOUSE</t>
  </si>
  <si>
    <t>ATP-dependent zinc metalloprotease YME1L1</t>
  </si>
  <si>
    <t>ATP-dependent metalloprotease FtsH1; YME1-like protein 1</t>
  </si>
  <si>
    <t>YMEL1_MOUSE</t>
  </si>
  <si>
    <t>O88967</t>
  </si>
  <si>
    <t>Q7TNN5</t>
  </si>
  <si>
    <t>MGI:1351651</t>
  </si>
  <si>
    <t>ATP-binding; Hydrolase; Membrane; Metal-binding; Metalloprotease; Mitochondrion; Mitochondrion inner membrane; Nucleotide-binding; Protease; Transmembrane; Transmembrane helix; Zinc</t>
  </si>
  <si>
    <t>cell population proliferation {GO:0008283}; mitochondrial protein catabolic process {GO:0035694}; mitochondrial protein processing {GO:0034982}; mitochondrion organization {GO:0007005}; negative regulation of apoptotic process {GO:0043066}; protein hexamerization {GO:0034214}; protein quality control for misfolded or incompletely synthesized proteins {GO:0006515}; proteolysis {GO:0006508}</t>
  </si>
  <si>
    <t>integral component of membrane {GO:0016021}; mitochondrial inner membrane {GO:0005743}; mitochondrion {GO:0005739}; nuclear body {GO:0016604}</t>
  </si>
  <si>
    <t>ATP binding {GO:0005524}; ATP hydrolysis activity {GO:0016887}; ATP-dependent peptidase activity {GO:0004176}; metal ion binding {GO:0046872}; metalloendopeptidase activity {GO:0004222}</t>
  </si>
  <si>
    <t>sp|Q9DD18|DTD1_MOUSE</t>
  </si>
  <si>
    <t>D-aminoacyl-tRNA deacylase 1 (DTD)</t>
  </si>
  <si>
    <t>DNA-unwinding element-binding protein B (DUE-B); Gly-tRNA(Ala) deacylase</t>
  </si>
  <si>
    <t>DTD1_MOUSE</t>
  </si>
  <si>
    <t>Q9DD18</t>
  </si>
  <si>
    <t>A2ANA2; Q3TY44; Q9CRE8; Q9CYL0; Q9D013; Q9D1G4</t>
  </si>
  <si>
    <t>Hars2</t>
  </si>
  <si>
    <t>MGI:1913294</t>
  </si>
  <si>
    <t>Alternative splicing; Cytoplasm; DNA replication; DNA-binding; Hydrolase; Metal-binding; Nucleus; Phosphoprotein; RNA-binding; tRNA-binding</t>
  </si>
  <si>
    <t>DNA replication</t>
  </si>
  <si>
    <t>DNA-binding; Hydrolase; RNA-binding; tRNA-binding</t>
  </si>
  <si>
    <t>DNA replication {GO:0006260}; tRNA metabolic process {GO:0006399}</t>
  </si>
  <si>
    <t>D-tyrosyl-tRNA(Tyr) deacylase activity {GO:0051500}; DNA binding {GO:0003677}; metal ion binding {GO:0046872}; tRNA binding {GO:0000049}</t>
  </si>
  <si>
    <t>sp|Q9JJ28|FLII_MOUSE</t>
  </si>
  <si>
    <t>Protein flightless-1 homolog</t>
  </si>
  <si>
    <t>FLII_MOUSE</t>
  </si>
  <si>
    <t>Q9JJ28</t>
  </si>
  <si>
    <t>Q8K095; Q8VI44</t>
  </si>
  <si>
    <t>Fli1; Fliih</t>
  </si>
  <si>
    <t>MGI:1342286</t>
  </si>
  <si>
    <t>Acetylation; Actin-binding; Activator; Cell junction; Cytoplasm; Cytoskeleton; Developmental protein; Leucine-rich repeat; Nucleus; Phosphoprotein; Repeat; Transcription; Transcription regulation</t>
  </si>
  <si>
    <t>Actin-binding; Activator; Developmental protein</t>
  </si>
  <si>
    <t>actin cytoskeleton organization {GO:0030036}; actin filament severing {GO:0051014}; actin polymerization or depolymerization {GO:0008154}; barbed-end actin filament capping {GO:0051016}; myofibril assembly {GO:0030239}</t>
  </si>
  <si>
    <t>actin cytoskeleton {GO:0015629}; brush border {GO:0005903}; centriolar satellite {GO:0034451}; cytoplasm {GO:0005737}; cytosol {GO:0005829}; focal adhesion {GO:0005925}; nucleoplasm {GO:0005654}; nucleus {GO:0005634}</t>
  </si>
  <si>
    <t>actin binding {GO:0003779}; actin filament binding {GO:0051015}; phosphatidylinositol-4,5-bisphosphate binding {GO:0005546}</t>
  </si>
  <si>
    <t>sp|P27641|XRCC5_MOUSE</t>
  </si>
  <si>
    <t>X-ray repair cross-complementing protein 5</t>
  </si>
  <si>
    <t>ATP-dependent DNA helicase 2 subunit 2; ATP-dependent DNA helicase II 80 kDa subunit; CTC box-binding factor 85 kDa subunit (CTC85; CTCBF); DNA repair protein XRCC5; Ku autoantigen protein p86 homolog; Ku80; Nuclear factor IV</t>
  </si>
  <si>
    <t>XRCC5_MOUSE</t>
  </si>
  <si>
    <t>P27641</t>
  </si>
  <si>
    <t>Q3TE46; Q3TJT0; Q3TN82; Q80UT1; Q8C4N6; Q8K1K7; Q9R169</t>
  </si>
  <si>
    <t>G22p2</t>
  </si>
  <si>
    <t>MGI:104517</t>
  </si>
  <si>
    <t>Acetylation; Activator; ADP-ribosylation; ATP-binding; Chromosome; DNA damage; DNA recombination; DNA repair; DNA-binding; Helicase; Hydrolase; Immunity; Innate immunity; Isopeptide bond; Nucleotide-binding; Nucleus; Phosphoprotein; Ribosome biogenesis; Transcription; Transcription regulation; Ubl conjugation</t>
  </si>
  <si>
    <t>DNA damage; DNA recombination; DNA repair; Immunity; Innate immunity; Ribosome biogenesis; Transcription; Transcription regulation</t>
  </si>
  <si>
    <t>Activator; DNA-binding; Helicase; Hydrolase</t>
  </si>
  <si>
    <t>activation of innate immune response {GO:0002218}; brain development {GO:0007420}; cellular hyperosmotic salinity response {GO:0071475}; cellular response to DNA damage stimulus {GO:0006974}; cellular response to fatty acid {GO:0071398}; cellular response to gamma radiation {GO:0071480}; cellular response to leukemia inhibitory factor {GO:1990830}; cellular response to X-ray {GO:0071481}; double-strand break repair {GO:0006302}; double-strand break repair via nonhomologous end joining {GO:0006303}; hematopoietic stem cell differentiation {GO:0060218}; hematopoietic stem cell proliferation {GO:0071425}; innate immune response {GO:0045087}; negative regulation of DNA-templated transcription {GO:0045892}; negative regulation of t-circle formation {GO:1904430}; neurogenesis {GO:0022008}; positive regulation of neurogenesis {GO:0050769}; positive regulation of protein kinase activity {GO:0045860}; positive regulation of telomere maintenance via telomerase {GO:0032212}; recombinational repair {GO:0000725}; regulation of smooth muscle cell proliferation {GO:0048660}; response to xenobiotic stimulus {GO:0009410}; small-subunit processome assembly {GO:0034462}; telomere maintenance {GO:0000723}</t>
  </si>
  <si>
    <t>chromosome, telomeric region {GO:0000781}; cytoplasm {GO:0005737}; DNA-dependent protein kinase complex {GO:0070418}; Ku70:Ku80 complex {GO:0043564}; nonhomologous end joining complex {GO:0070419}; nucleolus {GO:0005730}; nucleoplasm {GO:0005654}; nucleus {GO:0005634}; plasma membrane {GO:0005886}; protein-containing complex {GO:0032991}; protein-DNA complex {GO:0032993}; ribonucleoprotein complex {GO:1990904}; site of DNA damage {GO:0090734}; small-subunit processome {GO:0032040}</t>
  </si>
  <si>
    <t>5'-deoxyribose-5-phosphate lyase activity {GO:0051575}; ATP binding {GO:0005524}; ATP-dependent activity, acting on DNA {GO:0008094}; damaged DNA binding {GO:0003684}; DNA end binding {GO:0045027}; DNA helicase activity {GO:0003678}; double-stranded DNA binding {GO:0003690}; double-stranded telomeric DNA binding {GO:0003691}; hydrolase activity {GO:0016787}; protein C-terminus binding {GO:0008022}; protein-containing complex binding {GO:0044877}; RNA binding {GO:0003723}; telomeric DNA binding {GO:0042162}; transcription cis-regulatory region binding {GO:0000976}; U3 snoRNA binding {GO:0034511}; ubiquitin protein ligase binding {GO:0031625}</t>
  </si>
  <si>
    <t>Nonhomologous End-Joining (NHEJ) {R-MMU-5693571}; Neutrophil degranulation {R-MMU-6798695}</t>
  </si>
  <si>
    <t>sp|P57716|NICA_MOUSE</t>
  </si>
  <si>
    <t>Nicastrin</t>
  </si>
  <si>
    <t>NICA_MOUSE</t>
  </si>
  <si>
    <t>P57716</t>
  </si>
  <si>
    <t>E9QLZ6; Q8VE20</t>
  </si>
  <si>
    <t>MGI:1891700</t>
  </si>
  <si>
    <t>Cytoplasmic vesicle; Disulfide bond; Glycoprotein; Membrane; Notch signaling pathway; Signal; Transmembrane; Transmembrane helix</t>
  </si>
  <si>
    <t>adult behavior {GO:0030534}; amyloid precursor protein biosynthetic process {GO:0042983}; amyloid precursor protein catabolic process {GO:0042987}; amyloid precursor protein metabolic process {GO:0042982}; amyloid-beta formation {GO:0034205}; amyloid-beta metabolic process {GO:0050435}; cellular response to calcium ion {GO:0071277}; central nervous system myelination {GO:0022010}; cerebellum development {GO:0021549}; dopamine receptor signaling pathway {GO:0007212}; epithelial cell proliferation {GO:0050673}; glutamate receptor signaling pathway {GO:0007215}; learning or memory {GO:0007611}; membrane protein ectodomain proteolysis {GO:0006509}; membrane protein intracellular domain proteolysis {GO:0031293}; myeloid cell homeostasis {GO:0002262}; neuron apoptotic process {GO:0051402}; neuron death {GO:0070997}; Notch receptor processing {GO:0007220}; Notch signaling pathway {GO:0007219}; positive regulation of amyloid precursor protein biosynthetic process {GO:0042986}; positive regulation of catalytic activity {GO:0043085}; positive regulation of endopeptidase activity {GO:0010950}; protein processing {GO:0016485}; regulation of long-term synaptic potentiation {GO:1900271}; short-term synaptic potentiation {GO:1990926}; T cell proliferation {GO:0042098}</t>
  </si>
  <si>
    <t>cytoplasm {GO:0005737}; cytoplasmic vesicle membrane {GO:0030659}; early endosome {GO:0005769}; endoplasmic reticulum {GO:0005783}; endoplasmic reticulum membrane {GO:0005789}; gamma-secretase complex {GO:0070765}; Golgi apparatus {GO:0005794}; Golgi membrane {GO:0000139}; integral component of membrane {GO:0016021}; integral component of plasma membrane {GO:0005887}; integral component of presynaptic membrane {GO:0099056}; lysosomal membrane {GO:0005765}; lysosome {GO:0005764}; melanosome {GO:0042470}; membrane {GO:0016020}; mitochondrion {GO:0005739}; plasma membrane {GO:0005886}; protein-containing complex {GO:0032991}; sarcolemma {GO:0042383}; synapse {GO:0045202}; synaptic membrane {GO:0097060}; synaptic vesicle {GO:0008021}</t>
  </si>
  <si>
    <t>aspartic endopeptidase activity, intramembrane cleaving {GO:0042500}; ATPase binding {GO:0051117}; endopeptidase activity {GO:0004175}; growth factor receptor binding {GO:0070851}; peptidase activity {GO:0008233}; protein-macromolecule adaptor activity {GO:0030674}</t>
  </si>
  <si>
    <t>Nuclear signaling by ERBB4 {R-MMU-1251985}; Regulated proteolysis of p75NTR {R-MMU-193692}; NRIF signals cell death from the nucleus {R-MMU-205043}; EPH-ephrin mediated repulsion of cells {R-MMU-3928665}; Neutrophil degranulation {R-MMU-6798695}; NOTCH3 Activation and Transmission of Signal to the Nucleus {R-MMU-9013507}; Noncanonical activation of NOTCH3 {R-MMU-9017802}</t>
  </si>
  <si>
    <t>sp|Q9Z2G6|SE1L1_MOUSE</t>
  </si>
  <si>
    <t>Protein sel-1 homolog 1</t>
  </si>
  <si>
    <t>Suppressor of lin-12-like protein 1 (Sel-1L)</t>
  </si>
  <si>
    <t>SE1L1_MOUSE</t>
  </si>
  <si>
    <t>Q9Z2G6</t>
  </si>
  <si>
    <t>Q9DBD8</t>
  </si>
  <si>
    <t>Sel1h</t>
  </si>
  <si>
    <t>MGI:1329016</t>
  </si>
  <si>
    <t>3D-structure; Alternative splicing; Disulfide bond; Endoplasmic reticulum; Glycoprotein; Membrane; Notch signaling pathway; Phosphoprotein; Repeat; Signal; Transmembrane; Transmembrane helix</t>
  </si>
  <si>
    <t>ERAD pathway {GO:0036503}; Notch signaling pathway {GO:0007219}; protein secretion {GO:0009306}; response to endoplasmic reticulum stress {GO:0034976}; retrograde protein transport, ER to cytosol {GO:0030970}; triglyceride metabolic process {GO:0006641}</t>
  </si>
  <si>
    <t>Derlin-1 retrotranslocation complex {GO:0036513}; endoplasmic reticulum {GO:0005783}; endoplasmic reticulum membrane {GO:0005789}; Hrd1p ubiquitin ligase ERAD-L complex {GO:0000839}; integral component of membrane {GO:0016021}</t>
  </si>
  <si>
    <t>ABC-family proteins mediated transport {R-MMU-382556}; Hedgehog ligand biogenesis {R-MMU-5358346}</t>
  </si>
  <si>
    <t>sp|Q9JMG7|HDGR3_MOUSE</t>
  </si>
  <si>
    <t>Hepatoma-derived growth factor-related protein 3 (HRP-3)</t>
  </si>
  <si>
    <t>HDGR3_MOUSE</t>
  </si>
  <si>
    <t>Q9JMG7</t>
  </si>
  <si>
    <t>Q3TRX2; Q8BQ69; Q8BR62; Q9D2M7</t>
  </si>
  <si>
    <t>Hdgfrp3</t>
  </si>
  <si>
    <t>MGI:1352760</t>
  </si>
  <si>
    <t>3D-structure; Alternative splicing; Growth factor; Nucleus; Phosphoprotein</t>
  </si>
  <si>
    <t>microtubule polymerization {GO:0046785}; negative regulation of microtubule depolymerization {GO:0007026}; neuron projection development {GO:0031175}; regulation of transcription by RNA polymerase II {GO:0006357}</t>
  </si>
  <si>
    <t>chromatin binding {GO:0003682}; double-stranded DNA binding {GO:0003690}; growth factor activity {GO:0008083}; microtubule binding {GO:0008017}; transcription coregulator activity {GO:0003712}; tubulin binding {GO:0015631}</t>
  </si>
  <si>
    <t>sp|P06797|CATL1_MOUSE</t>
  </si>
  <si>
    <t>Cathepsin L light chain</t>
  </si>
  <si>
    <t>Cathepsin L1; Major excreted protein (MEP); p39 cysteine proteinase</t>
  </si>
  <si>
    <t>CATL1_MOUSE</t>
  </si>
  <si>
    <t>P06797</t>
  </si>
  <si>
    <t>Q91UZ0</t>
  </si>
  <si>
    <t>Ctsl1</t>
  </si>
  <si>
    <t>MGI:88564</t>
  </si>
  <si>
    <t>Cell membrane; Cytoplasmic vesicle; Disulfide bond; Glycoprotein; Hydrolase; Lysosome; Membrane; Protease; Secreted; Signal; Thiol protease; Zymogen</t>
  </si>
  <si>
    <t>Cell membrane; Cytoplasmic vesicle; Lysosome; Membrane; Secreted</t>
  </si>
  <si>
    <t>antigen processing and presentation of peptide antigen {GO:0048002}; autophagic cell death {GO:0048102}; CD4-positive, alpha-beta T cell lineage commitment {GO:0043373}; cell communication {GO:0007154}; cellular response to starvation {GO:0009267}; collagen catabolic process {GO:0030574}; decidualization {GO:0046697}; elastin catabolic process {GO:0060309}; enkephalin processing {GO:0034230}; hair follicle morphogenesis {GO:0031069}; immune response {GO:0006955}; keratinocyte proliferation {GO:0043616}; male gonad development {GO:0008584}; multicellular organism aging {GO:0010259}; negative regulation of keratinocyte proliferation {GO:0010839}; nerve development {GO:0021675}; protein catabolic process {GO:0030163}; proteolysis {GO:0006508}; proteolysis involved in protein catabolic process {GO:0051603}; response to glucocorticoid {GO:0051384}; response to glucose {GO:0009749}; response to gonadotropin {GO:0034698}; response to organic cyclic compound {GO:0014070}; Sertoli cell differentiation {GO:0060008}; spermatogenesis {GO:0007283}; thyroid hormone generation {GO:0006590}; zymogen activation {GO:0031638}</t>
  </si>
  <si>
    <t>apical part of cell {GO:0045177}; apical plasma membrane {GO:0016324}; chromaffin granule {GO:0042583}; collagen-containing extracellular matrix {GO:0062023}; cytoplasm {GO:0005737}; cytoplasmic vesicle {GO:0031410}; external side of plasma membrane {GO:0009897}; extracellular space {GO:0005615}; Golgi apparatus {GO:0005794}; intracellular membrane-bounded organelle {GO:0043231}; lysosome {GO:0005764}; microvillus {GO:0005902}; multivesicular body {GO:0005771}; neuron projection {GO:0043005}; nucleolus {GO:0005730}; nucleus {GO:0005634}; perikaryon {GO:0043204}; plasma membrane {GO:0005886}; secretory granule {GO:0030141}; vacuole {GO:0005773}</t>
  </si>
  <si>
    <t>aminopeptidase activity {GO:0004177}; collagen binding {GO:0005518}; cysteine-type carboxypeptidase activity {GO:0016807}; cysteine-type endopeptidase activity {GO:0004197}; cysteine-type peptidase activity {GO:0008234}; endopeptidase activity {GO:0004175}; fibronectin binding {GO:0001968}; histone binding {GO:0042393}; kininogen binding {GO:0030984}; peptide binding {GO:0042277}; protein-containing complex binding {GO:0044877}; proteoglycan binding {GO:0043394}; serpin family protein binding {GO:0097655}</t>
  </si>
  <si>
    <t>Collagen degradation {R-MMU-1442490}; Trafficking and processing of endosomal TLR {R-MMU-1679131}; Assembly of collagen fibrils and other multimeric structures {R-MMU-2022090}; MHC class II antigen presentation {R-MMU-2132295}; RUNX1 regulates transcription of genes involved in differentiation of keratinocytes {R-MMU-8939242}</t>
  </si>
  <si>
    <t>sp|O09106|HDAC1_MOUSE</t>
  </si>
  <si>
    <t>Histone deacetylase 1 (HD1)</t>
  </si>
  <si>
    <t>Protein deacetylase HDAC1; Protein decrotonylase HDAC1</t>
  </si>
  <si>
    <t>HDAC1_MOUSE</t>
  </si>
  <si>
    <t>O09106</t>
  </si>
  <si>
    <t>P97476</t>
  </si>
  <si>
    <t>MGI:108086</t>
  </si>
  <si>
    <t>Acetylation; Biological rhythms; Chromatin regulator; Hydrolase; Isopeptide bond; Methylation; Nucleus; Phosphoprotein; Repressor; S-nitrosylation; Transcription; Transcription regulation; Ubl conjugation</t>
  </si>
  <si>
    <t>Chromatin regulator; Hydrolase; Repressor</t>
  </si>
  <si>
    <t>Acetylation; Isopeptide bond; Methylation; Phosphoprotein; S-nitrosylation; Ubl conjugation</t>
  </si>
  <si>
    <t>chromatin organization {GO:0006325}; chromatin remodeling {GO:0006338}; circadian regulation of gene expression {GO:0032922}; circadian rhythm {GO:0007623}; DNA methylation-dependent heterochromatin assembly {GO:0006346}; embryonic digit morphogenesis {GO:0042733}; endoderm development {GO:0007492}; epidermal cell differentiation {GO:0009913}; eyelid development in camera-type eye {GO:0061029}; fungiform papilla formation {GO:0061198}; hair follicle placode formation {GO:0060789}; hippocampus development {GO:0021766}; histone deacetylation {GO:0016575}; histone H3 deacetylation {GO:0070932}; histone H4 deacetylation {GO:0070933}; negative regulation by host of viral transcription {GO:0043922}; negative regulation of androgen receptor signaling pathway {GO:0060766}; negative regulation of apoptotic process {GO:0043066}; negative regulation of canonical Wnt signaling pathway {GO:0090090}; negative regulation of cell migration {GO:0030336}; negative regulation of DNA-templated transcription {GO:0045892}; negative regulation of gene expression {GO:0010629}; negative regulation of I-kappaB kinase/NF-kappaB signaling {GO:0043124}; negative regulation of intrinsic apoptotic signaling pathway {GO:2001243}; negative regulation of stem cell population maintenance {GO:1902455}; negative regulation of transcription by RNA polymerase II {GO:0000122}; negative regulation of transforming growth factor beta receptor signaling pathway {GO:0030512}; neuron differentiation {GO:0030182}; odontogenesis of dentin-containing tooth {GO:0042475}; oligodendrocyte differentiation {GO:0048709}; positive regulation of cell population proliferation {GO:0008284}; positive regulation of DNA-templated transcription {GO:0045893}; positive regulation of oligodendrocyte differentiation {GO:0048714}; positive regulation of signaling receptor activity {GO:2000273}; positive regulation of stem cell population maintenance {GO:1902459}; positive regulation of transcription by RNA polymerase II {GO:0045944}; protein deacetylation {GO:0006476}; regulation of cell fate specification {GO:0042659}; regulation of endopeptidase activity {GO:0052548}; regulation of stem cell differentiation {GO:2000736}; regulation of transcription by RNA polymerase II {GO:0006357}</t>
  </si>
  <si>
    <t>chromatin {GO:0000785}; cytoplasm {GO:0005737}; cytosol {GO:0005829}; heterochromatin {GO:0000792}; histone deacetylase complex {GO:0000118}; neuron projection {GO:0043005}; neuronal cell body {GO:0043025}; nucleoplasm {GO:0005654}; nucleus {GO:0005634}; NuRD complex {GO:0016581}; perinuclear region of cytoplasm {GO:0048471}; protein-containing complex {GO:0032991}; Sin3 complex {GO:0016580}; transcription regulator complex {GO:0005667}; transcription repressor complex {GO:0017053}</t>
  </si>
  <si>
    <t>chromatin binding {GO:0003682}; core promoter sequence-specific DNA binding {GO:0001046}; deacetylase activity {GO:0019213}; DNA binding {GO:0003677}; DNA-binding transcription factor binding {GO:0140297}; E-box binding {GO:0070888}; enzyme binding {GO:0019899}; histone deacetylase activity {GO:0004407}; histone deacetylase binding {GO:0042826}; histone decrotonylase activity {GO:0160009}; Krueppel-associated box domain binding {GO:0035851}; NF-kappaB binding {GO:0051059}; p53 binding {GO:0002039}; promoter-specific chromatin binding {GO:1990841}; protein lysine deacetylase activity {GO:0033558}; protein N-terminus binding {GO:0047485}; protein-containing complex binding {GO:0044877}; RNA polymerase II cis-regulatory region sequence-specific DNA binding {GO:0000978}; RNA polymerase II core promoter sequence-specific DNA binding {GO:0000979}; RNA polymerase II-specific DNA-binding transcription factor binding {GO:0061629}; transcription cis-regulatory region binding {GO:0000976}; transcription corepressor activity {GO:0003714}; transcription corepressor binding {GO:0001222}</t>
  </si>
  <si>
    <t>G0 and Early G1 {R-MMU-1538133}; Formation of the beta-catenin:TCF transactivating complex {R-MMU-201722}; Downregulation of SMAD2/3:SMAD4 transcriptional activity {R-MMU-2173795}; HDACs deacetylate histones {R-MMU-3214815}; Notch-HLH transcription pathway {R-MMU-350054}; Deactivation of the beta-catenin transactivating complex {R-MMU-3769402}; SUMOylation of chromatin organization proteins {R-MMU-4551638}; Regulation of TP53 Activity through Acetylation {R-MMU-6804758}; RNA Polymerase I Transcription Initiation {R-MMU-73762}; RUNX1 regulates genes involved in megakaryocyte differentiation and platelet function {R-MMU-8936459}; Regulation of PTEN gene transcription {R-MMU-8943724}; Regulation of MECP2 expression and activity {R-MMU-9022692}; STAT3 nuclear events downstream of ALK signaling {R-MMU-9701898}; Factors involved in megakaryocyte development and platelet production {R-MMU-983231}</t>
  </si>
  <si>
    <t>sp|P49443|PPM1A_MOUSE</t>
  </si>
  <si>
    <t>Protein phosphatase 1A</t>
  </si>
  <si>
    <t>Protein phosphatase 2C isoform alpha (PP2C-alpha); Protein phosphatase IA</t>
  </si>
  <si>
    <t>PPM1A_MOUSE</t>
  </si>
  <si>
    <t>P49443</t>
  </si>
  <si>
    <t>Pppm1a</t>
  </si>
  <si>
    <t>MGI:99878</t>
  </si>
  <si>
    <t>Cytoplasm; Hydrolase; Lipoprotein; Magnesium; Manganese; Membrane; Metal-binding; Myristate; Nucleus; Phosphoprotein; Protein phosphatase</t>
  </si>
  <si>
    <t>cellular response to transforming growth factor beta stimulus {GO:0071560}; dephosphorylation {GO:0016311}; N-terminal protein myristoylation {GO:0006499}; negative regulation of BMP signaling pathway {GO:0030514}; negative regulation of I-kappaB kinase/NF-kappaB signaling {GO:0043124}; negative regulation of NIK/NF-kappaB signaling {GO:1901223}; negative regulation of SMAD protein complex assembly {GO:0010991}; negative regulation of transforming growth factor beta receptor signaling pathway {GO:0030512}; peptidyl-threonine dephosphorylation {GO:0035970}; positive regulation of canonical Wnt signaling pathway {GO:0090263}; positive regulation of DNA-templated transcription {GO:0045893}; positive regulation of protein export from nucleus {GO:0046827}; protein dephosphorylation {GO:0006470}; protein export from nucleus {GO:0006611}</t>
  </si>
  <si>
    <t>cytosol {GO:0005829}; membrane {GO:0016020}; neuron projection {GO:0043005}; nucleus {GO:0005634}; plasma membrane {GO:0005886}</t>
  </si>
  <si>
    <t>calmodulin-dependent protein phosphatase activity {GO:0033192}; magnesium ion binding {GO:0000287}; manganese ion binding {GO:0030145}; myosin phosphatase activity {GO:0017018}; phosphoprotein phosphatase activity {GO:0004721}; protein C-terminus binding {GO:0008022}; protein serine/threonine phosphatase activity {GO:0004722}; R-SMAD binding {GO:0070412}; transmembrane transporter binding {GO:0044325}</t>
  </si>
  <si>
    <t>Downregulation of SMAD2/3:SMAD4 transcriptional activity {R-MMU-2173795}; Energy dependent regulation of mTOR by LKB1-AMPK {R-MMU-380972}</t>
  </si>
  <si>
    <t>sp|Q8C1B7|SEP11_MOUSE</t>
  </si>
  <si>
    <t>Septin-11</t>
  </si>
  <si>
    <t>SEP11_MOUSE</t>
  </si>
  <si>
    <t>Q8C1B7</t>
  </si>
  <si>
    <t>Q3TBA0; Q3TC24; Q5D0F0; Q6P2K5; Q6P6I0</t>
  </si>
  <si>
    <t>MGI:1277214</t>
  </si>
  <si>
    <t>Acetylation; Alternative splicing; Cell cycle; Cell division; Cell projection; Coiled coil; Cytoplasm; Cytoskeleton; GTP-binding; Nucleotide-binding; Phosphoprotein; Synapse</t>
  </si>
  <si>
    <t>Cell projection; Cytoplasm; Cytoskeleton; Synapse</t>
  </si>
  <si>
    <t>cytoskeleton-dependent cytokinesis {GO:0061640}; protein localization {GO:0008104}; regulation of synapse organization {GO:0050807}</t>
  </si>
  <si>
    <t>anchoring junction {GO:0070161}; axon {GO:0030424}; cell division site {GO:0032153}; dendritic spine {GO:0043197}; GABA-ergic synapse {GO:0098982}; glutamatergic synapse {GO:0098978}; microtubule cytoskeleton {GO:0015630}; postsynapse {GO:0098794}; postsynaptic specialization of symmetric synapse {GO:0099629}; septin complex {GO:0031105}; septin ring {GO:0005940}; stress fiber {GO:0001725}</t>
  </si>
  <si>
    <t>sp|Q9CQZ1|HSBP1_MOUSE</t>
  </si>
  <si>
    <t>Heat shock factor-binding protein 1</t>
  </si>
  <si>
    <t>HSBP1_MOUSE</t>
  </si>
  <si>
    <t>Q9CQZ1</t>
  </si>
  <si>
    <t>Q3UKN1</t>
  </si>
  <si>
    <t>MGI:1915446</t>
  </si>
  <si>
    <t>axonal transport of mitochondrion {GO:0019896}; cellular heat acclimation {GO:0070370}; endodermal cell differentiation {GO:0035987}; muscle contraction {GO:0006936}</t>
  </si>
  <si>
    <t>axon cytoplasm {GO:1904115}; cytoskeleton {GO:0005856}; cytosol {GO:0005829}; nucleus {GO:0005634}</t>
  </si>
  <si>
    <t>identical protein binding {GO:0042802}; transcription corepressor activity {GO:0003714}</t>
  </si>
  <si>
    <t>Attenuation phase {R-MMU-3371568}; HSF1-dependent transactivation {R-MMU-3371571}</t>
  </si>
  <si>
    <t>sp|Q5SXY1|CYTSB_MOUSE</t>
  </si>
  <si>
    <t>Cytospin-B</t>
  </si>
  <si>
    <t>Sperm antigen with calponin homology and coiled-coil domains 1</t>
  </si>
  <si>
    <t>CYTSB_MOUSE</t>
  </si>
  <si>
    <t>Q5SXY1</t>
  </si>
  <si>
    <t>Q5DTQ5; Q5SXY0; Q8BKR3; Q8BL39</t>
  </si>
  <si>
    <t>Cytsb; Kiaa4061</t>
  </si>
  <si>
    <t>MGI:2442356</t>
  </si>
  <si>
    <t>Alternative splicing; Coiled coil; Lipoprotein; Membrane; Myristate; Nucleus; Phosphoprotein</t>
  </si>
  <si>
    <t>actin cytoskeleton organization {GO:0030036}; associative learning {GO:0008306}; blastocyst development {GO:0001824}</t>
  </si>
  <si>
    <t>apical part of cell {GO:0045177}; cytoplasm {GO:0005737}; cytosol {GO:0005829}; fibrillar center {GO:0001650}; filamentous actin {GO:0031941}; intracellular membrane-bounded organelle {GO:0043231}; membrane {GO:0016020}; microtubule organizing center {GO:0005815}; nucleoplasm {GO:0005654}; nucleus {GO:0005634}</t>
  </si>
  <si>
    <t>sp|Q3U9G9|LBR_MOUSE</t>
  </si>
  <si>
    <t>Delta(14)-sterol reductase LBR (Delta-14-SR)</t>
  </si>
  <si>
    <t>3-beta-hydroxysterol Delta (14)-reductase; C-14 sterol reductase (C14SR); Integral nuclear envelope inner membrane protein; Lamin-B receptor; Sterol C14-reductase</t>
  </si>
  <si>
    <t>LBR_MOUSE</t>
  </si>
  <si>
    <t>Q3U9G9</t>
  </si>
  <si>
    <t>Q3TSW2; Q811V8; Q811V9; Q8BST3; Q8K2Y8; Q8VDM0; Q91YS5; Q91Z27</t>
  </si>
  <si>
    <t>MGI:2138281</t>
  </si>
  <si>
    <t>Acetylation; Cholesterol biosynthesis; Cholesterol metabolism; Cytoplasm; DNA-binding; Endoplasmic reticulum; Glycoprotein; Lipid biosynthesis; Lipid metabolism; Membrane; Nucleus; Oxidoreductase; Phosphoprotein; Receptor; Steroid biosynthesis; Steroid metabolism; Sterol biosynthesis; Sterol metabolism; Transmembrane; Transmembrane helix</t>
  </si>
  <si>
    <t>DNA-binding; Oxidoreductase; Receptor</t>
  </si>
  <si>
    <t>cholesterol biosynthetic process {GO:0006695}; neutrophil differentiation {GO:0030223}; sterol biosynthetic process {GO:0016126}</t>
  </si>
  <si>
    <t>cytoplasm {GO:0005737}; endoplasmic reticulum membrane {GO:0005789}; integral component of membrane {GO:0016021}; nuclear envelope {GO:0005635}; nuclear inner membrane {GO:0005637}; nuclear lamina {GO:0005652}; nuclear membrane {GO:0031965}; nuclear pore {GO:0005643}; nucleus {GO:0005634}</t>
  </si>
  <si>
    <t>chaperone binding {GO:0051087}; chromo shadow domain binding {GO:0070087}; delta14-sterol reductase activity {GO:0050613}; DNA binding {GO:0003677}; NADPH binding {GO:0070402}; nuclear localization sequence binding {GO:0008139}; oxidoreductase activity, acting on the CH-CH group of donors {GO:0016627}</t>
  </si>
  <si>
    <t>Steroid biosynthesis; cholesterol biosynthesis.</t>
  </si>
  <si>
    <t>Cholesterol biosynthesis {R-MMU-191273}; Initiation of Nuclear Envelope (NE) Reformation {R-MMU-2995383}; RHOA GTPase cycle {R-MMU-8980692}; RHOC GTPase cycle {R-MMU-9013106}; CDC42 GTPase cycle {R-MMU-9013148}; RAC1 GTPase cycle {R-MMU-9013149}; RAC2 GTPase cycle {R-MMU-9013404}; RHOD GTPase cycle {R-MMU-9013405}; RHOG GTPase cycle {R-MMU-9013408}; RAC3 GTPase cycle {R-MMU-9013423}; Regulation of MECP2 expression and activity {R-MMU-9022692}</t>
  </si>
  <si>
    <t>sp|Q9D0B0|SRSF9_MOUSE</t>
  </si>
  <si>
    <t>Serine/arginine-rich splicing factor 9</t>
  </si>
  <si>
    <t>Splicing factor, arginine/serine-rich 9</t>
  </si>
  <si>
    <t>SRSF9_MOUSE</t>
  </si>
  <si>
    <t>Q9D0B0</t>
  </si>
  <si>
    <t>Q9CRN3</t>
  </si>
  <si>
    <t>Sfrs9</t>
  </si>
  <si>
    <t>MGI:104896</t>
  </si>
  <si>
    <t>3D-structure; Isopeptide bond; mRNA processing; mRNA splicing; Nucleus; Phosphoprotein; Repeat; Repressor; RNA-binding; Ubl conjugation</t>
  </si>
  <si>
    <t>alternative mRNA splicing, via spliceosome {GO:0000380}; mRNA splicing, via spliceosome {GO:0000398}; negative regulation of mRNA splicing, via spliceosome {GO:0048025}; response to alkaloid {GO:0043279}; response to toxic substance {GO:0009636}</t>
  </si>
  <si>
    <t>nuclear speck {GO:0016607}; nucleolus {GO:0005730}; nucleoplasm {GO:0005654}</t>
  </si>
  <si>
    <t>protein domain specific binding {GO:0019904}; RNA binding {GO:0003723}</t>
  </si>
  <si>
    <t>sp|Q3V3Q7|PACS2_MOUSE</t>
  </si>
  <si>
    <t>Phosphofurin acidic cluster sorting protein 2 (PACS-2)</t>
  </si>
  <si>
    <t>PACS1-like protein</t>
  </si>
  <si>
    <t>PACS2_MOUSE</t>
  </si>
  <si>
    <t>Q3V3Q7</t>
  </si>
  <si>
    <t>E9QKL3; Q80TW2; Q80VG3</t>
  </si>
  <si>
    <t>Kiaa0602; Pacs1l</t>
  </si>
  <si>
    <t>MGI:1924399</t>
  </si>
  <si>
    <t>Apoptosis; Endoplasmic reticulum; Mitochondrion; Phosphoprotein</t>
  </si>
  <si>
    <t>apoptotic process {GO:0006915}; autophagosome assembly {GO:0000045}; endoplasmic reticulum calcium ion homeostasis {GO:0032469}; mitochondrion-endoplasmic reticulum membrane tethering {GO:1990456}; protein localization to phagophore assembly site {GO:0034497}; protein localization to plasma membrane {GO:0072659}</t>
  </si>
  <si>
    <t>endoplasmic reticulum {GO:0005783}; mitochondrion {GO:0005739}</t>
  </si>
  <si>
    <t>transmembrane transporter binding {GO:0044325}</t>
  </si>
  <si>
    <t>sp|Q9ERB0|SNP29_MOUSE</t>
  </si>
  <si>
    <t>Synaptosomal-associated protein 29 (SNAP-29)</t>
  </si>
  <si>
    <t>Golgi SNARE of 32 kDa (Gs32); Soluble 29 kDa NSF attachment protein; Vesicle-membrane fusion protein SNAP-29</t>
  </si>
  <si>
    <t>SNP29_MOUSE</t>
  </si>
  <si>
    <t>Q9ERB0</t>
  </si>
  <si>
    <t>Q3UGN0; Q9DBC5</t>
  </si>
  <si>
    <t>MGI:1914724</t>
  </si>
  <si>
    <t>Autophagy; Cell membrane; Cell projection; Cilium; Cilium biogenesis/degradation; Coiled coil; Cytoplasm; Cytoplasmic vesicle; Golgi apparatus; Membrane; Phosphoprotein; Protein transport; Transport</t>
  </si>
  <si>
    <t>Autophagy; Cilium biogenesis/degradation; Protein transport; Transport</t>
  </si>
  <si>
    <t>Cell membrane; Cell projection; Cilium; Cytoplasm; Cytoplasmic vesicle; Golgi apparatus; Membrane</t>
  </si>
  <si>
    <t>autophagosome maturation {GO:0097352}; autophagosome membrane docking {GO:0016240}; cilium assembly {GO:0060271}; exocytosis {GO:0006887}; protein transport {GO:0015031}; regulation of synaptic vesicle cycle {GO:0098693}; synaptic vesicle fusion to presynaptic active zone membrane {GO:0031629}; synaptic vesicle priming {GO:0016082}; vesicle fusion {GO:0006906}</t>
  </si>
  <si>
    <t>autophagosome {GO:0005776}; autophagosome membrane {GO:0000421}; centrosome {GO:0005813}; ciliary pocket membrane {GO:0020018}; cytoplasm {GO:0005737}; cytoplasmic vesicle {GO:0031410}; cytosol {GO:0005829}; Golgi membrane {GO:0000139}; nucleoplasm {GO:0005654}; plasma membrane {GO:0005886}; presynapse {GO:0098793}; SNARE complex {GO:0031201}</t>
  </si>
  <si>
    <t>Neutrophil degranulation {R-MMU-6798695}; Intra-Golgi traffic {R-MMU-6811438}</t>
  </si>
  <si>
    <t>sp|Q9QXD8|LIMD1_MOUSE</t>
  </si>
  <si>
    <t>LIM domain-containing protein 1</t>
  </si>
  <si>
    <t>LIMD1_MOUSE</t>
  </si>
  <si>
    <t>Q9QXD8</t>
  </si>
  <si>
    <t>Q8C8G4; Q9CW55</t>
  </si>
  <si>
    <t>MGI:1352502</t>
  </si>
  <si>
    <t>Cell junction; Cytoplasm; LIM domain; Metal-binding; Nucleus; Phosphoprotein; Repeat; Repressor; RNA-mediated gene silencing; Transcription; Transcription regulation; Tumor suppressor; Zinc</t>
  </si>
  <si>
    <t>cell migration {GO:0016477}; cytoskeleton organization {GO:0007010}; miRNA-mediated gene silencing {GO:0035195}; negative regulation of canonical Wnt signaling pathway {GO:0090090}; negative regulation of DNA-templated transcription {GO:0045892}; negative regulation of hippo signaling {GO:0035331}; negative regulation of osteoblast differentiation {GO:0045668}; osteoblast development {GO:0002076}; P-body assembly {GO:0033962}; phosphorylation {GO:0016310}; positive regulation of miRNA-mediated gene silencing {GO:2000637}; regulation of cell shape {GO:0008360}; regulation of DNA-templated transcription {GO:0006355}; response to hypoxia {GO:0001666}</t>
  </si>
  <si>
    <t>adherens junction {GO:0005912}; cytoplasm {GO:0005737}; focal adhesion {GO:0005925}; nucleoplasm {GO:0005654}; nucleus {GO:0005634}; P-body {GO:0000932}; plasma membrane {GO:0005886}; RISC complex {GO:0016442}; transcription regulator complex {GO:0005667}</t>
  </si>
  <si>
    <t>metal ion binding {GO:0046872}; transcription corepressor activity {GO:0003714}</t>
  </si>
  <si>
    <t>Oxygen-dependent proline hydroxylation of Hypoxia-inducible Factor Alpha {R-MMU-1234176}</t>
  </si>
  <si>
    <t>sp|P60824|CIRBP_MOUSE</t>
  </si>
  <si>
    <t>Cold-inducible RNA-binding protein</t>
  </si>
  <si>
    <t>A18 hnRNP; Glycine-rich RNA-binding protein CIRP</t>
  </si>
  <si>
    <t>CIRBP_MOUSE</t>
  </si>
  <si>
    <t>P60824</t>
  </si>
  <si>
    <t>O09069; O09148; Q3V1A6; Q61413</t>
  </si>
  <si>
    <t>Cirp</t>
  </si>
  <si>
    <t>MGI:893588</t>
  </si>
  <si>
    <t>Activator; Cytoplasm; Methylation; Nucleus; Phosphoprotein; Repressor; RNA-binding; Stress response</t>
  </si>
  <si>
    <t>cellular response to cold {GO:0070417}; mRNA stabilization {GO:0048255}; negative regulation of cell growth {GO:0030308}; positive regulation of mRNA splicing, via spliceosome {GO:0048026}; positive regulation of translation {GO:0045727}; regulation of cell cycle G1/S phase transition {GO:1902806}; response to UV {GO:0009411}; stress granule assembly {GO:0034063}</t>
  </si>
  <si>
    <t>cytoplasm {GO:0005737}; cytoplasmic stress granule {GO:0010494}; nucleoplasm {GO:0005654}; nucleus {GO:0005634}; spliceosomal complex {GO:0005681}</t>
  </si>
  <si>
    <t>mRNA 3'-UTR binding {GO:0003730}; poly(U) RNA binding {GO:0008266}; RNA binding {GO:0003723}; small ribosomal subunit rRNA binding {GO:0070181}; translation repressor activity {GO:0030371}</t>
  </si>
  <si>
    <t>sp|Q9CWL8|CTBL1_MOUSE</t>
  </si>
  <si>
    <t>Beta-catenin-like protein 1</t>
  </si>
  <si>
    <t>Nuclear-associated protein (NAP)</t>
  </si>
  <si>
    <t>CTBL1_MOUSE</t>
  </si>
  <si>
    <t>Q9CWL8</t>
  </si>
  <si>
    <t>Q3UL41; Q80X64; Q8VHE3</t>
  </si>
  <si>
    <t>MGI:1913892</t>
  </si>
  <si>
    <t>Acetylation; Apoptosis; Coiled coil; Nucleus; Phosphoprotein; Repeat</t>
  </si>
  <si>
    <t>apoptotic process {GO:0006915}; mRNA splicing, via spliceosome {GO:0000398}; positive regulation of apoptotic process {GO:0043065}; somatic diversification of immunoglobulins {GO:0016445}</t>
  </si>
  <si>
    <t>centrosome {GO:0005813}; cytosol {GO:0005829}; nucleoplasm {GO:0005654}; nucleus {GO:0005634}; Prp19 complex {GO:0000974}; spliceosomal complex {GO:0005681}</t>
  </si>
  <si>
    <t>enzyme binding {GO:0019899}</t>
  </si>
  <si>
    <t>sp|Q0P678|ZCH18_MOUSE</t>
  </si>
  <si>
    <t>Zinc finger CCCH domain-containing protein 18</t>
  </si>
  <si>
    <t>Nuclear protein NHN1</t>
  </si>
  <si>
    <t>ZCH18_MOUSE</t>
  </si>
  <si>
    <t>Q0P678</t>
  </si>
  <si>
    <t>Q3TKW3; Q52KI3; Q6KAL8; Q9CU64</t>
  </si>
  <si>
    <t>Nhn1</t>
  </si>
  <si>
    <t>MGI:1923264</t>
  </si>
  <si>
    <t>Acetylation; Alternative splicing; Coiled coil; Isopeptide bond; Metal-binding; Methylation; Nucleus; Phosphoprotein; Ubl conjugation; Zinc; Zinc-finger</t>
  </si>
  <si>
    <t>RNA destabilization {GO:0050779}</t>
  </si>
  <si>
    <t>nuclear speck {GO:0016607}; protein-containing complex {GO:0032991}; ribonucleoprotein complex {GO:1990904}</t>
  </si>
  <si>
    <t>metal ion binding {GO:0046872}; mRNA cap binding complex binding {GO:0140262}; protein-macromolecule adaptor activity {GO:0030674}</t>
  </si>
  <si>
    <t>sp|Q8BKG3|PTK7_MOUSE</t>
  </si>
  <si>
    <t>Inactive tyrosine-protein kinase 7</t>
  </si>
  <si>
    <t>Protein chuzhoi; Protein-tyrosine kinase 7; Pseudo tyrosine kinase receptor 7; Tyrosine-protein kinase-like 7</t>
  </si>
  <si>
    <t>PTK7_MOUSE</t>
  </si>
  <si>
    <t>Q8BKG3</t>
  </si>
  <si>
    <t>Q3V422; Q6W8S9; Q8CHK5; Q8K178</t>
  </si>
  <si>
    <t>MGI:1918711</t>
  </si>
  <si>
    <t>Cell adhesion; Cell junction; Disulfide bond; Glycoprotein; Immunoglobulin domain; Membrane; Phosphoprotein; Receptor; Repeat; Signal; Transmembrane; Transmembrane helix; Wnt signaling pathway</t>
  </si>
  <si>
    <t>Cell adhesion; Wnt signaling pathway</t>
  </si>
  <si>
    <t>Cell junction; Membrane</t>
  </si>
  <si>
    <t>actin cytoskeleton reorganization {GO:0031532}; axis elongation {GO:0003401}; cell adhesion {GO:0007155}; cell migration {GO:0016477}; cellular response to retinoic acid {GO:0071300}; cochlea morphogenesis {GO:0090103}; convergent extension {GO:0060026}; coronary vasculature development {GO:0060976}; establishment of epithelial cell apical/basal polarity {GO:0045198}; establishment of planar polarity {GO:0001736}; heart development {GO:0007507}; kidney development {GO:0001822}; lung-associated mesenchyme development {GO:0060484}; neural tube closure {GO:0001843}; planar cell polarity pathway involved in neural tube closure {GO:0090179}; positive regulation of canonical Wnt signaling pathway {GO:0090263}; positive regulation of neuron projection development {GO:0010976}; regulation of canonical Wnt signaling pathway {GO:0060828}; ventricular septum development {GO:0003281}; wound healing {GO:0042060}</t>
  </si>
  <si>
    <t>cell-cell junction {GO:0005911}; integral component of membrane {GO:0016021}; membrane {GO:0016020}; plasma membrane {GO:0005886}</t>
  </si>
  <si>
    <t>cell adhesion molecule binding {GO:0050839}</t>
  </si>
  <si>
    <t>sp|P97471|SMAD4_MOUSE</t>
  </si>
  <si>
    <t>Mothers against decapentaplegic homolog 4 (MAD homolog 4; Mothers against DPP homolog 4)</t>
  </si>
  <si>
    <t>Deletion target in pancreatic carcinoma 4 homolog; SMAD family member 4 (SMAD 4; Smad4)</t>
  </si>
  <si>
    <t>SMAD4_MOUSE</t>
  </si>
  <si>
    <t>P97471</t>
  </si>
  <si>
    <t>Q6GTP6; Q9CW56</t>
  </si>
  <si>
    <t>Dpc4; Madh4</t>
  </si>
  <si>
    <t>MGI:894293</t>
  </si>
  <si>
    <t>3D-structure; Acetylation; Cytoplasm; DNA-binding; Isopeptide bond; Metal-binding; Nucleus; Transcription; Transcription regulation; Ubl conjugation; Zinc</t>
  </si>
  <si>
    <t>adrenal gland development {GO:0030325}; aging {GO:0007568}; anatomical structure morphogenesis {GO:0009653}; anterior/posterior pattern specification {GO:0009952}; atrioventricular canal development {GO:0036302}; atrioventricular valve formation {GO:0003190}; axon guidance {GO:0007411}; BMP signaling pathway {GO:0030509}; brainstem development {GO:0003360}; branching involved in ureteric bud morphogenesis {GO:0001658}; cardiac septum development {GO:0003279}; cell differentiation {GO:0030154}; cell population proliferation {GO:0008283}; cellular iron ion homeostasis {GO:0006879}; cellular response to glucose stimulus {GO:0071333}; developmental growth {GO:0048589}; DNA-templated transcription {GO:0006351}; embryonic digit morphogenesis {GO:0042733}; endocardial cell differentiation {GO:0060956}; endoderm development {GO:0007492}; endothelial cell activation {GO:0042118}; epithelial to mesenchymal transition involved in endocardial cushion formation {GO:0003198}; ERK1 and ERK2 cascade {GO:0070371}; female gonad development {GO:0008585}; female gonad morphogenesis {GO:0061040}; formation of anatomical boundary {GO:0048859}; gastrulation {GO:0007369}; gastrulation with mouth forming second {GO:0001702}; in utero embryonic development {GO:0001701}; interleukin-6-mediated signaling pathway {GO:0070102}; intracellular signal transduction {GO:0035556}; kidney development {GO:0001822}; left ventricular cardiac muscle tissue morphogenesis {GO:0003220}; male gonad development {GO:0008584}; mesendoderm development {GO:0048382}; mesoderm development {GO:0007498}; metanephric mesenchyme morphogenesis {GO:0072133}; negative regulation of cardiac muscle hypertrophy {GO:0010614}; negative regulation of cardiac myofibril assembly {GO:1905305}; negative regulation of cell death {GO:0060548}; negative regulation of cell growth {GO:0030308}; negative regulation of cell population proliferation {GO:0008285}; negative regulation of DNA-templated transcription {GO:0045892}; negative regulation of ERK1 and ERK2 cascade {GO:0070373}; negative regulation of protein catabolic process {GO:0042177}; negative regulation of transcription by RNA polymerase II {GO:0000122}; nephrogenic mesenchyme morphogenesis {GO:0072134}; neural crest cell differentiation {GO:0014033}; neuron fate commitment {GO:0048663}; osteoblast differentiation {GO:0001649}; outflow tract septum morphogenesis {GO:0003148}; ovarian follicle development {GO:0001541}; positive regulation of BMP signaling pathway {GO:0030513}; positive regulation of cardiac muscle cell apoptotic process {GO:0010666}; positive regulation of cell proliferation involved in heart valve morphogenesis {GO:0003251}; positive regulation of DNA-templated transcription {GO:0045893}; positive regulation of epithelial to mesenchymal transition {GO:0010718}; positive regulation of follicle-stimulating hormone secretion {GO:0046881}; positive regulation of histone H3-K4 methylation {GO:0051571}; positive regulation of histone H3-K9 acetylation {GO:2000617}; positive regulation of luteinizing hormone secretion {GO:0033686}; positive regulation of miRNA transcription {GO:1902895}; positive regulation of pathway-restricted SMAD protein phosphorylation {GO:0010862}; positive regulation of SMAD protein signal transduction {GO:0060391}; positive regulation of transcription by RNA polymerase II {GO:0045944}; positive regulation of transforming growth factor beta receptor signaling pathway {GO:0030511}; regulation of binding {GO:0051098}; regulation of cell population proliferation {GO:0042127}; regulation of hair follicle development {GO:0051797}; regulation of transcription by RNA polymerase II {GO:0006357}; regulation of transforming growth factor beta receptor signaling pathway {GO:0017015}; regulation of transforming growth factor beta2 production {GO:0032909}; response to hypoxia {GO:0001666}; response to transforming growth factor beta {GO:0071559}; sebaceous gland development {GO:0048733}; secondary palate development {GO:0062009}; seminiferous tubule development {GO:0072520}; single fertilization {GO:0007338}; SMAD protein complex assembly {GO:0007183}; SMAD protein signal transduction {GO:0060395}; somite rostral/caudal axis specification {GO:0032525}; spermatogenesis {GO:0007283}; tissue morphogenesis {GO:0048729}; transcription by RNA polymerase II {GO:0006366}; transforming growth factor beta receptor signaling pathway {GO:0007179}; uterus development {GO:0060065}; ventricular septum morphogenesis {GO:0060412}; wound healing {GO:0042060}</t>
  </si>
  <si>
    <t>activin responsive factor complex {GO:0032444}; centrosome {GO:0005813}; chromatin {GO:0000785}; cytoplasm {GO:0005737}; cytosol {GO:0005829}; heteromeric SMAD protein complex {GO:0071144}; nucleoplasm {GO:0005654}; nucleus {GO:0005634}; protein-containing complex {GO:0032991}; RNA polymerase II transcription regulator complex {GO:0090575}; SMAD protein complex {GO:0071141}; transcription regulator complex {GO:0005667}</t>
  </si>
  <si>
    <t>chromatin binding {GO:0003682}; collagen binding {GO:0005518}; DNA binding {GO:0003677}; DNA-binding transcription activator activity, RNA polymerase II-specific {GO:0001228}; DNA-binding transcription factor activity {GO:0003700}; DNA-binding transcription factor activity, RNA polymerase II-specific {GO:0000981}; filamin binding {GO:0031005}; I-SMAD binding {GO:0070411}; identical protein binding {GO:0042802}; metal ion binding {GO:0046872}; protein homodimerization activity {GO:0042803}; R-SMAD binding {GO:0070412}; RNA polymerase II cis-regulatory region sequence-specific DNA binding {GO:0000978}; RNA polymerase II transcription regulatory region sequence-specific DNA binding {GO:0000977}; RNA polymerase II-specific DNA-binding transcription factor binding {GO:0061629}; sequence-specific DNA binding {GO:0043565}; SMAD binding {GO:0046332}; sulfate binding {GO:0043199}; transcription cis-regulatory region binding {GO:0000976}; transcription coactivator binding {GO:0001223}</t>
  </si>
  <si>
    <t>Signaling by NODAL {R-MMU-1181150}; Signaling by Activin {R-MMU-1502540}; Signaling by BMP {R-MMU-201451}; TGF-beta receptor signaling activates SMADs {R-MMU-2173789}; Downregulation of SMAD2/3:SMAD4 transcriptional activity {R-MMU-2173795}; SMAD2/SMAD3:SMAD4 heterotrimer regulates transcription {R-MMU-2173796}; Ub-specific processing proteases {R-MMU-5689880}; RUNX2 regulates bone development {R-MMU-8941326}; RUNX3 regulates CDKN1A transcription {R-MMU-8941855}; FOXO-mediated transcription of cell cycle genes {R-MMU-9617828}</t>
  </si>
  <si>
    <t>sp|P23475|XRCC6_MOUSE</t>
  </si>
  <si>
    <t>X-ray repair cross-complementing protein 6</t>
  </si>
  <si>
    <t>5'-deoxyribose-5-phosphate lyase Ku70 (5'-dRP/AP lyase Ku70); ATP-dependent DNA helicase 2 subunit 1; ATP-dependent DNA helicase II 70 kDa subunit; CTC box-binding factor 75 kDa subunit (CTC75; CTCBF); DNA repair protein XRCC6; Ku autoantigen protein p70 homolog (Ku70)</t>
  </si>
  <si>
    <t>XRCC6_MOUSE</t>
  </si>
  <si>
    <t>P23475</t>
  </si>
  <si>
    <t>O88212; Q3UJL8; Q62027; Q62382; Q62453; Q6GTV8; Q8QZX7</t>
  </si>
  <si>
    <t>G22p1; Ku70</t>
  </si>
  <si>
    <t>MGI:95606</t>
  </si>
  <si>
    <t>Acetylation; Activator; ADP-ribosylation; ATP-binding; Chromosome; DNA damage; DNA recombination; DNA repair; DNA-binding; Helicase; Hydrolase; Immunity; Innate immunity; Isopeptide bond; Lyase; Multifunctional enzyme; Nucleotide-binding; Nucleus; Phosphoprotein; Transcription; Transcription regulation; Ubl conjugation</t>
  </si>
  <si>
    <t>DNA damage; DNA recombination; DNA repair; Immunity; Innate immunity; Transcription; Transcription regulation</t>
  </si>
  <si>
    <t>Activator; DNA-binding; Helicase; Hydrolase; Lyase; Multifunctional enzyme</t>
  </si>
  <si>
    <t>activation of innate immune response {GO:0002218}; cellular hyperosmotic salinity response {GO:0071475}; cellular response to DNA damage stimulus {GO:0006974}; cellular response to gamma radiation {GO:0071480}; cellular response to X-ray {GO:0071481}; double-strand break repair {GO:0006302}; double-strand break repair via classical nonhomologous end joining {GO:0097680}; double-strand break repair via nonhomologous end joining {GO:0006303}; innate immune response {GO:0045087}; negative regulation of DNA-templated transcription {GO:0045892}; neurogenesis {GO:0022008}; positive regulation of DNA-templated transcription {GO:0045893}; positive regulation of lymphocyte differentiation {GO:0045621}; positive regulation of neurogenesis {GO:0050769}; positive regulation of protein kinase activity {GO:0045860}; positive regulation of transcription by RNA polymerase II {GO:0045944}; recombinational repair {GO:0000725}; regulation of smooth muscle cell proliferation {GO:0048660}; response to ionizing radiation {GO:0010212}; telomere maintenance {GO:0000723}; V(D)J recombination {GO:0033151}</t>
  </si>
  <si>
    <t>chromosome {GO:0005694}; cytoplasm {GO:0005737}; DNA-dependent protein kinase complex {GO:0070418}; Ku70:Ku80 complex {GO:0043564}; nonhomologous end joining complex {GO:0070419}; nucleolus {GO:0005730}; nucleoplasm {GO:0005654}; nucleus {GO:0005634}; protein-containing complex {GO:0032991}; protein-DNA complex {GO:0032993}; transcription regulator complex {GO:0005667}</t>
  </si>
  <si>
    <t>5'-deoxyribose-5-phosphate lyase activity {GO:0051575}; ATP binding {GO:0005524}; ATP-dependent activity, acting on DNA {GO:0008094}; cyclin binding {GO:0030332}; damaged DNA binding {GO:0003684}; DNA end binding {GO:0045027}; DNA helicase activity {GO:0003678}; double-stranded DNA binding {GO:0003690}; double-stranded telomeric DNA binding {GO:0003691}; hydrolase activity {GO:0016787}; protein C-terminus binding {GO:0008022}; protein-containing complex binding {GO:0044877}; scaffold protein binding {GO:0097110}; telomeric DNA binding {GO:0042162}; transcription cis-regulatory region binding {GO:0000976}</t>
  </si>
  <si>
    <t>sp|Q01320|TOP2A_MOUSE</t>
  </si>
  <si>
    <t>DNA topoisomerase 2-alpha</t>
  </si>
  <si>
    <t>DNA topoisomerase II, alpha isozyme</t>
  </si>
  <si>
    <t>TOP2A_MOUSE</t>
  </si>
  <si>
    <t>Q01320</t>
  </si>
  <si>
    <t>E9PX08</t>
  </si>
  <si>
    <t>Top-2; Top2</t>
  </si>
  <si>
    <t>MGI:98790</t>
  </si>
  <si>
    <t>Acetylation; ATP-binding; Biological rhythms; Cytoplasm; DNA-binding; Isomerase; Isopeptide bond; Magnesium; Metal-binding; Nucleotide-binding; Nucleus; Phosphoprotein; Topoisomerase; Ubl conjugation</t>
  </si>
  <si>
    <t>apoptotic chromosome condensation {GO:0030263}; cellular response to DNA damage stimulus {GO:0006974}; chromosome condensation {GO:0030261}; chromosome segregation {GO:0007059}; DNA ligation {GO:0006266}; DNA topological change {GO:0006265}; embryonic cleavage {GO:0040016}; female meiosis chromosome separation {GO:0051309}; female meiotic nuclear division {GO:0007143}; hematopoietic progenitor cell differentiation {GO:0002244}; negative regulation of DNA duplex unwinding {GO:1905463}; positive regulation of apoptotic process {GO:0043065}; positive regulation of single stranded viral RNA replication via double stranded DNA intermediate {GO:0045870}; positive regulation of transcription by RNA polymerase II {GO:0045944}; regulation of circadian rhythm {GO:0042752}; resolution of meiotic recombination intermediates {GO:0000712}; rhythmic process {GO:0048511}; sister chromatid segregation {GO:0000819}</t>
  </si>
  <si>
    <t>centriole {GO:0005814}; chromosome, centromeric region {GO:0000775}; condensed chromosome {GO:0000793}; cytoplasm {GO:0005737}; DNA topoisomerase type II (double strand cut, ATP-hydrolyzing) complex {GO:0009330}; male germ cell nucleus {GO:0001673}; nuclear chromosome {GO:0000228}; nucleolus {GO:0005730}; nucleoplasm {GO:0005654}; nucleus {GO:0005634}; protein-containing complex {GO:0032991}; ribonucleoprotein complex {GO:1990904}</t>
  </si>
  <si>
    <t>ATP binding {GO:0005524}; ATP-dependent activity, acting on DNA {GO:0008094}; chromatin binding {GO:0003682}; DNA binding {GO:0003677}; DNA binding, bending {GO:0008301}; DNA topoisomerase activity {GO:0003916}; DNA topoisomerase type II (double strand cut, ATP-hydrolyzing) activity {GO:0003918}; enzyme binding {GO:0019899}; histone deacetylase binding {GO:0042826}; magnesium ion binding {GO:0000287}; protein C-terminus binding {GO:0008022}; protein heterodimerization activity {GO:0046982}; protein homodimerization activity {GO:0042803}; protein kinase C binding {GO:0005080}; sequence-specific DNA binding {GO:0043565}; ubiquitin binding {GO:0043130}</t>
  </si>
  <si>
    <t>sp|Q8CHG3|GCC2_MOUSE</t>
  </si>
  <si>
    <t>GRIP and coiled-coil domain-containing protein 2</t>
  </si>
  <si>
    <t>185 kDa Golgi coiled-coil protein (GCC185)</t>
  </si>
  <si>
    <t>GCC2_MOUSE</t>
  </si>
  <si>
    <t>Q8CHG3</t>
  </si>
  <si>
    <t>B2RSU7; Q8BR44; Q8R2Q5; Q9CT45</t>
  </si>
  <si>
    <t>Kiaa0336</t>
  </si>
  <si>
    <t>MGI:1917547</t>
  </si>
  <si>
    <t>Acetylation; Coiled coil; Cytoplasm; Golgi apparatus; Membrane; Phosphoprotein; Protein transport; Transport</t>
  </si>
  <si>
    <t>Golgi ribbon formation {GO:0090161}; late endosome to Golgi transport {GO:0034499}; microtubule anchoring {GO:0034453}; microtubule organizing center organization {GO:0031023}; protein localization to Golgi apparatus {GO:0034067}; protein targeting to lysosome {GO:0006622}; recycling endosome to Golgi transport {GO:0071955}; regulation of protein exit from endoplasmic reticulum {GO:0070861}; retrograde transport, endosome to Golgi {GO:0042147}</t>
  </si>
  <si>
    <t>cytosol {GO:0005829}; Golgi apparatus {GO:0005794}; membrane {GO:0016020}; nucleoplasm {GO:0005654}; trans-Golgi network {GO:0005802}</t>
  </si>
  <si>
    <t>sp|Q8R3S6|EXOC1_MOUSE</t>
  </si>
  <si>
    <t>Exocyst complex component 1</t>
  </si>
  <si>
    <t>Exocyst complex component Sec3</t>
  </si>
  <si>
    <t>EXOC1_MOUSE</t>
  </si>
  <si>
    <t>Q8R3S6</t>
  </si>
  <si>
    <t>E9QQ24</t>
  </si>
  <si>
    <t>Sec3; Sec3l1</t>
  </si>
  <si>
    <t>MGI:2445020</t>
  </si>
  <si>
    <t>Cell membrane; Coiled coil; Cytoplasm; Exocytosis; Membrane; Phosphoprotein; Protein transport; Transport</t>
  </si>
  <si>
    <t>Exocytosis; Protein transport; Transport</t>
  </si>
  <si>
    <t>embryo implantation {GO:0007566}; exocytosis {GO:0006887}; Golgi to plasma membrane transport {GO:0006893}; membrane fission {GO:0090148}; mitotic cytokinesis {GO:0000281}; phosphatidylinositol-mediated signaling {GO:0048015}; positive regulation of protein secretion {GO:0050714}; protein transport {GO:0015031}; vesicle docking involved in exocytosis {GO:0006904}; vesicle tethering involved in exocytosis {GO:0090522}</t>
  </si>
  <si>
    <t>cytoplasm {GO:0005737}; cytoplasmic side of apical plasma membrane {GO:0098592}; exocyst {GO:0000145}; Flemming body {GO:0090543}; plasma membrane {GO:0005886}</t>
  </si>
  <si>
    <t>phosphatidylinositol-4,5-bisphosphate binding {GO:0005546}</t>
  </si>
  <si>
    <t>Insulin processing {R-MMU-264876}; VxPx cargo-targeting to cilium {R-MMU-5620916}</t>
  </si>
  <si>
    <t>sp|Q61151|2A5E_MOUSE</t>
  </si>
  <si>
    <t>Serine/threonine-protein phosphatase 2A 56 kDa regulatory subunit epsilon isoform</t>
  </si>
  <si>
    <t>PP2A B subunit isoform B'-epsilon; PP2A B subunit isoform B56-epsilon; PP2A B subunit isoform PR61-epsilon; PP2A B subunit isoform R5-epsilon</t>
  </si>
  <si>
    <t>2A5E_MOUSE</t>
  </si>
  <si>
    <t>Q61151</t>
  </si>
  <si>
    <t>Q3V1I5; Q571M6; Q8C2M2</t>
  </si>
  <si>
    <t>Kiaa4006</t>
  </si>
  <si>
    <t>MGI:1349473</t>
  </si>
  <si>
    <t>protein dephosphorylation {GO:0006470}; signal transduction {GO:0007165}</t>
  </si>
  <si>
    <t>cytoplasm {GO:0005737}; cytosol {GO:0005829}; nucleus {GO:0005634}; protein phosphatase type 2A complex {GO:0000159}</t>
  </si>
  <si>
    <t>protein phosphatase activator activity {GO:0072542}</t>
  </si>
  <si>
    <t>Amplification of signal from unattached kinetochores via a MAD2 inhibitory signal {R-MMU-141444}; Degradation of beta-catenin by the destruction complex {R-MMU-195253}; Beta-catenin phosphorylation cascade {R-MMU-196299}; Separation of Sister Chromatids {R-MMU-2467813}; Resolution of Sister Chromatid Cohesion {R-MMU-2500257}; CTLA4 inhibitory signaling {R-MMU-389513}; Platelet sensitization by LDL {R-MMU-432142}; Disassembly of the destruction complex and recruitment of AXIN to the membrane {R-MMU-4641262}; RHO GTPases Activate Formins {R-MMU-5663220}; RAF activation {R-MMU-5673000}; Negative regulation of MAPK pathway {R-MMU-5675221}; PI5P, PP2A and IER3 Regulate PI3K/AKT Signaling {R-MMU-6811558}; Mitotic Prometaphase {R-MMU-68877}; EML4 and NUDC in mitotic spindle formation {R-MMU-9648025}</t>
  </si>
  <si>
    <t>sp|Q9CPT3|NANP_MOUSE</t>
  </si>
  <si>
    <t>N-acylneuraminate-9-phosphatase</t>
  </si>
  <si>
    <t>Haloacid dehalogenase-like hydrolase domain-containing protein 4; Neu5Ac-9-Pase</t>
  </si>
  <si>
    <t>NANP_MOUSE</t>
  </si>
  <si>
    <t>Q9CPT3</t>
  </si>
  <si>
    <t>Hdhd4</t>
  </si>
  <si>
    <t>MGI:1914561</t>
  </si>
  <si>
    <t>3D-structure; Carbohydrate metabolism; Hydrolase; Magnesium</t>
  </si>
  <si>
    <t>carbohydrate metabolic process {GO:0005975}; dephosphorylation {GO:0016311}; N-acetylglucosamine biosynthetic process {GO:0006045}; N-acetylneuraminate biosynthetic process {GO:0046380}</t>
  </si>
  <si>
    <t>N-acylneuraminate-9-phosphatase activity {GO:0050124}; phosphatase activity {GO:0016791}</t>
  </si>
  <si>
    <t>Amino-sugar metabolism; N-acetylneuraminate biosynthesis.</t>
  </si>
  <si>
    <t>sp|Q9CXS4|CENPV_MOUSE</t>
  </si>
  <si>
    <t>Centromere protein V (CENP-V)</t>
  </si>
  <si>
    <t>Proline-rich protein 6</t>
  </si>
  <si>
    <t>CENPV_MOUSE</t>
  </si>
  <si>
    <t>Q9CXS4</t>
  </si>
  <si>
    <t>B2RWK8; B9EK22; Q5SX21; Q6PIA5</t>
  </si>
  <si>
    <t>Prr6</t>
  </si>
  <si>
    <t>MGI:1920389</t>
  </si>
  <si>
    <t>Alternative splicing; Cell cycle; Cell division; Centromere; Chromosome; Cytoplasm; Cytoskeleton; Kinetochore; Metal-binding; Methylation; Mitosis; Nucleus; Phosphoprotein; Zinc</t>
  </si>
  <si>
    <t>ameboidal-type cell migration {GO:0001667}; cell cycle {GO:0007049}; cell division {GO:0051301}; centromere complex assembly {GO:0034508}; pericentric heterochromatin assembly {GO:0031508}; positive regulation of cytokinesis {GO:0032467}; regulation of chromosome organization {GO:0033044}</t>
  </si>
  <si>
    <t>cytosol {GO:0005829}; kinetochore {GO:0000776}; microtubule cytoskeleton {GO:0015630}; midbody {GO:0030496}; nuclear membrane {GO:0031965}; nucleoplasm {GO:0005654}; nucleus {GO:0005634}; spindle midzone {GO:0051233}</t>
  </si>
  <si>
    <t>carbon-sulfur lyase activity {GO:0016846}; metal ion binding {GO:0046872}</t>
  </si>
  <si>
    <t>tr|A2RTH5|A2RTH5_MOUSE</t>
  </si>
  <si>
    <t>sp|Q9CPX6|ATG3_MOUSE</t>
  </si>
  <si>
    <t>Ubiquitin-like-conjugating enzyme ATG3</t>
  </si>
  <si>
    <t>Autophagy-related protein 3 (APG3-like)</t>
  </si>
  <si>
    <t>ATG3_MOUSE</t>
  </si>
  <si>
    <t>Q9CPX6</t>
  </si>
  <si>
    <t>Q3TXJ9</t>
  </si>
  <si>
    <t>Apg3l</t>
  </si>
  <si>
    <t>MGI:1915091</t>
  </si>
  <si>
    <t>Acetylation; Autophagy; Cytoplasm; Isopeptide bond; Protein transport; Transferase; Transport; Ubl conjugation; Ubl conjugation pathway</t>
  </si>
  <si>
    <t>Autophagy; Protein transport; Transport; Ubl conjugation pathway</t>
  </si>
  <si>
    <t>autophagosome assembly {GO:0000045}; autophagy of mitochondrion {GO:0000422}; autophagy of nucleus {GO:0044804}; macroautophagy {GO:0016236}; mitochondrial fragmentation involved in apoptotic process {GO:0043653}; negative regulation of phagocytosis {GO:0050765}; protein modification process {GO:0036211}; protein transport {GO:0015031}; protein ubiquitination {GO:0016567}; regulation of cilium assembly {GO:1902017}</t>
  </si>
  <si>
    <t>cytoplasmic ubiquitin ligase complex {GO:0000153}; cytosol {GO:0005829}</t>
  </si>
  <si>
    <t>Atg12 transferase activity {GO:0019777}; Atg8 ligase activity {GO:0019776}; enzyme binding {GO:0019899}; ubiquitin-like protein transferase activity {GO:0019787}</t>
  </si>
  <si>
    <t>sp|P61963|DCAF7_MOUSE</t>
  </si>
  <si>
    <t>DDB1- and CUL4-associated factor 7</t>
  </si>
  <si>
    <t>WD repeat-containing protein 68; WD repeat-containing protein An11 homolog</t>
  </si>
  <si>
    <t>DCAF7_MOUSE</t>
  </si>
  <si>
    <t>P61963</t>
  </si>
  <si>
    <t>O15491; Q3TMV9; Q9DAE4</t>
  </si>
  <si>
    <t>Han11; Wdr68</t>
  </si>
  <si>
    <t>MGI:1919083</t>
  </si>
  <si>
    <t>Cytoplasm; Developmental protein; Nucleus; Repeat; Ubl conjugation pathway; WD repeat</t>
  </si>
  <si>
    <t>protein ubiquitination {GO:0016567}</t>
  </si>
  <si>
    <t>Cul4-RING E3 ubiquitin ligase complex {GO:0080008}; cytosol {GO:0005829}; nuclear body {GO:0016604}; nuclear matrix {GO:0016363}; nucleoplasm {GO:0005654}; nucleus {GO:0005634}; protein-containing complex {GO:0032991}</t>
  </si>
  <si>
    <t>sp|Q9R1Z7|PTPS_MOUSE</t>
  </si>
  <si>
    <t>6-pyruvoyl tetrahydrobiopterin synthase (PTP synthase; PTPS)</t>
  </si>
  <si>
    <t>PTPS_MOUSE</t>
  </si>
  <si>
    <t>Q9R1Z7</t>
  </si>
  <si>
    <t>Q3UIB6; Q9Z2N2</t>
  </si>
  <si>
    <t>MGI:1338783</t>
  </si>
  <si>
    <t>Lyase; Metal-binding; Phosphoprotein; Tetrahydrobiopterin biosynthesis; Zinc</t>
  </si>
  <si>
    <t>tetrahydrobiopterin biosynthetic process {GO:0006729}</t>
  </si>
  <si>
    <t>6-pyruvoyltetrahydropterin synthase activity {GO:0003874}; identical protein binding {GO:0042802}; metal ion binding {GO:0046872}</t>
  </si>
  <si>
    <t>Cofactor biosynthesis; tetrahydrobiopterin biosynthesis; tetrahydrobiopterin from 7,8-dihydroneopterin triphosphate: step 1/3.</t>
  </si>
  <si>
    <t>Tetrahydrobiopterin (BH4) synthesis, recycling, salvage and regulation {R-MMU-1474151}</t>
  </si>
  <si>
    <t>sp|Q921H9|COA7_MOUSE</t>
  </si>
  <si>
    <t>Cytochrome c oxidase assembly factor 7</t>
  </si>
  <si>
    <t>Beta-lactamase hcp-like protein; Respiratory chain assembly factor 1; Sel1 repeat-containing protein 1</t>
  </si>
  <si>
    <t>COA7_MOUSE</t>
  </si>
  <si>
    <t>Q921H9</t>
  </si>
  <si>
    <t>Selrc1</t>
  </si>
  <si>
    <t>MGI:1917143</t>
  </si>
  <si>
    <t>Acetylation; Mitochondrion; Repeat</t>
  </si>
  <si>
    <t>mitochondrial intermembrane space {GO:0005758}; mitochondrion {GO:0005739}; nucleoplasm {GO:0005654}</t>
  </si>
  <si>
    <t>sp|Q62084|PP14B_MOUSE</t>
  </si>
  <si>
    <t>Protein phosphatase 1 regulatory subunit 14B</t>
  </si>
  <si>
    <t>Phosphatase holoenzyme inhibitor 1 (PHI-1); Phospholipase C-beta-3 neighbouring gene protein</t>
  </si>
  <si>
    <t>PP14B_MOUSE</t>
  </si>
  <si>
    <t>Q62084</t>
  </si>
  <si>
    <t>Q640Q7</t>
  </si>
  <si>
    <t>Png</t>
  </si>
  <si>
    <t>MGI:107682</t>
  </si>
  <si>
    <t>Acetylation; Coiled coil; Cytoplasm; Phosphoprotein; Protein phosphatase inhibitor</t>
  </si>
  <si>
    <t>innate immune response {GO:0045087}; regulation of phosphorylation {GO:0042325}</t>
  </si>
  <si>
    <t>phosphatase inhibitor activity {GO:0019212}; protein phosphatase regulator activity {GO:0019888}; protein serine/threonine phosphatase inhibitor activity {GO:0004865}</t>
  </si>
  <si>
    <t>sp|Q91ZA3|PCCA_MOUSE</t>
  </si>
  <si>
    <t>Propionyl-CoA carboxylase alpha chain, mitochondrial (PCCase subunit alpha)</t>
  </si>
  <si>
    <t>Propanoyl-CoA:carbon dioxide ligase subunit alpha</t>
  </si>
  <si>
    <t>PCCA_MOUSE</t>
  </si>
  <si>
    <t>Q91ZA3</t>
  </si>
  <si>
    <t>Q80VU5; Q922N3</t>
  </si>
  <si>
    <t>MGI:97499</t>
  </si>
  <si>
    <t>Acetylation; ATP-binding; Biotin; Ligase; Lipid degradation; Lipid metabolism; Magnesium; Manganese; Metal-binding; Mitochondrion; Nucleotide-binding; Phosphoprotein; Transit peptide</t>
  </si>
  <si>
    <t>catalytic complex {GO:1902494}; mitochondrial matrix {GO:0005759}; mitochondrion {GO:0005739}</t>
  </si>
  <si>
    <t>ATP binding {GO:0005524}; enzyme binding {GO:0019899}; metal ion binding {GO:0046872}; propionyl-CoA carboxylase activity {GO:0004658}</t>
  </si>
  <si>
    <t>Metabolic intermediate metabolism; propanoyl-CoA degradation; succinyl-CoA from propanoyl-CoA: step 1/3.</t>
  </si>
  <si>
    <t>Biotin transport and metabolism {R-MMU-196780}; Propionyl-CoA catabolism {R-MMU-71032}</t>
  </si>
  <si>
    <t>sp|Q9DBR1|XRN2_MOUSE</t>
  </si>
  <si>
    <t>5'-3' exoribonuclease 2</t>
  </si>
  <si>
    <t>Protein Dhm1</t>
  </si>
  <si>
    <t>XRN2_MOUSE</t>
  </si>
  <si>
    <t>Q9DBR1</t>
  </si>
  <si>
    <t>Q3TI26; Q3TKF2; Q3UZT9; Q61489; Q99KS7</t>
  </si>
  <si>
    <t>Dhm1</t>
  </si>
  <si>
    <t>MGI:894687</t>
  </si>
  <si>
    <t>Acetylation; Alternative splicing; DNA-binding; Exonuclease; Hydrolase; Metal-binding; Methylation; mRNA processing; Nuclease; Nucleus; Phosphoprotein; Transcription; Transcription regulation; Transcription termination; Zinc; Zinc-finger</t>
  </si>
  <si>
    <t>Transcription; Transcription regulation; Transcription termination; mRNA processing</t>
  </si>
  <si>
    <t>DNA-binding; Exonuclease; Hydrolase; Nuclease</t>
  </si>
  <si>
    <t>DNA catabolic process, exonucleolytic {GO:0000738}; DNA recombination {GO:0006310}; DNA repair {GO:0006281}; hippocampus development {GO:0021766}; microtubule-based process {GO:0007017}; mRNA processing {GO:0006397}; neuron differentiation {GO:0030182}; nuclear-transcribed mRNA catabolic process {GO:0000956}; retina development in camera-type eye {GO:0060041}; RNA metabolic process {GO:0016070}; spermatogenesis {GO:0007283}</t>
  </si>
  <si>
    <t>aggresome {GO:0016235}; nucleolus {GO:0005730}; nucleoplasm {GO:0005654}; nucleus {GO:0005634}</t>
  </si>
  <si>
    <t>3'-5'-exoribonuclease activity {GO:0000175}; 5'-3' exonuclease activity {GO:0008409}; 5'-3' exoribonuclease activity {GO:0004534}; identical protein binding {GO:0042802}; metal ion binding {GO:0046872}; RNA binding {GO:0003723}; transcription termination site sequence-specific DNA binding {GO:0001147}</t>
  </si>
  <si>
    <t>sp|Q99LM2|CK5P3_MOUSE</t>
  </si>
  <si>
    <t>CDK5 regulatory subunit-associated protein 3</t>
  </si>
  <si>
    <t>CK5P3_MOUSE</t>
  </si>
  <si>
    <t>Q99LM2</t>
  </si>
  <si>
    <t>Q3UE41</t>
  </si>
  <si>
    <t>MGI:1933126</t>
  </si>
  <si>
    <t>Cytoplasm; Cytoskeleton; Isopeptide bond; Nucleus; Phosphoprotein; Ubl conjugation</t>
  </si>
  <si>
    <t>apoptotic nuclear changes {GO:0030262}; cell population proliferation {GO:0008283}; definitive erythrocyte differentiation {GO:0060318}; endoplasmic reticulum unfolded protein response {GO:0030968}; liver development {GO:0001889}; mitotic G2 DNA damage checkpoint signaling {GO:0007095}; mitotic G2/M transition checkpoint {GO:0044818}; negative regulation of cyclin-dependent protein serine/threonine kinase activity {GO:0045736}; negative regulation of MAP kinase activity {GO:0043407}; negative regulation of NF-kappaB transcription factor activity {GO:0032088}; negative regulation of protein catabolic process {GO:0042177}; negative regulation of protein kinase activity by regulation of protein phosphorylation {GO:0044387}; negative regulation of protein phosphorylation {GO:0001933}; negative regulation of protein serine/threonine kinase activity {GO:0071901}; positive regulation of protein localization to nucleus {GO:1900182}; positive regulation of protein ubiquitination {GO:0031398}; positive regulation of signal transduction by p53 class mediator {GO:1901798}; positive regulation of transcription by RNA polymerase II {GO:0045944}; protein ufmylation {GO:0071569}; regulation of cyclin-dependent protein serine/threonine kinase activity {GO:0000079}; regulation of mitotic cell cycle {GO:0007346}; regulation of phosphatase activity {GO:0010921}; response to endoplasmic reticulum stress {GO:0034976}</t>
  </si>
  <si>
    <t>centrosome {GO:0005813}; cytoplasm {GO:0005737}; cytosol {GO:0005829}; intracellular membrane-bounded organelle {GO:0043231}; microtubule {GO:0005874}; nucleolus {GO:0005730}; nucleus {GO:0005634}; protein-containing complex {GO:0032991}</t>
  </si>
  <si>
    <t>cyclin binding {GO:0030332}; MDM2/MDM4 family protein binding {GO:0097371}; mitogen-activated protein kinase binding {GO:0051019}; NF-kappaB binding {GO:0051059}; protein kinase binding {GO:0019901}; protein-containing complex binding {GO:0044877}; ubiquitin-like protein ligase binding {GO:0044389}</t>
  </si>
  <si>
    <t>sp|Q8BKZ9|ODPX_MOUSE</t>
  </si>
  <si>
    <t>Pyruvate dehydrogenase protein X component, mitochondrial</t>
  </si>
  <si>
    <t>Dihydrolipoamide dehydrogenase-binding protein of pyruvate dehydrogenase complex; Lipoyl-containing pyruvate dehydrogenase complex component X</t>
  </si>
  <si>
    <t>ODPX_MOUSE</t>
  </si>
  <si>
    <t>Q8BKZ9</t>
  </si>
  <si>
    <t>MGI:1351627</t>
  </si>
  <si>
    <t>Acetylation; Lipoyl; Mitochondrion; Phosphoprotein; Transit peptide</t>
  </si>
  <si>
    <t>acetyl-CoA biosynthetic process from pyruvate {GO:0006086}; mitochondrial acetyl-CoA biosynthetic process from pyruvate {GO:0061732}</t>
  </si>
  <si>
    <t>mitochondrial pyruvate dehydrogenase complex {GO:0005967}; mitochondrion {GO:0005739}; pyruvate dehydrogenase complex {GO:0045254}</t>
  </si>
  <si>
    <t>acyltransferase activity {GO:0016746}; pyruvate dehydrogenase (NAD+) activity {GO:0034604}</t>
  </si>
  <si>
    <t>tr|Q9CQX6|Q9CQX6_MOUSE</t>
  </si>
  <si>
    <t>sp|P97742|CPT1A_MOUSE</t>
  </si>
  <si>
    <t>Carnitine O-palmitoyltransferase 1, liver isoform (CPT1-L)</t>
  </si>
  <si>
    <t>Carnitine O-palmitoyltransferase I, liver isoform (CPT I; CPTI-L); Carnitine palmitoyltransferase 1A</t>
  </si>
  <si>
    <t>CPT1A_MOUSE</t>
  </si>
  <si>
    <t>P97742</t>
  </si>
  <si>
    <t>O35288; Q80SW3; Q8BP98; Q8C7H8</t>
  </si>
  <si>
    <t>Cpt-1; Cpt1</t>
  </si>
  <si>
    <t>MGI:1098296</t>
  </si>
  <si>
    <t>Acetylation; Acyltransferase; Fatty acid metabolism; Lipid metabolism; Membrane; Mitochondrion; Mitochondrion outer membrane; Nitration; Phosphoprotein; Transferase; Transmembrane; Transmembrane helix; Transport</t>
  </si>
  <si>
    <t>carnitine metabolic process {GO:0009437}; cellular response to fatty acid {GO:0071398}; eating behavior {GO:0042755}; epithelial cell differentiation {GO:0030855}; fatty acid beta-oxidation {GO:0006635}; fatty acid metabolic process {GO:0006631}; glucose metabolic process {GO:0006006}; lipid localization {GO:0010876}; liver regeneration {GO:0097421}; long-chain fatty acid metabolic process {GO:0001676}; positive regulation of fatty acid beta-oxidation {GO:0032000}; regulation of fatty acid oxidation {GO:0046320}; regulation of insulin secretion {GO:0050796}; regulation of lipid storage {GO:0010883}; response to alkaloid {GO:0043279}; response to antibiotic {GO:0046677}; response to ethanol {GO:0045471}; response to nutrient levels {GO:0031667}; response to organic cyclic compound {GO:0014070}; response to tetrachloromethane {GO:1904772}; response to xenobiotic stimulus {GO:0009410}; triglyceride metabolic process {GO:0006641}</t>
  </si>
  <si>
    <t>integral component of membrane {GO:0016021}; integral component of mitochondrial outer membrane {GO:0031307}; intracellular membrane-bounded organelle {GO:0043231}; mitochondrial inner membrane {GO:0005743}; mitochondrial outer membrane {GO:0005741}; mitochondrion {GO:0005739}</t>
  </si>
  <si>
    <t>carnitine O-palmitoyltransferase activity {GO:0004095}; identical protein binding {GO:0042802}; palmitoleoyltransferase activity {GO:1990698}</t>
  </si>
  <si>
    <t>Carnitine metabolism {R-MMU-200425}; Signaling by Retinoic Acid {R-MMU-5362517}</t>
  </si>
  <si>
    <t>sp|P62257|UBE2H_MOUSE</t>
  </si>
  <si>
    <t>Ubiquitin-conjugating enzyme E2 H</t>
  </si>
  <si>
    <t>(E3-independent) E2 ubiquitin-conjugating enzyme H; E2 ubiquitin-conjugating enzyme H; UBCH2; Ubiquitin carrier protein H; Ubiquitin-conjugating enzyme E2-20K; Ubiquitin-protein ligase H</t>
  </si>
  <si>
    <t>UBE2H_MOUSE</t>
  </si>
  <si>
    <t>P62257</t>
  </si>
  <si>
    <t>P37286</t>
  </si>
  <si>
    <t>MGI:104632</t>
  </si>
  <si>
    <t>proteasome-mediated ubiquitin-dependent protein catabolic process {GO:0043161}; protein K11-linked ubiquitination {GO:0070979}; protein K48-linked ubiquitination {GO:0070936}; protein polyubiquitination {GO:0000209}; ubiquitin-dependent protein catabolic process {GO:0006511}</t>
  </si>
  <si>
    <t>ATP binding {GO:0005524}; ubiquitin conjugating enzyme activity {GO:0061631}; ubiquitin-protein transferase activity {GO:0004842}</t>
  </si>
  <si>
    <t>sp|E9Q394|AKP13_MOUSE</t>
  </si>
  <si>
    <t>sp|Q8CFI2|UB2R1_MOUSE</t>
  </si>
  <si>
    <t>Ubiquitin-conjugating enzyme E2 R1</t>
  </si>
  <si>
    <t>(E3-independent) E2 ubiquitin-conjugating enzyme R1; E2 ubiquitin-conjugating enzyme R1; Ubiquitin-conjugating enzyme E2-32 kDa complementing; Ubiquitin-conjugating enzyme E2-CDC34; Ubiquitin-protein ligase R1</t>
  </si>
  <si>
    <t>UB2R1_MOUSE</t>
  </si>
  <si>
    <t>Q8CFI2</t>
  </si>
  <si>
    <t>Q505K8</t>
  </si>
  <si>
    <t>Ubch3; Ube2r1</t>
  </si>
  <si>
    <t>MGI:102657</t>
  </si>
  <si>
    <t>ATP-binding; Cell cycle; Cytoplasm; Nucleotide-binding; Nucleus; Phosphoprotein; Transferase; Ubl conjugation pathway</t>
  </si>
  <si>
    <t>cell cycle {GO:0007049}; cellular response to interferon-beta {GO:0035458}; negative regulation of cAMP-mediated signaling {GO:0043951}; positive regulation of inclusion body assembly {GO:0090261}; positive regulation of neuron apoptotic process {GO:0043525}; proteasome-mediated ubiquitin-dependent protein catabolic process {GO:0043161}; protein K48-linked ubiquitination {GO:0070936}; protein monoubiquitination {GO:0006513}; protein polyubiquitination {GO:0000209}; protein ubiquitination {GO:0016567}; response to growth factor {GO:0070848}; ubiquitin-dependent protein catabolic process {GO:0006511}</t>
  </si>
  <si>
    <t>cytosol {GO:0005829}; nuclear speck {GO:0016607}</t>
  </si>
  <si>
    <t>Downstream TCR signaling {R-MMU-202424}; FCERI mediated NF-kB activation {R-MMU-2871837}; CLEC7A (Dectin-1) signaling {R-MMU-5607764}; Synthesis of active ubiquitin: roles of E1 and E2 enzymes {R-MMU-8866652}; Antigen processing: Ubiquitination &amp; Proteasome degradation {R-MMU-983168}</t>
  </si>
  <si>
    <t>sp|Q91W89|MA2C1_MOUSE</t>
  </si>
  <si>
    <t>Alpha-mannosidase 2C1</t>
  </si>
  <si>
    <t>Alpha-D-mannoside mannohydrolase; Mannosidase alpha class 2C member 1; Neutral/cytosolic alpha-mannosidase</t>
  </si>
  <si>
    <t>MA2C1_MOUSE</t>
  </si>
  <si>
    <t>Q91W89</t>
  </si>
  <si>
    <t>Q3ZCX9</t>
  </si>
  <si>
    <t>MGI:1920994</t>
  </si>
  <si>
    <t>Cobalt; Cytoplasm; Glycosidase; Hydrolase; Metal-binding</t>
  </si>
  <si>
    <t>Cobalt; Metal-binding</t>
  </si>
  <si>
    <t>mannose metabolic process {GO:0006013}; oligosaccharide catabolic process {GO:0009313}</t>
  </si>
  <si>
    <t>alpha-mannosidase activity {GO:0004559}; carbohydrate binding {GO:0030246}; metal ion binding {GO:0046872}</t>
  </si>
  <si>
    <t>Lysosomal oligosaccharide catabolism {R-MMU-8853383}</t>
  </si>
  <si>
    <t>sp|Q9DBE0|CSAD_MOUSE</t>
  </si>
  <si>
    <t>Cysteine sulfinic acid decarboxylase</t>
  </si>
  <si>
    <t>Aspartate 1-decarboxylase; Cysteine-sulfinate decarboxylase; Sulfinoalanine decarboxylase</t>
  </si>
  <si>
    <t>CSAD_MOUSE</t>
  </si>
  <si>
    <t>Q9DBE0</t>
  </si>
  <si>
    <t>Q8K566</t>
  </si>
  <si>
    <t>MGI:2180098</t>
  </si>
  <si>
    <t>3D-structure; Decarboxylase; Lyase; Pyridoxal phosphate</t>
  </si>
  <si>
    <t>L-cysteine catabolic process to hypotaurine {GO:0019449}; L-cysteine catabolic process to taurine {GO:0019452}; taurine biosynthetic process {GO:0042412}; taurine metabolic process {GO:0019530}</t>
  </si>
  <si>
    <t>aspartate 1-decarboxylase activity {GO:0004068}; carboxy-lyase activity {GO:0016831}; pyridoxal phosphate binding {GO:0030170}; sulfinoalanine decarboxylase activity {GO:0004782}</t>
  </si>
  <si>
    <t>Organosulfur biosynthesis; taurine biosynthesis; hypotaurine from L-cysteine: step 2/2.</t>
  </si>
  <si>
    <t>sp|Q8VEH5|EPMIP_MOUSE</t>
  </si>
  <si>
    <t>EPM2A-interacting protein 1</t>
  </si>
  <si>
    <t>Laforin-interacting protein</t>
  </si>
  <si>
    <t>EPMIP_MOUSE</t>
  </si>
  <si>
    <t>Q8VEH5</t>
  </si>
  <si>
    <t>Q80TS4</t>
  </si>
  <si>
    <t>Kiaa0766</t>
  </si>
  <si>
    <t>MGI:1925031</t>
  </si>
  <si>
    <t>Endoplasmic reticulum; Phosphoprotein</t>
  </si>
  <si>
    <t>glycogen biosynthetic process {GO:0005978}; positive regulation of glycogen (starch) synthase activity {GO:2000467}; positive regulation of glycogen biosynthetic process {GO:0045725}; response to insulin {GO:0032868}</t>
  </si>
  <si>
    <t>cytoplasm {GO:0005737}; cytoplasmic side of endoplasmic reticulum membrane {GO:0098554}; nucleus {GO:0005634}</t>
  </si>
  <si>
    <t>sp|Q3UE37|UBE2Z_MOUSE</t>
  </si>
  <si>
    <t>Ubiquitin-conjugating enzyme E2 Z</t>
  </si>
  <si>
    <t>E2 ubiquitin-conjugating enzyme Z; Uba6-specific E2 conjugating enzyme 1 (Use1); Ubiquitin carrier protein Z; Ubiquitin-protein ligase Z</t>
  </si>
  <si>
    <t>UBE2Z_MOUSE</t>
  </si>
  <si>
    <t>Q3UE37</t>
  </si>
  <si>
    <t>A2A6M3; Q3TFZ8; Q3U618; Q7TMY6; Q8BVL2; Q9DAU4</t>
  </si>
  <si>
    <t>D11Moh35</t>
  </si>
  <si>
    <t>MGI:1343160</t>
  </si>
  <si>
    <t>Apoptosis; ATP-binding; Cytoplasm; Nucleotide-binding; Nucleus; Phosphoprotein; Transferase; Ubl conjugation pathway</t>
  </si>
  <si>
    <t>apoptotic process {GO:0006915}; negative regulation of apoptotic process {GO:0043066}; positive regulation of apoptotic process {GO:0043065}; ubiquitin-dependent protein catabolic process {GO:0006511}</t>
  </si>
  <si>
    <t>ATP binding {GO:0005524}; cysteine-type endopeptidase inhibitor activity {GO:0004869}; ubiquitin conjugating enzyme activity {GO:0061631}</t>
  </si>
  <si>
    <t>sp|Q9D1G2|PMVK_MOUSE</t>
  </si>
  <si>
    <t>Phosphomevalonate kinase (PMKase)</t>
  </si>
  <si>
    <t>PMVK_MOUSE</t>
  </si>
  <si>
    <t>Q9D1G2</t>
  </si>
  <si>
    <t>Q8R021; Q9D6K3</t>
  </si>
  <si>
    <t>MGI:1915853</t>
  </si>
  <si>
    <t>Alternative splicing; ATP-binding; Cholesterol biosynthesis; Cholesterol metabolism; Cytoplasm; Kinase; Lipid biosynthesis; Lipid metabolism; Nucleotide-binding; Steroid biosynthesis; Steroid metabolism; Sterol biosynthesis; Sterol metabolism; Transferase</t>
  </si>
  <si>
    <t>cholesterol biosynthetic process {GO:0006695}; isopentenyl diphosphate biosynthetic process, mevalonate pathway {GO:0019287}; phosphorylation {GO:0016310}; response to cholesterol {GO:0070723}; sterol biosynthetic process {GO:0016126}</t>
  </si>
  <si>
    <t>ATP binding {GO:0005524}; phosphomevalonate kinase activity {GO:0004631}</t>
  </si>
  <si>
    <t>Isoprenoid biosynthesis; isopentenyl diphosphate biosynthesis via mevalonate pathway; isopentenyl diphosphate from (R)-mevalonate: step 2/3..</t>
  </si>
  <si>
    <t>sp|P09528|FRIH_MOUSE</t>
  </si>
  <si>
    <t>Ferritin heavy chain, N-terminally processed (Ferritin H subunit)</t>
  </si>
  <si>
    <t>FRIH_MOUSE</t>
  </si>
  <si>
    <t>P09528</t>
  </si>
  <si>
    <t>Q3UI44</t>
  </si>
  <si>
    <t>Fth</t>
  </si>
  <si>
    <t>MGI:95588</t>
  </si>
  <si>
    <t>3D-structure; Acetylation; Iron; Iron storage; Metal-binding; Oxidoreductase</t>
  </si>
  <si>
    <t>immune response {GO:0006955}; intracellular sequestering of iron ion {GO:0006880}; iron ion transport {GO:0006826}; negative regulation of cell population proliferation {GO:0008285}; negative regulation of fibroblast proliferation {GO:0048147}; negative regulation of necrotic cell death {GO:0060547}</t>
  </si>
  <si>
    <t>autolysosome {GO:0044754}; cytoplasm {GO:0005737}; endocytic vesicle lumen {GO:0071682}; extracellular region {GO:0005576}; mitochondrion {GO:0005739}</t>
  </si>
  <si>
    <t>ferric iron binding {GO:0008199}; ferrous iron binding {GO:0008198}; ferroxidase activity {GO:0004322}; identical protein binding {GO:0042802}; iron ion binding {GO:0005506}</t>
  </si>
  <si>
    <t>Golgi Associated Vesicle Biogenesis {R-MMU-432722}; Neutrophil degranulation {R-MMU-6798695}; Iron uptake and transport {R-MMU-917937}</t>
  </si>
  <si>
    <t>sp|Q59J78|NDUF2_MOUSE</t>
  </si>
  <si>
    <t>NADH dehydrogenase [ubiquinone] 1 alpha subcomplex assembly factor 2</t>
  </si>
  <si>
    <t>Mimitin; Myc-induced mitochondrial protein (MMTN); NDUFA12-like protein</t>
  </si>
  <si>
    <t>NDUF2_MOUSE</t>
  </si>
  <si>
    <t>Q59J78</t>
  </si>
  <si>
    <t>Q14A56; Q80VX9</t>
  </si>
  <si>
    <t>Ndufa12l</t>
  </si>
  <si>
    <t>MGI:1922847</t>
  </si>
  <si>
    <t>Chaperone; Mitochondrion; Phosphoprotein; Transit peptide</t>
  </si>
  <si>
    <t>mitochondrial respiratory chain complex I assembly {GO:0032981}; negative regulation of insulin secretion involved in cellular response to glucose stimulus {GO:0061179}</t>
  </si>
  <si>
    <t>membrane {GO:0016020}; mitochondrion {GO:0005739}</t>
  </si>
  <si>
    <t>Complex I biogenesis {R-MMU-6799198}</t>
  </si>
  <si>
    <t>sp|Q9JHW4|SELB_MOUSE</t>
  </si>
  <si>
    <t>Selenocysteine-specific elongation factor</t>
  </si>
  <si>
    <t>Elongation factor sec; Eukaryotic elongation factor, selenocysteine-tRNA-specific (mSelB)</t>
  </si>
  <si>
    <t>SELB_MOUSE</t>
  </si>
  <si>
    <t>Q9JHW4</t>
  </si>
  <si>
    <t>Q6GTZ5</t>
  </si>
  <si>
    <t>Selb</t>
  </si>
  <si>
    <t>MGI:2137092</t>
  </si>
  <si>
    <t>Cytoplasm; GTP-binding; Methylation; Nucleotide-binding; Nucleus; Phosphoprotein; Protein biosynthesis</t>
  </si>
  <si>
    <t>selenocysteine incorporation {GO:0001514}; translational elongation {GO:0006414}</t>
  </si>
  <si>
    <t>cytosol {GO:0005829}; mitochondrion {GO:0005739}; nucleus {GO:0005634}; ribonucleoprotein complex {GO:1990904}</t>
  </si>
  <si>
    <t>GTP binding {GO:0005525}; GTPase activity {GO:0003924}; ribonucleoprotein complex binding {GO:0043021}; selenocysteine insertion sequence binding {GO:0035368}; translation elongation factor activity {GO:0003746}; tRNA binding {GO:0000049}</t>
  </si>
  <si>
    <t>sp|Q8BZS9|DHX32_MOUSE</t>
  </si>
  <si>
    <t>Putative pre-mRNA-splicing factor ATP-dependent RNA helicase DHX32</t>
  </si>
  <si>
    <t>DEAH box protein 32; MuDDX32</t>
  </si>
  <si>
    <t>DHX32_MOUSE</t>
  </si>
  <si>
    <t>Q8BZS9</t>
  </si>
  <si>
    <t>Q3TFU4; Q8VH39; Q922N6</t>
  </si>
  <si>
    <t>Ddx32</t>
  </si>
  <si>
    <t>MGI:2141813</t>
  </si>
  <si>
    <t>Acetylation; Alternative splicing; ATP-binding; Helicase; Hydrolase; Mitochondrion; Nucleotide-binding; Nucleus</t>
  </si>
  <si>
    <t>mitochondrion {GO:0005739}; spliceosomal complex {GO:0005681}</t>
  </si>
  <si>
    <t>sp|Q6ZPY7|KDM3B_MOUSE</t>
  </si>
  <si>
    <t>Lysine-specific demethylase 3B</t>
  </si>
  <si>
    <t>JmjC domain-containing histone demethylation protein 2B; Jumonji domain-containing protein 1B; [histone H3]-dimethyl-L-lysine(9) demethylase 3B</t>
  </si>
  <si>
    <t>KDM3B_MOUSE</t>
  </si>
  <si>
    <t>Q6ZPY7</t>
  </si>
  <si>
    <t>B9EKS2; Q2VPQ5; Q5U5V7; Q6P9K3; Q8CCE2; Q8K2A5; Q9CU57</t>
  </si>
  <si>
    <t>Jhdm2b; Jmjd1b; Kiaa1082</t>
  </si>
  <si>
    <t>MGI:1923356</t>
  </si>
  <si>
    <t>Acetylation; Alternative splicing; Chromatin regulator; Dioxygenase; Iron; Isopeptide bond; Metal-binding; Nucleus; Oxidoreductase; Phosphoprotein; Transcription; Transcription regulation; Ubl conjugation; Zinc; Zinc-finger</t>
  </si>
  <si>
    <t>Chromatin regulator; Dioxygenase; Oxidoreductase</t>
  </si>
  <si>
    <t>chromatin organization {GO:0006325}; histone H3-K9 demethylation {GO:0033169}; regulation of transcription by RNA polymerase II {GO:0006357}; response to cisplatin {GO:0072718}</t>
  </si>
  <si>
    <t>chromatin {GO:0000785}; histone deacetylase complex {GO:0000118}; nucleoplasm {GO:0005654}</t>
  </si>
  <si>
    <t>antioxidant activity {GO:0016209}; chromatin DNA binding {GO:0031490}; histone H3-di/monomethyl-lysine-9 demethylase activity {GO:0140683}; histone H3-methyl-lysine-9 demethylase activity {GO:0032454}; metal ion binding {GO:0046872}; transcription coregulator activity {GO:0003712}</t>
  </si>
  <si>
    <t>HDMs demethylate histones {R-MMU-3214842}</t>
  </si>
  <si>
    <t>sp|Q923D4|SF3B5_MOUSE</t>
  </si>
  <si>
    <t>Splicing factor 3B subunit 5 (SF3b5)</t>
  </si>
  <si>
    <t>Pre-mRNA-splicing factor SF3b 10 kDa subunit</t>
  </si>
  <si>
    <t>SF3B5_MOUSE</t>
  </si>
  <si>
    <t>Q923D4</t>
  </si>
  <si>
    <t>Sf3b10</t>
  </si>
  <si>
    <t>MGI:1913375</t>
  </si>
  <si>
    <t>Acetylation; mRNA processing; mRNA splicing; Nucleus; Phosphoprotein; RNA-binding; Spliceosome</t>
  </si>
  <si>
    <t>histone H3 acetylation {GO:0043966}; monoubiquitinated histone deubiquitination {GO:0035521}; monoubiquitinated histone H2A deubiquitination {GO:0035522}; mRNA splicing, via spliceosome {GO:0000398}; positive regulation of DNA-templated transcription {GO:0045893}; regulation of DNA repair {GO:0006282}; regulation of RNA splicing {GO:0043484}</t>
  </si>
  <si>
    <t>nucleoplasm {GO:0005654}; nucleus {GO:0005634}; precatalytic spliceosome {GO:0071011}; SAGA complex {GO:0000124}; U12-type spliceosomal complex {GO:0005689}; U2 snRNP {GO:0005686}; U2-type precatalytic spliceosome {GO:0071005}; U2-type spliceosomal complex {GO:0005684}</t>
  </si>
  <si>
    <t>RNA binding {GO:0003723}; splicing factor binding {GO:1990935}</t>
  </si>
  <si>
    <t>sp|Q922K7|NOP2_MOUSE</t>
  </si>
  <si>
    <t>Probable 28S rRNA (cytosine-C(5))-methyltransferase</t>
  </si>
  <si>
    <t>Nucleolar protein 1; Nucleolar protein 2 homolog; Proliferating-cell nucleolar antigen p120; Proliferation-associated nucleolar protein p120</t>
  </si>
  <si>
    <t>NOP2_MOUSE</t>
  </si>
  <si>
    <t>Q922K7</t>
  </si>
  <si>
    <t>Q3U4W9</t>
  </si>
  <si>
    <t>Nol1</t>
  </si>
  <si>
    <t>MGI:107891</t>
  </si>
  <si>
    <t>Acetylation; Citrullination; Isopeptide bond; Methyltransferase; Nucleus; Phosphoprotein; Ribosome biogenesis; RNA-binding; rRNA processing; S-adenosyl-L-methionine; Transferase; Ubl conjugation</t>
  </si>
  <si>
    <t>blastocyst formation {GO:0001825}; maturation of LSU-rRNA {GO:0000470}; positive regulation of cell population proliferation {GO:0008284}; regulation of signal transduction by p53 class mediator {GO:1901796}; ribosomal large subunit assembly {GO:0000027}; RNA methylation {GO:0001510}; rRNA base methylation {GO:0070475}</t>
  </si>
  <si>
    <t>RNA binding {GO:0003723}; rRNA (cytosine-C5-)-methyltransferase activity {GO:0009383}</t>
  </si>
  <si>
    <t>sp|Q9QZB7|ARP10_MOUSE</t>
  </si>
  <si>
    <t>Actin-related protein 10</t>
  </si>
  <si>
    <t>Actin-related protein 11</t>
  </si>
  <si>
    <t>ARP10_MOUSE</t>
  </si>
  <si>
    <t>Q9QZB7</t>
  </si>
  <si>
    <t>Q3TT18; Q99LU1</t>
  </si>
  <si>
    <t>Act11; Actr11; Arp10; Arp11</t>
  </si>
  <si>
    <t>MGI:1891654</t>
  </si>
  <si>
    <t>microtubule-based movement {GO:0007018}; retrograde axonal transport of mitochondrion {GO:0098958}</t>
  </si>
  <si>
    <t>axon cytoplasm {GO:1904115}; dynactin complex {GO:0005869}</t>
  </si>
  <si>
    <t>MHC class II antigen presentation {R-MMU-2132295}; HSP90 chaperone cycle for steroid hormone receptors (SHR) in the presence of ligand {R-MMU-3371497}; Neutrophil degranulation {R-MMU-6798695}; COPI-mediated anterograde transport {R-MMU-6807878}; COPI-independent Golgi-to-ER retrograde traffic {R-MMU-6811436}</t>
  </si>
  <si>
    <t>sp|Q5EBG8|CA050_MOUSE</t>
  </si>
  <si>
    <t>Uncharacterized protein C1orf50 homolog</t>
  </si>
  <si>
    <t>CA050_MOUSE</t>
  </si>
  <si>
    <t>Q5EBG8</t>
  </si>
  <si>
    <t>MGI:2140466</t>
  </si>
  <si>
    <t>sp|Q3UTJ2|SRBS2_MOUSE</t>
  </si>
  <si>
    <t>Sorbin and SH3 domain-containing protein 2</t>
  </si>
  <si>
    <t>Arg-binding protein 2 (ArgBP2); Arg/Abl-interacting protein 2</t>
  </si>
  <si>
    <t>SRBS2_MOUSE</t>
  </si>
  <si>
    <t>Q3UTJ2</t>
  </si>
  <si>
    <t>Q3USC6; Q80TS1; Q8BJL6; Q8BJU3; Q8BLW9; Q8BX47; Q8CHU0</t>
  </si>
  <si>
    <t>Argbp2; Kiaa0777</t>
  </si>
  <si>
    <t>MGI:1924574</t>
  </si>
  <si>
    <t>Alternative splicing; Cell junction; Cell membrane; Cell projection; Cytoplasm; Cytoskeleton; Membrane; Phosphoprotein; Repeat; SH3 domain; Ubl conjugation</t>
  </si>
  <si>
    <t>acetylcholine receptor signaling pathway {GO:0095500}; actin filament organization {GO:0007015}; cell growth involved in cardiac muscle cell development {GO:0061049}; Notch signaling pathway {GO:0007219}; regulation of skeletal muscle acetylcholine-gated channel clustering {GO:1904393}</t>
  </si>
  <si>
    <t>apical plasma membrane {GO:0016324}; cytoskeleton {GO:0005856}; dendrite {GO:0030425}; focal adhesion {GO:0005925}; lamellipodium {GO:0030027}; neuronal cell body {GO:0043025}; perinuclear region of cytoplasm {GO:0048471}; plasma membrane {GO:0005886}; postsynaptic density {GO:0014069}; synapse {GO:0045202}; Z disc {GO:0030018}</t>
  </si>
  <si>
    <t>identical protein binding {GO:0042802}; protein domain specific binding {GO:0019904}</t>
  </si>
  <si>
    <t>sp|Q9DB72|BTBDH_MOUSE</t>
  </si>
  <si>
    <t>BTB/POZ domain-containing protein 17</t>
  </si>
  <si>
    <t>Galectin-3-binding protein-like</t>
  </si>
  <si>
    <t>BTBDH_MOUSE</t>
  </si>
  <si>
    <t>Q9DB72</t>
  </si>
  <si>
    <t>MGI:1919264</t>
  </si>
  <si>
    <t>Glycoprotein; Secreted; Signal</t>
  </si>
  <si>
    <t>sp|Q60770|STXB3_MOUSE</t>
  </si>
  <si>
    <t>Syntaxin-binding protein 3</t>
  </si>
  <si>
    <t>MUNC-18-3; Mammalian homolog of Unc-18c (Munc-18c); Protein unc-18 homolog 3 (Unc18-3); Protein unc-18 homolog C (Unc-18C)</t>
  </si>
  <si>
    <t>STXB3_MOUSE</t>
  </si>
  <si>
    <t>Q60770</t>
  </si>
  <si>
    <t>Q3TE73; Q3U2S2; Q3U8D9; Q3UA91; Q3UUB0</t>
  </si>
  <si>
    <t>Stxbp3a; Unc18c</t>
  </si>
  <si>
    <t>MGI:107362</t>
  </si>
  <si>
    <t>3D-structure; Alternative splicing; Cell membrane; Cytoplasm; Membrane; Phosphoprotein; Protein transport; Transport</t>
  </si>
  <si>
    <t>brain development {GO:0007420}; cellular glucose homeostasis {GO:0001678}; cellular response to interferon-gamma {GO:0071346}; exocytosis {GO:0006887}; insulin secretion {GO:0030073}; intracellular protein transport {GO:0006886}; negative regulation of calcium ion-dependent exocytosis {GO:0045955}; negative regulation of glucose import {GO:0046325}; neurotransmitter secretion {GO:0007269}; neutrophil degranulation {GO:0043312}; platelet aggregation {GO:0070527}; protein to membrane docking {GO:0022615}; response to insulin {GO:0032868}; vesicle docking involved in exocytosis {GO:0006904}; vesicle-mediated transport {GO:0016192}</t>
  </si>
  <si>
    <t>apical plasma membrane {GO:0016324}; basolateral plasma membrane {GO:0016323}; cytosol {GO:0005829}; phagocytic vesicle {GO:0045335}; plasma membrane {GO:0005886}; platelet alpha granule {GO:0031091}; presynapse {GO:0098793}; secretory granule {GO:0030141}; specific granule {GO:0042581}; tertiary granule {GO:0070820}</t>
  </si>
  <si>
    <t>protein-containing complex binding {GO:0044877}; syntaxin binding {GO:0019905}; syntaxin-1 binding {GO:0017075}</t>
  </si>
  <si>
    <t>Disinhibition of SNARE formation {R-MMU-114516}</t>
  </si>
  <si>
    <t>sp|Q921S7|RM37_MOUSE</t>
  </si>
  <si>
    <t>39S ribosomal protein L37, mitochondrial (L37mt; MRP-L37)</t>
  </si>
  <si>
    <t>RM37_MOUSE</t>
  </si>
  <si>
    <t>Q921S7</t>
  </si>
  <si>
    <t>MGI:1926268</t>
  </si>
  <si>
    <t>Mitochondrion; Ribonucleoprotein; Ribosomal protein; Transit peptide</t>
  </si>
  <si>
    <t>sp|Q810B6|ANFY1_MOUSE</t>
  </si>
  <si>
    <t>Rabankyrin-5 (Rank-5)</t>
  </si>
  <si>
    <t>Ankyrin repeat and FYVE domain-containing protein 1; Ankyrin repeats hooked to a zinc finger motif</t>
  </si>
  <si>
    <t>ANFY1_MOUSE</t>
  </si>
  <si>
    <t>Q810B6</t>
  </si>
  <si>
    <t>B1ATS3; O54807; Q80TG6; Q80UH8</t>
  </si>
  <si>
    <t>Ankhzn; Kiaa1255</t>
  </si>
  <si>
    <t>MGI:1337008</t>
  </si>
  <si>
    <t>Acetylation; Alternative splicing; ANK repeat; Cytoplasm; Cytoplasmic vesicle; Endocytosis; Endosome; Membrane; Metal-binding; Phosphoprotein; Repeat; Zinc; Zinc-finger</t>
  </si>
  <si>
    <t>Cytoplasm; Cytoplasmic vesicle; Endosome; Membrane</t>
  </si>
  <si>
    <t>ANK repeat; Repeat; Zinc-finger</t>
  </si>
  <si>
    <t>endocytosis {GO:0006897}; endosomal transport {GO:0016197}; endosomal vesicle fusion {GO:0034058}; Golgi to lysosome transport {GO:0090160}; positive regulation of pinocytosis {GO:0048549}; retrograde transport, endosome to Golgi {GO:0042147}</t>
  </si>
  <si>
    <t>cytosol {GO:0005829}; early endosome {GO:0005769}; endosome {GO:0005768}; endosome membrane {GO:0010008}; intracellular membrane-bounded organelle {GO:0043231}; macropinosome {GO:0044354}; membrane {GO:0016020}; retromer complex {GO:0030904}</t>
  </si>
  <si>
    <t>metal ion binding {GO:0046872}; phosphatidylinositol phosphate binding {GO:1901981}; small GTPase binding {GO:0031267}</t>
  </si>
  <si>
    <t>sp|Q9D787|PPIL2_MOUSE</t>
  </si>
  <si>
    <t>RING-type E3 ubiquitin-protein ligase PPIL2</t>
  </si>
  <si>
    <t>CYC4; Probable inactive peptidyl-prolyl cis-trans isomerase-like 2 (PPIase)</t>
  </si>
  <si>
    <t>PPIL2_MOUSE</t>
  </si>
  <si>
    <t>Q9D787</t>
  </si>
  <si>
    <t>Q542A2; Q9CZL1</t>
  </si>
  <si>
    <t>MGI:2447857</t>
  </si>
  <si>
    <t>Acetylation; Coiled coil; Isopeptide bond; Nucleus; Transferase; Ubl conjugation; Ubl conjugation pathway</t>
  </si>
  <si>
    <t>protein folding {GO:0006457}; protein localization to plasma membrane {GO:0072659}; protein peptidyl-prolyl isomerization {GO:0000413}; protein polyubiquitination {GO:0000209}</t>
  </si>
  <si>
    <t>catalytic step 2 spliceosome {GO:0071013}; cytoplasm {GO:0005737}; nucleoplasm {GO:0005654}; nucleus {GO:0005634}; plasma membrane {GO:0005886}</t>
  </si>
  <si>
    <t>peptidyl-prolyl cis-trans isomerase activity {GO:0003755}; ubiquitin protein ligase activity {GO:0061630}; ubiquitin-protein transferase activity {GO:0004842}; ubiquitin-ubiquitin ligase activity {GO:0034450}</t>
  </si>
  <si>
    <t>sp|Q99JB2|STML2_MOUSE</t>
  </si>
  <si>
    <t>Stomatin-like protein 2, mitochondrial (SLP-2; mslp2)</t>
  </si>
  <si>
    <t>STML2_MOUSE</t>
  </si>
  <si>
    <t>Q99JB2</t>
  </si>
  <si>
    <t>Q9DCG8</t>
  </si>
  <si>
    <t>Slp2</t>
  </si>
  <si>
    <t>MGI:1913842</t>
  </si>
  <si>
    <t>Acetylation; Cell membrane; Coiled coil; Cytoplasm; Cytoskeleton; Lipid-binding; Lipoprotein; Membrane; Mitochondrion; Mitochondrion inner membrane; Phosphoprotein; Transit peptide</t>
  </si>
  <si>
    <t>Cell membrane; Cytoplasm; Cytoskeleton; Membrane; Mitochondrion; Mitochondrion inner membrane</t>
  </si>
  <si>
    <t>CD4-positive, alpha-beta T cell activation {GO:0035710}; cellular calcium ion homeostasis {GO:0006874}; lipid localization {GO:0010876}; mitochondrial calcium ion transmembrane transport {GO:0006851}; mitochondrial protein processing {GO:0034982}; mitochondrion organization {GO:0007005}; positive regulation of cardiolipin metabolic process {GO:1900210}; positive regulation of interleukin-2 production {GO:0032743}; positive regulation of mitochondrial DNA replication {GO:0090297}; positive regulation of mitochondrial membrane potential {GO:0010918}; protein complex oligomerization {GO:0051259}; proton motive force-driven mitochondrial ATP synthesis {GO:0042776}; stress-induced mitochondrial fusion {GO:1990046}; T cell receptor signaling pathway {GO:0050852}</t>
  </si>
  <si>
    <t>actin cytoskeleton {GO:0015629}; COP9 signalosome {GO:0008180}; extrinsic component of plasma membrane {GO:0019897}; immunological synapse {GO:0001772}; membrane raft {GO:0045121}; mitochondrial inner membrane {GO:0005743}; mitochondrial intermembrane space {GO:0005758}; mitochondrion {GO:0005739}; plasma membrane {GO:0005886}; T cell receptor complex {GO:0042101}</t>
  </si>
  <si>
    <t>cardiolipin binding {GO:1901612}; GTPase binding {GO:0051020}</t>
  </si>
  <si>
    <t>sp|P70671|IRF3_MOUSE</t>
  </si>
  <si>
    <t>Interferon regulatory factor 3 (IRF-3)</t>
  </si>
  <si>
    <t>IRF3_MOUSE</t>
  </si>
  <si>
    <t>P70671</t>
  </si>
  <si>
    <t>MGI:1859179</t>
  </si>
  <si>
    <t>3D-structure; Activator; Antiviral defense; Cytoplasm; DNA-binding; Immunity; Innate immunity; Isopeptide bond; Mitochondrion; Nucleus; Phosphoprotein; Transcription; Transcription regulation; Ubl conjugation</t>
  </si>
  <si>
    <t>Antiviral defense; Immunity; Innate immunity; Transcription; Transcription regulation</t>
  </si>
  <si>
    <t>cellular response to lipopolysaccharide {GO:0071222}; cellular response to virus {GO:0098586}; defense response to virus {GO:0051607}; immune system process {GO:0002376}; lipopolysaccharide-mediated signaling pathway {GO:0031663}; positive regulation of cytokine production {GO:0001819}; positive regulation of DNA-templated transcription {GO:0045893}; positive regulation of I-kappaB kinase/NF-kappaB signaling {GO:0043123}; positive regulation of interferon-alpha production {GO:0032727}; positive regulation of interferon-beta production {GO:0032728}; positive regulation of transcription by RNA polymerase II {GO:0045944}; positive regulation of type I interferon production {GO:0032481}; positive regulation of type I interferon-mediated signaling pathway {GO:0060340}; programmed necrotic cell death {GO:0097300}; regulation of apoptotic process {GO:0042981}; regulation of gene expression {GO:0010468}; regulation of inflammatory response {GO:0050727}; regulation of transcription by RNA polymerase II {GO:0006357}; response to bacterium {GO:0009617}; response to exogenous dsRNA {GO:0043330}; response to lipopolysaccharide {GO:0032496}; TRIF-dependent toll-like receptor signaling pathway {GO:0035666}; type I interferon signaling pathway {GO:0060337}</t>
  </si>
  <si>
    <t>DNA-binding transcription activator activity, RNA polymerase II-specific {GO:0001228}; DNA-binding transcription factor activity, RNA polymerase II-specific {GO:0000981}; identical protein binding {GO:0042802}; promoter-specific chromatin binding {GO:1990841}; protein domain specific binding {GO:0019904}; protein homodimerization activity {GO:0042803}; RNA polymerase II cis-regulatory region sequence-specific DNA binding {GO:0000978}; sequence-specific DNA binding {GO:0043565}; sequence-specific double-stranded DNA binding {GO:1990837}</t>
  </si>
  <si>
    <t>ISG15 antiviral mechanism {R-MMU-1169408}; IRF3 mediated activation of type 1 IFN {R-MMU-1606341}; DDX58/IFIH1-mediated induction of interferon-alpha/beta {R-MMU-168928}; LRR FLII-interacting protein 1 (LRRFIP1) activates type I IFN production {R-MMU-3134973}; Regulation of innate immune responses to cytosolic DNA {R-MMU-3134975}; IRF3-mediated induction of type I IFN {R-MMU-3270619}; TICAM1-dependent activation of IRF3/IRF7 {R-MMU-9013973}; TRAF3-dependent IRF activation pathway {R-MMU-918233}; TRAF6 mediated IRF7 activation {R-MMU-933541}; Negative regulators of DDX58/IFIH1 signaling {R-MMU-936440}; Activation of IRF3/IRF7 mediated by TBK1/IKK epsilon {R-MMU-936964}</t>
  </si>
  <si>
    <t>sp|Q8R3C0|MCMBP_MOUSE</t>
  </si>
  <si>
    <t>Mini-chromosome maintenance complex-binding protein (MCM-BP; MCM-binding protein)</t>
  </si>
  <si>
    <t>MCMBP_MOUSE</t>
  </si>
  <si>
    <t>Q8R3C0</t>
  </si>
  <si>
    <t>D3Z3G1</t>
  </si>
  <si>
    <t>MGI:1920977</t>
  </si>
  <si>
    <t>Cell cycle; Cell division; DNA replication; Mitosis; Nucleus; Phosphoprotein</t>
  </si>
  <si>
    <t>Cell cycle; Cell division; DNA replication; Mitosis</t>
  </si>
  <si>
    <t>cell division {GO:0051301}; DNA-templated DNA replication {GO:0006261}; sister chromatid cohesion {GO:0007062}</t>
  </si>
  <si>
    <t>cell junction {GO:0030054}; cytosol {GO:0005829}; MCM complex {GO:0042555}; nucleoplasm {GO:0005654}; nucleus {GO:0005634}</t>
  </si>
  <si>
    <t>sp|P46467|VPS4B_MOUSE</t>
  </si>
  <si>
    <t>Vacuolar protein sorting-associated protein 4B</t>
  </si>
  <si>
    <t>Suppressor of K(+) transport growth defect 1 (Protein SKD1)</t>
  </si>
  <si>
    <t>VPS4B_MOUSE</t>
  </si>
  <si>
    <t>P46467</t>
  </si>
  <si>
    <t>Q91W22; Q9R1C9</t>
  </si>
  <si>
    <t>Skd1</t>
  </si>
  <si>
    <t>MGI:1100499</t>
  </si>
  <si>
    <t>3D-structure; ATP-binding; Cell cycle; Cell division; Coiled coil; Endosome; Hydrolase; Membrane; Nucleotide-binding; Phosphoprotein; Protein transport; Transport</t>
  </si>
  <si>
    <t>Endosome; Membrane</t>
  </si>
  <si>
    <t>autophagosome maturation {GO:0097352}; autophagy {GO:0006914}; cholesterol transport {GO:0030301}; endosomal transport {GO:0016197}; endosome organization {GO:0007032}; endosome to lysosome transport via multivesicular body sorting pathway {GO:0032510}; ESCRT III complex disassembly {GO:1904903}; late endosomal microautophagy {GO:0061738}; late endosome to lysosome transport via multivesicular body sorting pathway {GO:0061764}; membrane fission {GO:0090148}; midbody abscission {GO:0061952}; mitotic metaphase plate congression {GO:0007080}; multivesicular body assembly {GO:0036258}; multivesicular body sorting pathway {GO:0071985}; negative regulation of cell death {GO:0060548}; negative regulation of exosomal secretion {GO:1903542}; nuclear membrane reassembly {GO:0031468}; nucleus organization {GO:0006997}; plasma membrane repair {GO:0001778}; positive regulation of centriole elongation {GO:1903724}; positive regulation of exosomal secretion {GO:1903543}; positive regulation of G2/M transition of mitotic cell cycle {GO:0010971}; potassium ion transport {GO:0006813}; protein depolymerization {GO:0051261}; protein transport {GO:0015031}; regulation of centrosome duplication {GO:0010824}; regulation of mitotic spindle assembly {GO:1901673}; response to lipid {GO:0033993}; ubiquitin-dependent protein catabolic process via the multivesicular body sorting pathway {GO:0043162}; ubiquitin-independent protein catabolic process via the multivesicular body sorting pathway {GO:0090611}; viral budding from plasma membrane {GO:0046761}; viral budding via host ESCRT complex {GO:0039702}</t>
  </si>
  <si>
    <t>ATPase complex {GO:1904949}; centrosome {GO:0005813}; cytoplasm {GO:0005737}; cytosol {GO:0005829}; endosome {GO:0005768}; endosome membrane {GO:0010008}; Flemming body {GO:0090543}; late endosome membrane {GO:0031902}; midbody {GO:0030496}; nuclear pore {GO:0005643}; nucleus {GO:0005634}; plasma membrane {GO:0005886}; spindle pole {GO:0000922}</t>
  </si>
  <si>
    <t>ATP binding {GO:0005524}; ATP hydrolysis activity {GO:0016887}; identical protein binding {GO:0042802}; protein C-terminus binding {GO:0008022}; protein homodimerization activity {GO:0042803}; protein-containing complex binding {GO:0044877}</t>
  </si>
  <si>
    <t>sp|Q9JKC8|AP3M1_MOUSE</t>
  </si>
  <si>
    <t>AP-3 complex subunit mu-1</t>
  </si>
  <si>
    <t>AP-3 adaptor complex mu3A subunit; Adaptor-related protein complex 3 subunit mu-1; Mu-adaptin 3A; Mu3A-adaptin</t>
  </si>
  <si>
    <t>AP3M1_MOUSE</t>
  </si>
  <si>
    <t>Q9JKC8</t>
  </si>
  <si>
    <t>Q5BKQ6</t>
  </si>
  <si>
    <t>MGI:1929212</t>
  </si>
  <si>
    <t>Cytoplasmic vesicle; Golgi apparatus; Membrane; Protein transport; Transport</t>
  </si>
  <si>
    <t>anterograde axonal transport {GO:0008089}; anterograde synaptic vesicle transport {GO:0048490}; clathrin-coated vesicle cargo loading, AP-3-mediated {GO:0035654}; endocytosis {GO:0006897}; intracellular protein transport {GO:0006886}; intracellular transport {GO:0046907}; melanosome assembly {GO:1903232}; platelet dense granule organization {GO:0060155}; vesicle-mediated transport {GO:0016192}</t>
  </si>
  <si>
    <t>AP-3 adaptor complex {GO:0030123}; axon cytoplasm {GO:1904115}; clathrin adaptor complex {GO:0030131}; cytoplasmic vesicle {GO:0031410}; cytoplasmic vesicle membrane {GO:0030659}; early endosome {GO:0005769}; Golgi apparatus {GO:0005794}</t>
  </si>
  <si>
    <t>sp|P37913|DNLI1_MOUSE</t>
  </si>
  <si>
    <t>DNA ligase 1</t>
  </si>
  <si>
    <t>DNA ligase I; Polydeoxyribonucleotide synthase [ATP] 1</t>
  </si>
  <si>
    <t>DNLI1_MOUSE</t>
  </si>
  <si>
    <t>P37913</t>
  </si>
  <si>
    <t>Lig-1</t>
  </si>
  <si>
    <t>MGI:101789</t>
  </si>
  <si>
    <t>Acetylation; ATP-binding; Cell cycle; Cell division; DNA damage; DNA recombination; DNA repair; DNA replication; Ligase; Magnesium; Metal-binding; Nucleotide-binding; Nucleus; Phosphoprotein</t>
  </si>
  <si>
    <t>base-excision repair {GO:0006284}; cell division {GO:0051301}; DNA biosynthetic process {GO:0071897}; DNA ligation {GO:0006266}; DNA recombination {GO:0006310}; DNA repair {GO:0006281}; DNA replication {GO:0006260}; double-strand break repair via nonhomologous end joining {GO:0006303}; lagging strand elongation {GO:0006273}; Okazaki fragment processing involved in mitotic DNA replication {GO:1903461}; response to hydrogen peroxide {GO:0042542}</t>
  </si>
  <si>
    <t>cytoplasm {GO:0005737}; intracellular membrane-bounded organelle {GO:0043231}; mitochondrion {GO:0005739}; nucleoplasm {GO:0005654}; nucleus {GO:0005634}</t>
  </si>
  <si>
    <t>ATP binding {GO:0005524}; DNA binding {GO:0003677}; DNA ligase (ATP) activity {GO:0003910}; DNA ligase activity {GO:0003909}; metal ion binding {GO:0046872}</t>
  </si>
  <si>
    <t>POLB-Dependent Long Patch Base Excision Repair {R-MMU-110362}; Processive synthesis on the C-strand of the telomere {R-MMU-174414}; Mismatch repair (MMR) directed by MSH2:MSH6 (MutSalpha) {R-MMU-5358565}; Mismatch repair (MMR) directed by MSH2:MSH3 (MutSbeta) {R-MMU-5358606}; PCNA-Dependent Long Patch Base Excision Repair {R-MMU-5651801}; Gap-filling DNA repair synthesis and ligation in TC-NER {R-MMU-6782210}; Processive synthesis on the lagging strand {R-MMU-69183}</t>
  </si>
  <si>
    <t>sp|Q6PFR5|TRA2A_MOUSE</t>
  </si>
  <si>
    <t>Transformer-2 protein homolog alpha (TRA-2 alpha; TRA2-alpha)</t>
  </si>
  <si>
    <t>Transformer-2 protein homolog A</t>
  </si>
  <si>
    <t>TRA2A_MOUSE</t>
  </si>
  <si>
    <t>Q6PFR5</t>
  </si>
  <si>
    <t>MGI:1933972</t>
  </si>
  <si>
    <t>Acetylation; Isopeptide bond; Methylation; mRNA processing; mRNA splicing; Nucleus; Phosphoprotein; RNA-binding; Ubl conjugation</t>
  </si>
  <si>
    <t>mRNA splicing, via spliceosome {GO:0000398}; positive regulation of mRNA splicing, via spliceosome {GO:0048026}</t>
  </si>
  <si>
    <t>intracellular membrane-bounded organelle {GO:0043231}; nucleolus {GO:0005730}; nucleoplasm {GO:0005654}; nucleus {GO:0005634}; spliceosomal complex {GO:0005681}</t>
  </si>
  <si>
    <t>identical protein binding {GO:0042802}; RNA binding {GO:0003723}</t>
  </si>
  <si>
    <t>sp|Q8R404|MIC13_MOUSE</t>
  </si>
  <si>
    <t>MICOS complex subunit MIC13</t>
  </si>
  <si>
    <t>MIC13_MOUSE</t>
  </si>
  <si>
    <t>Q8R404</t>
  </si>
  <si>
    <t>Mic13; Qil1</t>
  </si>
  <si>
    <t>MGI:2442174</t>
  </si>
  <si>
    <t>Membrane; Mitochondrion; Mitochondrion inner membrane; Transmembrane; Transmembrane helix</t>
  </si>
  <si>
    <t>MICOS complex {GO:0061617}; mitochondrial crista junction {GO:0044284}; mitochondrial inner membrane {GO:0005743}; mitochondrion {GO:0005739}; nucleoplasm {GO:0005654}</t>
  </si>
  <si>
    <t>sp|P47802|MTX1_MOUSE</t>
  </si>
  <si>
    <t>Metaxin-1</t>
  </si>
  <si>
    <t>Mitochondrial outer membrane import complex protein 1</t>
  </si>
  <si>
    <t>MTX1_MOUSE</t>
  </si>
  <si>
    <t>P47802</t>
  </si>
  <si>
    <t>Mtx; Mtxn</t>
  </si>
  <si>
    <t>MGI:103025</t>
  </si>
  <si>
    <t>Isopeptide bond; Membrane; Mitochondrion; Mitochondrion outer membrane; Protein transport; Transmembrane; Transmembrane helix; Transport; Ubl conjugation</t>
  </si>
  <si>
    <t>mitochondrion organization {GO:0007005}; protein transport {GO:0015031}</t>
  </si>
  <si>
    <t>cytoplasm {GO:0005737}; integral component of membrane {GO:0016021}; mitochondrial inner membrane {GO:0005743}; mitochondrion {GO:0005739}; SAM complex {GO:0001401}</t>
  </si>
  <si>
    <t>sp|Q3UJP5|CF418_MOUSE</t>
  </si>
  <si>
    <t>Cilia- and flagella-associated protein 418</t>
  </si>
  <si>
    <t>CF418_MOUSE</t>
  </si>
  <si>
    <t>Q3UJP5</t>
  </si>
  <si>
    <t>Q6PDD5</t>
  </si>
  <si>
    <t>MGI:1914407</t>
  </si>
  <si>
    <t>photoreceptor cell morphogenesis {GO:0008594}</t>
  </si>
  <si>
    <t>cell junction {GO:0030054}; ciliary base {GO:0097546}; cytoplasm {GO:0005737}; cytosol {GO:0005829}; photoreceptor inner segment {GO:0001917}; plasma membrane {GO:0005886}</t>
  </si>
  <si>
    <t>sp|Q8CHT1|NGEF_MOUSE</t>
  </si>
  <si>
    <t>Ephexin-1</t>
  </si>
  <si>
    <t>Eph-interacting exchange protein; Neuronal guanine nucleotide exchange factor</t>
  </si>
  <si>
    <t>NGEF_MOUSE</t>
  </si>
  <si>
    <t>Q8CHT1</t>
  </si>
  <si>
    <t>Q8R204; Q923H2; Q9JHT9</t>
  </si>
  <si>
    <t>MGI:1858414</t>
  </si>
  <si>
    <t>Alternative splicing; Cell projection; Cytoplasm; Developmental protein; Differentiation; Guanine-nucleotide releasing factor; Membrane; Neurogenesis; Phosphoprotein; SH3 domain</t>
  </si>
  <si>
    <t>activation of GTPase activity {GO:0090630}; cell differentiation {GO:0030154}; ephrin receptor signaling pathway {GO:0048013}; negative regulation of dendritic spine morphogenesis {GO:0061002}; nervous system development {GO:0007399}; regulation of GTPase activity {GO:0043087}; synapse pruning {GO:0098883}</t>
  </si>
  <si>
    <t>cytosol {GO:0005829}; glutamatergic synapse {GO:0098978}; growth cone {GO:0030426}; membrane {GO:0016020}</t>
  </si>
  <si>
    <t>ephrin receptor binding {GO:0046875}; guanyl-nucleotide exchange factor activity {GO:0005085}</t>
  </si>
  <si>
    <t>NRAGE signals death through JNK {R-MMU-193648}; EPHA-mediated growth cone collapse {R-MMU-3928663}; G alpha (12/13) signalling events {R-MMU-416482}; RHOA GTPase cycle {R-MMU-8980692}; CDC42 GTPase cycle {R-MMU-9013148}; RAC1 GTPase cycle {R-MMU-9013149}</t>
  </si>
  <si>
    <t>sp|Q8K1X1|WDR11_MOUSE</t>
  </si>
  <si>
    <t>WD repeat-containing protein 11</t>
  </si>
  <si>
    <t>Bromodomain and WD repeat-containing protein 2</t>
  </si>
  <si>
    <t>WDR11_MOUSE</t>
  </si>
  <si>
    <t>Q8K1X1</t>
  </si>
  <si>
    <t>Q69ZL3; Q8C937</t>
  </si>
  <si>
    <t>Brwd2; Kiaa1351</t>
  </si>
  <si>
    <t>MGI:1920230</t>
  </si>
  <si>
    <t>Cell projection; Cytoplasm; Cytoplasmic vesicle; Cytoskeleton; Golgi apparatus; Nucleus; Phosphoprotein; Repeat; WD repeat</t>
  </si>
  <si>
    <t>Cell projection; Cytoplasm; Cytoplasmic vesicle; Cytoskeleton; Golgi apparatus; Nucleus</t>
  </si>
  <si>
    <t>cilium assembly {GO:0060271}; head development {GO:0060322}; heart development {GO:0007507}; intracellular protein transport {GO:0006886}; multicellular organism growth {GO:0035264}; regulation of smoothened signaling pathway {GO:0008589}; vesicle tethering to Golgi {GO:0099041}</t>
  </si>
  <si>
    <t>axoneme {GO:0005930}; ciliary basal body {GO:0036064}; cilium {GO:0005929}; cytoplasm {GO:0005737}; cytoplasmic vesicle {GO:0031410}; cytosol {GO:0005829}; microtubule cytoskeleton {GO:0015630}; nucleus {GO:0005634}; trans-Golgi network {GO:0005802}</t>
  </si>
  <si>
    <t>sp|Q8BU14|SEC62_MOUSE</t>
  </si>
  <si>
    <t>Translocation protein SEC62</t>
  </si>
  <si>
    <t>Translocation protein 1 (TP-1)</t>
  </si>
  <si>
    <t>SEC62_MOUSE</t>
  </si>
  <si>
    <t>Q8BU14</t>
  </si>
  <si>
    <t>Q6NX81</t>
  </si>
  <si>
    <t>Tloc1</t>
  </si>
  <si>
    <t>MGI:1916526</t>
  </si>
  <si>
    <t>Endoplasmic reticulum; Membrane; Phosphoprotein; Protein transport; Translocation; Transmembrane; Transmembrane helix; Transport</t>
  </si>
  <si>
    <t>post-translational protein targeting to endoplasmic reticulum membrane {GO:0006620}; post-translational protein targeting to membrane, translocation {GO:0031204}</t>
  </si>
  <si>
    <t>endoplasmic reticulum {GO:0005783}; integral component of endoplasmic reticulum membrane {GO:0030176}; membrane {GO:0016020}</t>
  </si>
  <si>
    <t>sp|Q8R3I3|COG6_MOUSE</t>
  </si>
  <si>
    <t>Conserved oligomeric Golgi complex subunit 6 (COG complex subunit 6)</t>
  </si>
  <si>
    <t>Component of oligomeric Golgi complex 6</t>
  </si>
  <si>
    <t>COG6_MOUSE</t>
  </si>
  <si>
    <t>Q8R3I3</t>
  </si>
  <si>
    <t>Q8BSN7; Q8CHB1; Q9CTA8</t>
  </si>
  <si>
    <t>Kiaa1134</t>
  </si>
  <si>
    <t>MGI:1914792</t>
  </si>
  <si>
    <t>Golgi apparatus; Membrane; Protein transport; Transport</t>
  </si>
  <si>
    <t>glycosylation {GO:0070085}; Golgi organization {GO:0007030}; intra-Golgi vesicle-mediated transport {GO:0006891}; protein transport {GO:0015031}; retrograde transport, vesicle recycling within Golgi {GO:0000301}</t>
  </si>
  <si>
    <t>Golgi membrane {GO:0000139}; Golgi transport complex {GO:0017119}</t>
  </si>
  <si>
    <t>COPI-mediated anterograde transport {R-MMU-6807878}; Intra-Golgi traffic {R-MMU-6811438}; Retrograde transport at the Trans-Golgi-Network {R-MMU-6811440}</t>
  </si>
  <si>
    <t>sp|Q5ND34|WDR81_MOUSE</t>
  </si>
  <si>
    <t>WD repeat-containing protein 81</t>
  </si>
  <si>
    <t>WDR81_MOUSE</t>
  </si>
  <si>
    <t>Q5ND34</t>
  </si>
  <si>
    <t>G5E8V0; Q3TA90; Q3TUS9; Q6KAR1</t>
  </si>
  <si>
    <t>MGI:2681828</t>
  </si>
  <si>
    <t>Alternative splicing; Cytoplasm; Cytoplasmic vesicle; Endosome; Lysosome; Membrane; Mitochondrion; Repeat; Transit peptide; WD repeat</t>
  </si>
  <si>
    <t>Cytoplasm; Cytoplasmic vesicle; Endosome; Lysosome; Membrane; Mitochondrion</t>
  </si>
  <si>
    <t>Repeat; Transit peptide; WD repeat</t>
  </si>
  <si>
    <t>aggrephagy {GO:0035973}; early endosome to late endosome transport {GO:0045022}; mitochondrion organization {GO:0007005}; protein stabilization {GO:0050821}; regulation of phosphatidylinositol 3-kinase activity {GO:0043551}; ubiquitin-dependent protein catabolic process {GO:0006511}</t>
  </si>
  <si>
    <t>autophagosome membrane {GO:0000421}; cytosol {GO:0005829}; early endosome membrane {GO:0031901}; extrinsic component of endosome membrane {GO:0031313}; late endosome membrane {GO:0031902}; lysosomal membrane {GO:0005765}; mitochondrion {GO:0005739}</t>
  </si>
  <si>
    <t>K63-linked polyubiquitin modification-dependent protein binding {GO:0070530}; phosphatidylinositol 3-kinase regulator activity {GO:0035014}</t>
  </si>
  <si>
    <t>sp|Q9WTQ5|AKA12_MOUSE</t>
  </si>
  <si>
    <t>A-kinase anchor protein 12 (AKAP-12)</t>
  </si>
  <si>
    <t>Germ cell lineage protein gercelin; Src-suppressed C kinase substrate (SSeCKS)</t>
  </si>
  <si>
    <t>AKA12_MOUSE</t>
  </si>
  <si>
    <t>Q9WTQ5</t>
  </si>
  <si>
    <t>Q80SS4; Q810D4; Q8BPK4; Q99MP1</t>
  </si>
  <si>
    <t>Gag12; Ssecks</t>
  </si>
  <si>
    <t>MGI:1932576</t>
  </si>
  <si>
    <t>Alternative splicing; Calmodulin-binding; Cytoplasm; Cytoskeleton; Isopeptide bond; Lipoprotein; Membrane; Myristate; Phosphoprotein; Repeat; Ubl conjugation</t>
  </si>
  <si>
    <t>adenylate cyclase-inhibiting G protein-coupled receptor signaling pathway {GO:0007193}; cellular response to interleukin-1 {GO:0071347}; cellular response to tumor necrosis factor {GO:0071356}; hepatic stellate cell activation {GO:0035733}; modulation of chemical synaptic transmission {GO:0050804}; negative regulation of vascular permeability {GO:0043116}; positive regulation of ERK1 and ERK2 cascade {GO:0070374}; positive regulation of hepatic stellate cell migration {GO:0061870}; positive regulation of nitric-oxide synthase biosynthetic process {GO:0051770}; positive regulation of oligodendrocyte apoptotic process {GO:1900143}; positive regulation of protein kinase A signaling {GO:0010739}; positive regulation of tumor necrosis factor production {GO:0032760}; regulation of protein kinase A signaling {GO:0010738}; regulation of protein kinase C signaling {GO:0090036}; response to electrical stimulus {GO:0051602}; response to lipopolysaccharide {GO:0032496}; signal transduction {GO:0007165}</t>
  </si>
  <si>
    <t>cytoplasm {GO:0005737}; cytoskeleton {GO:0005856}; cytosol {GO:0005829}; neuronal cell body {GO:0043025}; plasma membrane {GO:0005886}; Schaffer collateral - CA1 synapse {GO:0098685}</t>
  </si>
  <si>
    <t>adenylate cyclase binding {GO:0008179}; calmodulin binding {GO:0005516}; protein kinase A binding {GO:0051018}; signaling receptor complex adaptor activity {GO:0030159}</t>
  </si>
  <si>
    <t>RHOD GTPase cycle {R-MMU-9013405}; RHOF GTPase cycle {R-MMU-9035034}</t>
  </si>
  <si>
    <t>sp|Q8K2V1|PP4R1_MOUSE</t>
  </si>
  <si>
    <t>Serine/threonine-protein phosphatase 4 regulatory subunit 1</t>
  </si>
  <si>
    <t>PP4R1_MOUSE</t>
  </si>
  <si>
    <t>Q8K2V1</t>
  </si>
  <si>
    <t>Q8R0R8</t>
  </si>
  <si>
    <t>MGI:1917601</t>
  </si>
  <si>
    <t>Alternative splicing; Phosphoprotein; Repeat</t>
  </si>
  <si>
    <t>protein phosphatase 4 complex {GO:0030289}</t>
  </si>
  <si>
    <t>protein phosphatase regulator activity {GO:0019888}</t>
  </si>
  <si>
    <t>sp|Q99JF5|MVD1_MOUSE</t>
  </si>
  <si>
    <t>Diphosphomevalonate decarboxylase</t>
  </si>
  <si>
    <t>Mevalonate (diphospho)decarboxylase (MDDase); Mevalonate pyrophosphate decarboxylase</t>
  </si>
  <si>
    <t>MVD1_MOUSE</t>
  </si>
  <si>
    <t>Q99JF5</t>
  </si>
  <si>
    <t>Q3TCD8; Q8BTM4; Q922D7</t>
  </si>
  <si>
    <t>MGI:2179327</t>
  </si>
  <si>
    <t>3D-structure; Acetylation; ATP-binding; Cholesterol biosynthesis; Cholesterol metabolism; Cytoplasm; Lipid biosynthesis; Lipid metabolism; Lyase; Nucleotide-binding; Steroid biosynthesis; Steroid metabolism; Sterol biosynthesis; Sterol metabolism</t>
  </si>
  <si>
    <t>cholesterol biosynthetic process {GO:0006695}; isopentenyl diphosphate biosynthetic process, mevalonate pathway {GO:0019287}; isoprenoid biosynthetic process {GO:0008299}; positive regulation of cell population proliferation {GO:0008284}</t>
  </si>
  <si>
    <t>cytosol {GO:0005829}; peroxisomal matrix {GO:0005782}; peroxisome {GO:0005777}</t>
  </si>
  <si>
    <t>ATP binding {GO:0005524}; diphosphomevalonate decarboxylase activity {GO:0004163}; Hsp70 protein binding {GO:0030544}; protein homodimerization activity {GO:0042803}</t>
  </si>
  <si>
    <t>Steroid biosynthesis; cholesterol biosynthesis..</t>
  </si>
  <si>
    <t>Cholesterol biosynthesis {R-MMU-191273}; Synthesis of Dolichyl-phosphate {R-MMU-446199}</t>
  </si>
  <si>
    <t>sp|Q8C156|CND2_MOUSE</t>
  </si>
  <si>
    <t>Condensin complex subunit 2</t>
  </si>
  <si>
    <t>Barren homolog protein 1; Chromosome-associated protein H (mCAP-H); Non-SMC condensin I complex subunit H; XCAP-H homolog</t>
  </si>
  <si>
    <t>CND2_MOUSE</t>
  </si>
  <si>
    <t>Q8C156</t>
  </si>
  <si>
    <t>Q8BY01; Q8VDM9</t>
  </si>
  <si>
    <t>Brrn; Brrn1; Caph</t>
  </si>
  <si>
    <t>MGI:2444777</t>
  </si>
  <si>
    <t>Acetylation; Cell cycle; Cell division; Chromosome; Cytoplasm; DNA condensation; Isopeptide bond; Mitosis; Nucleus; Phosphoprotein; Ubl conjugation</t>
  </si>
  <si>
    <t>cell division {GO:0051301}; female meiosis chromosome separation {GO:0051309}; female meiotic nuclear division {GO:0007143}; meiotic chromosome condensation {GO:0010032}; meiotic chromosome segregation {GO:0045132}; mitotic chromosome condensation {GO:0007076}; positive regulation of chromosome condensation {GO:1905821}; positive regulation of chromosome segregation {GO:0051984}; positive regulation of chromosome separation {GO:1905820}</t>
  </si>
  <si>
    <t>chromosome {GO:0005694}; condensed nuclear chromosome {GO:0000794}; condensin complex {GO:0000796}; cytosol {GO:0005829}; nucleoplasm {GO:0005654}; nucleus {GO:0005634}</t>
  </si>
  <si>
    <t>Condensation of Prometaphase Chromosomes {R-MMU-2514853}</t>
  </si>
  <si>
    <t>sp|Q61548|AP180_MOUSE</t>
  </si>
  <si>
    <t>Clathrin coat assembly protein AP180</t>
  </si>
  <si>
    <t>91 kDa synaptosomal-associated protein; Clathrin coat-associated protein AP180; Phosphoprotein F1-20</t>
  </si>
  <si>
    <t>AP180_MOUSE</t>
  </si>
  <si>
    <t>Q61548</t>
  </si>
  <si>
    <t>Q61547; Q8K0D4</t>
  </si>
  <si>
    <t>MGI:109132</t>
  </si>
  <si>
    <t>Alternative splicing; Cell membrane; Coated pit; Glycoprotein; Membrane; Methylation; Phosphoprotein; Protein transport; Transport</t>
  </si>
  <si>
    <t>axonogenesis {GO:0007409}; chemical synaptic transmission {GO:0007268}; clathrin coat assembly {GO:0048268}; clathrin-dependent endocytosis {GO:0072583}; establishment or maintenance of cell polarity {GO:0007163}; negative regulation of phospholipase C activity {GO:1900275}; negative regulation of phospholipase D activity {GO:1904006}; neuron development {GO:0048666}; neurotransmitter secretion {GO:0007269}; positive regulation of axonogenesis {GO:0050772}; positive regulation of clathrin coat assembly {GO:1905445}; positive regulation of synaptic vesicle clustering {GO:2000809}; positive regulation of synaptic vesicle endocytosis {GO:1900244}; protein transport {GO:0015031}; regulation of clathrin-dependent endocytosis {GO:2000369}; regulation of endocytosis {GO:0030100}; regulation of protein transport {GO:0051223}; regulation of synaptic vesicle endocytosis {GO:1900242}; regulation of terminal button organization {GO:2000331}; synaptic vesicle budding from presynaptic endocytic zone membrane {GO:0016185}; synaptic vesicle endocytosis {GO:0048488}; vesicle budding from membrane {GO:0006900}</t>
  </si>
  <si>
    <t>AP-2 adaptor complex {GO:0030122}; axon terminus {GO:0043679}; clathrin-coated pit {GO:0005905}; clathrin-coated vesicle {GO:0030136}; cytoplasm {GO:0005737}; cytosol {GO:0005829}; extrinsic component of endosome membrane {GO:0031313}; extrinsic component of presynaptic endocytic zone membrane {GO:0098894}; neuron projection {GO:0043005}; neuronal cell body {GO:0043025}; parallel fiber to Purkinje cell synapse {GO:0098688}; plasma membrane {GO:0005886}; postsynaptic density {GO:0014069}; postsynaptic membrane {GO:0045211}; presynaptic active zone membrane {GO:0048787}; presynaptic endocytic zone {GO:0098833}; presynaptic endosome {GO:0098830}; presynaptic membrane {GO:0042734}; Schaffer collateral - CA1 synapse {GO:0098685}; synaptic vesicle {GO:0008021}</t>
  </si>
  <si>
    <t>1-phosphatidylinositol binding {GO:0005545}; clathrin adaptor activity {GO:0035615}; clathrin heavy chain binding {GO:0032050}; inositol hexakisphosphate binding {GO:0000822}; molecular adaptor activity {GO:0060090}; phosphatidylinositol-4,5-bisphosphate binding {GO:0005546}; phospholipase binding {GO:0043274}; protein kinase binding {GO:0019901}; SH2 domain binding {GO:0042169}; SNARE binding {GO:0000149}</t>
  </si>
  <si>
    <t>sp|O54946|DNJB6_MOUSE</t>
  </si>
  <si>
    <t>DnaJ homolog subfamily B member 6</t>
  </si>
  <si>
    <t>Heat shock protein J2 (HSJ-2); MRJ; mDj4</t>
  </si>
  <si>
    <t>DNJB6_MOUSE</t>
  </si>
  <si>
    <t>O54946</t>
  </si>
  <si>
    <t>Q3TE94; Q3U6L0; Q3UNJ5; Q3UYT7; Q99LA5; Q9QYI9</t>
  </si>
  <si>
    <t>Hsj2; Mrj</t>
  </si>
  <si>
    <t>MGI:1344381</t>
  </si>
  <si>
    <t>Alternative splicing; Chaperone; Cytoplasm; Methylation; Nucleus</t>
  </si>
  <si>
    <t>actin cytoskeleton organization {GO:0030036}; chaperone-mediated protein folding {GO:0061077}; chorio-allantoic fusion {GO:0060710}; chorion development {GO:0060717}; extracellular matrix organization {GO:0030198}; intermediate filament organization {GO:0045109}; negative regulation of cysteine-type endopeptidase activity involved in apoptotic process {GO:0043154}; negative regulation of DNA-templated transcription {GO:0045892}; negative regulation of inclusion body assembly {GO:0090084}; protein folding {GO:0006457}; protein localization to nucleus {GO:0034504}; regulation of protein localization {GO:0032880}; syncytiotrophoblast cell differentiation involved in labyrinthine layer development {GO:0060715}</t>
  </si>
  <si>
    <t>cytoplasm {GO:0005737}; cytosol {GO:0005829}; nucleoplasm {GO:0005654}; nucleus {GO:0005634}; perinuclear region of cytoplasm {GO:0048471}; Z disc {GO:0030018}</t>
  </si>
  <si>
    <t>ATPase activator activity {GO:0001671}; chaperone binding {GO:0051087}; DNA binding {GO:0003677}; heat shock protein binding {GO:0031072}; identical protein binding {GO:0042802}; protein folding chaperone {GO:0044183}; unfolded protein binding {GO:0051082}</t>
  </si>
  <si>
    <t>sp|Q9D2R0|AACS_MOUSE</t>
  </si>
  <si>
    <t>Acetoacetyl-CoA synthetase</t>
  </si>
  <si>
    <t>AACS_MOUSE</t>
  </si>
  <si>
    <t>Q9D2R0</t>
  </si>
  <si>
    <t>A1IG47; Q3TCL8; Q3UD39</t>
  </si>
  <si>
    <t>MGI:1926144</t>
  </si>
  <si>
    <t>ATP-binding; Cytoplasm; Fatty acid metabolism; Ligase; Lipid metabolism; Nucleotide-binding</t>
  </si>
  <si>
    <t>cellular response to glucose stimulus {GO:0071333}; fatty acid metabolic process {GO:0006631}; liver development {GO:0001889}; positive regulation of insulin secretion {GO:0032024}; response to ethanol {GO:0045471}; response to nutrient {GO:0007584}; response to oleic acid {GO:0034201}; response to organic cyclic compound {GO:0014070}; response to organonitrogen compound {GO:0010243}; response to xenobiotic stimulus {GO:0009410}</t>
  </si>
  <si>
    <t>acetoacetate-CoA ligase activity {GO:0030729}; ATP binding {GO:0005524}; butyrate-CoA ligase activity {GO:0047760}</t>
  </si>
  <si>
    <t>Synthesis of Ketone Bodies {R-MMU-77111}</t>
  </si>
  <si>
    <t>sp|Q9Z2D0|MTMR9_MOUSE</t>
  </si>
  <si>
    <t>Myotubularin-related protein 9</t>
  </si>
  <si>
    <t>Inactive phosphatidylinositol 3-phosphatase 9</t>
  </si>
  <si>
    <t>MTMR9_MOUSE</t>
  </si>
  <si>
    <t>Q9Z2D0</t>
  </si>
  <si>
    <t>A6H6P1; Q80XL4</t>
  </si>
  <si>
    <t>Mtmr3</t>
  </si>
  <si>
    <t>MGI:2442842</t>
  </si>
  <si>
    <t>Acetylation; Cell membrane; Cell projection; Coiled coil; Cytoplasm; Endocytosis; Endoplasmic reticulum; Membrane</t>
  </si>
  <si>
    <t>Cell membrane; Cell projection; Cytoplasm; Endoplasmic reticulum; Membrane</t>
  </si>
  <si>
    <t>endocytosis {GO:0006897}; negative regulation of autophagy {GO:0010507}; phosphatidylinositol dephosphorylation {GO:0046856}; positive regulation of phosphatase activity {GO:0010922}; protein stabilization {GO:0050821}; regulation of phosphatidylinositol dephosphorylation {GO:0060304}</t>
  </si>
  <si>
    <t>cytoplasm {GO:0005737}; cytosol {GO:0005829}; endoplasmic reticulum {GO:0005783}; perinuclear region of cytoplasm {GO:0048471}; protein-containing complex {GO:0032991}; ruffle membrane {GO:0032587}</t>
  </si>
  <si>
    <t>enzyme regulator activity {GO:0030234}; phosphatidylinositol-3-phosphatase activity {GO:0004438}; protein phosphatase binding {GO:0019903}</t>
  </si>
  <si>
    <t>Synthesis of PIPs at the plasma membrane {R-MMU-1660499}</t>
  </si>
  <si>
    <t>sp|Q9D071|MMS19_MOUSE</t>
  </si>
  <si>
    <t>MMS19 nucleotide excision repair protein homolog</t>
  </si>
  <si>
    <t>MET18 homolog; MMS19-like protein</t>
  </si>
  <si>
    <t>MMS19_MOUSE</t>
  </si>
  <si>
    <t>Q9D071</t>
  </si>
  <si>
    <t>F8WHX3; Q925N8; Q9CWX3</t>
  </si>
  <si>
    <t>Mms19l</t>
  </si>
  <si>
    <t>MGI:1919449</t>
  </si>
  <si>
    <t>3D-structure; Acetylation; Activator; Alternative splicing; Chromosome partition; Cytoplasm; Cytoskeleton; DNA damage; DNA repair; Nucleus; Phosphoprotein; Repeat; Transcription; Transcription regulation; Ubl conjugation</t>
  </si>
  <si>
    <t>Chromosome partition; DNA damage; DNA repair; Transcription; Transcription regulation</t>
  </si>
  <si>
    <t>cellular response to DNA damage stimulus {GO:0006974}; chromosome segregation {GO:0007059}; DNA metabolic process {GO:0006259}; DNA repair {GO:0006281}; iron-sulfur cluster assembly {GO:0016226}; positive regulation of DNA-templated transcription {GO:0045893}; positive regulation of double-strand break repair via homologous recombination {GO:1905168}; protein maturation by iron-sulfur cluster transfer {GO:0097428}</t>
  </si>
  <si>
    <t>CIA complex {GO:0097361}; cytoplasm {GO:0005737}; cytosol {GO:0005829}; MMXD complex {GO:0071817}; nucleoplasm {GO:0005654}; nucleus {GO:0005634}; spindle {GO:0005819}</t>
  </si>
  <si>
    <t>enzyme binding {GO:0019899}; nuclear estrogen receptor binding {GO:0030331}; transcription coactivator activity {GO:0003713}</t>
  </si>
  <si>
    <t>sp|Q9ET54|PALLD_MOUSE</t>
  </si>
  <si>
    <t>Palladin</t>
  </si>
  <si>
    <t>PALLD_MOUSE</t>
  </si>
  <si>
    <t>Q9ET54</t>
  </si>
  <si>
    <t>A0JNZ3; Q69ZT7; Q6DFX7; Q9CWW1</t>
  </si>
  <si>
    <t>Kiaa0992</t>
  </si>
  <si>
    <t>MGI:1919583</t>
  </si>
  <si>
    <t>3D-structure; Actin-binding; Alternative splicing; Cell junction; Cell projection; Cytoplasm; Cytoskeleton; Disulfide bond; Immunoglobulin domain; Phosphoprotein; Repeat</t>
  </si>
  <si>
    <t>actin cytoskeleton organization {GO:0030036}; cell migration {GO:0016477}; epithelial cell morphogenesis {GO:0003382}; homophilic cell adhesion via plasma membrane adhesion molecules {GO:0007156}; keratinocyte development {GO:0003334}; synapse organization {GO:0050808}</t>
  </si>
  <si>
    <t>actin cytoskeleton {GO:0015629}; actin filament {GO:0005884}; axon {GO:0030424}; axonal growth cone {GO:0044295}; cytoskeleton {GO:0005856}; cytosol {GO:0005829}; excitatory synapse {GO:0060076}; filopodium {GO:0030175}; focal adhesion {GO:0005925}; growth cone {GO:0030426}; lamellipodium {GO:0030027}; mitochondrion {GO:0005739}; neuronal cell body {GO:0043025}; nucleus {GO:0005634}; plasma membrane {GO:0005886}; podosome {GO:0002102}; ruffle {GO:0001726}; stress fiber {GO:0001725}; Z disc {GO:0030018}</t>
  </si>
  <si>
    <t>actin binding {GO:0003779}; axon guidance receptor activity {GO:0008046}; cytoskeletal protein binding {GO:0008092}</t>
  </si>
  <si>
    <t>sp|Q99L13|3HIDH_MOUSE</t>
  </si>
  <si>
    <t>3-hydroxyisobutyrate dehydrogenase, mitochondrial (HIBADH)</t>
  </si>
  <si>
    <t>3HIDH_MOUSE</t>
  </si>
  <si>
    <t>Q99L13</t>
  </si>
  <si>
    <t>Q8BJY2</t>
  </si>
  <si>
    <t>MGI:1889802</t>
  </si>
  <si>
    <t>Acetylation; Branched-chain amino acid catabolism; Mitochondrion; NAD; Oxidoreductase; Transit peptide</t>
  </si>
  <si>
    <t>Branched-chain amino acid catabolism</t>
  </si>
  <si>
    <t>valine catabolic process {GO:0006574}</t>
  </si>
  <si>
    <t>3-hydroxyisobutyrate dehydrogenase activity {GO:0008442}; NAD binding {GO:0051287}; NADP binding {GO:0050661}; oxidoreductase activity, acting on the CH-OH group of donors, NAD or NADP as acceptor {GO:0016616}</t>
  </si>
  <si>
    <t>Amino-acid degradation; L-valine degradation.</t>
  </si>
  <si>
    <t>sp|Q99K23|UFSP2_MOUSE</t>
  </si>
  <si>
    <t>Ufm1-specific protease 2 (UfSP2)</t>
  </si>
  <si>
    <t>UFSP2_MOUSE</t>
  </si>
  <si>
    <t>Q99K23</t>
  </si>
  <si>
    <t>Q8C5I0</t>
  </si>
  <si>
    <t>MGI:1913679</t>
  </si>
  <si>
    <t>3D-structure; Cytoplasm; Endoplasmic reticulum; Hydrolase; Nucleus; Protease; Thiol protease; Ubl conjugation pathway</t>
  </si>
  <si>
    <t>proteolysis {GO:0006508}; regulation of intracellular estrogen receptor signaling pathway {GO:0033146}</t>
  </si>
  <si>
    <t>deUFMylase activity {GO:0071567}; thiolester hydrolase activity {GO:0016790}</t>
  </si>
  <si>
    <t>sp|Q9CQ10|CHMP3_MOUSE</t>
  </si>
  <si>
    <t>Charged multivesicular body protein 3</t>
  </si>
  <si>
    <t>Chromatin-modifying protein 3; Vacuolar protein sorting-associated protein 24</t>
  </si>
  <si>
    <t>CHMP3_MOUSE</t>
  </si>
  <si>
    <t>Q9CQ10</t>
  </si>
  <si>
    <t>Q9D2Z2; Q9D7A5</t>
  </si>
  <si>
    <t>Vps24</t>
  </si>
  <si>
    <t>MGI:1913950</t>
  </si>
  <si>
    <t>Cell cycle; Cell division; Coiled coil; Cytoplasm; Endosome; Isopeptide bond; Lipoprotein; Membrane; Myristate; Phosphoprotein; Protein transport; Transport; Ubl conjugation</t>
  </si>
  <si>
    <t>autophagosome maturation {GO:0097352}; endosome to lysosome transport {GO:0008333}; endosome transport via multivesicular body sorting pathway {GO:0032509}; late endosome to lysosome transport {GO:1902774}; late endosome to vacuole transport {GO:0045324}; membrane fission {GO:0090148}; midbody abscission {GO:0061952}; mitotic metaphase plate congression {GO:0007080}; multivesicular body assembly {GO:0036258}; multivesicular body-lysosome fusion {GO:0061763}; negative regulation of cell death {GO:0060548}; nuclear membrane reassembly {GO:0031468}; plasma membrane repair {GO:0001778}; positive regulation of cytokinesis {GO:0032467}; protein polymerization {GO:0051258}; protein transport {GO:0015031}; regulation of centrosome duplication {GO:0010824}; regulation of early endosome to late endosome transport {GO:2000641}; regulation of endosome size {GO:0051036}; regulation of mitotic spindle assembly {GO:1901673}; suppression of viral release by host {GO:0044790}; ubiquitin-dependent protein catabolic process via the multivesicular body sorting pathway {GO:0043162}; vesicle fusion with vacuole {GO:0051469}; viral budding from plasma membrane {GO:0046761}; viral budding via host ESCRT complex {GO:0039702}</t>
  </si>
  <si>
    <t>amphisome membrane {GO:1904930}; autophagosome membrane {GO:0000421}; cytoplasmic vesicle {GO:0031410}; cytosol {GO:0005829}; early endosome {GO:0005769}; ESCRT III complex {GO:0000815}; kinetochore {GO:0000776}; kinetochore microtubule {GO:0005828}; late endosome {GO:0005770}; lysosomal membrane {GO:0005765}; midbody {GO:0030496}; multivesicular body {GO:0005771}; multivesicular body membrane {GO:0032585}; nuclear pore {GO:0005643}; plasma membrane {GO:0005886}</t>
  </si>
  <si>
    <t>identical protein binding {GO:0042802}; phosphatidylcholine binding {GO:0031210}; phosphatidylinositol-4,5-bisphosphate binding {GO:0005546}; ubiquitin-specific protease binding {GO:1990381}</t>
  </si>
  <si>
    <t>sp|Q61112|CAB45_MOUSE</t>
  </si>
  <si>
    <t>45 kDa calcium-binding protein (Cab45)</t>
  </si>
  <si>
    <t>Stromal cell-derived factor 4 (SDF-4)</t>
  </si>
  <si>
    <t>CAB45_MOUSE</t>
  </si>
  <si>
    <t>Q61112</t>
  </si>
  <si>
    <t>Q3TK84; Q3TQP8; Q61113</t>
  </si>
  <si>
    <t>Cab45</t>
  </si>
  <si>
    <t>MGI:108079</t>
  </si>
  <si>
    <t>Alternative splicing; Calcium; Glycoprotein; Golgi apparatus; Metal-binding; Phosphoprotein; Repeat; Signal</t>
  </si>
  <si>
    <t>calcium-ion regulated exocytosis {GO:0017156}; cerebellum development {GO:0021549}; fat cell differentiation {GO:0045444}; maintenance of synapse structure {GO:0099558}; response to ethanol {GO:0045471}; UV protection {GO:0009650}; zymogen granule exocytosis {GO:0070625}</t>
  </si>
  <si>
    <t>cytoplasm {GO:0005737}; endoplasmic reticulum {GO:0005783}; Golgi apparatus {GO:0005794}; Golgi lumen {GO:0005796}; late endosome {GO:0005770}; plasma membrane {GO:0005886}</t>
  </si>
  <si>
    <t>calcium ion binding {GO:0005509}; identical protein binding {GO:0042802}</t>
  </si>
  <si>
    <t>sp|Q9D7P6|ISCU_MOUSE</t>
  </si>
  <si>
    <t>Iron-sulfur cluster assembly enzyme ISCU, mitochondrial</t>
  </si>
  <si>
    <t>NifU-like N-terminal domain-containing protein; NifU-like protein</t>
  </si>
  <si>
    <t>ISCU_MOUSE</t>
  </si>
  <si>
    <t>Q9D7P6</t>
  </si>
  <si>
    <t>Q4VBC7; Q8K344</t>
  </si>
  <si>
    <t>Nifun</t>
  </si>
  <si>
    <t>MGI:1913633</t>
  </si>
  <si>
    <t>3D-structure; Iron; Metal-binding; Mitochondrion; Transit peptide</t>
  </si>
  <si>
    <t>[4Fe-4S] cluster assembly {GO:0044572}; cellular iron ion homeostasis {GO:0006879}; iron ion homeostasis {GO:0055072}; iron-sulfur cluster assembly {GO:0016226}; negative regulation of iron ion import across plasma membrane {GO:1904439}; positive regulation of aconitate hydratase activity {GO:1904234}; positive regulation of mitochondrial electron transport, NADH to ubiquinone {GO:1902958}</t>
  </si>
  <si>
    <t>cytoplasm {GO:0005737}; cytosol {GO:0005829}; iron-sulfur cluster assembly complex {GO:1990229}; mitochondrial matrix {GO:0005759}; mitochondrion {GO:0005739}</t>
  </si>
  <si>
    <t>2 iron, 2 sulfur cluster binding {GO:0051537}; ferrous iron binding {GO:0008198}; molecular adaptor activity {GO:0060090}</t>
  </si>
  <si>
    <t>sp|Q05BC3|EMAL1_MOUSE</t>
  </si>
  <si>
    <t>Echinoderm microtubule-associated protein-like 1 (EMAP-1)</t>
  </si>
  <si>
    <t>EMAL1_MOUSE</t>
  </si>
  <si>
    <t>Q05BC3</t>
  </si>
  <si>
    <t>Q05AF8; Q0P5V3</t>
  </si>
  <si>
    <t>MGI:1915769</t>
  </si>
  <si>
    <t>Alternative splicing; Coiled coil; Cytoplasm; Cytoskeleton; Disease variant; Microtubule; Repeat; WD repeat</t>
  </si>
  <si>
    <t>brain development {GO:0007420}; hematopoietic progenitor cell differentiation {GO:0002244}; microtubule cytoskeleton organization {GO:0000226}; mitotic spindle organization {GO:0007052}; neuroblast proliferation {GO:0007405}</t>
  </si>
  <si>
    <t>cytosol {GO:0005829}; microtubule {GO:0005874}; microtubule cytoskeleton {GO:0015630}; perinuclear region of cytoplasm {GO:0048471}</t>
  </si>
  <si>
    <t>microtubule binding {GO:0008017}; tubulin binding {GO:0015631}</t>
  </si>
  <si>
    <t>sp|Q9QXM1|JMY_MOUSE</t>
  </si>
  <si>
    <t>Junction-mediating and -regulatory protein</t>
  </si>
  <si>
    <t>JMY_MOUSE</t>
  </si>
  <si>
    <t>Q9QXM1</t>
  </si>
  <si>
    <t>Q3UQZ0; Q5BL16; Q6NST0; Q8CBP9; Q8VDZ3</t>
  </si>
  <si>
    <t>MGI:1913096</t>
  </si>
  <si>
    <t>Actin-binding; Alternative splicing; Coiled coil; Cytoplasm; Cytoplasmic vesicle; Cytoskeleton; DNA damage; DNA repair; Lipoprotein; Membrane; Nucleus; Phosphoprotein; Ubl conjugation</t>
  </si>
  <si>
    <t>Cytoplasm; Cytoplasmic vesicle; Cytoskeleton; Membrane; Nucleus</t>
  </si>
  <si>
    <t>Lipoprotein; Phosphoprotein; Ubl conjugation</t>
  </si>
  <si>
    <t>'de novo' actin filament nucleation {GO:0070060}; actin polymerization-dependent cell motility {GO:0070358}; Arp2/3 complex-mediated actin nucleation {GO:0034314}; cellular response to starvation {GO:0009267}; DNA repair {GO:0006281}; intrinsic apoptotic signaling pathway by p53 class mediator {GO:0072332}; positive regulation of apoptotic process {GO:0043065}; positive regulation of DNA-binding transcription factor activity {GO:0051091}; regulation of DNA-templated transcription in response to stress {GO:0043620}; regulation of transcription by RNA polymerase II {GO:0006357}</t>
  </si>
  <si>
    <t>autophagosome membrane {GO:0000421}; cell leading edge {GO:0031252}; cytoplasm {GO:0005737}; cytoplasmic vesicle {GO:0031410}; cytoskeleton {GO:0005856}; endomembrane system {GO:0012505}; nucleus {GO:0005634}</t>
  </si>
  <si>
    <t>actin binding {GO:0003779}; Arp2/3 complex binding {GO:0071933}; microtubule binding {GO:0008017}; transcription coactivator activity {GO:0003713}</t>
  </si>
  <si>
    <t>Regulation of TP53 Activity through Methylation {R-MMU-6804760}</t>
  </si>
  <si>
    <t>sp|Q9CZW4|ACSL3_MOUSE</t>
  </si>
  <si>
    <t>Fatty acid CoA ligase Acsl3</t>
  </si>
  <si>
    <t>Arachidonate--CoA ligase; Long-chain acyl-CoA synthetase 3 (LACS 3); Long-chain-fatty-acid--CoA ligase 3; Medium-chain acyl-CoA ligase Acsl3</t>
  </si>
  <si>
    <t>ACSL3_MOUSE</t>
  </si>
  <si>
    <t>Q9CZW4</t>
  </si>
  <si>
    <t>Q8K1J7</t>
  </si>
  <si>
    <t>Acs3; Facl3</t>
  </si>
  <si>
    <t>MGI:1921455</t>
  </si>
  <si>
    <t>ATP-binding; Endoplasmic reticulum; Fatty acid metabolism; Ligase; Lipid metabolism; Magnesium; Membrane; Microsome; Mitochondrion; Mitochondrion outer membrane; Nucleotide-binding; Peroxisome; Phosphoprotein; Signal-anchor; Transmembrane; Transmembrane helix</t>
  </si>
  <si>
    <t>Endoplasmic reticulum; Membrane; Microsome; Mitochondrion; Mitochondrion outer membrane; Peroxisome</t>
  </si>
  <si>
    <t>fatty acid biosynthetic process {GO:0006633}; long-chain fatty acid import into cell {GO:0044539}; long-chain fatty acid metabolic process {GO:0001676}; long-chain fatty-acyl-CoA metabolic process {GO:0035336}; neuron differentiation {GO:0030182}; positive regulation of Golgi to plasma membrane protein transport {GO:0042998}; positive regulation of phosphatidylcholine biosynthetic process {GO:2001247}; positive regulation of secretion {GO:0051047}; very-low-density lipoprotein particle assembly {GO:0034379}</t>
  </si>
  <si>
    <t>endoplasmic reticulum {GO:0005783}; endoplasmic reticulum membrane {GO:0005789}; Golgi apparatus {GO:0005794}; integral component of membrane {GO:0016021}; lipid droplet {GO:0005811}; membrane {GO:0016020}; mitochondrial outer membrane {GO:0005741}; perinuclear region of cytoplasm {GO:0048471}; peroxisomal membrane {GO:0005778}; plasma membrane {GO:0005886}</t>
  </si>
  <si>
    <t>arachidonate-CoA ligase activity {GO:0047676}; ATP binding {GO:0005524}; long-chain fatty acid-CoA ligase activity {GO:0004467}; medium-chain fatty acid-CoA ligase activity {GO:0031956}; protein domain specific binding {GO:0019904}; protein kinase binding {GO:0019901}</t>
  </si>
  <si>
    <t>Intracellular metabolism of fatty acids regulates insulin secretion {R-MMU-434313}; Synthesis of very long-chain fatty acyl-CoAs {R-MMU-75876}</t>
  </si>
  <si>
    <t>sp|Q9D1L0|CHCH2_MOUSE</t>
  </si>
  <si>
    <t>Coiled-coil-helix-coiled-coil-helix domain-containing protein 2</t>
  </si>
  <si>
    <t>CHCH2_MOUSE</t>
  </si>
  <si>
    <t>Q9D1L0</t>
  </si>
  <si>
    <t>Q3TUG8</t>
  </si>
  <si>
    <t>MGI:1261428</t>
  </si>
  <si>
    <t>Activator; Disulfide bond; Mitochondrion; Nucleus; Transcription</t>
  </si>
  <si>
    <t>cellular response to oxidative stress {GO:0034599}; mitochondrion organization {GO:0007005}; positive regulation of mitochondrial ATP synthesis coupled electron transport {GO:1905448}; positive regulation of transcription by RNA polymerase II {GO:0045944}; regulation of cellular response to hypoxia {GO:1900037}</t>
  </si>
  <si>
    <t>mitochondrial intermembrane space {GO:0005758}; mitochondrion {GO:0005739}; nucleus {GO:0005634}</t>
  </si>
  <si>
    <t>DNA-binding transcription factor binding {GO:0140297}; sequence-specific DNA binding {GO:0043565}</t>
  </si>
  <si>
    <t>sp|Q80VL1|TDRKH_MOUSE</t>
  </si>
  <si>
    <t>Tudor and KH domain-containing protein</t>
  </si>
  <si>
    <t>Tudor domain-containing protein 2</t>
  </si>
  <si>
    <t>TDRKH_MOUSE</t>
  </si>
  <si>
    <t>Q80VL1</t>
  </si>
  <si>
    <t>Tdrd2</t>
  </si>
  <si>
    <t>MGI:1919884</t>
  </si>
  <si>
    <t>3D-structure; Cytoplasm; Differentiation; Isopeptide bond; Mitochondrion; Phosphoprotein; Repeat; RNA-binding; RNA-mediated gene silencing; Spermatogenesis; Ubl conjugation</t>
  </si>
  <si>
    <t>Differentiation; RNA-mediated gene silencing; Spermatogenesis</t>
  </si>
  <si>
    <t>DNA methylation involved in gamete generation {GO:0043046}; fertilization {GO:0009566}; gene silencing by RNA {GO:0031047}; male meiotic nuclear division {GO:0007140}; P granule organization {GO:0030719}; piRNA metabolic process {GO:0034587}; spermatogenesis {GO:0007283}</t>
  </si>
  <si>
    <t>cytoplasm {GO:0005737}; cytosol {GO:0005829}; mitochondrion {GO:0005739}; P granule {GO:0043186}; pi-body {GO:0071546}; piP-body {GO:0071547}</t>
  </si>
  <si>
    <t>sp|Q2TPA8|HSDL2_MOUSE</t>
  </si>
  <si>
    <t>Hydroxysteroid dehydrogenase-like protein 2</t>
  </si>
  <si>
    <t>HSDL2_MOUSE</t>
  </si>
  <si>
    <t>Q2TPA8</t>
  </si>
  <si>
    <t>Q3ULY5; Q3UVZ3; Q8C3H3; Q99LV2</t>
  </si>
  <si>
    <t>MGI:1919729</t>
  </si>
  <si>
    <t>Acetylation; Hydroxylation; NADP; Oxidoreductase; Peroxisome</t>
  </si>
  <si>
    <t>mitochondrion {GO:0005739}; peroxisome {GO:0005777}</t>
  </si>
  <si>
    <t>sp|D3Z4S3|PTRD1_MOUSE</t>
  </si>
  <si>
    <t>Putative peptidyl-tRNA hydrolase PTRHD1</t>
  </si>
  <si>
    <t>Peptidyl-tRNA hydrolase domain-containing protein 1</t>
  </si>
  <si>
    <t>PTRD1_MOUSE</t>
  </si>
  <si>
    <t>D3Z4S3</t>
  </si>
  <si>
    <t>MGI:1916959</t>
  </si>
  <si>
    <t>aminoacyl-tRNA hydrolase activity {GO:0004045}</t>
  </si>
  <si>
    <t>sp|Q61687|ATRX_MOUSE</t>
  </si>
  <si>
    <t>Transcriptional regulator ATRX</t>
  </si>
  <si>
    <t>ATP-dependent helicase ATRX; HP1 alpha-interacting protein; HP1-BP38 protein; Heterochromatin protein 2; X-linked nuclear protein</t>
  </si>
  <si>
    <t>ATRX_MOUSE</t>
  </si>
  <si>
    <t>Q61687</t>
  </si>
  <si>
    <t>A2ADH4</t>
  </si>
  <si>
    <t>Hp1bp2; Xnp</t>
  </si>
  <si>
    <t>MGI:103067</t>
  </si>
  <si>
    <t>ATP-binding; Chromatin regulator; Chromosome; Citrullination; DNA damage; DNA repair; DNA-binding; Helicase; Hydrolase; Isopeptide bond; Metal-binding; Methylation; Nucleotide-binding; Nucleus; Phosphoprotein; Telomere; Transcription; Transcription regulation; Ubl conjugation; Zinc; Zinc-finger</t>
  </si>
  <si>
    <t>Citrullination; Isopeptide bond; Methylation; Phosphoprotein; Ubl conjugation</t>
  </si>
  <si>
    <t>cellular response to hydroxyurea {GO:0072711}; chromatin remodeling {GO:0006338}; chromosome organization involved in meiotic cell cycle {GO:0070192}; DNA damage response, signal transduction by p53 class mediator {GO:0030330}; DNA repair {GO:0006281}; DNA replication-independent chromatin assembly {GO:0006336}; forebrain development {GO:0030900}; meiotic spindle organization {GO:0000212}; multicellular organism growth {GO:0035264}; negative regulation of maintenance of mitotic sister chromatid cohesion, telomeric {GO:1904908}; negative regulation of telomeric RNA transcription from RNA pol II promoter {GO:1901581}; nucleosome assembly {GO:0006334}; positive regulation of nuclear cell cycle DNA replication {GO:0010571}; positive regulation of telomere maintenance {GO:0032206}; positive regulation of telomeric RNA transcription from RNA pol II promoter {GO:1901582}; positive regulation of transcription by RNA polymerase II {GO:0045944}; post-embryonic forelimb morphogenesis {GO:0035128}; protein localization to chromosome, telomeric region {GO:0070198}; regulation of histone H3-K9 trimethylation {GO:1900112}; replication fork processing {GO:0031297}; seminiferous tubule development {GO:0072520}; Sertoli cell development {GO:0060009}; spermatogenesis {GO:0007283}; transcription by RNA polymerase II {GO:0006366}</t>
  </si>
  <si>
    <t>chromosome, subtelomeric region {GO:0099115}; chromosome, telomeric region {GO:0000781}; condensed chromosome, centromeric region {GO:0000779}; cytoplasm {GO:0005737}; heterochromatin {GO:0000792}; nuclear body {GO:0016604}; nuclear chromosome {GO:0000228}; nucleoplasm {GO:0005654}; nucleus {GO:0005634}; pericentric heterochromatin {GO:0005721}; PML body {GO:0016605}</t>
  </si>
  <si>
    <t>ATP binding {GO:0005524}; ATP hydrolysis activity {GO:0016887}; ATP-dependent chromatin remodeler activity {GO:0140658}; chromatin binding {GO:0003682}; chromatin DNA binding {GO:0031490}; chromo shadow domain binding {GO:0070087}; DNA helicase activity {GO:0003678}; DNA translocase activity {GO:0015616}; histone binding {GO:0042393}; metal ion binding {GO:0046872}; methylated histone binding {GO:0035064}</t>
  </si>
  <si>
    <t>Inhibition of DNA recombination at telomere {R-MMU-9670095}</t>
  </si>
  <si>
    <t>sp|P62137|PP1A_MOUSE</t>
  </si>
  <si>
    <t>Serine/threonine-protein phosphatase PP1-alpha catalytic subunit (PP-1A)</t>
  </si>
  <si>
    <t>PP1A_MOUSE</t>
  </si>
  <si>
    <t>P62137</t>
  </si>
  <si>
    <t>P08129; P20653; P22802; Q3U7G7; Q9Z1G2</t>
  </si>
  <si>
    <t>Ppp1a</t>
  </si>
  <si>
    <t>MGI:103016</t>
  </si>
  <si>
    <t>3D-structure; Acetylation; Biological rhythms; Carbohydrate metabolism; Cell cycle; Cell division; Cytoplasm; Glycogen metabolism; Hydrolase; Manganese; Metal-binding; Nucleus; Phosphoprotein; Protein phosphatase</t>
  </si>
  <si>
    <t>Biological rhythms; Carbohydrate metabolism; Cell cycle; Cell division; Glycogen metabolism</t>
  </si>
  <si>
    <t>branching morphogenesis of an epithelial tube {GO:0048754}; cell cycle {GO:0007049}; cell division {GO:0051301}; circadian regulation of gene expression {GO:0032922}; dephosphorylation {GO:0016311}; entrainment of circadian clock by photoperiod {GO:0043153}; glycogen metabolic process {GO:0005977}; lung development {GO:0030324}; positive regulation of extrinsic apoptotic signaling pathway in absence of ligand {GO:2001241}; protein dephosphorylation {GO:0006470}; regulation of circadian rhythm {GO:0042752}; regulation of glycogen biosynthetic process {GO:0005979}; regulation of glycogen catabolic process {GO:0005981}; regulation of translation {GO:0006417}; response to lead ion {GO:0010288}</t>
  </si>
  <si>
    <t>adherens junction {GO:0005912}; chromosome, telomeric region {GO:0000781}; cytoplasm {GO:0005737}; cytosol {GO:0005829}; dendritic spine {GO:0043197}; glutamatergic synapse {GO:0098978}; glycogen granule {GO:0042587}; neuron projection {GO:0043005}; neuronal cell body {GO:0043025}; nucleolus {GO:0005730}; nucleoplasm {GO:0005654}; nucleus {GO:0005634}; perikaryon {GO:0043204}; plasma membrane {GO:0005886}; postsynapse {GO:0098794}; presynapse {GO:0098793}; protein phosphatase type 1 complex {GO:0000164}; PTW/PP1 phosphatase complex {GO:0072357}</t>
  </si>
  <si>
    <t>cadherin binding involved in cell-cell adhesion {GO:0098641}; metal ion binding {GO:0046872}; myosin phosphatase activity {GO:0017018}; phosphatase activity {GO:0016791}; phosphoprotein phosphatase activity {GO:0004721}; protein phosphatase 1 binding {GO:0008157}; protein serine/threonine phosphatase activity {GO:0004722}; protein-containing complex binding {GO:0044877}; ribonucleoprotein complex binding {GO:0043021}</t>
  </si>
  <si>
    <t>DARPP-32 events {R-MMU-180024}</t>
  </si>
  <si>
    <t>sp|Q923D2|BLVRB_MOUSE</t>
  </si>
  <si>
    <t>Flavin reductase (NADPH) (FR)</t>
  </si>
  <si>
    <t>Biliverdin reductase B (BVR-B); Biliverdin-IX beta-reductase; NADPH-dependent diaphorase; NADPH-flavin reductase (FLR)</t>
  </si>
  <si>
    <t>BLVRB_MOUSE</t>
  </si>
  <si>
    <t>Q923D2</t>
  </si>
  <si>
    <t>MGI:2385271</t>
  </si>
  <si>
    <t>Cytoplasm; NADP; Oxidoreductase; Phosphoprotein</t>
  </si>
  <si>
    <t>cytosol {GO:0005829}; intracellular membrane-bounded organelle {GO:0043231}; nucleoplasm {GO:0005654}; plasma membrane {GO:0005886}; terminal bouton {GO:0043195}</t>
  </si>
  <si>
    <t>biliberdin reductase NAD+ activity {GO:0106276}; biliverdin reductase (NAD(P)+) activity {GO:0004074}; biliverdin reductase (NADP+) activity {GO:0106277}; oxidoreductase activity, acting on the CH-NH group of donors, NAD or NADP as acceptor {GO:0016646}; riboflavin reductase (NADPH) activity {GO:0042602}</t>
  </si>
  <si>
    <t>sp|P46414|CDN1B_MOUSE</t>
  </si>
  <si>
    <t>Cyclin-dependent kinase inhibitor 1B</t>
  </si>
  <si>
    <t>Cyclin-dependent kinase inhibitor p27; p27Kip1</t>
  </si>
  <si>
    <t>CDN1B_MOUSE</t>
  </si>
  <si>
    <t>P46414</t>
  </si>
  <si>
    <t>Q8BG74</t>
  </si>
  <si>
    <t>MGI:104565</t>
  </si>
  <si>
    <t>Cell cycle; Cytoplasm; Endosome; Nucleus; Phosphoprotein; Protein kinase inhibitor; Ubl conjugation</t>
  </si>
  <si>
    <t>apoptotic process {GO:0006915}; autophagic cell death {GO:0048102}; cell death {GO:0008219}; cellular response to antibiotic {GO:0071236}; cellular response to hypoxia {GO:0071456}; cellular response to lithium ion {GO:0071285}; cellular response to organic cyclic compound {GO:0071407}; epithelial cell apoptotic process {GO:1904019}; epithelial cell proliferation involved in prostate gland development {GO:0060767}; G1/S transition of mitotic cell cycle {GO:0000082}; heart development {GO:0007507}; inner ear development {GO:0048839}; negative regulation of cardiac muscle tissue regeneration {GO:1905179}; negative regulation of cell cycle G1/S phase transition {GO:1902807}; negative regulation of cell growth {GO:0030308}; negative regulation of cell population proliferation {GO:0008285}; negative regulation of cyclin-dependent protein kinase activity {GO:1904030}; negative regulation of cyclin-dependent protein serine/threonine kinase activity {GO:0045736}; negative regulation of DNA-templated transcription {GO:0045892}; negative regulation of epithelial cell apoptotic process {GO:1904036}; negative regulation of epithelial cell proliferation {GO:0050680}; negative regulation of epithelial cell proliferation involved in prostate gland development {GO:0060770}; negative regulation of kinase activity {GO:0033673}; negative regulation of mitotic cell cycle {GO:0045930}; negative regulation of phosphorylation {GO:0042326}; negative regulation of vascular associated smooth muscle cell proliferation {GO:1904706}; Notch signaling pathway {GO:0007219}; placenta development {GO:0001890}; positive regulation of cell death {GO:0010942}; positive regulation of cell population proliferation {GO:0008284}; positive regulation of cyclin-dependent protein serine/threonine kinase activity {GO:0045737}; positive regulation of microtubule polymerization {GO:0031116}; positive regulation of protein catabolic process {GO:0045732}; potassium ion transport {GO:0006813}; regulation of cell cycle {GO:0051726}; regulation of cell cycle G1/S phase transition {GO:1902806}; regulation of cyclin-dependent protein serine/threonine kinase activity {GO:0000079}; regulation of exit from mitosis {GO:0007096}; regulation of G1/S transition of mitotic cell cycle {GO:2000045}; regulation of lens fiber cell differentiation {GO:1902746}; regulation of mitotic cell cycle {GO:0007346}; response to amino acid {GO:0043200}; response to cadmium ion {GO:0046686}; response to estradiol {GO:0032355}; response to glucose {GO:0009749}; response to peptide hormone {GO:0043434}; response to xenobiotic stimulus {GO:0009410}; sensory perception of sound {GO:0007605}</t>
  </si>
  <si>
    <t>Cul4A-RING E3 ubiquitin ligase complex {GO:0031464}; cytoplasm {GO:0005737}; cytosol {GO:0005829}; endosome {GO:0005768}; intracellular membrane-bounded organelle {GO:0043231}; nucleoplasm {GO:0005654}; nucleus {GO:0005634}; protein-containing complex {GO:0032991}</t>
  </si>
  <si>
    <t>chaperone binding {GO:0051087}; cyclin binding {GO:0030332}; cyclin-dependent protein serine/threonine kinase inhibitor activity {GO:0004861}; Hsp70 protein binding {GO:0030544}; molecular function inhibitor activity {GO:0140678}; protein kinase binding {GO:0019901}; protein kinase inhibitor activity {GO:0004860}; protein phosphatase binding {GO:0019903}; protein-containing complex binding {GO:0044877}</t>
  </si>
  <si>
    <t>SCF(Skp2)-mediated degradation of p27/p21 {R-MMU-187577}; AKT phosphorylates targets in the cytosol {R-MMU-198323}; Senescence-Associated Secretory Phenotype (SASP) {R-MMU-2559582}; DNA Damage/Telomere Stress Induced Senescence {R-MMU-2559586}; TP53 Regulates Transcription of Genes Involved in G1 Cell Cycle Arrest {R-MMU-6804116}; Cyclin E associated events during G1/S transition {R-MMU-69202}; Cyclin D associated events in G1 {R-MMU-69231}; p53-Dependent G1 DNA Damage Response {R-MMU-69563}; Cyclin A:Cdk2-associated events at S phase entry {R-MMU-69656}; PTK6 Regulates Cell Cycle {R-MMU-8849470}; FLT3 Signaling {R-MMU-9607240}; Estrogen-dependent nuclear events downstream of ESR-membrane signaling {R-MMU-9634638}</t>
  </si>
  <si>
    <t>sp|Q8CHP8|PGP_MOUSE</t>
  </si>
  <si>
    <t>Glycerol-3-phosphate phosphatase (G3PP)</t>
  </si>
  <si>
    <t>Aspartate-based ubiquitous Mg(2+)-dependent phosphatase (AUM); Phosphoglycolate phosphatase (PGP)</t>
  </si>
  <si>
    <t>PGP_MOUSE</t>
  </si>
  <si>
    <t>Q8CHP8</t>
  </si>
  <si>
    <t>MGI:1914328</t>
  </si>
  <si>
    <t>3D-structure; Carbohydrate metabolism; Hydrolase; Magnesium; Metal-binding; Protein phosphatase</t>
  </si>
  <si>
    <t>glycerol biosynthetic process {GO:0006114}; glycerophospholipid metabolic process {GO:0006650}; negative regulation of gluconeogenesis {GO:0045721}</t>
  </si>
  <si>
    <t>ADP phosphatase activity {GO:0043262}; glycerol-1-phosphatase activity {GO:0000121}; glycerol-3-phosphatase activity {GO:0043136}; magnesium ion binding {GO:0000287}; phosphatase activity {GO:0016791}; phosphoglycolate phosphatase activity {GO:0008967}; protein tyrosine phosphatase activity {GO:0004725}</t>
  </si>
  <si>
    <t>sp|Q8BM72|HSP13_MOUSE</t>
  </si>
  <si>
    <t>Heat shock 70 kDa protein 13</t>
  </si>
  <si>
    <t>Microsomal stress-70 protein ATPase core; Stress-70 protein chaperone microsome-associated 60 kDa protein</t>
  </si>
  <si>
    <t>HSP13_MOUSE</t>
  </si>
  <si>
    <t>Q8BM72</t>
  </si>
  <si>
    <t>Q3TII6; Q9D1X5</t>
  </si>
  <si>
    <t>Stch</t>
  </si>
  <si>
    <t>MGI:1309463</t>
  </si>
  <si>
    <t>Alternative splicing; ATP-binding; Endoplasmic reticulum; Microsome; Nucleotide-binding; Signal</t>
  </si>
  <si>
    <t>Endoplasmic reticulum; Microsome</t>
  </si>
  <si>
    <t>cellular response to unfolded protein {GO:0034620}; chaperone cofactor-dependent protein refolding {GO:0051085}; protein refolding {GO:0042026}</t>
  </si>
  <si>
    <t>cytoplasm {GO:0005737}; endoplasmic reticulum {GO:0005783}; mitochondrion {GO:0005739}</t>
  </si>
  <si>
    <t>ATP binding {GO:0005524}; ATP hydrolysis activity {GO:0016887}; ATP-dependent protein folding chaperone {GO:0140662}; heat shock protein binding {GO:0031072}; misfolded protein binding {GO:0051787}; protein folding chaperone {GO:0044183}; unfolded protein binding {GO:0051082}</t>
  </si>
  <si>
    <t>sp|Q9CWW6|PIN4_MOUSE</t>
  </si>
  <si>
    <t>Peptidyl-prolyl cis-trans isomerase NIMA-interacting 4</t>
  </si>
  <si>
    <t>Parvulin-14 (Par14); Peptidyl-prolyl cis-trans isomerase Pin4 (PPIase Pin4); Rotamase Pin4</t>
  </si>
  <si>
    <t>PIN4_MOUSE</t>
  </si>
  <si>
    <t>Q9CWW6</t>
  </si>
  <si>
    <t>Q0VE57</t>
  </si>
  <si>
    <t>MGI:1916963</t>
  </si>
  <si>
    <t>Cytoplasm; Cytoskeleton; DNA-binding; Isomerase; Nucleus; Phosphoprotein; Rotamase</t>
  </si>
  <si>
    <t>DNA-binding; Isomerase; Rotamase</t>
  </si>
  <si>
    <t>rRNA processing {GO:0006364}</t>
  </si>
  <si>
    <t>chromosome {GO:0005694}; cytoplasm {GO:0005737}; mitochondrial matrix {GO:0005759}; nucleolus {GO:0005730}; nucleoplasm {GO:0005654}; nucleus {GO:0005634}; preribosome {GO:0030684}; spindle {GO:0005819}</t>
  </si>
  <si>
    <t>bent DNA binding {GO:0003681}; double-stranded DNA binding {GO:0003690}; peptidyl-prolyl cis-trans isomerase activity {GO:0003755}</t>
  </si>
  <si>
    <t>sp|Q9D902|T2EB_MOUSE</t>
  </si>
  <si>
    <t>General transcription factor IIE subunit 2</t>
  </si>
  <si>
    <t>Transcription initiation factor IIE subunit beta (TFIIE-beta)</t>
  </si>
  <si>
    <t>T2EB_MOUSE</t>
  </si>
  <si>
    <t>Q9D902</t>
  </si>
  <si>
    <t>Q3U5Y7; Q8BTZ2; Q8VE14</t>
  </si>
  <si>
    <t>MGI:1915403</t>
  </si>
  <si>
    <t>Acetylation; DNA-binding; Nucleus; Phosphoprotein; Transcription; Transcription regulation</t>
  </si>
  <si>
    <t>transcription by RNA polymerase II {GO:0006366}; transcription initiation at RNA polymerase II promoter {GO:0006367}</t>
  </si>
  <si>
    <t>cytosol {GO:0005829}; nuclear speck {GO:0016607}; nucleoplasm {GO:0005654}; transcription factor TFIID complex {GO:0005669}; transcription factor TFIIE complex {GO:0005673}</t>
  </si>
  <si>
    <t>DNA binding {GO:0003677}; RNA polymerase II general transcription initiation factor activity {GO:0016251}</t>
  </si>
  <si>
    <t>sp|P56212|ARP19_MOUSE</t>
  </si>
  <si>
    <t>cAMP-regulated phosphoprotein 19 (ARPP-19)</t>
  </si>
  <si>
    <t>ARP19_MOUSE</t>
  </si>
  <si>
    <t>P56212</t>
  </si>
  <si>
    <t>Q543L2</t>
  </si>
  <si>
    <t>MGI:1891691</t>
  </si>
  <si>
    <t>cell division {GO:0051301}; G2/M transition of mitotic cell cycle {GO:0000086}; mitotic cell cycle {GO:0000278}; negative regulation of protein dephosphorylation {GO:0035308}; positive regulation of gluconeogenesis {GO:0045722}</t>
  </si>
  <si>
    <t>phosphatase inhibitor activity {GO:0019212}; potassium channel regulator activity {GO:0015459}; protein phosphatase 2A binding {GO:0051721}; protein phosphatase inhibitor activity {GO:0004864}; protein phosphatase regulator activity {GO:0019888}; signaling receptor binding {GO:0005102}</t>
  </si>
  <si>
    <t>MASTL Facilitates Mitotic Progression {R-MMU-2465910}</t>
  </si>
  <si>
    <t>sp|Q62241|RU1C_MOUSE</t>
  </si>
  <si>
    <t>U1 small nuclear ribonucleoprotein C (U1 snRNP C; U1-C; U1C)</t>
  </si>
  <si>
    <t>RU1C_MOUSE</t>
  </si>
  <si>
    <t>Q62241</t>
  </si>
  <si>
    <t>Snrp1c</t>
  </si>
  <si>
    <t>MGI:109489</t>
  </si>
  <si>
    <t>Acetylation; Metal-binding; Nucleus; Phosphoprotein; Ribonucleoprotein; RNA-binding; Zinc; Zinc-finger</t>
  </si>
  <si>
    <t>mRNA 5'-splice site recognition {GO:0000395}; mRNA splicing, via spliceosome {GO:0000398}; spliceosomal snRNP assembly {GO:0000387}</t>
  </si>
  <si>
    <t>Cajal body {GO:0015030}; commitment complex {GO:0000243}; nucleoplasm {GO:0005654}; nucleus {GO:0005634}; spliceosomal complex {GO:0005681}; U1 snRNP {GO:0005685}; U2-type prespliceosome {GO:0071004}</t>
  </si>
  <si>
    <t>mRNA binding {GO:0003729}; pre-mRNA 5'-splice site binding {GO:0030627}; protein homodimerization activity {GO:0042803}; single-stranded RNA binding {GO:0003727}; U1 snRNA binding {GO:0030619}; U1 snRNP binding {GO:1990446}; zinc ion binding {GO:0008270}</t>
  </si>
  <si>
    <t>sp|Q9CQ48|NUDC2_MOUSE</t>
  </si>
  <si>
    <t>NudC domain-containing protein 2</t>
  </si>
  <si>
    <t>NUDC2_MOUSE</t>
  </si>
  <si>
    <t>Q9CQ48</t>
  </si>
  <si>
    <t>Q8CD03; Q9CY63; Q9D0V4</t>
  </si>
  <si>
    <t>D11Ertd603e</t>
  </si>
  <si>
    <t>MGI:1277103</t>
  </si>
  <si>
    <t>3D-structure; Acetylation; Centromere; Chromosome; Cytoplasm; Cytoskeleton; Kinetochore; Phosphoprotein</t>
  </si>
  <si>
    <t>cytoplasm {GO:0005737}; cytosol {GO:0005829}; intercellular bridge {GO:0045171}; kinetochore {GO:0000776}; microtubule cytoskeleton {GO:0015630}; microtubule organizing center {GO:0005815}; mitotic spindle {GO:0072686}; spindle pole {GO:0000922}</t>
  </si>
  <si>
    <t>sp|Q8JZU2|TXTP_MOUSE</t>
  </si>
  <si>
    <t>sp|Q7TMB8|CYFP1_MOUSE</t>
  </si>
  <si>
    <t>Cytoplasmic FMR1-interacting protein 1</t>
  </si>
  <si>
    <t>Specifically Rac1-associated protein 1 (Sra-1)</t>
  </si>
  <si>
    <t>CYFP1_MOUSE</t>
  </si>
  <si>
    <t>Q7TMB8</t>
  </si>
  <si>
    <t>O88558; Q3U7Q7; Q5DU50; Q7TSZ5; Q80VN6; Q8CE85; Q99LY1</t>
  </si>
  <si>
    <t>MGI:1338801</t>
  </si>
  <si>
    <t>Actin-binding; Alternative splicing; Cell projection; Cell shape; Cytoplasm; Developmental protein; Differentiation; Neurogenesis; Phosphoprotein; Synapse; Synaptosome</t>
  </si>
  <si>
    <t>Cell shape; Differentiation; Neurogenesis</t>
  </si>
  <si>
    <t>Cell projection; Cytoplasm; Synapse; Synaptosome</t>
  </si>
  <si>
    <t>axon extension {GO:0048675}; axon guidance {GO:0007411}; cell morphogenesis {GO:0000902}; cell projection assembly {GO:0030031}; cellular response to insulin stimulus {GO:0032869}; cognition {GO:0050890}; dendrite extension {GO:0097484}; lamellipodium assembly {GO:0030032}; modification of synaptic structure {GO:0099563}; negative regulation of synaptic vesicle recycling {GO:1903422}; neuron projection development {GO:0031175}; positive regulation of Arp2/3 complex-mediated actin nucleation {GO:2000601}; positive regulation of axon extension {GO:0045773}; positive regulation of axonogenesis {GO:0050772}; positive regulation of dendrite development {GO:1900006}; positive regulation of lamellipodium assembly {GO:0010592}; positive regulation of neurotrophin TRK receptor signaling pathway {GO:0051388}; positive regulation of ruffle assembly {GO:1900029}; Rac protein signal transduction {GO:0016601}; regulation of actin filament polymerization {GO:0030833}; regulation of cell shape {GO:0008360}; regulation of modification of postsynaptic actin cytoskeleton {GO:1905274}; regulation of myelination {GO:0031641}; regulation of translation {GO:0006417}; regulation of translation at postsynapse, modulating synaptic transmission {GO:0099578}; response to electrical stimulus {GO:0051602}; ruffle organization {GO:0031529}</t>
  </si>
  <si>
    <t>anchoring junction {GO:0070161}; axonal growth cone {GO:0044295}; central region of growth cone {GO:0090724}; cytoplasm {GO:0005737}; dendritic growth cone {GO:0044294}; dendritic spine {GO:0043197}; excitatory synapse {GO:0060076}; filopodium tip {GO:0032433}; lamellipodium {GO:0030027}; mRNA cap binding complex {GO:0005845}; neuron projection {GO:0043005}; neuronal cell body {GO:0043025}; perinuclear region of cytoplasm {GO:0048471}; peripheral region of growth cone {GO:0090725}; postsynapse {GO:0098794}; ruffle {GO:0001726}; SCAR complex {GO:0031209}; synapse {GO:0045202}; terminal bouton {GO:0043195}</t>
  </si>
  <si>
    <t>actin filament binding {GO:0051015}; profilin binding {GO:0005522}; RNA 7-methylguanosine cap binding {GO:0000340}; small GTPase binding {GO:0031267}; translation regulator activity {GO:0045182}</t>
  </si>
  <si>
    <t>Regulation of actin dynamics for phagocytic cup formation {R-MMU-2029482}; VEGFA-VEGFR2 Pathway {R-MMU-4420097}; RHO GTPases Activate WASPs and WAVEs {R-MMU-5663213}; Neutrophil degranulation {R-MMU-6798695}; RAC1 GTPase cycle {R-MMU-9013149}; RAC2 GTPase cycle {R-MMU-9013404}; RHOG GTPase cycle {R-MMU-9013408}; RAC3 GTPase cycle {R-MMU-9013423}</t>
  </si>
  <si>
    <t>sp|Q9D1C8|VPS28_MOUSE</t>
  </si>
  <si>
    <t>Vacuolar protein sorting-associated protein 28 homolog</t>
  </si>
  <si>
    <t>Caspase-activated DNase inhibitor that interacts with ASK1 (CIIA); ESCRT-I complex subunit VPS28</t>
  </si>
  <si>
    <t>VPS28_MOUSE</t>
  </si>
  <si>
    <t>Q9D1C8</t>
  </si>
  <si>
    <t>MGI:1914164</t>
  </si>
  <si>
    <t>Acetylation; Cell membrane; Endosome; Membrane; Protein transport; Transport</t>
  </si>
  <si>
    <t>negative regulation of protein ubiquitination {GO:0031397}; positive regulation of protein catabolic process {GO:0045732}; positive regulation of ubiquitin-dependent endocytosis {GO:2000397}; protein transport to vacuole involved in ubiquitin-dependent protein catabolic process via the multivesicular body sorting pathway {GO:0043328}; ubiquitin-dependent protein catabolic process via the multivesicular body sorting pathway {GO:0043162}</t>
  </si>
  <si>
    <t>cytoplasm {GO:0005737}; cytosol {GO:0005829}; early endosome {GO:0005769}; endosome {GO:0005768}; endosome membrane {GO:0010008}; ESCRT I complex {GO:0000813}; late endosome membrane {GO:0031902}; plasma membrane {GO:0005886}</t>
  </si>
  <si>
    <t>protein-containing complex binding {GO:0044877}; ubiquitin binding {GO:0043130}</t>
  </si>
  <si>
    <t>sp|Q9CZS1|AL1B1_MOUSE</t>
  </si>
  <si>
    <t>Aldehyde dehydrogenase X, mitochondrial</t>
  </si>
  <si>
    <t>Aldehyde dehydrogenase family 1 member B1</t>
  </si>
  <si>
    <t>AL1B1_MOUSE</t>
  </si>
  <si>
    <t>Q9CZS1</t>
  </si>
  <si>
    <t>Q3UAH5</t>
  </si>
  <si>
    <t>Aldhx</t>
  </si>
  <si>
    <t>MGI:1919785</t>
  </si>
  <si>
    <t>ethanol catabolic process {GO:0006068}</t>
  </si>
  <si>
    <t>cytosol {GO:0005829}; mitochondrial matrix {GO:0005759}; mitochondrion {GO:0005739}; nucleoplasm {GO:0005654}</t>
  </si>
  <si>
    <t>aldehyde dehydrogenase (NAD+) activity {GO:0004029}; glyceraldehyde-3-phosphate dehydrogenase (NAD+) (non-phosphorylating) activity {GO:0043878}</t>
  </si>
  <si>
    <t>tr|A0A087WQ44|A0A087WQ44_MOUSE</t>
  </si>
  <si>
    <t>sp|Q8K1R3|PNPT1_MOUSE</t>
  </si>
  <si>
    <t>Polyribonucleotide nucleotidyltransferase 1, mitochondrial</t>
  </si>
  <si>
    <t>3'-5' RNA exonuclease OLD35; PNPase old-35; Polynucleotide phosphorylase 1 (PNPase 1); Polynucleotide phosphorylase-like protein</t>
  </si>
  <si>
    <t>PNPT1_MOUSE</t>
  </si>
  <si>
    <t>Q8K1R3</t>
  </si>
  <si>
    <t>Q3UEP9; Q810U7; Q812B3; Q8R2U3; Q9DC52</t>
  </si>
  <si>
    <t>Pnpase</t>
  </si>
  <si>
    <t>MGI:1918951</t>
  </si>
  <si>
    <t>3D-structure; Acetylation; Alternative splicing; Cytoplasm; Exonuclease; Hydrolase; Membrane; Mitochondrion; mRNA processing; Nuclease; Nucleotidyltransferase; Phosphoprotein; RNA-binding; Transferase; Transit peptide; Transport</t>
  </si>
  <si>
    <t>Transport; mRNA processing</t>
  </si>
  <si>
    <t>Cytoplasm; Membrane; Mitochondrion</t>
  </si>
  <si>
    <t>Exonuclease; Hydrolase; Nuclease; Nucleotidyltransferase; RNA-binding; Transferase</t>
  </si>
  <si>
    <t>cellular response to interferon-beta {GO:0035458}; cellular response to oxidative stress {GO:0034599}; liver regeneration {GO:0097421}; mitochondrial mRNA catabolic process {GO:0000958}; mitochondrial mRNA polyadenylation {GO:0097222}; mitochondrial RNA 3'-end processing {GO:0000965}; mitochondrial RNA 5'-end processing {GO:0000964}; mitochondrial RNA catabolic process {GO:0000957}; mitochondrion morphogenesis {GO:0070584}; mRNA catabolic process {GO:0006402}; negative regulation of growth {GO:0045926}; nuclear polyadenylation-dependent mRNA catabolic process {GO:0071042}; positive regulation of miRNA catabolic process {GO:2000627}; positive regulation of mitochondrial RNA catabolic process {GO:0000962}; positive regulation of mRNA catabolic process {GO:0061014}; protein homooligomerization {GO:0051260}; protein homotrimerization {GO:0070207}; regulation of cell cycle {GO:0051726}; regulation of cellular respiration {GO:0043457}; regulation of cellular senescence {GO:2000772}; response to cAMP {GO:0051591}; response to growth hormone {GO:0060416}; RNA catabolic process {GO:0006401}; RNA import into mitochondrion {GO:0035927}; RNA polyadenylation {GO:0043631}; rRNA import into mitochondrion {GO:0035928}</t>
  </si>
  <si>
    <t>cytoplasm {GO:0005737}; cytosol {GO:0005829}; endoplasmic reticulum membrane {GO:0005789}; mitochondrial degradosome {GO:0045025}; mitochondrial intermembrane space {GO:0005758}; mitochondrial matrix {GO:0005759}; mitochondrion {GO:0005739}; nucleus {GO:0005634}; polysomal ribosome {GO:0042788}</t>
  </si>
  <si>
    <t>3'-5'-exoribonuclease activity {GO:0000175}; miRNA binding {GO:0035198}; poly(G) binding {GO:0034046}; poly(U) RNA binding {GO:0008266}; polyribonucleotide nucleotidyltransferase activity {GO:0004654}</t>
  </si>
  <si>
    <t>sp|P70388|RAD50_MOUSE</t>
  </si>
  <si>
    <t>DNA repair protein RAD50 (mRad50)</t>
  </si>
  <si>
    <t>RAD50_MOUSE</t>
  </si>
  <si>
    <t>P70388</t>
  </si>
  <si>
    <t>Q6PEB0; Q8C2T7; Q9CU59</t>
  </si>
  <si>
    <t>MGI:109292</t>
  </si>
  <si>
    <t>Acetylation; Alternative splicing; ATP-binding; Cell cycle; Chromosome; Coiled coil; DNA damage; DNA repair; Hydrolase; Meiosis; Metal-binding; Nucleotide-binding; Nucleus; Phosphoprotein; Telomere; Zinc</t>
  </si>
  <si>
    <t>Cell cycle; DNA damage; DNA repair; Meiosis</t>
  </si>
  <si>
    <t>cellular response to DNA damage stimulus {GO:0006974}; chromosome organization {GO:0051276}; chromosome organization involved in meiotic cell cycle {GO:0070192}; DNA double-strand break processing {GO:0000729}; DNA duplex unwinding {GO:0032508}; DNA recombination {GO:0006310}; DNA repair {GO:0006281}; DNA strand resection involved in replication fork processing {GO:0110025}; double-strand break repair {GO:0006302}; homologous recombination {GO:0035825}; mitotic G2/M transition checkpoint {GO:0044818}; negative regulation of telomere capping {GO:1904354}; negative regulation of viral entry into host cell {GO:0046597}; nucleic acid phosphodiester bond hydrolysis {GO:0090305}; positive regulation of kinase activity {GO:0033674}; positive regulation of protein autophosphorylation {GO:0031954}; positive regulation of telomere maintenance {GO:0032206}; regulation of mitotic cell cycle {GO:0007346}; regulation of mitotic recombination {GO:0000019}; telomere maintenance via recombination {GO:0000722}; telomere maintenance via telomerase {GO:0007004}; telomeric 3' overhang formation {GO:0031860}</t>
  </si>
  <si>
    <t>BRCA1-C complex {GO:0070533}; chromatin {GO:0000785}; chromosomal region {GO:0098687}; chromosome, telomeric region {GO:0000781}; condensed nuclear chromosome {GO:0000794}; inclusion body {GO:0016234}; Mre11 complex {GO:0030870}; nucleoplasm {GO:0005654}; nucleus {GO:0005634}; perinuclear region of cytoplasm {GO:0048471}; pronucleus {GO:0045120}; site of double-strand break {GO:0035861}</t>
  </si>
  <si>
    <t>3'-5' exonuclease activity {GO:0008408}; ATP binding {GO:0005524}; ATP hydrolysis activity {GO:0016887}; ATP-dependent DNA damage sensor activity {GO:0140664}; DNA binding {GO:0003677}; DNA helicase activity {GO:0003678}; double-stranded DNA binding {GO:0003690}; double-stranded telomeric DNA binding {GO:0003691}; G-quadruplex DNA binding {GO:0051880}; identical protein binding {GO:0042802}; metal ion binding {GO:0046872}; protein-containing complex binding {GO:0044877}; protein-macromolecule adaptor activity {GO:0030674}; single-stranded DNA endodeoxyribonuclease activity {GO:0000014}; single-stranded telomeric DNA binding {GO:0043047}</t>
  </si>
  <si>
    <t>DNA Damage/Telomere Stress Induced Senescence {R-MMU-2559586}; HDR through Single Strand Annealing (SSA) {R-MMU-5685938}; HDR through MMEJ (alt-NHEJ) {R-MMU-5685939}; HDR through Homologous Recombination (HRR) {R-MMU-5685942}; Sensing of DNA Double Strand Breaks {R-MMU-5693548}; Recruitment and ATM-mediated phosphorylation of repair and signaling proteins at DNA double strand breaks {R-MMU-5693565}; Resolution of D-loop Structures through Holliday Junction Intermediates {R-MMU-5693568}; Nonhomologous End-Joining (NHEJ) {R-MMU-5693571}; Homologous DNA Pairing and Strand Exchange {R-MMU-5693579}; Processing of DNA double-strand break ends {R-MMU-5693607}; Presynaptic phase of homologous DNA pairing and strand exchange {R-MMU-5693616}; Regulation of TP53 Activity through Phosphorylation {R-MMU-6804756}; G2/M DNA damage checkpoint {R-MMU-69473}</t>
  </si>
  <si>
    <t>sp|P16254|SRP14_MOUSE</t>
  </si>
  <si>
    <t>Signal recognition particle 14 kDa protein (SRP14)</t>
  </si>
  <si>
    <t>SRP14_MOUSE</t>
  </si>
  <si>
    <t>P16254</t>
  </si>
  <si>
    <t>Q3TIK2</t>
  </si>
  <si>
    <t>MGI:107169</t>
  </si>
  <si>
    <t>3D-structure; Cytoplasm; Phosphoprotein; Ribonucleoprotein; RNA-binding; Signal recognition particle</t>
  </si>
  <si>
    <t>protein targeting to ER {GO:0045047}; SRP-dependent cotranslational protein targeting to membrane {GO:0006614}</t>
  </si>
  <si>
    <t>nucleus {GO:0005634}; signal recognition particle, endoplasmic reticulum targeting {GO:0005786}</t>
  </si>
  <si>
    <t>7S RNA binding {GO:0008312}; endoplasmic reticulum signal peptide binding {GO:0030942}</t>
  </si>
  <si>
    <t>SRP-dependent cotranslational protein targeting to membrane {R-MMU-1799339}; Neutrophil degranulation {R-MMU-6798695}</t>
  </si>
  <si>
    <t>sp|P58021|TM9S2_MOUSE</t>
  </si>
  <si>
    <t>Transmembrane 9 superfamily member 2</t>
  </si>
  <si>
    <t>TM9S2_MOUSE</t>
  </si>
  <si>
    <t>P58021</t>
  </si>
  <si>
    <t>MGI:1915309</t>
  </si>
  <si>
    <t>Cytoplasm; Cytoskeleton; Endosome; Golgi apparatus; Membrane; Signal; Transmembrane; Transmembrane helix</t>
  </si>
  <si>
    <t>ceramide metabolic process {GO:0006672}; glycosphingolipid biosynthetic process {GO:0006688}; protein localization to membrane {GO:0072657}; regulation of heparan sulfate proteoglycan biosynthetic process {GO:0010908}</t>
  </si>
  <si>
    <t>cytoskeleton {GO:0005856}; endosome membrane {GO:0010008}; Golgi apparatus {GO:0005794}; integral component of membrane {GO:0016021}; membrane {GO:0016020}</t>
  </si>
  <si>
    <t>sp|Q8VDF2|UHRF1_MOUSE</t>
  </si>
  <si>
    <t>E3 ubiquitin-protein ligase UHRF1</t>
  </si>
  <si>
    <t>Nuclear protein 95; Nuclear zinc finger protein Np95; RING-type E3 ubiquitin transferase UHRF1; Ubiquitin-like PHD and RING finger domain-containing protein 1 (mUhrf1); Ubiquitin-like-containing PHD and RING finger domains protein 1</t>
  </si>
  <si>
    <t>UHRF1_MOUSE</t>
  </si>
  <si>
    <t>Q8VDF2</t>
  </si>
  <si>
    <t>Q3U9D7; Q3U9P2; Q3UI74; Q3UIE6; Q3ULF2; Q3ULQ0; Q8C6F1; Q8VIA1; Q9Z1H6</t>
  </si>
  <si>
    <t>Np95</t>
  </si>
  <si>
    <t>MGI:1338889</t>
  </si>
  <si>
    <t>3D-structure; Acetylation; Alternative splicing; Cell cycle; Chromatin regulator; DNA damage; DNA repair; DNA-binding; Isopeptide bond; Metal-binding; Nucleus; Phosphoprotein; Repeat; Repressor; Transcription; Transcription regulation; Transferase; Ubl conjugation; Ubl conjugation pathway; Zinc; Zinc-finger</t>
  </si>
  <si>
    <t>Cell cycle; DNA damage; DNA repair; Transcription; Transcription regulation; Ubl conjugation pathway</t>
  </si>
  <si>
    <t>Chromatin regulator; DNA-binding; Repressor; Transferase</t>
  </si>
  <si>
    <t>cell cycle {GO:0007049}; chromatin organization {GO:0006325}; DNA repair {GO:0006281}; histone monoubiquitination {GO:0010390}; histone ubiquitination {GO:0016574}; maintenance of DNA methylation {GO:0010216}; negative regulation of transcription by RNA polymerase II {GO:0000122}; positive regulation of protein metabolic process {GO:0051247}; protein autoubiquitination {GO:0051865}; protein ubiquitination {GO:0016567}; regulation of epithelial cell proliferation {GO:0050678}; ubiquitin-dependent protein catabolic process {GO:0006511}</t>
  </si>
  <si>
    <t>chromatin {GO:0000785}; cytoplasmic vesicle {GO:0031410}; euchromatin {GO:0000791}; heterochromatin {GO:0000792}; nuclear matrix {GO:0016363}; nucleoplasm {GO:0005654}; nucleus {GO:0005634}; plasma membrane {GO:0005886}; replication fork {GO:0005657}</t>
  </si>
  <si>
    <t>cis-regulatory region sequence-specific DNA binding {GO:0000987}; hemi-methylated DNA-binding {GO:0044729}; histone binding {GO:0042393}; identical protein binding {GO:0042802}; methyl-CpG binding {GO:0008327}; methylated histone binding {GO:0035064}; ubiquitin protein ligase activity {GO:0061630}; ubiquitin-protein transferase activity {GO:0004842}; zinc ion binding {GO:0008270}</t>
  </si>
  <si>
    <t>sp|P97299|SFRP2_MOUSE</t>
  </si>
  <si>
    <t>Secreted frizzled-related protein 2 (sFRP-2)</t>
  </si>
  <si>
    <t>Protein SDF5; Secreted apoptosis-related protein 1 (SARP-1)</t>
  </si>
  <si>
    <t>SFRP2_MOUSE</t>
  </si>
  <si>
    <t>P97299</t>
  </si>
  <si>
    <t>O08862; O35297</t>
  </si>
  <si>
    <t>Sarp1; Sdf5</t>
  </si>
  <si>
    <t>MGI:108078</t>
  </si>
  <si>
    <t>Developmental protein; Differentiation; Disulfide bond; Secreted; Signal; Wnt signaling pathway</t>
  </si>
  <si>
    <t>anterior/posterior pattern specification {GO:0009952}; apoptotic process {GO:0006915}; BMP signaling pathway {GO:0030509}; branching involved in blood vessel morphogenesis {GO:0001569}; canonical Wnt signaling pathway {GO:0060070}; cardiac left ventricle morphogenesis {GO:0003214}; cardiac muscle cell apoptotic process {GO:0010659}; cartilage development {GO:0051216}; cellular response to extracellular stimulus {GO:0031668}; cellular response to X-ray {GO:0071481}; chondrocyte development {GO:0002063}; collagen fibril organization {GO:0030199}; convergent extension involved in axis elongation {GO:0060028}; development of primary male sexual characteristics {GO:0046546}; digestive tract morphogenesis {GO:0048546}; embryonic digit morphogenesis {GO:0042733}; hematopoietic stem cell proliferation {GO:0071425}; male gonad development {GO:0008584}; mesodermal cell fate specification {GO:0007501}; negative regulation of BMP signaling pathway {GO:0030514}; negative regulation of canonical Wnt signaling pathway {GO:0090090}; negative regulation of cardiac muscle cell apoptotic process {GO:0010667}; negative regulation of cell growth {GO:0030308}; negative regulation of cell migration {GO:0030336}; negative regulation of cell population proliferation {GO:0008285}; negative regulation of cysteine-type endopeptidase activity involved in apoptotic process {GO:0043154}; negative regulation of dermatome development {GO:0061185}; negative regulation of DNA-templated transcription {GO:0045892}; negative regulation of epithelial cell proliferation {GO:0050680}; negative regulation of epithelial to mesenchymal transition {GO:0010719}; negative regulation of extrinsic apoptotic signaling pathway via death domain receptors {GO:1902042}; negative regulation of gene expression {GO:0010629}; negative regulation of JUN kinase activity {GO:0043508}; negative regulation of mesodermal cell fate specification {GO:0042662}; negative regulation of peptidyl-tyrosine phosphorylation {GO:0050732}; negative regulation of planar cell polarity pathway involved in axis elongation {GO:2000041}; negative regulation of Wnt signaling pathway {GO:0030178}; neural tube closure {GO:0001843}; neural tube development {GO:0021915}; outflow tract morphogenesis {GO:0003151}; planar cell polarity pathway involved in axis elongation {GO:0003402}; planar cell polarity pathway involved in neural tube closure {GO:0090179}; positive regulation of angiogenesis {GO:0045766}; positive regulation of apoptotic process {GO:0043065}; positive regulation of canonical Wnt signaling pathway {GO:0090263}; positive regulation of cell growth {GO:0030307}; positive regulation of cell population proliferation {GO:0008284}; positive regulation of endopeptidase activity {GO:0010950}; positive regulation of fat cell differentiation {GO:0045600}; positive regulation of osteoblast differentiation {GO:0045669}; positive regulation of peptidyl-serine phosphorylation {GO:0033138}; positive regulation of transcription by RNA polymerase II {GO:0045944}; post-anal tail morphogenesis {GO:0036342}; regulation of apoptotic process {GO:0042981}; regulation of cell population proliferation {GO:0042127}; regulation of establishment of planar polarity {GO:0090175}; regulation of midbrain dopaminergic neuron differentiation {GO:1904956}; regulation of neuron projection development {GO:0010975}; regulation of stem cell division {GO:2000035}; regulation of Wnt signaling pathway {GO:0030111}; response to nutrient {GO:0007584}; response to xenobiotic stimulus {GO:0009410}; sclerotome development {GO:0061056}; somitogenesis {GO:0001756}; stem cell fate specification {GO:0048866}; Wnt signaling pathway involved in somitogenesis {GO:0090244}</t>
  </si>
  <si>
    <t>endopeptidase activator activity {GO:0061133}; enzyme activator activity {GO:0008047}; receptor ligand activity {GO:0048018}; Wnt-protein binding {GO:0017147}</t>
  </si>
  <si>
    <t>sp|P10833|RRAS_MOUSE</t>
  </si>
  <si>
    <t>Ras-related protein R-Ras</t>
  </si>
  <si>
    <t>p23</t>
  </si>
  <si>
    <t>RRAS_MOUSE</t>
  </si>
  <si>
    <t>P10833</t>
  </si>
  <si>
    <t>MGI:98179</t>
  </si>
  <si>
    <t>Cell membrane; GTP-binding; Hydrolase; Lipoprotein; Membrane; Methylation; Nucleotide-binding; Palmitate; Prenylation</t>
  </si>
  <si>
    <t>Lipoprotein; Methylation; Palmitate; Prenylation</t>
  </si>
  <si>
    <t>cell migration {GO:0016477}; face morphogenesis {GO:0060325}; leukocyte differentiation {GO:0002521}; negative regulation of Schwann cell migration {GO:1900148}; positive regulation of angiogenesis {GO:0045766}; positive regulation of endothelial cell migration {GO:0010595}; positive regulation of endothelial cell-matrix adhesion via fibronectin {GO:1904906}; positive regulation of vasculogenesis {GO:2001214}; Ras protein signal transduction {GO:0007265}; regulation of ERK1 and ERK2 cascade {GO:0070372}; regulation of protein kinase B signaling {GO:0051896}; Schwann cell migration {GO:0036135}</t>
  </si>
  <si>
    <t>cytosol {GO:0005829}; plasma membrane {GO:0005886}</t>
  </si>
  <si>
    <t>GDP binding {GO:0019003}; GTP binding {GO:0005525}; GTPase activity {GO:0003924}; protein-containing complex binding {GO:0044877}</t>
  </si>
  <si>
    <t>Sema4D mediated inhibition of cell attachment and migration {R-MMU-416550}</t>
  </si>
  <si>
    <t>sp|Q9CWS0|DDAH1_MOUSE</t>
  </si>
  <si>
    <t>N(G),N(G)-dimethylarginine dimethylaminohydrolase 1 (DDAH-1; Dimethylarginine dimethylaminohydrolase 1)</t>
  </si>
  <si>
    <t>DDAHI; Dimethylargininase-1</t>
  </si>
  <si>
    <t>DDAH1_MOUSE</t>
  </si>
  <si>
    <t>Q9CWS0</t>
  </si>
  <si>
    <t>Q3UF65</t>
  </si>
  <si>
    <t>MGI:1916469</t>
  </si>
  <si>
    <t>Acetylation; Hydrolase; Metal-binding; Phosphoprotein; S-nitrosylation; Zinc</t>
  </si>
  <si>
    <t>arginine catabolic process {GO:0006527}; arginine metabolic process {GO:0006525}; citrulline metabolic process {GO:0000052}; negative regulation of cell population proliferation {GO:0008285}; negative regulation of cellular response to hypoxia {GO:1900038}; negative regulation of vascular permeability {GO:0043116}; nitric oxide biosynthetic process {GO:0006809}; positive regulation of angiogenesis {GO:0045766}; positive regulation of nitric oxide biosynthetic process {GO:0045429}; protein nitrosylation {GO:0017014}; regulation of systemic arterial blood pressure {GO:0003073}</t>
  </si>
  <si>
    <t>amino acid binding {GO:0016597}; dimethylargininase activity {GO:0016403}; zinc ion binding {GO:0008270}</t>
  </si>
  <si>
    <t>sp|Q9Z2A0|PDPK1_MOUSE</t>
  </si>
  <si>
    <t>3-phosphoinositide-dependent protein kinase 1 (mPDK1)</t>
  </si>
  <si>
    <t>PDPK1_MOUSE</t>
  </si>
  <si>
    <t>Q9Z2A0</t>
  </si>
  <si>
    <t>A6H6U3; Q9R1D8; Q9R215</t>
  </si>
  <si>
    <t>Pdk1</t>
  </si>
  <si>
    <t>MGI:1338068</t>
  </si>
  <si>
    <t>Acetylation; ATP-binding; Cell junction; Cell membrane; Cytoplasm; Kinase; Membrane; Nucleotide-binding; Nucleus; Phosphoprotein; Serine/threonine-protein kinase; Transcription; Transcription regulation; Transferase; Ubl conjugation</t>
  </si>
  <si>
    <t>activation of protein kinase B activity {GO:0032148}; calcium-mediated signaling {GO:0019722}; cell migration {GO:0016477}; cellular response to epidermal growth factor stimulus {GO:0071364}; cellular response to insulin stimulus {GO:0032869}; epidermal growth factor receptor signaling pathway {GO:0007173}; extrinsic apoptotic signaling pathway {GO:0097191}; focal adhesion assembly {GO:0048041}; hyperosmotic response {GO:0006972}; intracellular signal transduction {GO:0035556}; negative regulation of cardiac muscle cell apoptotic process {GO:0010667}; negative regulation of endothelial cell apoptotic process {GO:2000352}; negative regulation of neuron apoptotic process {GO:0043524}; negative regulation of protein kinase activity {GO:0006469}; negative regulation of toll-like receptor signaling pathway {GO:0034122}; negative regulation of transforming growth factor beta receptor signaling pathway {GO:0030512}; peptidyl-serine phosphorylation {GO:0018105}; peptidyl-threonine phosphorylation {GO:0018107}; positive regulation of blood vessel endothelial cell migration {GO:0043536}; positive regulation of phospholipase activity {GO:0010518}; positive regulation of protein localization to plasma membrane {GO:1903078}; positive regulation of release of sequestered calcium ion into cytosol {GO:0051281}; positive regulation of sprouting angiogenesis {GO:1903672}; positive regulation of vascular endothelial cell proliferation {GO:1905564}; regulation of endothelial cell migration {GO:0010594}; regulation of I-kappaB kinase/NF-kappaB signaling {GO:0043122}; regulation of mast cell degranulation {GO:0043304}; signal transduction {GO:0007165}; type B pancreatic cell development {GO:0003323}</t>
  </si>
  <si>
    <t>cell projection {GO:0042995}; cytoplasm {GO:0005737}; cytoplasmic vesicle {GO:0031410}; cytosol {GO:0005829}; focal adhesion {GO:0005925}; nucleus {GO:0005634}; perikaryon {GO:0043204}; plasma membrane {GO:0005886}; postsynaptic density {GO:0014069}</t>
  </si>
  <si>
    <t>3-phosphoinositide-dependent protein kinase activity {GO:0004676}; ATP binding {GO:0005524}; insulin receptor binding {GO:0005158}; phospholipase activator activity {GO:0016004}; phospholipase binding {GO:0043274}; protein kinase binding {GO:0019901}; protein serine kinase activity {GO:0106310}; protein serine/threonine kinase activity {GO:0004674}</t>
  </si>
  <si>
    <t>GPVI-mediated activation cascade {R-MMU-114604}; PIP3 activates AKT signaling {R-MMU-1257604}; Activation of AKT2 {R-MMU-165158}; Downstream TCR signaling {R-MMU-202424}; Role of LAT2/NTAL/LAB on calcium mobilization {R-MMU-2730905}; FCERI mediated NF-kB activation {R-MMU-2871837}; Integrin signaling {R-MMU-354192}; CD28 dependent PI3K/Akt signaling {R-MMU-389357}; G beta:gamma signalling through PI3Kgamma {R-MMU-392451}; VEGFR2 mediated vascular permeability {R-MMU-5218920}; VEGFR2 mediated cell proliferation {R-MMU-5218921}; CLEC7A (Dectin-1) signaling {R-MMU-5607764}; RHO GTPases activate PKNs {R-MMU-5625740}; Regulation of TP53 Degradation {R-MMU-6804757}; Estrogen-stimulated signaling through PRKCZ {R-MMU-9634635}</t>
  </si>
  <si>
    <t>sp|Q922X9|ANM7_MOUSE</t>
  </si>
  <si>
    <t>Protein arginine N-methyltransferase 7</t>
  </si>
  <si>
    <t>Histone-arginine N-methyltransferase PRMT7; [Myelin basic protein]-arginine N-methyltransferase PRMT7</t>
  </si>
  <si>
    <t>ANM7_MOUSE</t>
  </si>
  <si>
    <t>Q922X9</t>
  </si>
  <si>
    <t>Q3TRZ6; Q69Z62; Q6B955; Q6PG80</t>
  </si>
  <si>
    <t>Kiaa1933</t>
  </si>
  <si>
    <t>MGI:2384879</t>
  </si>
  <si>
    <t>3D-structure; Chromatin regulator; Cytoplasm; Differentiation; Methylation; Methyltransferase; Nucleus; Repeat; S-adenosyl-L-methionine; Transcription; Transcription regulation; Transferase</t>
  </si>
  <si>
    <t>cell differentiation {GO:0030154}; DNA methylation involved in gamete generation {GO:0043046}; histone arginine methylation {GO:0034969}; histone methylation {GO:0016571}; peptidyl-arginine methylation {GO:0018216}; regulation of gene expression by genomic imprinting {GO:0006349}; spliceosomal snRNP assembly {GO:0000387}</t>
  </si>
  <si>
    <t>cytosol {GO:0005829}; fibrillar center {GO:0001650}; nucleoplasm {GO:0005654}; nucleus {GO:0005634}</t>
  </si>
  <si>
    <t>[myelin basic protein]-arginine N-methyltransferase activity {GO:0016277}; histone methyltransferase activity (H4-R3 specific) {GO:0044020}; histone-arginine N-methyltransferase activity {GO:0008469}; protein-arginine omega-N monomethyltransferase activity {GO:0035241}; protein-arginine omega-N symmetric methyltransferase activity {GO:0035243}; ribonucleoprotein complex binding {GO:0043021}; S-adenosylmethionine-dependent methyltransferase activity {GO:0008757}</t>
  </si>
  <si>
    <t>RMTs methylate histone arginines {R-MMU-3214858}</t>
  </si>
  <si>
    <t>sp|Q99MR8|MCCA_MOUSE</t>
  </si>
  <si>
    <t>Methylcrotonoyl-CoA carboxylase subunit alpha, mitochondrial (MCCase subunit alpha)</t>
  </si>
  <si>
    <t>3-methylcrotonyl-CoA carboxylase 1; 3-methylcrotonyl-CoA carboxylase biotin-containing subunit; 3-methylcrotonyl-CoA:carbon dioxide ligase subunit alpha</t>
  </si>
  <si>
    <t>MCCA_MOUSE</t>
  </si>
  <si>
    <t>Q99MR8</t>
  </si>
  <si>
    <t>Q3TGU0; Q9D8R2</t>
  </si>
  <si>
    <t>Mcca</t>
  </si>
  <si>
    <t>MGI:1919289</t>
  </si>
  <si>
    <t>Acetylation; ATP-binding; Biotin; Ligase; Mitochondrion; Nucleotide-binding; Transit peptide</t>
  </si>
  <si>
    <t>ATP-binding; Biotin; Nucleotide-binding</t>
  </si>
  <si>
    <t>leucine catabolic process {GO:0006552}</t>
  </si>
  <si>
    <t>3-methylcrotonyl-CoA carboxylase complex, mitochondrial {GO:0002169}; methylcrotonoyl-CoA carboxylase complex {GO:1905202}; mitochondrial inner membrane {GO:0005743}; mitochondrial matrix {GO:0005759}; mitochondrion {GO:0005739}</t>
  </si>
  <si>
    <t>ATP binding {GO:0005524}; metal ion binding {GO:0046872}; methylcrotonoyl-CoA carboxylase activity {GO:0004485}</t>
  </si>
  <si>
    <t>Amino-acid degradation; L-leucine degradation; (S)-3-hydroxy- 3-methylglutaryl-CoA from 3-isovaleryl-CoA: step 2/3.</t>
  </si>
  <si>
    <t>Biotin transport and metabolism {R-MMU-196780}; Branched-chain amino acid catabolism {R-MMU-70895}</t>
  </si>
  <si>
    <t>sp|Q9CYR0|SSBP_MOUSE</t>
  </si>
  <si>
    <t>Single-stranded DNA-binding protein, mitochondrial (Mt-SSB; MtSSB)</t>
  </si>
  <si>
    <t>SSBP_MOUSE</t>
  </si>
  <si>
    <t>Q9CYR0</t>
  </si>
  <si>
    <t>MGI:1920040</t>
  </si>
  <si>
    <t>Acetylation; DNA replication; DNA-binding; Mitochondrion; Mitochondrion nucleoid; Phosphoprotein; Transit peptide</t>
  </si>
  <si>
    <t>DNA unwinding involved in DNA replication {GO:0006268}; mitochondrial DNA replication {GO:0006264}; mitochondrion morphogenesis {GO:0070584}; positive regulation of DNA helicase activity {GO:1905776}; positive regulation of helicase activity {GO:0051096}; positive regulation of mitochondrial DNA replication {GO:0090297}; protein homotetramerization {GO:0051289}</t>
  </si>
  <si>
    <t>mitochondrial nucleoid {GO:0042645}; mitochondrion {GO:0005739}; nucleoid {GO:0009295}</t>
  </si>
  <si>
    <t>chromatin binding {GO:0003682}; identical protein binding {GO:0042802}; protein homodimerization activity {GO:0042803}; single-stranded DNA binding {GO:0003697}</t>
  </si>
  <si>
    <t>sp|Q9CQJ8|NDUB9_MOUSE</t>
  </si>
  <si>
    <t>NADH dehydrogenase [ubiquinone] 1 beta subcomplex subunit 9</t>
  </si>
  <si>
    <t>Complex I-B22 (CI-B22); NADH-ubiquinone oxidoreductase B22 subunit</t>
  </si>
  <si>
    <t>NDUB9_MOUSE</t>
  </si>
  <si>
    <t>Q9CQJ8</t>
  </si>
  <si>
    <t>MGI:1913468</t>
  </si>
  <si>
    <t>sp|Q9R269|PEPL_MOUSE</t>
  </si>
  <si>
    <t>Periplakin</t>
  </si>
  <si>
    <t>PEPL_MOUSE</t>
  </si>
  <si>
    <t>Q9R269</t>
  </si>
  <si>
    <t>O70231; Q9CUT1; Q9JLZ7</t>
  </si>
  <si>
    <t>MGI:1194898</t>
  </si>
  <si>
    <t>Cell junction; Cell membrane; Coiled coil; Cytoplasm; Cytoskeleton; Keratinization; Membrane; Phosphoprotein; Repeat; SH3 domain</t>
  </si>
  <si>
    <t>Keratinization</t>
  </si>
  <si>
    <t>intermediate filament cytoskeleton organization {GO:0045104}; keratinization {GO:0031424}; regulation of antibacterial peptide production {GO:0002786}; wound healing {GO:0042060}</t>
  </si>
  <si>
    <t>cornified envelope {GO:0001533}; cytoplasm {GO:0005737}; cytoskeleton {GO:0005856}; desmosome {GO:0030057}; extrinsic component of plasma membrane {GO:0019897}; membrane {GO:0016020}; plasma membrane {GO:0005886}</t>
  </si>
  <si>
    <t>Formation of the cornified envelope {R-MMU-6809371}; Butyrophilin (BTN) family interactions {R-MMU-8851680}</t>
  </si>
  <si>
    <t>sp|Q8CJ69|BMPER_MOUSE</t>
  </si>
  <si>
    <t>BMP-binding endothelial regulator protein</t>
  </si>
  <si>
    <t>Bone morphogenetic protein-binding endothelial cell precursor-derived regulator; Protein crossveinless-2 (mCV2)</t>
  </si>
  <si>
    <t>BMPER_MOUSE</t>
  </si>
  <si>
    <t>Q8CJ69</t>
  </si>
  <si>
    <t>Q7TN57; Q80UZ1; Q9CXM8</t>
  </si>
  <si>
    <t>Cv2</t>
  </si>
  <si>
    <t>MGI:1920480</t>
  </si>
  <si>
    <t>Disulfide bond; Glycoprotein; Repeat; Secreted; Signal</t>
  </si>
  <si>
    <t>blood vessel development {GO:0001568}; blood vessel endothelial cell proliferation involved in sprouting angiogenesis {GO:0002043}; BMP signaling pathway {GO:0030509}; common-partner SMAD protein phosphorylation {GO:0007182}; endothelial cell activation {GO:0042118}; inner ear development {GO:0048839}; negative regulation of BMP signaling pathway {GO:0030514}; positive regulation of ERK1 and ERK2 cascade {GO:0070374}; positive regulation of sprouting angiogenesis {GO:1903672}; regulation of angiogenesis {GO:0045765}; regulation of endothelial cell migration {GO:0010594}; regulation of pathway-restricted SMAD protein phosphorylation {GO:0060393}; regulation of protein localization {GO:0032880}; ureteric bud development {GO:0001657}</t>
  </si>
  <si>
    <t>collagen-containing extracellular matrix {GO:0062023}; extracellular matrix {GO:0031012}; extracellular region {GO:0005576}; extracellular space {GO:0005615}</t>
  </si>
  <si>
    <t>sp|P30285|CDK4_MOUSE</t>
  </si>
  <si>
    <t>Cyclin-dependent kinase 4</t>
  </si>
  <si>
    <t>CRK3; Cell division protein kinase 4; PSK-J3</t>
  </si>
  <si>
    <t>CDK4_MOUSE</t>
  </si>
  <si>
    <t>P30285</t>
  </si>
  <si>
    <t>Crk3</t>
  </si>
  <si>
    <t>MGI:88357</t>
  </si>
  <si>
    <t>Acetylation; ATP-binding; Cell cycle; Cell division; Cytoplasm; Kinase; Membrane; Nucleotide-binding; Nucleus; Phosphoprotein; Proto-oncogene; Serine/threonine-protein kinase; Transferase</t>
  </si>
  <si>
    <t>adipose tissue development {GO:0060612}; cell division {GO:0051301}; cellular response to insulin stimulus {GO:0032869}; cellular response to interleukin-4 {GO:0071353}; cellular response to ionomycin {GO:1904637}; cellular response to lipopolysaccharide {GO:0071222}; cellular response to phorbol 13-acetate 12-myristate {GO:1904628}; G1/S transition of mitotic cell cycle {GO:0000082}; positive regulation of apoptotic process {GO:0043065}; positive regulation of cell population proliferation {GO:0008284}; positive regulation of cell size {GO:0045793}; positive regulation of epithelial cell proliferation {GO:0050679}; positive regulation of fibroblast proliferation {GO:0048146}; positive regulation of G2/M transition of mitotic cell cycle {GO:0010971}; positive regulation of translation {GO:0045727}; protein phosphorylation {GO:0006468}; regulation of cell cycle {GO:0051726}; regulation of gene expression {GO:0010468}; regulation of insulin receptor signaling pathway {GO:0046626}; regulation of lipid biosynthetic process {GO:0046890}; regulation of lipid catabolic process {GO:0050994}; regulation of multicellular organism growth {GO:0040014}; regulation of type B pancreatic cell proliferation {GO:0061469}; response to lead ion {GO:0010288}; response to organic substance {GO:0010033}; response to testosterone {GO:0033574}; response to xenobiotic stimulus {GO:0009410}; signal transduction {GO:0007165}</t>
  </si>
  <si>
    <t>bicellular tight junction {GO:0005923}; chromatin {GO:0000785}; cyclin D1-CDK4 complex {GO:0097128}; cyclin D2-CDK4 complex {GO:0097129}; cyclin D3-CDK4 complex {GO:0097130}; cyclin-dependent protein kinase holoenzyme complex {GO:0000307}; cytoplasm {GO:0005737}; cytosol {GO:0005829}; mediator complex {GO:0016592}; nuclear membrane {GO:0031965}; nucleolus {GO:0005730}; nucleoplasm {GO:0005654}; nucleus {GO:0005634}; perinuclear region of cytoplasm {GO:0048471}; protein-containing complex {GO:0032991}; transcription regulator complex {GO:0005667}</t>
  </si>
  <si>
    <t>ATP binding {GO:0005524}; cyclin binding {GO:0030332}; cyclin-dependent protein serine/threonine kinase activity {GO:0004693}; kinase activity {GO:0016301}; protein kinase activity {GO:0004672}; protein serine kinase activity {GO:0106310}; protein serine/threonine kinase activity {GO:0004674}; protein-containing complex binding {GO:0044877}; RNA polymerase II CTD heptapeptide repeat kinase activity {GO:0008353}</t>
  </si>
  <si>
    <t>SCF(Skp2)-mediated degradation of p27/p21 {R-MMU-187577}; Oxidative Stress Induced Senescence {R-MMU-2559580}; Senescence-Associated Secretory Phenotype (SASP) {R-MMU-2559582}; Oncogene Induced Senescence {R-MMU-2559585}; RMTs methylate histone arginines {R-MMU-3214858}; Cyclin D associated events in G1 {R-MMU-69231}; Ubiquitin-dependent degradation of Cyclin D {R-MMU-75815}; PTK6 Regulates Cell Cycle {R-MMU-8849470}; Transcriptional regulation by RUNX2 {R-MMU-8878166}; Transcriptional regulation of granulopoiesis {R-MMU-9616222}; Drug-mediated inhibition of CDK4/CDK6 activity {R-MMU-9754119}</t>
  </si>
  <si>
    <t>sp|Q8VE97|SRSF4_MOUSE</t>
  </si>
  <si>
    <t>Serine/arginine-rich splicing factor 4</t>
  </si>
  <si>
    <t>Splicing factor, arginine/serine-rich 4</t>
  </si>
  <si>
    <t>SRSF4_MOUSE</t>
  </si>
  <si>
    <t>Q8VE97</t>
  </si>
  <si>
    <t>Q9JJC3</t>
  </si>
  <si>
    <t>Sfrs4</t>
  </si>
  <si>
    <t>MGI:1890577</t>
  </si>
  <si>
    <t>mRNA processing; mRNA splicing; Nucleus; Phosphoprotein; Repeat; Repressor; RNA-binding</t>
  </si>
  <si>
    <t>hematopoietic progenitor cell differentiation {GO:0002244}; mRNA splicing, via spliceosome {GO:0000398}; negative regulation of mRNA splicing, via spliceosome {GO:0048025}</t>
  </si>
  <si>
    <t>mRNA binding {GO:0003729}; RNA binding {GO:0003723}; sequence-specific mRNA binding {GO:1990825}</t>
  </si>
  <si>
    <t>sp|Q5SV85|SYNRG_MOUSE</t>
  </si>
  <si>
    <t>Synergin gamma</t>
  </si>
  <si>
    <t>AP1 subunit gamma-binding protein 1; Gamma-synergin</t>
  </si>
  <si>
    <t>SYNRG_MOUSE</t>
  </si>
  <si>
    <t>Q5SV85</t>
  </si>
  <si>
    <t>Q5SV84; Q6PHT6</t>
  </si>
  <si>
    <t>Ap1gbp1; Syng</t>
  </si>
  <si>
    <t>MGI:1354742</t>
  </si>
  <si>
    <t>Acetylation; Alternative splicing; Coiled coil; Cytoplasm; Cytoplasmic vesicle; Endocytosis; Golgi apparatus; Membrane; Phosphoprotein; Protein transport; Repeat; Transport</t>
  </si>
  <si>
    <t>endocytosis {GO:0006897}; protein transport {GO:0015031}</t>
  </si>
  <si>
    <t>clathrin coat of trans-Golgi network vesicle {GO:0030130}; cytosol {GO:0005829}; perinuclear region of cytoplasm {GO:0048471}</t>
  </si>
  <si>
    <t>sp|Q5U458|DJC11_MOUSE</t>
  </si>
  <si>
    <t>DnaJ homolog subfamily C member 11</t>
  </si>
  <si>
    <t>DJC11_MOUSE</t>
  </si>
  <si>
    <t>Q5U458</t>
  </si>
  <si>
    <t>A2A8C9; Q8BP83; Q8C1Z4; Q8C6U5</t>
  </si>
  <si>
    <t>MGI:2443386</t>
  </si>
  <si>
    <t>Acetylation; Chaperone; Coiled coil; Membrane; Mitochondrion; Mitochondrion outer membrane; Phosphoprotein</t>
  </si>
  <si>
    <t>MICOS complex {GO:0061617}; mitochondrial inner membrane {GO:0005743}; mitochondrial outer membrane {GO:0005741}; mitochondrion {GO:0005739}; nuclear speck {GO:0016607}; nucleoplasm {GO:0005654}; SAM complex {GO:0001401}</t>
  </si>
  <si>
    <t>sp|Q8VEH8|ERLEC_MOUSE</t>
  </si>
  <si>
    <t>Endoplasmic reticulum lectin 1</t>
  </si>
  <si>
    <t>ER lectin (Erlectin)</t>
  </si>
  <si>
    <t>ERLEC_MOUSE</t>
  </si>
  <si>
    <t>Q8VEH8</t>
  </si>
  <si>
    <t>Q3UZF3; Q8BVN6</t>
  </si>
  <si>
    <t>MGI:1914003</t>
  </si>
  <si>
    <t>Disulfide bond; Endoplasmic reticulum; Glycoprotein; Repeat; Signal</t>
  </si>
  <si>
    <t>endoplasmic reticulum unfolded protein response {GO:0030968}; negative regulation of retrograde protein transport, ER to cytosol {GO:1904153}; ubiquitin-dependent ERAD pathway {GO:0030433}</t>
  </si>
  <si>
    <t>sp|Q9D061|ACBD6_MOUSE</t>
  </si>
  <si>
    <t>Acyl-CoA-binding domain-containing protein 6</t>
  </si>
  <si>
    <t>ACBD6_MOUSE</t>
  </si>
  <si>
    <t>Q9D061</t>
  </si>
  <si>
    <t>Q3TMN7; Q9DCU4</t>
  </si>
  <si>
    <t>MGI:1919732</t>
  </si>
  <si>
    <t>Alternative splicing; ANK repeat; Cytoplasm; Lipid-binding; Phosphoprotein; Repeat</t>
  </si>
  <si>
    <t>fatty-acyl-CoA binding {GO:0000062}</t>
  </si>
  <si>
    <t>sp|Q6ZWY3|RS27L_MOUSE</t>
  </si>
  <si>
    <t>40S ribosomal protein S27-like</t>
  </si>
  <si>
    <t>RS27L_MOUSE</t>
  </si>
  <si>
    <t>Q6ZWY3</t>
  </si>
  <si>
    <t>Q3UB68</t>
  </si>
  <si>
    <t>MGI:1915191</t>
  </si>
  <si>
    <t>3D-structure; Metal-binding; Ribonucleoprotein; Ribosomal protein; Zinc; Zinc-finger</t>
  </si>
  <si>
    <t>activation of cysteine-type endopeptidase activity involved in apoptotic process {GO:0006919}; DNA damage response, signal transduction by p53 class mediator resulting in transcription of p21 class mediator {GO:0006978}; intrinsic apoptotic signaling pathway in response to DNA damage by p53 class mediator {GO:0042771}; mitotic G1 DNA damage checkpoint signaling {GO:0031571}; positive regulation of translation {GO:0045727}; ribosomal small subunit assembly {GO:0000028}; translation {GO:0006412}</t>
  </si>
  <si>
    <t>cytosol {GO:0005829}; cytosolic small ribosomal subunit {GO:0022627}; nucleus {GO:0005634}</t>
  </si>
  <si>
    <t>cysteine-type endopeptidase activator activity involved in apoptotic process {GO:0008656}; metal ion binding {GO:0046872}; RNA binding {GO:0003723}; structural constituent of ribosome {GO:0003735}; translation activator activity {GO:0008494}</t>
  </si>
  <si>
    <t>sp|Q8BVY0|RL1D1_MOUSE</t>
  </si>
  <si>
    <t>Ribosomal L1 domain-containing protein 1</t>
  </si>
  <si>
    <t>RL1D1_MOUSE</t>
  </si>
  <si>
    <t>Q8BVY0</t>
  </si>
  <si>
    <t>Q8K235</t>
  </si>
  <si>
    <t>MGI:1913659</t>
  </si>
  <si>
    <t>Acetylation; Coiled coil; Isopeptide bond; Nucleus; Phosphoprotein; Ubl conjugation</t>
  </si>
  <si>
    <t>maturation of LSU-rRNA {GO:0000470}; regulation of apoptotic process {GO:0042981}; regulation of cellular senescence {GO:2000772}; regulation of protein localization {GO:0032880}</t>
  </si>
  <si>
    <t>90S preribosome {GO:0030686}; chromosome {GO:0005694}; nucleolus {GO:0005730}</t>
  </si>
  <si>
    <t>mRNA 3'-UTR binding {GO:0003730}; mRNA 5'-UTR binding {GO:0048027}; RNA binding {GO:0003723}</t>
  </si>
  <si>
    <t>sp|Q9CQK7|RWDD1_MOUSE</t>
  </si>
  <si>
    <t>RWD domain-containing protein 1</t>
  </si>
  <si>
    <t>DRG family-regulatory protein 2; IH1</t>
  </si>
  <si>
    <t>RWDD1_MOUSE</t>
  </si>
  <si>
    <t>Q9CQK7</t>
  </si>
  <si>
    <t>Dfrp2</t>
  </si>
  <si>
    <t>MGI:1913771</t>
  </si>
  <si>
    <t>androgen receptor signaling pathway {GO:0030521}; cellular response to oxidative stress {GO:0034599}; cellular response to testosterone stimulus {GO:0071394}; cytoplasmic translation {GO:0002181}; positive regulation of androgen receptor activity {GO:2000825}</t>
  </si>
  <si>
    <t>cytoplasm {GO:0005737}; polysome {GO:0005844}</t>
  </si>
  <si>
    <t>sp|P12367|KAP2_MOUSE</t>
  </si>
  <si>
    <t>cAMP-dependent protein kinase type II-alpha regulatory subunit</t>
  </si>
  <si>
    <t>KAP2_MOUSE</t>
  </si>
  <si>
    <t>P12367</t>
  </si>
  <si>
    <t>MGI:108025</t>
  </si>
  <si>
    <t>3D-structure; Acetylation; cAMP; cAMP-binding; Cell membrane; Cytoplasm; Membrane; Nucleotide-binding; Phosphoprotein; Repeat</t>
  </si>
  <si>
    <t>modulation of chemical synaptic transmission {GO:0050804}; negative regulation of cAMP-dependent protein kinase activity {GO:2000480}; regulation of protein kinase activity {GO:0045859}</t>
  </si>
  <si>
    <t>axoneme {GO:0005930}; cAMP-dependent protein kinase complex {GO:0005952}; centrosome {GO:0005813}; cytoplasm {GO:0005737}; cytosol {GO:0005829}; glutamatergic synapse {GO:0098978}; nucleotide-activated protein kinase complex {GO:0031588}; perinuclear region of cytoplasm {GO:0048471}; plasma membrane {GO:0005886}; plasma membrane raft {GO:0044853}; protein-containing complex {GO:0032991}; synapse {GO:0045202}; T-tubule {GO:0030315}</t>
  </si>
  <si>
    <t>beta-2 adrenergic receptor binding {GO:0031698}; cAMP binding {GO:0030552}; cAMP-dependent protein kinase inhibitor activity {GO:0004862}; cAMP-dependent protein kinase regulator activity {GO:0008603}; identical protein binding {GO:0042802}; protein domain specific binding {GO:0019904}; protein kinase A catalytic subunit binding {GO:0034236}; protein-containing complex binding {GO:0044877}; small molecule binding {GO:0036094}; ubiquitin protein ligase binding {GO:0031625}</t>
  </si>
  <si>
    <t>sp|O08582|GTPB1_MOUSE</t>
  </si>
  <si>
    <t>GTP-binding protein 1 (G-protein 1; GP-1; GP1)</t>
  </si>
  <si>
    <t>GTPB1_MOUSE</t>
  </si>
  <si>
    <t>O08582</t>
  </si>
  <si>
    <t>Q3UD96; Q3UGW6; Q545R1; Q80ZY5</t>
  </si>
  <si>
    <t>Gtpbp</t>
  </si>
  <si>
    <t>MGI:109443</t>
  </si>
  <si>
    <t>3D-structure; Cytoplasm; GTP-binding; Nucleotide-binding; Phosphoprotein</t>
  </si>
  <si>
    <t>GTP metabolic process {GO:0046039}; positive regulation of mRNA catabolic process {GO:0061014}; translational elongation {GO:0006414}</t>
  </si>
  <si>
    <t>cytoplasmic exosome (RNase complex) {GO:0000177}; cytosol {GO:0005829}</t>
  </si>
  <si>
    <t>sp|Q8BGS1|E41L5_MOUSE</t>
  </si>
  <si>
    <t>Band 4.1-like protein 5</t>
  </si>
  <si>
    <t>Erythrocyte membrane protein band 4.1-like 5</t>
  </si>
  <si>
    <t>E41L5_MOUSE</t>
  </si>
  <si>
    <t>Q8BGS1</t>
  </si>
  <si>
    <t>Q3TJG0; Q69ZG8; Q8BSC9; Q99KZ8</t>
  </si>
  <si>
    <t>Epb4.1l5; Kiaa1548</t>
  </si>
  <si>
    <t>MGI:103006</t>
  </si>
  <si>
    <t>Alternative splicing; Cell junction; Cell membrane; Cytoplasm; Membrane; Methylation</t>
  </si>
  <si>
    <t>actin cytoskeleton organization {GO:0030036}; actomyosin structure organization {GO:0031032}; apical constriction {GO:0003383}; axial mesoderm development {GO:0048318}; axial mesoderm morphogenesis {GO:0048319}; cell morphogenesis involved in differentiation {GO:0000904}; cellular response to transforming growth factor beta stimulus {GO:0071560}; ectoderm development {GO:0007398}; embryonic foregut morphogenesis {GO:0048617}; endoderm development {GO:0007492}; epithelial cell morphogenesis {GO:0003382}; epithelial to mesenchymal transition {GO:0001837}; in utero embryonic development {GO:0001701}; left/right axis specification {GO:0070986}; mesoderm development {GO:0007498}; mesoderm migration involved in gastrulation {GO:0007509}; negative regulation of cell-cell adhesion {GO:0022408}; negative regulation of protein binding {GO:0032091}; neural plate morphogenesis {GO:0001839}; paraxial mesoderm development {GO:0048339}; positive regulation of cell-matrix adhesion {GO:0001954}; positive regulation of epithelial cell migration {GO:0010634}; positive regulation of focal adhesion assembly {GO:0051894}; positive regulation of protein binding {GO:0032092}; post-transcriptional regulation of gene expression {GO:0010608}; regulation of establishment of protein localization {GO:0070201}; somite rostral/caudal axis specification {GO:0032525}; somitogenesis {GO:0001756}; substrate-dependent cell migration, cell attachment to substrate {GO:0006931}; unidimensional cell growth {GO:0009826}</t>
  </si>
  <si>
    <t>adherens junction {GO:0005912}; cell leading edge {GO:0031252}; cytoskeleton {GO:0005856}; cytosol {GO:0005829}; focal adhesion {GO:0005925}; nucleoplasm {GO:0005654}; photoreceptor inner segment {GO:0001917}; plasma membrane {GO:0005886}; ruffle membrane {GO:0032587}</t>
  </si>
  <si>
    <t>cytoskeletal protein binding {GO:0008092}; protein domain specific binding {GO:0019904}</t>
  </si>
  <si>
    <t>sp|Q9D0S9|HINT2_MOUSE</t>
  </si>
  <si>
    <t>Adenosine 5'-monophosphoramidase HINT2</t>
  </si>
  <si>
    <t>HINT-3; Histidine triad nucleotide-binding protein 2, mitochondrial (HINT-2)</t>
  </si>
  <si>
    <t>HINT2_MOUSE</t>
  </si>
  <si>
    <t>Q9D0S9</t>
  </si>
  <si>
    <t>MGI:1916167</t>
  </si>
  <si>
    <t>Acetylation; Apoptosis; Hydrolase; Lipid biosynthesis; Lipid metabolism; Mitochondrion; Nucleotide-binding; Steroid biosynthesis; Transit peptide</t>
  </si>
  <si>
    <t>Apoptosis; Lipid biosynthesis; Lipid metabolism; Steroid biosynthesis</t>
  </si>
  <si>
    <t>apoptotic process {GO:0006915}; lipid catabolic process {GO:0016042}; negative regulation of peptidyl-lysine acetylation {GO:2000757}; steroid biosynthetic process {GO:0006694}</t>
  </si>
  <si>
    <t>adenosine 5'-monophosphoramidase activity {GO:0043530}; hydrolase activity {GO:0016787}; nucleotide binding {GO:0000166}</t>
  </si>
  <si>
    <t>sp|Q91VT4|CBR4_MOUSE</t>
  </si>
  <si>
    <t>3-oxoacyl-[acyl-carrier-protein] reductase</t>
  </si>
  <si>
    <t>3-ketoacyl-[acyl-carrier-protein] reductase beta subunit (KAR beta subunit); Carbonyl reductase family member 4 (CBR4); Quinone reductase CBR4</t>
  </si>
  <si>
    <t>CBR4_MOUSE</t>
  </si>
  <si>
    <t>Q91VT4</t>
  </si>
  <si>
    <t>Q3UBY4; Q8BXV1</t>
  </si>
  <si>
    <t>MGI:2384567</t>
  </si>
  <si>
    <t>Acetylation; Fatty acid biosynthesis; Fatty acid metabolism; Lipid biosynthesis; Lipid metabolism; Mitochondrion; NAD; NADP; Oxidoreductase</t>
  </si>
  <si>
    <t>NAD; NADP</t>
  </si>
  <si>
    <t>daunorubicin metabolic process {GO:0044597}; doxorubicin metabolic process {GO:0044598}; fatty acid biosynthetic process {GO:0006633}; protein heterotetramerization {GO:0051290}; protein homotetramerization {GO:0051289}</t>
  </si>
  <si>
    <t>mitochondrial matrix {GO:0005759}; mitochondrion {GO:0005739}; oxidoreductase complex {GO:1990204}</t>
  </si>
  <si>
    <t>3-oxoacyl-[acyl-carrier-protein] reductase (NADPH) activity {GO:0004316}; NAD(P)H dehydrogenase (quinone) activity {GO:0003955}; NADPH binding {GO:0070402}; NADPH dehydrogenase (quinone) activity {GO:0008753}; oxidoreductase activity, acting on the CH-OH group of donors, NAD or NADP as acceptor {GO:0016616}; quinone binding {GO:0048038}</t>
  </si>
  <si>
    <t>Fatty acyl-CoA biosynthesis {R-MMU-75105}</t>
  </si>
  <si>
    <t>sp|Q61733|RT31_MOUSE</t>
  </si>
  <si>
    <t>28S ribosomal protein S31, mitochondrial (MRP-S31; S31mt)</t>
  </si>
  <si>
    <t>Imogen 38</t>
  </si>
  <si>
    <t>RT31_MOUSE</t>
  </si>
  <si>
    <t>Q61733</t>
  </si>
  <si>
    <t>Q3TSP5; Q8VEH4; Q9D045</t>
  </si>
  <si>
    <t>Imogn38</t>
  </si>
  <si>
    <t>MGI:1913153</t>
  </si>
  <si>
    <t>mitochondrial inner membrane {GO:0005743}; mitochondrial small ribosomal subunit {GO:0005763}; mitochondrion {GO:0005739}; nucleolus {GO:0005730}</t>
  </si>
  <si>
    <t>protein domain specific binding {GO:0019904}; structural constituent of ribosome {GO:0003735}</t>
  </si>
  <si>
    <t>sp|A6X8Z5|RHG31_MOUSE</t>
  </si>
  <si>
    <t>Rho GTPase-activating protein 31</t>
  </si>
  <si>
    <t>Cdc42 GTPase-activating protein</t>
  </si>
  <si>
    <t>RHG31_MOUSE</t>
  </si>
  <si>
    <t>A6X8Z5</t>
  </si>
  <si>
    <t>Q3TL91; Q3U1T7; Q3UDE7; Q3UUH4; Q6ZPW0; Q9WV94</t>
  </si>
  <si>
    <t>Cdgap; Kiaa1204</t>
  </si>
  <si>
    <t>MGI:1333857</t>
  </si>
  <si>
    <t>Cell junction; Cell projection; GTPase activation; Phosphoprotein</t>
  </si>
  <si>
    <t>Cell junction; Cell projection</t>
  </si>
  <si>
    <t>small GTPase mediated signal transduction {GO:0007264}</t>
  </si>
  <si>
    <t>focal adhesion {GO:0005925}; lamellipodium {GO:0030027}</t>
  </si>
  <si>
    <t>GTPase activator activity {GO:0005096}; SH3 domain binding {GO:0017124}</t>
  </si>
  <si>
    <t>RHOA GTPase cycle {R-MMU-8980692}; CDC42 GTPase cycle {R-MMU-9013148}; RAC1 GTPase cycle {R-MMU-9013149}; RHOU GTPase cycle {R-MMU-9013420}</t>
  </si>
  <si>
    <t>sp|Q91VM5|RMXL1_MOUSE</t>
  </si>
  <si>
    <t>RNA binding motif protein, X-linked-like-1</t>
  </si>
  <si>
    <t>Heterogeneous nuclear ribonucleoprotein G-like 1; RNA binding motif protein, X chromosome retrogene</t>
  </si>
  <si>
    <t>RMXL1_MOUSE</t>
  </si>
  <si>
    <t>Q91VM5</t>
  </si>
  <si>
    <t>O35479</t>
  </si>
  <si>
    <t>Rbmxrt</t>
  </si>
  <si>
    <t>MGI:1343045</t>
  </si>
  <si>
    <t>Isopeptide bond; mRNA processing; mRNA splicing; Nucleus; Phosphoprotein; Ribonucleoprotein; RNA-binding; Ubl conjugation</t>
  </si>
  <si>
    <t>cellular response to interleukin-1 {GO:0071347}; membrane protein ectodomain proteolysis {GO:0006509}; mRNA processing {GO:0006397}; negative regulation of mRNA splicing, via spliceosome {GO:0048025}; positive regulation of mRNA splicing, via spliceosome {GO:0048026}; positive regulation of transcription by RNA polymerase II {GO:0045944}; protein homooligomerization {GO:0051260}; regulation of alternative mRNA splicing, via spliceosome {GO:0000381}; RNA splicing {GO:0008380}; transcription by RNA polymerase II {GO:0006366}</t>
  </si>
  <si>
    <t>catalytic step 2 spliceosome {GO:0071013}; euchromatin {GO:0000791}; extracellular exosome {GO:0070062}; nucleus {GO:0005634}; spliceosomal complex {GO:0005681}; supraspliceosomal complex {GO:0044530}</t>
  </si>
  <si>
    <t>chromatin binding {GO:0003682}; mRNA binding {GO:0003729}; RNA binding {GO:0003723}; RNA polymerase II cis-regulatory region sequence-specific DNA binding {GO:0000978}</t>
  </si>
  <si>
    <t>sp|O35218|CPSF2_MOUSE</t>
  </si>
  <si>
    <t>Cleavage and polyadenylation specificity factor subunit 2</t>
  </si>
  <si>
    <t>Cleavage and polyadenylation specificity factor 100 kDa subunit (CPSF 100 kDa subunit)</t>
  </si>
  <si>
    <t>CPSF2_MOUSE</t>
  </si>
  <si>
    <t>O35218</t>
  </si>
  <si>
    <t>Cpsf100; Mcpsf</t>
  </si>
  <si>
    <t>MGI:1861601</t>
  </si>
  <si>
    <t>mRNA processing; Nucleus; Phosphoprotein; RNA-binding</t>
  </si>
  <si>
    <t>mRNA 3'-end processing by stem-loop binding and cleavage {GO:0006398}; mRNA polyadenylation {GO:0006378}; pre-mRNA cleavage required for polyadenylation {GO:0098789}</t>
  </si>
  <si>
    <t>mRNA cleavage and polyadenylation specificity factor complex {GO:0005847}</t>
  </si>
  <si>
    <t>sp|O70299|MB211_MOUSE</t>
  </si>
  <si>
    <t>Putative nucleotidyltransferase MAB21L1</t>
  </si>
  <si>
    <t>Protein mab-21-like 1</t>
  </si>
  <si>
    <t>MB211_MOUSE</t>
  </si>
  <si>
    <t>O70299</t>
  </si>
  <si>
    <t>Mab21</t>
  </si>
  <si>
    <t>MGI:1333773</t>
  </si>
  <si>
    <t>Developmental protein; Magnesium; Metal-binding; Nucleotide-binding; Nucleotidyltransferase; Nucleus; Transferase</t>
  </si>
  <si>
    <t>Developmental protein; Nucleotidyltransferase; Transferase</t>
  </si>
  <si>
    <t>camera-type eye development {GO:0043010}; cell population proliferation {GO:0008283}; eye development {GO:0001654}; positive regulation of cell population proliferation {GO:0008284}</t>
  </si>
  <si>
    <t>metal ion binding {GO:0046872}; nucleotide binding {GO:0000166}; nucleotidyltransferase activity {GO:0016779}</t>
  </si>
  <si>
    <t>sp|P62484|ABI2_MOUSE</t>
  </si>
  <si>
    <t>Abl interactor 2</t>
  </si>
  <si>
    <t>Abelson interactor 2 (Abi-2); Abl-binding protein 3 (AblBP3); Arg-binding protein 1 (ArgBP1)</t>
  </si>
  <si>
    <t>ABI2_MOUSE</t>
  </si>
  <si>
    <t>P62484</t>
  </si>
  <si>
    <t>Q6PHU3</t>
  </si>
  <si>
    <t>MGI:106913</t>
  </si>
  <si>
    <t>Cell junction; Cell projection; Coiled coil; Cytoplasm; Cytoskeleton; Neurogenesis; Phosphoprotein; SH3 domain; Synapse</t>
  </si>
  <si>
    <t>actin polymerization or depolymerization {GO:0008154}; camera-type eye development {GO:0043010}; cell migration {GO:0016477}; dendrite development {GO:0016358}; learning or memory {GO:0007611}; lens fiber cell morphogenesis {GO:0070309}; neuron migration {GO:0001764}; positive regulation of Arp2/3 complex-mediated actin nucleation {GO:2000601}; positive regulation of lamellipodium assembly {GO:0010592}; positive regulation of protein tyrosine kinase activity {GO:0061098}; postsynaptic actin cytoskeleton organization {GO:0098974}; Rac protein signal transduction {GO:0016601}; regulation of dendritic spine morphogenesis {GO:0061001}; zonula adherens assembly {GO:0045186}</t>
  </si>
  <si>
    <t>actin filament {GO:0005884}; adherens junction {GO:0005912}; cytosol {GO:0005829}; dendrite {GO:0030425}; dendritic spine {GO:0043197}; filopodium tip {GO:0032433}; glutamatergic synapse {GO:0098978}; lamellipodium {GO:0030027}; postsynaptic actin cytoskeleton {GO:0098871}; SCAR complex {GO:0031209}</t>
  </si>
  <si>
    <t>identical protein binding {GO:0042802}; proline-rich region binding {GO:0070064}; SH3 domain binding {GO:0017124}; signaling adaptor activity {GO:0035591}; small GTPase binding {GO:0031267}; ubiquitin protein ligase binding {GO:0031625}</t>
  </si>
  <si>
    <t>sp|Q8VDS8|STX18_MOUSE</t>
  </si>
  <si>
    <t>Syntaxin-18</t>
  </si>
  <si>
    <t>STX18_MOUSE</t>
  </si>
  <si>
    <t>Q8VDS8</t>
  </si>
  <si>
    <t>Q3TDJ0; Q9D8T6</t>
  </si>
  <si>
    <t>MGI:1918366</t>
  </si>
  <si>
    <t>Alternative splicing; Coiled coil; Endoplasmic reticulum; ER-Golgi transport; Golgi apparatus; Membrane; Protein transport; Transmembrane; Transmembrane helix; Transport</t>
  </si>
  <si>
    <t>endoplasmic reticulum membrane organization {GO:0090158}; intracellular protein transport {GO:0006886}; positive regulation of ER to Golgi vesicle-mediated transport {GO:1902953}; positive regulation of organelle assembly {GO:1902117}; regulation of Golgi organization {GO:1903358}; retrograde vesicle-mediated transport, Golgi to endoplasmic reticulum {GO:0006890}</t>
  </si>
  <si>
    <t>endoplasmic reticulum {GO:0005783}; endoplasmic reticulum membrane {GO:0005789}; Golgi membrane {GO:0000139}; integral component of membrane {GO:0016021}; SNARE complex {GO:0031201}</t>
  </si>
  <si>
    <t>protein domain specific binding {GO:0019904}; SNAP receptor activity {GO:0005484}</t>
  </si>
  <si>
    <t>COPI-dependent Golgi-to-ER retrograde traffic {R-MMU-6811434}</t>
  </si>
  <si>
    <t>sp|Q8C0L0|TMX4_MOUSE</t>
  </si>
  <si>
    <t>Thioredoxin-related transmembrane protein 4</t>
  </si>
  <si>
    <t>Thioredoxin domain-containing protein 13</t>
  </si>
  <si>
    <t>TMX4_MOUSE</t>
  </si>
  <si>
    <t>Q8C0L0</t>
  </si>
  <si>
    <t>Q3UHC6; Q6ZPW7; Q80X49</t>
  </si>
  <si>
    <t>D2Bwg1356e; Kiaa1162; Txndc13</t>
  </si>
  <si>
    <t>MGI:106558</t>
  </si>
  <si>
    <t>Disulfide bond; Electron transport; Membrane; Nucleus; Phosphoprotein; Redox-active center; Signal; Transmembrane; Transmembrane helix; Transport</t>
  </si>
  <si>
    <t>endomembrane system {GO:0012505}; integral component of membrane {GO:0016021}; nuclear inner membrane {GO:0005637}</t>
  </si>
  <si>
    <t>sp|Q9JLJ1|SELK_MOUSE</t>
  </si>
  <si>
    <t>Selenoprotein K (SelK)</t>
  </si>
  <si>
    <t>SELK_MOUSE</t>
  </si>
  <si>
    <t>Q9JLJ1</t>
  </si>
  <si>
    <t>Q8CI00</t>
  </si>
  <si>
    <t>MGI:1931466</t>
  </si>
  <si>
    <t>Calcium; Calcium transport; Cell membrane; Endoplasmic reticulum; Ion transport; Membrane; Selenocysteine; Transmembrane; Transmembrane helix; Transport; Ubl conjugation</t>
  </si>
  <si>
    <t>calcium ion transport {GO:0006816}; endoplasmic reticulum calcium ion homeostasis {GO:0032469}; establishment of localization in cell {GO:0051649}; intrinsic apoptotic signaling pathway in response to endoplasmic reticulum stress {GO:0070059}; macrophage derived foam cell differentiation {GO:0010742}; neutrophil migration {GO:1990266}; positive regulation of chemokine production {GO:0032722}; positive regulation of defense response to virus by host {GO:0002230}; positive regulation of interleukin-6 production {GO:0032755}; positive regulation of monocyte chemotactic protein-1 production {GO:0071639}; positive regulation of neutrophil migration {GO:1902624}; positive regulation of T cell migration {GO:2000406}; positive regulation of T cell proliferation {GO:0042102}; positive regulation of tumor necrosis factor production {GO:0032760}; protein palmitoylation {GO:0018345}; regulation of calcium-mediated signaling {GO:0050848}; regulation of protein transport {GO:0051223}; respiratory burst after phagocytosis {GO:0045728}; response to oxidative stress {GO:0006979}; T cell migration {GO:0072678}; T cell proliferation {GO:0042098}</t>
  </si>
  <si>
    <t>endoplasmic reticulum {GO:0005783}; endoplasmic reticulum membrane {GO:0005789}; Golgi apparatus {GO:0005794}; integral component of membrane {GO:0016021}; plasma membrane {GO:0005886}</t>
  </si>
  <si>
    <t>sp|Q8VDK1|NIT1_MOUSE</t>
  </si>
  <si>
    <t>Deaminated glutathione amidase (dGSH amidase)</t>
  </si>
  <si>
    <t>Nitrilase homolog 1</t>
  </si>
  <si>
    <t>NIT1_MOUSE</t>
  </si>
  <si>
    <t>Q8VDK1</t>
  </si>
  <si>
    <t>O88526; Q9R1N4</t>
  </si>
  <si>
    <t>MGI:1350916</t>
  </si>
  <si>
    <t>Alternative splicing; Cytoplasm; Hydrolase; Mitochondrion; Transit peptide</t>
  </si>
  <si>
    <t>cellular amide catabolic process {GO:0043605}</t>
  </si>
  <si>
    <t>[acetyl-CoA carboxylase]-phosphatase activity {GO:0050406}; deaminated glutathione amidase activity {GO:0110050}</t>
  </si>
  <si>
    <t>sp|Q80W54|FACE1_MOUSE</t>
  </si>
  <si>
    <t>CAAX prenyl protease 1 homolog</t>
  </si>
  <si>
    <t>Farnesylated proteins-converting enzyme 1 (FACE-1); Prenyl protein-specific endoprotease 1; Zinc metalloproteinase Ste24 homolog</t>
  </si>
  <si>
    <t>FACE1_MOUSE</t>
  </si>
  <si>
    <t>Q80W54</t>
  </si>
  <si>
    <t>Q8BJK4; Q8K569</t>
  </si>
  <si>
    <t>Face1</t>
  </si>
  <si>
    <t>MGI:1890508</t>
  </si>
  <si>
    <t>Antiviral protein; Endoplasmic reticulum; Hydrolase; Membrane; Metal-binding; Metalloprotease; Nucleus; Protease; Transmembrane; Transmembrane helix; Zinc</t>
  </si>
  <si>
    <t>Antiviral protein; Hydrolase; Metalloprotease; Protease</t>
  </si>
  <si>
    <t>adult walking behavior {GO:0007628}; bone mineralization {GO:0030282}; CAAX-box protein processing {GO:0071586}; calcium ion import into sarcoplasmic reticulum {GO:1990036}; CAMKK-AMPK signaling cascade {GO:0061762}; cardiac conduction {GO:0061337}; cardiac muscle cell development {GO:0055013}; cardiac ventricle development {GO:0003231}; cellular lipid metabolic process {GO:0044255}; cellular response to DNA damage stimulus {GO:0006974}; cellular response to gamma radiation {GO:0071480}; chromatin organization {GO:0006325}; chromosome organization {GO:0051276}; determination of adult lifespan {GO:0008340}; DNA repair {GO:0006281}; epidermis development {GO:0008544}; growth plate cartilage development {GO:0003417}; hair follicle development {GO:0001942}; heart morphogenesis {GO:0003007}; histone H2B acetylation {GO:0043969}; histone H2B-K5 acetylation {GO:0043979}; hypomethylation of CpG island {GO:0044029}; inflammatory cell apoptotic process {GO:0006925}; kidney morphogenesis {GO:0060993}; liver development {GO:0001889}; maintenance of rDNA {GO:0043007}; multicellular organism growth {GO:0035264}; negative regulation of gene expression {GO:0010629}; negative regulation of miRNA maturation {GO:1903799}; neuromuscular process {GO:0050905}; nuclear envelope organization {GO:0006998}; nucleus organization {GO:0006997}; positive regulation of gene expression {GO:0010628}; prenylated protein catabolic process {GO:0030327}; protein processing {GO:0016485}; regulation of autophagy {GO:0010506}; regulation of blood circulation {GO:1903522}; regulation of bone mineralization {GO:0030500}; regulation of cell shape {GO:0008360}; regulation of cellular senescence {GO:2000772}; regulation of defense response to virus {GO:0050688}; regulation of DNA damage response, signal transduction by p53 class mediator {GO:0043516}; regulation of DNA methylation {GO:0044030}; regulation of DNA-templated transcription {GO:0006355}; regulation of fibroblast proliferation {GO:0048145}; regulation of glucose metabolic process {GO:0010906}; regulation of heart contraction {GO:0008016}; regulation of histone H4 acetylation {GO:0090239}; regulation of histone H4-K16 acetylation {GO:2000618}; regulation of hormone metabolic process {GO:0032350}; regulation of lipid metabolic process {GO:0019216}; regulation of mitotic cell cycle {GO:0007346}; regulation of mitotic cell cycle DNA replication {GO:1903463}; regulation of multicellular organism growth {GO:0040014}; regulation of RNA polymerase II regulatory region sequence-specific DNA binding {GO:1903025}; regulation of stress-activated protein kinase signaling cascade {GO:0070302}; regulation of termination of RNA polymerase I transcription {GO:2000730}; regulation of TOR signaling {GO:0032006}; regulation of ventricular cardiac muscle cell membrane repolarization {GO:0060307}; response to DNA damage checkpoint signaling {GO:0072423}; thymus development {GO:0048538}; ventricular cardiac muscle tissue development {GO:0003229}</t>
  </si>
  <si>
    <t>integral component of endoplasmic reticulum membrane {GO:0030176}; membrane {GO:0016020}; nuclear envelope {GO:0005635}; nuclear inner membrane {GO:0005637}; protein-containing complex {GO:0032991}</t>
  </si>
  <si>
    <t>double-stranded DNA binding {GO:0003690}; endopeptidase activity {GO:0004175}; metal ion binding {GO:0046872}; metalloendopeptidase activity {GO:0004222}</t>
  </si>
  <si>
    <t>sp|Q6Y7W8|GGYF2_MOUSE</t>
  </si>
  <si>
    <t>GRB10-interacting GYF protein 2</t>
  </si>
  <si>
    <t>PERQ amino acid-rich with GYF domain-containing protein 2; Trinucleotide repeat-containing gene 15 protein</t>
  </si>
  <si>
    <t>GGYF2_MOUSE</t>
  </si>
  <si>
    <t>Q6Y7W8</t>
  </si>
  <si>
    <t>Q0VGQ7; Q3UNS2; Q63ZU9; Q80TV1; Q8K0R0; Q8R0A3</t>
  </si>
  <si>
    <t>MGI:2138584</t>
  </si>
  <si>
    <t>Acetylation; Alternative splicing; Isopeptide bond; Methylation; Phosphoprotein; Ubl conjugation</t>
  </si>
  <si>
    <t>adult locomotory behavior {GO:0008344}; feeding behavior {GO:0007631}; homeostasis of number of cells within a tissue {GO:0048873}; insulin-like growth factor receptor signaling pathway {GO:0048009}; mitotic G1 DNA damage checkpoint signaling {GO:0031571}; mRNA destabilization {GO:0061157}; multicellular organism growth {GO:0035264}; musculoskeletal movement {GO:0050881}; negative regulation of translation {GO:0017148}; neuromuscular process controlling balance {GO:0050885}; post-embryonic development {GO:0009791}; post-transcriptional gene silencing {GO:0016441}; protein metabolic process {GO:0019538}; spinal cord motor neuron differentiation {GO:0021522}</t>
  </si>
  <si>
    <t>cytoplasm {GO:0005737}; cytoplasmic stress granule {GO:0010494}; cytosol {GO:0005829}; endoplasmic reticulum {GO:0005783}; endosome {GO:0005768}; Golgi apparatus {GO:0005794}; integral component of membrane {GO:0016021}; membrane {GO:0016020}; perikaryon {GO:0043204}; protein-containing complex {GO:0032991}; proximal dendrite {GO:1990635}; vesicle {GO:0031982}</t>
  </si>
  <si>
    <t>proline-rich region binding {GO:0070064}</t>
  </si>
  <si>
    <t>sp|Q8BMD8|SCMC1_MOUSE</t>
  </si>
  <si>
    <t>Calcium-binding mitochondrial carrier protein SCaMC-1</t>
  </si>
  <si>
    <t>Small calcium-binding mitochondrial carrier protein 1; Solute carrier family 25 member 24</t>
  </si>
  <si>
    <t>SCMC1_MOUSE</t>
  </si>
  <si>
    <t>Q8BMD8</t>
  </si>
  <si>
    <t>Q3TCQ2; Q3THY3; Q7TPC2</t>
  </si>
  <si>
    <t>Scamc1</t>
  </si>
  <si>
    <t>MGI:1917160</t>
  </si>
  <si>
    <t>ATP transport {GO:0015867}; cellular response to calcium ion {GO:0071277}; cellular response to oxidative stress {GO:0034599}; mitochondrial transport {GO:0006839}; regulation of cell death {GO:0010941}</t>
  </si>
  <si>
    <t>ATP transmembrane transporter activity {GO:0005347}; calcium ion binding {GO:0005509}</t>
  </si>
  <si>
    <t>sp|Q8C0D4|RHG12_MOUSE</t>
  </si>
  <si>
    <t>Rho GTPase-activating protein 12</t>
  </si>
  <si>
    <t>Rho-type GTPase-activating protein 12</t>
  </si>
  <si>
    <t>RHG12_MOUSE</t>
  </si>
  <si>
    <t>Q8C0D4</t>
  </si>
  <si>
    <t>Q8BVP8</t>
  </si>
  <si>
    <t>MGI:1922665</t>
  </si>
  <si>
    <t>3D-structure; GTPase activation; Phosphoprotein; Repeat; SH3 domain</t>
  </si>
  <si>
    <t>actin filament organization {GO:0007015}; morphogenesis of an epithelial sheet {GO:0002011}; negative regulation of small GTPase mediated signal transduction {GO:0051058}; phagocytosis, engulfment {GO:0006911}; regulation of GTPase activity {GO:0043087}; signal transduction {GO:0007165}</t>
  </si>
  <si>
    <t>cytoplasm {GO:0005737}; phagocytic cup {GO:0001891}</t>
  </si>
  <si>
    <t>RAC1 GTPase cycle {R-MMU-9013149}; RHOD GTPase cycle {R-MMU-9013405}; RHOV GTPase cycle {R-MMU-9013424}; RHOF GTPase cycle {R-MMU-9035034}</t>
  </si>
  <si>
    <t>sp|Q8R4N0|CLYBL_MOUSE</t>
  </si>
  <si>
    <t>Citramalyl-CoA lyase, mitochondrial</t>
  </si>
  <si>
    <t>(3S)-malyl-CoA thioesterase; Beta-methylmalate synthase; Citrate lyase subunit beta-like protein, mitochondrial (Citrate lyase beta-like); Malate synthase</t>
  </si>
  <si>
    <t>CLYBL_MOUSE</t>
  </si>
  <si>
    <t>Q8R4N0</t>
  </si>
  <si>
    <t>Q9D7D0</t>
  </si>
  <si>
    <t>Clb</t>
  </si>
  <si>
    <t>MGI:1916884</t>
  </si>
  <si>
    <t>Acetylation; Hydrolase; Lyase; Magnesium; Metal-binding; Mitochondrion; Transferase; Transit peptide</t>
  </si>
  <si>
    <t>Hydrolase; Lyase; Transferase</t>
  </si>
  <si>
    <t>positive regulation of cobalamin metabolic process {GO:0106121}; protein homotrimerization {GO:0070207}; regulation of cobalamin metabolic process {GO:0106064}</t>
  </si>
  <si>
    <t>(S)-citramalyl-CoA lyase activity {GO:0047777}; hydrolase activity {GO:0016787}; magnesium ion binding {GO:0000287}; malate synthase activity {GO:0004474}</t>
  </si>
  <si>
    <t>sp|Q8K224|NAT10_MOUSE</t>
  </si>
  <si>
    <t>RNA cytidine acetyltransferase</t>
  </si>
  <si>
    <t>18S rRNA cytosine acetyltransferase; N-acetyltransferase 10</t>
  </si>
  <si>
    <t>NAT10_MOUSE</t>
  </si>
  <si>
    <t>Q8K224</t>
  </si>
  <si>
    <t>Q3UE04; Q6ZPJ7; Q80VD3; Q8BW78</t>
  </si>
  <si>
    <t>Kiaa1709</t>
  </si>
  <si>
    <t>MGI:2138939</t>
  </si>
  <si>
    <t>Acetylation; Acyltransferase; ATP-binding; Nucleotide-binding; Nucleus; Phosphoprotein; rRNA processing; Transferase; tRNA processing</t>
  </si>
  <si>
    <t>rRNA processing; tRNA processing</t>
  </si>
  <si>
    <t>negative regulation of telomere maintenance via telomerase {GO:0032211}; positive regulation of translation {GO:0045727}; protein acetylation {GO:0006473}; regulation of centrosome duplication {GO:0010824}; rRNA acetylation involved in maturation of SSU-rRNA {GO:1904812}; tRNA acetylation {GO:0051391}</t>
  </si>
  <si>
    <t>midbody {GO:0030496}; nucleolus {GO:0005730}; telomerase holoenzyme complex {GO:0005697}</t>
  </si>
  <si>
    <t>ATP binding {GO:0005524}; DNA polymerase binding {GO:0070182}; mRNA N-acetyltransferase activity {GO:0106162}; N-acetyltransferase activity {GO:0008080}; rRNA cytidine N-acetyltransferase activity {GO:1990883}; tRNA binding {GO:0000049}</t>
  </si>
  <si>
    <t>sp|P36993|PPM1B_MOUSE</t>
  </si>
  <si>
    <t>Protein phosphatase 1B</t>
  </si>
  <si>
    <t>Protein phosphatase 2C isoform beta (PP2C-beta)</t>
  </si>
  <si>
    <t>PPM1B_MOUSE</t>
  </si>
  <si>
    <t>P36993</t>
  </si>
  <si>
    <t>Pp2c2; Pppm1b</t>
  </si>
  <si>
    <t>MGI:101841</t>
  </si>
  <si>
    <t>Alternative splicing; Cytoplasm; Hydrolase; Isopeptide bond; Lipoprotein; Magnesium; Manganese; Membrane; Metal-binding; Myristate; Phosphoprotein; Protein phosphatase; Ubl conjugation</t>
  </si>
  <si>
    <t>N-terminal protein myristoylation {GO:0006499}; negative regulation of defense response to virus {GO:0050687}; negative regulation of I-kappaB kinase/NF-kappaB signaling {GO:0043124}; negative regulation of interferon-beta production {GO:0032688}; negative regulation of NIK/NF-kappaB signaling {GO:1901223}; peptidyl-threonine dephosphorylation {GO:0035970}; positive regulation of canonical Wnt signaling pathway {GO:0090263}; protein dephosphorylation {GO:0006470}</t>
  </si>
  <si>
    <t>cytosol {GO:0005829}; membrane {GO:0016020}; nucleolus {GO:0005730}; nucleus {GO:0005634}</t>
  </si>
  <si>
    <t>magnesium ion binding {GO:0000287}; manganese ion binding {GO:0030145}; myosin phosphatase activity {GO:0017018}; protein serine/threonine phosphatase activity {GO:0004722}</t>
  </si>
  <si>
    <t>sp|P39749|FEN1_MOUSE</t>
  </si>
  <si>
    <t>Flap endonuclease 1 (FEN-1)</t>
  </si>
  <si>
    <t>Flap structure-specific endonuclease 1</t>
  </si>
  <si>
    <t>FEN1_MOUSE</t>
  </si>
  <si>
    <t>P39749</t>
  </si>
  <si>
    <t>Fen-1</t>
  </si>
  <si>
    <t>MGI:102779</t>
  </si>
  <si>
    <t>Acetylation; DNA damage; DNA repair; DNA replication; Endonuclease; Exonuclease; Hydrolase; Magnesium; Metal-binding; Methylation; Mitochondrion; Nuclease; Nucleus; Phosphoprotein</t>
  </si>
  <si>
    <t>Endonuclease; Exonuclease; Hydrolase; Nuclease</t>
  </si>
  <si>
    <t>base-excision repair {GO:0006284}; DNA repair {GO:0006281}; DNA replication {GO:0006260}; DNA replication, removal of RNA primer {GO:0043137}; memory {GO:0007613}; nucleic acid phosphodiester bond hydrolysis {GO:0090305}; positive regulation of sister chromatid cohesion {GO:0045876}</t>
  </si>
  <si>
    <t>chromosome, telomeric region {GO:0000781}; mitochondrion {GO:0005739}; nucleolus {GO:0005730}; nucleoplasm {GO:0005654}; nucleus {GO:0005634}; protein-containing complex {GO:0032991}</t>
  </si>
  <si>
    <t>5'-3' exonuclease activity {GO:0008409}; 5'-flap endonuclease activity {GO:0017108}; DNA binding {GO:0003677}; exonuclease activity {GO:0004527}; flap endonuclease activity {GO:0048256}; magnesium ion binding {GO:0000287}; manganese ion binding {GO:0030145}; RNA-DNA hybrid ribonuclease activity {GO:0004523}</t>
  </si>
  <si>
    <t>POLB-Dependent Long Patch Base Excision Repair {R-MMU-110362}; Removal of the Flap Intermediate from the C-strand {R-MMU-174437}; PCNA-Dependent Long Patch Base Excision Repair {R-MMU-5651801}; HDR through MMEJ (alt-NHEJ) {R-MMU-5685939}; Removal of the Flap Intermediate {R-MMU-69166}</t>
  </si>
  <si>
    <t>sp|Q8CB77|ELOA1_MOUSE</t>
  </si>
  <si>
    <t>Elongin-A (EloA)</t>
  </si>
  <si>
    <t>Elongin 110 kDa subunit; RNA polymerase II transcription factor SIII subunit A1; SIII p110; Transcription elongation factor B polypeptide 3</t>
  </si>
  <si>
    <t>ELOA1_MOUSE</t>
  </si>
  <si>
    <t>Q8CB77</t>
  </si>
  <si>
    <t>Q3UI38; Q80VB2; Q9R0Q5</t>
  </si>
  <si>
    <t>Tceb3</t>
  </si>
  <si>
    <t>MGI:1351315</t>
  </si>
  <si>
    <t>Acetylation; Nucleus; Phosphoprotein; Transcription; Transcription regulation</t>
  </si>
  <si>
    <t>regulation of transcription by RNA polymerase II {GO:0006357}; transcription elongation by RNA polymerase II promoter {GO:0006368}; transcription initiation at RNA polymerase II promoter {GO:0006367}</t>
  </si>
  <si>
    <t>elongin complex {GO:0070449}; site of DNA damage {GO:0090734}; transcription elongation factor complex {GO:0008023}</t>
  </si>
  <si>
    <t>Formation of RNA Pol II elongation complex {R-MMU-112382}; RNA Polymerase II Pre-transcription Events {R-MMU-674695}; TP53 Regulates Transcription of DNA Repair Genes {R-MMU-6796648}; RNA Polymerase II Transcription Elongation {R-MMU-75955}</t>
  </si>
  <si>
    <t>sp|Q8C1A3|MTRR_MOUSE</t>
  </si>
  <si>
    <t>Methionine synthase reductase (MSR)</t>
  </si>
  <si>
    <t>Aquacobalamin reductase (AqCbl reductase)</t>
  </si>
  <si>
    <t>MTRR_MOUSE</t>
  </si>
  <si>
    <t>Q8C1A3</t>
  </si>
  <si>
    <t>Q3U2C6; Q8R0Y3</t>
  </si>
  <si>
    <t>MGI:1891037</t>
  </si>
  <si>
    <t>Amino-acid biosynthesis; Cytoplasm; FAD; Flavoprotein; FMN; Methionine biosynthesis; NADP; Oxidoreductase; Phosphoprotein; S-adenosyl-L-methionine</t>
  </si>
  <si>
    <t>FAD; FMN; Flavoprotein; NADP; S-adenosyl-L-methionine</t>
  </si>
  <si>
    <t>cobalamin metabolic process {GO:0009235}; DNA methylation {GO:0006306}; folic acid metabolic process {GO:0046655}; homocysteine catabolic process {GO:0043418}; homocysteine metabolic process {GO:0050667}; methionine biosynthetic process {GO:0009086}; negative regulation of cystathionine beta-synthase activity {GO:1904042}; protein stabilization {GO:0050821}; S-adenosylmethionine cycle {GO:0033353}</t>
  </si>
  <si>
    <t>cytosol {GO:0005829}; intermediate filament cytoskeleton {GO:0045111}; nucleoplasm {GO:0005654}</t>
  </si>
  <si>
    <t>[methionine synthase] reductase activity {GO:0030586}; FAD binding {GO:0071949}; flavin adenine dinucleotide binding {GO:0050660}; FMN binding {GO:0010181}; NADPH binding {GO:0070402}; NADPH-hemoprotein reductase activity {GO:0003958}; oxidoreductase activity {GO:0016491}; oxidoreductase activity, acting on metal ions, NAD or NADP as acceptor {GO:0016723}</t>
  </si>
  <si>
    <t>Methylation {R-MMU-156581}; Sulfur amino acid metabolism {R-MMU-1614635}; Cobalamin (Cbl) metabolism {R-MMU-9759218}</t>
  </si>
  <si>
    <t>sp|Q04690|NF1_MOUSE</t>
  </si>
  <si>
    <t>Neurofibromin</t>
  </si>
  <si>
    <t>Neurofibromatosis-related protein NF-1</t>
  </si>
  <si>
    <t>NF1_MOUSE</t>
  </si>
  <si>
    <t>Q04690</t>
  </si>
  <si>
    <t>Q61956; Q61957</t>
  </si>
  <si>
    <t>MGI:97306</t>
  </si>
  <si>
    <t>Acetylation; Alternative splicing; GTPase activation; Lipid-binding; Nucleus; Phosphoprotein</t>
  </si>
  <si>
    <t>actin cytoskeleton organization {GO:0030036}; adrenal gland development {GO:0030325}; amygdala development {GO:0021764}; angiogenesis {GO:0001525}; apoptotic process {GO:0006915}; artery morphogenesis {GO:0048844}; astrocyte differentiation {GO:0048708}; brain development {GO:0007420}; camera-type eye morphogenesis {GO:0048593}; cell communication {GO:0007154}; cell migration {GO:0016477}; cell population proliferation {GO:0008283}; cellular response to heat {GO:0034605}; cerebral cortex development {GO:0021987}; cognition {GO:0050890}; collagen fibril organization {GO:0030199}; endothelial cell proliferation {GO:0001935}; extracellular matrix organization {GO:0030198}; extrinsic apoptotic signaling pathway in absence of ligand {GO:0097192}; extrinsic apoptotic signaling pathway via death domain receptors {GO:0008625}; fibroblast proliferation {GO:0048144}; forebrain astrocyte development {GO:0021897}; forebrain morphogenesis {GO:0048853}; gamma-aminobutyric acid secretion, neurotransmission {GO:0061534}; glial cell proliferation {GO:0014009}; glutamate secretion, neurotransmission {GO:0061535}; hair follicle maturation {GO:0048820}; heart development {GO:0007507}; leukocyte apoptotic process {GO:0071887}; liver development {GO:0001889}; MAPK cascade {GO:0000165}; mast cell apoptotic process {GO:0033024}; mast cell proliferation {GO:0070662}; metanephros development {GO:0001656}; myelination in peripheral nervous system {GO:0022011}; myeloid cell apoptotic process {GO:0033028}; myeloid leukocyte migration {GO:0097529}; negative regulation of angiogenesis {GO:0016525}; negative regulation of astrocyte differentiation {GO:0048712}; negative regulation of cell migration {GO:0030336}; negative regulation of cell population proliferation {GO:0008285}; negative regulation of cell-matrix adhesion {GO:0001953}; negative regulation of endothelial cell proliferation {GO:0001937}; negative regulation of fibroblast proliferation {GO:0048147}; negative regulation of glial cell proliferation {GO:0060253}; negative regulation of leukocyte migration {GO:0002686}; negative regulation of MAP kinase activity {GO:0043407}; negative regulation of MAPK cascade {GO:0043409}; negative regulation of mast cell proliferation {GO:0070667}; negative regulation of neuroblast proliferation {GO:0007406}; negative regulation of neurotransmitter secretion {GO:0046929}; negative regulation of oligodendrocyte differentiation {GO:0048715}; negative regulation of osteoclast differentiation {GO:0045671}; negative regulation of protein import into nucleus {GO:0042308}; negative regulation of protein kinase activity {GO:0006469}; negative regulation of Rac protein signal transduction {GO:0035021}; negative regulation of Ras protein signal transduction {GO:0046580}; negative regulation of Schwann cell migration {GO:1900148}; negative regulation of Schwann cell proliferation {GO:0010626}; negative regulation of stem cell proliferation {GO:2000647}; negative regulation of vascular associated smooth muscle cell migration {GO:1904753}; neural tube development {GO:0021915}; neuroblast proliferation {GO:0007405}; neuron apoptotic process {GO:0051402}; neurotransmitter secretion {GO:0007269}; observational learning {GO:0098597}; oligodendrocyte differentiation {GO:0048709}; osteoblast differentiation {GO:0001649}; osteoclast differentiation {GO:0030316}; peripheral nervous system development {GO:0007422}; phosphatidylinositol 3-kinase signaling {GO:0014065}; pigmentation {GO:0043473}; positive regulation of adenylate cyclase activity {GO:0045762}; positive regulation of apoptotic process {GO:0043065}; positive regulation of endothelial cell proliferation {GO:0001938}; positive regulation of extrinsic apoptotic signaling pathway in absence of ligand {GO:2001241}; positive regulation of GTPase activity {GO:0043547}; positive regulation of leukocyte apoptotic process {GO:2000108}; positive regulation of mast cell apoptotic process {GO:0033027}; positive regulation of myeloid cell apoptotic process {GO:0033034}; positive regulation of neuron apoptotic process {GO:0043525}; positive regulation of neuron projection development {GO:0010976}; positive regulation of vascular associated smooth muscle cell proliferation {GO:1904707}; protein import into nucleus {GO:0006606}; Rac protein signal transduction {GO:0016601}; Ras protein signal transduction {GO:0007265}; regulation of angiogenesis {GO:0045765}; regulation of blood vessel endothelial cell migration {GO:0043535}; regulation of bone resorption {GO:0045124}; regulation of cell population proliferation {GO:0042127}; regulation of cell-matrix adhesion {GO:0001952}; regulation of gene expression {GO:0010468}; regulation of glial cell differentiation {GO:0045685}; regulation of GTPase activity {GO:0043087}; regulation of long-term neuronal synaptic plasticity {GO:0048169}; regulation of long-term synaptic potentiation {GO:1900271}; regulation of MAPK cascade {GO:0043408}; regulation of neuron differentiation {GO:0045664}; regulation of synaptic transmission, GABAergic {GO:0032228}; response to hypoxia {GO:0001666}; Schwann cell development {GO:0014044}; Schwann cell migration {GO:0036135}; Schwann cell proliferation {GO:0014010}; skeletal muscle tissue development {GO:0007519}; smooth muscle tissue development {GO:0048745}; spinal cord development {GO:0021510}; stem cell proliferation {GO:0072089}; sympathetic nervous system development {GO:0048485}; vascular associated smooth muscle cell migration {GO:1904738}; vascular associated smooth muscle cell proliferation {GO:1990874}; visual learning {GO:0008542}; wound healing {GO:0042060}</t>
  </si>
  <si>
    <t>axon {GO:0030424}; cytoplasm {GO:0005737}; dendrite {GO:0030425}; membrane {GO:0016020}; neuron projection {GO:0043005}; nucleolus {GO:0005730}; nucleus {GO:0005634}; postsynaptic density {GO:0014069}; presynapse {GO:0098793}; protein-containing complex {GO:0032991}</t>
  </si>
  <si>
    <t>GTPase activator activity {GO:0005096}; microtubule binding {GO:0008017}; phosphatidylcholine binding {GO:0031210}; phosphatidylethanolamine binding {GO:0008429}; syndecan binding {GO:0045545}</t>
  </si>
  <si>
    <t>Regulation of RAS by GAPs {R-MMU-5658442}</t>
  </si>
  <si>
    <t>sp|Q80VD1|FA98B_MOUSE</t>
  </si>
  <si>
    <t>Protein FAM98B</t>
  </si>
  <si>
    <t>FA98B_MOUSE</t>
  </si>
  <si>
    <t>Q80VD1</t>
  </si>
  <si>
    <t>A2ATZ4; Q9CS28; Q9CS37</t>
  </si>
  <si>
    <t>MGI:1915465</t>
  </si>
  <si>
    <t>positive regulation of cell population proliferation {GO:0008284}; positive regulation of gene expression {GO:0010628}; protein methylation {GO:0006479}</t>
  </si>
  <si>
    <t>cytoplasm {GO:0005737}; intracellular membrane-bounded organelle {GO:0043231}; nucleoplasm {GO:0005654}; nucleus {GO:0005634}; tRNA-splicing ligase complex {GO:0072669}</t>
  </si>
  <si>
    <t>identical protein binding {GO:0042802}; protein methyltransferase activity {GO:0008276}</t>
  </si>
  <si>
    <t>sp|P35846|FOLR1_MOUSE</t>
  </si>
  <si>
    <t>Folate receptor alpha (FR-alpha)</t>
  </si>
  <si>
    <t>Folate receptor 1; Folate-binding protein 1</t>
  </si>
  <si>
    <t>FOLR1_MOUSE</t>
  </si>
  <si>
    <t>P35846</t>
  </si>
  <si>
    <t>Q9R222</t>
  </si>
  <si>
    <t>Fbp1; Folbp1</t>
  </si>
  <si>
    <t>MGI:95568</t>
  </si>
  <si>
    <t>Cell membrane; Cytoplasmic vesicle; Disulfide bond; Endosome; Folate-binding; Glycoprotein; GPI-anchor; Lipoprotein; Membrane; Receptor; Secreted; Signal; Transport</t>
  </si>
  <si>
    <t>Cell membrane; Cytoplasmic vesicle; Endosome; Membrane; Secreted</t>
  </si>
  <si>
    <t>Folate-binding</t>
  </si>
  <si>
    <t>Disulfide bond; GPI-anchor; Glycoprotein; Lipoprotein</t>
  </si>
  <si>
    <t>anterior neural tube closure {GO:0061713}; axon regeneration {GO:0031103}; cardiac neural crest cell migration involved in outflow tract morphogenesis {GO:0003253}; cell adhesion {GO:0007155}; cellular response to folic acid {GO:0071231}; folate import across plasma membrane {GO:1904447}; folic acid metabolic process {GO:0046655}; folic acid transport {GO:0015884}; fusion of sperm to egg plasma membrane involved in single fertilization {GO:0007342}; heart looping {GO:0001947}; neural crest cell migration involved in heart formation {GO:0003147}; pharyngeal arch artery morphogenesis {GO:0061626}; post-translational protein targeting to endoplasmic reticulum membrane {GO:0006620}; regulation of canonical Wnt signaling pathway {GO:0060828}; regulation of transforming growth factor beta receptor signaling pathway {GO:0017015}; renal absorption {GO:0070293}; response to axon injury {GO:0048678}; sperm-egg recognition {GO:0035036}</t>
  </si>
  <si>
    <t>anchored component of external side of plasma membrane {GO:0031362}; anchored component of plasma membrane {GO:0046658}; apical plasma membrane {GO:0016324}; basolateral plasma membrane {GO:0016323}; brush border {GO:0005903}; brush border membrane {GO:0031526}; clathrin-coated vesicle {GO:0030136}; endosome {GO:0005768}; extracellular region {GO:0005576}; membrane {GO:0016020}; nucleus {GO:0005634}</t>
  </si>
  <si>
    <t>folic acid binding {GO:0005542}; folic acid receptor activity {GO:0061714}; signaling receptor activity {GO:0038023}</t>
  </si>
  <si>
    <t>COPII-mediated vesicle transport {R-MMU-204005}; Cargo concentration in the ER {R-MMU-5694530}; COPI-mediated anterograde transport {R-MMU-6807878}</t>
  </si>
  <si>
    <t>sp|Q8K4Q0|RPTOR_MOUSE</t>
  </si>
  <si>
    <t>Regulatory-associated protein of mTOR (Raptor)</t>
  </si>
  <si>
    <t>p150 target of rapamycin (TOR)-scaffold protein</t>
  </si>
  <si>
    <t>RPTOR_MOUSE</t>
  </si>
  <si>
    <t>Q8K4Q0</t>
  </si>
  <si>
    <t>Q8C9W9; Q8CBY4; Q8CDY8; Q9D4H3</t>
  </si>
  <si>
    <t>MGI:1921620</t>
  </si>
  <si>
    <t>Alternative splicing; Cytoplasm; Lysosome; Phosphoprotein; Repeat; WD repeat</t>
  </si>
  <si>
    <t>cellular response to amino acid stimulus {GO:0071230}; cellular response to DNA damage stimulus {GO:0006974}; cellular response to hypoxia {GO:0071456}; cellular response to leucine {GO:0071233}; cellular response to nutrient levels {GO:0031669}; cellular response to osmotic stress {GO:0071470}; cellular response to starvation {GO:0009267}; negative regulation of autophagy {GO:0010507}; negative regulation of insulin secretion {GO:0046676}; phosphorylation {GO:0016310}; positive regulation of cell growth {GO:0030307}; positive regulation of endothelial cell proliferation {GO:0001938}; positive regulation of G1/S transition of mitotic cell cycle {GO:1900087}; positive regulation of glycolytic process {GO:0045821}; positive regulation of lipid biosynthetic process {GO:0046889}; positive regulation of pentose-phosphate shunt {GO:1905857}; positive regulation of peptidyl-serine phosphorylation {GO:0033138}; positive regulation of peptidyl-threonine phosphorylation {GO:0010800}; positive regulation of protein serine/threonine kinase activity {GO:0071902}; positive regulation of TOR signaling {GO:0032008}; positive regulation of transcription by RNA polymerase III {GO:0045945}; regulation of autophagy {GO:0010506}; regulation of cell growth {GO:0001558}; regulation of cell size {GO:0008361}; regulation of phosphorylation {GO:0042325}; regulation of protein phosphorylation {GO:0001932}; response to xenobiotic stimulus {GO:0009410}; social behavior {GO:0035176}; TOR signaling {GO:0031929}; TORC1 signaling {GO:0038202}</t>
  </si>
  <si>
    <t>cytoplasm {GO:0005737}; cytoplasmic stress granule {GO:0010494}; cytosol {GO:0005829}; dendrite {GO:0030425}; lysosome {GO:0005764}; neuronal cell body {GO:0043025}; nucleoplasm {GO:0005654}; TORC1 complex {GO:0031931}</t>
  </si>
  <si>
    <t>14-3-3 protein binding {GO:0071889}; protein kinase activator activity {GO:0030295}; protein kinase binding {GO:0019901}; protein serine/threonine kinase inhibitor activity {GO:0030291}; protein-containing complex binding {GO:0044877}; protein-macromolecule adaptor activity {GO:0030674}; RNA polymerase III type 1 promoter sequence-specific DNA binding {GO:0001002}; RNA polymerase III type 2 promoter sequence-specific DNA binding {GO:0001003}; RNA polymerase III type 3 promoter sequence-specific DNA binding {GO:0001006}; TFIIIC-class transcription factor complex binding {GO:0001156}</t>
  </si>
  <si>
    <t>Macroautophagy {R-MMU-1632852}; MTOR signalling {R-MMU-165159}; mTORC1-mediated signalling {R-MMU-166208}; HSF1-dependent transactivation {R-MMU-3371571}; Energy dependent regulation of mTOR by LKB1-AMPK {R-MMU-380972}; TP53 Regulates Metabolic Genes {R-MMU-5628897}; Regulation of PTEN gene transcription {R-MMU-8943724}; Amino acids regulate mTORC1 {R-MMU-9639288}</t>
  </si>
  <si>
    <t>sp|Q8R3T5|STXB6_MOUSE</t>
  </si>
  <si>
    <t>Syntaxin-binding protein 6</t>
  </si>
  <si>
    <t>STXB6_MOUSE</t>
  </si>
  <si>
    <t>Q8R3T5</t>
  </si>
  <si>
    <t>MGI:2384963</t>
  </si>
  <si>
    <t>Acetylation; Coiled coil; Cytoplasm; Membrane</t>
  </si>
  <si>
    <t>exocytosis {GO:0006887}; Golgi to plasma membrane transport {GO:0006893}; regulation of SNARE complex assembly {GO:0035542}; SNARE complex assembly {GO:0035493}</t>
  </si>
  <si>
    <t>exocyst {GO:0000145}; plasma membrane {GO:0005886}</t>
  </si>
  <si>
    <t>sp|P70303|PYRG2_MOUSE</t>
  </si>
  <si>
    <t>CTP synthase 2</t>
  </si>
  <si>
    <t>CTP synthetase 2 (CTPsH); UTP--ammonia ligase 2</t>
  </si>
  <si>
    <t>PYRG2_MOUSE</t>
  </si>
  <si>
    <t>P70303</t>
  </si>
  <si>
    <t>Q3TPQ2; Q3TT59</t>
  </si>
  <si>
    <t>MGI:1933185</t>
  </si>
  <si>
    <t>3D-structure; Alternative splicing; ATP-binding; Glutamine amidotransferase; Ligase; Nucleotide-binding; Phosphoprotein; Pyrimidine biosynthesis</t>
  </si>
  <si>
    <t>'de novo' CTP biosynthetic process {GO:0044210}; CTP biosynthetic process {GO:0006241}; glutamine metabolic process {GO:0006541}; pyrimidine nucleobase biosynthetic process {GO:0019856}</t>
  </si>
  <si>
    <t>cytoophidium {GO:0097268}; cytoplasm {GO:0005737}; mitochondrion {GO:0005739}</t>
  </si>
  <si>
    <t>Pyrimidine metabolism; CTP biosynthesis via de novo pathway; CTP from UDP: step 2/2.</t>
  </si>
  <si>
    <t>sp|Q8BTS4|NUP54_MOUSE</t>
  </si>
  <si>
    <t>Nuclear pore complex protein Nup54</t>
  </si>
  <si>
    <t>54 kDa nucleoporin; Nucleoporin Nup54</t>
  </si>
  <si>
    <t>NUP54_MOUSE</t>
  </si>
  <si>
    <t>Q8BTS4</t>
  </si>
  <si>
    <t>Q3TSI2; Q8BU42</t>
  </si>
  <si>
    <t>MGI:1920460</t>
  </si>
  <si>
    <t>Glycoprotein; Membrane; mRNA transport; Nuclear pore complex; Nucleus; Protein transport; Repeat; Translocation; Transport</t>
  </si>
  <si>
    <t>mRNA transport {GO:0051028}; NLS-bearing protein import into nucleus {GO:0006607}; nuclear pore organization {GO:0006999}; nucleocytoplasmic transport {GO:0006913}; protein localization to nuclear inner membrane {GO:0036228}; protein targeting {GO:0006605}; regulation of protein import into nucleus {GO:0042306}</t>
  </si>
  <si>
    <t>nuclear envelope {GO:0005635}; nuclear membrane {GO:0031965}; nuclear pore {GO:0005643}; nuclear pore central transport channel {GO:0044613}; protein-containing complex {GO:0032991}</t>
  </si>
  <si>
    <t>identical protein binding {GO:0042802}; protein-containing complex binding {GO:0044877}; structural constituent of nuclear pore {GO:0017056}</t>
  </si>
  <si>
    <t>sp|Q9CT10|RANB3_MOUSE</t>
  </si>
  <si>
    <t>Ran-binding protein 3 (RanBP3)</t>
  </si>
  <si>
    <t>RANB3_MOUSE</t>
  </si>
  <si>
    <t>Q9CT10</t>
  </si>
  <si>
    <t>A6H6I9; Q3TIS4; Q3U2G4; Q3UYG7</t>
  </si>
  <si>
    <t>MGI:1919060</t>
  </si>
  <si>
    <t>protein export from nucleus {GO:0006611}; regulation of catalytic activity {GO:0050790}</t>
  </si>
  <si>
    <t>cytoplasm {GO:0005737}; nuclear pore {GO:0005643}; nucleoplasm {GO:0005654}; nucleus {GO:0005634}</t>
  </si>
  <si>
    <t>R-SMAD binding {GO:0070412}; small GTPase binding {GO:0031267}</t>
  </si>
  <si>
    <t>sp|P54729|NUB1_MOUSE</t>
  </si>
  <si>
    <t>NEDD8 ultimate buster 1</t>
  </si>
  <si>
    <t>Negative regulator of ubiquitin-like proteins 1; Protein BS4</t>
  </si>
  <si>
    <t>NUB1_MOUSE</t>
  </si>
  <si>
    <t>P54729</t>
  </si>
  <si>
    <t>Q8K3U0</t>
  </si>
  <si>
    <t>Nyren18</t>
  </si>
  <si>
    <t>MGI:1889001</t>
  </si>
  <si>
    <t>3D-structure; Coiled coil; Nucleus; Repeat</t>
  </si>
  <si>
    <t>positive regulation of proteasomal ubiquitin-dependent protein catabolic process {GO:0032436}; proteasomal protein catabolic process {GO:0010498}; protein ubiquitination {GO:0016567}; regulation of ubiquitin-dependent protein catabolic process {GO:2000058}; ubiquitin-dependent protein catabolic process {GO:0006511}</t>
  </si>
  <si>
    <t>cytosol {GO:0005829}; Lewy body {GO:0097413}; nucleolus {GO:0005730}; nucleoplasm {GO:0005654}; nucleus {GO:0005634}</t>
  </si>
  <si>
    <t>sp|A2BDX3|MOCS3_MOUSE</t>
  </si>
  <si>
    <t>Molybdopterin-synthase sulfurtransferase</t>
  </si>
  <si>
    <t>Molybdenum cofactor synthesis protein 3; Adenylyltransferase MOCS3; Sulfur carrier protein MOCS2A adenylyltransferase; Sulfur carrier protein MOCS2A sulfurtransferase; Sulfurtransferase MOCS3</t>
  </si>
  <si>
    <t>MOCS3_MOUSE</t>
  </si>
  <si>
    <t>A2BDX3</t>
  </si>
  <si>
    <t>Uba4</t>
  </si>
  <si>
    <t>MGI:1916622</t>
  </si>
  <si>
    <t>ATP-binding; Cytoplasm; Disulfide bond; Metal-binding; Molybdenum cofactor biosynthesis; Multifunctional enzyme; Nucleotide-binding; Transferase; tRNA processing; Zinc</t>
  </si>
  <si>
    <t>Molybdenum cofactor biosynthesis; tRNA processing</t>
  </si>
  <si>
    <t>Multifunctional enzyme; Transferase</t>
  </si>
  <si>
    <t>Mo-molybdopterin cofactor biosynthetic process {GO:0006777}; protein urmylation {GO:0032447}; tRNA thio-modification {GO:0034227}; tRNA wobble position uridine thiolation {GO:0002143}; tRNA wobble uridine modification {GO:0002098}</t>
  </si>
  <si>
    <t>ATP binding {GO:0005524}; metal ion binding {GO:0046872}; molybdopterin-synthase adenylyltransferase activity {GO:0061605}; molybdopterin-synthase sulfurtransferase activity {GO:0061604}; nucleotidyltransferase activity {GO:0016779}; sulfurtransferase activity {GO:0016783}; thiosulfate sulfurtransferase activity {GO:0004792}; URM1 activating enzyme activity {GO:0042292}</t>
  </si>
  <si>
    <t>Molybdenum cofactor biosynthesis {R-MMU-947581}</t>
  </si>
  <si>
    <t>sp|Q8R4H2|ARHGC_MOUSE</t>
  </si>
  <si>
    <t>Rho guanine nucleotide exchange factor 12</t>
  </si>
  <si>
    <t>Leukemia-associated RhoGEF</t>
  </si>
  <si>
    <t>ARHGC_MOUSE</t>
  </si>
  <si>
    <t>Q8R4H2</t>
  </si>
  <si>
    <t>E9QPW9; Q80U18</t>
  </si>
  <si>
    <t>Kiaa0382; Larg</t>
  </si>
  <si>
    <t>MGI:1916882</t>
  </si>
  <si>
    <t>Acetylation; Coiled coil; Cytoplasm; GTPase activation; Guanine-nucleotide releasing factor; Membrane; Phosphoprotein</t>
  </si>
  <si>
    <t>GTPase activation; Guanine-nucleotide releasing factor</t>
  </si>
  <si>
    <t>G protein-coupled receptor signaling pathway {GO:0007186}; multicellular organism aging {GO:0010259}; regulation of blood pressure {GO:0008217}; Rho protein signal transduction {GO:0007266}</t>
  </si>
  <si>
    <t>cytoplasm {GO:0005737}; membrane {GO:0016020}</t>
  </si>
  <si>
    <t>G protein-coupled receptor binding {GO:0001664}; GTPase activator activity {GO:0005096}; guanyl-nucleotide exchange factor activity {GO:0005085}</t>
  </si>
  <si>
    <t>NRAGE signals death through JNK {R-MMU-193648}; G alpha (12/13) signalling events {R-MMU-416482}; Sema4D induced cell migration and growth-cone collapse {R-MMU-416572}; RHOA GTPase cycle {R-MMU-8980692}; RHOB GTPase cycle {R-MMU-9013026}; RHOC GTPase cycle {R-MMU-9013106}; CDC42 GTPase cycle {R-MMU-9013148}</t>
  </si>
  <si>
    <t>sp|Q9WUD8|FAIM1_MOUSE</t>
  </si>
  <si>
    <t>Fas apoptotic inhibitory molecule 1</t>
  </si>
  <si>
    <t>FAIM1_MOUSE</t>
  </si>
  <si>
    <t>Q9WUD8</t>
  </si>
  <si>
    <t>Q9DAK6</t>
  </si>
  <si>
    <t>Faim1</t>
  </si>
  <si>
    <t>MGI:1344387</t>
  </si>
  <si>
    <t>3D-structure; Acetylation; Apoptosis; Cytoplasm</t>
  </si>
  <si>
    <t>apoptotic process {GO:0006915}; I-kappaB kinase/NF-kappaB signaling {GO:0007249}; negative regulation of extrinsic apoptotic signaling pathway via death domain receptors {GO:1902042}; positive regulation of neurogenesis {GO:0050769}</t>
  </si>
  <si>
    <t>sp|O88952|LIN7C_MOUSE</t>
  </si>
  <si>
    <t>Protein lin-7 homolog C (Lin-7C; mLin7C)</t>
  </si>
  <si>
    <t>Mammalian lin-seven protein 3 (MALS-3); Vertebrate lin-7 homolog 3 (Veli-3)</t>
  </si>
  <si>
    <t>LIN7C_MOUSE</t>
  </si>
  <si>
    <t>O88952</t>
  </si>
  <si>
    <t>Mals3; Veli3</t>
  </si>
  <si>
    <t>MGI:1330839</t>
  </si>
  <si>
    <t>Acetylation; Cell junction; Cell membrane; Exocytosis; Membrane; Postsynaptic cell membrane; Protein transport; Synapse; Tight junction; Transport</t>
  </si>
  <si>
    <t>Cell junction; Cell membrane; Membrane; Postsynaptic cell membrane; Synapse; Tight junction</t>
  </si>
  <si>
    <t>exocytosis {GO:0006887}; maintenance of epithelial cell apical/basal polarity {GO:0045199}; morphogenesis of an epithelial sheet {GO:0002011}; neurotransmitter secretion {GO:0007269}; protein localization to basolateral plasma membrane {GO:1903361}; protein transport {GO:0015031}</t>
  </si>
  <si>
    <t>basolateral plasma membrane {GO:0016323}; bicellular tight junction {GO:0005923}; cell-cell junction {GO:0005911}; cytoplasm {GO:0005737}; glutamatergic synapse {GO:0098978}; MPP7-DLG1-LIN7 complex {GO:0097025}; plasma membrane {GO:0005886}; postsynaptic density membrane {GO:0098839}; presynapse {GO:0098793}; synapse {GO:0045202}; transport vesicle membrane {GO:0030658}</t>
  </si>
  <si>
    <t>cytoskeletal protein binding {GO:0008092}; L27 domain binding {GO:0097016}; PDZ domain binding {GO:0030165}; protein domain specific binding {GO:0019904}</t>
  </si>
  <si>
    <t>Dopamine Neurotransmitter Release Cycle {R-MMU-212676}</t>
  </si>
  <si>
    <t>sp|P53995|APC1_MOUSE</t>
  </si>
  <si>
    <t>Anaphase-promoting complex subunit 1 (APC1)</t>
  </si>
  <si>
    <t>Cyclosome subunit 1; Mitotic checkpoint regulator; Testis-specific gene 24 protein</t>
  </si>
  <si>
    <t>APC1_MOUSE</t>
  </si>
  <si>
    <t>P53995</t>
  </si>
  <si>
    <t>A2ATQ4; Q8BP33; Q8C772</t>
  </si>
  <si>
    <t>Mcpr; Tsg24</t>
  </si>
  <si>
    <t>MGI:103097</t>
  </si>
  <si>
    <t>Cell cycle; Cell division; Mitosis; Phosphoprotein; Repeat; Ubl conjugation pathway</t>
  </si>
  <si>
    <t>anaphase-promoting complex-dependent catabolic process {GO:0031145}; cell division {GO:0051301}; metaphase/anaphase transition of mitotic cell cycle {GO:0007091}; protein K11-linked ubiquitination {GO:0070979}</t>
  </si>
  <si>
    <t>anaphase-promoting complex {GO:0005680}; nucleus {GO:0005634}</t>
  </si>
  <si>
    <t>sp|Q8R164|BPHL_MOUSE</t>
  </si>
  <si>
    <t>Valacyclovir hydrolase (VACVase; Valacyclovirase)</t>
  </si>
  <si>
    <t>Biphenyl hydrolase-like protein</t>
  </si>
  <si>
    <t>BPHL_MOUSE</t>
  </si>
  <si>
    <t>Q8R164</t>
  </si>
  <si>
    <t>Q8BVH2; Q8R589; Q9DCC6</t>
  </si>
  <si>
    <t>MGI:1915271</t>
  </si>
  <si>
    <t>Acetylation; Cytoplasm; Hydrolase; Signal</t>
  </si>
  <si>
    <t>alpha-amino-acid esterase activity {GO:0047658}</t>
  </si>
  <si>
    <t>sp|P17156|HSP72_MOUSE</t>
  </si>
  <si>
    <t>Heat shock-related 70 kDa protein 2 (Heat shock protein 70.2)</t>
  </si>
  <si>
    <t>HSP72_MOUSE</t>
  </si>
  <si>
    <t>P17156</t>
  </si>
  <si>
    <t>Q99KD7</t>
  </si>
  <si>
    <t>Hcp70.2; Hsp70-2</t>
  </si>
  <si>
    <t>MGI:96243</t>
  </si>
  <si>
    <t>ATP-binding; Chaperone; Cytoplasm; Cytoskeleton; Differentiation; Methylation; Nucleotide-binding; Phosphoprotein; Spermatogenesis; Stress response</t>
  </si>
  <si>
    <t>Differentiation; Spermatogenesis; Stress response</t>
  </si>
  <si>
    <t>cellular response to unfolded protein {GO:0034620}; chaperone cofactor-dependent protein refolding {GO:0051085}; male meiosis I {GO:0007141}; male meiotic nuclear division {GO:0007140}; negative regulation of inclusion body assembly {GO:0090084}; positive regulation of ATP-dependent activity {GO:0032781}; positive regulation of ATPase-coupled calcium transmembrane transporter activity {GO:1901896}; positive regulation of G2/M transition of mitotic cell cycle {GO:0010971}; positive regulation of protein phosphorylation {GO:0001934}; protein refolding {GO:0042026}; response to cold {GO:0009409}; response to heat {GO:0009408}; spermatid development {GO:0007286}; spermatogenesis {GO:0007283}; synaptonemal complex disassembly {GO:0070194}; vesicle-mediated transport {GO:0016192}</t>
  </si>
  <si>
    <t>CatSper complex {GO:0036128}; cell surface {GO:0009986}; cytoplasm {GO:0005737}; cytosol {GO:0005829}; male germ cell nucleus {GO:0001673}; meiotic spindle {GO:0072687}; mitochondrion {GO:0005739}; myelin sheath {GO:0043209}; nucleoplasm {GO:0005654}; nucleus {GO:0005634}; plasma membrane {GO:0005886}; synaptonemal complex {GO:0000795}</t>
  </si>
  <si>
    <t>ATP binding {GO:0005524}; ATP hydrolysis activity {GO:0016887}; ATP-dependent protein folding chaperone {GO:0140662}; chaperone binding {GO:0051087}; disordered domain specific binding {GO:0097718}; enzyme binding {GO:0019899}; glycolipid binding {GO:0051861}; heat shock protein binding {GO:0031072}; misfolded protein binding {GO:0051787}; protein folding chaperone {GO:0044183}; tau protein binding {GO:0048156}; unfolded protein binding {GO:0051082}</t>
  </si>
  <si>
    <t>Regulation of HSF1-mediated heat shock response {R-MMU-3371453}; HSP90 chaperone cycle for steroid hormone receptors (SHR) in the presence of ligand {R-MMU-3371497}; Attenuation phase {R-MMU-3371568}</t>
  </si>
  <si>
    <t>sp|Q91WK1|SPRY4_MOUSE</t>
  </si>
  <si>
    <t>SPRY domain-containing protein 4</t>
  </si>
  <si>
    <t>SPRY4_MOUSE</t>
  </si>
  <si>
    <t>Q91WK1</t>
  </si>
  <si>
    <t>Q8BUS6; Q9D651</t>
  </si>
  <si>
    <t>MGI:1913951</t>
  </si>
  <si>
    <t>regulation of microtubule cytoskeleton organization {GO:0070507}</t>
  </si>
  <si>
    <t>sp|Q9QUI0|RHOA_MOUSE</t>
  </si>
  <si>
    <t>Transforming protein RhoA</t>
  </si>
  <si>
    <t>RHOA_MOUSE</t>
  </si>
  <si>
    <t>Q9QUI0</t>
  </si>
  <si>
    <t>O88336</t>
  </si>
  <si>
    <t>Arha; Arha2</t>
  </si>
  <si>
    <t>MGI:1096342</t>
  </si>
  <si>
    <t>3D-structure; Cell cycle; Cell division; Cell membrane; Cell projection; Cytoplasm; Cytoskeleton; GTP-binding; Hydrolase; Lipoprotein; Membrane; Methylation; Nucleotide-binding; Nucleus; Phosphoprotein; Prenylation; Proto-oncogene; Ubl conjugation</t>
  </si>
  <si>
    <t>Lipoprotein; Methylation; Phosphoprotein; Prenylation; Ubl conjugation</t>
  </si>
  <si>
    <t>actin cytoskeleton organization {GO:0030036}; actin cytoskeleton reorganization {GO:0031532}; actin filament organization {GO:0007015}; alpha-beta T cell lineage commitment {GO:0002363}; androgen receptor signaling pathway {GO:0030521}; angiotensin-mediated vasoconstriction involved in regulation of systemic arterial blood pressure {GO:0001998}; apical junction assembly {GO:0043297}; apolipoprotein A-I-mediated signaling pathway {GO:0038027}; beta selection {GO:0043366}; cell adhesion {GO:0007155}; cell differentiation {GO:0030154}; cell junction assembly {GO:0034329}; cell migration {GO:0016477}; cell morphogenesis {GO:0000902}; cell-matrix adhesion {GO:0007160}; cellular response to chemokine {GO:1990869}; cellular response to cytokine stimulus {GO:0071345}; cellular response to lipopolysaccharide {GO:0071222}; cerebral cortex cell migration {GO:0021795}; cleavage furrow formation {GO:0036089}; cortical cytoskeleton organization {GO:0030865}; cytoplasmic microtubule organization {GO:0031122}; cytoskeleton organization {GO:0007010}; endothelial cell migration {GO:0043542}; endothelial tube lumen extension {GO:0097498}; establishment of epithelial cell apical/basal polarity {GO:0045198}; establishment or maintenance of cell polarity {GO:0007163}; forebrain radial glial cell differentiation {GO:0021861}; GTP metabolic process {GO:0046039}; integrin-mediated signaling pathway {GO:0007229}; kidney development {GO:0001822}; mitotic cleavage furrow formation {GO:1903673}; mitotic spindle assembly {GO:0090307}; motor neuron apoptotic process {GO:0097049}; negative chemotaxis {GO:0050919}; negative regulation of cell death {GO:0060548}; negative regulation of cell migration involved in sprouting angiogenesis {GO:0090051}; negative regulation of cell size {GO:0045792}; negative regulation of cell-substrate adhesion {GO:0010812}; negative regulation of I-kappaB kinase/NF-kappaB signaling {GO:0043124}; negative regulation of intracellular steroid hormone receptor signaling pathway {GO:0033144}; negative regulation of motor neuron apoptotic process {GO:2000672}; negative regulation of neuron differentiation {GO:0045665}; negative regulation of neuron projection development {GO:0010977}; negative regulation of oxidative phosphorylation {GO:0090324}; negative regulation of reactive oxygen species biosynthetic process {GO:1903427}; negative regulation of vascular associated smooth muscle cell migration {GO:1904753}; negative regulation of vascular associated smooth muscle cell proliferation {GO:1904706}; neuron migration {GO:0001764}; odontogenesis {GO:0042476}; ossification involved in bone maturation {GO:0043931}; positive regulation of actin filament polymerization {GO:0030838}; positive regulation of alpha-beta T cell differentiation {GO:0046638}; positive regulation of cell growth {GO:0030307}; positive regulation of cysteine-type endopeptidase activity involved in apoptotic process {GO:0043280}; positive regulation of cytokinesis {GO:0032467}; positive regulation of I-kappaB kinase/NF-kappaB signaling {GO:0043123}; positive regulation of leukocyte adhesion to vascular endothelial cell {GO:1904996}; positive regulation of lipase activity {GO:0060193}; positive regulation of neuron apoptotic process {GO:0043525}; positive regulation of neuron differentiation {GO:0045666}; positive regulation of NIK/NF-kappaB signaling {GO:1901224}; positive regulation of podosome assembly {GO:0071803}; positive regulation of protein serine/threonine kinase activity {GO:0071902}; positive regulation of smooth muscle contraction {GO:0045987}; positive regulation of stress fiber assembly {GO:0051496}; positive regulation of T cell migration {GO:2000406}; positive regulation of vascular associated smooth muscle contraction {GO:1904695}; regulation of actin cytoskeleton organization {GO:0032956}; regulation of calcium ion transport {GO:0051924}; regulation of cell migration {GO:0030334}; regulation of cell shape {GO:0008360}; regulation of dendrite development {GO:0050773}; regulation of microtubule cytoskeleton organization {GO:0070507}; regulation of modification of postsynaptic actin cytoskeleton {GO:1905274}; regulation of modification of synaptic structure {GO:1905244}; regulation of neural precursor cell proliferation {GO:2000177}; regulation of neuron projection development {GO:0010975}; regulation of osteoblast proliferation {GO:0033688}; regulation of systemic arterial blood pressure by endothelin {GO:0003100}; regulation of transcription by RNA polymerase II {GO:0006357}; response to xenobiotic stimulus {GO:0009410}; Rho protein signal transduction {GO:0007266}; Roundabout signaling pathway {GO:0035385}; skeletal muscle satellite cell migration {GO:1902766}; skeletal muscle tissue development {GO:0007519}; stress fiber assembly {GO:0043149}; stress-activated protein kinase signaling cascade {GO:0031098}; substrate adhesion-dependent cell spreading {GO:0034446}; trabecula morphogenesis {GO:0061383}; wound healing, spreading of cells {GO:0044319}</t>
  </si>
  <si>
    <t>apical junction complex {GO:0043296}; axon {GO:0030424}; cell cortex {GO:0005938}; cell periphery {GO:0071944}; cell projection {GO:0042995}; cleavage furrow {GO:0032154}; cytoplasm {GO:0005737}; cytoplasmic vesicle {GO:0031410}; cytoskeleton {GO:0005856}; cytosol {GO:0005829}; dendritic spine {GO:0043197}; endosome {GO:0005768}; extrinsic component of cytoplasmic side of plasma membrane {GO:0031234}; glutamatergic synapse {GO:0098978}; lamellipodium {GO:0030027}; membrane {GO:0016020}; midbody {GO:0030496}; mitochondrion {GO:0005739}; nucleus {GO:0005634}; plasma membrane {GO:0005886}; postsynapse {GO:0098794}; ruffle membrane {GO:0032587}; vesicle {GO:0031982}</t>
  </si>
  <si>
    <t>G protein activity {GO:0003925}; GDP binding {GO:0019003}; GTP binding {GO:0005525}; GTPase activity {GO:0003924}; myosin binding {GO:0017022}; protein domain specific binding {GO:0019904}; protein kinase binding {GO:0019901}; Rho GDP-dissociation inhibitor binding {GO:0051022}</t>
  </si>
  <si>
    <t>GPVI-mediated activation cascade {R-MMU-114604}; Axonal growth inhibition (RHOA activation) {R-MMU-193634}; PI3K/AKT activation {R-MMU-198203}; Axonal growth stimulation {R-MMU-209563}; TGF-beta receptor signaling in EMT (epithelial to mesenchymal transition) {R-MMU-2173791}; G beta:gamma signalling through PI3Kgamma {R-MMU-392451}; EPHB-mediated forward signaling {R-MMU-3928662}; EPHA-mediated growth cone collapse {R-MMU-3928663}; PCP/CE pathway {R-MMU-4086400}; G alpha (12/13) signalling events {R-MMU-416482}; Sema4D mediated inhibition of cell attachment and migration {R-MMU-416550}; Sema4D induced cell migration and growth-cone collapse {R-MMU-416572}; VEGFA-VEGFR2 Pathway {R-MMU-4420097}; RHO GTPases activate PKNs {R-MMU-5625740}; RHO GTPases activate CIT {R-MMU-5625900}; RHO GTPases activate KTN1 {R-MMU-5625970}; RHO GTPases Activate ROCKs {R-MMU-5627117}; RHO GTPases Activate Formins {R-MMU-5663220}; RHO GTPases Activate Rhotekin and Rhophilins {R-MMU-5666185}; Ovarian tumor domain proteases {R-MMU-5689896}; ERBB2 Regulates Cell Motility {R-MMU-6785631}; Neutrophil degranulation {R-MMU-6798695}; PTK6 Regulates RHO GTPases, RAS GTPase and MAP kinases {R-MMU-8849471}; RHOA GTPase cycle {R-MMU-8980692}; SLIT2:ROBO1 increases RHOA activity {R-MMU-8985586}; RHOC GTPase cycle {R-MMU-9013106}</t>
  </si>
  <si>
    <t>sp|O70311|NMT2_MOUSE</t>
  </si>
  <si>
    <t>Glycylpeptide N-tetradecanoyltransferase 2</t>
  </si>
  <si>
    <t>Myristoyl-CoA:protein N-myristoyltransferase 2 (NMT 2); Peptide N-myristoyltransferase 2; Type II N-myristoyltransferase</t>
  </si>
  <si>
    <t>NMT2_MOUSE</t>
  </si>
  <si>
    <t>O70311</t>
  </si>
  <si>
    <t>MGI:1202298</t>
  </si>
  <si>
    <t>N-terminal peptidyl-glycine N-myristoylation {GO:0018008}; N-terminal protein myristoylation {GO:0006499}</t>
  </si>
  <si>
    <t>cytoplasm {GO:0005737}; cytosol {GO:0005829}; extrinsic component of membrane {GO:0019898}; Golgi apparatus {GO:0005794}; plasma membrane {GO:0005886}</t>
  </si>
  <si>
    <t>glycylpeptide N-tetradecanoyltransferase activity {GO:0004379}; peptidyl-lysine N6-myristoyltransferase activity {GO:0018030}</t>
  </si>
  <si>
    <t>sp|Q9DCH6|ZFAN6_MOUSE</t>
  </si>
  <si>
    <t>AN1-type zinc finger protein 6</t>
  </si>
  <si>
    <t>Associated with PRK1 protein; Zinc finger A20 domain-containing protein 3</t>
  </si>
  <si>
    <t>ZFAN6_MOUSE</t>
  </si>
  <si>
    <t>Q9DCH6</t>
  </si>
  <si>
    <t>Q9ER79</t>
  </si>
  <si>
    <t>Awp1; Za20d3</t>
  </si>
  <si>
    <t>MGI:1929510</t>
  </si>
  <si>
    <t>Acetylation; Apoptosis; Cytoplasm; Metal-binding; Phosphoprotein; Protein transport; Transport; Zinc; Zinc-finger</t>
  </si>
  <si>
    <t>apoptotic process {GO:0006915}; cellular response to tumor necrosis factor {GO:0071356}; negative regulation of apoptotic process {GO:0043066}; protein targeting to peroxisome {GO:0006625}; regulation of I-kappaB kinase/NF-kappaB signaling {GO:0043122}</t>
  </si>
  <si>
    <t>DNA binding {GO:0003677}; polyubiquitin modification-dependent protein binding {GO:0031593}; zinc ion binding {GO:0008270}</t>
  </si>
  <si>
    <t>Peroxisomal protein import {R-MMU-9033241}</t>
  </si>
  <si>
    <t>sp|Q8R2U0|SEH1_MOUSE</t>
  </si>
  <si>
    <t>Nucleoporin SEH1</t>
  </si>
  <si>
    <t>GATOR complex protein SEH1; Nup107-160 subcomplex subunit SEH1</t>
  </si>
  <si>
    <t>SEH1_MOUSE</t>
  </si>
  <si>
    <t>Q8R2U0</t>
  </si>
  <si>
    <t>Q3TLC9; Q3UP79; Q9D0K7</t>
  </si>
  <si>
    <t>MGI:1919374</t>
  </si>
  <si>
    <t>Alternative splicing; Cell cycle; Cell division; Centromere; Chromosome; Chromosome partition; Isopeptide bond; Kinetochore; Lysosome; Membrane; Mitosis; mRNA transport; Nuclear pore complex; Nucleus; Phosphoprotein; Protein transport; Repeat; Translocation; Transport; Ubl conjugation; WD repeat</t>
  </si>
  <si>
    <t>Centromere; Chromosome; Kinetochore; Lysosome; Membrane; Nuclear pore complex; Nucleus</t>
  </si>
  <si>
    <t>attachment of mitotic spindle microtubules to kinetochore {GO:0051315}; cell division {GO:0051301}; cellular response to amino acid starvation {GO:0034198}; defense response to Gram-positive bacterium {GO:0050830}; mitotic metaphase plate congression {GO:0007080}; mRNA transport {GO:0051028}; nuclear pore organization {GO:0006999}; nucleocytoplasmic transport {GO:0006913}; positive regulation of TOR signaling {GO:0032008}; positive regulation of TORC1 signaling {GO:1904263}; protein transport {GO:0015031}; protein-containing complex localization {GO:0031503}</t>
  </si>
  <si>
    <t>GATOR2 complex {GO:0061700}; kinetochore {GO:0000776}; lysosomal membrane {GO:0005765}; nuclear envelope {GO:0005635}; nuclear pore {GO:0005643}; nuclear pore outer ring {GO:0031080}; Seh1-associated complex {GO:0035859}</t>
  </si>
  <si>
    <t>Amplification of signal from unattached kinetochores via a MAD2 inhibitory signal {R-MMU-141444}; 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{R-MMU-159236}; Regulation of Glucokinase by Glucokinase Regulatory Protein {R-MMU-170822}; snRNP Assembly {R-MMU-191859}; Separation of Sister Chromatids {R-MMU-2467813}; Resolution of Sister Chromatid Cohesion {R-MMU-2500257}; SUMOylation of DNA damage response and repair proteins {R-MMU-3108214}; SUMOylation of ubiquitinylation proteins {R-MMU-3232142}; Nuclear Pore Complex (NPC) Disassembly {R-MMU-3301854}; Regulation of HSF1-mediated heat shock response {R-MMU-3371453}; SUMOylation of SUMOylation proteins {R-MMU-4085377}; SUMOylation of chromatin organization proteins {R-MMU-4551638}; SUMOylation of RNA binding proteins {R-MMU-4570464}; SUMOylation of DNA replication proteins {R-MMU-4615885}; Transcriptional regulation by small RNAs {R-MMU-5578749}; RHO GTPases Activate Formins {R-MMU-5663220}; Mitotic Prometaphase {R-MMU-68877}; Postmitotic nuclear pore complex (NPC) reformation {R-MMU-9615933}; Amino acids regulate mTORC1 {R-MMU-9639288}; EML4 and NUDC in mitotic spindle formation {R-MMU-9648025}</t>
  </si>
  <si>
    <t>sp|Q9CQY5|MAGT1_MOUSE</t>
  </si>
  <si>
    <t>Magnesium transporter protein 1 (MagT1)</t>
  </si>
  <si>
    <t>Dolichyl-diphosphooligosaccharide--protein glycosyltransferase subunit MAGT1 (Oligosaccharyl transferase subunit MAGT1); Implantation-associated protein (IAP)</t>
  </si>
  <si>
    <t>MAGT1_MOUSE</t>
  </si>
  <si>
    <t>Q9CQY5</t>
  </si>
  <si>
    <t>Q3UW45; Q9CWX5; Q9CZT3</t>
  </si>
  <si>
    <t>Iag2</t>
  </si>
  <si>
    <t>MGI:1914325</t>
  </si>
  <si>
    <t>Alternative splicing; Cell membrane; Disulfide bond; Endoplasmic reticulum; Glycoprotein; Magnesium; Membrane; Signal; Transmembrane; Transmembrane helix; Transport</t>
  </si>
  <si>
    <t>cognition {GO:0050890}; magnesium ion transport {GO:0015693}; protein N-linked glycosylation {GO:0006487}; protein N-linked glycosylation via asparagine {GO:0018279}</t>
  </si>
  <si>
    <t>endoplasmic reticulum {GO:0005783}; endoplasmic reticulum membrane {GO:0005789}; integral component of membrane {GO:0016021}; oligosaccharyltransferase complex {GO:0008250}; plasma membrane {GO:0005886}</t>
  </si>
  <si>
    <t>magnesium ion transmembrane transporter activity {GO:0015095}</t>
  </si>
  <si>
    <t>Miscellaneous transport and binding events {R-MMU-5223345}; Neutrophil degranulation {R-MMU-6798695}</t>
  </si>
  <si>
    <t>sp|Q8R3Q6|MIX23_MOUSE</t>
  </si>
  <si>
    <t>Protein MIX23</t>
  </si>
  <si>
    <t>Coiled-coil domain-containing protein 58</t>
  </si>
  <si>
    <t>MIX23_MOUSE</t>
  </si>
  <si>
    <t>Q8R3Q6</t>
  </si>
  <si>
    <t>Q3UXM5</t>
  </si>
  <si>
    <t>MGI:2146423</t>
  </si>
  <si>
    <t>Acetylation; Coiled coil</t>
  </si>
  <si>
    <t>mitochondrial intermembrane space {GO:0005758}; mitochondrion {GO:0005739}</t>
  </si>
  <si>
    <t>sp|Q9QWY8|ASAP1_MOUSE</t>
  </si>
  <si>
    <t>Arf-GAP with SH3 domain, ANK repeat and PH domain-containing protein 1</t>
  </si>
  <si>
    <t>130 kDa phosphatidylinositol 4,5-bisphosphate-dependent ARF1 GTPase-activating protein; ADP-ribosylation factor-directed GTPase-activating protein 1 (ARF GTPase-activating protein 1); Development and differentiation-enhancing factor 1 (DEF-1; Differentiation-enhancing factor 1); PIP2-dependent ARF1 GAP</t>
  </si>
  <si>
    <t>ASAP1_MOUSE</t>
  </si>
  <si>
    <t>Q9QWY8</t>
  </si>
  <si>
    <t>O08612; Q505F0; Q80TG8; Q80UV6; Q99LV8; Q9Z2B6</t>
  </si>
  <si>
    <t>Ddef1; Kiaa1249; Shag1</t>
  </si>
  <si>
    <t>MGI:1342335</t>
  </si>
  <si>
    <t>3D-structure; Alternative splicing; ANK repeat; Cilium biogenesis/degradation; Cytoplasm; GTPase activation; Membrane; Metal-binding; Phosphoprotein; Repeat; SH3 domain; Zinc; Zinc-finger</t>
  </si>
  <si>
    <t>ANK repeat; Repeat; SH3 domain; Zinc-finger</t>
  </si>
  <si>
    <t>cilium assembly {GO:0060271}; negative regulation of dendritic spine development {GO:0061000}; positive regulation of GTPase activity {GO:0043547}; positive regulation of membrane tubulation {GO:1903527}; positive regulation of podosome assembly {GO:0071803}</t>
  </si>
  <si>
    <t>cell projection membrane {GO:0031253}; cytosol {GO:0005829}; dendritic spine {GO:0043197}; podosome {GO:0002102}</t>
  </si>
  <si>
    <t>GTPase activator activity {GO:0005096}; metal ion binding {GO:0046872}; phosphatidylinositol-3,4,5-trisphosphate binding {GO:0005547}; phosphatidylinositol-4,5-bisphosphate binding {GO:0005546}; phosphatidylserine binding {GO:0001786}</t>
  </si>
  <si>
    <t>VxPx cargo-targeting to cilium {R-MMU-5620916}</t>
  </si>
  <si>
    <t>sp|Q9EQ06|DHB11_MOUSE</t>
  </si>
  <si>
    <t>Estradiol 17-beta-dehydrogenase 11</t>
  </si>
  <si>
    <t>17-beta-hydroxysteroid dehydrogenase 11 (17-beta-HSD 11; 17bHSD11; 17betaHSD11); 17-beta-hydroxysteroid dehydrogenase XI (17-beta-HSD XI; 17betaHSDXI); Dehydrogenase/reductase SDR family member 8</t>
  </si>
  <si>
    <t>DHB11_MOUSE</t>
  </si>
  <si>
    <t>Q9EQ06</t>
  </si>
  <si>
    <t>Q3U2P6; Q8BR33; Q8C7S0</t>
  </si>
  <si>
    <t>Dhrs8; Pan1b</t>
  </si>
  <si>
    <t>MGI:2149821</t>
  </si>
  <si>
    <t>Alternative splicing; Endoplasmic reticulum; Lipid biosynthesis; Lipid droplet; Lipid metabolism; NADP; Oxidoreductase; Signal; Steroid biosynthesis</t>
  </si>
  <si>
    <t>androgen catabolic process {GO:0006710}; steroid biosynthetic process {GO:0006694}</t>
  </si>
  <si>
    <t>cytoplasm {GO:0005737}; endoplasmic reticulum {GO:0005783}; lipid droplet {GO:0005811}</t>
  </si>
  <si>
    <t>17-beta-hydroxysteroid dehydrogenase (NAD+) activity {GO:0044594}; oxidoreductase activity, acting on the CH-OH group of donors, NAD or NADP as acceptor {GO:0016616}; steroid dehydrogenase activity {GO:0016229}</t>
  </si>
  <si>
    <t>Estrogen biosynthesis {R-MMU-193144}</t>
  </si>
  <si>
    <t>sp|P97434|MPRIP_MOUSE</t>
  </si>
  <si>
    <t>Myosin phosphatase Rho-interacting protein</t>
  </si>
  <si>
    <t>Rho-interacting protein 3 (RIP3); p116Rip</t>
  </si>
  <si>
    <t>MPRIP_MOUSE</t>
  </si>
  <si>
    <t>P97434</t>
  </si>
  <si>
    <t>Q3TBR5; Q3TC85; Q3TRS0; Q3U1Y8; Q3U3E4; Q5SWZ3; Q5SWZ4; Q5SWZ7; Q6P559; Q80YC8</t>
  </si>
  <si>
    <t>Kiaa0864; Mrip; Rhoip3</t>
  </si>
  <si>
    <t>MGI:1349438</t>
  </si>
  <si>
    <t>Actin-binding; Alternative splicing; Coiled coil; Cytoplasm; Cytoskeleton; Phosphoprotein; Repeat</t>
  </si>
  <si>
    <t>actin filament organization {GO:0007015}; maintenance of protein location in cell {GO:0032507}; negative regulation of myosin-light-chain-phosphatase activity {GO:0035509}; positive regulation of protein phosphorylation {GO:0001934}</t>
  </si>
  <si>
    <t>actin cytoskeleton {GO:0015629}; cytosol {GO:0005829}; stress fiber {GO:0001725}</t>
  </si>
  <si>
    <t>sp|Q9D1F4|AKTS1_MOUSE</t>
  </si>
  <si>
    <t>Proline-rich AKT1 substrate 1 (Proline-rich AKT substrate)</t>
  </si>
  <si>
    <t>AKTS1_MOUSE</t>
  </si>
  <si>
    <t>Q9D1F4</t>
  </si>
  <si>
    <t>A2RT52</t>
  </si>
  <si>
    <t>MGI:1914855</t>
  </si>
  <si>
    <t>negative regulation of cell size {GO:0045792}; negative regulation of protein kinase activity {GO:0006469}; negative regulation of TOR signaling {GO:0032007}; neurotrophin TRK receptor signaling pathway {GO:0048011}; Notch signaling pathway {GO:0007219}; regulation of apoptotic process {GO:0042981}; regulation of neuron apoptotic process {GO:0043523}</t>
  </si>
  <si>
    <t>cytoplasm {GO:0005737}; cytosol {GO:0005829}; nucleus {GO:0005634}; protein-containing complex {GO:0032991}; TORC1 complex {GO:0031931}</t>
  </si>
  <si>
    <t>MTOR signalling {R-MMU-165159}; mTORC1-mediated signalling {R-MMU-166208}; AKT phosphorylates targets in the cytosol {R-MMU-198323}; HSF1-dependent transactivation {R-MMU-3371571}</t>
  </si>
  <si>
    <t>sp|P46938|YAP1_MOUSE</t>
  </si>
  <si>
    <t>Transcriptional coactivator YAP1 (Yes-associated protein 1)</t>
  </si>
  <si>
    <t>Protein yorkie homolog; Yes-associated protein YAP65 homolog</t>
  </si>
  <si>
    <t>YAP1_MOUSE</t>
  </si>
  <si>
    <t>P46938</t>
  </si>
  <si>
    <t>Q52KJ5; Q91WL1</t>
  </si>
  <si>
    <t>Yap; Yap65</t>
  </si>
  <si>
    <t>MGI:103262</t>
  </si>
  <si>
    <t>3D-structure; Activator; Alternative splicing; Coiled coil; Cytoplasm; Nucleus; Phosphoprotein; Proto-oncogene; Repeat; Repressor; Transcription; Transcription regulation; Ubl conjugation</t>
  </si>
  <si>
    <t>blastocyst development {GO:0001824}; bud elongation involved in lung branching {GO:0060449}; canonical Wnt signaling pathway {GO:0060070}; cardiac muscle tissue regeneration {GO:0061026}; cell morphogenesis {GO:0000902}; cell population proliferation {GO:0008283}; cellular response to DNA damage stimulus {GO:0006974}; cellular response to gamma radiation {GO:0071480}; cellular response to retinoic acid {GO:0071300}; contact inhibition {GO:0060242}; DNA damage induced protein phosphorylation {GO:0006975}; embryonic heart tube morphogenesis {GO:0003143}; enterocyte differentiation {GO:1903703}; epithelial cell proliferation {GO:0050673}; extrinsic apoptotic signaling pathway {GO:0097191}; glandular epithelial cell differentiation {GO:0002067}; heart process {GO:0003015}; hippo signaling {GO:0035329}; interleukin-6-mediated signaling pathway {GO:0070102}; intestinal epithelial cell development {GO:0060576}; intestinal epithelial cell differentiation {GO:0060575}; keratinocyte differentiation {GO:0030216}; lateral mesoderm development {GO:0048368}; lung epithelial cell differentiation {GO:0060487}; negative regulation of cilium assembly {GO:1902018}; negative regulation of epithelial cell apoptotic process {GO:1904036}; negative regulation of epithelial cell differentiation {GO:0030857}; negative regulation of extrinsic apoptotic signaling pathway {GO:2001237}; negative regulation of fat cell differentiation {GO:0045599}; negative regulation of gene expression {GO:0010629}; negative regulation of stem cell differentiation {GO:2000737}; negative regulation of transcription by RNA polymerase II {GO:0000122}; notochord development {GO:0030903}; organ growth {GO:0035265}; paraxial mesoderm development {GO:0048339}; positive regulation of canonical Wnt signaling pathway {GO:0090263}; positive regulation of cardiac muscle cell proliferation {GO:0060045}; positive regulation of cell growth {GO:0030307}; positive regulation of cell population proliferation {GO:0008284}; positive regulation of DNA-templated transcription {GO:0045893}; positive regulation of epithelial cell proliferation {GO:0050679}; positive regulation of gene expression {GO:0010628}; positive regulation of intracellular estrogen receptor signaling pathway {GO:0033148}; positive regulation of Notch signaling pathway {GO:0045747}; positive regulation of organ growth {GO:0046622}; positive regulation of osteoblast differentiation {GO:0045669}; positive regulation of protein localization to nucleus {GO:1900182}; positive regulation of stem cell population maintenance {GO:1902459}; positive regulation of stem cell proliferation {GO:2000648}; positive regulation of transcription by RNA polymerase II {GO:0045944}; progesterone receptor signaling pathway {GO:0050847}; protein-containing complex assembly {GO:0065003}; regulation of canonical Wnt signaling pathway {GO:0060828}; regulation of cell population proliferation {GO:0042127}; regulation of gene expression {GO:0010468}; regulation of keratinocyte proliferation {GO:0010837}; regulation of metanephric nephron tubule epithelial cell differentiation {GO:0072307}; regulation of neurogenesis {GO:0050767}; regulation of stem cell proliferation {GO:0072091}; response to progesterone {GO:0032570}; somatic stem cell population maintenance {GO:0035019}; stem cell proliferation {GO:0072089}; tissue homeostasis {GO:0001894}; trophectodermal cell differentiation {GO:0001829}; vasculogenesis {GO:0001570}; wound healing {GO:0042060}</t>
  </si>
  <si>
    <t>cell junction {GO:0030054}; cytoplasm {GO:0005737}; cytosol {GO:0005829}; female germ cell nucleus {GO:0001674}; membrane {GO:0016020}; nucleoplasm {GO:0005654}; nucleus {GO:0005634}; TEAD-YAP complex {GO:0140552}; transcription regulator complex {GO:0005667}</t>
  </si>
  <si>
    <t>chromatin binding {GO:0003682}; DNA-binding transcription factor binding {GO:0140297}; proline-rich region binding {GO:0070064}; protein C-terminus binding {GO:0008022}; RNA polymerase II cis-regulatory region sequence-specific DNA binding {GO:0000978}; transcription cis-regulatory region binding {GO:0000976}; transcription coactivator activity {GO:0003713}; transcription corepressor activity {GO:0003714}</t>
  </si>
  <si>
    <t>Nuclear signaling by ERBB4 {R-MMU-1251985}; Signaling by Hippo {R-MMU-2028269}; YAP1- and WWTR1 (TAZ)-stimulated gene expression {R-MMU-2032785}; RUNX1 regulates transcription of genes involved in differentiation of HSCs {R-MMU-8939236}; RUNX3 regulates YAP1-mediated transcription {R-MMU-8951671}</t>
  </si>
  <si>
    <t>sp|Q9CQW2|ARL8B_MOUSE</t>
  </si>
  <si>
    <t>ADP-ribosylation factor-like protein 8B</t>
  </si>
  <si>
    <t>ADP-ribosylation factor-like protein 10C; Novel small G protein indispensable for equal chromosome segregation 1</t>
  </si>
  <si>
    <t>ARL8B_MOUSE</t>
  </si>
  <si>
    <t>Q9CQW2</t>
  </si>
  <si>
    <t>Q3TXD7; Q3U769; Q3UBB1; Q3UJU2</t>
  </si>
  <si>
    <t>MGI:1914416</t>
  </si>
  <si>
    <t>Cell cycle; Cell division; Cell projection; Chromosome partition; Cytoplasm; Cytoskeleton; Endosome; GTP-binding; Hydrolase; Isopeptide bond; Lysosome; Membrane; Mitosis; Nucleotide-binding; Protein transport; Synapse; Transport; Ubl conjugation</t>
  </si>
  <si>
    <t>Cell cycle; Cell division; Chromosome partition; Mitosis; Protein transport; Transport</t>
  </si>
  <si>
    <t>Cell projection; Cytoplasm; Cytoskeleton; Endosome; Lysosome; Membrane; Synapse</t>
  </si>
  <si>
    <t>anterograde axonal transport {GO:0008089}; antigen processing and presentation following phagocytosis {GO:0002747}; antigen processing and presentation of polysaccharide antigen via MHC class II {GO:0002505}; autophagosome-lysosome fusion {GO:0061909}; calcium ion regulated lysosome exocytosis {GO:1990927}; cell cycle {GO:0007049}; cell division {GO:0051301}; chromosome segregation {GO:0007059}; endosomal transport {GO:0016197}; endosome to lysosome transport of low-density lipoprotein particle {GO:0090117}; late endosome to lysosome transport {GO:1902774}; lysosome localization {GO:0032418}; natural killer cell mediated cytotoxicity {GO:0042267}; phagosome-lysosome fusion {GO:0090385}; plasma membrane repair {GO:0001778}; protein transport {GO:0015031}; viral exocytosis {GO:0046754}</t>
  </si>
  <si>
    <t>anchoring junction {GO:0070161}; axon {GO:0030424}; axon cytoplasm {GO:1904115}; cytolytic granule membrane {GO:0101004}; cytoplasm {GO:0005737}; cytosol {GO:0005829}; late endosome membrane {GO:0031902}; lysosomal membrane {GO:0005765}; lysosome {GO:0005764}; midbody {GO:0030496}; spindle midzone {GO:0051233}; synapse {GO:0045202}</t>
  </si>
  <si>
    <t>alpha-tubulin binding {GO:0043014}; beta-tubulin binding {GO:0048487}; G protein activity {GO:0003925}; GDP binding {GO:0019003}; GTP binding {GO:0005525}</t>
  </si>
  <si>
    <t>sp|E9PZJ8|ASCC3_MOUSE</t>
  </si>
  <si>
    <t>Activating signal cointegrator 1 complex subunit 3</t>
  </si>
  <si>
    <t>ASCC3_MOUSE</t>
  </si>
  <si>
    <t>E9PZJ8</t>
  </si>
  <si>
    <t>Q6PB36; Q8C1G1; Q8C707; Q8K292</t>
  </si>
  <si>
    <t>MGI:1925237</t>
  </si>
  <si>
    <t>Acetylation; Alternative splicing; ATP-binding; Coiled coil; Cytoplasm; DNA damage; DNA repair; Helicase; Hydrolase; Nucleotide-binding; Nucleus; Phosphoprotein; Repeat; Transcription; Transcription regulation</t>
  </si>
  <si>
    <t>cell population proliferation {GO:0008283}; DNA dealkylation involved in DNA repair {GO:0006307}; DNA duplex unwinding {GO:0032508}; rescue of stalled ribosome {GO:0072344}; ribosome-associated ubiquitin-dependent protein catabolic process {GO:1990116}</t>
  </si>
  <si>
    <t>activating signal cointegrator 1 complex {GO:0099053}; cytosol {GO:0005829}; DNA repair complex {GO:1990391}; nuclear speck {GO:0016607}; nucleus {GO:0005634}</t>
  </si>
  <si>
    <t>3'-5' DNA helicase activity {GO:0043138}; ATP binding {GO:0005524}; ATP hydrolysis activity {GO:0016887}; nucleic acid binding {GO:0003676}</t>
  </si>
  <si>
    <t>sp|P62141|PP1B_MOUSE</t>
  </si>
  <si>
    <t>Serine/threonine-protein phosphatase PP1-beta catalytic subunit (PP-1B)</t>
  </si>
  <si>
    <t>PP1B_MOUSE</t>
  </si>
  <si>
    <t>P62141</t>
  </si>
  <si>
    <t>P37140; Q3TBE5; Q3TL90; Q542E7; Q8C285; Q9DBY2</t>
  </si>
  <si>
    <t>MGI:104871</t>
  </si>
  <si>
    <t>Acetylation; Biological rhythms; Carbohydrate metabolism; Cell cycle; Cell division; Cytoplasm; Glycogen metabolism; Hydrolase; Manganese; Metal-binding; Nucleus; Phosphoprotein; Protein phosphatase</t>
  </si>
  <si>
    <t>cell cycle {GO:0007049}; cell division {GO:0051301}; circadian regulation of gene expression {GO:0032922}; entrainment of circadian clock by photoperiod {GO:0043153}; glycogen metabolic process {GO:0005977}; protein dephosphorylation {GO:0006470}; regulation of cell adhesion {GO:0030155}; regulation of circadian rhythm {GO:0042752}; regulation of glycogen biosynthetic process {GO:0005979}; regulation of glycogen catabolic process {GO:0005981}</t>
  </si>
  <si>
    <t>chromosome, telomeric region {GO:0000781}; cytoplasm {GO:0005737}; cytosol {GO:0005829}; glycogen granule {GO:0042587}; nucleolus {GO:0005730}; nucleoplasm {GO:0005654}; nucleus {GO:0005634}; plasma membrane {GO:0005886}; protein phosphatase type 1 complex {GO:0000164}; PTW/PP1 phosphatase complex {GO:0072357}</t>
  </si>
  <si>
    <t>metal ion binding {GO:0046872}; myosin phosphatase activity {GO:0017018}; myosin-light-chain-phosphatase activity {GO:0050115}; phosphatase activity {GO:0016791}; phosphoprotein phosphatase activity {GO:0004721}; protein kinase binding {GO:0019901}; protein serine/threonine phosphatase activity {GO:0004722}</t>
  </si>
  <si>
    <t>Regulation of PLK1 Activity at G2/M Transition {R-MMU-2565942}; RHO GTPases activate PKNs {R-MMU-5625740}; RHO GTPases activate PAKs {R-MMU-5627123}; RAF activation {R-MMU-5673000}</t>
  </si>
  <si>
    <t>sp|Q80SY5|PR38B_MOUSE</t>
  </si>
  <si>
    <t>Pre-mRNA-splicing factor 38B</t>
  </si>
  <si>
    <t>PR38B_MOUSE</t>
  </si>
  <si>
    <t>Q80SY5</t>
  </si>
  <si>
    <t>Q9CTD9; Q9CU48; Q9CUI6</t>
  </si>
  <si>
    <t>MGI:1914171</t>
  </si>
  <si>
    <t>precatalytic spliceosome {GO:0071011}</t>
  </si>
  <si>
    <t>sp|Q9CQ79|TXND9_MOUSE</t>
  </si>
  <si>
    <t>Thioredoxin domain-containing protein 9</t>
  </si>
  <si>
    <t>ATP-binding protein associated with cell differentiation</t>
  </si>
  <si>
    <t>TXND9_MOUSE</t>
  </si>
  <si>
    <t>Q9CQ79</t>
  </si>
  <si>
    <t>Q3TKD2</t>
  </si>
  <si>
    <t>Apacd</t>
  </si>
  <si>
    <t>MGI:2138153</t>
  </si>
  <si>
    <t>Cytoplasm; Cytoskeleton; Nucleus; Phosphoprotein</t>
  </si>
  <si>
    <t>microtubule cytoskeleton organization {GO:0000226}</t>
  </si>
  <si>
    <t>centrosome {GO:0005813}; cytoplasm {GO:0005737}; cytosol {GO:0005829}; midbody {GO:0030496}; nucleus {GO:0005634}</t>
  </si>
  <si>
    <t>sp|Q5M8N0|CNRP1_MOUSE</t>
  </si>
  <si>
    <t>CB1 cannabinoid receptor-interacting protein 1 (CRIP-1)</t>
  </si>
  <si>
    <t>CNRP1_MOUSE</t>
  </si>
  <si>
    <t>Q5M8N0</t>
  </si>
  <si>
    <t>Q3TAC7; Q3UFR2</t>
  </si>
  <si>
    <t>MGI:1917505</t>
  </si>
  <si>
    <t>negative regulation of signaling receptor activity {GO:2000272}; regulation of signaling receptor activity {GO:0010469}</t>
  </si>
  <si>
    <t>cytoplasm {GO:0005737}; myelin sheath {GO:0043209}; plasma membrane {GO:0005886}</t>
  </si>
  <si>
    <t>protein C-terminus binding {GO:0008022}; type 1 cannabinoid receptor binding {GO:0031718}</t>
  </si>
  <si>
    <t>sp|Q3UMT1|PP12C_MOUSE</t>
  </si>
  <si>
    <t>Protein phosphatase 1 regulatory subunit 12C</t>
  </si>
  <si>
    <t>Protein phosphatase 1 myosin-binding subunit of 85 kDa (Protein phosphatase 1 myosin-binding subunit p85)</t>
  </si>
  <si>
    <t>PP12C_MOUSE</t>
  </si>
  <si>
    <t>Q3UMT1</t>
  </si>
  <si>
    <t>Q9CWD5</t>
  </si>
  <si>
    <t>MGI:1924258</t>
  </si>
  <si>
    <t>Acetylation; ANK repeat; Coiled coil; Cytoplasm; Cytoskeleton; Phosphoprotein; Repeat</t>
  </si>
  <si>
    <t>enzyme inhibitor activity {GO:0004857}; phosphatase regulator activity {GO:0019208}; protein kinase binding {GO:0019901}</t>
  </si>
  <si>
    <t>sp|Q62384|ZPR1_MOUSE</t>
  </si>
  <si>
    <t>Zinc finger protein ZPR1</t>
  </si>
  <si>
    <t>Zinc finger protein 259</t>
  </si>
  <si>
    <t>ZPR1_MOUSE</t>
  </si>
  <si>
    <t>Q62384</t>
  </si>
  <si>
    <t>Zfp259; Znf259</t>
  </si>
  <si>
    <t>MGI:1330262</t>
  </si>
  <si>
    <t>3D-structure; Cell projection; Cytoplasm; Developmental protein; Differentiation; Metal-binding; mRNA processing; mRNA splicing; Nucleus; Repeat; Zinc; Zinc-finger</t>
  </si>
  <si>
    <t>apoptotic process involved in development {GO:1902742}; axon development {GO:0061564}; Cajal body organization {GO:0030576}; cell population proliferation {GO:0008283}; cellular response to epidermal growth factor stimulus {GO:0071364}; DNA endoreduplication {GO:0042023}; inner cell mass cell proliferation {GO:0001833}; microtubule cytoskeleton organization {GO:0000226}; mRNA processing {GO:0006397}; negative regulation of motor neuron apoptotic process {GO:2000672}; positive regulation of cell cycle {GO:0045787}; positive regulation of gene expression {GO:0010628}; positive regulation of growth {GO:0045927}; positive regulation of protein import into nucleus {GO:0042307}; positive regulation of RNA splicing {GO:0033120}; positive regulation of transcription involved in G1/S transition of mitotic cell cycle {GO:0071931}; pre-mRNA catabolic process {GO:1990261}; regulation of myelination {GO:0031641}; RNA splicing {GO:0008380}; spinal cord development {GO:0021510}; trophectodermal cell proliferation {GO:0001834}</t>
  </si>
  <si>
    <t>axon {GO:0030424}; Cajal body {GO:0015030}; cytoplasm {GO:0005737}; Gemini of coiled bodies {GO:0097504}; growth cone {GO:0030426}; neuronal cell body {GO:0043025}; nucleolus {GO:0005730}; nucleoplasm {GO:0005654}; nucleus {GO:0005634}; perikaryon {GO:0043204}; perinuclear region of cytoplasm {GO:0048471}</t>
  </si>
  <si>
    <t>receptor tyrosine kinase binding {GO:0030971}; translation initiation factor binding {GO:0031369}; zinc ion binding {GO:0008270}</t>
  </si>
  <si>
    <t>sp|Q61037|TSC2_MOUSE</t>
  </si>
  <si>
    <t>Tuberin</t>
  </si>
  <si>
    <t>Tuberous sclerosis 2 protein homolog</t>
  </si>
  <si>
    <t>TSC2_MOUSE</t>
  </si>
  <si>
    <t>Q61037</t>
  </si>
  <si>
    <t>P97723; P97724; P97725; P97727; Q61007; Q61008; Q9WUF6</t>
  </si>
  <si>
    <t>MGI:102548</t>
  </si>
  <si>
    <t>Alternative splicing; Cytoplasm; GTPase activation; Membrane; Phosphoprotein; Tumor suppressor; Ubl conjugation</t>
  </si>
  <si>
    <t>aging {GO:0007568}; anoikis {GO:0043276}; B cell proliferation {GO:0042100}; cell population proliferation {GO:0008283}; cell projection organization {GO:0030030}; cellular response to insulin stimulus {GO:0032869}; establishment of cell polarity {GO:0030010}; establishment of protein localization {GO:0045184}; excitatory chemical synaptic transmission {GO:0098976}; glucose import {GO:0046323}; heart development {GO:0007507}; inhibitory chemical synaptic transmission {GO:0098977}; insulin-like growth factor receptor signaling pathway {GO:0048009}; negative regulation of axonogenesis {GO:0050771}; negative regulation of B cell proliferation {GO:0030889}; negative regulation of cell population proliferation {GO:0008285}; negative regulation of cell size {GO:0045792}; negative regulation of epithelial cell proliferation {GO:0050680}; negative regulation of epithelial to mesenchymal transition {GO:0010719}; negative regulation of fibroblast proliferation {GO:0048147}; negative regulation of insulin receptor signaling pathway {GO:0046627}; negative regulation of macroautophagy {GO:0016242}; negative regulation of MAP kinase activity {GO:0043407}; negative regulation of phosphatidylinositol 3-kinase signaling {GO:0014067}; negative regulation of pinocytosis {GO:0048550}; negative regulation of protein kinase activity {GO:0006469}; negative regulation of protein kinase B signaling {GO:0051898}; negative regulation of protein phosphorylation {GO:0001933}; negative regulation of T cell proliferation {GO:0042130}; negative regulation of TOR signaling {GO:0032007}; negative regulation of TORC1 signaling {GO:1904262}; negative regulation of vascular endothelial cell proliferation {GO:1905563}; negative regulation of Wnt signaling pathway {GO:0030178}; neural tube closure {GO:0001843}; phosphatidylinositol 3-kinase signaling {GO:0014065}; positive chemotaxis {GO:0050918}; positive regulation of autophagy {GO:0010508}; positive regulation of cell adhesion {GO:0045785}; positive regulation of dendritic spine development {GO:0060999}; positive regulation of fibroblast migration {GO:0010763}; positive regulation of GTPase activity {GO:0043547}; positive regulation of macroautophagy {GO:0016239}; positive regulation of neuron projection development {GO:0010976}; positive regulation of transcription by RNA polymerase II {GO:0045944}; protein import into nucleus {GO:0006606}; protein kinase B signaling {GO:0043491}; protein localization {GO:0008104}; protein localization to cell surface {GO:0034394}; protein transport into plasma membrane raft {GO:0044861}; regulation of cell cycle {GO:0051726}; regulation of endocytosis {GO:0030100}; regulation of insulin receptor signaling pathway {GO:0046626}; regulation of postsynapse organization {GO:0099175}; regulation of small GTPase mediated signal transduction {GO:0051056}; response to hypoxia {GO:0001666}; signal transduction {GO:0007165}; social behavior {GO:0035176}; T cell proliferation {GO:0042098}; transcription by RNA polymerase II {GO:0006366}</t>
  </si>
  <si>
    <t>caveola {GO:0005901}; cell projection {GO:0042995}; cytoplasm {GO:0005737}; cytoskeleton {GO:0005856}; cytosol {GO:0005829}; dendrite {GO:0030425}; glutamatergic synapse {GO:0098978}; growth cone {GO:0030426}; intracellular membrane-bounded organelle {GO:0043231}; lysosome {GO:0005764}; membrane {GO:0016020}; membrane raft {GO:0045121}; neuron projection {GO:0043005}; neuronal cell body {GO:0043025}; nucleus {GO:0005634}; perinuclear region of cytoplasm {GO:0048471}; postsynaptic density {GO:0014069}; protein-containing complex {GO:0032991}; synapse {GO:0045202}; TSC1-TSC2 complex {GO:0033596}</t>
  </si>
  <si>
    <t>14-3-3 protein binding {GO:0071889}; GTPase activator activity {GO:0005096}; Hsp90 protein binding {GO:0051879}; phosphatase binding {GO:0019902}; protein homodimerization activity {GO:0042803}; protein N-terminus binding {GO:0047485}; protein-containing complex binding {GO:0044877}; small GTPase binding {GO:0031267}</t>
  </si>
  <si>
    <t>Macroautophagy {R-MMU-1632852}; Inhibition of TSC complex formation by PKB {R-MMU-165181}; AKT phosphorylates targets in the cytosol {R-MMU-198323}; Energy dependent regulation of mTOR by LKB1-AMPK {R-MMU-380972}; TP53 Regulates Metabolic Genes {R-MMU-5628897}; TBC/RABGAPs {R-MMU-8854214}</t>
  </si>
  <si>
    <t>sp|Q8QZS1|HIBCH_MOUSE</t>
  </si>
  <si>
    <t>3-hydroxyisobutyryl-CoA hydrolase, mitochondrial</t>
  </si>
  <si>
    <t>3-hydroxyisobutyryl-coenzyme A hydrolase (HIB-CoA hydrolase; HIBYL-CoA-H)</t>
  </si>
  <si>
    <t>HIBCH_MOUSE</t>
  </si>
  <si>
    <t>Q8QZS1</t>
  </si>
  <si>
    <t>MGI:1923792</t>
  </si>
  <si>
    <t>Acetylation; Branched-chain amino acid catabolism; Hydrolase; Mitochondrion; Phosphoprotein; Transit peptide</t>
  </si>
  <si>
    <t>3-hydroxyisobutyryl-CoA hydrolase activity {GO:0003860}</t>
  </si>
  <si>
    <t>sp|Q6PHN9|RAB35_MOUSE</t>
  </si>
  <si>
    <t>Ras-related protein Rab-35</t>
  </si>
  <si>
    <t>RAB35_MOUSE</t>
  </si>
  <si>
    <t>Q6PHN9</t>
  </si>
  <si>
    <t>MGI:1924657</t>
  </si>
  <si>
    <t>Cell membrane; Coated pit; Cytoplasmic vesicle; Endosome; GTP-binding; Lipoprotein; Membrane; Nucleotide-binding; Phosphoprotein; Prenylation; Protein transport; Transport</t>
  </si>
  <si>
    <t>Cell membrane; Coated pit; Cytoplasmic vesicle; Endosome; Membrane</t>
  </si>
  <si>
    <t>antigen processing and presentation {GO:0019882}; cellular response to nerve growth factor stimulus {GO:1990090}; endocytic recycling {GO:0032456}; endosomal transport {GO:0016197}; mitotic cytokinesis {GO:0000281}; neuron projection development {GO:0031175}; plasma membrane to endosome transport {GO:0048227}; protein localization {GO:0008104}; protein localization to endosome {GO:0036010}; protein transport {GO:0015031}; Rab protein signal transduction {GO:0032482}; vesicle-mediated transport {GO:0016192}</t>
  </si>
  <si>
    <t>anchored component of synaptic vesicle membrane {GO:0098993}; cell projection membrane {GO:0031253}; clathrin-coated endocytic vesicle {GO:0045334}; clathrin-coated pit {GO:0005905}; endosome membrane {GO:0010008}; intercellular bridge {GO:0045171}; melanosome {GO:0042470}; mitochondrion {GO:0005739}; plasma membrane {GO:0005886}</t>
  </si>
  <si>
    <t>GDP binding {GO:0019003}; GTP binding {GO:0005525}; GTPase activity {GO:0003924}; phosphatidylinositol-4,5-bisphosphate binding {GO:0005546}</t>
  </si>
  <si>
    <t>TBC/RABGAPs {R-MMU-8854214}; RAB geranylgeranylation {R-MMU-8873719}; RAB GEFs exchange GTP for GDP on RABs {R-MMU-8876198}</t>
  </si>
  <si>
    <t>sp|Q9DCE5|PK1IP_MOUSE</t>
  </si>
  <si>
    <t>p21-activated protein kinase-interacting protein 1</t>
  </si>
  <si>
    <t>PAK1-interacting protein 1; Putative PAK inhibitor Skb15</t>
  </si>
  <si>
    <t>PK1IP_MOUSE</t>
  </si>
  <si>
    <t>Q9DCE5</t>
  </si>
  <si>
    <t>Q3UBK7; Q80UT4; Q8C5N6; Q923K2; Q9D3E9</t>
  </si>
  <si>
    <t>MGI:1915333</t>
  </si>
  <si>
    <t>Nucleus; Repeat; Ribosome biogenesis; Signal transduction inhibitor; WD repeat</t>
  </si>
  <si>
    <t>Signal transduction inhibitor</t>
  </si>
  <si>
    <t>cell population proliferation {GO:0008283}; negative regulation of signal transduction {GO:0009968}; regulation of signal transduction by p53 class mediator {GO:1901796}; ribosomal large subunit biogenesis {GO:0042273}; roof of mouth development {GO:0060021}</t>
  </si>
  <si>
    <t>sp|P04919|B3AT_MOUSE</t>
  </si>
  <si>
    <t>Band 3 anion transport protein</t>
  </si>
  <si>
    <t>Anion exchange protein 1 (AE 1; Anion exchanger 1); MEB3; Solute carrier family 4 member 1; CD_antigen=CD233</t>
  </si>
  <si>
    <t>B3AT_MOUSE</t>
  </si>
  <si>
    <t>P04919</t>
  </si>
  <si>
    <t>Ae1</t>
  </si>
  <si>
    <t>MGI:109393</t>
  </si>
  <si>
    <t>Acetylation; Alternative splicing; Anion exchange; Cell membrane; Glycoprotein; Ion transport; Lipoprotein; Membrane; Palmitate; Phosphoprotein; Transmembrane; Transmembrane helix; Transport</t>
  </si>
  <si>
    <t>Anion exchange; Ion transport; Transport</t>
  </si>
  <si>
    <t>Acetylation; Glycoprotein; Lipoprotein; Palmitate; Phosphoprotein</t>
  </si>
  <si>
    <t>anion transport {GO:0006820}; bicarbonate transport {GO:0015701}; blood coagulation {GO:0007596}; chloride transport {GO:0006821}; erythrocyte development {GO:0048821}; ion homeostasis {GO:0050801}; negative regulation of glycolytic process through fructose-6-phosphate {GO:1904539}; negative regulation of oxidoreductase activity {GO:0051354}; negative regulation of urine volume {GO:0035811}; pH elevation {GO:0045852}; plasma membrane phospholipid scrambling {GO:0017121}; positive regulation of T cell proliferation {GO:0042102}; protein localization to plasma membrane {GO:0072659}; regulation of intracellular pH {GO:0051453}; response to activity {GO:0014823}; response to arsenic-containing substance {GO:0046685}; response to carbon dioxide {GO:0010037}; response to hydrogen peroxide {GO:0042542}; transmembrane transport {GO:0055085}</t>
  </si>
  <si>
    <t>basolateral plasma membrane {GO:0016323}; cell surface {GO:0009986}; cortical cytoskeleton {GO:0030863}; cytoplasmic side of plasma membrane {GO:0009898}; integral component of plasma membrane {GO:0005887}; intercalated disc {GO:0014704}; membrane {GO:0016020}; plasma membrane {GO:0005886}; Z disc {GO:0030018}</t>
  </si>
  <si>
    <t>actin binding {GO:0003779}; ankyrin binding {GO:0030506}; bicarbonate transmembrane transporter activity {GO:0015106}; chloride transmembrane transporter activity {GO:0015108}; enzyme binding {GO:0019899}; hemoglobin binding {GO:0030492}; protein C-terminus binding {GO:0008022}; protein homodimerization activity {GO:0042803}; protein-containing complex binding {GO:0044877}; solute:inorganic anion antiporter activity {GO:0005452}; transmembrane transporter activity {GO:0022857}</t>
  </si>
  <si>
    <t>Erythrocytes take up carbon dioxide and release oxygen {R-MMU-1237044}; Erythrocytes take up oxygen and release carbon dioxide {R-MMU-1247673}; Bicarbonate transporters {R-MMU-425381}</t>
  </si>
  <si>
    <t>sp|P62331|ARF6_MOUSE</t>
  </si>
  <si>
    <t>ADP-ribosylation factor 6</t>
  </si>
  <si>
    <t>ARF6_MOUSE</t>
  </si>
  <si>
    <t>P62331</t>
  </si>
  <si>
    <t>P26438</t>
  </si>
  <si>
    <t>MGI:99435</t>
  </si>
  <si>
    <t>3D-structure; Cell cycle; Cell division; Cell membrane; Cell projection; Cytoplasm; Differentiation; Endosome; Golgi apparatus; GTP-binding; Hydrolase; Lipoprotein; Membrane; Myristate; Neurogenesis; Nucleotide-binding; Protein transport; Transport</t>
  </si>
  <si>
    <t>Cell cycle; Cell division; Differentiation; Neurogenesis; Protein transport; Transport</t>
  </si>
  <si>
    <t>Cell membrane; Cell projection; Cytoplasm; Endosome; Golgi apparatus; Membrane</t>
  </si>
  <si>
    <t>cell cycle {GO:0007049}; cell differentiation {GO:0030154}; cell division {GO:0051301}; cellular response to nerve growth factor stimulus {GO:1990090}; cortical actin cytoskeleton organization {GO:0030866}; endocytic recycling {GO:0032456}; erythrocyte apoptotic process {GO:1902217}; establishment of epithelial cell polarity {GO:0090162}; hepatocyte apoptotic process {GO:0097284}; intracellular protein transport {GO:0006886}; liver development {GO:0001889}; maintenance of postsynaptic density structure {GO:0099562}; negative regulation of dendrite development {GO:2000171}; negative regulation of protein localization to cell surface {GO:2000009}; nervous system development {GO:0007399}; positive regulation of actin filament polymerization {GO:0030838}; positive regulation of focal adhesion disassembly {GO:0120183}; positive regulation of keratinocyte migration {GO:0051549}; positive regulation of protein localization to plasma membrane {GO:1903078}; positive regulation of protein secretion {GO:0050714}; protein localization to cell surface {GO:0034394}; protein localization to endosome {GO:0036010}; protein transport {GO:0015031}; regulation of dendritic spine development {GO:0060998}; regulation of filopodium assembly {GO:0051489}; regulation of neuron projection development {GO:0010975}; regulation of presynapse assembly {GO:1905606}; regulation of Rac protein signal transduction {GO:0035020}; regulation of toll-like receptor 4 signaling pathway {GO:0034143}; ruffle assembly {GO:0097178}; synaptic vesicle endocytosis {GO:0048488}; vesicle-mediated transport {GO:0016192}</t>
  </si>
  <si>
    <t>cell cortex {GO:0005938}; cleavage furrow {GO:0032154}; cytoplasm {GO:0005737}; cytosol {GO:0005829}; early endosome {GO:0005769}; early endosome membrane {GO:0031901}; endocytic vesicle {GO:0030139}; endosome {GO:0005768}; filopodium membrane {GO:0031527}; Flemming body {GO:0090543}; glutamatergic synapse {GO:0098978}; Golgi apparatus {GO:0005794}; membrane {GO:0016020}; myelin sheath {GO:0043209}; plasma membrane {GO:0005886}; presynapse {GO:0098793}; recycling endosome {GO:0055037}; recycling endosome membrane {GO:0055038}; ruffle {GO:0001726}</t>
  </si>
  <si>
    <t>G protein activity {GO:0003925}; GDP binding {GO:0019003}; GTP binding {GO:0005525}; GTPase activity {GO:0003924}; protein N-terminus binding {GO:0047485}; thioesterase binding {GO:0031996}</t>
  </si>
  <si>
    <t>TBC/RABGAPs {R-MMU-8854214}; Clathrin-mediated endocytosis {R-MMU-8856828}; MET receptor recycling {R-MMU-8875656}</t>
  </si>
  <si>
    <t>sp|Q60967|PAPS1_MOUSE</t>
  </si>
  <si>
    <t>Adenylyl-sulfate kinase</t>
  </si>
  <si>
    <t>Sulfurylase kinase 1 (SK 1; SK1); ATP-sulfurylase; Sulfate adenylate transferase (SAT); 3'-phosphoadenosine-5'-phosphosulfate synthase; APS kinase; Adenosine-5'-phosphosulfate 3'-phosphotransferase; Adenylylsulfate 3'-phosphotransferase</t>
  </si>
  <si>
    <t>PAPS1_MOUSE</t>
  </si>
  <si>
    <t>Q60967</t>
  </si>
  <si>
    <t>Q3U647</t>
  </si>
  <si>
    <t>Asapk; Atpsk1; Papss</t>
  </si>
  <si>
    <t>MGI:1330587</t>
  </si>
  <si>
    <t>Acetylation; ATP-binding; Kinase; Multifunctional enzyme; Nucleotide-binding; Nucleotidyltransferase; Transferase</t>
  </si>
  <si>
    <t>3'-phosphoadenosine 5'-phosphosulfate biosynthetic process {GO:0050428}; phosphorylation {GO:0016310}; sulfate assimilation {GO:0000103}</t>
  </si>
  <si>
    <t>cytosol {GO:0005829}; sulfate adenylyltransferase complex (ATP) {GO:0009336}</t>
  </si>
  <si>
    <t>adenylylsulfate kinase activity {GO:0004020}; ATP binding {GO:0005524}; nucleotidyltransferase activity {GO:0016779}; protein homodimerization activity {GO:0042803}; sulfate adenylyltransferase (ATP) activity {GO:0004781}</t>
  </si>
  <si>
    <t>Sulfur metabolism; sulfate assimilation.</t>
  </si>
  <si>
    <t>Transport and synthesis of PAPS {R-MMU-174362}</t>
  </si>
  <si>
    <t>sp|A2BH40|ARI1A_MOUSE</t>
  </si>
  <si>
    <t>AT-rich interactive domain-containing protein 1A (ARID domain-containing protein 1A)</t>
  </si>
  <si>
    <t>BRG1-associated factor 250 (BAF250); BRG1-associated factor 250a (BAF250A); Osa homolog 1; SWI-like protein; SWI/SNF complex protein p270; SWI/SNF-related, matrix-associated, actin-dependent regulator of chromatin subfamily F member 1</t>
  </si>
  <si>
    <t>ARI1A_MOUSE</t>
  </si>
  <si>
    <t>A2BH40</t>
  </si>
  <si>
    <t>Q640Q1; Q925Q1</t>
  </si>
  <si>
    <t>Baf250; Baf250a; Osa1; Smarcf1</t>
  </si>
  <si>
    <t>MGI:1935147</t>
  </si>
  <si>
    <t>Acetylation; Alternative splicing; Chromatin regulator; DNA-binding; Methylation; Neurogenesis; Nucleus; Phosphoprotein; Transcription; Transcription regulation</t>
  </si>
  <si>
    <t>androgen receptor signaling pathway {GO:0030521}; cardiac chamber development {GO:0003205}; cardiac muscle cell differentiation {GO:0055007}; chromatin organization {GO:0006325}; chromatin remodeling {GO:0006338}; embryo implantation {GO:0007566}; forebrain development {GO:0030900}; formation of primary germ layer {GO:0001704}; gastrulation {GO:0007369}; glucocorticoid receptor signaling pathway {GO:0042921}; intracellular estrogen receptor signaling pathway {GO:0030520}; negative regulation of transcription by RNA polymerase II {GO:0000122}; neural tube closure {GO:0001843}; nucleosome disassembly {GO:0006337}; optic cup formation involved in camera-type eye development {GO:0003408}; placenta blood vessel development {GO:0060674}; positive regulation of cell differentiation {GO:0045597}; positive regulation of DNA-templated transcription {GO:0045893}; positive regulation of double-strand break repair {GO:2000781}; positive regulation of myoblast differentiation {GO:0045663}; positive regulation of stem cell population maintenance {GO:1902459}; positive regulation of T cell differentiation {GO:0045582};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{GO:0006357}; stem cell population maintenance {GO:0019827}; toxin transport {GO:1901998}</t>
  </si>
  <si>
    <t>bBAF complex {GO:0140092}; brahma complex {GO:0035060}; chromatin {GO:0000785}; nBAF complex {GO:0071565}; npBAF complex {GO:0071564}; nucleoplasm {GO:0005654}; SWI/SNF complex {GO:0016514}</t>
  </si>
  <si>
    <t>ATP-dependent chromatin remodeler activity {GO:0140658}; DNA binding {GO:0003677}; nuclear receptor binding {GO:0016922}; nucleosome binding {GO:0031491}</t>
  </si>
  <si>
    <t>sp|F8VPU2|FARP1_MOUSE</t>
  </si>
  <si>
    <t>FERM, ARHGEF and pleckstrin domain-containing protein 1</t>
  </si>
  <si>
    <t>FERM, RhoGEF and pleckstrin domain-containing protein 1</t>
  </si>
  <si>
    <t>FARP1_MOUSE</t>
  </si>
  <si>
    <t>F8VPU2</t>
  </si>
  <si>
    <t>C4IXU2</t>
  </si>
  <si>
    <t>MGI:2446173</t>
  </si>
  <si>
    <t>Cell membrane; Cell projection; Cytoplasm; Developmental protein; Guanine-nucleotide releasing factor; Membrane; Phosphoprotein; Repeat; Synapse; Synaptosome</t>
  </si>
  <si>
    <t>Cell membrane; Cell projection; Cytoplasm; Membrane; Synapse; Synaptosome</t>
  </si>
  <si>
    <t>dendrite morphogenesis {GO:0048813}; postsynaptic actin cytoskeleton organization {GO:0098974}; regulation of presynapse assembly {GO:1905606}; retrograde trans-synaptic signaling by trans-synaptic protein complex {GO:0098942}; synapse assembly {GO:0007416}</t>
  </si>
  <si>
    <t>anchoring junction {GO:0070161}; cytoskeleton {GO:0005856}; cytosol {GO:0005829}; dendrite {GO:0030425}; dendritic spine {GO:0043197}; extrinsic component of cytoplasmic side of plasma membrane {GO:0031234}; extrinsic component of postsynaptic membrane {GO:0098890}; filopodium {GO:0030175}; glutamatergic synapse {GO:0098978}</t>
  </si>
  <si>
    <t>cytoskeletal protein binding {GO:0008092}; guanyl-nucleotide exchange factor activity {GO:0005085}; small GTPase binding {GO:0031267}</t>
  </si>
  <si>
    <t>RHOA GTPase cycle {R-MMU-8980692}; CDC42 GTPase cycle {R-MMU-9013148}; RAC1 GTPase cycle {R-MMU-9013149}; RHOF GTPase cycle {R-MMU-9035034}</t>
  </si>
  <si>
    <t>sp|Q99L27|GMPR2_MOUSE</t>
  </si>
  <si>
    <t>GMP reductase 2 (GMPR 2)</t>
  </si>
  <si>
    <t>Guanosine 5'-monophosphate oxidoreductase 2 (Guanosine monophosphate reductase 2)</t>
  </si>
  <si>
    <t>GMPR2_MOUSE</t>
  </si>
  <si>
    <t>Q99L27</t>
  </si>
  <si>
    <t>Q542X2; Q8R1T5</t>
  </si>
  <si>
    <t>MGI:1917903</t>
  </si>
  <si>
    <t>Acetylation; Metal-binding; NADP; Oxidoreductase; Potassium; Purine metabolism</t>
  </si>
  <si>
    <t>Purine metabolism</t>
  </si>
  <si>
    <t>Metal-binding; NADP; Potassium</t>
  </si>
  <si>
    <t>GMP catabolic process {GO:0046038}; GMP metabolic process {GO:0046037}; IMP salvage {GO:0032264}; monocyte differentiation {GO:0030224}; purine nucleobase metabolic process {GO:0006144}</t>
  </si>
  <si>
    <t>GMP reductase complex {GO:1902560}</t>
  </si>
  <si>
    <t>GMP reductase activity {GO:0003920}; metal ion binding {GO:0046872}</t>
  </si>
  <si>
    <t>sp|Q3TIX9|SNUT2_MOUSE</t>
  </si>
  <si>
    <t>U4/U6.U5 tri-snRNP-associated protein 2</t>
  </si>
  <si>
    <t>Inactive ubiquitin-specific peptidase 39</t>
  </si>
  <si>
    <t>SNUT2_MOUSE</t>
  </si>
  <si>
    <t>Q3TIX9</t>
  </si>
  <si>
    <t>Q3TI55; Q8BLI5; Q8BZZ5; Q9CQR1</t>
  </si>
  <si>
    <t>MGI:107622</t>
  </si>
  <si>
    <t>Cell cycle; Cell division; Isopeptide bond; Metal-binding; mRNA processing; mRNA splicing; Nucleus; Phosphoprotein; Spliceosome; Ubl conjugation; Zinc; Zinc-finger</t>
  </si>
  <si>
    <t>Cell cycle; Cell division; mRNA processing; mRNA splicing</t>
  </si>
  <si>
    <t>cell cycle {GO:0007049}; cell division {GO:0051301}; mRNA splicing, via spliceosome {GO:0000398}; protein deubiquitination {GO:0016579}; spliceosomal complex assembly {GO:0000245}</t>
  </si>
  <si>
    <t>nucleoplasm {GO:0005654}; nucleus {GO:0005634}; spliceosomal complex {GO:0005681}; U4/U6 x U5 tri-snRNP complex {GO:0046540}</t>
  </si>
  <si>
    <t>cysteine-type deubiquitinase activity {GO:0004843}; zinc ion binding {GO:0008270}</t>
  </si>
  <si>
    <t>sp|Q8VDL4|ADPGK_MOUSE</t>
  </si>
  <si>
    <t>ADP-dependent glucokinase (ADP-GK; ADPGK)</t>
  </si>
  <si>
    <t>ADPGK_MOUSE</t>
  </si>
  <si>
    <t>Q8VDL4</t>
  </si>
  <si>
    <t>Q8C7Y9; Q9D0H2</t>
  </si>
  <si>
    <t>MGI:1919391</t>
  </si>
  <si>
    <t>3D-structure; Alternative splicing; Glycolysis; Kinase; Magnesium; Metal-binding; Secreted; Signal; Transferase</t>
  </si>
  <si>
    <t>carbohydrate metabolic process {GO:0005975}; glucose metabolic process {GO:0006006}; glycolytic process {GO:0006096}</t>
  </si>
  <si>
    <t>endoplasmic reticulum {GO:0005783}; extracellular region {GO:0005576}</t>
  </si>
  <si>
    <t>ADP-specific glucokinase activity {GO:0043843}; metal ion binding {GO:0046872}</t>
  </si>
  <si>
    <t>Carbohydrate degradation; glycolysis. {ECO:0000255|PROSITE- ProRule:PRU00584}.</t>
  </si>
  <si>
    <t>sp|Q8BLN5|LSS_MOUSE</t>
  </si>
  <si>
    <t>Lanosterol synthase</t>
  </si>
  <si>
    <t>2,3-epoxysqualene--lanosterol cyclase; Oxidosqualene--lanosterol cyclase (OSC)</t>
  </si>
  <si>
    <t>LSS_MOUSE</t>
  </si>
  <si>
    <t>Q8BLN5</t>
  </si>
  <si>
    <t>Q8BVJ4; Q8K307</t>
  </si>
  <si>
    <t>MGI:1336155</t>
  </si>
  <si>
    <t>Acetylation; Endoplasmic reticulum; Isomerase; Lipid biosynthesis; Lipid metabolism; Membrane; Repeat; Steroid biosynthesis</t>
  </si>
  <si>
    <t>cholesterol biosynthetic process {GO:0006695}; regulation of protein stability {GO:0031647}; steroid biosynthetic process {GO:0006694}; sterol metabolic process {GO:0016125}; triterpenoid biosynthetic process {GO:0016104}</t>
  </si>
  <si>
    <t>endoplasmic reticulum membrane {GO:0005789}; intracellular membrane-bounded organelle {GO:0043231}; lipid droplet {GO:0005811}</t>
  </si>
  <si>
    <t>lanosterol synthase activity {GO:0000250}</t>
  </si>
  <si>
    <t>Terpene metabolism; lanosterol biosynthesis; lanosterol from farnesyl diphosphate: step 3/3.</t>
  </si>
  <si>
    <t>sp|Q91YH5|ATLA3_MOUSE</t>
  </si>
  <si>
    <t>Atlastin-3</t>
  </si>
  <si>
    <t>ATLA3_MOUSE</t>
  </si>
  <si>
    <t>Q91YH5</t>
  </si>
  <si>
    <t>Q3UGW3; Q8C0L7; Q8C174; Q99LZ9</t>
  </si>
  <si>
    <t>MGI:1924270</t>
  </si>
  <si>
    <t>Acetylation; Alternative splicing; Endoplasmic reticulum; GTP-binding; Hydrolase; Membrane; Nucleotide-binding; Transmembrane; Transmembrane helix</t>
  </si>
  <si>
    <t>cellular response to interferon-gamma {GO:0071346}; endoplasmic reticulum organization {GO:0007029}; Golgi organization {GO:0007030}; positive regulation of endoplasmic reticulum tubular network organization {GO:1903373}; protein homooligomerization {GO:0051260}; response to bacterium {GO:0009617}</t>
  </si>
  <si>
    <t>cytoplasmic vesicle {GO:0031410}; endoplasmic reticulum {GO:0005783}; endoplasmic reticulum tubular network {GO:0071782}; endoplasmic reticulum tubular network membrane {GO:0098826}; integral component of membrane {GO:0016021}</t>
  </si>
  <si>
    <t>GTP binding {GO:0005525}; GTPase activity {GO:0003924}; identical protein binding {GO:0042802}</t>
  </si>
  <si>
    <t>sp|Q61136|PRP4B_MOUSE</t>
  </si>
  <si>
    <t>Serine/threonine-protein kinase PRP4 homolog</t>
  </si>
  <si>
    <t>PRP4 pre-mRNA-processing factor 4 homolog; Pre-mRNA protein kinase</t>
  </si>
  <si>
    <t>PRP4B_MOUSE</t>
  </si>
  <si>
    <t>Q61136</t>
  </si>
  <si>
    <t>B2RUN6; O88378; Q8BND8; Q8R4Y5; Q9CTL9; Q9CTT0</t>
  </si>
  <si>
    <t>Cbp143; Prp4h; Prp4k; Prp4m; Prpk</t>
  </si>
  <si>
    <t>MGI:109584</t>
  </si>
  <si>
    <t>Acetylation; ATP-binding; Isopeptide bond; Kinase; mRNA processing; mRNA splicing; Nucleotide-binding; Nucleus; Phosphoprotein; Serine/threonine-protein kinase; Spliceosome; Transferase; Ubl conjugation</t>
  </si>
  <si>
    <t>mRNA cis splicing, via spliceosome {GO:0045292}; protein phosphorylation {GO:0006468}</t>
  </si>
  <si>
    <t>catalytic step 2 spliceosome {GO:0071013}; chromosome {GO:0005694}; nuclear speck {GO:0016607}; nucleus {GO:0005634}</t>
  </si>
  <si>
    <t>ATP binding {GO:0005524}; protein kinase activity {GO:0004672}; protein serine kinase activity {GO:0106310}; protein serine/threonine kinase activity {GO:0004674}</t>
  </si>
  <si>
    <t>sp|Q9D853|EFMT2_MOUSE</t>
  </si>
  <si>
    <t>EEF1A lysine methyltransferase 2</t>
  </si>
  <si>
    <t>Methyltransferase-like protein 10; Protein-lysine N-methyltransferase Mettl10</t>
  </si>
  <si>
    <t>EFMT2_MOUSE</t>
  </si>
  <si>
    <t>Q9D853</t>
  </si>
  <si>
    <t>Q4V9Y9</t>
  </si>
  <si>
    <t>MGI:1919346</t>
  </si>
  <si>
    <t>Cytoplasm; Methyltransferase; Nucleus; Phosphoprotein; S-adenosyl-L-methionine; Transferase</t>
  </si>
  <si>
    <t>peptidyl-lysine dimethylation {GO:0018027}; peptidyl-lysine methylation {GO:0018022}; peptidyl-lysine monomethylation {GO:0018026}</t>
  </si>
  <si>
    <t>cytoplasm {GO:0005737}; cytosol {GO:0005829}; intracellular membrane-bounded organelle {GO:0043231}; nuclear body {GO:0016604}; nucleoplasm {GO:0005654}; nucleus {GO:0005634}</t>
  </si>
  <si>
    <t>methyltransferase activity {GO:0008168}; protein-lysine N-methyltransferase activity {GO:0016279}</t>
  </si>
  <si>
    <t>sp|P08226|APOE_MOUSE</t>
  </si>
  <si>
    <t>Apolipoprotein E (Apo-E)</t>
  </si>
  <si>
    <t>APOE_MOUSE</t>
  </si>
  <si>
    <t>P08226</t>
  </si>
  <si>
    <t>MGI:88057</t>
  </si>
  <si>
    <t>3D-structure; Chylomicron; Endosome; Extracellular matrix; Glycoprotein; HDL; Heparin-binding; Lipid transport; Lipid-binding; Oxidation; Phosphoprotein; Repeat; Secreted; Signal; Transport; VLDL</t>
  </si>
  <si>
    <t>Chylomicron; Endosome; Extracellular matrix; HDL; Secreted; VLDL</t>
  </si>
  <si>
    <t>Glycoprotein; Oxidation; Phosphoprotein</t>
  </si>
  <si>
    <t>aging {GO:0007568}; AMPA glutamate receptor clustering {GO:0097113}; amyloid precursor protein metabolic process {GO:0042982}; artery morphogenesis {GO:0048844}; cellular calcium ion homeostasis {GO:0006874}; cGMP-mediated signaling {GO:0019934}; cholesterol catabolic process {GO:0006707}; cholesterol efflux {GO:0033344}; cholesterol homeostasis {GO:0042632}; cholesterol metabolic process {GO:0008203}; chylomicron remnant clearance {GO:0034382}; circulatory system development {GO:0072359}; fatty acid homeostasis {GO:0055089}; G protein-coupled receptor signaling pathway {GO:0007186}; gene expression {GO:0010467}; high-density lipoprotein particle assembly {GO:0034380}; high-density lipoprotein particle clearance {GO:0034384}; high-density lipoprotein particle remodeling {GO:0034375}; intermediate-density lipoprotein particle clearance {GO:0071831}; lipid homeostasis {GO:0055088}; lipid metabolic process {GO:0006629}; lipid transport {GO:0006869}; lipid transport involved in lipid storage {GO:0010877}; lipoprotein biosynthetic process {GO:0042158}; lipoprotein catabolic process {GO:0042159}; lipoprotein metabolic process {GO:0042157}; locomotory exploration behavior {GO:0035641}; long-chain fatty acid transport {GO:0015909}; long-term memory {GO:0007616}; low-density lipoprotein particle remodeling {GO:0034374}; maintenance of location in cell {GO:0051651}; melanosome organization {GO:0032438}; negative regulation of amyloid fibril formation {GO:1905907}; negative regulation of amyloid-beta formation {GO:1902430}; negative regulation of blood coagulation {GO:0030195}; negative regulation of blood vessel endothelial cell migration {GO:0043537}; negative regulation of canonical Wnt signaling pathway {GO:0090090}; negative regulation of cholesterol biosynthetic process {GO:0045541}; negative regulation of cholesterol efflux {GO:0090370}; negative regulation of dendritic spine development {GO:0061000}; negative regulation of dendritic spine maintenance {GO:1902951}; negative regulation of endothelial cell migration {GO:0010596}; negative regulation of endothelial cell proliferation {GO:0001937}; negative regulation of gene expression {GO:0010629}; negative regulation of inflammatory response {GO:0050728}; negative regulation of lipid biosynthetic process {GO:0051055}; negative regulation of lipid transport across blood-brain barrier {GO:1903001}; negative regulation of long-term synaptic potentiation {GO:1900272}; negative regulation of MAP kinase activity {GO:0043407}; negative regulation of neuron apoptotic process {GO:0043524}; negative regulation of neuron death {GO:1901215}; negative regulation of neuron projection development {GO:0010977}; negative regulation of phospholipid efflux {GO:1902999}; negative regulation of platelet activation {GO:0010544}; negative regulation of postsynaptic membrane organization {GO:1901627}; negative regulation of protein metabolic process {GO:0051248}; negative regulation of protein secretion {GO:0050709}; negative regulation of smooth muscle cell proliferation {GO:0048662}; negative regulation of triglyceride metabolic process {GO:0090209}; neuron projection development {GO:0031175}; nitric oxide mediated signal transduction {GO:0007263}; NMDA glutamate receptor clustering {GO:0097114}; phospholipid efflux {GO:0033700}; positive regulation by host of viral process {GO:0044794}; positive regulation of amyloid-beta clearance {GO:1900223}; positive regulation of amyloid-beta formation {GO:1902004}; positive regulation of axon extension {GO:0045773}; positive regulation of cholesterol efflux {GO:0010875}; positive regulation of cholesterol metabolic process {GO:0090205}; positive regulation of CoA-transferase activity {GO:1905920}; positive regulation of dendritic spine development {GO:0060999}; positive regulation of dendritic spine maintenance {GO:1902952}; positive regulation of DNA-templated transcription {GO:0045893}; positive regulation of endocytosis {GO:0045807}; positive regulation of ERK1 and ERK2 cascade {GO:0070374}; positive regulation of heparan sulfate binding {GO:1905855}; positive regulation of heparan sulfate proteoglycan binding {GO:1905860}; positive regulation of lipid biosynthetic process {GO:0046889}; positive regulation of lipid transport across blood-brain barrier {GO:1903002}; positive regulation of low-density lipoprotein particle receptor catabolic process {GO:0032805}; positive regulation of membrane protein ectodomain proteolysis {GO:0051044}; positive regulation of neurofibrillary tangle assembly {GO:1902998}; positive regulation of neuron death {GO:1901216}; positive regulation of neuron projection development {GO:0010976}; positive regulation of nitric-oxide synthase activity {GO:0051000}; positive regulation of phospholipid efflux {GO:1902995}; positive regulation of presynaptic membrane organization {GO:1901631}; protein import {GO:0017038}; receptor-mediated endocytosis {GO:0006898}; regulation of amyloid fibril formation {GO:1905906}; regulation of amyloid precursor protein catabolic process {GO:1902991}; regulation of amyloid-beta clearance {GO:1900221}; regulation of apoptotic process {GO:0042981}; regulation of behavioral fear response {GO:2000822}; regulation of Cdc42 protein signal transduction {GO:0032489}; regulation of cellular response to very-low-density lipoprotein particle stimulus {GO:1905890}; regulation of cholesterol metabolic process {GO:0090181}; regulation of gene expression {GO:0010468}; regulation of innate immune response {GO:0045088}; regulation of neuron death {GO:1901214}; regulation of plasma lipoprotein particle levels {GO:0097006}; regulation of proteasomal protein catabolic process {GO:0061136}; regulation of protein metabolic process {GO:0051246}; regulation of protein-containing complex assembly {GO:0043254}; regulation of synapse organization {GO:0050807}; regulation of tau-protein kinase activity {GO:1902947}; regulation of triglyceride metabolic process {GO:0090207}; response to caloric restriction {GO:0061771}; response to dietary excess {GO:0002021}; response to oxidative stress {GO:0006979}; reverse cholesterol transport {GO:0043691}; triglyceride homeostasis {GO:0070328}; triglyceride metabolic process {GO:0006641}; triglyceride-rich lipoprotein particle clearance {GO:0071830}; vasodilation {GO:0042311}; very-low-density lipoprotein particle clearance {GO:0034447}; very-low-density lipoprotein particle remodeling {GO:0034372}; virion assembly {GO:0019068}</t>
  </si>
  <si>
    <t>cell surface {GO:0009986}; chylomicron {GO:0042627}; cytoplasm {GO:0005737}; cytosol {GO:0005829}; dendrite {GO:0030425}; discoidal high-density lipoprotein particle {GO:0034365}; early endosome {GO:0005769}; endoplasmic reticulum {GO:0005783}; endosome {GO:0005768}; extracellular matrix {GO:0031012}; extracellular region {GO:0005576}; extracellular space {GO:0005615}; extrinsic component of external side of plasma membrane {GO:0031232}; glutamatergic synapse {GO:0098978}; Golgi apparatus {GO:0005794}; high-density lipoprotein particle {GO:0034364}; intermediate-density lipoprotein particle {GO:0034363}; late endosome {GO:0005770}; lipoprotein particle {GO:1990777}; low-density lipoprotein particle {GO:0034362}; lysosome {GO:0005764}; microtubule {GO:0005874}; neuronal cell body {GO:0043025}; nuclear envelope {GO:0005635}; plasma membrane {GO:0005886}; synapse {GO:0045202}; synaptic cleft {GO:0043083}; very-low-density lipoprotein particle {GO:0034361}</t>
  </si>
  <si>
    <t>amyloid-beta binding {GO:0001540}; antioxidant activity {GO:0016209}; cholesterol transfer activity {GO:0120020}; enzyme binding {GO:0019899}; heparan sulfate proteoglycan binding {GO:0043395}; heparin binding {GO:0008201}; hydroxyapatite binding {GO:0046848}; identical protein binding {GO:0042802}; lipid binding {GO:0008289}; lipid transporter activity {GO:0005319}; lipoprotein particle binding {GO:0071813}; low-density lipoprotein particle receptor binding {GO:0050750}; metal chelating activity {GO:0046911}; phosphatidylcholine-sterol O-acyltransferase activator activity {GO:0060228}; phospholipid binding {GO:0005543}; protein dimerization activity {GO:0046983}; protein homodimerization activity {GO:0042803}; protein-containing complex binding {GO:0044877}; signaling receptor binding {GO:0005102}; tau protein binding {GO:0048156}; very-low-density lipoprotein particle receptor binding {GO:0070326}</t>
  </si>
  <si>
    <t>Scavenging by Class A Receptors {R-MMU-3000480}; Regulation of Insulin-like Growth Factor (IGF) transport and uptake by Insulin-like Growth Factor Binding Proteins (IGFBPs) {R-MMU-381426}; Post-translational protein phosphorylation {R-MMU-8957275}; Chylomicron assembly {R-MMU-8963888}; Chylomicron remodeling {R-MMU-8963901}; Chylomicron clearance {R-MMU-8964026}; HDL remodeling {R-MMU-8964058}; Retinoid metabolism and transport {R-MMU-975634}</t>
  </si>
  <si>
    <t>sp|Q8VE73|CUL7_MOUSE</t>
  </si>
  <si>
    <t>Cullin-7 (CUL-7)</t>
  </si>
  <si>
    <t>p185; p193</t>
  </si>
  <si>
    <t>CUL7_MOUSE</t>
  </si>
  <si>
    <t>Q8VE73</t>
  </si>
  <si>
    <t>Q3UHY3; Q497I2; Q6A0D6; Q6PB63; Q8R3W4; Q9CVD5</t>
  </si>
  <si>
    <t>Kiaa0076</t>
  </si>
  <si>
    <t>MGI:1913765</t>
  </si>
  <si>
    <t>Alternative splicing; Cytoplasm; Cytoskeleton; Golgi apparatus; Isopeptide bond; Ubl conjugation; Ubl conjugation pathway</t>
  </si>
  <si>
    <t>epithelial to mesenchymal transition {GO:0001837}; Golgi organization {GO:0007030}; microtubule cytoskeleton organization {GO:0000226}; mitotic cytokinesis {GO:0000281}; placenta development {GO:0001890}; positive regulation of dendrite morphogenesis {GO:0050775}; protein ubiquitination {GO:0016567}; regulation of endothelial cell differentiation {GO:0045601}; regulation of mitotic nuclear division {GO:0007088}; ubiquitin-dependent protein catabolic process {GO:0006511}; vasculogenesis {GO:0001570}</t>
  </si>
  <si>
    <t>3M complex {GO:1990393}; centrosome {GO:0005813}; Cul7-RING ubiquitin ligase complex {GO:0031467}; cullin-RING ubiquitin ligase complex {GO:0031461}; cytoplasm {GO:0005737}; Golgi apparatus {GO:0005794}; perinuclear region of cytoplasm {GO:0048471}</t>
  </si>
  <si>
    <t>sp|Q8BUV3|GEPH_MOUSE</t>
  </si>
  <si>
    <t>Molybdopterin molybdenumtransferase</t>
  </si>
  <si>
    <t>Domain G (MPT Mo-transferase); Domain E</t>
  </si>
  <si>
    <t>GEPH_MOUSE</t>
  </si>
  <si>
    <t>Q8BUV3</t>
  </si>
  <si>
    <t>E9QKJ1</t>
  </si>
  <si>
    <t>MGI:109602</t>
  </si>
  <si>
    <t>ATP-binding; Cell membrane; Cell projection; Cytoplasm; Cytoskeleton; Lipoprotein; Magnesium; Membrane; Metal-binding; Molybdenum; Molybdenum cofactor biosynthesis; Multifunctional enzyme; Nucleotide-binding; Palmitate; Phosphoprotein; Postsynaptic cell membrane; Synapse; Transferase</t>
  </si>
  <si>
    <t>Cell membrane; Cell projection; Cytoplasm; Cytoskeleton; Membrane; Postsynaptic cell membrane; Synapse</t>
  </si>
  <si>
    <t>ATP-binding; Magnesium; Metal-binding; Molybdenum; Nucleotide-binding</t>
  </si>
  <si>
    <t>establishment of protein localization {GO:0045184}; establishment of synaptic specificity at neuromuscular junction {GO:0007529}; gamma-aminobutyric acid receptor clustering {GO:0097112}; glycine receptor clustering {GO:0072579}; maintenance of postsynaptic specialization structure {GO:0098880}; Mo-molybdopterin cofactor biosynthetic process {GO:0006777}; molybdenum incorporation into molybdenum-molybdopterin complex {GO:0018315}; molybdopterin cofactor biosynthetic process {GO:0032324}; neurotransmitter receptor localization to postsynaptic specialization membrane {GO:0099645}; postsynaptic neurotransmitter receptor diffusion trapping {GO:0098970}; response to metal ion {GO:0010038}</t>
  </si>
  <si>
    <t>anchored component of synaptic membrane {GO:0099144}; anchoring junction {GO:0070161}; cytoplasm {GO:0005737}; cytoskeleton {GO:0005856}; cytosol {GO:0005829}; dendrite {GO:0030425}; extrinsic component of cytoplasmic side of plasma membrane {GO:0031234}; extrinsic component of plasma membrane {GO:0019897}; GABA-ergic synapse {GO:0098982}; glycinergic synapse {GO:0098690}; inhibitory synapse {GO:0060077}; neuronal cell body {GO:0043025}; postsynapse {GO:0098794}; postsynaptic density {GO:0014069}; postsynaptic membrane {GO:0045211}; postsynaptic specialization {GO:0099572}; postsynaptic specialization membrane {GO:0099634}; postsynaptic specialization, intracellular component {GO:0099091}; synapse {GO:0045202}; synaptic membrane {GO:0097060}</t>
  </si>
  <si>
    <t>ATP binding {GO:0005524}; cytoskeletal protein binding {GO:0008092}; identical protein binding {GO:0042802}; metal ion binding {GO:0046872}; molecular adaptor activity {GO:0060090}; molybdopterin adenylyltransferase activity {GO:0061598}; molybdopterin cofactor binding {GO:0043546}; molybdopterin molybdotransferase activity {GO:0061599}; nitrate reductase activity {GO:0008940}; signaling receptor binding {GO:0005102}; structural constituent of postsynaptic specialization {GO:0098879}</t>
  </si>
  <si>
    <t>sp|Q68FF6|GIT1_MOUSE</t>
  </si>
  <si>
    <t>ARF GTPase-activating protein GIT1 (ARF GAP GIT1)</t>
  </si>
  <si>
    <t>G protein-coupled receptor kinase-interactor 1; GRK-interacting protein 1</t>
  </si>
  <si>
    <t>GIT1_MOUSE</t>
  </si>
  <si>
    <t>Q68FF6</t>
  </si>
  <si>
    <t>MGI:1927140</t>
  </si>
  <si>
    <t>3D-structure; ANK repeat; Cell junction; Cell projection; Coiled coil; Cytoplasm; Cytoskeleton; GTPase activation; Metal-binding; Phosphoprotein; Repeat; Synapse; Zinc; Zinc-finger</t>
  </si>
  <si>
    <t>brain development {GO:0007420}; cell redox homeostasis {GO:0045454}; cellular response to epidermal growth factor stimulus {GO:0071364}; cellular response to lipopolysaccharide {GO:0071222}; dendritic spine development {GO:0060996}; ephrin receptor signaling pathway {GO:0048013}; immunological synapse formation {GO:0001771}; intramembranous ossification {GO:0001957}; locomotory behavior {GO:0007626}; motor learning {GO:0061743}; negative regulation of ARF protein signal transduction {GO:0032013}; negative regulation of glycolytic process {GO:0045820}; negative regulation of inflammatory response to wounding {GO:0106015}; negative regulation of interleukin-1 beta production {GO:0032691}; neuron development {GO:0048666}; neurotransmitter receptor localization to postsynaptic specialization membrane {GO:0099645}; positive regulation of microtubule nucleation {GO:0090063}; positive regulation of receptor catabolic process {GO:2000646}; presynaptic modulation of chemical synaptic transmission {GO:0099171}; regulation of ARF protein signal transduction {GO:0032012}; regulation of cytokinesis {GO:0032465}; regulation of G protein-coupled receptor signaling pathway {GO:0008277}; regulation of synaptic vesicle exocytosis {GO:2000300}; synaptic vesicle recycling {GO:0036465}</t>
  </si>
  <si>
    <t>calyx of Held {GO:0044305}; centrosome {GO:0005813}; cytosol {GO:0005829}; endosome {GO:0005768}; focal adhesion {GO:0005925}; GABA-ergic synapse {GO:0098982}; glutamatergic synapse {GO:0098978}; lamellipodium {GO:0030027}; mitochondrion {GO:0005739}; mitotic spindle pole {GO:0097431}; neuron projection {GO:0043005}; postsynapse {GO:0098794}; postsynaptic density {GO:0014069}; synapse {GO:0045202}</t>
  </si>
  <si>
    <t>gamma-tubulin binding {GO:0043015}; GTPase activator activity {GO:0005096}; identical protein binding {GO:0042802}; metal ion binding {GO:0046872}; protein-containing complex binding {GO:0044877}; small GTPase binding {GO:0031267}; structural constituent of postsynaptic specialization {GO:0098879}</t>
  </si>
  <si>
    <t>Ephrin signaling {R-MMU-3928664}; RAC1 GTPase cycle {R-MMU-9013149}; RAC2 GTPase cycle {R-MMU-9013404}; RHOQ GTPase cycle {R-MMU-9013406}; RHOU GTPase cycle {R-MMU-9013420}; RAC3 GTPase cycle {R-MMU-9013423}; RHOV GTPase cycle {R-MMU-9013424}</t>
  </si>
  <si>
    <t>sp|Q8BFU3|RN214_MOUSE</t>
  </si>
  <si>
    <t>RING finger protein 214</t>
  </si>
  <si>
    <t>RN214_MOUSE</t>
  </si>
  <si>
    <t>Q8BFU3</t>
  </si>
  <si>
    <t>Q3UWM9; Q6P3A7; Q80VI8; Q8BNZ6; Q8CC56; Q8CCP2; Q8CE92; Q8R5B9</t>
  </si>
  <si>
    <t>MGI:2444451</t>
  </si>
  <si>
    <t>Acetylation; Alternative splicing; Coiled coil; Metal-binding; Phosphoprotein; Zinc; Zinc-finger</t>
  </si>
  <si>
    <t>metal ion binding {GO:0046872}; ubiquitin-protein transferase activity {GO:0004842}</t>
  </si>
  <si>
    <t>sp|Q8BMQ2|TF3C4_MOUSE</t>
  </si>
  <si>
    <t>General transcription factor 3C polypeptide 4</t>
  </si>
  <si>
    <t>TF3C-delta; Transcription factor IIIC 90 kDa subunit (TFIIIC 90 kDa subunit; TFIIIC90); Transcription factor IIIC subunit delta</t>
  </si>
  <si>
    <t>TF3C4_MOUSE</t>
  </si>
  <si>
    <t>Q8BMQ2</t>
  </si>
  <si>
    <t>Q148Y1; Q8BKZ4</t>
  </si>
  <si>
    <t>MGI:2138937</t>
  </si>
  <si>
    <t>Acetylation; Acyltransferase; Alternative splicing; DNA-binding; Isopeptide bond; Nucleus; Phosphoprotein; Transcription; Transferase; Ubl conjugation</t>
  </si>
  <si>
    <t>Acyltransferase; DNA-binding; Transferase</t>
  </si>
  <si>
    <t>transcription initiation at RNA polymerase III promoter {GO:0006384}</t>
  </si>
  <si>
    <t>mitochondrion {GO:0005739}; nucleoplasm {GO:0005654}; transcription factor TFIIIC complex {GO:0000127}</t>
  </si>
  <si>
    <t>DNA binding {GO:0003677}; histone acetyltransferase activity {GO:0004402}; RNA polymerase III general transcription initiation factor activity {GO:0000995}</t>
  </si>
  <si>
    <t>RNA Polymerase III Transcription Initiation From Type 1 Promoter {R-MMU-76061}; RNA Polymerase III Transcription Initiation From Type 2 Promoter {R-MMU-76066}</t>
  </si>
  <si>
    <t>sp|Q7TT50|MRCKB_MOUSE</t>
  </si>
  <si>
    <t>Serine/threonine-protein kinase MRCK beta</t>
  </si>
  <si>
    <t>CDC42-binding protein kinase beta; DMPK-like beta; Myotonic dystrophy kinase-related CDC42-binding kinase beta (MRCK beta; Myotonic dystrophy protein kinase-like beta)</t>
  </si>
  <si>
    <t>MRCKB_MOUSE</t>
  </si>
  <si>
    <t>Q7TT50</t>
  </si>
  <si>
    <t>E9QK15; Q69ZR5; Q80W33</t>
  </si>
  <si>
    <t>MGI:2136459</t>
  </si>
  <si>
    <t>ATP-binding; Cell junction; Cell membrane; Cell projection; Coiled coil; Cytoplasm; Kinase; Magnesium; Membrane; Metal-binding; Methylation; Nucleotide-binding; Phosphoprotein; Serine/threonine-protein kinase; Transferase; Zinc; Zinc-finger</t>
  </si>
  <si>
    <t>actin cytoskeleton organization {GO:0030036}; actin cytoskeleton reorganization {GO:0031532}; actomyosin structure organization {GO:0031032}; cell migration {GO:0016477}; localization {GO:0051179}; peptidyl-threonine phosphorylation {GO:0018107}; protein phosphorylation {GO:0006468}</t>
  </si>
  <si>
    <t>actomyosin {GO:0042641}; cell leading edge {GO:0031252}; cell-cell junction {GO:0005911}; cytoplasm {GO:0005737}; cytoskeleton {GO:0005856}; lamellipodium {GO:0030027}; plasma membrane {GO:0005886}</t>
  </si>
  <si>
    <t>ATP binding {GO:0005524}; magnesium ion binding {GO:0000287}; protein kinase activity {GO:0004672}; protein serine kinase activity {GO:0106310}; protein serine/threonine kinase activity {GO:0004674}; protein-containing complex binding {GO:0044877}; small GTPase binding {GO:0031267}</t>
  </si>
  <si>
    <t>RHOQ GTPase cycle {R-MMU-9013406}</t>
  </si>
  <si>
    <t>sp|Q99KX1|MLF2_MOUSE</t>
  </si>
  <si>
    <t>Myeloid leukemia factor 2</t>
  </si>
  <si>
    <t>Myelodysplasia-myeloid leukemia factor 2</t>
  </si>
  <si>
    <t>MLF2_MOUSE</t>
  </si>
  <si>
    <t>Q99KX1</t>
  </si>
  <si>
    <t>MGI:1353554</t>
  </si>
  <si>
    <t>sp|Q9CRD2|EMC2_MOUSE</t>
  </si>
  <si>
    <t>ER membrane protein complex subunit 2</t>
  </si>
  <si>
    <t>Tetratricopeptide repeat protein 35 (TPR repeat protein 35)</t>
  </si>
  <si>
    <t>EMC2_MOUSE</t>
  </si>
  <si>
    <t>Q9CRD2</t>
  </si>
  <si>
    <t>Q925K1</t>
  </si>
  <si>
    <t>MGI:1913986</t>
  </si>
  <si>
    <t>Acetylation; Endoplasmic reticulum; Membrane; Repeat; TPR repeat</t>
  </si>
  <si>
    <t>cytoplasm {GO:0005737}; EMC complex {GO:0072546}; endoplasmic reticulum {GO:0005783}; endoplasmic reticulum membrane {GO:0005789}; extrinsic component of endoplasmic reticulum membrane {GO:0042406}; mitochondrion {GO:0005739}</t>
  </si>
  <si>
    <t>sp|Q9D8T7|SLIRP_MOUSE</t>
  </si>
  <si>
    <t>SRA stem-loop-interacting RNA-binding protein, mitochondrial</t>
  </si>
  <si>
    <t>SLIRP_MOUSE</t>
  </si>
  <si>
    <t>Q9D8T7</t>
  </si>
  <si>
    <t>Q497G4; Q99JH3</t>
  </si>
  <si>
    <t>MGI:1916394</t>
  </si>
  <si>
    <t>Alternative splicing; Mitochondrion; Nucleus; Phosphoprotein; Repressor; RNA-binding; Transcription; Transcription regulation; Transit peptide</t>
  </si>
  <si>
    <t>flagellated sperm motility {GO:0030317}; mitochondrion morphogenesis {GO:0070584}; negative regulation of mitochondrial RNA catabolic process {GO:0000961}; single fertilization {GO:0007338}; spermatid development {GO:0007286}</t>
  </si>
  <si>
    <t>acrosomal vesicle {GO:0001669}; cytoplasm {GO:0005737}; mitochondrion {GO:0005739}; nucleus {GO:0005634}; perinuclear region of cytoplasm {GO:0048471}; ribonucleoprotein complex {GO:1990904}; sperm flagellum {GO:0036126}</t>
  </si>
  <si>
    <t>sp|Q9QXK7|CPSF3_MOUSE</t>
  </si>
  <si>
    <t>Cleavage and polyadenylation specificity factor subunit 3</t>
  </si>
  <si>
    <t>Cleavage and polyadenylation specificity factor 73 kDa subunit (CPSF 73 kDa subunit; mRNA 3'-end-processing endonuclease CPSF-73)</t>
  </si>
  <si>
    <t>CPSF3_MOUSE</t>
  </si>
  <si>
    <t>Q9QXK7</t>
  </si>
  <si>
    <t>Q8CIM0</t>
  </si>
  <si>
    <t>Cpsf73</t>
  </si>
  <si>
    <t>MGI:1859328</t>
  </si>
  <si>
    <t>Acetylation; Endonuclease; Hydrolase; Isopeptide bond; Metal-binding; mRNA processing; Nuclease; Nucleus; Phosphoprotein; Ribonucleoprotein; RNA-binding; Ubl conjugation; Zinc</t>
  </si>
  <si>
    <t>Endonuclease; Hydrolase; Nuclease; RNA-binding; Ribonucleoprotein</t>
  </si>
  <si>
    <t>mRNA 3'-end processing {GO:0031124}; mRNA 3'-end processing by stem-loop binding and cleavage {GO:0006398}; mRNA polyadenylation {GO:0006378}; positive regulation of G1/S transition of mitotic cell cycle {GO:1900087}; RNA phosphodiester bond hydrolysis, exonucleolytic {GO:0090503}</t>
  </si>
  <si>
    <t>mRNA cleavage and polyadenylation specificity factor complex {GO:0005847}; ribonucleoprotein complex {GO:1990904}</t>
  </si>
  <si>
    <t>5'-3' exonuclease activity {GO:0008409}; 5'-3' exoribonuclease activity {GO:0004534}; endoribonuclease activity {GO:0004521}; metal ion binding {GO:0046872}; RNA binding {GO:0003723}</t>
  </si>
  <si>
    <t>sp|Q8R0A0|T2FB_MOUSE</t>
  </si>
  <si>
    <t>General transcription factor IIF subunit 2</t>
  </si>
  <si>
    <t>Transcription initiation factor IIF subunit beta (TFIIF-beta)</t>
  </si>
  <si>
    <t>T2FB_MOUSE</t>
  </si>
  <si>
    <t>Q8R0A0</t>
  </si>
  <si>
    <t>MGI:1915955</t>
  </si>
  <si>
    <t>positive regulation of transcription by RNA polymerase II {GO:0045944}; RNA polymerase II preinitiation complex assembly {GO:0051123}; transcription by RNA polymerase II {GO:0006366}; transcription elongation by RNA polymerase II promoter {GO:0006368}; transcription initiation at RNA polymerase II promoter {GO:0006367}</t>
  </si>
  <si>
    <t>microtubule cytoskeleton {GO:0015630}; nucleoplasm {GO:0005654}; nucleus {GO:0005634}; transcription factor TFIIF complex {GO:0005674}; transcription factor TFIIH holo complex {GO:0005675}; transcription preinitiation complex {GO:0097550}</t>
  </si>
  <si>
    <t>DNA binding {GO:0003677}; DNA helicase activity {GO:0003678}; RNA polymerase II general transcription initiation factor activity {GO:0016251}</t>
  </si>
  <si>
    <t>Formation of RNA Pol II elongation complex {R-MMU-112382}; Formation of the Early Elongation Complex {R-MMU-113418}; RNA Polymerase II Pre-transcription Events {R-MMU-674695}; TP53 Regulates Transcription of DNA Repair Genes {R-MMU-6796648}; FGFR2 alternative splicing {R-MMU-6803529}; RNA polymerase II transcribes snRNA genes {R-MMU-6807505}; mRNA Capping {R-MMU-72086}; mRNA Splicing - Major Pathway {R-MMU-72163}; mRNA Splicing - Minor Pathway {R-MMU-72165}; Processing of Capped Intron-Containing Pre-mRNA {R-MMU-72203}; RNA Polymerase II Promoter Escape {R-MMU-73776}; RNA Polymerase II Transcription Pre-Initiation And Promoter Opening {R-MMU-73779}; RNA Polymerase II Transcription Initiation {R-MMU-75953}; RNA Polymerase II Transcription Elongation {R-MMU-75955}; RNA Polymerase II Transcription Initiation And Promoter Clearance {R-MMU-76042}; RNA Pol II CTD phosphorylation and interaction with CE {R-MMU-77075}; Estrogen-dependent gene expression {R-MMU-9018519}</t>
  </si>
  <si>
    <t>sp|D3YZP9|CCDC6_MOUSE</t>
  </si>
  <si>
    <t>Coiled-coil domain-containing protein 6</t>
  </si>
  <si>
    <t>CCDC6_MOUSE</t>
  </si>
  <si>
    <t>D3YZP9</t>
  </si>
  <si>
    <t>MGI:1923801</t>
  </si>
  <si>
    <t>Acetylation; Chromosomal rearrangement; Coiled coil; Cytoplasm; Cytoskeleton; Methylation; Phosphoprotein; Repeat; SH3-binding</t>
  </si>
  <si>
    <t>Chromosomal rearrangement</t>
  </si>
  <si>
    <t>cytoskeleton {GO:0005856}; cytosol {GO:0005829}</t>
  </si>
  <si>
    <t>identical protein binding {GO:0042802}; SH3 domain binding {GO:0017124}</t>
  </si>
  <si>
    <t>sp|Q9JME5|AP3B2_MOUSE</t>
  </si>
  <si>
    <t>AP-3 complex subunit beta-2</t>
  </si>
  <si>
    <t>Adaptor protein complex AP-3 subunit beta-2; Adaptor-related protein complex 3 subunit beta-2; Beta-3B-adaptin; Clathrin assembly protein complex 3 beta-2 large chain</t>
  </si>
  <si>
    <t>AP3B2_MOUSE</t>
  </si>
  <si>
    <t>Q9JME5</t>
  </si>
  <si>
    <t>B2RTK2; Q3UYP8; Q6QR53; Q8R1E5</t>
  </si>
  <si>
    <t>MGI:1100869</t>
  </si>
  <si>
    <t>anterograde axonal transport {GO:0008089}; anterograde synaptic vesicle transport {GO:0048490}; clathrin-coated vesicle cargo loading, AP-3-mediated {GO:0035654}; intracellular protein transport {GO:0006886}; intracellular transport {GO:0046907}; synaptic vesicle coating {GO:0016183}; synaptic vesicle recycling {GO:0036465}; vesicle-mediated transport {GO:0016192}</t>
  </si>
  <si>
    <t>AP-3 adaptor complex {GO:0030123}; axon cytoplasm {GO:1904115}; clathrin-coated vesicle membrane {GO:0030665}; early endosome {GO:0005769}; presynapse {GO:0098793}; trans-Golgi network {GO:0005802}</t>
  </si>
  <si>
    <t>sp|E9Q137|TX264_MOUSE</t>
  </si>
  <si>
    <t>Testis-expressed protein 264 homolog</t>
  </si>
  <si>
    <t>TX264_MOUSE</t>
  </si>
  <si>
    <t>E9Q137</t>
  </si>
  <si>
    <t>Q3TXY2; Q99LS5; Q9D7D9</t>
  </si>
  <si>
    <t>MGI:1096570</t>
  </si>
  <si>
    <t>Alternative splicing; Autophagy; Chromosome; Cytoplasm; Cytoplasmic vesicle; DNA damage; DNA repair; Endoplasmic reticulum; Membrane; Nucleus; Phosphoprotein; Transmembrane; Transmembrane helix</t>
  </si>
  <si>
    <t>Chromosome; Cytoplasm; Cytoplasmic vesicle; Endoplasmic reticulum; Membrane; Nucleus</t>
  </si>
  <si>
    <t>protein-DNA covalent cross-linking repair {GO:0106300}; reticulophagy {GO:0061709}</t>
  </si>
  <si>
    <t>autophagosome membrane {GO:0000421}; cytoplasmic vesicle {GO:0031410}; cytosol {GO:0005829}; endoplasmic reticulum {GO:0005783}; endoplasmic reticulum membrane {GO:0005789}; integral component of membrane {GO:0016021}; nucleus {GO:0005634}; replication fork {GO:0005657}</t>
  </si>
  <si>
    <t>signaling receptor activity {GO:0038023}</t>
  </si>
  <si>
    <t>sp|Q9QYR6|MAP1A_MOUSE</t>
  </si>
  <si>
    <t>MAP1 light chain LC2 (MAP-1A)</t>
  </si>
  <si>
    <t>MAP1A_MOUSE</t>
  </si>
  <si>
    <t>Q9QYR6</t>
  </si>
  <si>
    <t>A2ARN9; Q3TQM8; Q3TUV8; Q3UHB7; Q9QZH9; Q9QZI0; Q9QZI1</t>
  </si>
  <si>
    <t>Mtap1; Mtap1a</t>
  </si>
  <si>
    <t>MGI:1306776</t>
  </si>
  <si>
    <t>3D-structure; Alternative splicing; Cytoplasm; Cytoskeleton; Microtubule; Phosphoprotein; Repeat</t>
  </si>
  <si>
    <t>anterograde axonal protein transport {GO:0099641}; associative learning {GO:0008306}; axonogenesis {GO:0007409}; dendrite development {GO:0016358}; memory {GO:0007613}; microtubule cytoskeleton organization {GO:0000226}; negative regulation of microtubule depolymerization {GO:0007026}; negative regulation of proteasomal ubiquitin-dependent protein catabolic process {GO:0032435}; negative regulation of protein localization to microtubule {GO:1902817}; neuron cellular homeostasis {GO:0070050}; neuron projection maintenance {GO:1990535}; photoreceptor cell maintenance {GO:0045494}; positive regulation of protein localization {GO:1903829}; positive regulation of protein localization to cell surface {GO:2000010}; regulation of microtubule depolymerization {GO:0031114}; regulation of synaptic plasticity {GO:0048167}; retrograde axonal protein transport {GO:0099642}; sensory perception of sound {GO:0007605}; voluntary musculoskeletal movement {GO:0050882}</t>
  </si>
  <si>
    <t>axon {GO:0030424}; axon cytoplasm {GO:1904115}; axon initial segment {GO:0043194}; cytoplasm {GO:0005737}; cytosol {GO:0005829}; dendrite {GO:0030425}; dendritic branch {GO:0044307}; dendritic microtubule {GO:1901588}; dendritic shaft {GO:0043198}; microtubule {GO:0005874}; microtubule associated complex {GO:0005875}; neuron projection {GO:0043005}; neuronal cell body {GO:0043025}; photoreceptor outer segment {GO:0001750}; postsynaptic density {GO:0014069}; primary dendrite {GO:0150001}; synapse {GO:0045202}</t>
  </si>
  <si>
    <t>actin binding {GO:0003779}; collagen binding {GO:0005518}; cytoskeletal anchor activity {GO:0008093}; ionotropic glutamate receptor binding {GO:0035255}; microtubule binding {GO:0008017}; tubulin binding {GO:0015631}</t>
  </si>
  <si>
    <t>sp|Q8C1M2|ZN428_MOUSE</t>
  </si>
  <si>
    <t>Zinc finger protein 428</t>
  </si>
  <si>
    <t>ZN428_MOUSE</t>
  </si>
  <si>
    <t>Q8C1M2</t>
  </si>
  <si>
    <t>Q4V9V1; Q8QZT0</t>
  </si>
  <si>
    <t>Zfp428</t>
  </si>
  <si>
    <t>MGI:1916463</t>
  </si>
  <si>
    <t>Metal-binding; Phosphoprotein; Zinc; Zinc-finger</t>
  </si>
  <si>
    <t>sp|Q9D5T0|ATAD1_MOUSE</t>
  </si>
  <si>
    <t>Outer mitochondrial transmembrane helix translocase</t>
  </si>
  <si>
    <t>ATPase family AAA domain-containing protein 1; Thorase</t>
  </si>
  <si>
    <t>ATAD1_MOUSE</t>
  </si>
  <si>
    <t>Q9D5T0</t>
  </si>
  <si>
    <t>Q3U8V2; Q9D7A4</t>
  </si>
  <si>
    <t>MGI:1915229</t>
  </si>
  <si>
    <t>ATP-binding; Cell membrane; Membrane; Mitochondrion; Mitochondrion outer membrane; Nucleotide-binding; Peroxisome; Phosphoprotein; Postsynaptic cell membrane; Synapse; Translocase; Transmembrane; Transmembrane helix</t>
  </si>
  <si>
    <t>Cell membrane; Membrane; Mitochondrion; Mitochondrion outer membrane; Peroxisome; Postsynaptic cell membrane; Synapse</t>
  </si>
  <si>
    <t>extraction of mislocalized protein from mitochondrial outer membrane {GO:0140570}; learning {GO:0007612}; memory {GO:0007613}; negative regulation of synaptic transmission, glutamatergic {GO:0051967}; positive regulation of receptor internalization {GO:0002092}; regulation of postsynaptic neurotransmitter receptor internalization {GO:0099149}</t>
  </si>
  <si>
    <t>anchoring junction {GO:0070161}; glutamatergic synapse {GO:0098978}; integral component of membrane {GO:0016021}; mitochondrial outer membrane {GO:0005741}; mitochondrion {GO:0005739}; peroxisomal membrane {GO:0005778}; postsynapse {GO:0098794}; postsynaptic membrane {GO:0045211}</t>
  </si>
  <si>
    <t>ATP binding {GO:0005524}; ATP hydrolysis activity {GO:0016887}; transmembrane protein dislocase activity {GO:0140567}</t>
  </si>
  <si>
    <t>sp|Q6PHZ2|KCC2D_MOUSE</t>
  </si>
  <si>
    <t>Calcium/calmodulin-dependent protein kinase type II subunit delta (CaM kinase II subunit delta; CaMK-II subunit delta)</t>
  </si>
  <si>
    <t>KCC2D_MOUSE</t>
  </si>
  <si>
    <t>Q6PHZ2</t>
  </si>
  <si>
    <t>Q3UF87; Q3UQH9; Q5DTK4; Q8CAC5; Q9CZE2</t>
  </si>
  <si>
    <t>Kiaa4163</t>
  </si>
  <si>
    <t>MGI:1341265</t>
  </si>
  <si>
    <t>3D-structure; Acetylation; Alternative splicing; ATP-binding; Calmodulin-binding; Cell membrane; Kinase; Membrane; Nucleotide-binding; Phosphoprotein; Sarcoplasmic reticulum; Serine/threonine-protein kinase; Transferase</t>
  </si>
  <si>
    <t>Cell membrane; Membrane; Sarcoplasmic reticulum</t>
  </si>
  <si>
    <t>calcium ion transport {GO:0006816}; cardiac muscle cell contraction {GO:0086003}; cardiac muscle contraction {GO:0060048}; cell growth involved in cardiac muscle cell development {GO:0061049}; cellular potassium ion homeostasis {GO:0030007}; endoplasmic reticulum calcium ion homeostasis {GO:0032469}; G1/S transition of mitotic cell cycle {GO:0000082}; negative regulation of sodium ion transmembrane transport {GO:1902306}; negative regulation of sodium ion transmembrane transporter activity {GO:2000650}; peptidyl-serine phosphorylation {GO:0018105}; peptidyl-threonine phosphorylation {GO:0018107}; positive regulation of cardiac muscle cell apoptotic process {GO:0010666}; positive regulation of cardiac muscle hypertrophy {GO:0010613}; positive regulation of DNA biosynthetic process {GO:2000573}; positive regulation of ERK1 and ERK2 cascade {GO:0070374}; positive regulation of G2/M transition of mitotic cell cycle {GO:0010971}; positive regulation of Rac protein signal transduction {GO:0035022}; positive regulation of smooth muscle cell migration {GO:0014911}; positive regulation of vascular associated smooth muscle cell proliferation {GO:1904707}; protein autophosphorylation {GO:0046777}; protein phosphorylation {GO:0006468}; regulation of calcium ion transmembrane transport via high voltage-gated calcium channel {GO:1902514}; regulation of cardiac muscle cell action potential {GO:0098901}; regulation of cell communication by electrical coupling {GO:0010649}; regulation of cellular localization {GO:0060341}; regulation of membrane depolarization {GO:0003254}; regulation of protein localization to plasma membrane {GO:1903076}; regulation of relaxation of cardiac muscle {GO:1901897}; regulation of release of sequestered calcium ion into cytosol by sarcoplasmic reticulum {GO:0010880}; regulation of sodium ion transport {GO:0002028}; relaxation of cardiac muscle {GO:0055119}; response to hypoxia {GO:0001666}</t>
  </si>
  <si>
    <t>axon initial segment {GO:0043194}; calcium- and calmodulin-dependent protein kinase complex {GO:0005954}; cytoplasm {GO:0005737}; cytosol {GO:0005829}; intercalated disc {GO:0014704}; neuromuscular junction {GO:0031594}; neuron projection {GO:0043005}; neuronal cell body {GO:0043025}; nucleus {GO:0005634}; perinuclear region of cytoplasm {GO:0048471}; protein-containing complex {GO:0032991}; sarcoplasmic reticulum membrane {GO:0033017}; T-tubule {GO:0030315}</t>
  </si>
  <si>
    <t>ATP binding {GO:0005524}; calmodulin binding {GO:0005516}; calmodulin-dependent protein kinase activity {GO:0004683}; identical protein binding {GO:0042802}; nitric-oxide synthase binding {GO:0050998}; protein homodimerization activity {GO:0042803}; protein kinase activity {GO:0004672}; protein serine kinase activity {GO:0106310}; protein serine/threonine kinase activity {GO:0004674}; sodium channel inhibitor activity {GO:0019871}; titin binding {GO:0031432}; transmembrane transporter binding {GO:0044325}</t>
  </si>
  <si>
    <t>sp|Q8C5W3|TBCEL_MOUSE</t>
  </si>
  <si>
    <t>Tubulin-specific chaperone cofactor E-like protein</t>
  </si>
  <si>
    <t>Leucine-rich repeat-containing protein 35</t>
  </si>
  <si>
    <t>TBCEL_MOUSE</t>
  </si>
  <si>
    <t>Q8C5W3</t>
  </si>
  <si>
    <t>B9EID8; Q8C7A5</t>
  </si>
  <si>
    <t>Lrrc35</t>
  </si>
  <si>
    <t>MGI:1925543</t>
  </si>
  <si>
    <t>Alternative splicing; Coiled coil; Cytoplasm; Cytoskeleton; Leucine-rich repeat; Phosphoprotein; Repeat</t>
  </si>
  <si>
    <t>microtubule cytoskeleton organization {GO:0000226}; post-chaperonin tubulin folding pathway {GO:0007023}; tubulin complex assembly {GO:0007021}</t>
  </si>
  <si>
    <t>sp|Q62073|M3K7_MOUSE</t>
  </si>
  <si>
    <t>Mitogen-activated protein kinase kinase kinase 7</t>
  </si>
  <si>
    <t>Transforming growth factor-beta-activated kinase 1 (TGF-beta-activated kinase 1)</t>
  </si>
  <si>
    <t>M3K7_MOUSE</t>
  </si>
  <si>
    <t>Q62073</t>
  </si>
  <si>
    <t>Tak1</t>
  </si>
  <si>
    <t>MGI:1346877</t>
  </si>
  <si>
    <t>Apoptosis; ATP-binding; Cell membrane; Cytoplasm; Isopeptide bond; Kinase; Magnesium; Membrane; Metal-binding; Nucleotide-binding; Phosphoprotein; Serine/threonine-protein kinase; Stress response; Transcription; Transcription regulation; Transferase; Ubl conjugation</t>
  </si>
  <si>
    <t>activation of NF-kappaB-inducing kinase activity {GO:0007250}; angiogenesis {GO:0001525}; anoikis {GO:0043276}; apoptotic signaling pathway {GO:0097190}; bone development {GO:0060348}; histone H3 acetylation {GO:0043966}; I-kappaB kinase/NF-kappaB signaling {GO:0007249}; I-kappaB phosphorylation {GO:0007252}; JNK cascade {GO:0007254}; MAPK cascade {GO:0000165}; negative regulation of apoptotic signaling pathway {GO:2001234}; negative regulation of necroptotic process {GO:0060546}; negative regulation of reactive oxygen species metabolic process {GO:2000378}; negative regulation of ripoptosome assembly involved in necroptotic process {GO:1902443}; neural tube formation {GO:0001841}; osteoblast differentiation {GO:0001649}; peptidyl-threonine phosphorylation {GO:0018107}; positive regulation of I-kappaB kinase/NF-kappaB signaling {GO:0043123}; positive regulation of interleukin-2 production {GO:0032743}; positive regulation of JNK cascade {GO:0046330}; positive regulation of JUN kinase activity {GO:0043507}; positive regulation of macroautophagy {GO:0016239}; positive regulation of MAPK cascade {GO:0043410}; positive regulation of T cell cytokine production {GO:0002726}; protein phosphorylation {GO:0006468}; regulation of reactive oxygen species metabolic process {GO:2000377}; stress-activated MAPK cascade {GO:0051403}; transforming growth factor beta receptor signaling pathway {GO:0007179}</t>
  </si>
  <si>
    <t>ATAC complex {GO:0140672}; cytosol {GO:0005829}; IkappaB kinase complex {GO:0008385}; plasma membrane {GO:0005886}; postsynaptic density {GO:0014069}</t>
  </si>
  <si>
    <t>ATP binding {GO:0005524}; identical protein binding {GO:0042802}; magnesium ion binding {GO:0000287}; MAP kinase activity {GO:0004707}; MAP kinase kinase activity {GO:0004708}; MAP kinase kinase kinase activity {GO:0004709}; MAP kinase kinase kinase kinase activity {GO:0008349}; phosphatase activator activity {GO:0019211}; protein kinase activity {GO:0004672}; protein serine kinase activity {GO:0106310}; protein serine/threonine kinase activator activity {GO:0043539}; protein serine/threonine kinase activity {GO:0004674}; receptor tyrosine kinase binding {GO:0030971}; scaffold protein binding {GO:0097110}</t>
  </si>
  <si>
    <t>NOD1/2 Signaling Pathway {R-MMU-168638}; Downstream TCR signaling {R-MMU-202424}; FCERI mediated NF-kB activation {R-MMU-2871837}; Ca2+ pathway {R-MMU-4086398}; TAK1-dependent IKK and NF-kappa-B activation {R-MMU-445989}; activated TAK1 mediates p38 MAPK activation {R-MMU-450302}; JNK (c-Jun kinases) phosphorylation and activation mediated by activated human TAK1 {R-MMU-450321}; TNFR1-induced NFkappaB signaling pathway {R-MMU-5357956}; CLEC7A (Dectin-1) signaling {R-MMU-5607764}; Ub-specific processing proteases {R-MMU-5689880}; Interleukin-1 signaling {R-MMU-9020702}; IRAK2 mediated activation of TAK1 complex {R-MMU-937042}; TRAF6-mediated induction of TAK1 complex within TLR4 complex {R-MMU-937072}; Alpha-protein kinase 1 signaling pathway {R-MMU-9645460}; IRAK2 mediated activation of TAK1 complex upon TLR7/8 or 9 stimulation {R-MMU-975163}</t>
  </si>
  <si>
    <t>sp|Q9WVR4|FXR2_MOUSE</t>
  </si>
  <si>
    <t>RNA-binding protein FXR2</t>
  </si>
  <si>
    <t>FXR2_MOUSE</t>
  </si>
  <si>
    <t>Q9WVR4</t>
  </si>
  <si>
    <t>Q9WVR5</t>
  </si>
  <si>
    <t>Fxr2h</t>
  </si>
  <si>
    <t>MGI:1346074</t>
  </si>
  <si>
    <t>Cytoplasm; Phosphoprotein; Repeat; RNA-binding</t>
  </si>
  <si>
    <t>negative regulation of translation {GO:0017148}; positive regulation of protein phosphorylation {GO:0001934}; positive regulation of response to DNA damage stimulus {GO:2001022}; positive regulation of translation {GO:0045727}; regulation of alternative mRNA splicing, via spliceosome {GO:0000381}; regulation of filopodium assembly {GO:0051489}; regulation of mRNA stability {GO:0043488}</t>
  </si>
  <si>
    <t>axon {GO:0030424}; cytoplasm {GO:0005737}; cytoplasmic ribonucleoprotein granule {GO:0036464}; cytosol {GO:0005829}; dendrite {GO:0030425}; dendritic filopodium {GO:1902737}; dendritic spine {GO:0043197}; dendritic spine neck {GO:0044326}; glutamatergic synapse {GO:0098978}; growth cone {GO:0030426}; membrane {GO:0016020}; neuronal cell body {GO:0043025}; nucleus {GO:0005634}; polysome {GO:0005844}; postsynapse {GO:0098794}; postsynaptic density {GO:0014069}; presynapse {GO:0098793}</t>
  </si>
  <si>
    <t>identical protein binding {GO:0042802}; mRNA 3'-UTR binding {GO:0003730}; protein heterodimerization activity {GO:0046982}; protein homodimerization activity {GO:0042803}; translation regulator activity {GO:0045182}</t>
  </si>
  <si>
    <t>sp|P61620|S61A1_MOUSE</t>
  </si>
  <si>
    <t>Protein transport protein Sec61 subunit alpha isoform 1 (Sec61 alpha-1)</t>
  </si>
  <si>
    <t>S61A1_MOUSE</t>
  </si>
  <si>
    <t>P61620</t>
  </si>
  <si>
    <t>P38378; P57726; Q3TXA5</t>
  </si>
  <si>
    <t>Sec61a</t>
  </si>
  <si>
    <t>MGI:1858417</t>
  </si>
  <si>
    <t>Developmental protein; Endoplasmic reticulum; Membrane; Protein transport; Translocation; Transmembrane; Transmembrane helix; Transport</t>
  </si>
  <si>
    <t>cotranslational protein targeting to membrane {GO:0006613}; endoplasmic reticulum organization {GO:0007029}; post-translational protein targeting to endoplasmic reticulum membrane {GO:0006620}; post-translational protein targeting to membrane, translocation {GO:0031204}; pronephric nephron development {GO:0039019}; protein insertion into ER membrane {GO:0045048}; SRP-dependent cotranslational protein targeting to membrane {GO:0006614}; SRP-dependent cotranslational protein targeting to membrane, translocation {GO:0006616}</t>
  </si>
  <si>
    <t>endoplasmic reticulum membrane {GO:0005789}; integral component of endoplasmic reticulum membrane {GO:0030176}; membrane {GO:0016020}; phagocytic vesicle membrane {GO:0030670}; rough endoplasmic reticulum {GO:0005791}; Sec61 translocon complex {GO:0005784}</t>
  </si>
  <si>
    <t>calcium channel activity {GO:0005262}; protein transmembrane transporter activity {GO:0008320}; ribosome binding {GO:0043022}; signal sequence binding {GO:0005048}; transmembrane transporter activity {GO:0022857}</t>
  </si>
  <si>
    <t>sp|P84086|CPLX2_MOUSE</t>
  </si>
  <si>
    <t>Complexin-2</t>
  </si>
  <si>
    <t>921-L; Complexin II (CPX II); Synaphin-1</t>
  </si>
  <si>
    <t>CPLX2_MOUSE</t>
  </si>
  <si>
    <t>P84086</t>
  </si>
  <si>
    <t>O09056; Q13329; Q28184; Q32KK4; Q64386</t>
  </si>
  <si>
    <t>MGI:104726</t>
  </si>
  <si>
    <t>Cell projection; Coiled coil; Cytoplasm; Differentiation; Exocytosis; Mast cell degranulation; Neurogenesis; Neurotransmitter transport; Nucleus; Phosphoprotein; Synapse; Transport</t>
  </si>
  <si>
    <t>Differentiation; Exocytosis; Mast cell degranulation; Neurogenesis; Neurotransmitter transport; Transport</t>
  </si>
  <si>
    <t>cell differentiation {GO:0030154}; mast cell degranulation {GO:0043303}; nervous system development {GO:0007399}; positive regulation of synaptic plasticity {GO:0031915}; regulation of neurotransmitter secretion {GO:0046928}; regulation of synaptic vesicle fusion to presynaptic active zone membrane {GO:0031630}; synaptic vesicle exocytosis {GO:0016079}</t>
  </si>
  <si>
    <t>anchoring junction {GO:0070161}; calyx of Held {GO:0044305}; cytosol {GO:0005829}; dendrite {GO:0030425}; glutamatergic synapse {GO:0098978}; neuronal cell body {GO:0043025}; nucleus {GO:0005634}; perikaryon {GO:0043204}; postsynapse {GO:0098794}; presynapse {GO:0098793}; SNARE complex {GO:0031201}; synapse {GO:0045202}; synaptobrevin 2-SNAP-25-syntaxin-1a-complexin II complex {GO:0070033}; terminal bouton {GO:0043195}</t>
  </si>
  <si>
    <t>calcium-dependent protein binding {GO:0048306}; SNARE binding {GO:0000149}; syntaxin-1 binding {GO:0017075}</t>
  </si>
  <si>
    <t>sp|Q8R574|KPRB_MOUSE</t>
  </si>
  <si>
    <t>Phosphoribosyl pyrophosphate synthase-associated protein 2 (PRPP synthase-associated protein 2)</t>
  </si>
  <si>
    <t>41 kDa phosphoribosypyrophosphate synthetase-associated protein (PAP41)</t>
  </si>
  <si>
    <t>KPRB_MOUSE</t>
  </si>
  <si>
    <t>Q8R574</t>
  </si>
  <si>
    <t>MGI:2384838</t>
  </si>
  <si>
    <t>Acetylation; Nucleotide biosynthesis; Phosphoprotein</t>
  </si>
  <si>
    <t>5-phosphoribose 1-diphosphate biosynthetic process {GO:0006015}; bone development {GO:0060348}; purine nucleotide biosynthetic process {GO:0006164}</t>
  </si>
  <si>
    <t>cytoplasm {GO:0005737}; protein-containing complex {GO:0032991}; ribose phosphate diphosphokinase complex {GO:0002189}</t>
  </si>
  <si>
    <t>identical protein binding {GO:0042802}; magnesium ion binding {GO:0000287}; ribose phosphate diphosphokinase activity {GO:0004749}</t>
  </si>
  <si>
    <t>sp|Q05CL8|LARP7_MOUSE</t>
  </si>
  <si>
    <t>La-related protein 7</t>
  </si>
  <si>
    <t>La ribonucleoprotein domain family member 7</t>
  </si>
  <si>
    <t>LARP7_MOUSE</t>
  </si>
  <si>
    <t>Q05CL8</t>
  </si>
  <si>
    <t>Q3TSC2; Q8K2Y6; Q8VDW3; Q9CSI2; Q9CSI9; Q9CUQ5</t>
  </si>
  <si>
    <t>MGI:107634</t>
  </si>
  <si>
    <t>Acetylation; Alternative splicing; Differentiation; Isopeptide bond; mRNA processing; mRNA splicing; Nucleus; Phosphoprotein; RNA-binding; Spermatogenesis; Transcription; Transcription regulation; Ubl conjugation</t>
  </si>
  <si>
    <t>Differentiation; Spermatogenesis; Transcription; Transcription regulation; mRNA processing; mRNA splicing</t>
  </si>
  <si>
    <t>box C/D RNA 3'-end processing {GO:0000494}; cell differentiation {GO:0030154}; germ cell proliferation {GO:0036093}; mRNA processing {GO:0006397}; negative regulation of chromatin binding {GO:0035562}; negative regulation of transcription by RNA polymerase II {GO:0000122}; negative regulation of viral transcription {GO:0032897}; positive regulation of G1/S transition of mitotic cell cycle {GO:1900087}; positive regulation of protein localization to Cajal body {GO:1904871}; positive regulation of snRNA transcription by RNA polymerase II {GO:1905382}; regulation of mRNA splicing, via spliceosome {GO:0048024}; RNA splicing {GO:0008380}; spermatogenesis {GO:0007283}; U6 2'-O-snRNA methylation {GO:1990438}</t>
  </si>
  <si>
    <t>7SK snRNP {GO:0120259}; cytosol {GO:0005829}; nucleoplasm {GO:0005654}; nucleus {GO:0005634}; ribonucleoprotein complex {GO:1990904}; small nuclear ribonucleoprotein complex {GO:0030532}</t>
  </si>
  <si>
    <t>7SK snRNA binding {GO:0097322}; RNA binding {GO:0003723}; U6 snRNA binding {GO:0017070}</t>
  </si>
  <si>
    <t>sp|Q8BH74|NU107_MOUSE</t>
  </si>
  <si>
    <t>Nuclear pore complex protein Nup107</t>
  </si>
  <si>
    <t>107 kDa nucleoporin; Nucleoporin Nup107</t>
  </si>
  <si>
    <t>NU107_MOUSE</t>
  </si>
  <si>
    <t>Q8BH74</t>
  </si>
  <si>
    <t>Q99KH5</t>
  </si>
  <si>
    <t>MGI:2143854</t>
  </si>
  <si>
    <t>Acetylation; Centromere; Chromosome; Kinetochore; Membrane; Methylation; mRNA transport; Nuclear pore complex; Nucleus; Phosphoprotein; Protein transport; Translocation; Transport</t>
  </si>
  <si>
    <t>Centromere; Chromosome; Kinetochore; Membrane; Nuclear pore complex; Nucleus</t>
  </si>
  <si>
    <t>female gonad development {GO:0008585}; mRNA export from nucleus {GO:0006406}; nephron development {GO:0072006}; nuclear pore complex assembly {GO:0051292}; nucleocytoplasmic transport {GO:0006913}; post-transcriptional tethering of RNA polymerase II gene DNA at nuclear periphery {GO:0000973}; protein import into nucleus {GO:0006606}; regulation of DNA-templated transcription {GO:0006355}</t>
  </si>
  <si>
    <t>kinetochore {GO:0000776}; nuclear envelope {GO:0005635}; nuclear membrane {GO:0031965}; nuclear periphery {GO:0034399}; nuclear pore {GO:0005643}; nuclear pore outer ring {GO:0031080}</t>
  </si>
  <si>
    <t>sp|Q3UQ44|IQGA2_MOUSE</t>
  </si>
  <si>
    <t>Ras GTPase-activating-like protein IQGAP2</t>
  </si>
  <si>
    <t>IQGA2_MOUSE</t>
  </si>
  <si>
    <t>Q3UQ44</t>
  </si>
  <si>
    <t>MGI:2449975</t>
  </si>
  <si>
    <t>Calmodulin-binding; Phosphoprotein; Repeat</t>
  </si>
  <si>
    <t>Arp2/3 complex-mediated actin nucleation {GO:0034314}; regulation of actin cytoskeleton organization {GO:0032956}; regulation of actin cytoskeleton reorganization {GO:2000249}; regulation of GTPase activity {GO:0043087}; thrombin-activated receptor signaling pathway {GO:0070493}</t>
  </si>
  <si>
    <t>cell surface {GO:0009986}; cytoplasm {GO:0005737}; filopodium {GO:0030175}; lamellipodium {GO:0030027}; microtubule {GO:0005874}; microvillus {GO:0005902}</t>
  </si>
  <si>
    <t>actin filament binding {GO:0051015}; Arp2/3 complex binding {GO:0071933}; calmodulin binding {GO:0005516}; GTPase activator activity {GO:0005096}; phosphatidylinositol-3,4,5-trisphosphate binding {GO:0005547}; small GTPase binding {GO:0031267}</t>
  </si>
  <si>
    <t>RHO GTPases activate IQGAPs {R-MMU-5626467}; Neutrophil degranulation {R-MMU-6798695}; RAC1 GTPase cycle {R-MMU-9013149}; RHOG GTPase cycle {R-MMU-9013408}</t>
  </si>
  <si>
    <t>sp|Q8K284|TF3C1_MOUSE</t>
  </si>
  <si>
    <t>General transcription factor 3C polypeptide 1</t>
  </si>
  <si>
    <t>TF3C-alpha; TFIIIC box B-binding subunit; Transcription factor IIIC 220 kDa subunit (TFIIIC 220 kDa subunit; TFIIIC220); Transcription factor IIIC subunit alpha</t>
  </si>
  <si>
    <t>TF3C1_MOUSE</t>
  </si>
  <si>
    <t>Q8K284</t>
  </si>
  <si>
    <t>Q8CAL9</t>
  </si>
  <si>
    <t>MGI:107887</t>
  </si>
  <si>
    <t>Alternative splicing; DNA-binding; Isopeptide bond; Nucleus; Phosphoprotein; Transcription; Ubl conjugation</t>
  </si>
  <si>
    <t>5S class rRNA transcription by RNA polymerase III {GO:0042791}; transcription initiation at RNA polymerase III promoter {GO:0006384}</t>
  </si>
  <si>
    <t>nucleolus {GO:0005730}; nucleoplasm {GO:0005654}; ribonucleoprotein complex {GO:1990904}; transcription factor TFIIIC complex {GO:0000127}</t>
  </si>
  <si>
    <t>DNA binding {GO:0003677}; RNA polymerase III general transcription initiation factor activity {GO:0000995}</t>
  </si>
  <si>
    <t>sp|Q8N7N5|DCAF8_MOUSE</t>
  </si>
  <si>
    <t>DDB1- and CUL4-associated factor 8</t>
  </si>
  <si>
    <t>WD repeat-containing protein 42A</t>
  </si>
  <si>
    <t>DCAF8_MOUSE</t>
  </si>
  <si>
    <t>Q8N7N5</t>
  </si>
  <si>
    <t>Q8CII7; Q8CIK6</t>
  </si>
  <si>
    <t>D1Ucla4; H326; Wdr42a</t>
  </si>
  <si>
    <t>MGI:91860</t>
  </si>
  <si>
    <t>Alternative splicing; Cytoplasm; Methylation; Nucleus; Phosphoprotein; Repeat; Ubl conjugation pathway; WD repeat</t>
  </si>
  <si>
    <t>Cul4-RING E3 ubiquitin ligase complex {GO:0080008}; cytoplasm {GO:0005737}; cytosol {GO:0005829}; mitochondrion {GO:0005739}; nucleoplasm {GO:0005654}; nucleus {GO:0005634}</t>
  </si>
  <si>
    <t>sp|Q91W67|UBL7_MOUSE</t>
  </si>
  <si>
    <t>Ubiquitin-like protein 7</t>
  </si>
  <si>
    <t>UBL7_MOUSE</t>
  </si>
  <si>
    <t>Q91W67</t>
  </si>
  <si>
    <t>E9Q1S0; Q9D7P5</t>
  </si>
  <si>
    <t>MGI:1916709</t>
  </si>
  <si>
    <t>3D-structure; Phosphoprotein; Ubl conjugation pathway</t>
  </si>
  <si>
    <t>polyubiquitin modification-dependent protein binding {GO:0031593}</t>
  </si>
  <si>
    <t>sp|Q8CCT4|TCAL5_MOUSE</t>
  </si>
  <si>
    <t>Transcription elongation factor A protein-like 5 (TCEA-like protein 5)</t>
  </si>
  <si>
    <t>Transcription elongation factor S-II protein-like 5</t>
  </si>
  <si>
    <t>TCAL5_MOUSE</t>
  </si>
  <si>
    <t>Q8CCT4</t>
  </si>
  <si>
    <t>Q497R6</t>
  </si>
  <si>
    <t>MGI:3036236</t>
  </si>
  <si>
    <t>Nucleus; Transcription; Transcription regulation</t>
  </si>
  <si>
    <t>WW domain binding {GO:0050699}</t>
  </si>
  <si>
    <t>sp|Q8JZN5|ACAD9_MOUSE</t>
  </si>
  <si>
    <t>Complex I assembly factor ACAD9, mitochondrial</t>
  </si>
  <si>
    <t>Acyl-CoA dehydrogenase family member 9 (ACAD-9)</t>
  </si>
  <si>
    <t>ACAD9_MOUSE</t>
  </si>
  <si>
    <t>Q8JZN5</t>
  </si>
  <si>
    <t>Q3ULL9; Q8BK76; Q8C0B5</t>
  </si>
  <si>
    <t>MGI:1914272</t>
  </si>
  <si>
    <t>Acetylation; FAD; Flavoprotein; Membrane; Mitochondrion; Mitochondrion inner membrane; Oxidoreductase; Phosphoprotein; Transit peptide</t>
  </si>
  <si>
    <t>fatty acid beta-oxidation {GO:0006635}; long-chain fatty acid metabolic process {GO:0001676}; medium-chain fatty acid metabolic process {GO:0051791}; mitochondrial respiratory chain complex I assembly {GO:0032981}</t>
  </si>
  <si>
    <t>dendrite {GO:0030425}; mitochondrial inner membrane {GO:0005743}; mitochondrial membrane {GO:0031966}; mitochondrion {GO:0005739}; nucleus {GO:0005634}</t>
  </si>
  <si>
    <t>acyl-CoA dehydrogenase activity {GO:0003995}; fatty-acyl-CoA binding {GO:0000062}; flavin adenine dinucleotide binding {GO:0050660}; long-chain-acyl-CoA dehydrogenase activity {GO:0004466}; medium-chain-acyl-CoA dehydrogenase activity {GO:0070991}; very-long-chain-acyl-CoA dehydrogenase activity {GO:0017099}</t>
  </si>
  <si>
    <t>sp|Q9D6U8|F162A_MOUSE</t>
  </si>
  <si>
    <t>Protein FAM162A</t>
  </si>
  <si>
    <t>E2-induced gene 5 protein homolog; Growth and transformation-dependent protein (HGTD-P)</t>
  </si>
  <si>
    <t>F162A_MOUSE</t>
  </si>
  <si>
    <t>Q9D6U8</t>
  </si>
  <si>
    <t>E2ig5</t>
  </si>
  <si>
    <t>MGI:1917436</t>
  </si>
  <si>
    <t>Apoptosis; Membrane; Mitochondrion; Transmembrane; Transmembrane helix</t>
  </si>
  <si>
    <t>activation of cysteine-type endopeptidase activity involved in apoptotic process {GO:0006919}; cellular response to hypoxia {GO:0071456}; neuron apoptotic process {GO:0051402}; positive regulation of apoptotic process {GO:0043065}; positive regulation of release of cytochrome c from mitochondria {GO:0090200}</t>
  </si>
  <si>
    <t>cytosol {GO:0005829}; integral component of membrane {GO:0016021}; mitochondrial membrane {GO:0031966}; mitochondrion {GO:0005739}</t>
  </si>
  <si>
    <t>sp|Q80TB8|VAT1L_MOUSE</t>
  </si>
  <si>
    <t>Synaptic vesicle membrane protein VAT-1 homolog-like</t>
  </si>
  <si>
    <t>VAT1L_MOUSE</t>
  </si>
  <si>
    <t>Q80TB8</t>
  </si>
  <si>
    <t>Q6PGM9</t>
  </si>
  <si>
    <t>Kiaa1576</t>
  </si>
  <si>
    <t>MGI:2142534</t>
  </si>
  <si>
    <t>Oxidoreductase; Phosphoprotein</t>
  </si>
  <si>
    <t>sp|E9Q414|APOB_MOUSE</t>
  </si>
  <si>
    <t>Apolipoprotein B-48 (Apo B-100; Apo B-48)</t>
  </si>
  <si>
    <t>APOB_MOUSE</t>
  </si>
  <si>
    <t>E9Q414</t>
  </si>
  <si>
    <t>Q3UH74; Q497D8; Q61314; Q61318; Q8CGG8</t>
  </si>
  <si>
    <t>MGI:88052</t>
  </si>
  <si>
    <t>Acetylation; Cholesterol metabolism; Chylomicron; Coiled coil; Cytoplasm; Disulfide bond; Glycoprotein; Heparin-binding; LDL; Lipid droplet; Lipid metabolism; Lipid transport; Lipoprotein; Palmitate; Phosphoprotein; Repeat; RNA editing; Secreted; Signal; Steroid metabolism; Sterol metabolism; Transport; VLDL</t>
  </si>
  <si>
    <t>Chylomicron; Cytoplasm; LDL; Lipid droplet; Secreted; VLDL</t>
  </si>
  <si>
    <t>Acetylation; Disulfide bond; Glycoprotein; Lipoprotein; Palmitate; Phosphoprotein</t>
  </si>
  <si>
    <t>artery morphogenesis {GO:0048844}; cellular response to prostaglandin stimulus {GO:0071379}; cellular response to tumor necrosis factor {GO:0071356}; cholesterol efflux {GO:0033344}; cholesterol homeostasis {GO:0042632}; cholesterol metabolic process {GO:0008203}; cholesterol transport {GO:0030301}; establishment of localization in cell {GO:0051649}; fertilization {GO:0009566}; flagellated sperm motility {GO:0030317}; in utero embryonic development {GO:0001701}; lipid catabolic process {GO:0016042}; lipid metabolic process {GO:0006629}; lipoprotein biosynthetic process {GO:0042158}; lipoprotein catabolic process {GO:0042159}; lipoprotein metabolic process {GO:0042157}; lipoprotein transport {GO:0042953}; low-density lipoprotein particle clearance {GO:0034383}; low-density lipoprotein particle remodeling {GO:0034374}; nervous system development {GO:0007399}; positive regulation of cholesterol storage {GO:0010886}; positive regulation of gene expression {GO:0010628}; positive regulation of lipid storage {GO:0010884}; positive regulation of macrophage derived foam cell differentiation {GO:0010744}; post-embryonic development {GO:0009791}; regulation of cholesterol biosynthetic process {GO:0045540}; response to carbohydrate {GO:0009743}; response to estradiol {GO:0032355}; response to lipopolysaccharide {GO:0032496}; response to selenium ion {GO:0010269}; response to virus {GO:0009615}; spermatogenesis {GO:0007283}; triglyceride catabolic process {GO:0019433}; triglyceride mobilization {GO:0006642}</t>
  </si>
  <si>
    <t>chylomicron {GO:0042627}; cytoplasm {GO:0005737}; cytosol {GO:0005829}; endoplasmic reticulum {GO:0005783}; endoplasmic reticulum exit site {GO:0070971}; extracellular region {GO:0005576}; extracellular space {GO:0005615}; high-density lipoprotein particle {GO:0034364}; intermediate-density lipoprotein particle {GO:0034363}; intracellular membrane-bounded organelle {GO:0043231}; lipid droplet {GO:0005811}; low-density lipoprotein particle {GO:0034362}; mature chylomicron {GO:0034359}; neuronal cell body {GO:0043025}; very-low-density lipoprotein particle {GO:0034361}; vesicle lumen {GO:0031983}; vesicle membrane {GO:0012506}</t>
  </si>
  <si>
    <t>cholesterol transfer activity {GO:0120020}; heparin binding {GO:0008201}; lipase binding {GO:0035473}; low-density lipoprotein particle receptor binding {GO:0050750}; phospholipid binding {GO:0005543}</t>
  </si>
  <si>
    <t>Cell surface interactions at the vascular wall {R-MMU-202733}; Scavenging by Class B Receptors {R-MMU-3000471}; Scavenging by Class A Receptors {R-MMU-3000480}; Scavenging by Class H Receptors {R-MMU-3000497}; Regulation of Insulin-like Growth Factor (IGF) transport and uptake by Insulin-like Growth Factor Binding Proteins (IGFBPs) {R-MMU-381426}; Platelet sensitization by LDL {R-MMU-432142}; Regulation of TLR by endogenous ligand {R-MMU-5686938}; Cargo recognition for clathrin-mediated endocytosis {R-MMU-8856825}; Clathrin-mediated endocytosis {R-MMU-8856828}; VLDL assembly {R-MMU-8866423}; Post-translational protein phosphorylation {R-MMU-8957275}; Chylomicron assembly {R-MMU-8963888}; Chylomicron remodeling {R-MMU-8963901}; Chylomicron clearance {R-MMU-8964026}; LDL clearance {R-MMU-8964038}; LDL remodeling {R-MMU-8964041}; VLDL clearance {R-MMU-8964046}; Heme signaling {R-MMU-9707616}; Retinoid metabolism and transport {R-MMU-975634}</t>
  </si>
  <si>
    <t>sp|Q8R349|CDC16_MOUSE</t>
  </si>
  <si>
    <t>Cell division cycle protein 16 homolog</t>
  </si>
  <si>
    <t>Anaphase-promoting complex subunit 6 (APC6); Cyclosome subunit 6</t>
  </si>
  <si>
    <t>CDC16_MOUSE</t>
  </si>
  <si>
    <t>Q8R349</t>
  </si>
  <si>
    <t>Q9CYX9</t>
  </si>
  <si>
    <t>Anapc6</t>
  </si>
  <si>
    <t>MGI:1917207</t>
  </si>
  <si>
    <t>Cell cycle; Cell division; Mitosis; Phosphoprotein; Repeat; TPR repeat; Ubl conjugation pathway</t>
  </si>
  <si>
    <t>anaphase-promoting complex-dependent catabolic process {GO:0031145}; cell division {GO:0051301}; metaphase/anaphase transition of mitotic cell cycle {GO:0007091}; positive regulation of mitotic metaphase/anaphase transition {GO:0045842}; protein K11-linked ubiquitination {GO:0070979}; protein ubiquitination {GO:0016567}</t>
  </si>
  <si>
    <t>anaphase-promoting complex {GO:0005680}; centrosome {GO:0005813}; cytoplasm {GO:0005737}; mitotic spindle {GO:0072686}; nucleus {GO:0005634}</t>
  </si>
  <si>
    <t>sp|Q99LS3|SERB_MOUSE</t>
  </si>
  <si>
    <t>Phosphoserine phosphatase (PSP; PSPase)</t>
  </si>
  <si>
    <t>O-phosphoserine phosphohydrolase</t>
  </si>
  <si>
    <t>SERB_MOUSE</t>
  </si>
  <si>
    <t>Q99LS3</t>
  </si>
  <si>
    <t>Q3TI16; Q5XHW3</t>
  </si>
  <si>
    <t>MGI:97788</t>
  </si>
  <si>
    <t>Acetylation; Amino-acid biosynthesis; Cytoplasm; Hydrolase; Magnesium; Metal-binding; Serine biosynthesis</t>
  </si>
  <si>
    <t>dephosphorylation {GO:0016311}; in utero embryonic development {GO:0001701}; L-serine biosynthetic process {GO:0006564}; L-serine metabolic process {GO:0006563}; response to mechanical stimulus {GO:0009612}; response to nutrient levels {GO:0031667}; response to testosterone {GO:0033574}</t>
  </si>
  <si>
    <t>cytoplasm {GO:0005737}; cytosol {GO:0005829}; neuron projection {GO:0043005}</t>
  </si>
  <si>
    <t>identical protein binding {GO:0042802}; L-phosphoserine phosphatase activity {GO:0036424}; magnesium ion binding {GO:0000287}; protein homodimerization activity {GO:0042803}</t>
  </si>
  <si>
    <t>Amino-acid biosynthesis; L-serine biosynthesis; L-serine from 3-phospho-D-glycerate: step 3/3..</t>
  </si>
  <si>
    <t>sp|Q9Z2M7|PMM2_MOUSE</t>
  </si>
  <si>
    <t>Phosphomannomutase 2 (PMM 2)</t>
  </si>
  <si>
    <t>PMM2_MOUSE</t>
  </si>
  <si>
    <t>Q9Z2M7</t>
  </si>
  <si>
    <t>MGI:1859214</t>
  </si>
  <si>
    <t>Acetylation; Cytoplasm; Isomerase; Magnesium; Metal-binding</t>
  </si>
  <si>
    <t>GDP-mannose biosynthetic process {GO:0009298}; mannose metabolic process {GO:0006013}; protein N-linked glycosylation {GO:0006487}</t>
  </si>
  <si>
    <t>cytoplasm {GO:0005737}; cytosol {GO:0005829}; neuronal cell body {GO:0043025}; nucleoplasm {GO:0005654}</t>
  </si>
  <si>
    <t>metal ion binding {GO:0046872}; phosphomannomutase activity {GO:0004615}</t>
  </si>
  <si>
    <t>Nucleotide-sugar biosynthesis; GDP-alpha-D-mannose biosynthesis; alpha-D-mannose 1-phosphate from D-fructose 6-phosphate: step 2/2.</t>
  </si>
  <si>
    <t>sp|Q99LB6|MAT2B_MOUSE</t>
  </si>
  <si>
    <t>Methionine adenosyltransferase 2 subunit beta</t>
  </si>
  <si>
    <t>Methionine adenosyltransferase II beta (MAT II beta)</t>
  </si>
  <si>
    <t>MAT2B_MOUSE</t>
  </si>
  <si>
    <t>Q99LB6</t>
  </si>
  <si>
    <t>Q5NC89; Q76LX2; Q8BVX6; Q8BYT9</t>
  </si>
  <si>
    <t>MGI:1913667</t>
  </si>
  <si>
    <t>Alternative splicing; NADP; One-carbon metabolism; Phosphoprotein</t>
  </si>
  <si>
    <t>one-carbon metabolic process {GO:0006730}; S-adenosylmethionine biosynthetic process {GO:0006556}</t>
  </si>
  <si>
    <t>methionine adenosyltransferase complex {GO:0048269}; mitochondrion {GO:0005739}; nucleus {GO:0005634}</t>
  </si>
  <si>
    <t>enzyme binding {GO:0019899}; methionine adenosyltransferase regulator activity {GO:0048270}</t>
  </si>
  <si>
    <t>Methylation {R-MMU-156581}; Ub-specific processing proteases {R-MMU-5689880}</t>
  </si>
  <si>
    <t>sp|Q9CPR7|SIKE1_MOUSE</t>
  </si>
  <si>
    <t>Suppressor of IKBKE 1</t>
  </si>
  <si>
    <t>Suppressor of IKK-epsilon</t>
  </si>
  <si>
    <t>SIKE1_MOUSE</t>
  </si>
  <si>
    <t>Q9CPR7</t>
  </si>
  <si>
    <t>Q8CBP5</t>
  </si>
  <si>
    <t>MGI:1913891</t>
  </si>
  <si>
    <t>sp|Q61703|ITIH2_MOUSE</t>
  </si>
  <si>
    <t>Inter-alpha-trypsin inhibitor heavy chain H2 (ITI heavy chain H2; ITI-HC2; Inter-alpha-inhibitor heavy chain 2)</t>
  </si>
  <si>
    <t>ITIH2_MOUSE</t>
  </si>
  <si>
    <t>Q61703</t>
  </si>
  <si>
    <t>A2AKU6; Q3UZM0</t>
  </si>
  <si>
    <t>MGI:96619</t>
  </si>
  <si>
    <t>Gamma-carboxyglutamic acid; Glycoprotein; Phosphoprotein; Protease inhibitor; Proteoglycan; Secreted; Serine protease inhibitor; Signal</t>
  </si>
  <si>
    <t>Gamma-carboxyglutamic acid; Glycoprotein; Phosphoprotein; Proteoglycan</t>
  </si>
  <si>
    <t>hyaluronan metabolic process {GO:0030212}</t>
  </si>
  <si>
    <t>collagen-containing extracellular matrix {GO:0062023}; extracellular region {GO:0005576}</t>
  </si>
  <si>
    <t>hyaluronic acid binding {GO:0005540}; serine-type endopeptidase inhibitor activity {GO:0004867}</t>
  </si>
  <si>
    <t>sp|O55106|STRN_MOUSE</t>
  </si>
  <si>
    <t>Striatin</t>
  </si>
  <si>
    <t>STRN_MOUSE</t>
  </si>
  <si>
    <t>O55106</t>
  </si>
  <si>
    <t>B2RWV9; Q5BKR9</t>
  </si>
  <si>
    <t>MGI:1333757</t>
  </si>
  <si>
    <t>Calmodulin-binding; Cell projection; Coiled coil; Cytoplasm; Membrane; Phosphoprotein; Repeat; Synapse; WD repeat</t>
  </si>
  <si>
    <t>Cell projection; Cytoplasm; Membrane; Synapse</t>
  </si>
  <si>
    <t>dendrite development {GO:0016358}; locomotory behavior {GO:0007626}; negative regulation of cell population proliferation {GO:0008285}; Wnt signaling pathway {GO:0016055}</t>
  </si>
  <si>
    <t>bicellular tight junction {GO:0005923}; cytoplasm {GO:0005737}; dendrite {GO:0030425}; dendritic spine {GO:0043197}; FAR/SIN/STRIPAK complex {GO:0090443}; membrane {GO:0016020}; neuronal cell body {GO:0043025}; postsynaptic density {GO:0014069}; postsynaptic membrane {GO:0045211}; protein-containing complex {GO:0032991}</t>
  </si>
  <si>
    <t>armadillo repeat domain binding {GO:0070016}; calmodulin binding {GO:0005516}; nuclear estrogen receptor binding {GO:0030331}; protein domain specific binding {GO:0019904}; protein phosphatase 2A binding {GO:0051721}; protein-containing complex binding {GO:0044877}</t>
  </si>
  <si>
    <t>PIP3 activates AKT signaling {R-MMU-1257604}; PI5P, PP2A and IER3 Regulate PI3K/AKT Signaling {R-MMU-6811558}; Extra-nuclear estrogen signaling {R-MMU-9009391}</t>
  </si>
  <si>
    <t>sp|Q3TQI7|TLS1_MOUSE</t>
  </si>
  <si>
    <t>Telomere length and silencing protein 1 homolog</t>
  </si>
  <si>
    <t>TLS1_MOUSE</t>
  </si>
  <si>
    <t>Q3TQI7</t>
  </si>
  <si>
    <t>Q99JW3</t>
  </si>
  <si>
    <t>MGI:2385132</t>
  </si>
  <si>
    <t>cytosol {GO:0005829}; nucleoplasm {GO:0005654}; spliceosomal complex {GO:0005681}</t>
  </si>
  <si>
    <t>sp|Q9D906|ATG7_MOUSE</t>
  </si>
  <si>
    <t>Ubiquitin-like modifier-activating enzyme ATG7</t>
  </si>
  <si>
    <t>ATG12-activating enzyme E1 ATG7; Autophagy-related protein 7 (APG7-like; mAGP7); Ubiquitin-activating enzyme E1-like protein</t>
  </si>
  <si>
    <t>ATG7_MOUSE</t>
  </si>
  <si>
    <t>Q9D906</t>
  </si>
  <si>
    <t>Q3TCD9; Q8K4Q5</t>
  </si>
  <si>
    <t>Apg7l</t>
  </si>
  <si>
    <t>MGI:1921494</t>
  </si>
  <si>
    <t>Acetylation; Autophagy; Biological rhythms; Cytoplasm; Phosphoprotein; Protein transport; Transport; Ubl conjugation pathway</t>
  </si>
  <si>
    <t>Autophagy; Biological rhythms; Protein transport; Transport; Ubl conjugation pathway</t>
  </si>
  <si>
    <t>adult walking behavior {GO:0007628}; amino acid homeostasis {GO:0080144}; apoptotic process {GO:0006915}; autophagosome assembly {GO:0000045}; autophagy {GO:0006914}; autophagy of mitochondrion {GO:0000422}; C-terminal protein lipidation {GO:0006501}; cardiac muscle cell apoptotic process {GO:0010659}; cardiac muscle cell development {GO:0055013}; cellular response to hyperoxia {GO:0071455}; cellular response to nitrogen starvation {GO:0006995}; cellular response to reactive oxygen species {GO:0034614}; cellular response to starvation {GO:0009267}; cellular sphingolipid homeostasis {GO:0090156}; central nervous system neuron axonogenesis {GO:0021955}; cerebellar Purkinje cell layer development {GO:0021680}; cerebral cortex development {GO:0021987}; chaperone-mediated autophagy {GO:0061684}; defense response to virus {GO:0051607}; establishment of localization in cell {GO:0051649}; insulin secretion involved in cellular response to glucose stimulus {GO:0035773}; late nucleophagy {GO:0044805}; liver development {GO:0001889}; macroautophagy {GO:0016236}; membrane organization {GO:0061024}; mitochondrion organization {GO:0007005}; mucus secretion {GO:0070254}; negative regulation of apoptotic process {GO:0043066}; negative regulation of cardiac muscle cell apoptotic process {GO:0010667}; negative regulation of cell death {GO:0060548}; negative regulation of histone H4-K16 acetylation {GO:2000619}; negative regulation of mitochondrial DNA replication {GO:0090298}; negative regulation of oxidative stress-induced neuron death {GO:1903204}; negative regulation of phagocytosis {GO:0050765}; negative regulation of sphingolipid biosynthetic process {GO:0090155}; negative regulation of type B pancreatic cell apoptotic process {GO:2000675}; negative stranded viral RNA replication {GO:0039689}; nervous system process {GO:0050877}; neuron projection development {GO:0031175}; organelle organization {GO:0006996}; piecemeal microautophagy of the nucleus {GO:0034727}; positive regulation of apoptotic process {GO:0043065}; positive regulation of autophagy {GO:0010508}; positive regulation of insulin secretion involved in cellular response to glucose stimulus {GO:0035774}; positive regulation of mucus secretion {GO:0070257}; positive regulation of proteasomal ubiquitin-dependent protein catabolic process {GO:0032436}; positive regulation of protein catabolic process {GO:0045732}; positive regulation of protein modification process {GO:0031401}; post-embryonic development {GO:0009791}; protein catabolic process {GO:0030163}; protein lipidation {GO:0006497}; protein modification by small protein conjugation {GO:0032446}; pyramidal neuron development {GO:0021860}; regulation of cell development {GO:0060284}; regulation of circadian rhythm {GO:0042752}; regulation of hemopoiesis {GO:1903706}; regulation of neuron death {GO:1901214}; regulation of protein ubiquitination {GO:0031396}; response to starvation {GO:0042594}; rhythmic process {GO:0048511}; sphingolipid biosynthetic process {GO:0030148}; suppression by virus of host autophagy {GO:0039521}; type B pancreatic cell apoptotic process {GO:0097050}</t>
  </si>
  <si>
    <t>axon {GO:0030424}; axoneme {GO:0005930}; cytoplasm {GO:0005737}; cytosol {GO:0005829}; perinuclear region of cytoplasm {GO:0048471}; phagophore assembly site {GO:0000407}</t>
  </si>
  <si>
    <t>Atg12 activating enzyme activity {GO:0019778}; Atg8 activating enzyme activity {GO:0019779}; protein homodimerization activity {GO:0042803}</t>
  </si>
  <si>
    <t>Macroautophagy {R-MMU-1632852}; Neutrophil degranulation {R-MMU-6798695}; Antigen processing: Ubiquitination &amp; Proteasome degradation {R-MMU-983168}</t>
  </si>
  <si>
    <t>sp|Q9WTK3|GPAA1_MOUSE</t>
  </si>
  <si>
    <t>Glycosylphosphatidylinositol anchor attachment 1 protein (GPI anchor attachment protein 1)</t>
  </si>
  <si>
    <t>GAA1 protein homolog (mGAA1)</t>
  </si>
  <si>
    <t>GPAA1_MOUSE</t>
  </si>
  <si>
    <t>Q9WTK3</t>
  </si>
  <si>
    <t>Q3TNU9; Q9R1U8</t>
  </si>
  <si>
    <t>Gaa1</t>
  </si>
  <si>
    <t>MGI:1202392</t>
  </si>
  <si>
    <t>attachment of GPI anchor to protein {GO:0016255}; GPI anchor biosynthetic process {GO:0006506}; protein-containing complex assembly {GO:0065003}</t>
  </si>
  <si>
    <t>centrosome {GO:0005813}; cytosol {GO:0005829}; endoplasmic reticulum {GO:0005783}; GPI-anchor transamidase complex {GO:0042765}; integral component of membrane {GO:0016021}; integral component of plasma membrane {GO:0005887}; mitochondrion {GO:0005739}</t>
  </si>
  <si>
    <t>GPI anchor binding {GO:0034235}; GPI-anchor transamidase activity {GO:0003923}</t>
  </si>
  <si>
    <t>sp|Q60760|GRB10_MOUSE</t>
  </si>
  <si>
    <t>Growth factor receptor-bound protein 10</t>
  </si>
  <si>
    <t>GRB10 adapter protein; Maternally expressed gene 1 protein</t>
  </si>
  <si>
    <t>GRB10_MOUSE</t>
  </si>
  <si>
    <t>Q60760</t>
  </si>
  <si>
    <t>O35352; Q3TQ71; Q7TSA4; Q8BSH4; Q8BSS5; Q91WC5</t>
  </si>
  <si>
    <t>Meg1</t>
  </si>
  <si>
    <t>MGI:103232</t>
  </si>
  <si>
    <t>3D-structure; Alternative splicing; Cytoplasm; Phosphoprotein; SH2 domain</t>
  </si>
  <si>
    <t>ERK1 and ERK2 cascade {GO:0070371}; gene expression {GO:0010467}; insulin receptor signaling pathway {GO:0008286}; insulin-like growth factor receptor signaling pathway {GO:0048009}; negative regulation of glucose import {GO:0046325}; negative regulation of glycogen biosynthetic process {GO:0045719}; negative regulation of insulin receptor signaling pathway {GO:0046627}; negative regulation of phosphorylation {GO:0042326}; negative regulation of Wnt signaling pathway {GO:0030178}; positive regulation of cold-induced thermogenesis {GO:0120162}; positive regulation of phosphorylation {GO:0042327}; positive regulation of vascular endothelial growth factor receptor signaling pathway {GO:0030949}; response to insulin {GO:0032868}; signal transduction {GO:0007165}; vascular associated smooth muscle cell migration {GO:1904738}</t>
  </si>
  <si>
    <t>identical protein binding {GO:0042802}; insulin receptor binding {GO:0005158}; phosphotyrosine residue binding {GO:0001784}; protein-macromolecule adaptor activity {GO:0030674}; signaling receptor complex adaptor activity {GO:0030159}</t>
  </si>
  <si>
    <t>Signaling by SCF-KIT {R-MMU-1433557}; IRS activation {R-MMU-74713}; Signal attenuation {R-MMU-74749}; Insulin receptor signalling cascade {R-MMU-74751}; RET signaling {R-MMU-8853659}; FLT3 Signaling {R-MMU-9607240}</t>
  </si>
  <si>
    <t>sp|Q8VDQ1|PTGR2_MOUSE</t>
  </si>
  <si>
    <t>Prostaglandin reductase 2 (PRG-2)</t>
  </si>
  <si>
    <t>15-oxoprostaglandin 13-reductase; Zinc-binding alcohol dehydrogenase domain-containing protein 1</t>
  </si>
  <si>
    <t>PTGR2_MOUSE</t>
  </si>
  <si>
    <t>Q8VDQ1</t>
  </si>
  <si>
    <t>Q3TG36; Q3ULY3; Q8BZA2; Q9D1W8</t>
  </si>
  <si>
    <t>Zadh1</t>
  </si>
  <si>
    <t>MGI:1916372</t>
  </si>
  <si>
    <t>3D-structure; Alternative splicing; Cytoplasm; Lipid metabolism; NADP; Oxidoreductase</t>
  </si>
  <si>
    <t>prostaglandin metabolic process {GO:0006693}</t>
  </si>
  <si>
    <t>13-prostaglandin reductase activity {GO:0036132}; 15-oxoprostaglandin 13-oxidase activity {GO:0047522}</t>
  </si>
  <si>
    <t>sp|Q9CW46|RAVR1_MOUSE</t>
  </si>
  <si>
    <t>Ribonucleoprotein PTB-binding 1</t>
  </si>
  <si>
    <t>Protein raver-1</t>
  </si>
  <si>
    <t>RAVR1_MOUSE</t>
  </si>
  <si>
    <t>Q9CW46</t>
  </si>
  <si>
    <t>Q5DTT6; Q811K0; Q8C3Z1; Q8CA14</t>
  </si>
  <si>
    <t>Kiaa1978</t>
  </si>
  <si>
    <t>MGI:1919016</t>
  </si>
  <si>
    <t>regulation of alternative mRNA splicing, via spliceosome {GO:0000381}</t>
  </si>
  <si>
    <t>sp|Q8C8U0|LIPB1_MOUSE</t>
  </si>
  <si>
    <t>Liprin-beta-1</t>
  </si>
  <si>
    <t>Protein tyrosine phosphatase receptor type f polypeptide-interacting protein-binding protein 1 (PTPRF-interacting protein-binding protein 1)</t>
  </si>
  <si>
    <t>LIPB1_MOUSE</t>
  </si>
  <si>
    <t>Q8C8U0</t>
  </si>
  <si>
    <t>Q69ZN5; Q6GQV3; Q80VB4; Q9CUT7</t>
  </si>
  <si>
    <t>Kiaa1230</t>
  </si>
  <si>
    <t>MGI:1914783</t>
  </si>
  <si>
    <t>3D-structure; Acetylation; Alternative splicing; Coiled coil; Isopeptide bond; Phosphoprotein; Repeat; Ubl conjugation</t>
  </si>
  <si>
    <t>neuromuscular junction development {GO:0007528}; synapse organization {GO:0050808}</t>
  </si>
  <si>
    <t>plasma membrane {GO:0005886}; presynaptic active zone {GO:0048786}</t>
  </si>
  <si>
    <t>Receptor-type tyrosine-protein phosphatases {R-MMU-388844}</t>
  </si>
  <si>
    <t>sp|Q8BWU5|OSGEP_MOUSE</t>
  </si>
  <si>
    <t>tRNA N6-adenosine threonylcarbamoyltransferase</t>
  </si>
  <si>
    <t>N6-L-threonylcarbamoyladenine synthase (t(6)A synthase); O-sialoglycoprotein endopeptidase; t(6)A37 threonylcarbamoyladenosine biosynthesis protein Osgep; tRNA threonylcarbamoyladenosine biosynthesis protein Osgep</t>
  </si>
  <si>
    <t>OSGEP_MOUSE</t>
  </si>
  <si>
    <t>Q8BWU5</t>
  </si>
  <si>
    <t>Q99LN8</t>
  </si>
  <si>
    <t>MGI:1913496</t>
  </si>
  <si>
    <t>Acyltransferase; Cytoplasm; Metal-binding; Nucleus; Transferase; tRNA processing</t>
  </si>
  <si>
    <t>tRNA threonylcarbamoyladenosine modification {GO:0002949}</t>
  </si>
  <si>
    <t>cytoplasm {GO:0005737}; EKC/KEOPS complex {GO:0000408}; nuclear speck {GO:0016607}; nucleoplasm {GO:0005654}; nucleus {GO:0005634}; plasma membrane {GO:0005886}</t>
  </si>
  <si>
    <t>metal ion binding {GO:0046872}; N(6)-L-threonylcarbamoyladenine synthase activity {GO:0061711}</t>
  </si>
  <si>
    <t>sp|Q61103|REQU_MOUSE</t>
  </si>
  <si>
    <t>Zinc finger protein ubi-d4</t>
  </si>
  <si>
    <t>Apoptosis response zinc finger protein; BRG1-associated factor 45D (BAF45D); D4, zinc and double PHD fingers family 2; Protein requiem</t>
  </si>
  <si>
    <t>REQU_MOUSE</t>
  </si>
  <si>
    <t>Q61103</t>
  </si>
  <si>
    <t>Q3UNP5; Q60663; Q9QYA3</t>
  </si>
  <si>
    <t>Baf45d; Req; Ubid4</t>
  </si>
  <si>
    <t>MGI:109529</t>
  </si>
  <si>
    <t>Acetylation; Apoptosis; Chromatin regulator; Cytoplasm; Isopeptide bond; Metal-binding; Nucleus; Phosphoprotein; Repeat; Transcription; Transcription regulation; Ubl conjugation; Zinc; Zinc-finger</t>
  </si>
  <si>
    <t>apoptotic process {GO:0006915}; chromatin remodeling {GO:0006338}; negative regulation of DNA-templated transcription {GO:0045892}; negative regulation of myeloid progenitor cell differentiation {GO:1905454}; nervous system development {GO:0007399}; positive regulation of double-strand break repair {GO:2000781}; positive regulation of stem cell population maintenance {GO:1902459}; positive regulation of transcription by RNA polymerase II {GO:0045944};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</t>
  </si>
  <si>
    <t>centrosome {GO:0005813}; chromatin {GO:0000785}; cytoplasm {GO:0005737}; cytosol {GO:0005829}; intracellular membrane-bounded organelle {GO:0043231}; nBAF complex {GO:0071565}; nucleoplasm {GO:0005654}; nucleus {GO:0005634}; SWI/SNF complex {GO:0016514}</t>
  </si>
  <si>
    <t>H3K9me3 modified histone binding {GO:0062072}; histone binding {GO:0042393}; lysine-acetylated histone binding {GO:0070577}; metal ion binding {GO:0046872}; transcription coregulator activity {GO:0003712}</t>
  </si>
  <si>
    <t>sp|Q91VN6|DDX41_MOUSE</t>
  </si>
  <si>
    <t>Probable ATP-dependent RNA helicase DDX41</t>
  </si>
  <si>
    <t>DEAD box protein 41</t>
  </si>
  <si>
    <t>DDX41_MOUSE</t>
  </si>
  <si>
    <t>Q91VN6</t>
  </si>
  <si>
    <t>Q3U0E0</t>
  </si>
  <si>
    <t>MGI:1920185</t>
  </si>
  <si>
    <t>ATP-binding; Helicase; Hydrolase; Isopeptide bond; Metal-binding; mRNA processing; mRNA splicing; Nucleotide-binding; Nucleus; Phosphoprotein; RNA-binding; Spliceosome; Ubl conjugation; Zinc; Zinc-finger</t>
  </si>
  <si>
    <t>cell differentiation {GO:0030154}; cell population proliferation {GO:0008283}; cellular response to interferon-beta {GO:0035458}; defense response to virus {GO:0051607}; mRNA splicing, via spliceosome {GO:0000398}; positive regulation of transcription by RNA polymerase II {GO:0045944}</t>
  </si>
  <si>
    <t>catalytic step 2 spliceosome {GO:0071013}; endoplasmic reticulum {GO:0005783}; nucleus {GO:0005634}; spliceosomal complex {GO:0005681}</t>
  </si>
  <si>
    <t>ATP binding {GO:0005524}; ATP hydrolysis activity {GO:0016887}; DNA binding {GO:0003677}; metal ion binding {GO:0046872}; RNA binding {GO:0003723}; RNA helicase activity {GO:0003724}</t>
  </si>
  <si>
    <t>STING mediated induction of host immune responses {R-MMU-1834941}; Regulation of innate immune responses to cytosolic DNA {R-MMU-3134975}</t>
  </si>
  <si>
    <t>sp|P35282|RAB21_MOUSE</t>
  </si>
  <si>
    <t>Ras-related protein Rab-21</t>
  </si>
  <si>
    <t>Rab-12</t>
  </si>
  <si>
    <t>RAB21_MOUSE</t>
  </si>
  <si>
    <t>P35282</t>
  </si>
  <si>
    <t>Q7TPN7</t>
  </si>
  <si>
    <t>MGI:894308</t>
  </si>
  <si>
    <t>Acetylation; Cell projection; Cytoplasmic vesicle; Endoplasmic reticulum; Endosome; Golgi apparatus; GTP-binding; Lipoprotein; Membrane; Methylation; Nucleotide-binding; Prenylation; Protein transport; Transport</t>
  </si>
  <si>
    <t>Cell projection; Cytoplasmic vesicle; Endoplasmic reticulum; Endosome; Golgi apparatus; Membrane</t>
  </si>
  <si>
    <t>anterograde axonal transport {GO:0008089}; intracellular protein transport {GO:0006886}; positive regulation of dendrite morphogenesis {GO:0050775}; positive regulation of early endosome to late endosome transport {GO:2000643}; positive regulation of receptor-mediated endocytosis {GO:0048260}; protein stabilization {GO:0050821}; Rab protein signal transduction {GO:0032482}; regulation of axon extension {GO:0030516}; regulation of exocytosis {GO:0017157}</t>
  </si>
  <si>
    <t>axon cytoplasm {GO:1904115}; cleavage furrow {GO:0032154}; cytoplasmic side of early endosome membrane {GO:0098559}; cytoplasmic side of plasma membrane {GO:0009898}; early endosome {GO:0005769}; endoplasmic reticulum membrane {GO:0005789}; endosome {GO:0005768}; Golgi cisterna membrane {GO:0032580}; Golgi membrane {GO:0000139}; neuron projection {GO:0043005}; synapse {GO:0045202}; trans-Golgi network {GO:0005802}; vesicle membrane {GO:0012506}</t>
  </si>
  <si>
    <t>RAB geranylgeranylation {R-MMU-8873719}; RAB GEFs exchange GTP for GDP on RABs {R-MMU-8876198}</t>
  </si>
  <si>
    <t>sp|Q6ZWM4|LSM8_MOUSE</t>
  </si>
  <si>
    <t>U6 snRNA-associated Sm-like protein LSm8</t>
  </si>
  <si>
    <t>LSM8_MOUSE</t>
  </si>
  <si>
    <t>Q6ZWM4</t>
  </si>
  <si>
    <t>Q3TIX3</t>
  </si>
  <si>
    <t>MGI:1923772</t>
  </si>
  <si>
    <t>mRNA splicing, via spliceosome {GO:0000398}; RNA metabolic process {GO:0016070}</t>
  </si>
  <si>
    <t>Lsm2-8 complex {GO:0120115}; nucleus {GO:0005634}; precatalytic spliceosome {GO:0071011}; U2-type precatalytic spliceosome {GO:0071005}; U4/U6 x U5 tri-snRNP complex {GO:0046540}; U6 snRNP {GO:0005688}</t>
  </si>
  <si>
    <t>sp|O70309|ITB5_MOUSE</t>
  </si>
  <si>
    <t>Integrin beta-5</t>
  </si>
  <si>
    <t>ITB5_MOUSE</t>
  </si>
  <si>
    <t>O70309</t>
  </si>
  <si>
    <t>O70308; O88347</t>
  </si>
  <si>
    <t>MGI:96614</t>
  </si>
  <si>
    <t>Alternative splicing; Cell adhesion; Disulfide bond; Glycoprotein; Integrin; Membrane; Phosphoprotein; Receptor; Repeat; Signal; Transmembrane; Transmembrane helix</t>
  </si>
  <si>
    <t>cell adhesion mediated by integrin {GO:0033627}; cell migration {GO:0016477}; cell-matrix adhesion {GO:0007160}; epithelial cell-cell adhesion {GO:0090136}; integrin-mediated signaling pathway {GO:0007229}; stress fiber assembly {GO:0043149}; transforming growth factor beta receptor signaling pathway {GO:0007179}</t>
  </si>
  <si>
    <t>cell leading edge {GO:0031252}; cell surface {GO:0009986}; focal adhesion {GO:0005925}; glutamatergic synapse {GO:0098978}; integral component of synaptic membrane {GO:0099699}; integrin alphav-beta5 complex {GO:0034684}; plasma membrane {GO:0005886}; receptor complex {GO:0043235}</t>
  </si>
  <si>
    <t>integrin binding {GO:0005178}; signaling receptor activity {GO:0038023}</t>
  </si>
  <si>
    <t>Cross-presentation of particulate exogenous antigens (phagosomes) {R-MMU-1236973}; Molecules associated with elastic fibres {R-MMU-2129379}; Integrin cell surface interactions {R-MMU-216083}; TGF-beta receptor signaling activates SMADs {R-MMU-2173789}; Syndecan interactions {R-MMU-3000170}; ECM proteoglycans {R-MMU-3000178}; Smooth Muscle Contraction {R-MMU-445355}</t>
  </si>
  <si>
    <t>sp|Q80Y55|BSDC1_MOUSE</t>
  </si>
  <si>
    <t>BSD domain-containing protein 1</t>
  </si>
  <si>
    <t>BSDC1_MOUSE</t>
  </si>
  <si>
    <t>Q80Y55</t>
  </si>
  <si>
    <t>B2KGE2; Q8BI04; Q8VDP1</t>
  </si>
  <si>
    <t>MGI:1913466</t>
  </si>
  <si>
    <t>sp|Q9QWR8|NAGAB_MOUSE</t>
  </si>
  <si>
    <t>Alpha-N-acetylgalactosaminidase</t>
  </si>
  <si>
    <t>Alpha-galactosidase B</t>
  </si>
  <si>
    <t>NAGAB_MOUSE</t>
  </si>
  <si>
    <t>Q9QWR8</t>
  </si>
  <si>
    <t>O88620; Q8R437; Q8VDK2</t>
  </si>
  <si>
    <t>MGI:1261422</t>
  </si>
  <si>
    <t>Disulfide bond; Glycoprotein; Glycosidase; Hydrolase; Lipid metabolism; Lysosome; Phosphoprotein; Signal</t>
  </si>
  <si>
    <t>carbohydrate catabolic process {GO:0016052}; glycolipid catabolic process {GO:0019377}; glycoside catabolic process {GO:0016139}; glycosylceramide catabolic process {GO:0046477}; oligosaccharide metabolic process {GO:0009311}</t>
  </si>
  <si>
    <t>cytoplasm {GO:0005737}; lysosome {GO:0005764}</t>
  </si>
  <si>
    <t>alpha-galactosidase activity {GO:0004557}; alpha-N-acetylgalactosaminidase activity {GO:0008456}; protein homodimerization activity {GO:0042803}</t>
  </si>
  <si>
    <t>sp|Q8BPM2|M4K5_MOUSE</t>
  </si>
  <si>
    <t>Mitogen-activated protein kinase kinase kinase kinase 5</t>
  </si>
  <si>
    <t>MAPK/ERK kinase kinase kinase 5 (MEK kinase kinase 5; MEKKK 5)</t>
  </si>
  <si>
    <t>M4K5_MOUSE</t>
  </si>
  <si>
    <t>Q8BPM2</t>
  </si>
  <si>
    <t>Q6PEQ2; Q8C3U5; Q8CGF3; Q99LM7; Q9CX73</t>
  </si>
  <si>
    <t>MGI:1925503</t>
  </si>
  <si>
    <t>Alternative splicing; ATP-binding; Cytoplasm; Kinase; Nucleotide-binding; Phosphoprotein; Serine/threonine-protein kinase; Transferase</t>
  </si>
  <si>
    <t>intracellular signal transduction {GO:0035556}; protein phosphorylation {GO:0006468}</t>
  </si>
  <si>
    <t>ATP binding {GO:0005524}; MAP kinase kinase kinase kinase activity {GO:0008349}; protein serine kinase activity {GO:0106310}; protein serine/threonine kinase activity {GO:0004674}</t>
  </si>
  <si>
    <t>sp|Q6WVG3|KCD12_MOUSE</t>
  </si>
  <si>
    <t>BTB/POZ domain-containing protein KCTD12</t>
  </si>
  <si>
    <t>Pfetin; Predominantly fetal expressed T1 domain</t>
  </si>
  <si>
    <t>KCD12_MOUSE</t>
  </si>
  <si>
    <t>Q6WVG3</t>
  </si>
  <si>
    <t>Q3T9E3</t>
  </si>
  <si>
    <t>Pfet1</t>
  </si>
  <si>
    <t>MGI:2145823</t>
  </si>
  <si>
    <t>Acetylation; Cell membrane; Cell projection; Membrane; Phosphoprotein; Postsynaptic cell membrane; Synapse</t>
  </si>
  <si>
    <t>Cell membrane; Cell projection; Membrane; Postsynaptic cell membrane; Synapse</t>
  </si>
  <si>
    <t>protein homooligomerization {GO:0051260}; regulation of G protein-coupled receptor signaling pathway {GO:0008277}</t>
  </si>
  <si>
    <t>anchoring junction {GO:0070161}; cell projection {GO:0042995}; postsynaptic membrane {GO:0045211}; presynaptic membrane {GO:0042734}; receptor complex {GO:0043235}</t>
  </si>
  <si>
    <t>sp|Q62193|RFA2_MOUSE</t>
  </si>
  <si>
    <t>Replication protein A 32 kDa subunit (RP-A p32)</t>
  </si>
  <si>
    <t>Replication factor A protein 2 (RF-A protein 2); Replication protein A 34 kDa subunit (RP-A p34)</t>
  </si>
  <si>
    <t>RFA2_MOUSE</t>
  </si>
  <si>
    <t>Q62193</t>
  </si>
  <si>
    <t>Rpa34</t>
  </si>
  <si>
    <t>MGI:1339939</t>
  </si>
  <si>
    <t>Acetylation; DNA damage; DNA recombination; DNA repair; DNA replication; DNA-binding; Isopeptide bond; Nucleus; Phosphoprotein; Ubl conjugation</t>
  </si>
  <si>
    <t>base-excision repair {GO:0006284}; DNA replication {GO:0006260}; double-strand break repair via homologous recombination {GO:0000724}; mismatch repair {GO:0006298}; mitotic G1 DNA damage checkpoint signaling {GO:0031571}; nucleotide-excision repair {GO:0006289}; protein localization to chromosome {GO:0034502}; regulation of DNA damage checkpoint {GO:2000001}; regulation of double-strand break repair via homologous recombination {GO:0010569}; telomere maintenance {GO:0000723}</t>
  </si>
  <si>
    <t>chromatin {GO:0000785}; chromosome, telomeric region {GO:0000781}; DNA replication factor A complex {GO:0005662}; nuclear body {GO:0016604}; nucleoplasm {GO:0005654}; nucleus {GO:0005634}; PML body {GO:0016605}; site of double-strand break {GO:0035861}</t>
  </si>
  <si>
    <t>damaged DNA binding {GO:0003684}; DNA binding {GO:0003677}; enzyme binding {GO:0019899}; G-rich strand telomeric DNA binding {GO:0098505}; protein N-terminus binding {GO:0047485}; protein phosphatase binding {GO:0019903}; single-stranded DNA binding {GO:0003697}; ubiquitin protein ligase binding {GO:0031625}</t>
  </si>
  <si>
    <t>Translesion synthesis by REV1 {R-MMU-110312}; Recognition of DNA damage by PCNA-containing replication complex {R-MMU-110314}; Translesion Synthesis by POLH {R-MMU-110320}; Removal of the Flap Intermediate from the C-strand {R-MMU-174437}; Activation of ATR in response to replication stress {R-MMU-176187}; Regulation of HSF1-mediated heat shock response {R-MMU-3371453}; Mismatch repair (MMR) directed by MSH2:MSH6 (MutSalpha) {R-MMU-5358565}; Mismatch repair (MMR) directed by MSH2:MSH3 (MutSbeta) {R-MMU-5358606}; PCNA-Dependent Long Patch Base Excision Repair {R-MMU-5651801}; Translesion synthesis by POLK {R-MMU-5655862}; Translesion synthesis by POLI {R-MMU-5656121}; Termination of translesion DNA synthesis {R-MMU-5656169}; HDR through Single Strand Annealing (SSA) {R-MMU-5685938}; HDR through Homologous Recombination (HRR) {R-MMU-5685942}; Processing of DNA double-strand break ends {R-MMU-5693607}; Formation of Incision Complex in GG-NER {R-MMU-5696395}; Gap-filling DNA repair synthesis and ligation in GG-NER {R-MMU-5696397}; Dual Incision in GG-NER {R-MMU-5696400}; Dual incision in TC-NER {R-MMU-6782135}; Gap-filling DNA repair synthesis and ligation in TC-NER {R-MMU-6782210}; Fanconi Anemia Pathway {R-MMU-6783310}; Regulation of TP53 Activity through Phosphorylation {R-MMU-6804756}; Activation of the pre-replicative complex {R-MMU-68962}; Removal of the Flap Intermediate {R-MMU-69166}; G2/M DNA damage checkpoint {R-MMU-69473}</t>
  </si>
  <si>
    <t>sp|A2A8Z1|OSBL9_MOUSE</t>
  </si>
  <si>
    <t>Oxysterol-binding protein-related protein 9 (ORP-9; OSBP-related protein 9)</t>
  </si>
  <si>
    <t>OSBL9_MOUSE</t>
  </si>
  <si>
    <t>A2A8Z1</t>
  </si>
  <si>
    <t>A2A9Q8</t>
  </si>
  <si>
    <t>Orp9</t>
  </si>
  <si>
    <t>MGI:1923784</t>
  </si>
  <si>
    <t>Acetylation; Alternative splicing; Endosome; Golgi apparatus; Lipid transport; Lipid-binding; Membrane; Phosphoprotein; Transport</t>
  </si>
  <si>
    <t>cytosol {GO:0005829}; Golgi apparatus {GO:0005794}; intracellular membrane-bounded organelle {GO:0043231}; late endosome membrane {GO:0031902}; membrane {GO:0016020}</t>
  </si>
  <si>
    <t>sp|Q80UY1|CARME_MOUSE</t>
  </si>
  <si>
    <t>Carnosine N-methyltransferase</t>
  </si>
  <si>
    <t>CARME_MOUSE</t>
  </si>
  <si>
    <t>Q80UY1</t>
  </si>
  <si>
    <t>Q9CWF3</t>
  </si>
  <si>
    <t>MGI:1914633</t>
  </si>
  <si>
    <t>Cytoplasm; Methyltransferase; Nucleus; S-adenosyl-L-methionine; Transferase</t>
  </si>
  <si>
    <t>carnosine metabolic process {GO:0035498}; methylation {GO:0032259}</t>
  </si>
  <si>
    <t>carnosine N-methyltransferase activity {GO:0030735}; protein homodimerization activity {GO:0042803}; S-adenosylmethionine-dependent methyltransferase activity {GO:0008757}</t>
  </si>
  <si>
    <t>Histidine catabolism {R-MMU-70921}</t>
  </si>
  <si>
    <t>sp|Q9D338|RM19_MOUSE</t>
  </si>
  <si>
    <t>39S ribosomal protein L19, mitochondrial (L19mt; MRP-L19)</t>
  </si>
  <si>
    <t>RM19_MOUSE</t>
  </si>
  <si>
    <t>Q9D338</t>
  </si>
  <si>
    <t>Q543I0; Q8R1R0</t>
  </si>
  <si>
    <t>MGI:1926274</t>
  </si>
  <si>
    <t>Mitochondrion; Phosphoprotein; Ribonucleoprotein; Ribosomal protein; Transit peptide</t>
  </si>
  <si>
    <t>mitochondrial inner membrane {GO:0005743}; mitochondrial large ribosomal subunit {GO:0005762}; mitochondrial ribosome {GO:0005761}; mitochondrion {GO:0005739}; nucleus {GO:0005634}</t>
  </si>
  <si>
    <t>tr|E9PWW9|E9PWW9_MOUSE</t>
  </si>
  <si>
    <t>sp|Q6P9Q6|FKB15_MOUSE</t>
  </si>
  <si>
    <t>FK506-binding protein 15 (FKBP-15)</t>
  </si>
  <si>
    <t>133 kDa FK506-binding protein (133 kDa FKBP; FKBP-133); WASP and FKBP-like (WAFL)</t>
  </si>
  <si>
    <t>FKB15_MOUSE</t>
  </si>
  <si>
    <t>Q6P9Q6</t>
  </si>
  <si>
    <t>Q3TSY4; Q5SQG3; Q80TU5</t>
  </si>
  <si>
    <t>Fkbp133; Kiaa0674</t>
  </si>
  <si>
    <t>MGI:2444782</t>
  </si>
  <si>
    <t>Acetylation; Actin-binding; Alternative splicing; Cell projection; Coiled coil; Cytoplasm; Endocytosis; Endosome; Phosphoprotein; Transport</t>
  </si>
  <si>
    <t>Endocytosis; Transport</t>
  </si>
  <si>
    <t>Cell projection; Cytoplasm; Endosome</t>
  </si>
  <si>
    <t>endocytosis {GO:0006897}</t>
  </si>
  <si>
    <t>actin cytoskeleton {GO:0015629}; axon {GO:0030424}; early endosome {GO:0005769}; endosome {GO:0005768}; growth cone {GO:0030426}; membrane {GO:0016020}</t>
  </si>
  <si>
    <t>sp|Q60780|GAS7_MOUSE</t>
  </si>
  <si>
    <t>Growth arrest-specific protein 7 (GAS-7)</t>
  </si>
  <si>
    <t>GAS7_MOUSE</t>
  </si>
  <si>
    <t>Q60780</t>
  </si>
  <si>
    <t>Q9QY25; Q9QY26; Q9QY34</t>
  </si>
  <si>
    <t>MGI:1202388</t>
  </si>
  <si>
    <t>3D-structure; Alternative splicing; Coiled coil; Cytoplasm; Developmental protein; Differentiation; Neurogenesis; Phosphoprotein</t>
  </si>
  <si>
    <t>actin filament bundle assembly {GO:0051017}; actin filament polymerization {GO:0030041}; neuron differentiation {GO:0030182}; neuron projection morphogenesis {GO:0048812}; regulation of cell shape {GO:0008360}</t>
  </si>
  <si>
    <t>actin filament {GO:0005884}; cytoplasm {GO:0005737}; plasma membrane {GO:0005886}; ruffle {GO:0001726}</t>
  </si>
  <si>
    <t>sp|Q91VZ6|SMAP1_MOUSE</t>
  </si>
  <si>
    <t>Stromal membrane-associated protein 1</t>
  </si>
  <si>
    <t>SMAP1_MOUSE</t>
  </si>
  <si>
    <t>Q91VZ6</t>
  </si>
  <si>
    <t>Q497I6; Q68EF3</t>
  </si>
  <si>
    <t>MGI:2138261</t>
  </si>
  <si>
    <t>Cell membrane; GTPase activation; Membrane; Metal-binding; Zinc; Zinc-finger</t>
  </si>
  <si>
    <t>positive regulation of erythrocyte differentiation {GO:0045648}; regulation of clathrin-dependent endocytosis {GO:2000369}</t>
  </si>
  <si>
    <t>clathrin binding {GO:0030276}; GTPase activator activity {GO:0005096}; metal ion binding {GO:0046872}</t>
  </si>
  <si>
    <t>tr|E9Q166|E9Q166_MOUSE</t>
  </si>
  <si>
    <t>sp|Q9EPV8|UBL5_MOUSE</t>
  </si>
  <si>
    <t>Ubiquitin-like protein 5</t>
  </si>
  <si>
    <t>UBL5_MOUSE</t>
  </si>
  <si>
    <t>Q9EPV8</t>
  </si>
  <si>
    <t>MGI:1913427</t>
  </si>
  <si>
    <t>3D-structure; Cytoplasm; Ubl conjugation pathway</t>
  </si>
  <si>
    <t>mRNA splicing, via spliceosome {GO:0000398}; protein modification process {GO:0036211}</t>
  </si>
  <si>
    <t>protein tag {GO:0031386}</t>
  </si>
  <si>
    <t>sp|O55125|NIPS1_MOUSE</t>
  </si>
  <si>
    <t>Protein NipSnap homolog 1 (NipSnap1)</t>
  </si>
  <si>
    <t>NIPS1_MOUSE</t>
  </si>
  <si>
    <t>O55125</t>
  </si>
  <si>
    <t>MGI:1278344</t>
  </si>
  <si>
    <t>sensory perception of pain {GO:0019233}</t>
  </si>
  <si>
    <t>membrane {GO:0016020}; mitochondrial inner membrane {GO:0005743}; mitochondrion {GO:0005739}; synaptic membrane {GO:0097060}</t>
  </si>
  <si>
    <t>neurotransmitter binding {GO:0042165}</t>
  </si>
  <si>
    <t>sp|Q9Z2D8|MBD3_MOUSE</t>
  </si>
  <si>
    <t>Methyl-CpG-binding domain protein 3</t>
  </si>
  <si>
    <t>Methyl-CpG-binding protein MBD3</t>
  </si>
  <si>
    <t>MBD3_MOUSE</t>
  </si>
  <si>
    <t>Q9Z2D8</t>
  </si>
  <si>
    <t>Q792D3; Q8CFJ1</t>
  </si>
  <si>
    <t>MGI:1333812</t>
  </si>
  <si>
    <t>Alternative splicing; Chromosome; Coiled coil; DNA-binding; Isopeptide bond; Nucleus; Phosphoprotein; Transcription; Transcription regulation; Ubl conjugation</t>
  </si>
  <si>
    <t>aging {GO:0007568}; brain development {GO:0007420}; chromatin remodeling {GO:0006338}; DNA methylation-dependent heterochromatin assembly {GO:0006346}; embryonic organ development {GO:0048568}; heart development {GO:0007507}; histone acetylation {GO:0016573}; histone deacetylation {GO:0016575}; in utero embryonic development {GO:0001701}; negative regulation of DNA-templated transcription {GO:0045892}; negative regulation of transcription by RNA polymerase II {GO:0000122}; positive regulation of DNA-templated transcription {GO:0045893}; regulation of cell fate specification {GO:0042659}; regulation of DNA methylation {GO:0044030}; regulation of stem cell differentiation {GO:2000736}; response to estradiol {GO:0032355}; response to nutrient levels {GO:0031667}; tissue development {GO:0009888}</t>
  </si>
  <si>
    <t>chromatin {GO:0000785}; cytoplasm {GO:0005737}; heterochromatin {GO:0000792}; nucleoplasm {GO:0005654}; nucleus {GO:0005634}; NuRD complex {GO:0016581}; protein-containing complex {GO:0032991}</t>
  </si>
  <si>
    <t>chromatin binding {GO:0003682}; DNA binding {GO:0003677}; methyl-CpG binding {GO:0008327}</t>
  </si>
  <si>
    <t>sp|Q9JKF7|RM39_MOUSE</t>
  </si>
  <si>
    <t>39S ribosomal protein L39, mitochondrial (L39mt; MRP-L39)</t>
  </si>
  <si>
    <t>RM39_MOUSE</t>
  </si>
  <si>
    <t>Q9JKF7</t>
  </si>
  <si>
    <t>A6X954; Q91YK5; Q9D8U5</t>
  </si>
  <si>
    <t>MGI:1351620</t>
  </si>
  <si>
    <t>Acetylation; Mitochondrion; Ribonucleoprotein; Ribosomal protein</t>
  </si>
  <si>
    <t>mitochondrial genome maintenance {GO:0000002}; mitochondrial translation {GO:0032543}; translation {GO:0006412}</t>
  </si>
  <si>
    <t>mitochondrial inner membrane {GO:0005743}; mitochondrial large ribosomal subunit {GO:0005762}; mitochondrion {GO:0005739}</t>
  </si>
  <si>
    <t>nucleotide binding {GO:0000166}; structural constituent of ribosome {GO:0003735}</t>
  </si>
  <si>
    <t>sp|Q62165|DAG1_MOUSE</t>
  </si>
  <si>
    <t>Beta-dystroglycan</t>
  </si>
  <si>
    <t>Dystroglycan; Dystrophin-associated glycoprotein 1 (Alpha-DG; Beta-DG)</t>
  </si>
  <si>
    <t>DAG1_MOUSE</t>
  </si>
  <si>
    <t>Q62165</t>
  </si>
  <si>
    <t>Q61094; Q61141; Q61497</t>
  </si>
  <si>
    <t>MGI:101864</t>
  </si>
  <si>
    <t>3D-structure; Cell membrane; Cytoplasm; Cytoskeleton; Disulfide bond; Glycoprotein; Host-virus interaction; Membrane; Nucleus; Phosphoprotein; Postsynaptic cell membrane; Secreted; Signal; Synapse; Transmembrane; Transmembrane helix</t>
  </si>
  <si>
    <t>Host-virus interaction</t>
  </si>
  <si>
    <t>Cell membrane; Cytoplasm; Cytoskeleton; Membrane; Nucleus; Postsynaptic cell membrane; Secreted; Synapse</t>
  </si>
  <si>
    <t>aging {GO:0007568}; angiogenesis involved in wound healing {GO:0060055}; axon guidance {GO:0007411}; axon regeneration {GO:0031103}; basement membrane organization {GO:0071711}; branching involved in salivary gland morphogenesis {GO:0060445}; calcium-dependent cell-matrix adhesion {GO:0016340}; cellular response to cholesterol {GO:0071397}; cellular response to mechanical stimulus {GO:0071260}; commissural neuron axon guidance {GO:0071679}; epithelial tube branching involved in lung morphogenesis {GO:0060441}; membrane protein ectodomain proteolysis {GO:0006509}; microtubule anchoring {GO:0034453}; morphogenesis of an epithelial sheet {GO:0002011}; morphogenesis of an epithelium {GO:0002009}; muscle attachment {GO:0016203}; myelination in peripheral nervous system {GO:0022011}; negative regulation of cell migration {GO:0030336}; negative regulation of MAPK cascade {GO:0043409}; negative regulation of protein kinase B signaling {GO:0051898}; nerve development {GO:0021675}; nerve maturation {GO:0021682}; positive regulation of basement membrane assembly involved in embryonic body morphogenesis {GO:1904261}; positive regulation of cell-matrix adhesion {GO:0001954}; positive regulation of myelination {GO:0031643}; positive regulation of oligodendrocyte differentiation {GO:0048714}; positive regulation of protein kinase activity {GO:0045860}; regulation of epithelial to mesenchymal transition {GO:0010717}; regulation of gastrulation {GO:0010470}; regulation of neurotransmitter receptor localization to postsynaptic specialization membrane {GO:0098696}; regulation of synapse organization {GO:0050807}; response to denervation involved in regulation of muscle adaptation {GO:0014894}; response to peptide hormone {GO:0043434}; retrograde trans-synaptic signaling by trans-synaptic protein complex {GO:0098942}; Schwann cell development {GO:0014044}; skeletal muscle tissue regeneration {GO:0043403}</t>
  </si>
  <si>
    <t>adherens junction {GO:0005912}; basement membrane {GO:0005604}; basolateral plasma membrane {GO:0016323}; cell-cell junction {GO:0005911}; contractile ring {GO:0070938}; costamere {GO:0043034}; cytoplasm {GO:0005737}; cytoskeleton {GO:0005856}; dystroglycan complex {GO:0016011}; dystrophin-associated glycoprotein complex {GO:0016010}; external side of plasma membrane {GO:0009897}; extracellular region {GO:0005576}; extracellular space {GO:0005615}; filopodium {GO:0030175}; focal adhesion {GO:0005925}; GABA-ergic synapse {GO:0098982}; glutamatergic synapse {GO:0098978}; integral component of membrane {GO:0016021}; intracellular membrane-bounded organelle {GO:0043231}; lamellipodium {GO:0030027}; membrane {GO:0016020}; membrane raft {GO:0045121}; node of Ranvier {GO:0033268}; nuclear periphery {GO:0034399}; nucleoplasm {GO:0005654}; nucleus {GO:0005634}; plasma membrane {GO:0005886}; plasma membrane raft {GO:0044853}; postsynaptic cytosol {GO:0099524}; postsynaptic membrane {GO:0045211}; sarcolemma {GO:0042383}; synapse {GO:0045202}</t>
  </si>
  <si>
    <t>actin binding {GO:0003779}; alpha-actinin binding {GO:0051393}; calcium ion binding {GO:0005509}; dystroglycan binding {GO:0002162}; laminin binding {GO:0043236}; laminin-1 binding {GO:0043237}; molecular adaptor activity {GO:0060090}; SH2 domain binding {GO:0042169}; structural constituent of muscle {GO:0008307}; tubulin binding {GO:0015631}; vinculin binding {GO:0017166}; virus receptor activity {GO:0001618}</t>
  </si>
  <si>
    <t>O-linked glycosylation {R-MMU-5173105}; Regulation of expression of SLITs and ROBOs {R-MMU-9010553}</t>
  </si>
  <si>
    <t>sp|Q8CH72|TRI32_MOUSE</t>
  </si>
  <si>
    <t>E3 ubiquitin-protein ligase TRIM32</t>
  </si>
  <si>
    <t>RING-type E3 ubiquitin transferase TRIM32; Tripartite motif-containing protein 32</t>
  </si>
  <si>
    <t>TRI32_MOUSE</t>
  </si>
  <si>
    <t>Q8CH72</t>
  </si>
  <si>
    <t>Q8K055</t>
  </si>
  <si>
    <t>MGI:1917057</t>
  </si>
  <si>
    <t>Coiled coil; Cytoplasm; Metal-binding; Phosphoprotein; Repeat; Transferase; Ubl conjugation; Ubl conjugation pathway; Zinc; Zinc-finger</t>
  </si>
  <si>
    <t>actin ubiquitination {GO:0007014}; axon development {GO:0061564}; fat cell differentiation {GO:0045444}; free ubiquitin chain polymerization {GO:0010994}; innate immune response {GO:0045087}; muscle cell cellular homeostasis {GO:0046716}; negative regulation of fibroblast proliferation {GO:0048147}; negative regulation of intrinsic apoptotic signaling pathway in response to DNA damage {GO:1902230}; negative regulation of keratinocyte apoptotic process {GO:1902173}; negative regulation of viral transcription {GO:0032897}; positive regulation of autophagy {GO:0010508}; positive regulation of cell cycle {GO:0045787}; positive regulation of cell growth {GO:0030307}; positive regulation of cell migration {GO:0030335}; positive regulation of cell motility {GO:2000147}; positive regulation of chemokine (C-C motif) ligand 20 production {GO:1903886}; positive regulation of DNA-binding transcription factor activity {GO:0051091}; positive regulation of I-kappaB kinase/NF-kappaB signaling {GO:0043123}; positive regulation of interleukin-17-mediated signaling pathway {GO:1903883}; positive regulation of neurogenesis {GO:0050769}; positive regulation of neuron differentiation {GO:0045666}; positive regulation of NF-kappaB transcription factor activity {GO:0051092}; positive regulation of protein catabolic process {GO:0045732}; positive regulation of proteolysis {GO:0045862}; positive regulation of striated muscle cell differentiation {GO:0051155}; positive regulation of tumor necrosis factor-mediated signaling pathway {GO:1903265}; protein K48-linked ubiquitination {GO:0070936}; protein polyubiquitination {GO:0000209}; protein ubiquitination {GO:0016567}; response to tumor necrosis factor {GO:0034612}; response to UV {GO:0009411}; suppression of viral release by host {GO:0044790}; tissue homeostasis {GO:0001894}; ubiquitin-dependent protein catabolic process {GO:0006511}</t>
  </si>
  <si>
    <t>cytoplasm {GO:0005737}; nucleus {GO:0005634}; striated muscle myosin thick filament {GO:0005863}</t>
  </si>
  <si>
    <t>identical protein binding {GO:0042802}; myosin binding {GO:0017022}; protein self-association {GO:0043621}; RNA binding {GO:0003723}; transcription coactivator activity {GO:0003713}; translation initiation factor binding {GO:0031369}; ubiquitin binding {GO:0043130}; ubiquitin protein ligase activity {GO:0061630}; ubiquitin-protein transferase activity {GO:0004842}; zinc ion binding {GO:0008270}</t>
  </si>
  <si>
    <t>Regulation of innate immune responses to cytosolic DNA {R-MMU-3134975}; Antigen processing: Ubiquitination &amp; Proteasome degradation {R-MMU-983168}</t>
  </si>
  <si>
    <t>sp|Q3UMB9|WASC4_MOUSE</t>
  </si>
  <si>
    <t>WASH complex subunit 4</t>
  </si>
  <si>
    <t>WASH complex subunit SWIP</t>
  </si>
  <si>
    <t>WASC4_MOUSE</t>
  </si>
  <si>
    <t>Q3UMB9</t>
  </si>
  <si>
    <t>Q3TTQ9; Q6ZPZ7; Q8CAK8; Q8CGK0</t>
  </si>
  <si>
    <t>MGI:2441787</t>
  </si>
  <si>
    <t>Acetylation; Coiled coil; Endosome; Phosphoprotein; Protein transport; Transport</t>
  </si>
  <si>
    <t>endosomal transport {GO:0016197}; endosome organization {GO:0007032}; protein transport {GO:0015031}; regulation of Arp2/3 complex-mediated actin nucleation {GO:0034315}</t>
  </si>
  <si>
    <t>BLOC-1 complex {GO:0031083}; early endosome membrane {GO:0031901}; endosome {GO:0005768}; nucleoplasm {GO:0005654}; WASH complex {GO:0071203}</t>
  </si>
  <si>
    <t>sp|Q8VHK9|DHX36_MOUSE</t>
  </si>
  <si>
    <t>ATP-dependent DNA/RNA helicase DHX36</t>
  </si>
  <si>
    <t>DEAD/H box polypeptide 36; DEAH box protein 36; MLE-like protein 1; RNA helicase associated with AU-rich element ARE</t>
  </si>
  <si>
    <t>DHX36_MOUSE</t>
  </si>
  <si>
    <t>Q8VHK9</t>
  </si>
  <si>
    <t>G3X8Y4; Q6ZPP7; Q9CSE8</t>
  </si>
  <si>
    <t>MGI:1919412</t>
  </si>
  <si>
    <t>3D-structure; Acetylation; Activator; Antiviral defense; ATP-binding; Cell projection; Chromosome; Coiled coil; Cytoplasm; Developmental protein; Differentiation; DNA-binding; Helicase; Hydrolase; Immunity; Innate immunity; Magnesium; Metal-binding; Mitochondrion; Nucleotide-binding; Nucleus; Phosphoprotein; Repeat; Repressor; RNA-binding; Telomere; Transcription; Transcription regulation; Translation regulation; Transport</t>
  </si>
  <si>
    <t>Antiviral defense; Differentiation; Immunity; Innate immunity; Transcription; Transcription regulation; Translation regulation; Transport</t>
  </si>
  <si>
    <t>Cell projection; Chromosome; Cytoplasm; Mitochondrion; Nucleus; Telomere</t>
  </si>
  <si>
    <t>Activator; DNA-binding; Developmental protein; Helicase; Hydrolase; RNA-binding; Repressor</t>
  </si>
  <si>
    <t>3'-UTR-mediated mRNA destabilization {GO:0061158}; cell differentiation {GO:0030154}; cellular response to arsenite ion {GO:1903843}; cellular response to heat {GO:0034605}; cellular response to UV {GO:0034644}; defense response to virus {GO:0051607}; G-quadruplex DNA unwinding {GO:0044806}; innate immune response {GO:0045087}; negative regulation of translation {GO:0017148}; ossification {GO:0001503}; positive regulation of cardioblast differentiation {GO:0051891}; positive regulation of cytoplasmic translation {GO:2000767}; positive regulation of dendritic spine morphogenesis {GO:0061003}; positive regulation of gene expression {GO:0010628}; positive regulation of hematopoietic progenitor cell differentiation {GO:1901534}; positive regulation of I-kappaB kinase/NF-kappaB signaling {GO:0043123}; positive regulation of interferon-alpha production {GO:0032727}; positive regulation of intracellular mRNA localization {GO:1904582}; positive regulation of mRNA 3'-end processing {GO:0031442}; positive regulation of myeloid dendritic cell cytokine production {GO:0002735}; positive regulation of nuclear-transcribed mRNA catabolic process, deadenylation-dependent decay {GO:1900153}; positive regulation of telomere maintenance {GO:0032206}; positive regulation of telomere maintenance via telomere lengthening {GO:1904358}; positive regulation of transcription by RNA polymerase II {GO:0045944}; positive regulation of transcription initiation by RNA polymerase II {GO:0060261}; regulation of embryonic development {GO:0045995}; regulation of mRNA stability {GO:0043488}; regulation of transcription by RNA polymerase III {GO:0006359}; response to exogenous dsRNA {GO:0043330}; response to virus {GO:0009615}; RNA secondary structure unwinding {GO:0010501}; spermatogenesis {GO:0007283}; telomerase RNA stabilization {GO:0090669}</t>
  </si>
  <si>
    <t>axon {GO:0030424}; chromosome, telomeric region {GO:0000781}; cytoplasm {GO:0005737}; cytoplasmic stress granule {GO:0010494}; cytosol {GO:0005829}; dendrite {GO:0030425}; mitochondrion {GO:0005739}; nuclear speck {GO:0016607}; nucleoplasm {GO:0005654}; nucleus {GO:0005634}; perikaryon {GO:0043204}</t>
  </si>
  <si>
    <t>ATP binding {GO:0005524}; ATP hydrolysis activity {GO:0016887}; ATP-dependent activity, acting on DNA {GO:0008094}; DNA helicase activity {GO:0003678}; double-stranded RNA binding {GO:0003725}; G-quadruplex DNA binding {GO:0051880}; G-quadruplex RNA binding {GO:0002151}; histone deacetylase binding {GO:0042826}; magnesium ion binding {GO:0000287}; mRNA 3'-UTR AU-rich region binding {GO:0035925}; mRNA 3'-UTR binding {GO:0003730}; mRNA 5'-UTR binding {GO:0048027}; pre-miRNA binding {GO:0070883}; RNA binding {GO:0003723}; RNA helicase activity {GO:0003724}; RNA polymerase II cis-regulatory region sequence-specific DNA binding {GO:0000978}; single-stranded DNA binding {GO:0003697}; telomerase RNA binding {GO:0070034}; transcription cis-regulatory region binding {GO:0000976}</t>
  </si>
  <si>
    <t>DEx/H-box helicases activate type I IFN and inflammatory cytokines production {R-MMU-3134963}</t>
  </si>
  <si>
    <t>sp|Q9Z0H4|CELF2_MOUSE</t>
  </si>
  <si>
    <t>CUGBP Elav-like family member 2 (CELF-2)</t>
  </si>
  <si>
    <t>Bruno-like protein 3; CUG triplet repeat RNA-binding protein 2 (CUG-BP2); CUG-BP- and ETR-3-like factor 2; ELAV-type RNA-binding protein 3 (ETR-3; mETR-3); Neuroblastoma apoptosis-related RNA-binding protein (mNapor); RNA-binding protein BRUNOL-3</t>
  </si>
  <si>
    <t>CELF2_MOUSE</t>
  </si>
  <si>
    <t>Q9Z0H4</t>
  </si>
  <si>
    <t>A2AS10; A2AS11; A2AS15; Q3TNX4; Q3TTI4; Q3TUB8; Q3U668; Q3U7J8; Q3U9F2; Q3UVH4; Q9R0B2; Q9Z187</t>
  </si>
  <si>
    <t>Cugbp2; Napor</t>
  </si>
  <si>
    <t>MGI:1338822</t>
  </si>
  <si>
    <t>Alternative splicing; Cytoplasm; mRNA processing; Nucleus; Repeat; Repressor; RNA-binding</t>
  </si>
  <si>
    <t>mRNA splice site selection {GO:0006376}; post-transcriptional gene silencing {GO:0016441}; regulation of alternative mRNA splicing, via spliceosome {GO:0000381}</t>
  </si>
  <si>
    <t>cytoplasm {GO:0005737}; Flemming body {GO:0090543}; intracellular membrane-bounded organelle {GO:0043231}; nucleoplasm {GO:0005654}; nucleus {GO:0005634}; ribonucleoprotein complex {GO:1990904}</t>
  </si>
  <si>
    <t>lncRNA binding {GO:0106222}; mRNA 3'-UTR binding {GO:0003730}; mRNA binding {GO:0003729}; pre-mRNA binding {GO:0036002}; RNA binding {GO:0003723}</t>
  </si>
  <si>
    <t>sp|Q9Z2D6|MECP2_MOUSE</t>
  </si>
  <si>
    <t>Methyl-CpG-binding protein 2 (MeCp-2 protein; MeCp2)</t>
  </si>
  <si>
    <t>MECP2_MOUSE</t>
  </si>
  <si>
    <t>Q9Z2D6</t>
  </si>
  <si>
    <t>B1AUZ2; B1AUZ3; Q3TYG1</t>
  </si>
  <si>
    <t>MGI:99918</t>
  </si>
  <si>
    <t>3D-structure; Acetylation; Alternative splicing; DNA-binding; Methylation; Nucleus; Phosphoprotein; Repeat; Repressor; Transcription; Transcription regulation</t>
  </si>
  <si>
    <t>adult locomotory behavior {GO:0008344}; associative learning {GO:0008306}; behavioral fear response {GO:0001662}; brain development {GO:0007420}; cardiolipin metabolic process {GO:0032048}; catecholamine secretion {GO:0050432}; cell population proliferation {GO:0008283}; cellular biogenic amine metabolic process {GO:0006576}; cellular response to isoquinoline alkaloid {GO:0071317}; cellular response to potassium ion {GO:0035865}; cerebellum development {GO:0021549}; chemical synaptic transmission {GO:0007268}; dendrite development {GO:0016358}; excitatory postsynaptic potential {GO:0060079}; gene expression {GO:0010467}; glial cell proliferation {GO:0014009}; glucocorticoid metabolic process {GO:0008211}; glutamine metabolic process {GO:0006541}; heterochromatin assembly {GO:0031507}; histone acetylation {GO:0016573}; histone methylation {GO:0016571}; inositol metabolic process {GO:0006020}; learning {GO:0007612}; long-term memory {GO:0007616}; long-term synaptic potentiation {GO:0060291}; memory {GO:0007613}; mitotic spindle organization {GO:0007052}; multicellular organismal response to stress {GO:0033555}; negative regulation of angiogenesis {GO:0016525}; negative regulation of astrocyte differentiation {GO:0048712}; negative regulation of blood vessel endothelial cell migration {GO:0043537}; negative regulation of dendrite extension {GO:1903860}; negative regulation of dendritic spine development {GO:0061000}; negative regulation of DNA-templated transcription {GO:0045892}; negative regulation of gene expression {GO:0010629}; negative regulation of locomotion involved in locomotory behavior {GO:0090327}; negative regulation of neuron apoptotic process {GO:0043524}; negative regulation of primary miRNA processing {GO:2000635}; negative regulation of protein binding {GO:0032091}; negative regulation of respiratory gaseous exchange {GO:1903941}; negative regulation of smooth muscle cell differentiation {GO:0051151}; negative regulation of transcription by RNA polymerase II {GO:0000122}; negative regulation of transcription from RNA polymerase II promoter involved in smooth muscle cell differentiation {GO:2000820}; nervous system process involved in regulation of systemic arterial blood pressure {GO:0001976}; neuromuscular process {GO:0050905}; neuromuscular process controlling posture {GO:0050884}; neuron differentiation {GO:0030182}; neuron maturation {GO:0042551}; neuron projection development {GO:0031175}; Notch signaling pathway {GO:0007219}; phosphatidylcholine metabolic process {GO:0046470}; positive regulation of anterograde dense core granule transport {GO:1901953}; positive regulation of branching morphogenesis of a nerve {GO:1905492}; positive regulation of cell population proliferation {GO:0008284}; positive regulation of dendrite extension {GO:1903861}; positive regulation of dendritic spine development {GO:0060999}; positive regulation of DNA methylation {GO:1905643}; positive regulation of DNA-templated transcription {GO:0045893}; positive regulation of G2/M transition of mitotic cell cycle {GO:0010971}; positive regulation of gene expression {GO:0010628}; positive regulation of glial cell proliferation {GO:0060252}; positive regulation of histone H3-K9 trimethylation {GO:1900114}; positive regulation of microtubule nucleation {GO:0090063}; positive regulation of retrograde dense core granule transport {GO:1901956}; positive regulation of synaptic plasticity {GO:0031915}; positive regulation of transcription by RNA polymerase II {GO:0045944}; post-embryonic development {GO:0009791}; proprioception {GO:0019230}; protein localization {GO:0008104}; regulation of action potential firing threshold {GO:0099611}; regulation of DNA methylation {GO:0044030}; regulation of gene expression {GO:0010468}; regulation of gene expression by genomic imprinting {GO:0006349}; regulation of gene expression, epigenetic {GO:0040029}; regulation of histone H3-K9 methylation {GO:0051570}; regulation of respiratory gaseous exchange by nervous system process {GO:0002087}; regulation of synapse organization {GO:0050807}; regulation of synaptic plasticity {GO:0048167}; regulation of transcription by RNA polymerase II {GO:0006357}; respiratory gaseous exchange by respiratory system {GO:0007585}; response to cocaine {GO:0042220}; response to hypoxia {GO:0001666}; response to other organism {GO:0051707}; sensory perception of pain {GO:0019233}; social behavior {GO:0035176}; startle response {GO:0001964}; synapse assembly {GO:0007416}; trans-synaptic signaling by BDNF {GO:0099191}; ventricular system development {GO:0021591}; visual learning {GO:0008542}</t>
  </si>
  <si>
    <t>centrosome {GO:0005813}; chromatin {GO:0000785}; cytoplasm {GO:0005737}; cytosol {GO:0005829}; glutamatergic synapse {GO:0098978}; heterochromatin {GO:0000792}; nucleoplasm {GO:0005654}; nucleus {GO:0005634}; postsynapse {GO:0098794}; protein-containing complex {GO:0032991}</t>
  </si>
  <si>
    <t>chromatin binding {GO:0003682}; chromatin DNA binding {GO:0031490}; DNA binding {GO:0003677}; DNA-binding transcription factor activity {GO:0003700}; double-stranded methylated DNA binding {GO:0010385}; enzyme binding {GO:0019899}; four-way junction DNA binding {GO:0000400}; histone deacetylase binding {GO:0042826}; methyl-CpG binding {GO:0008327}; molecular condensate scaffold activity {GO:0140693}; mRNA binding {GO:0003729}; promoter-specific chromatin binding {GO:1990841}; protein domain specific binding {GO:0019904}; protein N-terminus binding {GO:0047485}; siRNA binding {GO:0035197}; transcription corepressor activity {GO:0003714}; unmethylated CpG binding {GO:0045322}</t>
  </si>
  <si>
    <t>Regulation of MECP2 expression and activity. [Q9Z2D6-1] {R-MMU-9022692}</t>
  </si>
  <si>
    <t>sp|P46425|GSTP2_MOUSE</t>
  </si>
  <si>
    <t>Glutathione S-transferase P 2 (Gst P2)</t>
  </si>
  <si>
    <t>GST YF-YF; GST class-pi; GST-piA</t>
  </si>
  <si>
    <t>GSTP2_MOUSE</t>
  </si>
  <si>
    <t>P46425</t>
  </si>
  <si>
    <t>Q505C3</t>
  </si>
  <si>
    <t>Gstpia</t>
  </si>
  <si>
    <t>MGI:95864</t>
  </si>
  <si>
    <t>glutathione derivative biosynthetic process {GO:1901687}; glutathione metabolic process {GO:0006749}; hepoxilin biosynthetic process {GO:0051122}; linoleic acid metabolic process {GO:0043651}; negative regulation of biosynthetic process {GO:0009890}; negative regulation of ERK1 and ERK2 cascade {GO:0070373}; negative regulation of extrinsic apoptotic signaling pathway {GO:2001237}; negative regulation of interleukin-1 beta production {GO:0032691}; negative regulation of JUN kinase activity {GO:0043508}; negative regulation of MAP kinase activity {GO:0043407}; negative regulation of monocyte chemotactic protein-1 production {GO:0071638}; negative regulation of nitric-oxide synthase biosynthetic process {GO:0051771}; negative regulation of protein kinase activity {GO:0006469}; negative regulation of smooth muscle cell chemotaxis {GO:0071672}; negative regulation of tumor necrosis factor production {GO:0032720}; negative regulation of vascular associated smooth muscle cell proliferation {GO:1904706}; prostaglandin metabolic process {GO:0006693}; xenobiotic metabolic process {GO:0006805}</t>
  </si>
  <si>
    <t>cytoplasm {GO:0005737}; cytosol {GO:0005829}; mitochondrion {GO:0005739}; nucleus {GO:0005634}; plasma membrane {GO:0005886}; TRAF2-GSTP1 complex {GO:0097057}</t>
  </si>
  <si>
    <t>dinitrosyl-iron complex binding {GO:0035731}; fatty acid binding {GO:0005504}; glutathione peroxidase activity {GO:0004602}; glutathione transferase activity {GO:0004364}; organic cyclic compound binding {GO:0097159}; protein kinase binding {GO:0019901}; S-nitrosoglutathione binding {GO:0035730}; toxic substance binding {GO:0015643}</t>
  </si>
  <si>
    <t>sp|Q9EPJ9|ARFG1_MOUSE</t>
  </si>
  <si>
    <t>ADP-ribosylation factor GTPase-activating protein 1 (ARF GAP 1)</t>
  </si>
  <si>
    <t>ADP-ribosylation factor 1 GTPase-activating protein (ARF1 GAP); ARF1-directed GTPase-activating protein</t>
  </si>
  <si>
    <t>ARFG1_MOUSE</t>
  </si>
  <si>
    <t>Q9EPJ9</t>
  </si>
  <si>
    <t>A8WIR9; A8WIS1; Q3TI52; Q8BMM6; Q8BMQ7</t>
  </si>
  <si>
    <t>Arf1gap</t>
  </si>
  <si>
    <t>MGI:2183559</t>
  </si>
  <si>
    <t>Acetylation; Alternative splicing; Cytoplasm; ER-Golgi transport; Golgi apparatus; GTPase activation; Metal-binding; Phosphoprotein; Protein transport; Transport; Zinc; Zinc-finger</t>
  </si>
  <si>
    <t>protein transport {GO:0015031}; regulation of ARF protein signal transduction {GO:0032012}; regulation of endocytosis {GO:0030100}; vesicle-mediated transport {GO:0016192}</t>
  </si>
  <si>
    <t>Golgi membrane {GO:0000139}; postsynaptic density {GO:0014069}; synapse {GO:0045202}</t>
  </si>
  <si>
    <t>COPI-mediated anterograde transport {R-MMU-6807878}; COPI-dependent Golgi-to-ER retrograde traffic {R-MMU-6811434}; Clathrin-mediated endocytosis {R-MMU-8856828}</t>
  </si>
  <si>
    <t>sp|Q91W39|NCOA5_MOUSE</t>
  </si>
  <si>
    <t>Nuclear receptor coactivator 5 (NCoA-5)</t>
  </si>
  <si>
    <t>Coactivator independent of AF-2 (CIA)</t>
  </si>
  <si>
    <t>NCOA5_MOUSE</t>
  </si>
  <si>
    <t>Q91W39</t>
  </si>
  <si>
    <t>A2A5L2</t>
  </si>
  <si>
    <t>MGI:2385165</t>
  </si>
  <si>
    <t>Acetylation; Nucleus; Phosphoprotein; Repressor; Transcription; Transcription regulation</t>
  </si>
  <si>
    <t>glucose homeostasis {GO:0042593}; insulin receptor signaling pathway {GO:0008286}; negative regulation of insulin receptor signaling pathway {GO:0046627}; regulation of signal transduction {GO:0009966}</t>
  </si>
  <si>
    <t>actin cytoskeleton {GO:0015629}; nucleoplasm {GO:0005654}</t>
  </si>
  <si>
    <t>sp|O55103|PRAX_MOUSE</t>
  </si>
  <si>
    <t>Periaxin</t>
  </si>
  <si>
    <t>PRAX_MOUSE</t>
  </si>
  <si>
    <t>O55103</t>
  </si>
  <si>
    <t>O55104</t>
  </si>
  <si>
    <t>MGI:108176</t>
  </si>
  <si>
    <t>Alternative splicing; Cell junction; Cell membrane; Cytoplasm; Membrane; Nucleus; Phosphoprotein; Repeat</t>
  </si>
  <si>
    <t>peripheral nervous system myelin formation {GO:0032290}; peripheral nervous system myelin maintenance {GO:0032287}; regulation of RNA splicing {GO:0043484}; sensory perception of pain {GO:0019233}; transmission of nerve impulse {GO:0019226}</t>
  </si>
  <si>
    <t>anchoring junction {GO:0070161}; cytoplasm {GO:0005737}; cytosol {GO:0005829}; myelin sheath {GO:0043209}; nuclear speck {GO:0016607}; nucleus {GO:0005634}; plasma membrane {GO:0005886}</t>
  </si>
  <si>
    <t>sp|Q6KAR6|EXOC3_MOUSE</t>
  </si>
  <si>
    <t>Exocyst complex component 3</t>
  </si>
  <si>
    <t>Exocyst complex component Sec6</t>
  </si>
  <si>
    <t>EXOC3_MOUSE</t>
  </si>
  <si>
    <t>Q6KAR6</t>
  </si>
  <si>
    <t>Sec6l1</t>
  </si>
  <si>
    <t>MGI:2443972</t>
  </si>
  <si>
    <t>Acetylation; Cell projection; Cytoplasm; Exocytosis; Golgi apparatus; Protein transport; Transport</t>
  </si>
  <si>
    <t>Cell projection; Cytoplasm; Golgi apparatus</t>
  </si>
  <si>
    <t>exocyst localization {GO:0051601}; exocytosis {GO:0006887}; membrane fission {GO:0090148}; mitotic cytokinesis {GO:0000281}; protein transport {GO:0015031}; vesicle docking involved in exocytosis {GO:0006904}; vesicle tethering involved in exocytosis {GO:0090522}</t>
  </si>
  <si>
    <t>exocyst {GO:0000145}; Golgi apparatus {GO:0005794}; growth cone {GO:0030426}; midbody {GO:0030496}; perinuclear region of cytoplasm {GO:0048471}; presynaptic membrane {GO:0042734}; secretory granule membrane {GO:0030667}</t>
  </si>
  <si>
    <t>SNARE binding {GO:0000149}</t>
  </si>
  <si>
    <t>sp|Q9Z2H5|E41L1_MOUSE</t>
  </si>
  <si>
    <t>Band 4.1-like protein 1</t>
  </si>
  <si>
    <t>Erythrocyte membrane protein band 4.1-like 1; Neuronal protein 4.1 (4.1N)</t>
  </si>
  <si>
    <t>E41L1_MOUSE</t>
  </si>
  <si>
    <t>Q9Z2H5</t>
  </si>
  <si>
    <t>Q3U3L1; Q3UHP7; Q80U34; Q8K204</t>
  </si>
  <si>
    <t>MGI:103010</t>
  </si>
  <si>
    <t>actomyosin structure organization {GO:0031032}; cortical actin cytoskeleton organization {GO:0030866}</t>
  </si>
  <si>
    <t>cytoskeleton {GO:0005856}; cytosol {GO:0005829}; plasma membrane {GO:0005886}; postsynaptic density {GO:0014069}; protein-containing complex {GO:0032991}; synaptic membrane {GO:0097060}</t>
  </si>
  <si>
    <t>actin binding {GO:0003779}; signaling receptor binding {GO:0005102}; structural molecule activity {GO:0005198}</t>
  </si>
  <si>
    <t>Trafficking of AMPA receptors {R-MMU-399719}; Neurexins and neuroligins {R-MMU-6794361}</t>
  </si>
  <si>
    <t>sp|Q5SNZ0|GRDN_MOUSE</t>
  </si>
  <si>
    <t>Girdin</t>
  </si>
  <si>
    <t>Akt phosphorylation enhancer (APE); Coiled-coil domain-containing protein 88A; G alpha-interacting vesicle-associated protein (GIV); Girders of actin filament; Hook-related protein 1 (HkRP1)</t>
  </si>
  <si>
    <t>GRDN_MOUSE</t>
  </si>
  <si>
    <t>Q5SNZ0</t>
  </si>
  <si>
    <t>Q5M6X2; Q5M6X4; Q5M6X5; Q5SNZ1; Q8C486; Q8CFU7</t>
  </si>
  <si>
    <t>Grdn; Kiaa1212</t>
  </si>
  <si>
    <t>MGI:1925177</t>
  </si>
  <si>
    <t>Alternative splicing; Cell membrane; Cell projection; Cilium biogenesis/degradation; Coiled coil; Cytoplasm; Cytoplasmic vesicle; Cytoskeleton; DNA replication; Guanine-nucleotide releasing factor; Membrane; Neurogenesis; Phosphoprotein</t>
  </si>
  <si>
    <t>Cilium biogenesis/degradation; DNA replication; Neurogenesis</t>
  </si>
  <si>
    <t>Cell membrane; Cell projection; Cytoplasm; Cytoplasmic vesicle; Cytoskeleton; Membrane</t>
  </si>
  <si>
    <t>activation of protein kinase activity {GO:0032147}; activation of protein kinase B activity {GO:0032148}; cell migration {GO:0016477}; cytoplasmic microtubule organization {GO:0031122}; cytoskeleton-dependent intracellular transport {GO:0030705}; DNA replication {GO:0006260}; lamellipodium assembly {GO:0030032}; maintenance of protein location in plasma membrane {GO:0072660}; membrane organization {GO:0061024}; nervous system development {GO:0007399}; positive regulation of cilium assembly {GO:0045724}; positive regulation of epidermal growth factor receptor signaling pathway {GO:0045742}; positive regulation of protein localization to cilium {GO:1903566}; positive regulation of stress fiber assembly {GO:0051496}; regulation of actin cytoskeleton organization {GO:0032956}; regulation of cell population proliferation {GO:0042127}; regulation of DNA replication {GO:0006275}; regulation of neuron projection development {GO:0010975}; regulation of protein phosphorylation {GO:0001932}; small GTPase mediated signal transduction {GO:0007264}; TOR signaling {GO:0031929}</t>
  </si>
  <si>
    <t>cell leading edge {GO:0031252}; centriole {GO:0005814}; centrosome {GO:0005813}; ciliary basal body {GO:0036064}; COPI-coated Golgi to ER transport vesicle {GO:0030142}; cytoplasm {GO:0005737}; cytoplasmic vesicle {GO:0031410}; cytosol {GO:0005829}; endoplasmic reticulum {GO:0005783}; Golgi apparatus {GO:0005794}; lamellipodium {GO:0030027}; membrane {GO:0016020}; plasma membrane {GO:0005886}</t>
  </si>
  <si>
    <t>actin binding {GO:0003779}; dynein light intermediate chain binding {GO:0051959}; epidermal growth factor receptor binding {GO:0005154}; G-protein alpha-subunit binding {GO:0001965}; G-protein gamma-subunit binding {GO:0031682}; GDP-dissociation inhibitor activity {GO:0005092}; guanyl-nucleotide exchange factor activity {GO:0005085}; insulin receptor binding {GO:0005158}; microtubule binding {GO:0008017}; phosphatidylinositol binding {GO:0035091}; protein homodimerization activity {GO:0042803}; protein kinase B binding {GO:0043422}; protein kinase C binding {GO:0005080}; SH2 domain binding {GO:0042169}; vascular endothelial growth factor receptor 2 binding {GO:0043184}</t>
  </si>
  <si>
    <t>RND3 GTPase cycle {R-MMU-9696264}; RND1 GTPase cycle {R-MMU-9696273}</t>
  </si>
  <si>
    <t>sp|Q99M87|DNJA3_MOUSE</t>
  </si>
  <si>
    <t>DnaJ homolog subfamily A member 3, mitochondrial</t>
  </si>
  <si>
    <t>DnaJ protein Tid-1 (mTid-1); Tumorous imaginal discs protein Tid56 homolog</t>
  </si>
  <si>
    <t>DNJA3_MOUSE</t>
  </si>
  <si>
    <t>Q99M87</t>
  </si>
  <si>
    <t>Q8BSM0; Q99L09; Q99P71; Q99P76; Q9CT11; Q9DBJ7; Q9DC44</t>
  </si>
  <si>
    <t>Tid1</t>
  </si>
  <si>
    <t>MGI:1933786</t>
  </si>
  <si>
    <t>Acetylation; Alternative splicing; Apoptosis; Cell membrane; Chaperone; Cytoplasm; Membrane; Metal-binding; Methylation; Mitochondrion; Phosphoprotein; Postsynaptic cell membrane; Repeat; Synapse; Transit peptide; Zinc; Zinc-finger</t>
  </si>
  <si>
    <t>Cell membrane; Cytoplasm; Membrane; Mitochondrion; Postsynaptic cell membrane; Synapse</t>
  </si>
  <si>
    <t>Repeat; Transit peptide; Zinc-finger</t>
  </si>
  <si>
    <t>activation of cysteine-type endopeptidase activity involved in apoptotic process {GO:0006919}; activation-induced cell death of T cells {GO:0006924}; apoptotic process {GO:0006915}; cellular senescence {GO:0090398}; mitochondrial DNA replication {GO:0006264}; mitochondrion organization {GO:0007005}; negative regulation of apoptotic process {GO:0043066}; negative regulation of cell population proliferation {GO:0008285}; negative regulation of cysteine-type endopeptidase activity involved in apoptotic process {GO:0043154}; negative regulation of I-kappaB kinase/NF-kappaB signaling {GO:0043124}; negative regulation of interferon-gamma-mediated signaling pathway {GO:0060336}; negative regulation of NF-kappaB transcription factor activity {GO:0032088}; negative regulation of programmed cell death {GO:0043069}; negative regulation of protein kinase activity {GO:0006469}; negative regulation of transcription by RNA polymerase II {GO:0000122}; neuromuscular junction development {GO:0007528}; positive regulation of apoptotic process {GO:0043065}; positive regulation of protein ubiquitination {GO:0031398}; positive regulation of T cell proliferation {GO:0042102}; protein folding {GO:0006457}; protein stabilization {GO:0050821}; response to heat {GO:0009408}; response to interferon-gamma {GO:0034341}; skeletal muscle acetylcholine-gated channel clustering {GO:0071340}; small GTPase mediated signal transduction {GO:0007264}; T cell differentiation in thymus {GO:0033077}</t>
  </si>
  <si>
    <t>actin filament {GO:0005884}; anchoring junction {GO:0070161}; cytoplasm {GO:0005737}; cytosol {GO:0005829}; extrinsic component of plasma membrane {GO:0019897}; intracellular membrane-bounded organelle {GO:0043231}; mitochondrial matrix {GO:0005759}; mitochondrial nucleoid {GO:0042645}; mitochondrion {GO:0005739}; neuromuscular junction {GO:0031594}; nucleus {GO:0005634}; plasma membrane {GO:0005886}; postsynaptic membrane {GO:0045211}</t>
  </si>
  <si>
    <t>ATP binding {GO:0005524}; DNA-binding transcription factor binding {GO:0140297}; GTPase regulator activity {GO:0030695}; Hsp70 protein binding {GO:0030544}; IkappaB kinase complex binding {GO:0106137}; interferon-gamma receptor binding {GO:0005133}; metal ion binding {GO:0046872}; NF-kappaB binding {GO:0051059}; protein kinase binding {GO:0019901}; protein-containing complex binding {GO:0044877}; receptor tyrosine kinase binding {GO:0030971}; RNA polymerase II-specific DNA-binding transcription factor binding {GO:0061629}; unfolded protein binding {GO:0051082}</t>
  </si>
  <si>
    <t>tr|E9PYG6|E9PYG6_MOUSE</t>
  </si>
  <si>
    <t>sp|P50431|GLYC_MOUSE</t>
  </si>
  <si>
    <t>Serine hydroxymethyltransferase, cytosolic (SHMT)</t>
  </si>
  <si>
    <t>Glycine hydroxymethyltransferase; Serine methylase</t>
  </si>
  <si>
    <t>GLYC_MOUSE</t>
  </si>
  <si>
    <t>P50431</t>
  </si>
  <si>
    <t>Q64508; Q8R0X9</t>
  </si>
  <si>
    <t>Shmt</t>
  </si>
  <si>
    <t>MGI:98299</t>
  </si>
  <si>
    <t>3D-structure; Cytoplasm; One-carbon metabolism; Pyridoxal phosphate; Transferase</t>
  </si>
  <si>
    <t>cellular response to leukemia inhibitory factor {GO:1990830}; cellular response to tetrahydrofolate {GO:1904482}; dTMP biosynthetic process {GO:0006231}; folic acid metabolic process {GO:0046655}; glycine biosynthetic process {GO:0006545}; glycine biosynthetic process from serine {GO:0019264}; glycine metabolic process {GO:0006544}; L-serine catabolic process {GO:0006565}; L-serine metabolic process {GO:0006563}; negative regulation of translation {GO:0017148}; one-carbon metabolic process {GO:0006730}; protein homotetramerization {GO:0051289}; purine nucleobase biosynthetic process {GO:0009113}; tetrahydrofolate interconversion {GO:0035999}; tetrahydrofolate metabolic process {GO:0046653}</t>
  </si>
  <si>
    <t>amino acid binding {GO:0016597}; glycine hydroxymethyltransferase activity {GO:0004372}; identical protein binding {GO:0042802}; L-allo-threonine aldolase activity {GO:0008732}; mRNA 5'-UTR binding {GO:0048027}; mRNA regulatory element binding translation repressor activity {GO:0000900}; protein homodimerization activity {GO:0042803}; pyridoxal phosphate binding {GO:0030170}; serine binding {GO:0070905}; small molecule binding {GO:0036094}; zinc ion binding {GO:0008270}</t>
  </si>
  <si>
    <t>Metabolism of folate and pterines {R-MMU-196757}; Carnitine synthesis {R-MMU-71262}</t>
  </si>
  <si>
    <t>sp|Q8BFR1|ZCCHL_MOUSE</t>
  </si>
  <si>
    <t>Zinc finger CCCH-type antiviral protein 1-like</t>
  </si>
  <si>
    <t>ZCCHL_MOUSE</t>
  </si>
  <si>
    <t>Q8BFR1</t>
  </si>
  <si>
    <t>Q8C3Z2</t>
  </si>
  <si>
    <t>MGI:2443387</t>
  </si>
  <si>
    <t>Acetylation; Alternative splicing; Metal-binding; Repeat; Zinc; Zinc-finger</t>
  </si>
  <si>
    <t>sp|Q61704|ITIH3_MOUSE</t>
  </si>
  <si>
    <t>Inter-alpha-trypsin inhibitor heavy chain H3 (ITI heavy chain H3; ITI-HC3; Inter-alpha-inhibitor heavy chain 3)</t>
  </si>
  <si>
    <t>ITIH3_MOUSE</t>
  </si>
  <si>
    <t>Q61704</t>
  </si>
  <si>
    <t>E9QME9; Q91WG9</t>
  </si>
  <si>
    <t>MGI:96620</t>
  </si>
  <si>
    <t>Cleavage on pair of basic residues; Glycoprotein; Protease inhibitor; Proteoglycan; Secreted; Serine protease inhibitor; Signal</t>
  </si>
  <si>
    <t>Cleavage on pair of basic residues; Glycoprotein; Proteoglycan</t>
  </si>
  <si>
    <t>serine-type endopeptidase inhibitor activity {GO:0004867}</t>
  </si>
  <si>
    <t>sp|Q6P3A8|ODBB_MOUSE</t>
  </si>
  <si>
    <t>2-oxoisovalerate dehydrogenase subunit beta, mitochondrial</t>
  </si>
  <si>
    <t>Branched-chain alpha-keto acid dehydrogenase E1 component beta chain (BCKDE1B; BCKDH E1-beta)</t>
  </si>
  <si>
    <t>ODBB_MOUSE</t>
  </si>
  <si>
    <t>Q6P3A8</t>
  </si>
  <si>
    <t>MGI:88137</t>
  </si>
  <si>
    <t>Acetylation; Alternative splicing; Lipid metabolism; Mitochondrion; Oxidoreductase; Transit peptide</t>
  </si>
  <si>
    <t>branched-chain amino acid catabolic process {GO:0009083}; cellular amino acid catabolic process {GO:0009063}; lipid metabolic process {GO:0006629}; response to cAMP {GO:0051591}; response to glucocorticoid {GO:0051384}; response to nutrient {GO:0007584}</t>
  </si>
  <si>
    <t>mitochondrial alpha-ketoglutarate dehydrogenase complex {GO:0005947}; mitochondrial inner membrane {GO:0005743}; mitochondrion {GO:0005739}; nucleolus {GO:0005730}; nucleoplasm {GO:0005654}</t>
  </si>
  <si>
    <t>3-methyl-2-oxobutanoate dehydrogenase (2-methylpropanoyl-transferring) activity {GO:0003863}; protein-containing complex binding {GO:0044877}</t>
  </si>
  <si>
    <t>Glyoxylate metabolism and glycine degradation {R-MMU-389661}; Branched-chain amino acid catabolism {R-MMU-70895}</t>
  </si>
  <si>
    <t>sp|Q9Z2A5|ATE1_MOUSE</t>
  </si>
  <si>
    <t>Arginyl-tRNA--protein transferase 1 (Arginyltransferase 1; R-transferase 1)</t>
  </si>
  <si>
    <t>Arginine-tRNA--protein transferase 1</t>
  </si>
  <si>
    <t>ATE1_MOUSE</t>
  </si>
  <si>
    <t>Q9Z2A5</t>
  </si>
  <si>
    <t>Q8CFP7; Q9Z2A4</t>
  </si>
  <si>
    <t>MGI:1333870</t>
  </si>
  <si>
    <t>Acyltransferase; Alternative splicing; Cytoplasm; Nucleus; Transferase; Ubl conjugation pathway</t>
  </si>
  <si>
    <t>proteasomal protein catabolic process {GO:0010498}; protein arginylation {GO:0016598}</t>
  </si>
  <si>
    <t>arginyltransferase activity {GO:0004057}</t>
  </si>
  <si>
    <t>sp|Q8BG81|PDIP3_MOUSE</t>
  </si>
  <si>
    <t>Polymerase delta-interacting protein 3</t>
  </si>
  <si>
    <t>S6K1 Aly/REF-like target (SKAR)</t>
  </si>
  <si>
    <t>PDIP3_MOUSE</t>
  </si>
  <si>
    <t>Q8BG81</t>
  </si>
  <si>
    <t>B2FDB4; Q6PE83; Q80X99; Q8CI28</t>
  </si>
  <si>
    <t>MGI:1921076</t>
  </si>
  <si>
    <t>Acetylation; Cytoplasm; Isopeptide bond; Methylation; mRNA transport; Nucleus; Phosphoprotein; RNA-binding; Translation regulation; Transport; Ubl conjugation</t>
  </si>
  <si>
    <t>mRNA export from nucleus {GO:0006406}; poly(A)+ mRNA export from nucleus {GO:0016973}; positive regulation of translation {GO:0045727}</t>
  </si>
  <si>
    <t>cytoplasmic ribonucleoprotein granule {GO:0036464}; nuclear speck {GO:0016607}; nucleus {GO:0005634}</t>
  </si>
  <si>
    <t>mRNA binding {GO:0003729}; protein-containing complex binding {GO:0044877}</t>
  </si>
  <si>
    <t>sp|Q8C0L8|COG5_MOUSE</t>
  </si>
  <si>
    <t>Conserved oligomeric Golgi complex subunit 5 (COG complex subunit 5)</t>
  </si>
  <si>
    <t>Component of oligomeric Golgi complex 5</t>
  </si>
  <si>
    <t>COG5_MOUSE</t>
  </si>
  <si>
    <t>Q8C0L8</t>
  </si>
  <si>
    <t>E9QM30</t>
  </si>
  <si>
    <t>MGI:2145130</t>
  </si>
  <si>
    <t>Cytoplasm; Golgi apparatus; Membrane; Phosphoprotein; Protein transport; Transport</t>
  </si>
  <si>
    <t>glycosylation {GO:0070085}; Golgi organization {GO:0007030}; inter-Golgi cisterna vesicle-mediated transport {GO:0048219}; intra-Golgi vesicle-mediated transport {GO:0006891}; protein transport {GO:0015031}; retrograde transport, vesicle recycling within Golgi {GO:0000301}</t>
  </si>
  <si>
    <t>cytosol {GO:0005829}; Golgi apparatus {GO:0005794}; Golgi membrane {GO:0000139}; Golgi transport complex {GO:0017119}; nucleoplasm {GO:0005654}</t>
  </si>
  <si>
    <t>sp|Q9EQK5|MVP_MOUSE</t>
  </si>
  <si>
    <t>Major vault protein (MVP)</t>
  </si>
  <si>
    <t>MVP_MOUSE</t>
  </si>
  <si>
    <t>Q9EQK5</t>
  </si>
  <si>
    <t>Q922X6</t>
  </si>
  <si>
    <t>MGI:1925638</t>
  </si>
  <si>
    <t>3D-structure; Acetylation; Cytoplasm; Isopeptide bond; Nucleus; Phosphoprotein; Repeat; Ribonucleoprotein; Ubl conjugation</t>
  </si>
  <si>
    <t>cell population proliferation {GO:0008283}; ERBB signaling pathway {GO:0038127}; negative regulation of epidermal growth factor receptor signaling pathway {GO:0042059}; negative regulation of protein autophosphorylation {GO:0031953}; negative regulation of protein tyrosine kinase activity {GO:0061099}; protein activation cascade {GO:0072376}</t>
  </si>
  <si>
    <t>cytoplasm {GO:0005737}; cytoskeleton {GO:0005856}; cytosol {GO:0005829}; nucleus {GO:0005634}; perinuclear region of cytoplasm {GO:0048471}; ribonucleoprotein complex {GO:1990904}</t>
  </si>
  <si>
    <t>identical protein binding {GO:0042802}; protein kinase binding {GO:0019901}; protein phosphatase binding {GO:0019903}</t>
  </si>
  <si>
    <t>sp|Q99KE1|MAOM_MOUSE</t>
  </si>
  <si>
    <t>NAD-dependent malic enzyme, mitochondrial (NAD-ME)</t>
  </si>
  <si>
    <t>Malic enzyme 2</t>
  </si>
  <si>
    <t>MAOM_MOUSE</t>
  </si>
  <si>
    <t>Q99KE1</t>
  </si>
  <si>
    <t>Q3TBM8</t>
  </si>
  <si>
    <t>MGI:2147351</t>
  </si>
  <si>
    <t>Acetylation; Allosteric enzyme; Metal-binding; Mitochondrion; NAD; Oxidoreductase; Transit peptide</t>
  </si>
  <si>
    <t>Metal-binding; NAD</t>
  </si>
  <si>
    <t>malate metabolic process {GO:0006108}; pyruvate metabolic process {GO:0006090}; regulation of NADP metabolic process {GO:1902031}</t>
  </si>
  <si>
    <t>intracellular membrane-bounded organelle {GO:0043231}; mitochondrial matrix {GO:0005759}; mitochondrion {GO:0005739}</t>
  </si>
  <si>
    <t>malate dehydrogenase (decarboxylating) (NAD+) activity {GO:0004471}; malate dehydrogenase (decarboxylating) (NADP+) activity {GO:0004473}; malic enzyme activity {GO:0004470}; metal ion binding {GO:0046872}; NAD binding {GO:0051287}; oxaloacetate decarboxylase activity {GO:0008948}</t>
  </si>
  <si>
    <t>sp|Q9CYD3|CRTAP_MOUSE</t>
  </si>
  <si>
    <t>Cartilage-associated protein</t>
  </si>
  <si>
    <t>CRTAP_MOUSE</t>
  </si>
  <si>
    <t>Q9CYD3</t>
  </si>
  <si>
    <t>O88698; Q8C8C5</t>
  </si>
  <si>
    <t>Casp</t>
  </si>
  <si>
    <t>MGI:1891221</t>
  </si>
  <si>
    <t>Extracellular matrix; Glycoprotein; Hydroxylation; Secreted; Signal</t>
  </si>
  <si>
    <t>Glycoprotein; Hydroxylation</t>
  </si>
  <si>
    <t>chaperone-mediated protein folding {GO:0061077}; collagen fibril organization {GO:0030199}; negative regulation of post-translational protein modification {GO:1901874}; peptidyl-proline hydroxylation to 3-hydroxy-L-proline {GO:0018400}; protein stabilization {GO:0050821}; spermatogenesis {GO:0007283}</t>
  </si>
  <si>
    <t>endoplasmic reticulum {GO:0005783}; extracellular space {GO:0005615}; protein-containing complex {GO:0032991}</t>
  </si>
  <si>
    <t>sp|Q810D6|GRWD1_MOUSE</t>
  </si>
  <si>
    <t>Glutamate-rich WD repeat-containing protein 1</t>
  </si>
  <si>
    <t>Protein A301</t>
  </si>
  <si>
    <t>GRWD1_MOUSE</t>
  </si>
  <si>
    <t>Q810D6</t>
  </si>
  <si>
    <t>G3UVT6; Q922H3</t>
  </si>
  <si>
    <t>A301</t>
  </si>
  <si>
    <t>MGI:2141989</t>
  </si>
  <si>
    <t>Chromosome; Nucleus; Phosphoprotein; Repeat; WD repeat</t>
  </si>
  <si>
    <t>DNA replication {GO:0006260}; nucleosome assembly {GO:0006334}; nucleosome disassembly {GO:0006337}; ribosome biogenesis {GO:0042254}</t>
  </si>
  <si>
    <t>chromosome {GO:0005694}; cytosol {GO:0005829}; nucleolus {GO:0005730}; nucleoplasm {GO:0005654}; nucleus {GO:0005634}; protein-containing complex {GO:0032991}</t>
  </si>
  <si>
    <t>chromatin binding {GO:0003682}; DNA replication origin binding {GO:0003688}; histone binding {GO:0042393}</t>
  </si>
  <si>
    <t>tr|B1AVK5|B1AVK5_MOUSE</t>
  </si>
  <si>
    <t>sp|Q6AW69|CGNL1_MOUSE</t>
  </si>
  <si>
    <t>Cingulin-like protein 1</t>
  </si>
  <si>
    <t>Junction-associated coiled-coil protein</t>
  </si>
  <si>
    <t>CGNL1_MOUSE</t>
  </si>
  <si>
    <t>Q6AW69</t>
  </si>
  <si>
    <t>Q5U5U0; Q69ZB4; Q8BLZ5; Q8BZ26; Q9D2T3</t>
  </si>
  <si>
    <t>Jacop; Kiaa1749</t>
  </si>
  <si>
    <t>MGI:1915428</t>
  </si>
  <si>
    <t>Alternative splicing; Cell junction; Coiled coil; Phosphoprotein; Tight junction</t>
  </si>
  <si>
    <t>Cell junction; Tight junction</t>
  </si>
  <si>
    <t>actin filament organization {GO:0007015}; negative regulation of small GTPase mediated signal transduction {GO:0051058}; negative regulation of stress fiber assembly {GO:0051497}; protein localization to cell-cell junction {GO:0150105}</t>
  </si>
  <si>
    <t>actin cytoskeleton {GO:0015629}; apical junction complex {GO:0043296}; bicellular tight junction {GO:0005923}; myosin complex {GO:0016459}; protein-containing complex {GO:0032991}</t>
  </si>
  <si>
    <t>sp|P52875|TM165_MOUSE</t>
  </si>
  <si>
    <t>Transmembrane protein 165</t>
  </si>
  <si>
    <t>TPA-regulated locus protein; Transmembrane protein PFT27; Transmembrane protein TPARL</t>
  </si>
  <si>
    <t>TM165_MOUSE</t>
  </si>
  <si>
    <t>P52875</t>
  </si>
  <si>
    <t>Q9R292</t>
  </si>
  <si>
    <t>Tparl</t>
  </si>
  <si>
    <t>MGI:894407</t>
  </si>
  <si>
    <t>Coiled coil; Endosome; Golgi apparatus; Lysosome; Membrane; Signal; Transmembrane; Transmembrane helix</t>
  </si>
  <si>
    <t>Endosome; Golgi apparatus; Lysosome; Membrane</t>
  </si>
  <si>
    <t>calcium ion transmembrane transport {GO:0070588}; cellular calcium ion homeostasis {GO:0006874}; Golgi calcium ion homeostasis {GO:0032468}; Golgi calcium ion transport {GO:0032472}; manganese ion transmembrane transport {GO:0071421}; protein N-linked glycosylation {GO:0006487}; regulation of lysosomal lumen pH {GO:0035751}</t>
  </si>
  <si>
    <t>early endosome membrane {GO:0031901}; endosome membrane {GO:0010008}; Golgi apparatus {GO:0005794}; Golgi membrane {GO:0000139}; integral component of membrane {GO:0016021}; intracellular membrane-bounded organelle {GO:0043231}; late endosome membrane {GO:0031902}; lysosomal membrane {GO:0005765}; trans-Golgi network membrane {GO:0032588}</t>
  </si>
  <si>
    <t>calcium ion transmembrane transporter activity {GO:0015085}; manganese ion transmembrane transporter activity {GO:0005384}; metal ion transmembrane transporter activity {GO:0046873}</t>
  </si>
  <si>
    <t>sp|Q8C0Z1|F234A_MOUSE</t>
  </si>
  <si>
    <t>Protein FAM234A</t>
  </si>
  <si>
    <t>Protein ITFG3</t>
  </si>
  <si>
    <t>F234A_MOUSE</t>
  </si>
  <si>
    <t>Q8C0Z1</t>
  </si>
  <si>
    <t>Q3TZ74</t>
  </si>
  <si>
    <t>Itfg3</t>
  </si>
  <si>
    <t>MGI:2146854</t>
  </si>
  <si>
    <t>Glycoprotein; Membrane; Phosphoprotein; Signal-anchor; Transmembrane; Transmembrane helix</t>
  </si>
  <si>
    <t>cell surface {GO:0009986}; integral component of membrane {GO:0016021}</t>
  </si>
  <si>
    <t>sp|Q91XD7|CREL1_MOUSE</t>
  </si>
  <si>
    <t>Protein disulfide isomerase Creld1</t>
  </si>
  <si>
    <t>Cysteine-rich with EGF-like domain protein 1</t>
  </si>
  <si>
    <t>CREL1_MOUSE</t>
  </si>
  <si>
    <t>Q91XD7</t>
  </si>
  <si>
    <t>Q8BGJ8</t>
  </si>
  <si>
    <t>MGI:2152539</t>
  </si>
  <si>
    <t>Calcium; Disulfide bond; EGF-like domain; Glycoprotein; Isomerase; Membrane; Redox-active center; Repeat; Signal; Transmembrane; Transmembrane helix</t>
  </si>
  <si>
    <t>EGF-like domain; Redox-active center; Repeat; Signal; Transmembrane; Transmembrane helix</t>
  </si>
  <si>
    <t>calcium ion binding {GO:0005509}; protein disulfide isomerase activity {GO:0003756}</t>
  </si>
  <si>
    <t>sp|Q8BZH4|POGZ_MOUSE</t>
  </si>
  <si>
    <t>Pogo transposable element with ZNF domain</t>
  </si>
  <si>
    <t>POGZ_MOUSE</t>
  </si>
  <si>
    <t>Q8BZH4</t>
  </si>
  <si>
    <t>Q4VA94; Q80TZ8; Q8C0K1; Q8K294</t>
  </si>
  <si>
    <t>Kiaa0461</t>
  </si>
  <si>
    <t>MGI:2442117</t>
  </si>
  <si>
    <t>Cell cycle; Cell division; Chromosome; Coiled coil; Cytoplasm; DNA damage; DNA recombination; DNA repair; DNA-binding; Isopeptide bond; Metal-binding; Nucleus; Phosphoprotein; Repeat; Ubl conjugation; Zinc; Zinc-finger</t>
  </si>
  <si>
    <t>Cell cycle; Cell division; DNA damage; DNA recombination; DNA repair</t>
  </si>
  <si>
    <t>cell division {GO:0051301}; DNA recombination {GO:0006310}; DNA repair {GO:0006281}; kinetochore assembly {GO:0051382}; mitotic sister chromatid cohesion {GO:0007064}; positive regulation of double-strand break repair via homologous recombination {GO:1905168}; positive regulation of transcription by RNA polymerase II {GO:0045944}; regulation of gene expression {GO:0010468}</t>
  </si>
  <si>
    <t>sp|Q99LQ4|SVBP_MOUSE</t>
  </si>
  <si>
    <t>Small vasohibin-binding protein</t>
  </si>
  <si>
    <t>Coiled coil domain-containing protein 23</t>
  </si>
  <si>
    <t>SVBP_MOUSE</t>
  </si>
  <si>
    <t>Q99LQ4</t>
  </si>
  <si>
    <t>MGI:1916466</t>
  </si>
  <si>
    <t>Coiled coil; Cytoplasm; Cytoskeleton; Secreted</t>
  </si>
  <si>
    <t>axon development {GO:0061564}; brain development {GO:0007420}; negative regulation of endothelial cell migration {GO:0010596}; negative regulation of protein ubiquitination {GO:0031397}; protein secretion {GO:0009306}; proteolysis {GO:0006508}; regulation of metallopeptidase activity {GO:1905048}</t>
  </si>
  <si>
    <t>apical part of cell {GO:0045177}; cytoplasm {GO:0005737}; cytoskeleton {GO:0005856}; extracellular region {GO:0005576}</t>
  </si>
  <si>
    <t>microtubule binding {GO:0008017}; peptidase activator activity {GO:0016504}</t>
  </si>
  <si>
    <t>sp|Q6P9R4|ARHGI_MOUSE</t>
  </si>
  <si>
    <t>Rho guanine nucleotide exchange factor 18</t>
  </si>
  <si>
    <t>ARHGI_MOUSE</t>
  </si>
  <si>
    <t>Q6P9R4</t>
  </si>
  <si>
    <t>E9QK59; Q6A055; Q8BYA4; Q8K227</t>
  </si>
  <si>
    <t>Kiaa0521</t>
  </si>
  <si>
    <t>MGI:2142567</t>
  </si>
  <si>
    <t>3D-structure; Alternative splicing; Cell membrane; Coiled coil; Cytoplasm; Cytoskeleton; Guanine-nucleotide releasing factor; Membrane; Metal-binding; Phosphoprotein; Zinc; Zinc-finger</t>
  </si>
  <si>
    <t>actin cytoskeleton organization {GO:0030036}; negative regulation of stress fiber assembly {GO:0051497}; protein localization to cell-cell junction {GO:0150105}; regulation of cell shape {GO:0008360}; regulation of Rho protein signal transduction {GO:0035023}; small GTPase mediated signal transduction {GO:0007264}</t>
  </si>
  <si>
    <t>apical part of cell {GO:0045177}; apical plasma membrane {GO:0016324}; cytoskeleton {GO:0005856}; cytosol {GO:0005829}; plasma membrane {GO:0005886}</t>
  </si>
  <si>
    <t>guanyl-nucleotide exchange factor activity {GO:0005085}; metal ion binding {GO:0046872}</t>
  </si>
  <si>
    <t>NRAGE signals death through JNK {R-MMU-193648}; TGF-beta receptor signaling in EMT (epithelial to mesenchymal transition) {R-MMU-2173791}; G alpha (12/13) signalling events {R-MMU-416482}; RHOA GTPase cycle {R-MMU-8980692}; RAC1 GTPase cycle {R-MMU-9013149}</t>
  </si>
  <si>
    <t>sp|Q3U319|BRE1B_MOUSE</t>
  </si>
  <si>
    <t>E3 ubiquitin-protein ligase BRE1B (BRE1-B)</t>
  </si>
  <si>
    <t>RING finger protein 40; RING-type E3 ubiquitin transferase BRE1B</t>
  </si>
  <si>
    <t>BRE1B_MOUSE</t>
  </si>
  <si>
    <t>Q3U319</t>
  </si>
  <si>
    <t>Q6ZQ75; Q8BJA1; Q8BY03; Q8CHX4</t>
  </si>
  <si>
    <t>Bre1b; Kiaa0661</t>
  </si>
  <si>
    <t>MGI:2142048</t>
  </si>
  <si>
    <t>Acetylation; Chromatin regulator; Coiled coil; Isopeptide bond; Metal-binding; Nucleus; Phosphoprotein; Transferase; Ubl conjugation; Ubl conjugation pathway; Zinc; Zinc-finger</t>
  </si>
  <si>
    <t>chromatin organization {GO:0006325}; histone H2B conserved C-terminal lysine ubiquitination {GO:0071894}; histone H2B ubiquitination {GO:0033523}; histone monoubiquitination {GO:0010390}; positive regulation of proteasomal protein catabolic process {GO:1901800}; positive regulation of protein polyubiquitination {GO:1902916}; response to peptide hormone {GO:0043434}; ubiquitin-dependent protein catabolic process {GO:0006511}</t>
  </si>
  <si>
    <t>axon terminus {GO:0043679}; cytosol {GO:0005829}; extrinsic component of membrane {GO:0019898}; HULC complex {GO:0033503}; neuron projection {GO:0043005}; nucleoplasm {GO:0005654}; nucleus {GO:0005634}; protein-containing complex {GO:0032991}; ubiquitin ligase complex {GO:0000151}</t>
  </si>
  <si>
    <t>metal ion binding {GO:0046872}; mRNA 3'-UTR binding {GO:0003730}; protein homodimerization activity {GO:0042803}; protein-containing complex binding {GO:0044877}; syntaxin-1 binding {GO:0017075}; ubiquitin conjugating enzyme binding {GO:0031624}; ubiquitin protein ligase activity {GO:0061630}; ubiquitin protein ligase binding {GO:0031625}; ubiquitin-protein transferase activity {GO:0004842}</t>
  </si>
  <si>
    <t>E3 ubiquitin ligases ubiquitinate target proteins {R-MMU-8866654}</t>
  </si>
  <si>
    <t>sp|Q00493|CBPE_MOUSE</t>
  </si>
  <si>
    <t>Carboxypeptidase E (CPE)</t>
  </si>
  <si>
    <t>Carboxypeptidase H (CPH); Enkephalin convertase; Prohormone-processing carboxypeptidase</t>
  </si>
  <si>
    <t>CBPE_MOUSE</t>
  </si>
  <si>
    <t>Q00493</t>
  </si>
  <si>
    <t>Q64439</t>
  </si>
  <si>
    <t>MGI:101932</t>
  </si>
  <si>
    <t>Carboxypeptidase; Cleavage on pair of basic residues; Cytoplasmic vesicle; Disease variant; Glycoprotein; Hydrolase; Membrane; Metal-binding; Metalloprotease; Protease; Secreted; Signal; Zinc; Zymogen</t>
  </si>
  <si>
    <t>Cytoplasmic vesicle; Membrane; Secreted</t>
  </si>
  <si>
    <t>Cleavage on pair of basic residues; Glycoprotein; Zymogen</t>
  </si>
  <si>
    <t>cardiac left ventricle morphogenesis {GO:0003214}; enkephalin processing {GO:0034230}; insulin processing {GO:0030070}; negative regulation of branching morphogenesis of a nerve {GO:2000173}; peptide catabolic process {GO:0043171}; peptide hormone secretion {GO:0030072}; peptide metabolic process {GO:0006518}; protein localization to membrane {GO:0072657}; protein localization to secretory granule {GO:0033366}; protein processing {GO:0016485}; Wnt signaling pathway {GO:0016055}</t>
  </si>
  <si>
    <t>dendrite {GO:0030425}; dense core granule {GO:0031045}; extracellular region {GO:0005576}; extracellular space {GO:0005615}; Golgi apparatus {GO:0005794}; membrane raft {GO:0045121}; neuronal cell body {GO:0043025}; perikaryon {GO:0043204}; secretory granule {GO:0030141}; secretory granule membrane {GO:0030667}; synaptic membrane {GO:0097060}; transport vesicle membrane {GO:0030658}</t>
  </si>
  <si>
    <t>carboxypeptidase activity {GO:0004180}; cell adhesion molecule binding {GO:0050839}; cobalt ion binding {GO:0050897}; metallocarboxypeptidase activity {GO:0004181}; neurexin family protein binding {GO:0042043}; peptidase activity {GO:0008233}; protein domain specific binding {GO:0019904}; zinc ion binding {GO:0008270}</t>
  </si>
  <si>
    <t>sp|A2AWA9|RBGP1_MOUSE</t>
  </si>
  <si>
    <t>Rab GTPase-activating protein 1</t>
  </si>
  <si>
    <t>GAP and centrosome-associated protein; Rab6 GTPase-activating protein GAPCenA</t>
  </si>
  <si>
    <t>RBGP1_MOUSE</t>
  </si>
  <si>
    <t>A2AWA9</t>
  </si>
  <si>
    <t>Q5DTN1; Q8BQ32; Q8C8W3; Q8CD74; Q8R312</t>
  </si>
  <si>
    <t>MGI:2385139</t>
  </si>
  <si>
    <t>Alternative splicing; Cell cycle; Coiled coil; Cytoplasm; Cytoskeleton; GTPase activation; Phosphoprotein</t>
  </si>
  <si>
    <t>activation of GTPase activity {GO:0090630}; cell cycle {GO:0007049}; regulation of GTPase activity {GO:0043087}</t>
  </si>
  <si>
    <t>cytosol {GO:0005829}; microtubule organizing center {GO:0005815}</t>
  </si>
  <si>
    <t>GTPase activator activity {GO:0005096}; small GTPase binding {GO:0031267}</t>
  </si>
  <si>
    <t>sp|A2AT37|RENT2_MOUSE</t>
  </si>
  <si>
    <t>sp|Q91VN4|MIC25_MOUSE</t>
  </si>
  <si>
    <t>MICOS complex subunit Mic25</t>
  </si>
  <si>
    <t>Coiled-coil-helix-coiled-coil-helix domain-containing protein 6</t>
  </si>
  <si>
    <t>MIC25_MOUSE</t>
  </si>
  <si>
    <t>Q91VN4</t>
  </si>
  <si>
    <t>Q3UNQ1; Q9D5I5; Q9DAM8</t>
  </si>
  <si>
    <t>Mic25</t>
  </si>
  <si>
    <t>MGI:1913348</t>
  </si>
  <si>
    <t>Coiled coil; Disulfide bond; Lipoprotein; Membrane; Mitochondrion; Mitochondrion inner membrane; Myristate; Phosphoprotein</t>
  </si>
  <si>
    <t>Disulfide bond; Lipoprotein; Myristate; Phosphoprotein</t>
  </si>
  <si>
    <t>cellular response to DNA damage stimulus {GO:0006974}; cristae formation {GO:0042407}</t>
  </si>
  <si>
    <t>cytosol {GO:0005829}; MICOS complex {GO:0061617}; mitochondrial inner membrane {GO:0005743}; mitochondrion {GO:0005739}</t>
  </si>
  <si>
    <t>sp|P56394|COX17_MOUSE</t>
  </si>
  <si>
    <t>Cytochrome c oxidase copper chaperone</t>
  </si>
  <si>
    <t>COX17_MOUSE</t>
  </si>
  <si>
    <t>P56394</t>
  </si>
  <si>
    <t>Cox17a</t>
  </si>
  <si>
    <t>MGI:1333806</t>
  </si>
  <si>
    <t>Chaperone; Copper; Cytoplasm; Disulfide bond; Metal-binding; Mitochondrion</t>
  </si>
  <si>
    <t>mitochondrial cytochrome c oxidase assembly {GO:0033617}; positive regulation of cell population proliferation {GO:0008284}; positive regulation of cytochrome-c oxidase activity {GO:1904960}</t>
  </si>
  <si>
    <t>cytoplasm {GO:0005737}; mitochondrial intermembrane space {GO:0005758}; mitochondrion {GO:0005739}</t>
  </si>
  <si>
    <t>copper chaperone activity {GO:0016531}; copper ion binding {GO:0005507}; cuprous ion binding {GO:1903136}; enzyme activator activity {GO:0008047}</t>
  </si>
  <si>
    <t>sp|Q8JZM7|CDC73_MOUSE</t>
  </si>
  <si>
    <t>Parafibromin</t>
  </si>
  <si>
    <t>Cell division cycle protein 73 homolog; Hyperparathyroidism 2 protein homolog</t>
  </si>
  <si>
    <t>CDC73_MOUSE</t>
  </si>
  <si>
    <t>Q8JZM7</t>
  </si>
  <si>
    <t>MGI:2384876</t>
  </si>
  <si>
    <t>Acetylation; Cell cycle; Isopeptide bond; Nucleus; Phosphoprotein; Transcription; Tumor suppressor; Ubl conjugation; Wnt signaling pathway</t>
  </si>
  <si>
    <t>Cell cycle; Transcription; Wnt signaling pathway</t>
  </si>
  <si>
    <t>cell cycle {GO:0007049}; cellular response to lipopolysaccharide {GO:0071222}; endodermal cell fate commitment {GO:0001711}; histone H2B ubiquitination {GO:0033523}; histone monoubiquitination {GO:0010390}; mRNA polyadenylation {GO:0006378}; negative regulation of apoptotic process {GO:0043066}; negative regulation of cell population proliferation {GO:0008285}; negative regulation of epithelial cell proliferation {GO:0050680}; negative regulation of fibroblast proliferation {GO:0048147}; negative regulation of G1/S transition of mitotic cell cycle {GO:2000134}; negative regulation of myeloid cell differentiation {GO:0045638}; negative regulation of transcription by RNA polymerase II {GO:0000122}; positive regulation of cell cycle G1/S phase transition {GO:1902808}; positive regulation of mRNA 3'-end processing {GO:0031442}; positive regulation of transcription elongation by RNA polymerase II {GO:0032968}; positive regulation of Wnt signaling pathway {GO:0030177}; protein destabilization {GO:0031648}; recruitment of 3'-end processing factors to RNA polymerase II holoenzyme complex {GO:0034402}; regulation of cell growth {GO:0001558}; regulation of transcription by RNA polymerase II {GO:0006357}; stem cell population maintenance {GO:0019827}; transcription elongation by RNA polymerase II promoter {GO:0006368}; Wnt signaling pathway {GO:0016055}</t>
  </si>
  <si>
    <t>Cdc73/Paf1 complex {GO:0016593}; cytosol {GO:0005829}; nucleoplasm {GO:0005654}; nucleus {GO:0005634}</t>
  </si>
  <si>
    <t>RNA polymerase II complex binding {GO:0000993}</t>
  </si>
  <si>
    <t>Formation of RNA Pol II elongation complex {R-MMU-112382}; Formation of the beta-catenin:TCF transactivating complex {R-MMU-201722}; Hedgehog 'on' state {R-MMU-5632684}; RNA Polymerase II Pre-transcription Events {R-MMU-674695}; RNA Polymerase II Transcription Elongation {R-MMU-75955}; E3 ubiquitin ligases ubiquitinate target proteins {R-MMU-8866654}</t>
  </si>
  <si>
    <t>sp|P53783|SOX1_MOUSE</t>
  </si>
  <si>
    <t>Transcription factor SOX-1</t>
  </si>
  <si>
    <t>SOX1_MOUSE</t>
  </si>
  <si>
    <t>P53783</t>
  </si>
  <si>
    <t>Q80XF2</t>
  </si>
  <si>
    <t>Sox-1</t>
  </si>
  <si>
    <t>MGI:98357</t>
  </si>
  <si>
    <t>Activator; DNA-binding; Nucleus; Transcription; Transcription regulation</t>
  </si>
  <si>
    <t>anatomical structure morphogenesis {GO:0009653}; cell differentiation {GO:0030154}; cellular response to leukemia inhibitory factor {GO:1990830}; forebrain development {GO:0030900}; forebrain neuron development {GO:0021884}; forebrain neuron differentiation {GO:0021879}; interneuron migration {GO:1904936}; lens morphogenesis in camera-type eye {GO:0002089}; negative regulation of transcription by RNA polymerase II {GO:0000122}; neuron migration {GO:0001764}; positive regulation of transcription by RNA polymerase II {GO:0045944}; regulation of DNA-templated transcription {GO:0006355}; regulation of oligodendrocyte differentiation {GO:0048713}; ventral spinal cord interneuron specification {GO:0021521}</t>
  </si>
  <si>
    <t>DNA binding {GO:0003677}; DNA-binding transcription activator activity, RNA polymerase II-specific {GO:0001228}; DNA-binding transcription factor activity, RNA polymerase II-specific {GO:0000981}; RNA polymerase II cis-regulatory region sequence-specific DNA binding {GO:0000978}; sequence-specific DNA binding {GO:0043565}</t>
  </si>
  <si>
    <t>sp|Q4VBE8|WDR18_MOUSE</t>
  </si>
  <si>
    <t>WD repeat-containing protein 18</t>
  </si>
  <si>
    <t>WDR18_MOUSE</t>
  </si>
  <si>
    <t>Q4VBE8</t>
  </si>
  <si>
    <t>MGI:2158400</t>
  </si>
  <si>
    <t>Cytoplasm; Developmental protein; Nucleus; Repeat; WD repeat</t>
  </si>
  <si>
    <t>DNA-templated DNA replication {GO:0006261}; rRNA processing {GO:0006364}</t>
  </si>
  <si>
    <t>dynein axonemal particle {GO:0120293}; nuclear pre-replicative complex {GO:0005656}; nucleolus {GO:0005730}; nucleoplasm {GO:0005654}; Rix1 complex {GO:0097344}</t>
  </si>
  <si>
    <t>sp|Q8BPG6|SUMF2_MOUSE</t>
  </si>
  <si>
    <t>Inactive C-alpha-formylglycine-generating enzyme 2</t>
  </si>
  <si>
    <t>Sulfatase-modifying factor 2</t>
  </si>
  <si>
    <t>SUMF2_MOUSE</t>
  </si>
  <si>
    <t>Q8BPG6</t>
  </si>
  <si>
    <t>Q3TZL1; Q3UUL0; Q9CZ47</t>
  </si>
  <si>
    <t>MGI:1915152</t>
  </si>
  <si>
    <t>Calcium; Disulfide bond; Endoplasmic reticulum; Glycoprotein; Metal-binding; Signal</t>
  </si>
  <si>
    <t>Glycosphingolipid metabolism {R-MMU-1660662}; The activation of arylsulfatases {R-MMU-1663150}</t>
  </si>
  <si>
    <t>sp|Q9D6Y7|MSRA_MOUSE</t>
  </si>
  <si>
    <t>Mitochondrial peptide methionine sulfoxide reductase</t>
  </si>
  <si>
    <t>Peptide-methionine (S)-S-oxide reductase (Peptide Met(O) reductase); Protein-methionine-S-oxide reductase (PMSR)</t>
  </si>
  <si>
    <t>MSRA_MOUSE</t>
  </si>
  <si>
    <t>Q9D6Y7</t>
  </si>
  <si>
    <t>Q5EBQ7; Q91WK9; Q9DCY2</t>
  </si>
  <si>
    <t>MGI:106916</t>
  </si>
  <si>
    <t>3D-structure; Acetylation; Alternative initiation; Alternative splicing; Cytoplasm; Disulfide bond; Lipoprotein; Membrane; Mitochondrion; Myristate; Nucleus; Oxidoreductase; Redox-active center; Transit peptide</t>
  </si>
  <si>
    <t>Cytoplasm; Membrane; Mitochondrion; Nucleus</t>
  </si>
  <si>
    <t>Acetylation; Disulfide bond; Lipoprotein; Myristate</t>
  </si>
  <si>
    <t>aging {GO:0007568}; cellular response to oxidative stress {GO:0034599}</t>
  </si>
  <si>
    <t>actin cytoskeleton {GO:0015629}; cytoplasm {GO:0005737}; cytosol {GO:0005829}; mitochondrion {GO:0005739}; nucleoplasm {GO:0005654}; plasma membrane {GO:0005886}</t>
  </si>
  <si>
    <t>L-methionine-(S)-S-oxide reductase activity {GO:0036456}; peptide-methionine (S)-S-oxide reductase activity {GO:0008113}</t>
  </si>
  <si>
    <t>sp|Q8K2T8|PAF1_MOUSE</t>
  </si>
  <si>
    <t>RNA polymerase II-associated factor 1 homolog</t>
  </si>
  <si>
    <t>PAF1_MOUSE</t>
  </si>
  <si>
    <t>Q8K2T8</t>
  </si>
  <si>
    <t>Q3UY97; Q9CS63; Q9JJ99</t>
  </si>
  <si>
    <t>MGI:1923988</t>
  </si>
  <si>
    <t>Coiled coil; Isopeptide bond; Nucleus; Phosphoprotein; Transcription; Transcription regulation; Ubl conjugation; Wnt signaling pathway</t>
  </si>
  <si>
    <t>cellular response to lipopolysaccharide {GO:0071222}; endodermal cell fate commitment {GO:0001711}; histone H2B ubiquitination {GO:0033523}; histone monoubiquitination {GO:0010390}; mRNA polyadenylation {GO:0006378}; negative regulation of myeloid cell differentiation {GO:0045638}; negative regulation of transcription by RNA polymerase II {GO:0000122}; positive regulation of cell cycle G1/S phase transition {GO:1902808}; positive regulation of histone methylation {GO:0031062}; positive regulation of mRNA 3'-end processing {GO:0031442}; protein localization to nucleus {GO:0034504}; stem cell population maintenance {GO:0019827}; transcription elongation by RNA polymerase II promoter {GO:0006368}; Wnt signaling pathway {GO:0016055}</t>
  </si>
  <si>
    <t>Cdc73/Paf1 complex {GO:0016593}; cell junction {GO:0030054}; cytoplasm {GO:0005737}; membrane {GO:0016020}; nucleoplasm {GO:0005654}</t>
  </si>
  <si>
    <t>chromatin binding {GO:0003682}; RNA polymerase II complex binding {GO:0000993}</t>
  </si>
  <si>
    <t>Formation of RNA Pol II elongation complex {R-MMU-112382}; RNA Polymerase II Pre-transcription Events {R-MMU-674695}; RNA Polymerase II Transcription Elongation {R-MMU-75955}; E3 ubiquitin ligases ubiquitinate target proteins {R-MMU-8866654}</t>
  </si>
  <si>
    <t>sp|Q80W00|PP1RA_MOUSE</t>
  </si>
  <si>
    <t>Serine/threonine-protein phosphatase 1 regulatory subunit 10</t>
  </si>
  <si>
    <t>MHC class I region proline-rich protein CAT53</t>
  </si>
  <si>
    <t>PP1RA_MOUSE</t>
  </si>
  <si>
    <t>Q80W00</t>
  </si>
  <si>
    <t>B1B179; Q811B6; Q8C6T7; Q8K2U8</t>
  </si>
  <si>
    <t>Cat53; Pnuts</t>
  </si>
  <si>
    <t>MGI:1289273</t>
  </si>
  <si>
    <t>Alternative splicing; DNA-binding; Isopeptide bond; Metal-binding; Methylation; Nucleus; Phosphoprotein; Protein phosphatase inhibitor; RNA-binding; Ubl conjugation; Zinc; Zinc-finger</t>
  </si>
  <si>
    <t>DNA-binding; Protein phosphatase inhibitor; RNA-binding</t>
  </si>
  <si>
    <t>negative regulation of cardiac muscle cell apoptotic process {GO:0010667}; negative regulation of mitotic DNA damage checkpoint {GO:1904290}; positive regulation of telomere maintenance {GO:0032206}</t>
  </si>
  <si>
    <t>chromatin {GO:0000785}; chromosome, telomeric region {GO:0000781}; nuclear body {GO:0016604}; nucleoplasm {GO:0005654}; PTW/PP1 phosphatase complex {GO:0072357}</t>
  </si>
  <si>
    <t>DNA binding {GO:0003677}; metal ion binding {GO:0046872}; protein phosphatase 1 binding {GO:0008157}; protein phosphatase inhibitor activity {GO:0004864}; RNA binding {GO:0003723}</t>
  </si>
  <si>
    <t>sp|Q9CR61|NDUB7_MOUSE</t>
  </si>
  <si>
    <t>NADH dehydrogenase [ubiquinone] 1 beta subcomplex subunit 7</t>
  </si>
  <si>
    <t>Complex I-B18 (CI-B18); NADH-ubiquinone oxidoreductase B18 subunit</t>
  </si>
  <si>
    <t>NDUB7_MOUSE</t>
  </si>
  <si>
    <t>Q9CR61</t>
  </si>
  <si>
    <t>MGI:1914166</t>
  </si>
  <si>
    <t>3D-structure; Disulfide bond; Electron transport; Lipoprotein; Membrane; Mitochondrion; Mitochondrion inner membrane; Myristate; Phosphoprotein; Respiratory chain; Transport</t>
  </si>
  <si>
    <t>tr|E9Q3G8|E9Q3G8_MOUSE</t>
  </si>
  <si>
    <t>sp|Q80UJ7|RB3GP_MOUSE</t>
  </si>
  <si>
    <t>Rab3 GTPase-activating protein catalytic subunit</t>
  </si>
  <si>
    <t>RAB3 GTPase-activating protein 130 kDa subunit; Rab3-GAP p130 (Rab3-GAP)</t>
  </si>
  <si>
    <t>RB3GP_MOUSE</t>
  </si>
  <si>
    <t>Q80UJ7</t>
  </si>
  <si>
    <t>Q3TPB6; Q6A0D7; Q8C4Y0; Q8C679; Q8C6A5; Q8K324</t>
  </si>
  <si>
    <t>Kiaa0066; Rab3gap</t>
  </si>
  <si>
    <t>MGI:2445001</t>
  </si>
  <si>
    <t>Cytoplasm; GTPase activation; Phosphoprotein</t>
  </si>
  <si>
    <t>brain development {GO:0007420}; camera-type eye development {GO:0043010}; establishment of protein localization to endoplasmic reticulum membrane {GO:0097051}; excitatory postsynaptic potential {GO:0060079}; face morphogenesis {GO:0060325}; hypothalamus development {GO:0021854}; lipid droplet organization {GO:0034389}; positive regulation of autophagosome assembly {GO:2000786}; positive regulation of endoplasmic reticulum tubular network organization {GO:1903373}; positive regulation of gene expression {GO:0010628}; positive regulation of glutamate neurotransmitter secretion in response to membrane depolarization {GO:0061646}; positive regulation of GTPase activity {GO:0043547}; positive regulation of protein lipidation {GO:1903061}; protein stabilization {GO:0050821}; regulation of calcium ion-dependent exocytosis of neurotransmitter {GO:1903233}; regulation of GTPase activity {GO:0043087}; regulation of Rab protein signal transduction {GO:0032483}; regulation of short-term neuronal synaptic plasticity {GO:0048172}; regulation of synaptic vesicle priming {GO:0010807}; synaptic vesicle transport {GO:0048489}</t>
  </si>
  <si>
    <t>cytoplasm {GO:0005737}; endoplasmic reticulum tubular network {GO:0071782}; excitatory synapse {GO:0060076}; Golgi apparatus {GO:0005794}; lipid droplet {GO:0005811}; postsynapse {GO:0098794}; protein-containing complex {GO:0032991}</t>
  </si>
  <si>
    <t>sp|G5E8V9|ARFP1_MOUSE</t>
  </si>
  <si>
    <t>Arfaptin-1</t>
  </si>
  <si>
    <t>ADP-ribosylation factor-interacting protein 1</t>
  </si>
  <si>
    <t>ARFP1_MOUSE</t>
  </si>
  <si>
    <t>G5E8V9</t>
  </si>
  <si>
    <t>A2RSX9; E9Q3G5</t>
  </si>
  <si>
    <t>MGI:1277120</t>
  </si>
  <si>
    <t>Acetylation; Alternative splicing; Golgi apparatus; Membrane; Phosphoprotein</t>
  </si>
  <si>
    <t>intracellular protein transport {GO:0006886}; negative regulation of retrograde transport, endosome to Golgi {GO:1905280}; regulation of Arp2/3 complex-mediated actin nucleation {GO:0034315}; regulation of protein secretion {GO:0050708}</t>
  </si>
  <si>
    <t>cytosol {GO:0005829}; Golgi membrane {GO:0000139}; trans-Golgi network membrane {GO:0032588}</t>
  </si>
  <si>
    <t>phosphatidylinositol-4-phosphate binding {GO:0070273}; phospholipid binding {GO:0005543}; protein domain specific binding {GO:0019904}</t>
  </si>
  <si>
    <t>sp|Q8C6G8|WDR26_MOUSE</t>
  </si>
  <si>
    <t>WD repeat-containing protein 26</t>
  </si>
  <si>
    <t>WDR26_MOUSE</t>
  </si>
  <si>
    <t>Q8C6G8</t>
  </si>
  <si>
    <t>E9PX83; Q3TK81; Q8C4F3; Q8VDZ6</t>
  </si>
  <si>
    <t>MGI:1923825</t>
  </si>
  <si>
    <t>Cytoplasm; Mitochondrion; Nucleus; Phosphoprotein; Repeat; WD repeat</t>
  </si>
  <si>
    <t>cytoplasm {GO:0005737}; cytosol {GO:0005829}; GID complex {GO:0034657}; mitochondrion {GO:0005739}; nucleoplasm {GO:0005654}; nucleus {GO:0005634}; ubiquitin ligase complex {GO:0000151}</t>
  </si>
  <si>
    <t>sp|Q9JHS4|CLPX_MOUSE</t>
  </si>
  <si>
    <t>ATP-dependent Clp protease ATP-binding subunit clpX-like, mitochondrial</t>
  </si>
  <si>
    <t>CLPX_MOUSE</t>
  </si>
  <si>
    <t>Q9JHS4</t>
  </si>
  <si>
    <t>E9QLZ8; Q9WVD1</t>
  </si>
  <si>
    <t>MGI:1346017</t>
  </si>
  <si>
    <t>Acetylation; ATP-binding; Chaperone; Metal-binding; Mitochondrion; Mitochondrion nucleoid; Nucleotide-binding; Phosphoprotein; Transit peptide; Zinc</t>
  </si>
  <si>
    <t>ATP metabolic process {GO:0046034}; proteolysis {GO:0006508}; proteolysis involved in protein catabolic process {GO:0051603}</t>
  </si>
  <si>
    <t>cytosol {GO:0005829}; endopeptidase Clp complex {GO:0009368}; mitochondrial endopeptidase Clp complex {GO:0009841}; mitochondrial inner membrane {GO:0005743}; mitochondrial matrix {GO:0005759}; mitochondrial nucleoid {GO:0042645}; mitochondrion {GO:0005739}; nucleoplasm {GO:0005654}</t>
  </si>
  <si>
    <t>ATP binding {GO:0005524}; ATP hydrolysis activity {GO:0016887}; ATP-dependent peptidase activity {GO:0004176}; ATP-dependent protein folding chaperone {GO:0140662}; peptidase activator activity {GO:0016504}; protein dimerization activity {GO:0046983}; unfolded protein binding {GO:0051082}; zinc ion binding {GO:0008270}</t>
  </si>
  <si>
    <t>sp|Q91VE6|MK67I_MOUSE</t>
  </si>
  <si>
    <t>MKI67 FHA domain-interacting nucleolar phosphoprotein</t>
  </si>
  <si>
    <t>Nucleolar protein interacting with the FHA domain of pKI-67 (mNIFK)</t>
  </si>
  <si>
    <t>MK67I_MOUSE</t>
  </si>
  <si>
    <t>Q91VE6</t>
  </si>
  <si>
    <t>Q8BMV9; Q8BVL4</t>
  </si>
  <si>
    <t>Mki67ip</t>
  </si>
  <si>
    <t>MGI:1915199</t>
  </si>
  <si>
    <t>Acetylation; Alternative splicing; Chromosome; Citrullination; Isopeptide bond; Methylation; Nucleus; Phosphoprotein; RNA-binding; Ubl conjugation</t>
  </si>
  <si>
    <t>maturation of LSU-rRNA from tricistronic rRNA transcript (SSU-rRNA, 5.8S rRNA, LSU-rRNA) {GO:0000463}</t>
  </si>
  <si>
    <t>chromosome {GO:0005694}; condensed nuclear chromosome {GO:0000794}; cytoplasm {GO:0005737}; nucleolus {GO:0005730}; nucleoplasm {GO:0005654}</t>
  </si>
  <si>
    <t>sp|Q9D0K0|TBCD7_MOUSE</t>
  </si>
  <si>
    <t>TBC1 domain family member 7</t>
  </si>
  <si>
    <t>TBCD7_MOUSE</t>
  </si>
  <si>
    <t>Q9D0K0</t>
  </si>
  <si>
    <t>B7ZNC1; Q05AE0; Q3U0V0</t>
  </si>
  <si>
    <t>MGI:1914296</t>
  </si>
  <si>
    <t>Alternative splicing; Cytoplasmic vesicle; GTPase activation</t>
  </si>
  <si>
    <t>Cytoplasmic vesicle</t>
  </si>
  <si>
    <t>activation of GTPase activity {GO:0090630}; negative regulation of cilium assembly {GO:1902018}; negative regulation of TOR signaling {GO:0032007}; positive regulation of GTPase activity {GO:0043547}; positive regulation of protein ubiquitination {GO:0031398}; response to growth factor {GO:0070848}</t>
  </si>
  <si>
    <t>ciliary basal body {GO:0036064}; cytoplasmic vesicle {GO:0031410}; TSC1-TSC2 complex {GO:0033596}</t>
  </si>
  <si>
    <t>sp|Q62356|FSTL1_MOUSE</t>
  </si>
  <si>
    <t>Follistatin-related protein 1</t>
  </si>
  <si>
    <t>Follistatin-like protein 1; TGF-beta-inducible protein TSC-36</t>
  </si>
  <si>
    <t>FSTL1_MOUSE</t>
  </si>
  <si>
    <t>Q62356</t>
  </si>
  <si>
    <t>Q6GTX2; Q99JI9</t>
  </si>
  <si>
    <t>Frp; Fstl; Tsc36</t>
  </si>
  <si>
    <t>MGI:102793</t>
  </si>
  <si>
    <t>3D-structure; Disulfide bond; Glycoprotein; Heparin-binding; Phosphoprotein; Repeat; Secreted; Signal</t>
  </si>
  <si>
    <t>cell differentiation {GO:0030154}; endothelial cell differentiation {GO:0045446}; endothelial cell migration {GO:0043542}; hematopoietic stem cell homeostasis {GO:0061484}; negative regulation of apoptotic process {GO:0043066}; regulation of BMP signaling pathway {GO:0030510}</t>
  </si>
  <si>
    <t>calcium ion binding {GO:0005509}; heparin binding {GO:0008201}</t>
  </si>
  <si>
    <t>Signaling by BMP {R-MMU-201451}; Regulation of Insulin-like Growth Factor (IGF) transport and uptake by Insulin-like Growth Factor Binding Proteins (IGFBPs) {R-MMU-381426}; Post-translational protein phosphorylation {R-MMU-8957275}</t>
  </si>
  <si>
    <t>sp|Q3UM18|LSG1_MOUSE</t>
  </si>
  <si>
    <t>Large subunit GTPase 1 homolog</t>
  </si>
  <si>
    <t>LSG1_MOUSE</t>
  </si>
  <si>
    <t>Q3UM18</t>
  </si>
  <si>
    <t>Q68ED9; Q80V36</t>
  </si>
  <si>
    <t>D16Bwg1547e</t>
  </si>
  <si>
    <t>MGI:107236</t>
  </si>
  <si>
    <t>Alternative splicing; Cytoplasm; Endoplasmic reticulum; GTP-binding; Hydrolase; Nucleotide-binding; Nucleus; Phosphoprotein; Protein transport; Transport</t>
  </si>
  <si>
    <t>nuclear export {GO:0051168}; protein transport {GO:0015031}; ribosomal subunit export from nucleus {GO:0000054}</t>
  </si>
  <si>
    <t>Cajal body {GO:0015030}; cytosol {GO:0005829}; endoplasmic reticulum {GO:0005783}; nuclear body {GO:0016604}; nucleoplasm {GO:0005654}</t>
  </si>
  <si>
    <t>sp|Q99MJ9|DDX50_MOUSE</t>
  </si>
  <si>
    <t>ATP-dependent RNA helicase DDX50</t>
  </si>
  <si>
    <t>DEAD box protein 50; Gu-beta; Nucleolar protein Gu2</t>
  </si>
  <si>
    <t>DDX50_MOUSE</t>
  </si>
  <si>
    <t>Q99MJ9</t>
  </si>
  <si>
    <t>MGI:2182303</t>
  </si>
  <si>
    <t>ATP-binding; Helicase; Hydrolase; Isopeptide bond; Nucleotide-binding; Nucleus; Phosphoprotein; RNA-binding; Ubl conjugation</t>
  </si>
  <si>
    <t>nucleolus {GO:0005730}; plasma membrane {GO:0005886}</t>
  </si>
  <si>
    <t>sp|P54843|MAF_MOUSE</t>
  </si>
  <si>
    <t>Transcription factor Maf</t>
  </si>
  <si>
    <t>Proto-oncogene c-Maf; V-maf musculoaponeurotic fibrosarcoma oncogene homolog</t>
  </si>
  <si>
    <t>MAF_MOUSE</t>
  </si>
  <si>
    <t>P54843</t>
  </si>
  <si>
    <t>Q3V1Z2; Q4QY62</t>
  </si>
  <si>
    <t>Maf2</t>
  </si>
  <si>
    <t>MGI:96909</t>
  </si>
  <si>
    <t>Activator; Alternative splicing; DNA-binding; Isopeptide bond; Nucleus; Proto-oncogene; Repressor; Transcription; Transcription regulation; Tumor suppressor; Ubl conjugation</t>
  </si>
  <si>
    <t>Proto-oncogene; Tumor suppressor</t>
  </si>
  <si>
    <t>cell development {GO:0048468}; inner ear development {GO:0048839}; lens development in camera-type eye {GO:0002088}; lens fiber cell differentiation {GO:0070306}; megakaryocyte differentiation {GO:0030219}; negative regulation of transcription by RNA polymerase II {GO:0000122}; positive regulation of gene expression {GO:0010628}; positive regulation of transcription by RNA polymerase II {GO:0045944}; regulation of chondrocyte differentiation {GO:0032330}; regulation of DNA-templated transcription {GO:0006355}; regulation of transcription by RNA polymerase II {GO:0006357}</t>
  </si>
  <si>
    <t>cytoplasm {GO:0005737}; nucleoplasm {GO:0005654}; nucleus {GO:0005634}; RNA polymerase II transcription regulator complex {GO:0090575}</t>
  </si>
  <si>
    <t>DNA binding {GO:0003677}; DNA-binding transcription activator activity, RNA polymerase II-specific {GO:0001228}; DNA-binding transcription factor activity {GO:0003700}; DNA-binding transcription factor activity, RNA polymerase II-specific {GO:0000981}; double-stranded DNA binding {GO:0003690}; identical protein binding {GO:0042802}; protein-containing complex binding {GO:0044877}; RNA polymerase II cis-regulatory region sequence-specific DNA binding {GO:0000978}; sequence-specific DNA binding {GO:0043565}; sequence-specific double-stranded DNA binding {GO:1990837}</t>
  </si>
  <si>
    <t>sp|Q62203|SF3A2_MOUSE</t>
  </si>
  <si>
    <t>Splicing factor 3A subunit 2</t>
  </si>
  <si>
    <t>SF3a66; Spliceosome-associated protein 62 (SAP 62)</t>
  </si>
  <si>
    <t>SF3A2_MOUSE</t>
  </si>
  <si>
    <t>Q62203</t>
  </si>
  <si>
    <t>Sap62</t>
  </si>
  <si>
    <t>MGI:104912</t>
  </si>
  <si>
    <t>Acetylation; Metal-binding; mRNA processing; mRNA splicing; Nucleus; Phosphoprotein; Repeat; Spliceosome; Zinc; Zinc-finger</t>
  </si>
  <si>
    <t>mRNA processing {GO:0006397}; mRNA splicing, via spliceosome {GO:0000398}; positive regulation of neuron projection development {GO:0010976}; RNA splicing, via transesterification reactions {GO:0000375}; spliceosomal complex assembly {GO:0000245}; U2-type prespliceosome assembly {GO:1903241}</t>
  </si>
  <si>
    <t>catalytic step 2 spliceosome {GO:0071013}; nuclear speck {GO:0016607}; nucleus {GO:0005634}; spliceosomal complex {GO:0005681}; U2 snRNP {GO:0005686}; U2-type precatalytic spliceosome {GO:0071005}; U2-type prespliceosome {GO:0071004}; U2-type spliceosomal complex {GO:0005684}</t>
  </si>
  <si>
    <t>nucleic acid binding {GO:0003676}; zinc ion binding {GO:0008270}</t>
  </si>
  <si>
    <t>sp|Q3UKC1|TAXB1_MOUSE</t>
  </si>
  <si>
    <t>Tax1-binding protein 1 homolog</t>
  </si>
  <si>
    <t>TAXB1_MOUSE</t>
  </si>
  <si>
    <t>Q3UKC1</t>
  </si>
  <si>
    <t>Q91YT6; Q9CVF0; Q9DC45</t>
  </si>
  <si>
    <t>MGI:1289308</t>
  </si>
  <si>
    <t>Apoptosis; Coiled coil; Metal-binding; Phosphoprotein; Repeat; Zinc; Zinc-finger</t>
  </si>
  <si>
    <t>apoptotic process {GO:0006915}; negative regulation of apoptotic process {GO:0043066}; negative regulation of NF-kappaB transcription factor activity {GO:0032088}</t>
  </si>
  <si>
    <t>kinase binding {GO:0019900}; metal ion binding {GO:0046872}; ubiquitin binding {GO:0043130}</t>
  </si>
  <si>
    <t>Regulation of TNFR1 signaling {R-MMU-5357905}; Negative regulators of DDX58/IFIH1 signaling {R-MMU-936440}</t>
  </si>
  <si>
    <t>sp|Q9JL35|HMGN5_MOUSE</t>
  </si>
  <si>
    <t>High mobility group nucleosome-binding domain-containing protein 5</t>
  </si>
  <si>
    <t>Nucleosome-binding protein 1; Nucleosome-binding protein 45 (NBP-45); Protein GARP45</t>
  </si>
  <si>
    <t>HMGN5_MOUSE</t>
  </si>
  <si>
    <t>Q9JL35</t>
  </si>
  <si>
    <t>O88832; Q3V272; Q8VC71; Q9CUW1</t>
  </si>
  <si>
    <t>Garp45; Nsbp1</t>
  </si>
  <si>
    <t>MGI:1355295</t>
  </si>
  <si>
    <t>Chromatin regulator; DNA-binding; Isopeptide bond; Nucleus; Phosphoprotein; Transcription; Transcription regulation; Ubl conjugation</t>
  </si>
  <si>
    <t>chromatin organization {GO:0006325}; glutathione metabolic process {GO:0006749}; negative regulation of apoptotic process {GO:0043066}; positive regulation of cell population proliferation {GO:0008284}; positive regulation of gene expression {GO:0010628}; regulation of transcription by RNA polymerase II {GO:0006357}</t>
  </si>
  <si>
    <t>chromatin {GO:0000785}; mitochondrion {GO:0005739}; nucleoplasm {GO:0005654}; nucleus {GO:0005634}</t>
  </si>
  <si>
    <t>sp|Q3UJD6|UBP19_MOUSE</t>
  </si>
  <si>
    <t>Ubiquitin carboxyl-terminal hydrolase 19</t>
  </si>
  <si>
    <t>Deubiquitinating enzyme 19; Ubiquitin thioesterase 19; Ubiquitin-specific-processing protease 19</t>
  </si>
  <si>
    <t>UBP19_MOUSE</t>
  </si>
  <si>
    <t>Q3UJD6</t>
  </si>
  <si>
    <t>Q3TAC9; Q3TUE6; Q6P9T0; Q80TP5; Q80ZW5</t>
  </si>
  <si>
    <t>Kiaa0891</t>
  </si>
  <si>
    <t>MGI:1918722</t>
  </si>
  <si>
    <t>Alternative splicing; Endoplasmic reticulum; Hydrolase; Membrane; Metal-binding; Phosphoprotein; Protease; Repeat; Thiol protease; Transmembrane; Transmembrane helix; Ubl conjugation pathway; Zinc; Zinc-finger</t>
  </si>
  <si>
    <t>Repeat; Transmembrane; Transmembrane helix; Zinc-finger</t>
  </si>
  <si>
    <t>negative regulation of proteasomal protein catabolic process {GO:1901799}; negative regulation of skeletal muscle tissue development {GO:0048642}; positive regulation of cell cycle process {GO:0090068}; protein deubiquitination {GO:0016579}; protein K48-linked deubiquitination {GO:0071108}; protein stabilization {GO:0050821}; regulation of cellular response to hypoxia {GO:1900037}; regulation of ERAD pathway {GO:1904292}; regulation of protein stability {GO:0031647}; response to endoplasmic reticulum stress {GO:0034976}; ubiquitin-dependent ERAD pathway {GO:0030433}</t>
  </si>
  <si>
    <t>cytosol {GO:0005829}; endoplasmic reticulum membrane {GO:0005789}; integral component of membrane {GO:0016021}</t>
  </si>
  <si>
    <t>cysteine-type deubiquitinase activity {GO:0004843}; Hsp90 protein binding {GO:0051879}; Lys48-specific deubiquitinase activity {GO:1990380}; metal ion binding {GO:0046872}; ubiquitin protein ligase binding {GO:0031625}</t>
  </si>
  <si>
    <t>sp|Q07813|BAX_MOUSE</t>
  </si>
  <si>
    <t>Apoptosis regulator BAX</t>
  </si>
  <si>
    <t>BAX_MOUSE</t>
  </si>
  <si>
    <t>Q07813</t>
  </si>
  <si>
    <t>MGI:99702</t>
  </si>
  <si>
    <t>3D-structure; Acetylation; Alternative splicing; Apoptosis; Cytoplasm; Host-virus interaction; Membrane; Mitochondrion; Mitochondrion outer membrane; Transmembrane; Transmembrane helix</t>
  </si>
  <si>
    <t>Apoptosis; Host-virus interaction</t>
  </si>
  <si>
    <t>activation of cysteine-type endopeptidase activity involved in apoptotic process {GO:0006919}; activation of cysteine-type endopeptidase activity involved in apoptotic process by cytochrome c {GO:0008635}; activation of cysteine-type endopeptidase activity involved in apoptotic signaling pathway {GO:0097296}; apoptotic mitochondrial changes {GO:0008637}; apoptotic process {GO:0006915}; apoptotic process involved in blood vessel morphogenesis {GO:1902262}; apoptotic process involved in embryonic digit morphogenesis {GO:1902263}; apoptotic process involved in mammary gland involution {GO:0060057}; apoptotic signaling pathway {GO:0097190}; B cell apoptotic process {GO:0001783}; B cell homeostasis {GO:0001782}; B cell homeostatic proliferation {GO:0002358}; B cell negative selection {GO:0002352}; B cell receptor apoptotic signaling pathway {GO:1990117}; blood vessel remodeling {GO:0001974}; calcium ion transport into cytosol {GO:0060402}; cell population proliferation {GO:0008283}; cellular respiration {GO:0045333}; cellular response to DNA damage stimulus {GO:0006974}; cellular response to organic substance {GO:0071310}; cellular response to UV {GO:0034644}; cellular response to virus {GO:0098586}; cerebral cortex development {GO:0021987}; development of secondary sexual characteristics {GO:0045136}; ectopic germ cell programmed cell death {GO:0035234}; epithelial cell apoptotic process {GO:1904019}; epithelial cell proliferation {GO:0050673}; establishment of localization in cell {GO:0051649}; establishment or maintenance of transmembrane electrochemical gradient {GO:0010248}; extrinsic apoptotic signaling pathway {GO:0097191}; extrinsic apoptotic signaling pathway in absence of ligand {GO:0097192}; extrinsic apoptotic signaling pathway via death domain receptors {GO:0008625}; fertilization {GO:0009566}; germ cell development {GO:0007281}; glycosphingolipid metabolic process {GO:0006687}; homeostasis of number of cells {GO:0048872}; homeostasis of number of cells within a tissue {GO:0048873}; hypothalamus development {GO:0021854}; inner mitochondrial membrane organization {GO:0007007}; intrinsic apoptotic signaling pathway {GO:0097193}; intrinsic apoptotic signaling pathway by p53 class mediator {GO:0072332}; intrinsic apoptotic signaling pathway in response to DNA damage {GO:0008630}; intrinsic apoptotic signaling pathway in response to endoplasmic reticulum stress {GO:0070059}; kidney development {GO:0001822}; leukocyte homeostasis {GO:0001776}; limb morphogenesis {GO:0035108}; male gonad development {GO:0008584}; mitochondrial fragmentation involved in apoptotic process {GO:0043653}; mitochondrial fusion {GO:0008053}; mitochondrion morphogenesis {GO:0070584}; motor neuron apoptotic process {GO:0097049}; myeloid cell homeostasis {GO:0002262}; negative regulation of apoptotic signaling pathway {GO:2001234}; negative regulation of cell population proliferation {GO:0008285}; negative regulation of endoplasmic reticulum calcium ion concentration {GO:0032471}; negative regulation of fibroblast proliferation {GO:0048147}; negative regulation of mitochondrial membrane potential {GO:0010917}; negative regulation of neuron apoptotic process {GO:0043524}; negative regulation of peptidyl-serine phosphorylation {GO:0033137}; negative regulation of protein binding {GO:0032091}; nervous system development {GO:0007399}; neuron apoptotic process {GO:0051402}; neuron migration {GO:0001764}; odontogenesis of dentin-containing tooth {GO:0042475}; outer mitochondrial membrane organization {GO:0007008}; ovarian follicle development {GO:0001541}; peptidyl-serine phosphorylation {GO:0018105}; positive regulation of apoptotic DNA fragmentation {GO:1902512}; positive regulation of apoptotic process {GO:0043065}; positive regulation of apoptotic process involved in mammary gland involution {GO:0060058}; positive regulation of B cell apoptotic process {GO:0002904}; positive regulation of calcium ion transport into cytosol {GO:0010524}; positive regulation of developmental pigmentation {GO:0048087}; positive regulation of developmental process {GO:0051094}; positive regulation of endoplasmic reticulum unfolded protein response {GO:1900103}; positive regulation of epithelial cell apoptotic process {GO:1904037}; positive regulation of intrinsic apoptotic signaling pathway {GO:2001244}; positive regulation of mitochondrial membrane permeability involved in apoptotic process {GO:1902110}; positive regulation of motor neuron apoptotic process {GO:2000673}; positive regulation of neuron apoptotic process {GO:0043525}; positive regulation of protein-containing complex assembly {GO:0031334}; positive regulation of release of cytochrome c from mitochondria {GO:0090200}; positive regulation of release of sequestered calcium ion into cytosol {GO:0051281}; positive regulation of reproductive process {GO:2000243}; post-embryonic camera-type eye morphogenesis {GO:0048597}; post-embryonic development {GO:0009791}; protein insertion into mitochondrial membrane involved in apoptotic signaling pathway {GO:0001844}; regulation of apoptotic process {GO:0042981}; regulation of cell cycle {GO:0051726}; regulation of cysteine-type endopeptidase activity involved in apoptotic process {GO:0043281}; regulation of mammary gland epithelial cell proliferation {GO:0033599}; regulation of mitochondrial membrane permeability involved in apoptotic process {GO:1902108}; regulation of mitochondrial membrane permeability involved in programmed necrotic cell death {GO:1902445}; regulation of neuron apoptotic process {GO:0043523}; regulation of nitrogen utilization {GO:0006808}; release of cytochrome c from mitochondria {GO:0001836}; release of matrix enzymes from mitochondria {GO:0032976}; release of sequestered calcium ion into cytosol {GO:0051209}; response to axon injury {GO:0048678}; response to gamma radiation {GO:0010332}; response to ionizing radiation {GO:0010212}; response to salt stress {GO:0009651}; response to toxic substance {GO:0009636}; response to wounding {GO:0009611}; retina development in camera-type eye {GO:0060041}; retinal cell programmed cell death {GO:0046666}; Sertoli cell proliferation {GO:0060011}; sex differentiation {GO:0007548}; spermatid differentiation {GO:0048515}; spermatogenesis {GO:0007283}; supramolecular fiber organization {GO:0097435}; T cell homeostatic proliferation {GO:0001777}; thymocyte apoptotic process {GO:0070242}; vagina development {GO:0060068}</t>
  </si>
  <si>
    <t>BAK complex {GO:0097145}; BAX complex {GO:0097144}; Bcl-2 family protein complex {GO:0097136}; cell periphery {GO:0071944}; cytoplasm {GO:0005737}; cytosol {GO:0005829}; endoplasmic reticulum {GO:0005783}; endoplasmic reticulum membrane {GO:0005789}; integral component of membrane {GO:0016021}; mitochondrial membrane {GO:0031966}; mitochondrial outer membrane {GO:0005741}; mitochondrial permeability transition pore complex {GO:0005757}; mitochondrion {GO:0005739}; nuclear envelope {GO:0005635}; nucleus {GO:0005634}; perinuclear region of cytoplasm {GO:0048471}; pore complex {GO:0046930}</t>
  </si>
  <si>
    <t>BH domain binding {GO:0051400}; BH3 domain binding {GO:0051434}; channel activity {GO:0015267}; chaperone binding {GO:0051087}; heat shock protein binding {GO:0031072}; Hsp70 protein binding {GO:0030544}; identical protein binding {GO:0042802}; lipid binding {GO:0008289}; protein heterodimerization activity {GO:0046982}; protein homodimerization activity {GO:0042803}; protein-containing complex binding {GO:0044877}</t>
  </si>
  <si>
    <t>Release of apoptotic factors from the mitochondria {R-MMU-111457}; Activation, translocation and oligomerization of BAX {R-MMU-114294}; Pyroptosis {R-MMU-5620971}; TP53 Regulates Transcription of Genes Involved in G2 Cell Cycle Arrest {R-MMU-6804114}</t>
  </si>
  <si>
    <t>tr|A0A286YCX6|A0A286YCX6_MOUSE</t>
  </si>
  <si>
    <t>sp|Q9CYA0|CREL2_MOUSE</t>
  </si>
  <si>
    <t>Protein disulfide isomerase Creld2</t>
  </si>
  <si>
    <t>Cysteine-rich with EGF-like domain protein 2</t>
  </si>
  <si>
    <t>CREL2_MOUSE</t>
  </si>
  <si>
    <t>Q9CYA0</t>
  </si>
  <si>
    <t>MGI:1923987</t>
  </si>
  <si>
    <t>Calcium; Disulfide bond; EGF-like domain; Endoplasmic reticulum; Glycoprotein; Isomerase; Redox-active center; Repeat; Signal</t>
  </si>
  <si>
    <t>EGF-like domain; Redox-active center; Repeat; Signal</t>
  </si>
  <si>
    <t>endoplasmic reticulum {GO:0005783}; extracellular space {GO:0005615}; Golgi apparatus {GO:0005794}</t>
  </si>
  <si>
    <t>sp|Q80VJ2|SRA1_MOUSE</t>
  </si>
  <si>
    <t>Steroid receptor RNA activator 1</t>
  </si>
  <si>
    <t>Steroid receptor RNA activator protein (SRAP)</t>
  </si>
  <si>
    <t>SRA1_MOUSE</t>
  </si>
  <si>
    <t>Q80VJ2</t>
  </si>
  <si>
    <t>E9QM44; Q8R0S3; Q9CWU7; Q9D973</t>
  </si>
  <si>
    <t>MGI:1344414</t>
  </si>
  <si>
    <t>3D-structure; Activator; Apoptosis; Cytoplasm; Nucleus; Phosphoprotein; Receptor; Ribonucleoprotein; Transcription; Transcription regulation</t>
  </si>
  <si>
    <t>Activator; Receptor; Ribonucleoprotein</t>
  </si>
  <si>
    <t>apoptotic process {GO:0006915}; cell differentiation {GO:0030154}; cellular response to estrogen stimulus {GO:0071391}; negative regulation of myoblast differentiation {GO:0045662}; positive regulation of transcription by RNA polymerase II {GO:0045944}; regulation of apoptotic process {GO:0042981}; regulation of mitotic cell cycle {GO:0007346}; regulation of transcription by RNA polymerase II {GO:0006357}</t>
  </si>
  <si>
    <t>cell leading edge {GO:0031252}; cytoplasm {GO:0005737}; cytosol {GO:0005829}; intercellular bridge {GO:0045171}; microtubule cytoskeleton {GO:0015630}; nucleoplasm {GO:0005654}; nucleus {GO:0005634}; plasma membrane {GO:0005886}; ribonucleoprotein complex {GO:1990904}; SCAR complex {GO:0031209}; steroid hormone aporeceptor complex {GO:0005831}; transcription regulator complex {GO:0005667}</t>
  </si>
  <si>
    <t>DNA binding {GO:0003677}; nuclear receptor binding {GO:0016922}; nuclear receptor coactivator activity {GO:0030374}; steroid receptor RNA activator RNA binding {GO:0002153}; transcription coactivator activity {GO:0003713}; transcription coregulator activity {GO:0003712}</t>
  </si>
  <si>
    <t>sp|Q8C5K5|CX038_MOUSE</t>
  </si>
  <si>
    <t>Uncharacterized protein CXorf38 homolog</t>
  </si>
  <si>
    <t>CX038_MOUSE</t>
  </si>
  <si>
    <t>Q8C5K5</t>
  </si>
  <si>
    <t>Q3TFM9; Q8CF12</t>
  </si>
  <si>
    <t>MGI:1916405</t>
  </si>
  <si>
    <t>Alternative splicing; Methylation; Phosphoprotein</t>
  </si>
  <si>
    <t>sp|Q8VD33|SGTB_MOUSE</t>
  </si>
  <si>
    <t>Small glutamine-rich tetratricopeptide repeat-containing protein beta</t>
  </si>
  <si>
    <t>Beta-SGT</t>
  </si>
  <si>
    <t>SGTB_MOUSE</t>
  </si>
  <si>
    <t>Q8VD33</t>
  </si>
  <si>
    <t>MGI:2444615</t>
  </si>
  <si>
    <t>Acetylation; Chaperone; Phosphoprotein; Repeat; TPR repeat</t>
  </si>
  <si>
    <t>post-translational protein targeting to endoplasmic reticulum membrane {GO:0006620}; ubiquitin-dependent ERAD pathway {GO:0030433}</t>
  </si>
  <si>
    <t>membrane {GO:0016020}; TRC complex {GO:0072380}</t>
  </si>
  <si>
    <t>molecular adaptor activity {GO:0060090}; protein heterodimerization activity {GO:0046982}; protein homodimerization activity {GO:0042803}</t>
  </si>
  <si>
    <t>sp|Q9D6H2|IFT25_MOUSE</t>
  </si>
  <si>
    <t>Intraflagellar transport protein 25 homolog</t>
  </si>
  <si>
    <t>Heat shock protein beta-11 (Hspb11); Placental protein 25 (PP25)</t>
  </si>
  <si>
    <t>IFT25_MOUSE</t>
  </si>
  <si>
    <t>Q9D6H2</t>
  </si>
  <si>
    <t>Q3TZR2</t>
  </si>
  <si>
    <t>Ift25</t>
  </si>
  <si>
    <t>MGI:1920188</t>
  </si>
  <si>
    <t>Calcium; Cell projection; Cilium; Differentiation; Metal-binding; Protein transport; Spermatogenesis; Stress response; Transport</t>
  </si>
  <si>
    <t>Differentiation; Protein transport; Spermatogenesis; Stress response; Transport</t>
  </si>
  <si>
    <t>cell differentiation {GO:0030154}; cilium assembly {GO:0060271}; heart development {GO:0007507}; intraciliary anterograde transport {GO:0035720}; intraciliary transport {GO:0042073}; kidney development {GO:0001822}; left/right axis specification {GO:0070986}; lung development {GO:0030324}; protein transport {GO:0015031}; skeletal system development {GO:0001501}; smoothened signaling pathway {GO:0007224}; spermatogenesis {GO:0007283}</t>
  </si>
  <si>
    <t>sp|Q3TDN2|FAF2_MOUSE</t>
  </si>
  <si>
    <t>FAS-associated factor 2</t>
  </si>
  <si>
    <t>UBX domain-containing protein 8</t>
  </si>
  <si>
    <t>FAF2_MOUSE</t>
  </si>
  <si>
    <t>Q3TDN2</t>
  </si>
  <si>
    <t>Q3U9W2; Q80TP7; Q80W42</t>
  </si>
  <si>
    <t>Kiaa0887; Ubxd8</t>
  </si>
  <si>
    <t>MGI:1923827</t>
  </si>
  <si>
    <t>Acetylation; Alternative splicing; Coiled coil; Cytoplasm; Endoplasmic reticulum; Lipid droplet; Unfolded protein response</t>
  </si>
  <si>
    <t>Cytoplasm; Endoplasmic reticulum; Lipid droplet</t>
  </si>
  <si>
    <t>lipid droplet organization {GO:0034389}; proteasome-mediated ubiquitin-dependent protein catabolic process {GO:0043161}; response to unfolded protein {GO:0006986}; retrograde protein transport, ER to cytosol {GO:0030970}; ubiquitin-dependent ERAD pathway {GO:0030433}</t>
  </si>
  <si>
    <t>endoplasmic reticulum {GO:0005783}; lipid droplet {GO:0005811}; VCP-NPL4-UFD1 AAA ATPase complex {GO:0034098}</t>
  </si>
  <si>
    <t>lipase binding {GO:0035473}; lipase inhibitor activity {GO:0055102}; ubiquitin binding {GO:0043130}; ubiquitin protein ligase binding {GO:0031625}</t>
  </si>
  <si>
    <t>Neutrophil degranulation {R-MMU-6798695}; RHOA GTPase cycle {R-MMU-8980692}</t>
  </si>
  <si>
    <t>sp|Q60854|SPB6_MOUSE</t>
  </si>
  <si>
    <t>Serpin B6</t>
  </si>
  <si>
    <t>Placental thrombin inhibitor; Proteinase inhibitor 6 (PI-6)</t>
  </si>
  <si>
    <t>SPB6_MOUSE</t>
  </si>
  <si>
    <t>Q60854</t>
  </si>
  <si>
    <t>Serpinb6a; Spi3</t>
  </si>
  <si>
    <t>MGI:103123</t>
  </si>
  <si>
    <t>Acetylation; Cytoplasm; Phosphoprotein; Protease inhibitor; Serine protease inhibitor</t>
  </si>
  <si>
    <t>cellular response to osmotic stress {GO:0071470}; gonad development {GO:0008406}; negative regulation of endopeptidase activity {GO:0010951}; sensory perception of sound {GO:0007605}</t>
  </si>
  <si>
    <t>collagen-containing extracellular matrix {GO:0062023}; cytoplasm {GO:0005737}; extracellular space {GO:0005615}; serine protease inhibitor complex {GO:0097180}</t>
  </si>
  <si>
    <t>protease binding {GO:0002020}; serine-type endopeptidase inhibitor activity {GO:0004867}</t>
  </si>
  <si>
    <t>sp|Q6A026|PDS5A_MOUSE</t>
  </si>
  <si>
    <t>Sister chromatid cohesion protein PDS5 homolog A</t>
  </si>
  <si>
    <t>PDS5A_MOUSE</t>
  </si>
  <si>
    <t>Q6A026</t>
  </si>
  <si>
    <t>E9Q656</t>
  </si>
  <si>
    <t>Kiaa0648</t>
  </si>
  <si>
    <t>MGI:1918771</t>
  </si>
  <si>
    <t>Acetylation; Cell cycle; Cell division; Mitosis; Nucleus; Phosphoprotein; Repeat</t>
  </si>
  <si>
    <t>anterior/posterior pattern specification {GO:0009952}; cell division {GO:0051301}; DNA repair {GO:0006281}; heart morphogenesis {GO:0003007}; lens development in camera-type eye {GO:0002088}; metanephros development {GO:0001656}; mitotic sister chromatid cohesion {GO:0007064}; negative regulation of DNA replication {GO:0008156}; neuroblast migration {GO:0097402}; roof of mouth development {GO:0060021}</t>
  </si>
  <si>
    <t>chromatin {GO:0000785}; nucleoplasm {GO:0005654}; nucleus {GO:0005634}; plasma membrane {GO:0005886}</t>
  </si>
  <si>
    <t>sp|Q8K2X3|STN1_MOUSE</t>
  </si>
  <si>
    <t>CST complex subunit STN1</t>
  </si>
  <si>
    <t>Alpha-accessory factor of 44 kDa (AAF-44; AAF44); Oligonucleotide/oligosaccharide-binding fold-containing protein 1; Suppressor of cdc thirteen homolog</t>
  </si>
  <si>
    <t>STN1_MOUSE</t>
  </si>
  <si>
    <t>Q8K2X3</t>
  </si>
  <si>
    <t>Q3TPH0; Q8C6I6</t>
  </si>
  <si>
    <t>Obfc1</t>
  </si>
  <si>
    <t>MGI:1915581</t>
  </si>
  <si>
    <t>3D-structure; Chromosome; DNA-binding; Nucleus; Telomere</t>
  </si>
  <si>
    <t>negative regulation of telomere maintenance via telomerase {GO:0032211}; positive regulation of DNA replication {GO:0045740}; telomere capping {GO:0016233}; telomere maintenance {GO:0000723}; telomere maintenance via telomere lengthening {GO:0010833}</t>
  </si>
  <si>
    <t>chromosome, telomeric region {GO:0000781}; CST complex {GO:1990879}; fibrillar center {GO:0001650}; intermediate filament cytoskeleton {GO:0045111}; intracellular membrane-bounded organelle {GO:0043231}; nucleoplasm {GO:0005654}; nucleus {GO:0005634}</t>
  </si>
  <si>
    <t>single-stranded DNA binding {GO:0003697}; single-stranded telomeric DNA binding {GO:0043047}; telomeric DNA binding {GO:0042162}</t>
  </si>
  <si>
    <t>Polymerase switching on the C-strand of the telomere {R-MMU-174411}; Telomere C-strand synthesis initiation {R-MMU-174430}</t>
  </si>
  <si>
    <t>sp|Q62036|CP131_MOUSE</t>
  </si>
  <si>
    <t>Centrosomal protein of 131 kDa</t>
  </si>
  <si>
    <t>5-azacytidine-induced protein 1; Pre-acrosome localization protein 1</t>
  </si>
  <si>
    <t>CP131_MOUSE</t>
  </si>
  <si>
    <t>Q62036</t>
  </si>
  <si>
    <t>B1AXJ0</t>
  </si>
  <si>
    <t>Az1; Azi; Azi1</t>
  </si>
  <si>
    <t>MGI:107440</t>
  </si>
  <si>
    <t>Cell cycle; Cell projection; Cilium biogenesis/degradation; Cytoplasm; Cytoplasmic vesicle; Cytoskeleton; Developmental protein; Differentiation; Phosphoprotein; Spermatogenesis; Transport; Ubl conjugation</t>
  </si>
  <si>
    <t>Cell cycle; Cilium biogenesis/degradation; Differentiation; Spermatogenesis; Transport</t>
  </si>
  <si>
    <t>Cell projection; Cytoplasm; Cytoplasmic vesicle; Cytoskeleton</t>
  </si>
  <si>
    <t>cell cycle {GO:0007049}; cilium assembly {GO:0060271}; intraciliary transport {GO:0042073}; intraciliary transport involved in cilium assembly {GO:0035735}; intramanchette transport {GO:1990953}; manchette assembly {GO:1905198}; non-motile cilium assembly {GO:1905515}; positive regulation of cell population proliferation {GO:0008284}; positive regulation of intracellular protein transport {GO:0090316}; protein localization to centrosome {GO:0071539}; regulation of centrosome duplication {GO:0010824}; sperm axoneme assembly {GO:0007288}; spermatid development {GO:0007286}; spermatogenesis {GO:0007283}</t>
  </si>
  <si>
    <t>acrosomal vesicle {GO:0001669}; centriolar satellite {GO:0034451}; centriole {GO:0005814}; centrosome {GO:0005813}; ciliary basal body {GO:0036064}; ciliary transition zone {GO:0035869}; intercellular bridge {GO:0045171}; intracellular membrane-bounded organelle {GO:0043231}; manchette {GO:0002177}; microtubule cytoskeleton {GO:0015630}; sperm head-tail coupling apparatus {GO:0120212}</t>
  </si>
  <si>
    <t>protein homodimerization activity {GO:0042803}; protein-containing complex binding {GO:0044877}</t>
  </si>
  <si>
    <t>sp|Q9JKP7|DPOE3_MOUSE</t>
  </si>
  <si>
    <t>DNA polymerase epsilon subunit 3</t>
  </si>
  <si>
    <t>DNA polymerase II subunit 3; DNA polymerase epsilon subunit p17; NF-YB-like protein; YB-like protein 1 (YBL1)</t>
  </si>
  <si>
    <t>DPOE3_MOUSE</t>
  </si>
  <si>
    <t>Q9JKP7</t>
  </si>
  <si>
    <t>Q8R198</t>
  </si>
  <si>
    <t>MGI:1933378</t>
  </si>
  <si>
    <t>Acetylation; Coiled coil; DNA-binding; Nucleus; Phosphoprotein</t>
  </si>
  <si>
    <t>cellular response to DNA damage stimulus {GO:0006974}; chromatin remodeling {GO:0006338}; DNA-templated DNA replication {GO:0006261}; heterochromatin assembly {GO:0031507}; histone H3 acetylation {GO:0043966}; leading strand elongation {GO:0006272}; nucleosome assembly {GO:0006334}; regulation of DNA replication {GO:0006275}</t>
  </si>
  <si>
    <t>ATAC complex {GO:0140672}; CHRAC {GO:0008623}; epsilon DNA polymerase complex {GO:0008622}; pericentric heterochromatin {GO:0005721}</t>
  </si>
  <si>
    <t>chromatin DNA binding {GO:0031490}; protein heterodimerization activity {GO:0046982}</t>
  </si>
  <si>
    <t>Recognition of DNA damage by PCNA-containing replication complex {R-MMU-110314}; PCNA-Dependent Long Patch Base Excision Repair {R-MMU-5651801}; Termination of translesion DNA synthesis {R-MMU-5656169}; HDR through Homologous Recombination (HRR) {R-MMU-5685942}; Gap-filling DNA repair synthesis and ligation in GG-NER {R-MMU-5696397}; Dual Incision in GG-NER {R-MMU-5696400}; Dual incision in TC-NER {R-MMU-6782135}; Gap-filling DNA repair synthesis and ligation in TC-NER {R-MMU-6782210}; DNA replication initiation {R-MMU-68952}; Activation of the pre-replicative complex {R-MMU-68962}</t>
  </si>
  <si>
    <t>sp|Q921I2|KLDC4_MOUSE</t>
  </si>
  <si>
    <t>Kelch domain-containing protein 4</t>
  </si>
  <si>
    <t>KLDC4_MOUSE</t>
  </si>
  <si>
    <t>Q921I2</t>
  </si>
  <si>
    <t>Q8CIK0</t>
  </si>
  <si>
    <t>MGI:2384569</t>
  </si>
  <si>
    <t>Kelch repeat; Phosphoprotein; Repeat</t>
  </si>
  <si>
    <t>sp|P62915|TF2B_MOUSE</t>
  </si>
  <si>
    <t>Transcription initiation factor IIB</t>
  </si>
  <si>
    <t>General transcription factor TFIIB; RNA polymerase II alpha initiation factor</t>
  </si>
  <si>
    <t>TF2B_MOUSE</t>
  </si>
  <si>
    <t>P62915</t>
  </si>
  <si>
    <t>P29053</t>
  </si>
  <si>
    <t>MGI:2385191</t>
  </si>
  <si>
    <t>Acetylation; Acyltransferase; Chromosome; DNA-binding; Metal-binding; Nucleus; Phosphoprotein; Repeat; Transcription; Transcription regulation; Transferase; Zinc; Zinc-finger</t>
  </si>
  <si>
    <t>DNA-templated transcription initiation {GO:0006352}; positive regulation of core promoter binding {GO:1904798}; protein acetylation {GO:0006473}; RNA polymerase II core complex assembly {GO:1990114}; RNA polymerase II preinitiation complex assembly {GO:0051123}; transcription by RNA polymerase II {GO:0006366}; transcription initiation at RNA polymerase II promoter {GO:0006367}; transcriptional start site selection at RNA polymerase II promoter {GO:0001174}; viral transcription {GO:0019083}</t>
  </si>
  <si>
    <t>chromosome {GO:0005694}; nuclear body {GO:0016604}; nucleoplasm {GO:0005654}; nucleus {GO:0005634}; protein-DNA complex {GO:0032993}; RNA polymerase II transcription regulator complex {GO:0090575}; transcription factor TFIID complex {GO:0005669}; transcription preinitiation complex {GO:0097550}</t>
  </si>
  <si>
    <t>acetyltransferase activity {GO:0016407}; DNA binding {GO:0003677}; DNA-binding transcription factor binding {GO:0140297}; histone acetyltransferase activity {GO:0004402}; nuclear thyroid hormone receptor binding {GO:0046966}; promoter-specific chromatin binding {GO:1990841}; RNA polymerase II complex binding {GO:0000993}; RNA polymerase II core promoter sequence-specific DNA binding {GO:0000979}; RNA polymerase II general transcription initiation factor activity {GO:0016251}; TBP-class protein binding {GO:0017025}; zinc ion binding {GO:0008270}</t>
  </si>
  <si>
    <t>sp|Q9CPT5|NOP16_MOUSE</t>
  </si>
  <si>
    <t>Nucleolar protein 16</t>
  </si>
  <si>
    <t>NOP16_MOUSE</t>
  </si>
  <si>
    <t>Q9CPT5</t>
  </si>
  <si>
    <t>Q8C2P2; Q921K0</t>
  </si>
  <si>
    <t>D13Wsu177e</t>
  </si>
  <si>
    <t>MGI:107862</t>
  </si>
  <si>
    <t>Acetylation; Isopeptide bond; Nucleus; Phosphoprotein; Ubl conjugation</t>
  </si>
  <si>
    <t>ribosomal large subunit biogenesis {GO:0042273}</t>
  </si>
  <si>
    <t>intracellular membrane-bounded organelle {GO:0043231}; nucleolus {GO:0005730}; nucleoplasm {GO:0005654}</t>
  </si>
  <si>
    <t>sp|O88848|ARL6_MOUSE</t>
  </si>
  <si>
    <t>ADP-ribosylation factor-like protein 6</t>
  </si>
  <si>
    <t>ARL6_MOUSE</t>
  </si>
  <si>
    <t>O88848</t>
  </si>
  <si>
    <t>Q3TY77</t>
  </si>
  <si>
    <t>Bbs3</t>
  </si>
  <si>
    <t>MGI:1927136</t>
  </si>
  <si>
    <t>Alternative splicing; Cell membrane; Cell projection; Cilium biogenesis/degradation; Cytoplasm; Cytoskeleton; GTP-binding; Lipoprotein; Magnesium; Membrane; Metal-binding; Myristate; Nucleotide-binding; Protein transport; Transport</t>
  </si>
  <si>
    <t>brain development {GO:0007420}; cilium assembly {GO:0060271}; fat cell differentiation {GO:0045444}; intracellular protein transport {GO:0006886}; protein ADP-ribosylation {GO:0006471}; protein localization to cilium {GO:0061512}; protein localization to non-motile cilium {GO:0097499}; protein polymerization {GO:0051258}; protein targeting to membrane {GO:0006612}; protein transport from ciliary membrane to plasma membrane {GO:1903445}; Ras protein signal transduction {GO:0007265}; regulation of smoothened signaling pathway {GO:0008589}; retina layer formation {GO:0010842}; vesicle-mediated transport {GO:0016192}; Wnt signaling pathway {GO:0016055}</t>
  </si>
  <si>
    <t>axonemal microtubule {GO:0005879}; axoneme {GO:0005930}; ciliary membrane {GO:0060170}; cilium {GO:0005929}; cytoplasm {GO:0005737}; cytosol {GO:0005829}; membrane {GO:0016020}; membrane coat {GO:0030117}; microtubule cytoskeleton {GO:0015630}</t>
  </si>
  <si>
    <t>GTP binding {GO:0005525}; GTPase activity {GO:0003924}; metal ion binding {GO:0046872}; phospholipid binding {GO:0005543}</t>
  </si>
  <si>
    <t>sp|Q91XI1|DUS3L_MOUSE</t>
  </si>
  <si>
    <t>tRNA-dihydrouridine(47) synthase [NAD(P)(+)]-like</t>
  </si>
  <si>
    <t>mRNA-dihydrouridine synthase DUS3L; tRNA-dihydrouridine synthase 3-like</t>
  </si>
  <si>
    <t>DUS3L_MOUSE</t>
  </si>
  <si>
    <t>Q91XI1</t>
  </si>
  <si>
    <t>Q3TZQ1; Q7TT12</t>
  </si>
  <si>
    <t>MGI:2147092</t>
  </si>
  <si>
    <t>Alternative splicing; Flavoprotein; FMN; Isopeptide bond; Metal-binding; mRNA processing; NAD; NADP; Oxidoreductase; Phosphoprotein; Repeat; tRNA processing; Ubl conjugation; Zinc; Zinc-finger</t>
  </si>
  <si>
    <t>mRNA processing; tRNA processing</t>
  </si>
  <si>
    <t>FMN; Flavoprotein; Metal-binding; NAD; NADP; Zinc</t>
  </si>
  <si>
    <t>mRNA processing {GO:0006397}; regulation of translation {GO:0006417}; tRNA dihydrouridine synthesis {GO:0002943}</t>
  </si>
  <si>
    <t>flavin adenine dinucleotide binding {GO:0050660}; metal ion binding {GO:0046872}; mRNA dihydrouridine synthase activity {GO:0106414}; tRNA dihydrouridine synthase activity {GO:0017150}</t>
  </si>
  <si>
    <t>sp|O70572|NSMA_MOUSE</t>
  </si>
  <si>
    <t>Sphingomyelin phosphodiesterase 2</t>
  </si>
  <si>
    <t>Lyso-platelet-activating factor-phospholipase C (Lyso-PAF-PLC); Neutral sphingomyelinase (N-SMase; nSMase)</t>
  </si>
  <si>
    <t>NSMA_MOUSE</t>
  </si>
  <si>
    <t>O70572</t>
  </si>
  <si>
    <t>MGI:1278330</t>
  </si>
  <si>
    <t>Cell membrane; Hydrolase; Lipid metabolism; Magnesium; Membrane; Metal-binding; Sphingolipid metabolism; Transmembrane; Transmembrane helix</t>
  </si>
  <si>
    <t>ceramide biosynthetic process {GO:0046513}; intracellular signal transduction {GO:0035556}; positive regulation of apoptotic process {GO:0043065}; response to mechanical stimulus {GO:0009612}; sphingolipid catabolic process {GO:0030149}; sphingomyelin catabolic process {GO:0006685}; sphingomyelin metabolic process {GO:0006684}</t>
  </si>
  <si>
    <t>caveola {GO:0005901}; cell periphery {GO:0071944}; endoplasmic reticulum {GO:0005783}; integral component of plasma membrane {GO:0005887}; membrane {GO:0016020}</t>
  </si>
  <si>
    <t>metal ion binding {GO:0046872}; phospholipase activity {GO:0004620}; phosphoric diester hydrolase activity {GO:0008081}; sphingomyelin phosphodiesterase activity {GO:0004767}</t>
  </si>
  <si>
    <t>Glycosphingolipid metabolism {R-MMU-1660662}; TNFR1-mediated ceramide production {R-MMU-5626978}</t>
  </si>
  <si>
    <t>sp|Q8BH43|WASF2_MOUSE</t>
  </si>
  <si>
    <t>Actin-binding protein WASF2</t>
  </si>
  <si>
    <t>Protein WAVE-2; Wiskott-Aldrich syndrome protein family member 2 (WASP family protein member 2)</t>
  </si>
  <si>
    <t>WASF2_MOUSE</t>
  </si>
  <si>
    <t>Q8BH43</t>
  </si>
  <si>
    <t>MGI:1098641</t>
  </si>
  <si>
    <t>Actin-binding; Cell membrane; Cell projection; Cytoplasm; Cytoskeleton; Membrane; Phosphoprotein</t>
  </si>
  <si>
    <t>actin cytoskeleton organization {GO:0030036}; actin filament-based movement {GO:0030048}; ameboidal-type cell migration {GO:0001667}; angiogenesis {GO:0001525}; endocytosis {GO:0006897}; lamellipodium assembly {GO:0030032}; lamellipodium morphogenesis {GO:0072673}; megakaryocyte development {GO:0035855}; negative regulation of stress fiber assembly {GO:0051497}; positive regulation of Arp2/3 complex-mediated actin nucleation {GO:2000601}; positive regulation of lamellipodium assembly {GO:0010592}; postsynaptic actin cytoskeleton organization {GO:0098974}; Rac protein signal transduction {GO:0016601}</t>
  </si>
  <si>
    <t>basolateral plasma membrane {GO:0016323}; cell-cell junction {GO:0005911}; cytoskeleton {GO:0005856}; early endosome {GO:0005769}; lamellipodium {GO:0030027}; protein-containing complex {GO:0032991}; ruffle {GO:0001726}; SCAR complex {GO:0031209}; synapse {GO:0045202}</t>
  </si>
  <si>
    <t>actin binding {GO:0003779}; Arp2/3 complex binding {GO:0071933}; protein kinase A binding {GO:0051018}; protein kinase A regulatory subunit binding {GO:0034237}; SH3 domain binding {GO:0017124}</t>
  </si>
  <si>
    <t>sp|O54692|ZW10_MOUSE</t>
  </si>
  <si>
    <t>Centromere/kinetochore protein zw10 homolog</t>
  </si>
  <si>
    <t>ZW10_MOUSE</t>
  </si>
  <si>
    <t>O54692</t>
  </si>
  <si>
    <t>Q3TIA5; Q3ULW1; Q921H3</t>
  </si>
  <si>
    <t>MGI:1349478</t>
  </si>
  <si>
    <t>Acetylation; Cell cycle; Cell division; Centromere; Chromosome; Coiled coil; Cytoplasm; Cytoskeleton; Endoplasmic reticulum; ER-Golgi transport; Kinetochore; Lipid droplet; Membrane; Mitosis; Phosphoprotein; Protein transport; Transport</t>
  </si>
  <si>
    <t>Cell cycle; Cell division; ER-Golgi transport; Mitosis; Protein transport; Transport</t>
  </si>
  <si>
    <t>Centromere; Chromosome; Cytoplasm; Cytoskeleton; Endoplasmic reticulum; Kinetochore; Lipid droplet; Membrane</t>
  </si>
  <si>
    <t>cell division {GO:0051301}; endoplasmic reticulum to Golgi vesicle-mediated transport {GO:0006888}; establishment of mitotic spindle orientation {GO:0000132}; Golgi organization {GO:0007030}; mitotic metaphase plate congression {GO:0007080}; mitotic sister chromatid segregation {GO:0000070}; mitotic spindle assembly checkpoint signaling {GO:0007094}; protein localization to kinetochore {GO:0034501}; protein transport {GO:0015031}; protein-containing complex assembly {GO:0065003}; regulation of exit from mitosis {GO:0007096}</t>
  </si>
  <si>
    <t>cytosol {GO:0005829}; Dsl1/NZR complex {GO:0070939}; endoplasmic reticulum {GO:0005783}; endoplasmic reticulum membrane {GO:0005789}; kinetochore {GO:0000776}; kinetochore microtubule {GO:0005828}; lipid droplet {GO:0005811}; nucleus {GO:0005634}; RZZ complex {GO:1990423}; spindle pole {GO:0000922}</t>
  </si>
  <si>
    <t>Amplification of signal from unattached kinetochores via a MAD2 inhibitory signal {R-MMU-141444}; Separation of Sister Chromatids {R-MMU-2467813}; Resolution of Sister Chromatid Cohesion {R-MMU-2500257}; RHO GTPases Activate Formins {R-MMU-5663220}; COPI-dependent Golgi-to-ER retrograde traffic {R-MMU-6811434}; Mitotic Prometaphase {R-MMU-68877}; EML4 and NUDC in mitotic spindle formation {R-MMU-9648025}</t>
  </si>
  <si>
    <t>sp|Q8R1K1|UBAC2_MOUSE</t>
  </si>
  <si>
    <t>Ubiquitin-associated domain-containing protein 2 (UBA domain-containing protein 2)</t>
  </si>
  <si>
    <t>Phosphoglycerate dehydrogenase-like protein 1</t>
  </si>
  <si>
    <t>UBAC2_MOUSE</t>
  </si>
  <si>
    <t>Q8R1K1</t>
  </si>
  <si>
    <t>Q3TWC0</t>
  </si>
  <si>
    <t>Phgdhl1</t>
  </si>
  <si>
    <t>MGI:1916139</t>
  </si>
  <si>
    <t>Endoplasmic reticulum; Glycoprotein; Membrane; Signal; Transmembrane; Transmembrane helix; Wnt signaling pathway</t>
  </si>
  <si>
    <t>negative regulation of canonical Wnt signaling pathway {GO:0090090}; negative regulation of retrograde protein transport, ER to cytosol {GO:1904153}; protein localization to endoplasmic reticulum {GO:0070972}; Wnt signaling pathway {GO:0016055}</t>
  </si>
  <si>
    <t>sp|Q8CEC0|NUP88_MOUSE</t>
  </si>
  <si>
    <t>Nuclear pore complex protein Nup88</t>
  </si>
  <si>
    <t>88 kDa nucleoporin; Nucleoporin Nup88</t>
  </si>
  <si>
    <t>NUP88_MOUSE</t>
  </si>
  <si>
    <t>Q8CEC0</t>
  </si>
  <si>
    <t>Q80Z13; Q8K090</t>
  </si>
  <si>
    <t>MGI:104900</t>
  </si>
  <si>
    <t>Acetylation; Alternative splicing; Coiled coil; mRNA transport; Nuclear pore complex; Nucleus; Phosphoprotein; Protein transport; Translocation; Transport</t>
  </si>
  <si>
    <t>mitotic cell cycle {GO:0000278}; mRNA export from nucleus {GO:0006406}; nucleocytoplasmic transport {GO:0006913}; protein import into nucleus {GO:0006606}; ribosomal large subunit export from nucleus {GO:0000055}; ribosomal small subunit export from nucleus {GO:0000056}</t>
  </si>
  <si>
    <t>nuclear envelope {GO:0005635}; nuclear pore {GO:0005643}; nucleoplasm {GO:0005654}</t>
  </si>
  <si>
    <t>sp|Q8K183|PDXK_MOUSE</t>
  </si>
  <si>
    <t>Pyridoxal kinase</t>
  </si>
  <si>
    <t>Pyridoxine kinase</t>
  </si>
  <si>
    <t>PDXK_MOUSE</t>
  </si>
  <si>
    <t>Q8K183</t>
  </si>
  <si>
    <t>Q3TM83; Q8BJQ5</t>
  </si>
  <si>
    <t>Pkh</t>
  </si>
  <si>
    <t>MGI:1351869</t>
  </si>
  <si>
    <t>3D-structure; Acetylation; ATP-binding; Cytoplasm; Kinase; Magnesium; Metal-binding; Nucleotide-binding; Phosphoprotein; Sodium; Transferase; Zinc</t>
  </si>
  <si>
    <t>ATP-binding; Magnesium; Metal-binding; Nucleotide-binding; Sodium; Zinc</t>
  </si>
  <si>
    <t>negative regulation of apoptotic process {GO:0043066}; phosphorylation {GO:0016310}; pyridoxal 5'-phosphate salvage {GO:0009443}; pyridoxal phosphate biosynthetic process {GO:0042823}</t>
  </si>
  <si>
    <t>ATP binding {GO:0005524}; lithium ion binding {GO:0031403}; magnesium ion binding {GO:0000287}; organic cyclic compound binding {GO:0097159}; potassium ion binding {GO:0030955}; protein homodimerization activity {GO:0042803}; pyridoxal binding {GO:0070280}; pyridoxal kinase activity {GO:0008478}; pyridoxal phosphate binding {GO:0030170}; small molecule binding {GO:0036094}; sodium ion binding {GO:0031402}; zinc ion binding {GO:0008270}</t>
  </si>
  <si>
    <t>Cofactor metabolism; pyridoxal 5'-phosphate salvage; pyridoxamine 5'-phosphate from pyridoxamine: step 1/1.</t>
  </si>
  <si>
    <t>Neutrophil degranulation {R-MMU-6798695}; Vitamins B6 activation to pyridoxal phosphate {R-MMU-964975}</t>
  </si>
  <si>
    <t>sp|Q9WTQ8|TIM23_MOUSE</t>
  </si>
  <si>
    <t>Mitochondrial import inner membrane translocase subunit Tim23</t>
  </si>
  <si>
    <t>TIM23_MOUSE</t>
  </si>
  <si>
    <t>Q9WTQ8</t>
  </si>
  <si>
    <t>Tim23</t>
  </si>
  <si>
    <t>MGI:1858317</t>
  </si>
  <si>
    <t>Membrane; Mitochondrion; Mitochondrion inner membrane; Protein transport; Translocation; Transmembrane; Transmembrane helix; Transport</t>
  </si>
  <si>
    <t>intracellular protein transport {GO:0006886}; positive regulation of protein processing {GO:0010954}; protein import into mitochondrial matrix {GO:0030150}</t>
  </si>
  <si>
    <t>integral component of mitochondrial inner membrane {GO:0031305}; mitochondrial inner membrane {GO:0005743}; mitochondrial intermembrane space {GO:0005758}; mitochondrion {GO:0005739}; TIM23 mitochondrial import inner membrane translocase complex {GO:0005744}</t>
  </si>
  <si>
    <t>enzyme binding {GO:0019899}; protein transmembrane transporter activity {GO:0008320}</t>
  </si>
  <si>
    <t>sp|Q99PL6|UBXN6_MOUSE</t>
  </si>
  <si>
    <t>UBX domain-containing protein 6</t>
  </si>
  <si>
    <t>UBXN6_MOUSE</t>
  </si>
  <si>
    <t>Q99PL6</t>
  </si>
  <si>
    <t>B8JJA5; Q3TTP1; Q3UG19; Q8C4D6; Q91W79; Q9D7L9</t>
  </si>
  <si>
    <t>MGI:1913780</t>
  </si>
  <si>
    <t>Alternative splicing; Cytoplasm; Cytoskeleton; Endosome; Lysosome; Membrane; Nucleus; Phosphoprotein; Ubl conjugation pathway</t>
  </si>
  <si>
    <t>Cytoplasm; Cytoskeleton; Endosome; Lysosome; Membrane; Nucleus</t>
  </si>
  <si>
    <t>endosome to lysosome transport via multivesicular body sorting pathway {GO:0032510}; ERAD pathway {GO:0036503}; macroautophagy {GO:0016236}</t>
  </si>
  <si>
    <t>cytoplasm {GO:0005737}; cytosol {GO:0005829}; early endosome membrane {GO:0031901}; endosome {GO:0005768}; extrinsic component of membrane {GO:0019898}; late endosome membrane {GO:0031902}; lysosomal membrane {GO:0005765}; microtubule organizing center {GO:0005815}; nucleus {GO:0005634}; protein-containing complex {GO:0032991}</t>
  </si>
  <si>
    <t>sp|Q7TN29|SMAP2_MOUSE</t>
  </si>
  <si>
    <t>Stromal membrane-associated protein 2</t>
  </si>
  <si>
    <t>Stromal membrane-associated protein 1-like</t>
  </si>
  <si>
    <t>SMAP2_MOUSE</t>
  </si>
  <si>
    <t>Q7TN29</t>
  </si>
  <si>
    <t>Q3U798</t>
  </si>
  <si>
    <t>Smap1l</t>
  </si>
  <si>
    <t>MGI:1917030</t>
  </si>
  <si>
    <t>Alternative splicing; Cytoplasm; GTPase activation; Metal-binding; Phosphoprotein; Zinc; Zinc-finger</t>
  </si>
  <si>
    <t>sp|P97390|VPS45_MOUSE</t>
  </si>
  <si>
    <t>Vacuolar protein sorting-associated protein 45 (mVps45)</t>
  </si>
  <si>
    <t>VPS45_MOUSE</t>
  </si>
  <si>
    <t>P97390</t>
  </si>
  <si>
    <t>Q91VK9</t>
  </si>
  <si>
    <t>Vps45a</t>
  </si>
  <si>
    <t>MGI:891965</t>
  </si>
  <si>
    <t>Endosome; Golgi apparatus; Membrane; Phosphoprotein; Protein transport; Transport</t>
  </si>
  <si>
    <t>endosome membrane {GO:0010008}; Golgi apparatus {GO:0005794}; Golgi membrane {GO:0000139}; integral component of membrane {GO:0016021}; synaptic vesicle {GO:0008021}</t>
  </si>
  <si>
    <t>Intra-Golgi traffic {R-MMU-6811438}; Factors involved in megakaryocyte development and platelet production {R-MMU-983231}</t>
  </si>
  <si>
    <t>sp|Q3U186|SYRM_MOUSE</t>
  </si>
  <si>
    <t>Probable arginine--tRNA ligase, mitochondrial</t>
  </si>
  <si>
    <t>SYRM_MOUSE</t>
  </si>
  <si>
    <t>Q3U186</t>
  </si>
  <si>
    <t>Q8QZU7</t>
  </si>
  <si>
    <t>Rarsl</t>
  </si>
  <si>
    <t>MGI:1923596</t>
  </si>
  <si>
    <t>arginyl-tRNA aminoacylation {GO:0006420}; mitochondrial translation {GO:0032543}</t>
  </si>
  <si>
    <t>arginine-tRNA ligase activity {GO:0004814}; ATP binding {GO:0005524}</t>
  </si>
  <si>
    <t>sp|Q6ZWR6|SYNE1_MOUSE</t>
  </si>
  <si>
    <t>Nesprin-1</t>
  </si>
  <si>
    <t>Enaptin; KASH domain-containing protein 1 (KASH1); Myocyte nuclear envelope protein 1 (Myne-1); Nuclear envelope spectrin repeat protein 1; Synaptic nuclear envelope protein 1 (Syne-1)</t>
  </si>
  <si>
    <t>SYNE1_MOUSE</t>
  </si>
  <si>
    <t>Q6ZWR6</t>
  </si>
  <si>
    <t>Q8K3T7; Q9ERT7; Q9ERT8</t>
  </si>
  <si>
    <t>MGI:1927152</t>
  </si>
  <si>
    <t>Actin-binding; Alternative splicing; Coiled coil; Cytoplasm; Cytoskeleton; Differentiation; Disulfide bond; Membrane; Nucleus; Phosphoprotein; Repeat; Spermatogenesis; Transmembrane; Transmembrane helix</t>
  </si>
  <si>
    <t>centrosome localization {GO:0051642}; Golgi organization {GO:0007030}; muscle cell differentiation {GO:0042692}; nuclear matrix anchoring at nuclear membrane {GO:0090292}; nuclear migration {GO:0007097}; regulation of cilium assembly {GO:1902017}; spermatogenesis {GO:0007283}</t>
  </si>
  <si>
    <t>cytoplasm {GO:0005737}; cytoskeleton {GO:0005856}; Golgi apparatus {GO:0005794}; integral component of membrane {GO:0016021}; meiotic nuclear membrane microtubule tethering complex {GO:0034993}; nuclear envelope {GO:0005635}; nuclear membrane {GO:0031965}; nuclear outer membrane {GO:0005640}; nucleolus {GO:0005730}; nucleoplasm {GO:0005654}; P-body {GO:0000932}; postsynaptic membrane {GO:0045211}; sarcomere {GO:0030017}</t>
  </si>
  <si>
    <t>actin binding {GO:0003779}; actin filament binding {GO:0051015}; cytoskeleton-nuclear membrane anchor activity {GO:0140444}; enzyme binding {GO:0019899}; identical protein binding {GO:0042802}; lamin binding {GO:0005521}; protein homodimerization activity {GO:0042803}</t>
  </si>
  <si>
    <t>sp|O54950|AAKG1_MOUSE</t>
  </si>
  <si>
    <t>5'-AMP-activated protein kinase subunit gamma-1 (AMPK gamma1; AMPK subunit gamma-1; AMPKg)</t>
  </si>
  <si>
    <t>AAKG1_MOUSE</t>
  </si>
  <si>
    <t>O54950</t>
  </si>
  <si>
    <t>Q5PRE8</t>
  </si>
  <si>
    <t>Prkaac</t>
  </si>
  <si>
    <t>MGI:108411</t>
  </si>
  <si>
    <t>ATP-binding; CBS domain; Fatty acid biosynthesis; Fatty acid metabolism; Lipid biosynthesis; Lipid metabolism; Nucleotide-binding; Phosphoprotein; Repeat</t>
  </si>
  <si>
    <t>cellular response to glucose starvation {GO:0042149}; cellular response to nutrient levels {GO:0031669}; fatty acid biosynthetic process {GO:0006633}; import into nucleus {GO:0051170}; positive regulation of gene expression {GO:0010628}; protein phosphorylation {GO:0006468}; regulation of catalytic activity {GO:0050790}; regulation of protein serine/threonine kinase activity {GO:0071900}</t>
  </si>
  <si>
    <t>cytoplasm {GO:0005737}; cytosol {GO:0005829}; nucleoplasm {GO:0005654}; nucleotide-activated protein kinase complex {GO:0031588}; nucleus {GO:0005634}; protein-containing complex {GO:0032991}</t>
  </si>
  <si>
    <t>ADP binding {GO:0043531}; AMP binding {GO:0016208}; AMP-activated protein kinase activity {GO:0004679}; ATP binding {GO:0005524}; protein kinase activity {GO:0004672}; protein kinase binding {GO:0019901}; protein kinase regulator activity {GO:0019887}; protein-containing complex binding {GO:0044877}</t>
  </si>
  <si>
    <t>Macroautophagy {R-MMU-1632852}; Energy dependent regulation of mTOR by LKB1-AMPK {R-MMU-380972}; TP53 Regulates Metabolic Genes {R-MMU-5628897}; Regulation of TP53 Activity through Phosphorylation {R-MMU-6804756}</t>
  </si>
  <si>
    <t>sp|Q9JLB2|PALS1_MOUSE</t>
  </si>
  <si>
    <t>Protein PALS1</t>
  </si>
  <si>
    <t>MAGUK p55 subfamily member 5; Protein associated with Lin-7 1</t>
  </si>
  <si>
    <t>PALS1_MOUSE</t>
  </si>
  <si>
    <t>Q9JLB2</t>
  </si>
  <si>
    <t>MGI:1927339</t>
  </si>
  <si>
    <t>3D-structure; ATP-binding; Cell junction; Cell membrane; Cell projection; Golgi apparatus; Membrane; Nucleotide-binding; Phosphoprotein; Repeat; SH3 domain; Tight junction</t>
  </si>
  <si>
    <t>Cell junction; Cell membrane; Cell projection; Golgi apparatus; Membrane; Tight junction</t>
  </si>
  <si>
    <t>central nervous system neuron development {GO:0021954}; cerebral cortex development {GO:0021987}; establishment or maintenance of epithelial cell apical/basal polarity {GO:0045197}; establishment or maintenance of polarity of embryonic epithelium {GO:0016332}; gene expression {GO:0010467}; generation of neurons {GO:0048699}; morphogenesis of an epithelial sheet {GO:0002011}; myelin assembly {GO:0032288}; peripheral nervous system myelin maintenance {GO:0032287}; plasma membrane organization {GO:0007009}; protein localization {GO:0008104}; protein localization to myelin sheath abaxonal region {GO:0035750}; protein localization to plasma membrane {GO:0072659}; regulation of transforming growth factor beta receptor signaling pathway {GO:0017015}</t>
  </si>
  <si>
    <t>adherens junction {GO:0005912}; apical part of cell {GO:0045177}; apical plasma membrane {GO:0016324}; axon {GO:0030424}; bicellular tight junction {GO:0005923}; cell-cell junction {GO:0005911}; cytoplasm {GO:0005737}; Golgi apparatus {GO:0005794}; integral component of membrane {GO:0016021}; lateral loop {GO:0043219}; myelin sheath adaxonal region {GO:0035749}; perikaryon {GO:0043204}; plasma membrane {GO:0005886}; protein-containing complex {GO:0032991}; Schmidt-Lanterman incisure {GO:0043220}</t>
  </si>
  <si>
    <t>ATP binding {GO:0005524}; guanylate kinase activity {GO:0004385}; identical protein binding {GO:0042802}; protein domain specific binding {GO:0019904}</t>
  </si>
  <si>
    <t>sp|Q8BJF9|CHM2B_MOUSE</t>
  </si>
  <si>
    <t>Charged multivesicular body protein 2b</t>
  </si>
  <si>
    <t>Chromatin-modifying protein 2b (CHMP2b)</t>
  </si>
  <si>
    <t>CHM2B_MOUSE</t>
  </si>
  <si>
    <t>Q8BJF9</t>
  </si>
  <si>
    <t>Q80UZ4; Q9CT65</t>
  </si>
  <si>
    <t>MGI:1916192</t>
  </si>
  <si>
    <t>Acetylation; Coiled coil; Cytoplasm; Endosome; Membrane; Phosphoprotein; Protein transport; Transport</t>
  </si>
  <si>
    <t>autophagosome maturation {GO:0097352}; autophagy {GO:0006914}; cognition {GO:0050890}; endosome organization {GO:0007032}; endosome transport via multivesicular body sorting pathway {GO:0032509}; late endosome to lysosome transport {GO:1902774}; late endosome to vacuole transport {GO:0045324}; membrane fission {GO:0090148}; midbody abscission {GO:0061952}; mitotic metaphase plate congression {GO:0007080}; multivesicular body assembly {GO:0036258}; multivesicular body sorting pathway {GO:0071985}; multivesicular body-lysosome fusion {GO:0061763}; negative regulation of cell death {GO:0060548}; neuron cellular homeostasis {GO:0070050}; nuclear membrane reassembly {GO:0031468}; nucleus organization {GO:0006997}; plasma membrane repair {GO:0001778}; protein transport {GO:0015031}; regulation of centrosome duplication {GO:0010824}; regulation of mitotic spindle assembly {GO:1901673}; regulation of modification of postsynaptic structure {GO:0099159}; regulation of postsynapse organization {GO:0099175}; ubiquitin-dependent protein catabolic process via the multivesicular body sorting pathway {GO:0043162}; vesicle fusion with vacuole {GO:0051469}; viral budding from plasma membrane {GO:0046761}; viral budding via host ESCRT complex {GO:0039702}; viral release from host cell {GO:0019076}</t>
  </si>
  <si>
    <t>amphisome membrane {GO:1904930}; autophagosome membrane {GO:0000421}; cytoplasm {GO:0005737}; cytosol {GO:0005829}; endosome {GO:0005768}; ESCRT III complex {GO:0000815}; glutamatergic synapse {GO:0098978}; kinetochore {GO:0000776}; kinetochore microtubule {GO:0005828}; late endosome {GO:0005770}; lysosomal membrane {GO:0005765}; lysosome {GO:0005764}; midbody {GO:0030496}; multivesicular body {GO:0005771}; multivesicular body membrane {GO:0032585}; nuclear pore {GO:0005643}; plasma membrane {GO:0005886}; postsynaptic density {GO:0014069}</t>
  </si>
  <si>
    <t>sp|Q9R0A0|PEX14_MOUSE</t>
  </si>
  <si>
    <t>Peroxisomal membrane protein PEX14</t>
  </si>
  <si>
    <t>PTS1 receptor-docking protein; Peroxin-14; Peroxisomal membrane anchor protein PEX14</t>
  </si>
  <si>
    <t>PEX14_MOUSE</t>
  </si>
  <si>
    <t>Q9R0A0</t>
  </si>
  <si>
    <t>MGI:1927868</t>
  </si>
  <si>
    <t>Acetylation; Membrane; Peroxisome; Phosphoprotein; Protein transport; Translocation; Transport</t>
  </si>
  <si>
    <t>microtubule anchoring {GO:0034453}; negative regulation of DNA-binding transcription factor activity {GO:0043433}; negative regulation of DNA-templated transcription {GO:0045892}; negative regulation of protein binding {GO:0032091}; peroxisome organization {GO:0007031}; peroxisome transport along microtubule {GO:0036250}; protein import into peroxisome matrix {GO:0016558}; protein import into peroxisome matrix, docking {GO:0016560}; protein import into peroxisome matrix, substrate release {GO:0044721}; protein import into peroxisome matrix, translocation {GO:0016561}; protein-containing complex assembly {GO:0065003}</t>
  </si>
  <si>
    <t>fibrillar center {GO:0001650}; integral component of membrane {GO:0016021}; peroxisomal importomer complex {GO:1990429}; peroxisomal membrane {GO:0005778}; peroxisome {GO:0005777}; protein-containing complex {GO:0032991}</t>
  </si>
  <si>
    <t>beta-tubulin binding {GO:0048487}; identical protein binding {GO:0042802}; microtubule binding {GO:0008017}; protein N-terminus binding {GO:0047485}; signaling receptor binding {GO:0005102}; transcription corepressor activity {GO:0003714}</t>
  </si>
  <si>
    <t>E3 ubiquitin ligases ubiquitinate target proteins {R-MMU-8866654}; Peroxisomal protein import {R-MMU-9033241}; Class I peroxisomal membrane protein import {R-MMU-9603798}</t>
  </si>
  <si>
    <t>sp|Q8BLY2|SYTC2_MOUSE</t>
  </si>
  <si>
    <t>Threonine--tRNA ligase 2, cytoplasmic</t>
  </si>
  <si>
    <t>Threonyl-tRNA synthetase (ThrRS); Threonyl-tRNA synthetase protein 3</t>
  </si>
  <si>
    <t>SYTC2_MOUSE</t>
  </si>
  <si>
    <t>Q8BLY2</t>
  </si>
  <si>
    <t>Q8CHT2</t>
  </si>
  <si>
    <t>Tarsl2</t>
  </si>
  <si>
    <t>MGI:2444486</t>
  </si>
  <si>
    <t>Acetylation; Aminoacyl-tRNA synthetase; ATP-binding; Coiled coil; Cytoplasm; Ligase; Nucleotide-binding; Nucleus; Phosphoprotein; Protein biosynthesis</t>
  </si>
  <si>
    <t>ATP binding {GO:0005524}; threonine-tRNA ligase activity {GO:0004829}</t>
  </si>
  <si>
    <t>sp|Q91X72|HEMO_MOUSE</t>
  </si>
  <si>
    <t>Hemopexin</t>
  </si>
  <si>
    <t>HEMO_MOUSE</t>
  </si>
  <si>
    <t>Q91X72</t>
  </si>
  <si>
    <t>P97824; Q3UKP2; Q8WUP0</t>
  </si>
  <si>
    <t>Hpxn</t>
  </si>
  <si>
    <t>MGI:105112</t>
  </si>
  <si>
    <t>Disulfide bond; Glycoprotein; Heme; Iron; Metal-binding; Repeat; Secreted; Signal; Transport</t>
  </si>
  <si>
    <t>cellular iron ion homeostasis {GO:0006879}; heme metabolic process {GO:0042168}; hemoglobin metabolic process {GO:0020027}; interferon-gamma-mediated signaling pathway {GO:0060333}; positive regulation of humoral immune response mediated by circulating immunoglobulin {GO:0002925}; positive regulation of immunoglobulin production {GO:0002639}; positive regulation of interferon-gamma-mediated signaling pathway {GO:0060335}; positive regulation of response to interferon-gamma {GO:0060332}; positive regulation of tyrosine phosphorylation of STAT protein {GO:0042531}; regulation of protein metabolic process {GO:0051246}; tyrosine phosphorylation of STAT protein {GO:0007260}</t>
  </si>
  <si>
    <t>heme binding {GO:0020037}; heme transmembrane transporter activity {GO:0015232}; metal ion binding {GO:0046872}</t>
  </si>
  <si>
    <t>Scavenging of heme from plasma {R-MMU-2168880}</t>
  </si>
  <si>
    <t>sp|Q91VC9|GHITM_MOUSE</t>
  </si>
  <si>
    <t>Growth hormone-inducible transmembrane protein</t>
  </si>
  <si>
    <t>Mitochondrial morphology and cristae structure 1 (MICS1)</t>
  </si>
  <si>
    <t>GHITM_MOUSE</t>
  </si>
  <si>
    <t>Q91VC9</t>
  </si>
  <si>
    <t>Q3TGB7; Q3UA74; Q8N9T5</t>
  </si>
  <si>
    <t>Mics1</t>
  </si>
  <si>
    <t>MGI:1913342</t>
  </si>
  <si>
    <t>Apoptosis; Membrane; Mitochondrion; Mitochondrion inner membrane; Transit peptide; Transmembrane; Transmembrane helix</t>
  </si>
  <si>
    <t>apoptotic process {GO:0006915}; inner mitochondrial membrane organization {GO:0007007}; negative regulation of release of cytochrome c from mitochondria {GO:0090201}</t>
  </si>
  <si>
    <t>integral component of mitochondrial inner membrane {GO:0031305}; membrane {GO:0016020}; mitochondrion {GO:0005739}</t>
  </si>
  <si>
    <t>sp|Q8BZ60|STON2_MOUSE</t>
  </si>
  <si>
    <t>Stonin-2</t>
  </si>
  <si>
    <t>Stoned B</t>
  </si>
  <si>
    <t>STON2_MOUSE</t>
  </si>
  <si>
    <t>Q8BZ60</t>
  </si>
  <si>
    <t>A2RTJ7</t>
  </si>
  <si>
    <t>Stn2; Stnb</t>
  </si>
  <si>
    <t>MGI:1918272</t>
  </si>
  <si>
    <t>Cytoplasm; Endocytosis; Membrane; Phosphoprotein; Repeat; Synapse; Synaptosome; Ubl conjugation</t>
  </si>
  <si>
    <t>Cytoplasm; Membrane; Synapse; Synaptosome</t>
  </si>
  <si>
    <t>chemical synaptic transmission {GO:0007268}; hematopoietic progenitor cell differentiation {GO:0002244}; regulation of endocytosis {GO:0030100}; synaptic vesicle endocytosis {GO:0048488}; vesicle-mediated transport {GO:0016192}</t>
  </si>
  <si>
    <t>anchoring junction {GO:0070161}; clathrin-coated vesicle {GO:0030136}; cytoplasmic vesicle {GO:0031410}; cytosol {GO:0005829}; membrane {GO:0016020}; neuron projection {GO:0043005}; nucleolus {GO:0005730}; presynapse {GO:0098793}; synaptic vesicle {GO:0008021}</t>
  </si>
  <si>
    <t>sp|B1AXP6|TOM5_MOUSE</t>
  </si>
  <si>
    <t>Mitochondrial import receptor subunit TOM5 homolog</t>
  </si>
  <si>
    <t>TOM5_MOUSE</t>
  </si>
  <si>
    <t>B1AXP6</t>
  </si>
  <si>
    <t>B1AXP7; B1AXP8; B1AXP9</t>
  </si>
  <si>
    <t>MGI:1915762</t>
  </si>
  <si>
    <t>Acetylation; Alternative splicing; Isopeptide bond; Membrane; Mitochondrion; Mitochondrion outer membrane; Protein transport; Transmembrane; Transmembrane helix; Transport; Ubl conjugation</t>
  </si>
  <si>
    <t>integral component of membrane {GO:0016021}; mitochondrial outer membrane translocase complex {GO:0005742}; mitochondrion {GO:0005739}</t>
  </si>
  <si>
    <t>sp|O09044|SNP23_MOUSE</t>
  </si>
  <si>
    <t>Synaptosomal-associated protein 23 (SNAP-23)</t>
  </si>
  <si>
    <t>Syndet; Vesicle-membrane fusion protein SNAP-23</t>
  </si>
  <si>
    <t>SNP23_MOUSE</t>
  </si>
  <si>
    <t>O09044</t>
  </si>
  <si>
    <t>O35620</t>
  </si>
  <si>
    <t>Sndt</t>
  </si>
  <si>
    <t>MGI:109356</t>
  </si>
  <si>
    <t>Acetylation; Cell membrane; Coiled coil; Lipoprotein; Membrane; Palmitate; Phosphoprotein; Protein transport; Repeat; Synapse; Synaptosome; Transport</t>
  </si>
  <si>
    <t>Cell membrane; Membrane; Synapse; Synaptosome</t>
  </si>
  <si>
    <t>exocytic insertion of neurotransmitter receptor to postsynaptic membrane {GO:0098967}; exocytosis {GO:0006887}; histamine secretion by mast cell {GO:0002553}; membrane fusion {GO:0061025}; protein transport {GO:0015031}; protein-containing complex assembly {GO:0065003}; regulation of exocytosis {GO:0017157}; synaptic vesicle fusion to presynaptic active zone membrane {GO:0031629}; synaptic vesicle priming {GO:0016082}; vesicle fusion {GO:0006906}; vesicle-mediated transport {GO:0016192}; vesicle-mediated transport in synapse {GO:0099003}</t>
  </si>
  <si>
    <t>adherens junction {GO:0005912}; azurophil granule {GO:0042582}; cytoplasm {GO:0005737}; cytoplasmic vesicle {GO:0031410}; GABA-ergic synapse {GO:0098982}; glutamatergic synapse {GO:0098978}; mitochondrion {GO:0005739}; neuron projection {GO:0043005}; nucleoplasm {GO:0005654}; plasma membrane {GO:0005886}; postsynapse {GO:0098794}; presynapse {GO:0098793}; SNARE complex {GO:0031201}; specific granule {GO:0042581}</t>
  </si>
  <si>
    <t>ER-Phagosome pathway {R-MMU-1236974}; trans-Golgi Network Vesicle Budding {R-MMU-199992}; Neutrophil degranulation {R-MMU-6798695}; RHOA GTPase cycle {R-MMU-8980692}; RHOB GTPase cycle {R-MMU-9013026}; RAC1 GTPase cycle {R-MMU-9013149}; RHOQ GTPase cycle {R-MMU-9013406}; RAC3 GTPase cycle {R-MMU-9013423}; RHOF GTPase cycle {R-MMU-9035034}</t>
  </si>
  <si>
    <t>sp|Q9DBG7|SRPRA_MOUSE</t>
  </si>
  <si>
    <t>Signal recognition particle receptor subunit alpha (SR-alpha)</t>
  </si>
  <si>
    <t>Docking protein alpha (DP-alpha)</t>
  </si>
  <si>
    <t>SRPRA_MOUSE</t>
  </si>
  <si>
    <t>Q9DBG7</t>
  </si>
  <si>
    <t>Q8VC45; Q921H1</t>
  </si>
  <si>
    <t>Srpr</t>
  </si>
  <si>
    <t>MGI:1914648</t>
  </si>
  <si>
    <t>Endoplasmic reticulum; GTP-binding; Membrane; Nucleotide-binding; Phosphoprotein; Receptor</t>
  </si>
  <si>
    <t>protein targeting {GO:0006605}; protein targeting to ER {GO:0045047}; SRP-dependent cotranslational protein targeting to membrane, signal sequence recognition {GO:0006617}</t>
  </si>
  <si>
    <t>endoplasmic reticulum membrane {GO:0005789}; membrane {GO:0016020}; signal recognition particle receptor complex {GO:0005785}</t>
  </si>
  <si>
    <t>GTP binding {GO:0005525}; GTPase activity {GO:0003924}; molecular adaptor activity {GO:0060090}; signal recognition particle binding {GO:0005047}</t>
  </si>
  <si>
    <t>sp|Q8R5C5|ACTY_MOUSE</t>
  </si>
  <si>
    <t>Beta-centractin</t>
  </si>
  <si>
    <t>Actin-related protein 1B (ARP1B)</t>
  </si>
  <si>
    <t>ACTY_MOUSE</t>
  </si>
  <si>
    <t>Q8R5C5</t>
  </si>
  <si>
    <t>MGI:1917446</t>
  </si>
  <si>
    <t>Acetylation; ATP-binding; Cytoplasm; Cytoskeleton; Nitration; Nucleotide-binding</t>
  </si>
  <si>
    <t>centrosome {GO:0005813}; cytoplasm {GO:0005737}; microtubule cytoskeleton {GO:0015630}</t>
  </si>
  <si>
    <t>MHC class II antigen presentation {R-MMU-2132295}; Neutrophil degranulation {R-MMU-6798695}</t>
  </si>
  <si>
    <t>sp|P57724|PCBP4_MOUSE</t>
  </si>
  <si>
    <t>Poly(rC)-binding protein 4</t>
  </si>
  <si>
    <t>Alpha-CP4</t>
  </si>
  <si>
    <t>PCBP4_MOUSE</t>
  </si>
  <si>
    <t>P57724</t>
  </si>
  <si>
    <t>Q91VR3</t>
  </si>
  <si>
    <t>MGI:1890471</t>
  </si>
  <si>
    <t>Cytoplasm; DNA-binding; Repeat; Ribonucleoprotein; RNA-binding</t>
  </si>
  <si>
    <t>negative regulation of DNA damage response, signal transduction by p53 class mediator resulting in transcription of p21 class mediator {GO:1902163}; negative regulation of mRNA splicing, via spliceosome {GO:0048025}; regulation of gene expression {GO:0010468}; regulation of mRNA stability {GO:0043488}; regulation of RNA metabolic process {GO:0051252}</t>
  </si>
  <si>
    <t>cytoplasm {GO:0005737}; cytosol {GO:0005829}; nucleus {GO:0005634}; ribonucleoprotein complex {GO:1990904}</t>
  </si>
  <si>
    <t>DNA binding {GO:0003677}; mRNA 3'-UTR binding {GO:0003730}; mRNA binding {GO:0003729}</t>
  </si>
  <si>
    <t>sp|Q9DCD2|SYF1_MOUSE</t>
  </si>
  <si>
    <t>sp|Q8R2U7|LRC42_MOUSE</t>
  </si>
  <si>
    <t>Leucine-rich repeat-containing protein 42</t>
  </si>
  <si>
    <t>LRC42_MOUSE</t>
  </si>
  <si>
    <t>Q8R2U7</t>
  </si>
  <si>
    <t>Q3TE62; Q9CTP9</t>
  </si>
  <si>
    <t>MGI:1925059</t>
  </si>
  <si>
    <t>sp|Q99LT0|DPY30_MOUSE</t>
  </si>
  <si>
    <t>Protein dpy-30 homolog</t>
  </si>
  <si>
    <t>Dpy-30-like protein (Dpy-30L)</t>
  </si>
  <si>
    <t>DPY30_MOUSE</t>
  </si>
  <si>
    <t>Q99LT0</t>
  </si>
  <si>
    <t>MGI:1913560</t>
  </si>
  <si>
    <t>Acetylation; Chromatin regulator; Golgi apparatus; Isopeptide bond; Nucleus; Phosphoprotein; Transcription; Transcription regulation; Ubl conjugation</t>
  </si>
  <si>
    <t>Golgi apparatus; Nucleus</t>
  </si>
  <si>
    <t>chromatin organization {GO:0006325}; endosomal transport {GO:0016197}; histone H3-K4 methylation {GO:0051568}</t>
  </si>
  <si>
    <t>Golgi apparatus {GO:0005794}; histone methyltransferase complex {GO:0035097}; MLL1 complex {GO:0071339}; MLL1/2 complex {GO:0044665}; MLL3/4 complex {GO:0044666}; nucleoplasm {GO:0005654}; nucleus {GO:0005634}; Set1C/COMPASS complex {GO:0048188}; trans-Golgi network {GO:0005802}</t>
  </si>
  <si>
    <t>sp|Q8BNV1|TRM2A_MOUSE</t>
  </si>
  <si>
    <t>tRNA (uracil-5-)-methyltransferase homolog A</t>
  </si>
  <si>
    <t>HpaII tiny fragments locus 9c protein; mRNA (uracil-5-)-methyltransferase TRMT2A</t>
  </si>
  <si>
    <t>TRM2A_MOUSE</t>
  </si>
  <si>
    <t>Q8BNV1</t>
  </si>
  <si>
    <t>P70221; P70222; Q3UYU2; Q78E15; Q80VN8</t>
  </si>
  <si>
    <t>MGI:96270</t>
  </si>
  <si>
    <t>Alternative splicing; Coiled coil; Cytoplasm; Methyltransferase; mRNA processing; Phosphoprotein; RNA-binding; S-adenosyl-L-methionine; Transferase; tRNA processing</t>
  </si>
  <si>
    <t>mRNA processing {GO:0006397}; organonitrogen compound metabolic process {GO:1901564}</t>
  </si>
  <si>
    <t>C-methyltransferase activity {GO:0008169}; RNA binding {GO:0003723}; S-adenosylmethionine-dependent tRNA (m5U54) methyltransferase activity {GO:0030697}</t>
  </si>
  <si>
    <t>sp|Q3TDD9|PPR21_MOUSE</t>
  </si>
  <si>
    <t>Protein phosphatase 1 regulatory subunit 21</t>
  </si>
  <si>
    <t>Coiled-coil domain-containing protein 128; KLRAQ motif-containing protein 1</t>
  </si>
  <si>
    <t>PPR21_MOUSE</t>
  </si>
  <si>
    <t>Q3TDD9</t>
  </si>
  <si>
    <t>B2RPZ6; Q3KQN7; Q3U2U9; Q8BHS9; Q9D1A1</t>
  </si>
  <si>
    <t>Ccdc128; Klraq1</t>
  </si>
  <si>
    <t>MGI:1921075</t>
  </si>
  <si>
    <t>Alternative splicing; Coiled coil; Endosome; Phosphoprotein</t>
  </si>
  <si>
    <t>early endosome {GO:0005769}</t>
  </si>
  <si>
    <t>sp|Q91WE2|PIP30_MOUSE</t>
  </si>
  <si>
    <t>PSME3-interacting protein</t>
  </si>
  <si>
    <t>NEFA-interacting nuclear protein NIP30; PA28G-interacting protein</t>
  </si>
  <si>
    <t>PIP30_MOUSE</t>
  </si>
  <si>
    <t>Q91WE2</t>
  </si>
  <si>
    <t>Q3U9X3; Q8R0C9</t>
  </si>
  <si>
    <t>MGI:1919637</t>
  </si>
  <si>
    <t>Acetylation; Nucleus; Phosphoprotein</t>
  </si>
  <si>
    <t>negative regulation of proteasomal protein catabolic process {GO:1901799}; negative regulation of protein binding {GO:0032091}</t>
  </si>
  <si>
    <t>sp|P56183|RRP1_MOUSE</t>
  </si>
  <si>
    <t>Ribosomal RNA processing protein 1 homolog A</t>
  </si>
  <si>
    <t>Novel nuclear protein 1 (NNP-1); Nucleolar protein Nop52; RRP1-like protein</t>
  </si>
  <si>
    <t>RRP1_MOUSE</t>
  </si>
  <si>
    <t>P56183</t>
  </si>
  <si>
    <t>O35712; Q9ERE1; Q9JI07; Q9JK67; Q9JKU2</t>
  </si>
  <si>
    <t>Nnp1</t>
  </si>
  <si>
    <t>MGI:1203500</t>
  </si>
  <si>
    <t>Alternative splicing; Nucleus; Phosphoprotein; rRNA processing</t>
  </si>
  <si>
    <t>chromosome {GO:0005694}; nucleolus {GO:0005730}; nucleus {GO:0005634}; preribosome, large subunit precursor {GO:0030687}; preribosome, small subunit precursor {GO:0030688}</t>
  </si>
  <si>
    <t>sp|Q4FJU9|TMM40_MOUSE</t>
  </si>
  <si>
    <t>Transmembrane protein 40</t>
  </si>
  <si>
    <t>TMM40_MOUSE</t>
  </si>
  <si>
    <t>Q4FJU9</t>
  </si>
  <si>
    <t>Q8C5D2; Q8VCR5</t>
  </si>
  <si>
    <t>MGI:2137870</t>
  </si>
  <si>
    <t>Acetylation; Membrane; Phosphoprotein; Transmembrane; Transmembrane helix</t>
  </si>
  <si>
    <t>sp|Q8BTZ4|APC5_MOUSE</t>
  </si>
  <si>
    <t>Anaphase-promoting complex subunit 5 (APC5)</t>
  </si>
  <si>
    <t>Cyclosome subunit 5</t>
  </si>
  <si>
    <t>APC5_MOUSE</t>
  </si>
  <si>
    <t>Q8BTZ4</t>
  </si>
  <si>
    <t>Q3TGA7; Q80UJ6; Q80W43; Q8BWW7; Q8C0F7; Q9CRX0; Q9CSL1; Q9JJB8</t>
  </si>
  <si>
    <t>MGI:1929722</t>
  </si>
  <si>
    <t>Alternative splicing; Cell cycle; Cell division; Cytoplasm; Cytoskeleton; Mitosis; Nucleus; Phosphoprotein; Repeat; TPR repeat; Ubl conjugation pathway</t>
  </si>
  <si>
    <t>anaphase-promoting complex-dependent catabolic process {GO:0031145}; cell cycle {GO:0007049}; cell division {GO:0051301}; positive regulation of mitotic metaphase/anaphase transition {GO:0045842}; protein K11-linked ubiquitination {GO:0070979}</t>
  </si>
  <si>
    <t>anaphase-promoting complex {GO:0005680}; cytoplasm {GO:0005737}; nucleus {GO:0005634}; spindle {GO:0005819}</t>
  </si>
  <si>
    <t>protein phosphatase binding {GO:0019903}</t>
  </si>
  <si>
    <t>sp|Q3TJD7|PDLI7_MOUSE</t>
  </si>
  <si>
    <t>PDZ and LIM domain protein 7</t>
  </si>
  <si>
    <t>LIM mineralization protein (LMP); Protein enigma</t>
  </si>
  <si>
    <t>PDLI7_MOUSE</t>
  </si>
  <si>
    <t>Q3TJD7</t>
  </si>
  <si>
    <t>Q80ZY6; Q810S3; Q8C1S4; Q9CRA1</t>
  </si>
  <si>
    <t>Enigma</t>
  </si>
  <si>
    <t>MGI:1914649</t>
  </si>
  <si>
    <t>Alternative splicing; Cytoplasm; Cytoskeleton; Developmental protein; Differentiation; LIM domain; Metal-binding; Methylation; Osteogenesis; Phosphoprotein; Repeat; Zinc</t>
  </si>
  <si>
    <t>Differentiation; Osteogenesis</t>
  </si>
  <si>
    <t>actin cytoskeleton organization {GO:0030036}; cell differentiation {GO:0030154}; heart development {GO:0007507}; muscle structure development {GO:0061061}; ossification {GO:0001503}; positive regulation of osteoblast differentiation {GO:0045669}</t>
  </si>
  <si>
    <t>actin cytoskeleton {GO:0015629}; adherens junction {GO:0005912}; cytoplasm {GO:0005737}; filamentous actin {GO:0031941}; focal adhesion {GO:0005925}; nucleoplasm {GO:0005654}; ruffle {GO:0001726}; stress fiber {GO:0001725}; Z disc {GO:0030018}</t>
  </si>
  <si>
    <t>actin binding {GO:0003779}; metal ion binding {GO:0046872}; muscle alpha-actinin binding {GO:0051371}</t>
  </si>
  <si>
    <t>RET signaling {R-MMU-8853659}</t>
  </si>
  <si>
    <t>sp|Q8K2Z4|CND1_MOUSE</t>
  </si>
  <si>
    <t>Condensin complex subunit 1</t>
  </si>
  <si>
    <t>Chromosome condensation-related SMC-associated protein 1; Chromosome-associated protein D2 (mCAP-D2); Non-SMC condensin I complex subunit D2; XCAP-D2 homolog</t>
  </si>
  <si>
    <t>CND1_MOUSE</t>
  </si>
  <si>
    <t>Q8K2Z4</t>
  </si>
  <si>
    <t>Q6ZQI1; Q8R0F2; Q8R3H0; Q922B7; Q923A3; Q9CS25; Q9CT32</t>
  </si>
  <si>
    <t>Capd2; Cnap1; Kiaa0159</t>
  </si>
  <si>
    <t>MGI:1915548</t>
  </si>
  <si>
    <t>Alternative splicing; Cell cycle; Cell division; Chromosome; Cytoplasm; DNA condensation; Mitosis; Nucleus; Phosphoprotein</t>
  </si>
  <si>
    <t>cell division {GO:0051301}; meiotic chromosome condensation {GO:0010032}; mitotic chromosome condensation {GO:0007076}; positive regulation of chromosome condensation {GO:1905821}; positive regulation of chromosome segregation {GO:0051984}; positive regulation of chromosome separation {GO:1905820}</t>
  </si>
  <si>
    <t>condensed chromosome {GO:0000793}; condensed chromosome, centromeric region {GO:0000779}; condensed nuclear chromosome {GO:0000794}; condensin complex {GO:0000796}; cytoplasm {GO:0005737}; cytosol {GO:0005829}; nuclear chromosome {GO:0000228}; nucleoplasm {GO:0005654}; pronucleus {GO:0045120}</t>
  </si>
  <si>
    <t>sp|P52431|DPOD1_MOUSE</t>
  </si>
  <si>
    <t>DNA polymerase delta catalytic subunit</t>
  </si>
  <si>
    <t>3'-5' exodeoxyribonuclease</t>
  </si>
  <si>
    <t>DPOD1_MOUSE</t>
  </si>
  <si>
    <t>P52431</t>
  </si>
  <si>
    <t>O54883; Q3TFX6</t>
  </si>
  <si>
    <t>MGI:97741</t>
  </si>
  <si>
    <t>4Fe-4S; DNA damage; DNA excision; DNA repair; DNA replication; DNA-binding; DNA-directed DNA polymerase; Exonuclease; Hydrolase; Iron; Iron-sulfur; Isopeptide bond; Metal-binding; Methylation; Nuclease; Nucleotidyltransferase; Nucleus; Transferase; Ubl conjugation; Zinc; Zinc-finger</t>
  </si>
  <si>
    <t>DNA damage; DNA excision; DNA repair; DNA replication</t>
  </si>
  <si>
    <t>4Fe-4S; Iron; Iron-sulfur; Metal-binding; Zinc</t>
  </si>
  <si>
    <t>DNA-binding; DNA-directed DNA polymerase; Exonuclease; Hydrolase; Nuclease; Nucleotidyltransferase; Transferase</t>
  </si>
  <si>
    <t>base-excision repair, gap-filling {GO:0006287}; cellular response to UV {GO:0034644}; DNA biosynthetic process {GO:0071897}; DNA replication {GO:0006260}; DNA replication proofreading {GO:0045004}; DNA synthesis involved in DNA repair {GO:0000731}; DNA-templated DNA replication {GO:0006261}; error-free translesion synthesis {GO:0070987}; fatty acid homeostasis {GO:0055089}; nucleotide-excision repair, DNA gap filling {GO:0006297}</t>
  </si>
  <si>
    <t>aggresome {GO:0016235}; chromosome, telomeric region {GO:0000781}; cytosol {GO:0005829}; delta DNA polymerase complex {GO:0043625}; nucleoplasm {GO:0005654}; nucleotide-excision repair complex {GO:0000109}; nucleus {GO:0005634}</t>
  </si>
  <si>
    <t>3'-5' exonuclease activity {GO:0008408}; 3'-5'-exodeoxyribonuclease activity {GO:0008296}; 4 iron, 4 sulfur cluster binding {GO:0051539}; chromatin binding {GO:0003682}; damaged DNA binding {GO:0003684}; DNA binding {GO:0003677}; DNA-directed DNA polymerase activity {GO:0003887}; enzyme binding {GO:0019899}; metal ion binding {GO:0046872}; nucleotide binding {GO:0000166}</t>
  </si>
  <si>
    <t>Recognition of DNA damage by PCNA-containing replication complex {R-MMU-110314}; Polymerase switching on the C-strand of the telomere {R-MMU-174411}; Processive synthesis on the C-strand of the telomere {R-MMU-174414}; Telomere C-strand (Lagging Strand) Synthesis {R-MMU-174417}; Removal of the Flap Intermediate from the C-strand {R-MMU-174437}; Mismatch repair (MMR) directed by MSH2:MSH6 (MutSalpha) {R-MMU-5358565}; Mismatch repair (MMR) directed by MSH2:MSH3 (MutSbeta) {R-MMU-5358606}; PCNA-Dependent Long Patch Base Excision Repair {R-MMU-5651801}; Termination of translesion DNA synthesis {R-MMU-5656169}; HDR through Homologous Recombination (HRR) {R-MMU-5685942}; Gap-filling DNA repair synthesis and ligation in GG-NER {R-MMU-5696397}; Dual Incision in GG-NER {R-MMU-5696400}; Dual incision in TC-NER {R-MMU-6782135}; Gap-filling DNA repair synthesis and ligation in TC-NER {R-MMU-6782210}; Polymerase switching {R-MMU-69091}; Removal of the Flap Intermediate {R-MMU-69166}; Processive synthesis on the lagging strand {R-MMU-69183}</t>
  </si>
  <si>
    <t>sp|Q9DCL8|IPP2_MOUSE</t>
  </si>
  <si>
    <t>Protein phosphatase inhibitor 2 (IPP-2)</t>
  </si>
  <si>
    <t>IPP2_MOUSE</t>
  </si>
  <si>
    <t>Q9DCL8</t>
  </si>
  <si>
    <t>Q3UD25; Q8C1A6</t>
  </si>
  <si>
    <t>MGI:1914099</t>
  </si>
  <si>
    <t>3D-structure; Acetylation; Carbohydrate metabolism; Glycogen metabolism; Phosphoprotein; Protein phosphatase inhibitor</t>
  </si>
  <si>
    <t>glycogen metabolic process {GO:0005977}; negative regulation of protein binding {GO:0032091}; regulation of phosphoprotein phosphatase activity {GO:0043666}; regulation of signal transduction {GO:0009966}</t>
  </si>
  <si>
    <t>cytoplasm {GO:0005737}; dendritic spine {GO:0043197}; growth cone {GO:0030426}</t>
  </si>
  <si>
    <t>molecular function inhibitor activity {GO:0140678}; protein domain specific binding {GO:0019904}; protein phosphatase inhibitor activity {GO:0004864}</t>
  </si>
  <si>
    <t>sp|Q8BJ05|ZC3HE_MOUSE</t>
  </si>
  <si>
    <t>Zinc finger CCCH domain-containing protein 14</t>
  </si>
  <si>
    <t>ZC3HE_MOUSE</t>
  </si>
  <si>
    <t>Q8BJ05</t>
  </si>
  <si>
    <t>A0PJE7; A1A4A9; Q3TU70; Q8BIY8; Q8R3Q8; Q8R3R2; Q9DAA8</t>
  </si>
  <si>
    <t>MGI:1919824</t>
  </si>
  <si>
    <t>Acetylation; Alternative splicing; Isopeptide bond; Metal-binding; Nucleus; Phosphoprotein; Repeat; RNA-binding; Ubl conjugation; Zinc; Zinc-finger</t>
  </si>
  <si>
    <t>negative regulation of mRNA polyadenylation {GO:1900364}; regulation of mRNA stability {GO:0043488}</t>
  </si>
  <si>
    <t>axon cytoplasm {GO:1904115}; cytoplasm {GO:0005737}; dendrite cytoplasm {GO:0032839}; nuclear speck {GO:0016607}; nucleolus {GO:0005730}; nucleus {GO:0005634}; ribonucleoprotein complex {GO:1990904}</t>
  </si>
  <si>
    <t>metal ion binding {GO:0046872}; poly(A) binding {GO:0008143}</t>
  </si>
  <si>
    <t>sp|Q8BTW3|EXOS6_MOUSE</t>
  </si>
  <si>
    <t>Exosome complex component MTR3</t>
  </si>
  <si>
    <t>Exosome component 6; mRNA transport regulator 3 homolog</t>
  </si>
  <si>
    <t>EXOS6_MOUSE</t>
  </si>
  <si>
    <t>Q8BTW3</t>
  </si>
  <si>
    <t>Q9CSR7</t>
  </si>
  <si>
    <t>Mtr3</t>
  </si>
  <si>
    <t>MGI:1919794</t>
  </si>
  <si>
    <t>Cytoplasm; Exosome; Nucleus; RNA-binding; rRNA processing</t>
  </si>
  <si>
    <t>Cytoplasm; Exosome; Nucleus</t>
  </si>
  <si>
    <t>DNA deamination {GO:0045006}; isotype switching {GO:0045190}; nuclear mRNA surveillance {GO:0071028}; nuclear-transcribed mRNA catabolic process, exonucleolytic, 3'-5' {GO:0034427}; polyadenylation-dependent snoRNA 3'-end processing {GO:0071051}; positive regulation of isotype switching {GO:0045830}; RNA catabolic process {GO:0006401}; RNA processing {GO:0006396}; rRNA catabolic process {GO:0016075}; rRNA processing {GO:0006364}; U4 snRNA 3'-end processing {GO:0034475}</t>
  </si>
  <si>
    <t>cytoplasmic exosome (RNase complex) {GO:0000177}; cytosol {GO:0005829}; exosome (RNase complex) {GO:0000178}; nuclear exosome (RNase complex) {GO:0000176}; nucleolar exosome (RNase complex) {GO:0101019}; nucleolus {GO:0005730}; nucleus {GO:0005634}</t>
  </si>
  <si>
    <t>mRNA decay by 3' to 5' exoribonuclease {R-MMU-429958}; Butyrate Response Factor 1 (BRF1) binds and destabilizes mRNA {R-MMU-450385}; Tristetraprolin (TTP, ZFP36) binds and destabilizes mRNA {R-MMU-450513}; KSRP (KHSRP) binds and destabilizes mRNA {R-MMU-450604}; Major pathway of rRNA processing in the nucleolus and cytosol {R-MMU-6791226}</t>
  </si>
  <si>
    <t>sp|Q8VEK0|CC50A_MOUSE</t>
  </si>
  <si>
    <t>Cell cycle control protein 50A</t>
  </si>
  <si>
    <t>P4-ATPase flippase complex beta subunit TMEM30A; Transmembrane protein 30A</t>
  </si>
  <si>
    <t>CC50A_MOUSE</t>
  </si>
  <si>
    <t>Q8VEK0</t>
  </si>
  <si>
    <t>Q3TCJ5; Q3UDH8; Q8R0X6; Q8VEH1</t>
  </si>
  <si>
    <t>Cdc50a; D9Wsu20e</t>
  </si>
  <si>
    <t>MGI:106402</t>
  </si>
  <si>
    <t>Acetylation; Cell membrane; Cytoplasmic vesicle; Disulfide bond; Glycoprotein; Golgi apparatus; Lipid transport; Membrane; Transmembrane; Transmembrane helix; Transport</t>
  </si>
  <si>
    <t>Cell membrane; Cytoplasmic vesicle; Golgi apparatus; Membrane</t>
  </si>
  <si>
    <t>aminophospholipid transport {GO:0015917}; phospholipid translocation {GO:0045332}; positive regulation of neuron projection development {GO:0010976}; positive regulation of phospholipid translocation {GO:0061092}; positive regulation of protein exit from endoplasmic reticulum {GO:0070863}; protein localization to endosome {GO:0036010}; xenobiotic transmembrane transport {GO:0006855}</t>
  </si>
  <si>
    <t>apical plasma membrane {GO:0016324}; early endosome membrane {GO:0031901}; endoplasmic reticulum {GO:0005783}; Golgi apparatus {GO:0005794}; integral component of membrane {GO:0016021}; late endosome membrane {GO:0031902}; membrane {GO:0016020}; phospholipid-translocating ATPase complex {GO:1990531}; plasma membrane {GO:0005886}; transport vesicle membrane {GO:0030658}</t>
  </si>
  <si>
    <t>aminophospholipid flippase activity {GO:0015247}</t>
  </si>
  <si>
    <t>sp|O35343|IMA3_MOUSE</t>
  </si>
  <si>
    <t>Importin subunit alpha-3</t>
  </si>
  <si>
    <t>Importin alpha Q1 (Qip1); Karyopherin subunit alpha-4</t>
  </si>
  <si>
    <t>IMA3_MOUSE</t>
  </si>
  <si>
    <t>O35343</t>
  </si>
  <si>
    <t>Qip1</t>
  </si>
  <si>
    <t>MGI:1100848</t>
  </si>
  <si>
    <t>NLS-bearing protein import into nucleus {GO:0006607}; protein import into nucleus {GO:0006606}; response to hydrogen peroxide {GO:0042542}</t>
  </si>
  <si>
    <t>cytosol {GO:0005829}; male germ cell nucleus {GO:0001673}; NLS-dependent protein nuclear import complex {GO:0042564}; nuclear membrane {GO:0031965}; nucleoplasm {GO:0005654}; nucleus {GO:0005634}</t>
  </si>
  <si>
    <t>sp|Q05920|PYC_MOUSE</t>
  </si>
  <si>
    <t>Pyruvate carboxylase, mitochondrial</t>
  </si>
  <si>
    <t>Pyruvic carboxylase (PCB)</t>
  </si>
  <si>
    <t>PYC_MOUSE</t>
  </si>
  <si>
    <t>Q05920</t>
  </si>
  <si>
    <t>Pcx</t>
  </si>
  <si>
    <t>MGI:97520</t>
  </si>
  <si>
    <t>Acetylation; ATP-binding; Biotin; Gluconeogenesis; Ligase; Lipid biosynthesis; Lipid metabolism; Manganese; Metal-binding; Mitochondrion; Multifunctional enzyme; Nucleotide-binding; Phosphoprotein; Pyruvate; Transit peptide</t>
  </si>
  <si>
    <t>Gluconeogenesis; Lipid biosynthesis; Lipid metabolism</t>
  </si>
  <si>
    <t>ATP-binding; Biotin; Manganese; Metal-binding; Nucleotide-binding; Pyruvate</t>
  </si>
  <si>
    <t>gluconeogenesis {GO:0006094}; lipid metabolic process {GO:0006629}; NADH metabolic process {GO:0006734}; NADP metabolic process {GO:0006739}; negative regulation of gene expression {GO:0010629}; oxaloacetate metabolic process {GO:0006107}; positive regulation by host of viral process {GO:0044794}; positive regulation of phospholipid biosynthetic process {GO:0071073}; pyruvate metabolic process {GO:0006090}; viral release from host cell {GO:0019076}; viral RNA genome packaging {GO:0019074}</t>
  </si>
  <si>
    <t>cytoplasm {GO:0005737}; mitochondrial inner membrane {GO:0005743}; mitochondrial matrix {GO:0005759}; mitochondrion {GO:0005739}</t>
  </si>
  <si>
    <t>ATP binding {GO:0005524}; biotin binding {GO:0009374}; carboxylic acid binding {GO:0031406}; identical protein binding {GO:0042802}; metal ion binding {GO:0046872}; pyruvate carboxylase activity {GO:0004736}</t>
  </si>
  <si>
    <t>Biotin transport and metabolism {R-MMU-196780}; Gluconeogenesis {R-MMU-70263}</t>
  </si>
  <si>
    <t>sp|Q8BYK6|YTHD3_MOUSE</t>
  </si>
  <si>
    <t>YTH domain-containing family protein 3</t>
  </si>
  <si>
    <t>YTHD3_MOUSE</t>
  </si>
  <si>
    <t>Q8BYK6</t>
  </si>
  <si>
    <t>Q3UVI5; Q6NXJ6; Q6NXJ8; Q8BKB6</t>
  </si>
  <si>
    <t>MGI:1918850</t>
  </si>
  <si>
    <t>Acetylation; Alternative splicing; Cytoplasm; Phosphoprotein; RNA-binding</t>
  </si>
  <si>
    <t>mRNA destabilization {GO:0061157}; negative regulation of type I interferon-mediated signaling pathway {GO:0060339}; organelle assembly {GO:0070925}; positive regulation of translation {GO:0045727}; regulation of mRNA stability {GO:0043488}; regulation of trophoblast cell migration {GO:1901163}; stress granule assembly {GO:0034063}</t>
  </si>
  <si>
    <t>cytoplasm {GO:0005737}; cytoplasmic stress granule {GO:0010494}; cytosol {GO:0005829}; P-body {GO:0000932}</t>
  </si>
  <si>
    <t>mRNA binding {GO:0003729}; N6-methyladenosine-containing RNA binding {GO:1990247}; ribosome binding {GO:0043022}; RNA binding {GO:0003723}</t>
  </si>
  <si>
    <t>sp|Q9QYF9|NDRG3_MOUSE</t>
  </si>
  <si>
    <t>Protein NDRG3</t>
  </si>
  <si>
    <t>N-myc downstream-regulated gene 3 protein; Protein Ndr3</t>
  </si>
  <si>
    <t>NDRG3_MOUSE</t>
  </si>
  <si>
    <t>Q9QYF9</t>
  </si>
  <si>
    <t>Ndr3</t>
  </si>
  <si>
    <t>MGI:1352499</t>
  </si>
  <si>
    <t>sp|Q3KNK3|NB5R2_MOUSE</t>
  </si>
  <si>
    <t>NADH-cytochrome b5 reductase 2 (b5R.2)</t>
  </si>
  <si>
    <t>NB5R2_MOUSE</t>
  </si>
  <si>
    <t>Q3KNK3</t>
  </si>
  <si>
    <t>Q3UGG1; Q8BUG7</t>
  </si>
  <si>
    <t>MGI:2444415</t>
  </si>
  <si>
    <t>Acetylation; Alternative splicing; FAD; Flavoprotein; Lipid biosynthesis; Lipid metabolism; NAD; Oxidoreductase; Phosphoprotein; Steroid biosynthesis; Steroid metabolism; Sterol biosynthesis; Sterol metabolism</t>
  </si>
  <si>
    <t>Lipid biosynthesis; Lipid metabolism; Steroid biosynthesis; Steroid metabolism; Sterol biosynthesis; Sterol metabolism</t>
  </si>
  <si>
    <t>sterol biosynthetic process {GO:0016126}</t>
  </si>
  <si>
    <t>cytochrome-b5 reductase activity, acting on NAD(P)H {GO:0004128}; FAD binding {GO:0071949}</t>
  </si>
  <si>
    <t>Erythrocytes take up carbon dioxide and release oxygen {R-MMU-1237044}</t>
  </si>
  <si>
    <t>sp|Q3TYX3|SMYD5_MOUSE</t>
  </si>
  <si>
    <t>Histone-lysine N-trimethyltransferase SMYD5</t>
  </si>
  <si>
    <t>Protein NN8-4AG; Retinoic acid-induced protein 15; SET and MYND domain-containing protein 5; [histone H4]-lysine20 N-trimethyltransferase SMYD5</t>
  </si>
  <si>
    <t>SMYD5_MOUSE</t>
  </si>
  <si>
    <t>Q3TYX3</t>
  </si>
  <si>
    <t>Q3TRB2; Q91YL6</t>
  </si>
  <si>
    <t>Rai15</t>
  </si>
  <si>
    <t>MGI:108048</t>
  </si>
  <si>
    <t>Metal-binding; Methyltransferase; S-adenosyl-L-methionine; Transferase; Zinc; Zinc-finger</t>
  </si>
  <si>
    <t>histone H4-K20 trimethylation {GO:0034773}; negative regulation of gene expression, epigenetic {GO:0045814}; negative regulation of transposition {GO:0010529}; regulation of stem cell differentiation {GO:2000736}; regulation of stem cell division {GO:2000035}</t>
  </si>
  <si>
    <t>histone methyltransferase activity (H4-K20 specific) {GO:0042799}; metal ion binding {GO:0046872}</t>
  </si>
  <si>
    <t>sp|Q6ZWZ2|UB2R2_MOUSE</t>
  </si>
  <si>
    <t>Ubiquitin-conjugating enzyme E2 R2</t>
  </si>
  <si>
    <t>E2 ubiquitin-conjugating enzyme R2; Ubiquitin carrier protein R2; Ubiquitin-conjugating enzyme E2-CDC34B; Ubiquitin-protein ligase R2</t>
  </si>
  <si>
    <t>UB2R2_MOUSE</t>
  </si>
  <si>
    <t>Q6ZWZ2</t>
  </si>
  <si>
    <t>Q8BW18; Q8VDE5</t>
  </si>
  <si>
    <t>Cdc34b; Ubc3b</t>
  </si>
  <si>
    <t>MGI:1914865</t>
  </si>
  <si>
    <t>ATP-binding; Nucleotide-binding; Phosphoprotein; Transferase; Ubl conjugation pathway</t>
  </si>
  <si>
    <t>protein K48-linked ubiquitination {GO:0070936}; protein monoubiquitination {GO:0006513}; protein polyubiquitination {GO:0000209}; ubiquitin-dependent protein catabolic process {GO:0006511}</t>
  </si>
  <si>
    <t>sp|Q922V4|PLRG1_MOUSE</t>
  </si>
  <si>
    <t>Pleiotropic regulator 1</t>
  </si>
  <si>
    <t>PLRG1_MOUSE</t>
  </si>
  <si>
    <t>Q922V4</t>
  </si>
  <si>
    <t>O55039</t>
  </si>
  <si>
    <t>MGI:1858197</t>
  </si>
  <si>
    <t>Acetylation; mRNA processing; mRNA splicing; Nucleus; Phosphoprotein; Repeat; Spliceosome; WD repeat</t>
  </si>
  <si>
    <t>mRNA splicing, via spliceosome {GO:0000398}; positive regulation of G1/S transition of mitotic cell cycle {GO:1900087}; protein localization to nucleus {GO:0034504}</t>
  </si>
  <si>
    <t>catalytic step 2 spliceosome {GO:0071013}; DNA replication factor A complex {GO:0005662}; fibrillar center {GO:0001650}; nuclear membrane {GO:0031965}; nuclear speck {GO:0016607}; nucleus {GO:0005634}; Prp19 complex {GO:0000974}; spliceosomal complex {GO:0005681}; U2-type catalytic step 2 spliceosome {GO:0071007}</t>
  </si>
  <si>
    <t>sp|Q8CGB3|UACA_MOUSE</t>
  </si>
  <si>
    <t>Uveal autoantigen with coiled-coil domains and ankyrin repeats</t>
  </si>
  <si>
    <t>Nuclear membrane-binding protein (Nucling)</t>
  </si>
  <si>
    <t>UACA_MOUSE</t>
  </si>
  <si>
    <t>Q8CGB3</t>
  </si>
  <si>
    <t>Q69ZG3; Q7TN77; Q8BJC8</t>
  </si>
  <si>
    <t>Kiaa1561</t>
  </si>
  <si>
    <t>MGI:1919815</t>
  </si>
  <si>
    <t>Acetylation; Alternative splicing; ANK repeat; Coiled coil; Cytoplasm; Cytoskeleton; Nucleus; Phosphoprotein; Repeat</t>
  </si>
  <si>
    <t>intrinsic apoptotic signaling pathway in response to DNA damage {GO:0008630}; intrinsic apoptotic signaling pathway in response to oxidative stress {GO:0008631}; negative regulation of inflammatory response {GO:0050728}; negative regulation of NIK/NF-kappaB signaling {GO:1901223}; NIK/NF-kappaB signaling {GO:0038061}; positive regulation of apoptotic process {GO:0043065}; positive regulation of cysteine-type endopeptidase activity involved in apoptotic process {GO:0043280}; positive regulation of protein import into nucleus {GO:0042307}; protein import into nucleus {GO:0006606}; response to UV {GO:0009411}</t>
  </si>
  <si>
    <t>apoptosome {GO:0043293}; cytoplasm {GO:0005737}; cytoskeleton {GO:0005856}; cytosol {GO:0005829}; membrane {GO:0016020}; nuclear envelope {GO:0005635}; nucleoplasm {GO:0005654}; nucleus {GO:0005634}; perinuclear region of cytoplasm {GO:0048471}</t>
  </si>
  <si>
    <t>sp|Q8BH04|PCKGM_MOUSE</t>
  </si>
  <si>
    <t>Phosphoenolpyruvate carboxykinase [GTP], mitochondrial (PEPCK-M)</t>
  </si>
  <si>
    <t>PCKGM_MOUSE</t>
  </si>
  <si>
    <t>Q8BH04</t>
  </si>
  <si>
    <t>Q8BMM9; Q91Z10</t>
  </si>
  <si>
    <t>MGI:1860456</t>
  </si>
  <si>
    <t>Acetylation; Decarboxylase; Gluconeogenesis; GTP-binding; Lyase; Manganese; Metal-binding; Mitochondrion; Nucleotide-binding; Phosphoprotein; Transit peptide</t>
  </si>
  <si>
    <t>Gluconeogenesis</t>
  </si>
  <si>
    <t>cellular response to dexamethasone stimulus {GO:0071549}; cellular response to glucose stimulus {GO:0071333}; cellular response to insulin stimulus {GO:0032869}; gluconeogenesis {GO:0006094}; glycerol biosynthetic process from pyruvate {GO:0046327}; hepatocyte differentiation {GO:0070365}; NADH oxidation {GO:0006116}; oxaloacetate metabolic process {GO:0006107}; positive regulation of insulin secretion {GO:0032024}; propionate catabolic process {GO:0019543}; pyruvate metabolic process {GO:0006090}; response to lipid {GO:0033993}; response to starvation {GO:0042594}</t>
  </si>
  <si>
    <t>GTP binding {GO:0005525}; manganese ion binding {GO:0030145}; phosphoenolpyruvate carboxykinase (GTP) activity {GO:0004613}; phosphoenolpyruvate carboxykinase activity {GO:0004611}</t>
  </si>
  <si>
    <t>sp|Q8BYH7|TBC17_MOUSE</t>
  </si>
  <si>
    <t>TBC1 domain family member 17</t>
  </si>
  <si>
    <t>TBC17_MOUSE</t>
  </si>
  <si>
    <t>Q8BYH7</t>
  </si>
  <si>
    <t>Q3TCA5</t>
  </si>
  <si>
    <t>MGI:2449973</t>
  </si>
  <si>
    <t>Autophagy; Cytoplasmic vesicle; GTPase activation; Phosphoprotein; Protein transport; Transport</t>
  </si>
  <si>
    <t>activation of GTPase activity {GO:0090630}; autophagy {GO:0006914}; protein transport {GO:0015031}; retrograde transport, endosome to Golgi {GO:0042147}</t>
  </si>
  <si>
    <t>autophagosome {GO:0005776}; cytoplasmic vesicle {GO:0031410}; cytosol {GO:0005829}</t>
  </si>
  <si>
    <t>sp|Q9WTN0|GGPPS_MOUSE</t>
  </si>
  <si>
    <t>Geranylgeranyl pyrophosphate synthase (GGPP synthase; GGPPSase)</t>
  </si>
  <si>
    <t>(2E,6E)-farnesyl diphosphate synthase; Dimethylallyltranstransferase; Farnesyl diphosphate synthase; Farnesyltranstransferase; Geranylgeranyl diphosphate synthase; Geranyltranstransferase</t>
  </si>
  <si>
    <t>GGPPS_MOUSE</t>
  </si>
  <si>
    <t>Q9WTN0</t>
  </si>
  <si>
    <t>MGI:1341724</t>
  </si>
  <si>
    <t>Acetylation; Cytoplasm; Isoprene biosynthesis; Lipid metabolism; Magnesium; Metal-binding; Transferase</t>
  </si>
  <si>
    <t>Isoprene biosynthesis; Lipid metabolism</t>
  </si>
  <si>
    <t>farnesyl diphosphate biosynthetic process {GO:0045337}; geranyl diphosphate biosynthetic process {GO:0033384}; geranylgeranyl diphosphate biosynthetic process {GO:0033386}; isoprenoid biosynthetic process {GO:0008299}; isoprenoid metabolic process {GO:0006720}</t>
  </si>
  <si>
    <t>cytoplasm {GO:0005737}; cytosol {GO:0005829}; nucleoplasm {GO:0005654}; perinuclear region of cytoplasm {GO:0048471}; Z disc {GO:0030018}</t>
  </si>
  <si>
    <t>dimethylallyltranstransferase activity {GO:0004161}; farnesyltranstransferase activity {GO:0004311}; geranyltranstransferase activity {GO:0004337}; identical protein binding {GO:0042802}; metal ion binding {GO:0046872}; prenyltransferase activity {GO:0004659}</t>
  </si>
  <si>
    <t>Isoprenoid biosynthesis; geranylgeranyl diphosphate biosynthesis; geranylgeranyl diphosphate from farnesyl diphosphate and isopentenyl diphosphate: step 1/1.</t>
  </si>
  <si>
    <t>sp|Q9WV03|FA50A_MOUSE</t>
  </si>
  <si>
    <t>Protein FAM50A</t>
  </si>
  <si>
    <t>Protein XAP-5</t>
  </si>
  <si>
    <t>FA50A_MOUSE</t>
  </si>
  <si>
    <t>Q9WV03</t>
  </si>
  <si>
    <t>Q9D866</t>
  </si>
  <si>
    <t>D0HXS9928E; Xap5</t>
  </si>
  <si>
    <t>MGI:1351626</t>
  </si>
  <si>
    <t>Acetylation; Isopeptide bond; mRNA processing; mRNA splicing; Nucleus; Ubl conjugation</t>
  </si>
  <si>
    <t>chromatin organization {GO:0006325}; mRNA processing {GO:0006397}; regulation of RNA splicing {GO:0043484}; RNA splicing {GO:0008380}</t>
  </si>
  <si>
    <t>sp|P58771|TPM1_MOUSE</t>
  </si>
  <si>
    <t>Tropomyosin alpha-1 chain</t>
  </si>
  <si>
    <t>Alpha-tropomyosin; Tropomyosin-1</t>
  </si>
  <si>
    <t>TPM1_MOUSE</t>
  </si>
  <si>
    <t>P58771</t>
  </si>
  <si>
    <t>P02558; P19354; P46902; P99034</t>
  </si>
  <si>
    <t>Tpm-1; Tpma</t>
  </si>
  <si>
    <t>MGI:98809</t>
  </si>
  <si>
    <t>3D-structure; Acetylation; Actin-binding; Alternative splicing; Coiled coil; Cytoplasm; Cytoskeleton; Muscle protein; Phosphoprotein</t>
  </si>
  <si>
    <t>actin filament capping {GO:0051693}; actin filament organization {GO:0007015}; cardiac muscle contraction {GO:0060048}; in utero embryonic development {GO:0001701}; muscle contraction {GO:0006936}; muscle filament sliding {GO:0030049}; negative regulation of cell migration {GO:0030336}; negative regulation of vascular associated smooth muscle cell migration {GO:1904753}; negative regulation of vascular associated smooth muscle cell proliferation {GO:1904706}; positive regulation of ATP-dependent activity {GO:0032781}; positive regulation of cell adhesion {GO:0045785}; positive regulation of heart rate by epinephrine {GO:0003065}; positive regulation of stress fiber assembly {GO:0051496}; regulation of ATP-dependent activity {GO:0043462}; regulation of cell shape {GO:0008360}; ruffle organization {GO:0031529}; sarcomere organization {GO:0045214}; ventricular cardiac muscle tissue morphogenesis {GO:0055010}; wound healing {GO:0042060}</t>
  </si>
  <si>
    <t>actin cytoskeleton {GO:0015629}; actin filament {GO:0005884}; bleb {GO:0032059}; cytoplasm {GO:0005737}; cytosol {GO:0005829}; muscle thin filament tropomyosin {GO:0005862}; myofibril {GO:0030016}; protein-containing complex {GO:0032991}; ruffle membrane {GO:0032587}; stress fiber {GO:0001725}</t>
  </si>
  <si>
    <t>actin binding {GO:0003779}; actin filament binding {GO:0051015}; cytoskeletal protein binding {GO:0008092}; disordered domain specific binding {GO:0097718}; identical protein binding {GO:0042802}; protein heterodimerization activity {GO:0046982}; protein homodimerization activity {GO:0042803}; protein N-terminus binding {GO:0047485}; structural constituent of cytoskeleton {GO:0005200}</t>
  </si>
  <si>
    <t>sp|Q8CCF0|PRP31_MOUSE</t>
  </si>
  <si>
    <t>U4/U6 small nuclear ribonucleoprotein Prp31</t>
  </si>
  <si>
    <t>Pre-mRNA-processing factor 31; U4/U6 snRNP 61 kDa protein (Protein 61K)</t>
  </si>
  <si>
    <t>PRP31_MOUSE</t>
  </si>
  <si>
    <t>Q8CCF0</t>
  </si>
  <si>
    <t>E9QPM6; Q6P7X2; Q8BQ91; Q8C8U4; Q8C8V5; Q8CCG6; Q8CF52; Q8VBW3</t>
  </si>
  <si>
    <t>Prp31</t>
  </si>
  <si>
    <t>MGI:1916238</t>
  </si>
  <si>
    <t>mRNA splicing, via spliceosome {GO:0000398}; ribonucleoprotein complex localization {GO:0071166}; spliceosomal tri-snRNP complex assembly {GO:0000244}</t>
  </si>
  <si>
    <t>Cajal body {GO:0015030}; MLL1 complex {GO:0071339}; nuclear speck {GO:0016607}; nucleoplasm {GO:0005654}; nucleus {GO:0005634}; precatalytic spliceosome {GO:0071011}; spliceosomal tri-snRNP complex {GO:0097526}; U2-type precatalytic spliceosome {GO:0071005}; U4 snRNP {GO:0005687}; U4/U6 x U5 tri-snRNP complex {GO:0046540}; U4atac snRNP {GO:0005690}</t>
  </si>
  <si>
    <t>identical protein binding {GO:0042802}; ribonucleoprotein complex binding {GO:0043021}; snRNP binding {GO:0070990}; U4 snRNA binding {GO:0030621}; U4atac snRNA binding {GO:0030622}</t>
  </si>
  <si>
    <t>sp|Q6ZWQ7|SPCS3_MOUSE</t>
  </si>
  <si>
    <t>sp|Q91ZW2|OFUT1_MOUSE</t>
  </si>
  <si>
    <t>GDP-fucose protein O-fucosyltransferase 1</t>
  </si>
  <si>
    <t>Peptide-O-fucosyltransferase 1 (O-FucT-1)</t>
  </si>
  <si>
    <t>OFUT1_MOUSE</t>
  </si>
  <si>
    <t>Q91ZW2</t>
  </si>
  <si>
    <t>Q3V1R0; Q8C8R4</t>
  </si>
  <si>
    <t>MGI:2153207</t>
  </si>
  <si>
    <t>3D-structure; Carbohydrate metabolism; Disulfide bond; Endoplasmic reticulum; Fucose metabolism; Glycoprotein; Glycosyltransferase; Manganese; Notch signaling pathway; Signal; Transferase</t>
  </si>
  <si>
    <t>Carbohydrate metabolism; Fucose metabolism; Notch signaling pathway</t>
  </si>
  <si>
    <t>Manganese</t>
  </si>
  <si>
    <t>angiogenesis {GO:0001525}; fucose metabolic process {GO:0006004}; heart development {GO:0007507}; nervous system development {GO:0007399}; Notch signaling pathway {GO:0007219}; protein O-linked fucosylation {GO:0036066}; protein O-linked glycosylation {GO:0006493}; regulation of Notch signaling pathway {GO:0008593}; somitogenesis {GO:0001756}</t>
  </si>
  <si>
    <t>endoplasmic reticulum {GO:0005783}; membrane {GO:0016020}</t>
  </si>
  <si>
    <t>sp|Q9DC50|OCTC_MOUSE</t>
  </si>
  <si>
    <t>Peroxisomal carnitine O-octanoyltransferase (COT)</t>
  </si>
  <si>
    <t>OCTC_MOUSE</t>
  </si>
  <si>
    <t>Q9DC50</t>
  </si>
  <si>
    <t>Q921I4</t>
  </si>
  <si>
    <t>Cot</t>
  </si>
  <si>
    <t>MGI:1921364</t>
  </si>
  <si>
    <t>3D-structure; Acetylation; Acyltransferase; Fatty acid metabolism; Lipid metabolism; Peroxisome; Transferase; Transport</t>
  </si>
  <si>
    <t>carnitine metabolic process {GO:0009437}; coenzyme A metabolic process {GO:0015936}; fatty acid beta-oxidation {GO:0006635}; fatty acid metabolic process {GO:0006631}; fatty acid transport {GO:0015908}; generation of precursor metabolites and energy {GO:0006091}; medium-chain fatty acid metabolic process {GO:0051791}; response to xenobiotic stimulus {GO:0009410}</t>
  </si>
  <si>
    <t>intracellular membrane-bounded organelle {GO:0043231}; mitochondrion {GO:0005739}; peroxisome {GO:0005777}</t>
  </si>
  <si>
    <t>carnitine O-octanoyltransferase activity {GO:0008458}</t>
  </si>
  <si>
    <t>Beta-oxidation of pristanoyl-CoA {R-MMU-389887}; Peroxisomal protein import {R-MMU-9033241}</t>
  </si>
  <si>
    <t>sp|P16951|ATF2_MOUSE</t>
  </si>
  <si>
    <t>Cyclic AMP-dependent transcription factor ATF-2 (cAMP-dependent transcription factor ATF-2)</t>
  </si>
  <si>
    <t>Activating transcription factor 2; MXBP protein; cAMP response element-binding protein CRE-BP1</t>
  </si>
  <si>
    <t>ATF2_MOUSE</t>
  </si>
  <si>
    <t>P16951</t>
  </si>
  <si>
    <t>Q64089; Q64090; Q64091</t>
  </si>
  <si>
    <t>MGI:109349</t>
  </si>
  <si>
    <t>Acetylation; Activator; Alternative splicing; Cytoplasm; DNA damage; DNA-binding; Membrane; Metal-binding; Mitochondrion; Mitochondrion outer membrane; Nucleus; Phosphoprotein; Transcription; Transcription regulation; Zinc; Zinc-finger</t>
  </si>
  <si>
    <t>Cytoplasm; Membrane; Mitochondrion; Mitochondrion outer membrane; Nucleus</t>
  </si>
  <si>
    <t>abducens nucleus development {GO:0021742}; adipose tissue development {GO:0060612}; amelogenesis {GO:0097186}; apoptotic process {GO:0006915}; apoptotic process involved in development {GO:1902742}; BMP signaling pathway {GO:0030509}; brainstem development {GO:0003360}; cellular lipid metabolic process {GO:0044255}; cellular response to anisomycin {GO:0072740}; cellular response to DNA damage stimulus {GO:0006974}; cellular response to leucine starvation {GO:1990253}; cellular response to oxidative stress {GO:0034599}; cellular response to virus {GO:0098586}; detection of cell density {GO:0060245}; facial nucleus development {GO:0021754}; gene expression {GO:0010467}; growth plate cartilage chondrocyte differentiation {GO:0003418}; growth plate cartilage chondrocyte proliferation {GO:0003419}; heart development {GO:0007507}; hematopoietic progenitor cell differentiation {GO:0002244}; hepatocyte apoptotic process {GO:0097284}; histone H2B acetylation {GO:0043969}; histone H4 acetylation {GO:0043967}; hypoglossal nucleus development {GO:0021743}; in utero embryonic development {GO:0001701}; intrinsic apoptotic signaling pathway in response to hypoxia {GO:1990144}; JNK cascade {GO:0007254}; liver development {GO:0001889}; MAPK cascade {GO:0000165}; mitotic intra-S DNA damage checkpoint signaling {GO:0031573}; motor neuron apoptotic process {GO:0097049}; mRNA transcription by RNA polymerase II {GO:0042789}; negative regulation of angiogenesis {GO:0016525}; negative regulation of epithelial cell proliferation {GO:0050680}; negative regulation of transcription by RNA polymerase II {GO:0000122}; neurofilament cytoskeleton organization {GO:0060052}; NK T cell differentiation {GO:0001865}; outflow tract morphogenesis {GO:0003151}; p38MAPK cascade {GO:0038066}; peptidyl-threonine phosphorylation {GO:0018107}; positive regulation of cardiac muscle myoblast proliferation {GO:0110024}; positive regulation of DNA-binding transcription factor activity {GO:0051091}; positive regulation of gene expression {GO:0010628}; positive regulation of mitochondrial membrane permeability involved in apoptotic process {GO:1902110}; positive regulation of neuron apoptotic process {GO:0043525}; positive regulation of protein phosphorylation {GO:0001934}; positive regulation of transcription by RNA polymerase II {GO:0045944}; positive regulation of transcription from RNA polymerase II promoter involved in cellular response to chemical stimulus {GO:1901522}; positive regulation of transforming growth factor beta2 production {GO:0032915}; protein import into nucleus {GO:0006606}; regulation of DNA-templated transcription {GO:0006355}; regulation of transcription by RNA polymerase II {GO:0006357}; response to organic cyclic compound {GO:0014070}; response to osmotic stress {GO:0006970}; response to water deprivation {GO:0009414}; vacuole organization {GO:0007033}; white fat cell differentiation {GO:0050872}</t>
  </si>
  <si>
    <t>CCAAT-binding factor complex {GO:0016602}; chromatin {GO:0000785}; cytoplasm {GO:0005737}; H4 histone acetyltransferase complex {GO:1902562}; membrane {GO:0016020}; mitochondrial outer membrane {GO:0005741}; nucleoplasm {GO:0005654}; nucleus {GO:0005634}; RNA polymerase II transcription regulator complex {GO:0090575}; site of double-strand break {GO:0035861}</t>
  </si>
  <si>
    <t>cAMP response element binding {GO:0035497}; cAMP response element binding protein binding {GO:0008140}; chromatin binding {GO:0003682}; cis-regulatory region sequence-specific DNA binding {GO:0000987}; DNA binding {GO:0003677}; DNA-binding transcription activator activity, RNA polymerase II-specific {GO:0001228}; DNA-binding transcription factor activity {GO:0003700}; DNA-binding transcription factor activity, RNA polymerase II-specific {GO:0000981}; H2B histone acetyltransferase activity {GO:0044013}; H4 histone acetyltransferase activity {GO:0010485}; identical protein binding {GO:0042802}; leucine zipper domain binding {GO:0043522}; metal ion binding {GO:0046872}; promoter-specific chromatin binding {GO:1990841}; protein heterodimerization activity {GO:0046982}; protein homodimerization activity {GO:0042803}; protein kinase binding {GO:0019901}; protein-containing complex binding {GO:0044877}; RNA polymerase II cis-regulatory region sequence-specific DNA binding {GO:0000978}; RNA polymerase II transcription regulatory region sequence-specific DNA binding {GO:0000977}; RNA polymerase II-specific DNA-binding transcription factor binding {GO:0061629}; sequence-specific DNA binding {GO:0043565}; sequence-specific double-stranded DNA binding {GO:1990837}</t>
  </si>
  <si>
    <t>HATs acetylate histones {R-MMU-3214847}; Activation of the AP-1 family of transcription factors {R-MMU-450341}</t>
  </si>
  <si>
    <t>sp|Q91ZV0|MIA2_MOUSE</t>
  </si>
  <si>
    <t>Melanoma inhibitory activity protein 2</t>
  </si>
  <si>
    <t>CTAGE family member 5 ER export factor</t>
  </si>
  <si>
    <t>MIA2_MOUSE</t>
  </si>
  <si>
    <t>Q91ZV0</t>
  </si>
  <si>
    <t>Q8CIE3; Q8R311</t>
  </si>
  <si>
    <t>MGI:2159614</t>
  </si>
  <si>
    <t>Alternative splicing; Coiled coil; Endoplasmic reticulum; Glycoprotein; Membrane; SH3 domain; Signal; Transmembrane; Transmembrane helix</t>
  </si>
  <si>
    <t>cholesterol homeostasis {GO:0042632}; endoplasmic reticulum to Golgi vesicle-mediated transport {GO:0006888}; lipoprotein transport {GO:0042953}; protein exit from endoplasmic reticulum {GO:0032527}; protein localization to endoplasmic reticulum exit site {GO:0070973}; protein secretion {GO:0009306}; triglyceride homeostasis {GO:0070328}; vesicle cargo loading {GO:0035459}</t>
  </si>
  <si>
    <t>endoplasmic reticulum {GO:0005783}; endoplasmic reticulum exit site {GO:0070971}; endoplasmic reticulum membrane {GO:0005789}; integral component of membrane {GO:0016021}</t>
  </si>
  <si>
    <t>Cargo concentration in the ER {R-MMU-5694530}</t>
  </si>
  <si>
    <t>sp|P62748|HPCL1_MOUSE</t>
  </si>
  <si>
    <t>Hippocalcin-like protein 1</t>
  </si>
  <si>
    <t>Neural visinin-like protein 3 (NVL-3; NVP-3); Visinin-like protein 3 (VILIP-3)</t>
  </si>
  <si>
    <t>HPCL1_MOUSE</t>
  </si>
  <si>
    <t>P62748</t>
  </si>
  <si>
    <t>P35333</t>
  </si>
  <si>
    <t>MGI:1855689</t>
  </si>
  <si>
    <t>Calcium; Lipoprotein; Membrane; Metal-binding; Myristate; Repeat</t>
  </si>
  <si>
    <t>sp|Q9D0A3|ARPIN_MOUSE</t>
  </si>
  <si>
    <t>Arpin</t>
  </si>
  <si>
    <t>Arp2/3 inhibition protein</t>
  </si>
  <si>
    <t>ARPIN_MOUSE</t>
  </si>
  <si>
    <t>Q9D0A3</t>
  </si>
  <si>
    <t>Q3U1F3; Q8CA84</t>
  </si>
  <si>
    <t>MGI:1917670</t>
  </si>
  <si>
    <t>directional locomotion {GO:0033058}; negative regulation of actin nucleation {GO:0051126}; negative regulation of cell migration {GO:0030336}; negative regulation of lamellipodium morphogenesis {GO:2000393}</t>
  </si>
  <si>
    <t>lamellipodium {GO:0030027}</t>
  </si>
  <si>
    <t>sp|Q3UYC0|PPM1H_MOUSE</t>
  </si>
  <si>
    <t>Protein phosphatase 1H</t>
  </si>
  <si>
    <t>PPM1H_MOUSE</t>
  </si>
  <si>
    <t>Q3UYC0</t>
  </si>
  <si>
    <t>Q3UD05; Q3V3H5; Q3V3Y7; Q571C9; Q7TMU7; Q8BYE6</t>
  </si>
  <si>
    <t>Kiaa1157</t>
  </si>
  <si>
    <t>MGI:2442087</t>
  </si>
  <si>
    <t>Alternative splicing; Cytoplasm; Hydrolase; Methylation; Nucleus; Phosphoprotein; Protein phosphatase</t>
  </si>
  <si>
    <t>protein dephosphorylation {GO:0006470}</t>
  </si>
  <si>
    <t>cytoplasm {GO:0005737}; glutamatergic synapse {GO:0098978}; nucleoplasm {GO:0005654}; nucleus {GO:0005634}; synapse {GO:0045202}</t>
  </si>
  <si>
    <t>identical protein binding {GO:0042802}; myosin phosphatase activity {GO:0017018}; phosphoprotein phosphatase activity {GO:0004721}</t>
  </si>
  <si>
    <t>sp|Q9JI46|NUDT3_MOUSE</t>
  </si>
  <si>
    <t>Diphosphoinositol polyphosphate phosphohydrolase 1 (DIPP-1; muDIPP1)</t>
  </si>
  <si>
    <t>Diadenosine 5',5'''-P1,P6-hexaphosphate hydrolase 1; Nucleoside diphosphate-linked moiety X motif 3 (Nudix motif 3)</t>
  </si>
  <si>
    <t>NUDT3_MOUSE</t>
  </si>
  <si>
    <t>Q9JI46</t>
  </si>
  <si>
    <t>B2KF68; Q6PG02; Q8BV71</t>
  </si>
  <si>
    <t>Dipp; Dipp1</t>
  </si>
  <si>
    <t>MGI:1928484</t>
  </si>
  <si>
    <t>Acetylation; Cytoplasm; Hydrolase; Magnesium; Metal-binding</t>
  </si>
  <si>
    <t>adenosine 5'-(hexahydrogen pentaphosphate) catabolic process {GO:1901911}; diadenosine hexaphosphate catabolic process {GO:1901909}; diadenosine pentaphosphate catabolic process {GO:1901907}; diphosphoinositol polyphosphate catabolic process {GO:0071544}; diphosphoinositol polyphosphate metabolic process {GO:0071543}; RNA decapping {GO:0110154}</t>
  </si>
  <si>
    <t>bis(5'-adenosyl)-hexaphosphatase activity {GO:0034431}; bis(5'-adenosyl)-pentaphosphatase activity {GO:0034432}; diphosphoinositol-polyphosphate diphosphatase activity {GO:0008486}; endopolyphosphatase activity {GO:0000298}; inositol diphosphate pentakisphosphate diphosphatase activity {GO:0052842}; inositol diphosphate tetrakisphosphate diphosphatase activity {GO:0052840}; m7G(5')pppN diphosphatase activity {GO:0050072}; magnesium ion binding {GO:0000287}</t>
  </si>
  <si>
    <t>sp|Q61189|ICLN_MOUSE</t>
  </si>
  <si>
    <t>Methylosome subunit pICln</t>
  </si>
  <si>
    <t>Chloride channel, nucleotide sensitive 1A; Chloride conductance regulatory protein ICln (I(Cln)); Chloride ion current inducer protein (ClCI)</t>
  </si>
  <si>
    <t>ICLN_MOUSE</t>
  </si>
  <si>
    <t>Q61189</t>
  </si>
  <si>
    <t>Clci; Clcni</t>
  </si>
  <si>
    <t>MGI:109638</t>
  </si>
  <si>
    <t>Acetylation; Cytoplasm; Cytoskeleton; mRNA processing; mRNA splicing; Nucleus; Phosphoprotein</t>
  </si>
  <si>
    <t>cell volume homeostasis {GO:0006884}; chloride transport {GO:0006821}; histone H4-R3 methylation {GO:0043985}; mRNA cis splicing, via spliceosome {GO:0045292}; negative regulation of cell volume {GO:0045794}; positive regulation of mRNA splicing, via spliceosome {GO:0048026}; spliceosomal snRNP assembly {GO:0000387}</t>
  </si>
  <si>
    <t>cytoskeleton {GO:0005856}; cytosol {GO:0005829}; methylosome {GO:0034709}; nucleoplasm {GO:0005654}; nucleus {GO:0005634}; pICln-Sm protein complex {GO:0034715}; plasma membrane {GO:0005886}; spliceosomal complex {GO:0005681}</t>
  </si>
  <si>
    <t>sp|Q8K3G9|DP13B_MOUSE</t>
  </si>
  <si>
    <t>DCC-interacting protein 13-beta (Dip13-beta)</t>
  </si>
  <si>
    <t>Adapter protein containing PH domain, PTB domain and leucine zipper motif 2</t>
  </si>
  <si>
    <t>DP13B_MOUSE</t>
  </si>
  <si>
    <t>Q8K3G9</t>
  </si>
  <si>
    <t>Q99LT7</t>
  </si>
  <si>
    <t>MGI:2384914</t>
  </si>
  <si>
    <t>Cell cycle; Cell membrane; Cell projection; Cytoplasm; Cytoplasmic vesicle; Endosome; Membrane; Nucleus</t>
  </si>
  <si>
    <t>Cell membrane; Cell projection; Cytoplasm; Cytoplasmic vesicle; Endosome; Membrane; Nucleus</t>
  </si>
  <si>
    <t>adiponectin-activated signaling pathway {GO:0033211}; cell cycle {GO:0007049}; cell population proliferation {GO:0008283}; cellular response to hepatocyte growth factor stimulus {GO:0035729}; cold acclimation {GO:0009631}; diet induced thermogenesis {GO:0002024}; glucose homeostasis {GO:0042593}; negative regulation of cellular response to insulin stimulus {GO:1900077}; negative regulation of cytokine production involved in inflammatory response {GO:1900016}; negative regulation of fatty acid oxidation {GO:0046322}; negative regulation of glucose import {GO:0046325}; negative regulation of neural precursor cell proliferation {GO:2000178}; negative regulation of neurogenesis {GO:0050768}; positive regulation of cold-induced thermogenesis {GO:0120162}; positive regulation of Fc-gamma receptor signaling pathway involved in phagocytosis {GO:1905451}; positive regulation of macropinocytosis {GO:1905303}; positive regulation of phagocytosis, engulfment {GO:0060100}; protein homotetramerization {GO:0051289}; protein import into nucleus {GO:0006606}; regulation of fibroblast migration {GO:0010762}; regulation of G1/S transition of mitotic cell cycle {GO:2000045}; regulation of innate immune response {GO:0045088}; regulation of toll-like receptor 4 signaling pathway {GO:0034143}; signaling {GO:0023052}; transforming growth factor beta receptor signaling pathway {GO:0007179}</t>
  </si>
  <si>
    <t>cytoplasm {GO:0005737}; cytoplasmic vesicle {GO:0031410}; early endosome membrane {GO:0031901}; early phagosome {GO:0032009}; early phagosome membrane {GO:0036186}; endosome {GO:0005768}; endosome membrane {GO:0010008}; macropinosome {GO:0044354}; membrane {GO:0016020}; nucleus {GO:0005634}; plasma membrane {GO:0005886}; ruffle {GO:0001726}; ruffle membrane {GO:0032587}; vesicle {GO:0031982}</t>
  </si>
  <si>
    <t>identical protein binding {GO:0042802}; phosphatidylinositol binding {GO:0035091}; phosphatidylserine binding {GO:0001786}; protein homodimerization activity {GO:0042803}; protein-containing complex binding {GO:0044877}; small GTPase binding {GO:0031267}</t>
  </si>
  <si>
    <t>sp|Q9CYP7|SESN3_MOUSE</t>
  </si>
  <si>
    <t>Sestrin-3</t>
  </si>
  <si>
    <t>SESN3_MOUSE</t>
  </si>
  <si>
    <t>Q9CYP7</t>
  </si>
  <si>
    <t>Q3U2A0</t>
  </si>
  <si>
    <t>MGI:1922997</t>
  </si>
  <si>
    <t>Cytoplasm; Oxidoreductase</t>
  </si>
  <si>
    <t>cellular response to amino acid starvation {GO:0034198}; cellular response to amino acid stimulus {GO:0071230}; cellular response to glucose starvation {GO:0042149}; cellular response to leucine {GO:0071233}; cellular response to leucine starvation {GO:1990253}; glucose homeostasis {GO:0042593}; negative regulation of TORC1 signaling {GO:1904262}; positive regulation of macroautophagy {GO:0016239}; regulation of insulin receptor signaling pathway {GO:0046626}; regulation of protein kinase B signaling {GO:0051896}; regulation of response to reactive oxygen species {GO:1901031}; response to insulin {GO:0032868}; TORC2 signaling {GO:0038203}</t>
  </si>
  <si>
    <t>cytoplasm {GO:0005737}; GATOR2 complex {GO:0061700}; nucleus {GO:0005634}</t>
  </si>
  <si>
    <t>leucine binding {GO:0070728}; oxidoreductase activity, acting on peroxide as acceptor {GO:0016684}</t>
  </si>
  <si>
    <t>TP53 Regulates Metabolic Genes {R-MMU-5628897}</t>
  </si>
  <si>
    <t>sp|Q8BVE3|VATH_MOUSE</t>
  </si>
  <si>
    <t>V-type proton ATPase subunit H (V-ATPase subunit H)</t>
  </si>
  <si>
    <t>Vacuolar proton pump subunit H</t>
  </si>
  <si>
    <t>VATH_MOUSE</t>
  </si>
  <si>
    <t>Q8BVE3</t>
  </si>
  <si>
    <t>Q921X8</t>
  </si>
  <si>
    <t>MGI:1914864</t>
  </si>
  <si>
    <t>Cytoplasmic vesicle; Hydrogen ion transport; Ion transport; Membrane; Phosphoprotein; Transport</t>
  </si>
  <si>
    <t>clathrin-coated vesicle membrane {GO:0030665}; membrane {GO:0016020}; vacuolar proton-transporting V-type ATPase, V1 domain {GO:0000221}</t>
  </si>
  <si>
    <t>sp|Q9JLM8|DCLK1_MOUSE</t>
  </si>
  <si>
    <t>Serine/threonine-protein kinase DCLK1</t>
  </si>
  <si>
    <t>Doublecortin-like and CAM kinase-like 1; Doublecortin-like kinase 1</t>
  </si>
  <si>
    <t>DCLK1_MOUSE</t>
  </si>
  <si>
    <t>Q9JLM8</t>
  </si>
  <si>
    <t>Q6P207</t>
  </si>
  <si>
    <t>Dcamkl1; Dclk</t>
  </si>
  <si>
    <t>MGI:1330861</t>
  </si>
  <si>
    <t>Alternative splicing; ATP-binding; Developmental protein; Differentiation; Kinase; Neurogenesis; Nucleotide-binding; Phosphoprotein; Repeat; Serine/threonine-protein kinase; Transferase</t>
  </si>
  <si>
    <t>axon extension {GO:0048675}; axonogenesis {GO:0007409}; brain development {GO:0007420}; central nervous system projection neuron axonogenesis {GO:0021952}; dendrite morphogenesis {GO:0048813}; forebrain development {GO:0030900}; intracellular signal transduction {GO:0035556}; negative regulation of protein localization to nucleus {GO:1900181}; neuron migration {GO:0001764}; neuron projection morphogenesis {GO:0048812}; peptidyl-serine phosphorylation {GO:0018105}; protein localization to nucleus {GO:0034504}; protein phosphorylation {GO:0006468}; response to virus {GO:0009615}</t>
  </si>
  <si>
    <t>axon {GO:0030424}; growth cone {GO:0030426}; postsynaptic density {GO:0014069}</t>
  </si>
  <si>
    <t>sp|O54724|CAVN1_MOUSE</t>
  </si>
  <si>
    <t>Caveolae-associated protein 1</t>
  </si>
  <si>
    <t>Cav-p60; Cavin-1; Polymerase I and transcript release factor</t>
  </si>
  <si>
    <t>CAVN1_MOUSE</t>
  </si>
  <si>
    <t>O54724</t>
  </si>
  <si>
    <t>Q2TAW6</t>
  </si>
  <si>
    <t>Ptrf</t>
  </si>
  <si>
    <t>MGI:1277968</t>
  </si>
  <si>
    <t>3D-structure; Acetylation; Cell membrane; Coiled coil; Cytoplasm; Endoplasmic reticulum; Isopeptide bond; Membrane; Microsome; Mitochondrion; Nucleus; Phosphoprotein; Repeat; RNA-binding; rRNA-binding; Transcription; Transcription regulation; Transcription termination; Ubl conjugation</t>
  </si>
  <si>
    <t>Cell membrane; Cytoplasm; Endoplasmic reticulum; Membrane; Microsome; Mitochondrion; Nucleus</t>
  </si>
  <si>
    <t>RNA-binding; rRNA-binding</t>
  </si>
  <si>
    <t>positive regulation of cell motility {GO:2000147}; protein secretion {GO:0009306}; rRNA transcription {GO:0009303}; termination of RNA polymerase I transcription {GO:0006363}; transcription initiation at RNA polymerase I promoter {GO:0006361}</t>
  </si>
  <si>
    <t>caveola {GO:0005901}; cytoplasm {GO:0005737}; cytosol {GO:0005829}; endoplasmic reticulum {GO:0005783}; intracellular membrane-bounded organelle {GO:0043231}; membrane raft {GO:0045121}; mitochondrion {GO:0005739}; nucleus {GO:0005634}; plasma membrane {GO:0005886}; protein-containing complex {GO:0032991}</t>
  </si>
  <si>
    <t>identical protein binding {GO:0042802}; rRNA primary transcript binding {GO:0042134}</t>
  </si>
  <si>
    <t>RNA Polymerase I Transcription Termination {R-MMU-73863}; RHOA GTPase cycle {R-MMU-8980692}; RHOB GTPase cycle {R-MMU-9013026}; RHOC GTPase cycle {R-MMU-9013106}</t>
  </si>
  <si>
    <t>sp|Q923U0|TM1L1_MOUSE</t>
  </si>
  <si>
    <t>TOM1-like protein 1</t>
  </si>
  <si>
    <t>Src-activating and signaling molecule protein; Target of Myb-like protein 1</t>
  </si>
  <si>
    <t>TM1L1_MOUSE</t>
  </si>
  <si>
    <t>Q923U0</t>
  </si>
  <si>
    <t>B0QZV4; Q5SRC7; Q5SRC9; Q99KE0; Q9D6Y5</t>
  </si>
  <si>
    <t>Srcasm</t>
  </si>
  <si>
    <t>MGI:1919193</t>
  </si>
  <si>
    <t>Alternative splicing; Cytoplasm; Endosome; Golgi apparatus; Membrane; Phosphoprotein; Protein transport; SH3-binding; Transport</t>
  </si>
  <si>
    <t>Cytoplasm; Endosome; Golgi apparatus; Membrane</t>
  </si>
  <si>
    <t>activation of protein kinase activity {GO:0032147}; negative regulation of mitotic nuclear division {GO:0045839}; positive regulation of protein autophosphorylation {GO:0031954}; protein transport {GO:0015031}; signal transduction {GO:0007165}; transmembrane receptor protein tyrosine kinase signaling pathway {GO:0007169}</t>
  </si>
  <si>
    <t>cytoplasm {GO:0005737}; cytosol {GO:0005829}; endosome {GO:0005768}; endosome membrane {GO:0010008}; Golgi stack {GO:0005795}; membrane {GO:0016020}</t>
  </si>
  <si>
    <t>clathrin binding {GO:0030276}; phosphatidylinositol binding {GO:0035091}; protein kinase activator activity {GO:0030295}; protein kinase binding {GO:0019901}; SH3 domain binding {GO:0017124}; ubiquitin binding {GO:0043130}</t>
  </si>
  <si>
    <t>sp|Q9D5R2|WDR20_MOUSE</t>
  </si>
  <si>
    <t>WD repeat-containing protein 20</t>
  </si>
  <si>
    <t>WDR20_MOUSE</t>
  </si>
  <si>
    <t>Q9D5R2</t>
  </si>
  <si>
    <t>Q80X67; Q9D5L0</t>
  </si>
  <si>
    <t>Wdr20b; Wdr20rt</t>
  </si>
  <si>
    <t>MGI:1918198</t>
  </si>
  <si>
    <t>Acetylation; Phosphoprotein; Repeat; WD repeat</t>
  </si>
  <si>
    <t>sp|O08912|GALT1_MOUSE</t>
  </si>
  <si>
    <t>Polypeptide N-acetylgalactosaminyltransferase 1 soluble form</t>
  </si>
  <si>
    <t>Polypeptide GalNAc transferase 1 (GalNAc-T1; pp-GaNTase 1); Protein-UDP acetylgalactosaminyltransferase 1; UDP-GalNAc:polypeptide N-acetylgalactosaminyltransferase 1</t>
  </si>
  <si>
    <t>GALT1_MOUSE</t>
  </si>
  <si>
    <t>O08912</t>
  </si>
  <si>
    <t>Q5BKS3; Q7TND1</t>
  </si>
  <si>
    <t>MGI:894693</t>
  </si>
  <si>
    <t>3D-structure; Disulfide bond; Glycoprotein; Glycosyltransferase; Golgi apparatus; Lectin; Manganese; Membrane; Metal-binding; Secreted; Signal-anchor; Transferase; Transmembrane; Transmembrane helix</t>
  </si>
  <si>
    <t>protein O-linked glycosylation {GO:0006493}; protein O-linked glycosylation via serine {GO:0018242}; protein O-linked glycosylation via threonine {GO:0018243}</t>
  </si>
  <si>
    <t>extracellular region {GO:0005576}; Golgi apparatus {GO:0005794}; Golgi cisterna membrane {GO:0032580}; integral component of membrane {GO:0016021}; perinuclear region of cytoplasm {GO:0048471}</t>
  </si>
  <si>
    <t>sp|Q6PGG6|GNL3L_MOUSE</t>
  </si>
  <si>
    <t>Guanine nucleotide-binding protein-like 3-like protein</t>
  </si>
  <si>
    <t>GNL3L_MOUSE</t>
  </si>
  <si>
    <t>Q6PGG6</t>
  </si>
  <si>
    <t>MGI:2448557</t>
  </si>
  <si>
    <t>Coiled coil; GTP-binding; Nucleotide-binding; Nucleus; Ribosome biogenesis</t>
  </si>
  <si>
    <t>negative regulation of protein binding {GO:0032091}; negative regulation of protein sumoylation {GO:0033234}; negative regulation of protein ubiquitination {GO:0031397}; negative regulation of telomere maintenance via telomerase {GO:0032211}; positive regulation of protein localization to chromosome, telomeric region {GO:1904816}; positive regulation of protein-containing complex assembly {GO:0031334}; regulation of protein stability {GO:0031647}; ribosome biogenesis {GO:0042254}</t>
  </si>
  <si>
    <t>cytosol {GO:0005829}; nucleolus {GO:0005730}; nucleoplasm {GO:0005654}; telomerase holoenzyme complex {GO:0005697}</t>
  </si>
  <si>
    <t>GTP binding {GO:0005525}</t>
  </si>
  <si>
    <t>sp|Q8K0V4|CNOT3_MOUSE</t>
  </si>
  <si>
    <t>CCR4-NOT transcription complex subunit 3</t>
  </si>
  <si>
    <t>CCR4-associated factor 3</t>
  </si>
  <si>
    <t>CNOT3_MOUSE</t>
  </si>
  <si>
    <t>Q8K0V4</t>
  </si>
  <si>
    <t>B2RUA7</t>
  </si>
  <si>
    <t>Not3</t>
  </si>
  <si>
    <t>MGI:2385261</t>
  </si>
  <si>
    <t>Cytoplasm; Developmental protein; Nucleus; Phosphoprotein; Repressor; RNA-mediated gene silencing; Transcription; Transcription regulation; Translation regulation</t>
  </si>
  <si>
    <t>gene silencing by RNA {GO:0031047}; negative regulation of intracellular estrogen receptor signaling pathway {GO:0033147}; nuclear-transcribed mRNA poly(A) tail shortening {GO:0000289}; positive regulation of cold-induced thermogenesis {GO:0120162}; regulation of DNA-templated transcription {GO:0006355}; regulation of stem cell population maintenance {GO:2000036}; trophectodermal cell differentiation {GO:0001829}</t>
  </si>
  <si>
    <t>CCR4-NOT complex {GO:0030014}; CCR4-NOT core complex {GO:0030015}; nucleus {GO:0005634}; P-body {GO:0000932}</t>
  </si>
  <si>
    <t>sp|Q9CSU0|RPR1B_MOUSE</t>
  </si>
  <si>
    <t>Regulation of nuclear pre-mRNA domain-containing protein 1B</t>
  </si>
  <si>
    <t>Cell cycle-related and expression-elevated protein in tumor</t>
  </si>
  <si>
    <t>RPR1B_MOUSE</t>
  </si>
  <si>
    <t>Q9CSU0</t>
  </si>
  <si>
    <t>A2ACF2; A2ACF4; A2ACF5; A2ACF6; Q1WDE6; Q3U8H1; Q3UGH1; Q3USX3; Q6GTJ6</t>
  </si>
  <si>
    <t>Crept</t>
  </si>
  <si>
    <t>MGI:1917720</t>
  </si>
  <si>
    <t>Acetylation; Alternative splicing; Nucleus; Phosphoprotein; Transcription; Transcription regulation</t>
  </si>
  <si>
    <t>dephosphorylation of RNA polymerase II C-terminal domain {GO:0070940}; mRNA 3'-end processing {GO:0031124}; positive regulation of cell population proliferation {GO:0008284}; positive regulation of transcription by RNA polymerase II {GO:0045944}; regulation of cell cycle process {GO:0010564}</t>
  </si>
  <si>
    <t>nucleoplasm {GO:0005654}; nucleus {GO:0005634}; RNA polymerase II, holoenzyme {GO:0016591}</t>
  </si>
  <si>
    <t>identical protein binding {GO:0042802}; RNA polymerase II complex binding {GO:0000993}</t>
  </si>
  <si>
    <t>sp|Q3TGW2|EEPD1_MOUSE</t>
  </si>
  <si>
    <t>Endonuclease/exonuclease/phosphatase family domain-containing protein 1</t>
  </si>
  <si>
    <t>EEPD1_MOUSE</t>
  </si>
  <si>
    <t>Q3TGW2</t>
  </si>
  <si>
    <t>Q69ZC7; Q8K3B5; Q9D7J3</t>
  </si>
  <si>
    <t>Kiaa1706</t>
  </si>
  <si>
    <t>MGI:1914734</t>
  </si>
  <si>
    <t>DNA repair {GO:0006281}; positive regulation of cholesterol efflux {GO:0010875}</t>
  </si>
  <si>
    <t>anchored component of plasma membrane {GO:0046658}</t>
  </si>
  <si>
    <t>sp|Q64378|FKBP5_MOUSE</t>
  </si>
  <si>
    <t>Peptidyl-prolyl cis-trans isomerase FKBP5 (PPIase FKBP5)</t>
  </si>
  <si>
    <t>51 kDa FK506-binding protein (51 kDa FKBP; FKBP-51); FK506-binding protein 5 (FKBP-5); Rotamase</t>
  </si>
  <si>
    <t>FKBP5_MOUSE</t>
  </si>
  <si>
    <t>Q64378</t>
  </si>
  <si>
    <t>Fkbp51</t>
  </si>
  <si>
    <t>MGI:104670</t>
  </si>
  <si>
    <t>Acetylation; Chaperone; Cytoplasm; Isomerase; Nucleus; Phosphoprotein; Repeat; Rotamase; TPR repeat</t>
  </si>
  <si>
    <t>chaperone-mediated protein folding {GO:0061077}; protein peptidyl-prolyl isomerization {GO:0000413}; response to bacterium {GO:0009617}</t>
  </si>
  <si>
    <t>FK506 binding {GO:0005528}; heat shock protein binding {GO:0031072}; peptidyl-prolyl cis-trans isomerase activity {GO:0003755}</t>
  </si>
  <si>
    <t>HSP90 chaperone cycle for steroid hormone receptors (SHR) in the presence of ligand {R-MMU-3371497}; ESR-mediated signaling {R-MMU-8939211}</t>
  </si>
  <si>
    <t>sp|Q2PZL6|FAT4_MOUSE</t>
  </si>
  <si>
    <t>Protocadherin Fat 4</t>
  </si>
  <si>
    <t>FAT tumor suppressor homolog 4; Fat-like cadherin protein FAT-J</t>
  </si>
  <si>
    <t>FAT4_MOUSE</t>
  </si>
  <si>
    <t>Q2PZL6</t>
  </si>
  <si>
    <t>E9QMR9; Q68FE0; Q8BM82; Q8CD68</t>
  </si>
  <si>
    <t>Fatj</t>
  </si>
  <si>
    <t>MGI:3045256</t>
  </si>
  <si>
    <t>Alternative splicing; Calcium; Cell adhesion; Disulfide bond; EGF-like domain; Glycoprotein; Membrane; Phosphoprotein; Repeat; Signal; Transmembrane; Transmembrane helix</t>
  </si>
  <si>
    <t>branching involved in ureteric bud morphogenesis {GO:0001658}; cell-cell adhesion {GO:0098609}; cerebral cortex development {GO:0021987}; condensed mesenchymal cell proliferation {GO:0072137}; digestive tract development {GO:0048565}; establishment of planar polarity {GO:0001736}; fibroblast growth factor receptor signaling pathway {GO:0008543}; heart morphogenesis {GO:0003007}; heterophilic cell-cell adhesion via plasma membrane cell adhesion molecules {GO:0007157}; hippo signaling {GO:0035329}; homophilic cell adhesion via plasma membrane adhesion molecules {GO:0007156}; inner ear receptor cell stereocilium organization {GO:0060122}; kidney development {GO:0001822}; nephron development {GO:0072006}; neurogenesis {GO:0022008}; Notch signaling pathway {GO:0007219}; ossification involved in bone maturation {GO:0043931}; plasma membrane organization {GO:0007009}; regulation of metanephric nephron tubule epithelial cell differentiation {GO:0072307}</t>
  </si>
  <si>
    <t>apical part of cell {GO:0045177}; integral component of membrane {GO:0016021}; plasma membrane {GO:0005886}</t>
  </si>
  <si>
    <t>sp|O55102|BL1S1_MOUSE</t>
  </si>
  <si>
    <t>Biogenesis of lysosome-related organelles complex 1 subunit 1 (BLOC-1 subunit 1)</t>
  </si>
  <si>
    <t>GCN5-like protein 1</t>
  </si>
  <si>
    <t>BL1S1_MOUSE</t>
  </si>
  <si>
    <t>O55102</t>
  </si>
  <si>
    <t>Q9DC96</t>
  </si>
  <si>
    <t>Gcn5l1</t>
  </si>
  <si>
    <t>MGI:1195276</t>
  </si>
  <si>
    <t>Coiled coil; Cytoplasm; Lysosome; Membrane; Mitochondrion</t>
  </si>
  <si>
    <t>Cytoplasm; Lysosome; Membrane; Mitochondrion</t>
  </si>
  <si>
    <t>aerobic respiration {GO:0009060}; anterograde axonal transport {GO:0008089}; anterograde synaptic vesicle transport {GO:0048490}; endosomal transport {GO:0016197}; lysosome localization {GO:0032418}; melanosome organization {GO:0032438}; neuron projection development {GO:0031175}; organelle transport along microtubule {GO:0072384}; peptidyl-lysine acetylation {GO:0018394}; regulation of endosome size {GO:0051036}; regulation of lysosome size {GO:0062196}</t>
  </si>
  <si>
    <t>axon cytoplasm {GO:1904115}; BLOC-1 complex {GO:0031083}; BORC complex {GO:0099078}; cytoplasmic side of lysosomal membrane {GO:0098574}; cytosol {GO:0005829}; early endosome {GO:0005769}; mitochondrial intermembrane space {GO:0005758}; mitochondrial matrix {GO:0005759}; mitochondrion {GO:0005739}</t>
  </si>
  <si>
    <t>Lysosome Vesicle Biogenesis {R-MMU-432720}; Golgi Associated Vesicle Biogenesis {R-MMU-432722}</t>
  </si>
  <si>
    <t>sp|Q9JJA4|WDR12_MOUSE</t>
  </si>
  <si>
    <t>Ribosome biogenesis protein WDR12</t>
  </si>
  <si>
    <t>WD repeat-containing protein 12</t>
  </si>
  <si>
    <t>WDR12_MOUSE</t>
  </si>
  <si>
    <t>Q9JJA4</t>
  </si>
  <si>
    <t>Q9CST3; Q9JKF5</t>
  </si>
  <si>
    <t>MGI:1927241</t>
  </si>
  <si>
    <t>Acetylation; Isopeptide bond; Nucleus; Phosphoprotein; Repeat; Ribosome biogenesis; rRNA processing; Ubl conjugation; WD repeat</t>
  </si>
  <si>
    <t>maturation of 5.8S rRNA from tricistronic rRNA transcript (SSU-rRNA, 5.8S rRNA, LSU-rRNA) {GO:0000466}; maturation of LSU-rRNA from tricistronic rRNA transcript (SSU-rRNA, 5.8S rRNA, LSU-rRNA) {GO:0000463}; Notch signaling pathway {GO:0007219}; regulation of cell cycle {GO:0051726}</t>
  </si>
  <si>
    <t>nucleolus {GO:0005730}; nucleoplasm {GO:0005654}; nucleus {GO:0005634}; PeBoW complex {GO:0070545}; preribosome, large subunit precursor {GO:0030687}</t>
  </si>
  <si>
    <t>ribonucleoprotein complex binding {GO:0043021}</t>
  </si>
  <si>
    <t>sp|Q9ERV1|MKRN2_MOUSE</t>
  </si>
  <si>
    <t>E3 ubiquitin-protein ligase makorin-2</t>
  </si>
  <si>
    <t>RING-type E3 ubiquitin transferase makorin-2</t>
  </si>
  <si>
    <t>MKRN2_MOUSE</t>
  </si>
  <si>
    <t>Q9ERV1</t>
  </si>
  <si>
    <t>Q6GTY9; Q9D0L9</t>
  </si>
  <si>
    <t>MGI:1914277</t>
  </si>
  <si>
    <t>Cytoplasm; Differentiation; Metal-binding; Nucleus; Phosphoprotein; Repeat; Spermatogenesis; Transferase; Ubl conjugation pathway; Zinc; Zinc-finger</t>
  </si>
  <si>
    <t>cell differentiation {GO:0030154}; DNA-templated transcription {GO:0006351}; negative regulation of inflammatory response to antigenic stimulus {GO:0002862}; negative regulation of NIK/NF-kappaB signaling {GO:1901223}; positive regulation of transcription by RNA polymerase II {GO:0045944}; positive regulation of transcription factor catabolic process {GO:1901485}; protein kinase B signaling {GO:0043491}; protein polyubiquitination {GO:0000209}; protein ubiquitination {GO:0016567}; spermatogenesis {GO:0007283}</t>
  </si>
  <si>
    <t>LIM domain binding {GO:0030274}; metal ion binding {GO:0046872}; ubiquitin protein ligase activity {GO:0061630}</t>
  </si>
  <si>
    <t>tr|Q80ZX0|Q80ZX0_MOUSE</t>
  </si>
  <si>
    <t>sp|P18581|CTR2_MOUSE</t>
  </si>
  <si>
    <t>Cationic amino acid transporter 2 (CAT-2; CAT2)</t>
  </si>
  <si>
    <t>20.5; Low affinity cationic amino acid transporter 2; Solute carrier family 7 member 2; T-cell early activation protein (TEA)</t>
  </si>
  <si>
    <t>CTR2_MOUSE</t>
  </si>
  <si>
    <t>P18581</t>
  </si>
  <si>
    <t>E9QPL9; Q38RA6; Q3TB99; Q3U3R5</t>
  </si>
  <si>
    <t>Atrc2; Tea</t>
  </si>
  <si>
    <t>MGI:99828</t>
  </si>
  <si>
    <t>Alternative splicing; Amino-acid transport; Cell membrane; Glycoprotein; Membrane; Phosphoprotein; Transmembrane; Transmembrane helix; Transport</t>
  </si>
  <si>
    <t>amino acid import across plasma membrane {GO:0089718}; amino acid transport {GO:0006865}; establishment of localization in cell {GO:0051649}; L-alpha-amino acid transmembrane transport {GO:1902475}; L-amino acid transport {GO:0015807}; L-arginine import across plasma membrane {GO:0097638}; L-arginine transmembrane transport {GO:1903826}; L-ornithine transmembrane transport {GO:1903352}; macrophage activation {GO:0042116}; nitric oxide biosynthetic process {GO:0006809}; nitric oxide production involved in inflammatory response {GO:0002537}; regulation of inflammatory response {GO:0050727}; regulation of macrophage activation {GO:0043030}</t>
  </si>
  <si>
    <t>cell junction {GO:0030054}; integral component of membrane {GO:0016021}; plasma membrane {GO:0005886}</t>
  </si>
  <si>
    <t>amino acid transmembrane transporter activity {GO:0015171}; L-amino acid transmembrane transporter activity {GO:0015179}; L-arginine transmembrane transporter activity {GO:0061459}; L-lysine transmembrane transporter activity {GO:0015189}; L-ornithine transmembrane transporter activity {GO:0000064}</t>
  </si>
  <si>
    <t>sp|Q99MN9|PCCB_MOUSE</t>
  </si>
  <si>
    <t>Propionyl-CoA carboxylase beta chain, mitochondrial (PCCase subunit beta)</t>
  </si>
  <si>
    <t>Propanoyl-CoA:carbon dioxide ligase subunit beta</t>
  </si>
  <si>
    <t>PCCB_MOUSE</t>
  </si>
  <si>
    <t>Q99MN9</t>
  </si>
  <si>
    <t>Q9DBG2</t>
  </si>
  <si>
    <t>MGI:1914154</t>
  </si>
  <si>
    <t>Acetylation; ATP-binding; Ligase; Mitochondrion; Nucleotide-binding; Phosphoprotein; Transit peptide</t>
  </si>
  <si>
    <t>ATP binding {GO:0005524}; propionyl-CoA carboxylase activity {GO:0004658}</t>
  </si>
  <si>
    <t>sp|P83887|TBG1_MOUSE</t>
  </si>
  <si>
    <t>Tubulin gamma-1 chain</t>
  </si>
  <si>
    <t>Gamma-1-tubulin; Gamma-tubulin complex component 1 (GCP-1)</t>
  </si>
  <si>
    <t>TBG1_MOUSE</t>
  </si>
  <si>
    <t>P83887</t>
  </si>
  <si>
    <t>Q9Z310</t>
  </si>
  <si>
    <t>Tubg</t>
  </si>
  <si>
    <t>MGI:101834</t>
  </si>
  <si>
    <t>Cytoplasm; Cytoskeleton; GTP-binding; Microtubule; Nucleotide-binding; Phosphoprotein</t>
  </si>
  <si>
    <t>cytoplasmic microtubule organization {GO:0031122}; meiotic spindle organization {GO:0000212}; microtubule cytoskeleton organization {GO:0000226}; microtubule nucleation {GO:0007020}; mitotic cell cycle {GO:0000278}; mitotic sister chromatid segregation {GO:0000070}; mitotic spindle organization {GO:0007052}; regulation of mitotic nuclear division {GO:0007088}</t>
  </si>
  <si>
    <t>apical part of cell {GO:0045177}; cell leading edge {GO:0031252}; centriole {GO:0005814}; centrosome {GO:0005813}; ciliary basal body {GO:0036064}; cilium {GO:0005929}; condensed nuclear chromosome {GO:0000794}; cytoplasm {GO:0005737}; cytoplasmic microtubule {GO:0005881}; gamma-tubulin complex {GO:0000930}; microtubule {GO:0005874}; microtubule organizing center {GO:0005815}; mitotic spindle microtubule {GO:1990498}; neuron projection {GO:0043005}; non-motile cilium {GO:0097730}; nucleus {GO:0005634}; pericentriolar material {GO:0000242}; polar microtubule {GO:0005827}; recycling endosome {GO:0055037}; spindle {GO:0005819}; spindle microtubule {GO:0005876}; spindle pole {GO:0000922}</t>
  </si>
  <si>
    <t>GTP binding {GO:0005525}; identical protein binding {GO:0042802}; structural constituent of cytoskeleton {GO:0005200}</t>
  </si>
  <si>
    <t>sp|P16332|MUTA_MOUSE</t>
  </si>
  <si>
    <t>Methylmalonyl-CoA mutase, mitochondrial (MCM)</t>
  </si>
  <si>
    <t>Methylmalonyl-CoA isomerase</t>
  </si>
  <si>
    <t>MUTA_MOUSE</t>
  </si>
  <si>
    <t>P16332</t>
  </si>
  <si>
    <t>Q3UJU1</t>
  </si>
  <si>
    <t>Mut</t>
  </si>
  <si>
    <t>MGI:97239</t>
  </si>
  <si>
    <t>Acetylation; Cobalamin; Cobalt; Cytoplasm; Isomerase; Metal-binding; Mitochondrion; Phosphoprotein; Transit peptide</t>
  </si>
  <si>
    <t>Cobalamin; Cobalt; Metal-binding</t>
  </si>
  <si>
    <t>homocysteine metabolic process {GO:0050667}; positive regulation of GTPase activity {GO:0043547}; post-embryonic development {GO:0009791}; propionate metabolic process, methylmalonyl pathway {GO:0019678}</t>
  </si>
  <si>
    <t>cobalamin binding {GO:0031419}; GTPase activity {GO:0003924}; identical protein binding {GO:0042802}; metal ion binding {GO:0046872}; methylmalonyl-CoA mutase activity {GO:0004494}; modified amino acid binding {GO:0072341}; protein homodimerization activity {GO:0042803}</t>
  </si>
  <si>
    <t>Propionyl-CoA catabolism {R-MMU-71032}; Cobalamin (Cbl) metabolism {R-MMU-9759218}</t>
  </si>
  <si>
    <t>sp|Q8K5B2|MCFD2_MOUSE</t>
  </si>
  <si>
    <t>Multiple coagulation factor deficiency protein 2 homolog</t>
  </si>
  <si>
    <t>Neural stem cell-derived neuronal survival protein</t>
  </si>
  <si>
    <t>MCFD2_MOUSE</t>
  </si>
  <si>
    <t>Q8K5B2</t>
  </si>
  <si>
    <t>Q3U9G5</t>
  </si>
  <si>
    <t>Sdnsf</t>
  </si>
  <si>
    <t>MGI:2183439</t>
  </si>
  <si>
    <t>Calcium; Endoplasmic reticulum; ER-Golgi transport; Golgi apparatus; Metal-binding; Phosphoprotein; Protein transport; Repeat; Signal; Transport</t>
  </si>
  <si>
    <t>carboxylic acid metabolic process {GO:0019752}; negative regulation of cell death {GO:0060548}; protein transport {GO:0015031}; vesicle-mediated transport {GO:0016192}</t>
  </si>
  <si>
    <t>endoplasmic reticulum {GO:0005783}; endoplasmic reticulum-Golgi intermediate compartment {GO:0005793}; extracellular region {GO:0005576}; Golgi apparatus {GO:0005794}</t>
  </si>
  <si>
    <t>sp|Q8R2Y8|PTH2_MOUSE</t>
  </si>
  <si>
    <t>Peptidyl-tRNA hydrolase 2, mitochondrial (PTH 2)</t>
  </si>
  <si>
    <t>PTH2_MOUSE</t>
  </si>
  <si>
    <t>Q8R2Y8</t>
  </si>
  <si>
    <t>Q8BI01; Q8BI31</t>
  </si>
  <si>
    <t>Pth2</t>
  </si>
  <si>
    <t>MGI:2444848</t>
  </si>
  <si>
    <t>Hydrolase; Isopeptide bond; Mitochondrion; Transit peptide; Ubl conjugation</t>
  </si>
  <si>
    <t>negative regulation of anoikis {GO:2000811}; negative regulation of gene expression {GO:0010629}; positive regulation of anoikis {GO:2000210}</t>
  </si>
  <si>
    <t>sp|Q6P9L6|KIF15_MOUSE</t>
  </si>
  <si>
    <t>Kinesin-like protein KIF15</t>
  </si>
  <si>
    <t>Kinesin-like protein 2; Kinesin-like protein 7</t>
  </si>
  <si>
    <t>KIF15_MOUSE</t>
  </si>
  <si>
    <t>Q6P9L6</t>
  </si>
  <si>
    <t>O35065; Q70MX5</t>
  </si>
  <si>
    <t>Klp2; Knsl7</t>
  </si>
  <si>
    <t>MGI:1098258</t>
  </si>
  <si>
    <t>Acetylation; ATP-binding; Coiled coil; Cytoplasm; Cytoskeleton; Microtubule; Motor protein; Nucleotide-binding; Phosphoprotein</t>
  </si>
  <si>
    <t>microtubule-based movement {GO:0007018}; regulation of mitotic spindle assembly {GO:1901673}</t>
  </si>
  <si>
    <t>cytoplasm {GO:0005737}; kinesin complex {GO:0005871}; microtubule {GO:0005874}; spindle {GO:0005819}</t>
  </si>
  <si>
    <t>ATP binding {GO:0005524}; ATP hydrolysis activity {GO:0016887}; microtubule binding {GO:0008017}; microtubule motor activity {GO:0003777}</t>
  </si>
  <si>
    <t>MHC class II antigen presentation {R-MMU-2132295}; COPI-dependent Golgi-to-ER retrograde traffic {R-MMU-6811434}; Kinesins {R-MMU-983189}</t>
  </si>
  <si>
    <t>sp|Q8VCW8|ACSF2_MOUSE</t>
  </si>
  <si>
    <t>Medium-chain acyl-CoA ligase ACSF2, mitochondrial</t>
  </si>
  <si>
    <t>ACSF2_MOUSE</t>
  </si>
  <si>
    <t>Q8VCW8</t>
  </si>
  <si>
    <t>Q3TDU9; Q3U5G9</t>
  </si>
  <si>
    <t>MGI:2388287</t>
  </si>
  <si>
    <t>Acetylation; ATP-binding; Fatty acid metabolism; Ligase; Lipid metabolism; Mitochondrion; Nucleotide-binding; Transit peptide</t>
  </si>
  <si>
    <t>fatty acid metabolic process {GO:0006631}</t>
  </si>
  <si>
    <t>ATP binding {GO:0005524}; butyrate-CoA ligase activity {GO:0047760}; medium-chain fatty acid-CoA ligase activity {GO:0031956}</t>
  </si>
  <si>
    <t>sp|A2AJI0|MA7D1_MOUSE</t>
  </si>
  <si>
    <t>MAP7 domain-containing protein 1</t>
  </si>
  <si>
    <t>MA7D1_MOUSE</t>
  </si>
  <si>
    <t>A2AJI0</t>
  </si>
  <si>
    <t>Q80TI3; Q8CIL3; Q8VCG2; Q91YQ4</t>
  </si>
  <si>
    <t>Kiaa1187; Mtap7d1</t>
  </si>
  <si>
    <t>MGI:2384297</t>
  </si>
  <si>
    <t>Alternative splicing; Coiled coil; Cytoplasm; Cytoskeleton; Isopeptide bond; Phosphoprotein; Ubl conjugation</t>
  </si>
  <si>
    <t>cytoplasm {GO:0005737}; microtubule cytoskeleton {GO:0015630}; spindle {GO:0005819}</t>
  </si>
  <si>
    <t>sp|P24288|BCAT1_MOUSE</t>
  </si>
  <si>
    <t>Branched-chain-amino-acid aminotransferase, cytosolic (BCAT(c))</t>
  </si>
  <si>
    <t>Protein ECA39</t>
  </si>
  <si>
    <t>BCAT1_MOUSE</t>
  </si>
  <si>
    <t>P24288</t>
  </si>
  <si>
    <t>Q7TMT2</t>
  </si>
  <si>
    <t>Eca39</t>
  </si>
  <si>
    <t>MGI:104861</t>
  </si>
  <si>
    <t>Acetylation; Amino-acid biosynthesis; Aminotransferase; Branched-chain amino acid biosynthesis; Cytoplasm; Lipid metabolism; Pyridoxal phosphate; Transferase</t>
  </si>
  <si>
    <t>Amino-acid biosynthesis; Branched-chain amino acid biosynthesis; Lipid metabolism</t>
  </si>
  <si>
    <t>branched-chain amino acid catabolic process {GO:0009083}; leucine biosynthetic process {GO:0009098}; lipid metabolic process {GO:0006629}; valine biosynthetic process {GO:0009099}</t>
  </si>
  <si>
    <t>branched-chain-amino-acid transaminase activity {GO:0004084}; identical protein binding {GO:0042802}; L-isoleucine transaminase activity {GO:0052656}; L-leucine transaminase activity {GO:0052654}; L-leucine:2-oxoglutarate aminotransferase activity {GO:0050048}; L-valine transaminase activity {GO:0052655}</t>
  </si>
  <si>
    <t>sp|Q8CG72|ADPRS_MOUSE</t>
  </si>
  <si>
    <t>ADP-ribosylhydrolase ARH3</t>
  </si>
  <si>
    <t>ADP-ribose glycohydrolase ARH3; ADP-ribosylhydrolase 3; O-acetyl-ADP-ribose deacetylase ARH3; Poly(ADP-ribose) glycohydrolase ARH3; [Protein ADP-ribosylarginine] hydrolase-like protein 2; [Protein ADP-ribosylserine] hydrolase</t>
  </si>
  <si>
    <t>ADPRS_MOUSE</t>
  </si>
  <si>
    <t>Q8CG72</t>
  </si>
  <si>
    <t>A3KFY3; Q80UW9; Q8R575; Q921U6</t>
  </si>
  <si>
    <t>MGI:2140364</t>
  </si>
  <si>
    <t>3D-structure; Alternative splicing; Chromosome; Cytoplasm; DNA damage; DNA repair; Hydrolase; Magnesium; Metal-binding; Mitochondrion; Nucleus; Phosphoprotein</t>
  </si>
  <si>
    <t>cellular response to superoxide {GO:0071451}; DNA repair {GO:0006281}; negative regulation of necroptotic process {GO:0060546}; peptidyl-serine ADP-deribosylation {GO:0140290}</t>
  </si>
  <si>
    <t>cytoplasm {GO:0005737}; mitochondrial matrix {GO:0005759}; mitochondrion {GO:0005739}; nuclear body {GO:0016604}; nucleoplasm {GO:0005654}; nucleus {GO:0005634}; site of DNA damage {GO:0090734}</t>
  </si>
  <si>
    <t>ADP-ribosylserine hydrolase activity {GO:0140292}; hydrolase activity, hydrolyzing O-glycosyl compounds {GO:0004553}; magnesium ion binding {GO:0000287}; O-acetyl-ADP-ribose deacetylase activity {GO:0061463}; poly(ADP-ribose) glycohydrolase activity {GO:0004649}</t>
  </si>
  <si>
    <t>POLB-Dependent Long Patch Base Excision Repair {R-MMU-110362}</t>
  </si>
  <si>
    <t>sp|Q9DAU1|CNPY3_MOUSE</t>
  </si>
  <si>
    <t>Protein canopy homolog 3</t>
  </si>
  <si>
    <t>Protein associated with Tlr4; Trinucleotide repeat-containing gene 5 protein</t>
  </si>
  <si>
    <t>CNPY3_MOUSE</t>
  </si>
  <si>
    <t>Q9DAU1</t>
  </si>
  <si>
    <t>Q571I0; Q8BUS5; Q8BUV5; Q8C0C5</t>
  </si>
  <si>
    <t>Prat4a; Tnrc5</t>
  </si>
  <si>
    <t>MGI:1919279</t>
  </si>
  <si>
    <t>Alternative splicing; Chaperone; Coiled coil; Disulfide bond; Endoplasmic reticulum; Glycoprotein; Immunity; Innate immunity; Signal</t>
  </si>
  <si>
    <t>innate immune response {GO:0045087}</t>
  </si>
  <si>
    <t>Trafficking and processing of endosomal TLR {R-MMU-1679131}</t>
  </si>
  <si>
    <t>sp|Q91YD3|DCP1A_MOUSE</t>
  </si>
  <si>
    <t>mRNA-decapping enzyme 1A</t>
  </si>
  <si>
    <t>MAD homolog 4-interacting transcription coactivator 1; Smad4-interacting transcriptional co-activator; Transcription factor SMIF</t>
  </si>
  <si>
    <t>DCP1A_MOUSE</t>
  </si>
  <si>
    <t>Q91YD3</t>
  </si>
  <si>
    <t>Q6NZE3</t>
  </si>
  <si>
    <t>Mitc1; Smif</t>
  </si>
  <si>
    <t>MGI:1923151</t>
  </si>
  <si>
    <t>Cytoplasm; Hydrolase; Methylation; Nonsense-mediated mRNA decay; Nucleus; Phosphoprotein</t>
  </si>
  <si>
    <t>deadenylation-dependent decapping of nuclear-transcribed mRNA {GO:0000290}; deadenylation-independent decapping of nuclear-transcribed mRNA {GO:0031087}; methylguanosine-cap decapping {GO:0110156}; nuclear-transcribed mRNA catabolic process, nonsense-mediated decay {GO:0000184}; positive regulation of catalytic activity {GO:0043085}; positive regulation of DNA-templated transcription {GO:0045893}; protein localization to cytoplasmic stress granule {GO:1903608}; transforming growth factor beta receptor signaling pathway {GO:0007179}</t>
  </si>
  <si>
    <t>cytoplasm {GO:0005737}; cytoplasmic ribonucleoprotein granule {GO:0036464}; nucleus {GO:0005634}; P-body {GO:0000932}; transcription regulator complex {GO:0005667}</t>
  </si>
  <si>
    <t>enzyme activator activity {GO:0008047}; hydrolase activity {GO:0016787}; identical protein binding {GO:0042802}; kinesin binding {GO:0019894}; mRNA binding {GO:0003729}</t>
  </si>
  <si>
    <t>mRNA decay by 5' to 3' exoribonuclease {R-MMU-430039}; Butyrate Response Factor 1 (BRF1) binds and destabilizes mRNA {R-MMU-450385}; Tristetraprolin (TTP, ZFP36) binds and destabilizes mRNA {R-MMU-450513}; Nonsense Mediated Decay (NMD) enhanced by the Exon Junction Complex (EJC) {R-MMU-975957}</t>
  </si>
  <si>
    <t>sp|Q6PDN3|MYLK_MOUSE</t>
  </si>
  <si>
    <t>Myosin light chain kinase, smooth muscle, deglutamylated form</t>
  </si>
  <si>
    <t>Kinase-related protein (KRP); Telokin</t>
  </si>
  <si>
    <t>MYLK_MOUSE</t>
  </si>
  <si>
    <t>Q6PDN3</t>
  </si>
  <si>
    <t>Q3TSJ7; Q80UX0; Q80YN7; Q80YN8; Q8K026; Q924D2; Q9ERD3</t>
  </si>
  <si>
    <t>MGI:894806</t>
  </si>
  <si>
    <t>Actin-binding; Alternative promoter usage; Alternative splicing; ATP-binding; Calcium; Calmodulin-binding; Cell projection; Cytoplasm; Cytoskeleton; Disulfide bond; Immunoglobulin domain; Kinase; Magnesium; Metal-binding; Nucleotide-binding; Phosphoprotein; Repeat; Serine/threonine-protein kinase; Transferase</t>
  </si>
  <si>
    <t>Actin-binding; Calmodulin-binding; Kinase; Serine/threonine-protein kinase; Transferase</t>
  </si>
  <si>
    <t>aorta smooth muscle tissue morphogenesis {GO:0060414}; bleb assembly {GO:0032060}; cellular hypotonic response {GO:0071476}; cellular response to calcium ion {GO:0071277}; cellular response to potassium ion {GO:0035865}; cellular response to xenobiotic stimulus {GO:0071466}; positive regulation of calcium ion transport {GO:0051928}; positive regulation of cell migration {GO:0030335}; positive regulation of wound healing {GO:0090303}; protein phosphorylation {GO:0006468}; smooth muscle contraction {GO:0006939}; tonic smooth muscle contraction {GO:0014820}</t>
  </si>
  <si>
    <t>actin cytoskeleton {GO:0015629}; cell-cell junction {GO:0005911}; cleavage furrow {GO:0032154}; cytoplasm {GO:0005737}; lamellipodium {GO:0030027}; plasma membrane {GO:0005886}; stress fiber {GO:0001725}</t>
  </si>
  <si>
    <t>actin binding {GO:0003779}; ATP binding {GO:0005524}; calmodulin binding {GO:0005516}; enzyme binding {GO:0019899}; metal ion binding {GO:0046872}; myosin light chain kinase activity {GO:0004687}; protein kinase activity {GO:0004672}</t>
  </si>
  <si>
    <t>sp|Q99JT2|STK26_MOUSE</t>
  </si>
  <si>
    <t>Serine/threonine-protein kinase 26</t>
  </si>
  <si>
    <t>Mammalian STE20-like protein kinase 4 (MST-4); STE20-like kinase MST4; Serine/threonine-protein kinase MST4</t>
  </si>
  <si>
    <t>STK26_MOUSE</t>
  </si>
  <si>
    <t>Q99JT2</t>
  </si>
  <si>
    <t>MGI:1917665</t>
  </si>
  <si>
    <t>Acetylation; Apoptosis; ATP-binding; Cytoplasm; Golgi apparatus; Kinase; Magnesium; Metal-binding; Nucleotide-binding; Phosphoprotein; Serine/threonine-protein kinase; Transferase</t>
  </si>
  <si>
    <t>apoptotic process {GO:0006915}; cellular response to starvation {GO:0009267}; microvillus assembly {GO:0030033}; negative regulation of cell migration {GO:0030336}; protein autophosphorylation {GO:0046777}; protein phosphorylation {GO:0006468}; regulation of apoptotic process {GO:0042981}; regulation of hydrogen peroxide-induced cell death {GO:1903205}; response to hydrogen peroxide {GO:0042542}</t>
  </si>
  <si>
    <t>apical plasma membrane {GO:0016324}; cell periphery {GO:0071944}; cytoplasm {GO:0005737}; cytosol {GO:0005829}; Golgi apparatus {GO:0005794}; Golgi membrane {GO:0000139}; Golgi-associated vesicle {GO:0005798}; membrane {GO:0016020}; perinuclear region of cytoplasm {GO:0048471}</t>
  </si>
  <si>
    <t>ATP binding {GO:0005524}; identical protein binding {GO:0042802}; magnesium ion binding {GO:0000287}; protein homodimerization activity {GO:0042803}; protein kinase activity {GO:0004672}; protein serine kinase activity {GO:0106310}; protein serine/threonine kinase activity {GO:0004674}</t>
  </si>
  <si>
    <t>sp|Q9CQC8|SPG21_MOUSE</t>
  </si>
  <si>
    <t>Maspardin</t>
  </si>
  <si>
    <t>Acid cluster protein 33; Spastic paraplegia 21 autosomal recessive Mast syndrome protein homolog</t>
  </si>
  <si>
    <t>SPG21_MOUSE</t>
  </si>
  <si>
    <t>Q9CQC8</t>
  </si>
  <si>
    <t>Q3U658; Q3UDT7; Q8C1Y7</t>
  </si>
  <si>
    <t>MGI:106403</t>
  </si>
  <si>
    <t>cytosol {GO:0005829}; intracellular membrane-bounded organelle {GO:0043231}; trans-Golgi network transport vesicle {GO:0030140}</t>
  </si>
  <si>
    <t>CD4 receptor binding {GO:0042609}</t>
  </si>
  <si>
    <t>sp|Q9CPR1|RWDD4_MOUSE</t>
  </si>
  <si>
    <t>RWD domain-containing protein 4</t>
  </si>
  <si>
    <t>RWDD4_MOUSE</t>
  </si>
  <si>
    <t>Q9CPR1</t>
  </si>
  <si>
    <t>Rwdd4a</t>
  </si>
  <si>
    <t>MGI:2681000</t>
  </si>
  <si>
    <t>sp|Q8K3J1|NDUS8_MOUSE</t>
  </si>
  <si>
    <t>NADH dehydrogenase [ubiquinone] iron-sulfur protein 8, mitochondrial</t>
  </si>
  <si>
    <t>Complex I-23kD (CI-23kD); NADH-ubiquinone oxidoreductase 23 kDa subunit</t>
  </si>
  <si>
    <t>NDUS8_MOUSE</t>
  </si>
  <si>
    <t>Q8K3J1</t>
  </si>
  <si>
    <t>MGI:2385079</t>
  </si>
  <si>
    <t>3D-structure; 4Fe-4S; Electron transport; Iron; Iron-sulfur; Membrane; Metal-binding; Mitochondrion; Mitochondrion inner membrane; NAD; Oxidoreductase; Repeat; Respiratory chain; Transit peptide; Translocase; Transport; Ubiquinone</t>
  </si>
  <si>
    <t>aerobic respiration {GO:0009060}; mitochondrial electron transport, NADH to ubiquinone {GO:0006120}; mitochondrial respiratory chain complex I assembly {GO:0032981}; proton motive force-driven mitochondrial ATP synthesis {GO:0042776}; response to oxidative stress {GO:0006979}</t>
  </si>
  <si>
    <t>4 iron, 4 sulfur cluster binding {GO:0051539}; metal ion binding {GO:0046872}; NADH dehydrogenase (ubiquinone) activity {GO:0008137}; NADH dehydrogenase activity {GO:0003954}</t>
  </si>
  <si>
    <t>sp|Q791T5|MTCH1_MOUSE</t>
  </si>
  <si>
    <t>Mitochondrial carrier homolog 1</t>
  </si>
  <si>
    <t>Mitochondrial carrier-like protein 1</t>
  </si>
  <si>
    <t>MTCH1_MOUSE</t>
  </si>
  <si>
    <t>Q791T5</t>
  </si>
  <si>
    <t>Q3U4W7; Q791V6; Q8R0T0; Q8R1T8; Q8R2T2; Q9QZA5; Q9QZP4</t>
  </si>
  <si>
    <t>MGI:1929261</t>
  </si>
  <si>
    <t>Alternative splicing; Apoptosis; Membrane; Methylation; Mitochondrion; Mitochondrion outer membrane; Repeat; Transmembrane; Transmembrane helix; Transport</t>
  </si>
  <si>
    <t>Apoptosis; Transport</t>
  </si>
  <si>
    <t>activation of cysteine-type endopeptidase activity involved in apoptotic process {GO:0006919}; apoptotic process {GO:0006915}; positive regulation of apoptotic process {GO:0043065}</t>
  </si>
  <si>
    <t>integral component of membrane {GO:0016021}; membrane {GO:0016020}; mitochondrial outer membrane {GO:0005741}; mitochondrion {GO:0005739}</t>
  </si>
  <si>
    <t>sp|Q6PAM0|AAKB2_MOUSE</t>
  </si>
  <si>
    <t>5'-AMP-activated protein kinase subunit beta-2 (AMPK subunit beta-2)</t>
  </si>
  <si>
    <t>AAKB2_MOUSE</t>
  </si>
  <si>
    <t>Q6PAM0</t>
  </si>
  <si>
    <t>MGI:1336185</t>
  </si>
  <si>
    <t>Fatty acid biosynthesis; Fatty acid metabolism; Lipid biosynthesis; Lipid metabolism; Phosphoprotein</t>
  </si>
  <si>
    <t>cellular response to nutrient levels {GO:0031669}; fatty acid biosynthetic process {GO:0006633}; positive regulation of cold-induced thermogenesis {GO:0120162}; regulation of catalytic activity {GO:0050790}; signal transduction {GO:0007165}</t>
  </si>
  <si>
    <t>apical plasma membrane {GO:0016324}; cAMP-dependent protein kinase complex {GO:0005952}; cytoplasm {GO:0005737}; cytosol {GO:0005829}; nucleoplasm {GO:0005654}; nucleotide-activated protein kinase complex {GO:0031588}; nucleus {GO:0005634}</t>
  </si>
  <si>
    <t>AMP-activated protein kinase activity {GO:0004679}; enzyme binding {GO:0019899}; protein kinase binding {GO:0019901}</t>
  </si>
  <si>
    <t>Macroautophagy {R-MMU-1632852}; AMPK inhibits chREBP transcriptional activation activity {R-MMU-163680}; Carnitine metabolism {R-MMU-200425}; Energy dependent regulation of mTOR by LKB1-AMPK {R-MMU-380972}; TP53 Regulates Metabolic Genes {R-MMU-5628897}; Regulation of TP53 Activity through Phosphorylation {R-MMU-6804756}</t>
  </si>
  <si>
    <t>sp|O54983|CRYM_MOUSE</t>
  </si>
  <si>
    <t>Ketimine reductase mu-crystallin</t>
  </si>
  <si>
    <t>NADP-regulated thyroid-hormone-binding protein</t>
  </si>
  <si>
    <t>CRYM_MOUSE</t>
  </si>
  <si>
    <t>O54983</t>
  </si>
  <si>
    <t>MGI:102675</t>
  </si>
  <si>
    <t>3D-structure; Cytoplasm; NAD; NADP; Oxidoreductase</t>
  </si>
  <si>
    <t>mitochondrial transport {GO:0006839}; negative regulation of transcription by RNA polymerase II {GO:0000122}; sensory perception of sound {GO:0007605}; thyroid hormone metabolic process {GO:0042403}; thyroid hormone transport {GO:0070327}</t>
  </si>
  <si>
    <t>hormone binding {GO:0042562}; NADP binding {GO:0050661}; protein homodimerization activity {GO:0042803}; thiomorpholine-carboxylate dehydrogenase activity {GO:0047127}; thyroid hormone binding {GO:0070324}; transcription corepressor activity {GO:0003714}</t>
  </si>
  <si>
    <t>Lysine catabolism {R-MMU-71064}</t>
  </si>
  <si>
    <t>sp|O35250|EXOC7_MOUSE</t>
  </si>
  <si>
    <t>Exocyst complex component 7</t>
  </si>
  <si>
    <t>Exocyst complex component Exo70</t>
  </si>
  <si>
    <t>EXOC7_MOUSE</t>
  </si>
  <si>
    <t>O35250</t>
  </si>
  <si>
    <t>Q8K121</t>
  </si>
  <si>
    <t>Exo70</t>
  </si>
  <si>
    <t>MGI:1859270</t>
  </si>
  <si>
    <t>3D-structure; Alternative splicing; Cell membrane; Coiled coil; Cytoplasm; Exocytosis; Membrane; Phosphoprotein; Protein transport; Transport</t>
  </si>
  <si>
    <t>exocytosis {GO:0006887}; membrane fission {GO:0090148}; mitotic cytokinesis {GO:0000281}; protein transport {GO:0015031}; regulation of entry of bacterium into host cell {GO:2000535}; vesicle docking involved in exocytosis {GO:0006904}; vesicle tethering involved in exocytosis {GO:0090522}</t>
  </si>
  <si>
    <t>centriolar satellite {GO:0034451}; cytosol {GO:0005829}; exocyst {GO:0000145}; Flemming body {GO:0090543}; growth cone membrane {GO:0032584}; microtubule organizing center {GO:0005815}; plasma membrane {GO:0005886}</t>
  </si>
  <si>
    <t>sp|Q9D710|TMX2_MOUSE</t>
  </si>
  <si>
    <t>Thioredoxin-related transmembrane protein 2</t>
  </si>
  <si>
    <t>Thioredoxin domain-containing protein 14</t>
  </si>
  <si>
    <t>TMX2_MOUSE</t>
  </si>
  <si>
    <t>Q9D710</t>
  </si>
  <si>
    <t>Q8BW13</t>
  </si>
  <si>
    <t>Txndc14</t>
  </si>
  <si>
    <t>MGI:1914208</t>
  </si>
  <si>
    <t>Disulfide bond; Endoplasmic reticulum; Membrane; Mitochondrion; Phosphoprotein; Signal; Transmembrane; Transmembrane helix</t>
  </si>
  <si>
    <t>brain development {GO:0007420}</t>
  </si>
  <si>
    <t>endoplasmic reticulum membrane {GO:0005789}; integral component of membrane {GO:0016021}; membrane-bounded organelle {GO:0043227}; mitochondria-associated endoplasmic reticulum membrane {GO:0044233}; mitochondrial membrane {GO:0031966}; mitochondrion {GO:0005739}</t>
  </si>
  <si>
    <t>disulfide oxidoreductase activity {GO:0015036}; identical protein binding {GO:0042802}</t>
  </si>
  <si>
    <t>sp|Q7TPH6|MYCB2_MOUSE</t>
  </si>
  <si>
    <t>E3 ubiquitin-protein ligase MYCBP2</t>
  </si>
  <si>
    <t>Myc-binding protein 2; Pam/highwire/rpm-1 protein; Protein Magellan; Protein associated with Myc</t>
  </si>
  <si>
    <t>MYCB2_MOUSE</t>
  </si>
  <si>
    <t>Q7TPH6</t>
  </si>
  <si>
    <t>E9PUJ6; Q6PCM8</t>
  </si>
  <si>
    <t>MGI:2179432</t>
  </si>
  <si>
    <t>3D-structure; Alternative splicing; Biological rhythms; Cell projection; Cytoplasm; Cytoskeleton; Disulfide bond; Guanine-nucleotide releasing factor; Metal-binding; Nucleus; Phosphoprotein; Repeat; Transferase; Ubl conjugation; Ubl conjugation pathway; Zinc; Zinc-finger</t>
  </si>
  <si>
    <t>Guanine-nucleotide releasing factor; Transferase</t>
  </si>
  <si>
    <t>axon guidance {GO:0007411}; branchiomotor neuron axon guidance {GO:0021785}; cell morphogenesis involved in neuron differentiation {GO:0048667}; central nervous system projection neuron axonogenesis {GO:0021952}; circadian regulation of gene expression {GO:0032922}; motor neuron axon guidance {GO:0008045}; negative regulation of protein catabolic process {GO:0042177}; neuromuscular process {GO:0050905}; positive regulation of protein ubiquitination {GO:0031398}; protein ubiquitination {GO:0016567}; regulation of axon guidance {GO:1902667}; regulation of cytoskeleton organization {GO:0051493}; regulation of protein localization {GO:0032880}; regulation of synaptic assembly at neuromuscular junction {GO:0008582}</t>
  </si>
  <si>
    <t>axon {GO:0030424}; cytosol {GO:0005829}; intracellular membrane-bounded organelle {GO:0043231}; microtubule cytoskeleton {GO:0015630}; nucleoplasm {GO:0005654}; nucleus {GO:0005634}; plasma membrane {GO:0005886}</t>
  </si>
  <si>
    <t>guanyl-nucleotide exchange factor activity {GO:0005085}; identical protein binding {GO:0042802}; small GTPase binding {GO:0031267}; ubiquitin protein ligase activity {GO:0061630}; zinc ion binding {GO:0008270}</t>
  </si>
  <si>
    <t>sp|Q7TQK4|EXOS3_MOUSE</t>
  </si>
  <si>
    <t>Exosome complex component RRP40</t>
  </si>
  <si>
    <t>Exosome component 3; Ribosomal RNA-processing protein 40</t>
  </si>
  <si>
    <t>EXOS3_MOUSE</t>
  </si>
  <si>
    <t>Q7TQK4</t>
  </si>
  <si>
    <t>Q9CV81; Q9CVW2</t>
  </si>
  <si>
    <t>Rrp40</t>
  </si>
  <si>
    <t>MGI:1913612</t>
  </si>
  <si>
    <t>Acetylation; Cytoplasm; Exonuclease; Exosome; Hydrolase; Isopeptide bond; Nuclease; Nucleus; RNA-binding; rRNA processing; Ubl conjugation</t>
  </si>
  <si>
    <t>CUT catabolic process {GO:0071034}; DNA deamination {GO:0045006}; exonucleolytic catabolism of deadenylated mRNA {GO:0043928}; exonucleolytic trimming to generate mature 3'-end of 5.8S rRNA from tricistronic rRNA transcript (SSU-rRNA, 5.8S rRNA, LSU-rRNA) {GO:0000467}; isotype switching {GO:0045190}; nuclear polyadenylation-dependent rRNA catabolic process {GO:0071035}; nuclear polyadenylation-dependent tRNA catabolic process {GO:0071038}; nuclear-transcribed mRNA catabolic process, exonucleolytic, 3'-5' {GO:0034427}; polyadenylation-dependent snoRNA 3'-end processing {GO:0071051}; positive regulation of isotype switching {GO:0045830}; RNA catabolic process {GO:0006401}; RNA processing {GO:0006396}; rRNA processing {GO:0006364}; U4 snRNA 3'-end processing {GO:0034475}</t>
  </si>
  <si>
    <t>cytoplasm {GO:0005737}; cytoplasmic exosome (RNase complex) {GO:0000177}; cytosol {GO:0005829}; euchromatin {GO:0000791}; exosome (RNase complex) {GO:0000178}; nuclear exosome (RNase complex) {GO:0000176}; nucleolar exosome (RNase complex) {GO:0101019}; nucleolus {GO:0005730}; nucleoplasm {GO:0005654}; nucleus {GO:0005634}</t>
  </si>
  <si>
    <t>exonuclease activity {GO:0004527}; RNA binding {GO:0003723}</t>
  </si>
  <si>
    <t>sp|P61021|RAB5B_MOUSE</t>
  </si>
  <si>
    <t>Ras-related protein Rab-5B</t>
  </si>
  <si>
    <t>RAB5B_MOUSE</t>
  </si>
  <si>
    <t>P61021</t>
  </si>
  <si>
    <t>P35239; P35277</t>
  </si>
  <si>
    <t>MGI:105938</t>
  </si>
  <si>
    <t>Acetylation; Cell membrane; Endosome; GTP-binding; Hydrolase; Lipoprotein; Membrane; Nucleotide-binding; Phosphoprotein; Prenylation; Protein transport; Transport</t>
  </si>
  <si>
    <t>antigen processing and presentation {GO:0019882}; endocytosis {GO:0006897}; endosome organization {GO:0007032}; intracellular protein transport {GO:0006886}; plasma membrane to endosome transport {GO:0048227}; regulation of endocytosis {GO:0030100}</t>
  </si>
  <si>
    <t>anchored component of synaptic vesicle membrane {GO:0098993}; early endosome {GO:0005769}; early endosome membrane {GO:0031901}; endocytic vesicle {GO:0030139}; endosome {GO:0005768}; extracellular exosome {GO:0070062}; intracellular membrane-bounded organelle {GO:0043231}; melanosome {GO:0042470}; plasma membrane {GO:0005886}</t>
  </si>
  <si>
    <t>G protein activity {GO:0003925}; GDP binding {GO:0019003}; GTP binding {GO:0005525}; GTP-dependent protein binding {GO:0030742}; GTPase activity {GO:0003924}</t>
  </si>
  <si>
    <t>Neutrophil degranulation {R-MMU-6798695}; Clathrin-mediated endocytosis {R-MMU-8856828}; RAB geranylgeranylation {R-MMU-8873719}; RAB GEFs exchange GTP for GDP on RABs {R-MMU-8876198}</t>
  </si>
  <si>
    <t>sp|Q8BHS3|RBM22_MOUSE</t>
  </si>
  <si>
    <t>Pre-mRNA-splicing factor RBM22</t>
  </si>
  <si>
    <t>RNA-binding motif protein 22</t>
  </si>
  <si>
    <t>RBM22_MOUSE</t>
  </si>
  <si>
    <t>Q8BHS3</t>
  </si>
  <si>
    <t>Q3TJB0; Q9CXA0</t>
  </si>
  <si>
    <t>MGI:1914060</t>
  </si>
  <si>
    <t>Acetylation; Cytoplasm; Isopeptide bond; Metal-binding; mRNA processing; mRNA splicing; Nucleus; Phosphoprotein; RNA-binding; Spliceosome; Transport; Ubl conjugation; Zinc; Zinc-finger</t>
  </si>
  <si>
    <t>Transport; mRNA processing; mRNA splicing</t>
  </si>
  <si>
    <t>cellular response to xenobiotic stimulus {GO:0071466}; mRNA cis splicing, via spliceosome {GO:0045292}; positive regulation of protein export from nucleus {GO:0046827}; positive regulation of protein import into nucleus {GO:0042307}; positive regulation of RNA splicing {GO:0033120}</t>
  </si>
  <si>
    <t>catalytic step 2 spliceosome {GO:0071013}; cytoplasm {GO:0005737}; nucleoplasm {GO:0005654}; nucleus {GO:0005634}; Prp19 complex {GO:0000974}; U2-type catalytic step 1 spliceosome {GO:0071006}; U2-type catalytic step 2 spliceosome {GO:0071007}</t>
  </si>
  <si>
    <t>calcium-dependent protein binding {GO:0048306}; metal ion binding {GO:0046872}; pre-mRNA binding {GO:0036002}; U6 snRNA binding {GO:0017070}</t>
  </si>
  <si>
    <t>sp|Q9DBS1|TMM43_MOUSE</t>
  </si>
  <si>
    <t>Transmembrane protein 43</t>
  </si>
  <si>
    <t>Protein LUMA</t>
  </si>
  <si>
    <t>TMM43_MOUSE</t>
  </si>
  <si>
    <t>Q9DBS1</t>
  </si>
  <si>
    <t>MGI:1921372</t>
  </si>
  <si>
    <t>innate immune response {GO:0045087}; nuclear membrane organization {GO:0071763}</t>
  </si>
  <si>
    <t>endoplasmic reticulum lumen {GO:0005788}; endoplasmic reticulum membrane {GO:0005789}; Golgi apparatus {GO:0005794}; integral component of nuclear inner membrane {GO:0005639}; nuclear inner membrane {GO:0005637}</t>
  </si>
  <si>
    <t>identical protein binding {GO:0042802}; protein self-association {GO:0043621}</t>
  </si>
  <si>
    <t>sp|Q8K363|DDX18_MOUSE</t>
  </si>
  <si>
    <t>ATP-dependent RNA helicase DDX18</t>
  </si>
  <si>
    <t>DEAD box protein 18</t>
  </si>
  <si>
    <t>DDX18_MOUSE</t>
  </si>
  <si>
    <t>Q8K363</t>
  </si>
  <si>
    <t>Q3MIB0; Q8BVZ2; Q9D2E0</t>
  </si>
  <si>
    <t>MGI:1914192</t>
  </si>
  <si>
    <t>ATP-binding; Chromosome; Helicase; Hydrolase; Nucleotide-binding; Nucleus; RNA-binding</t>
  </si>
  <si>
    <t>chromosome {GO:0005694}; nucleolus {GO:0005730}</t>
  </si>
  <si>
    <t>sp|Q9CRA5|GOLP3_MOUSE</t>
  </si>
  <si>
    <t>Golgi phosphoprotein 3</t>
  </si>
  <si>
    <t>Coat protein GPP34</t>
  </si>
  <si>
    <t>GOLP3_MOUSE</t>
  </si>
  <si>
    <t>Q9CRA5</t>
  </si>
  <si>
    <t>A6BLP3; Q99KY1; Q9D636</t>
  </si>
  <si>
    <t>Gpp34</t>
  </si>
  <si>
    <t>MGI:1913879</t>
  </si>
  <si>
    <t>Alternative splicing; Cell membrane; Disulfide bond; Endosome; Golgi apparatus; Lipid-binding; Membrane; Mitochondrion; Phosphoprotein; Protein transport; Transport</t>
  </si>
  <si>
    <t>Cell membrane; Endosome; Golgi apparatus; Membrane; Mitochondrion</t>
  </si>
  <si>
    <t>asymmetric Golgi ribbon formation {GO:0090164}; cell adhesion molecule production {GO:0060352}; cell migration {GO:0016477}; cellular response to rapamycin {GO:0072752}; gene expression {GO:0010467}; glycoprotein biosynthetic process {GO:0009101}; Golgi organization {GO:0007030}; Golgi ribbon formation {GO:0090161}; Golgi to plasma membrane protein transport {GO:0043001}; Golgi vesicle budding {GO:0048194}; lamellipodium assembly {GO:0030032}; leukocyte tethering or rolling {GO:0050901}; negative regulation of apoptotic process {GO:0043066}; positive regulation of protein secretion {GO:0050714}; positive regulation of TOR signaling {GO:0032008}; protein retention in Golgi apparatus {GO:0045053}; protein secretion {GO:0009306}; regulation of mitochondrion organization {GO:0010821}; retrograde vesicle-mediated transport, Golgi to endoplasmic reticulum {GO:0006890}</t>
  </si>
  <si>
    <t>cytosol {GO:0005829}; endosome {GO:0005768}; Golgi apparatus {GO:0005794}; Golgi cisterna {GO:0031985}; Golgi cisterna membrane {GO:0032580}; Golgi membrane {GO:0000139}; intracellular membrane-bounded organelle {GO:0043231}; mitochondrial intermembrane space {GO:0005758}; mitochondrion {GO:0005739}; plasma membrane {GO:0005886}; trans-Golgi network {GO:0005802}</t>
  </si>
  <si>
    <t>enzyme binding {GO:0019899}; phosphatidylinositol-4-phosphate binding {GO:0070273}</t>
  </si>
  <si>
    <t>sp|O35382|EXOC4_MOUSE</t>
  </si>
  <si>
    <t>Exocyst complex component 4</t>
  </si>
  <si>
    <t>Exocyst complex component Sec8</t>
  </si>
  <si>
    <t>EXOC4_MOUSE</t>
  </si>
  <si>
    <t>O35382</t>
  </si>
  <si>
    <t>Sec8; Sec8l1</t>
  </si>
  <si>
    <t>MGI:1096376</t>
  </si>
  <si>
    <t>Acetylation; Cell projection; Coiled coil; Exocytosis; Phosphoprotein; Protein transport; Transport</t>
  </si>
  <si>
    <t>chemical synaptic transmission {GO:0007268}; establishment of cell polarity {GO:0030010}; exocytosis {GO:0006887}; Golgi to plasma membrane transport {GO:0006893}; Golgi to transport vesicle transport {GO:0055108}; membrane biogenesis {GO:0044091}; membrane fission {GO:0090148}; mitotic cytokinesis {GO:0000281}; oligodendrocyte differentiation {GO:0048709}; paraxial mesoderm formation {GO:0048341}; positive regulation of calcium-mediated signaling {GO:0050850}; protein targeting to membrane {GO:0006612}; regulation of protein transport {GO:0051223}; vesicle docking involved in exocytosis {GO:0006904}; vesicle tethering involved in exocytosis {GO:0090522}</t>
  </si>
  <si>
    <t>cell leading edge {GO:0031252}; cytoplasm {GO:0005737}; dendritic shaft {GO:0043198}; endosome {GO:0005768}; exocyst {GO:0000145}; Flemming body {GO:0090543}; Golgi apparatus {GO:0005794}; growth cone {GO:0030426}; growth cone membrane {GO:0032584}; microvillus {GO:0005902}; myelin sheath {GO:0043209}; myelin sheath abaxonal region {GO:0035748}; neuron projection {GO:0043005}; neuronal cell body {GO:0043025}; plasma membrane {GO:0005886}; postsynaptic density {GO:0014069}; protein-containing complex {GO:0032991}; synapse {GO:0045202}; synaptic vesicle {GO:0008021}</t>
  </si>
  <si>
    <t>PDZ domain binding {GO:0030165}; protein N-terminus binding {GO:0047485}; protein-containing complex binding {GO:0044877}; small GTPase binding {GO:0031267}</t>
  </si>
  <si>
    <t>sp|Q8R5J9|PRAF3_MOUSE</t>
  </si>
  <si>
    <t>PRA1 family protein 3</t>
  </si>
  <si>
    <t>ADP-ribosylation factor-like protein 6-interacting protein 5 (ARL-6-interacting protein 5; Aip-5); Addicsin; GTRAP3-18; Glutamate transporter EAAC1-interacting protein; Prenylated Rab acceptor protein 2; Protein JWa</t>
  </si>
  <si>
    <t>PRAF3_MOUSE</t>
  </si>
  <si>
    <t>Q8R5J9</t>
  </si>
  <si>
    <t>Q8C2Q1; Q9D838; Q9DB37; Q9WUG9</t>
  </si>
  <si>
    <t>Aip5; Jwa; Pra2; Praf3</t>
  </si>
  <si>
    <t>MGI:1929501</t>
  </si>
  <si>
    <t>Acetylation; Cell membrane; Cytoplasm; Cytoskeleton; Endoplasmic reticulum; Membrane; Transmembrane; Transmembrane helix</t>
  </si>
  <si>
    <t>cellular response to organic cyclic compound {GO:0071407}; glutathione metabolic process {GO:0006749}; intrinsic apoptotic signaling pathway in response to oxidative stress {GO:0008631}; L-glutamate import across plasma membrane {GO:0098712}; L-glutamate transmembrane transport {GO:0015813}; learning or memory {GO:0007611}; negative regulation of L-glutamate import across plasma membrane {GO:0002037}; negative regulation of mitochondrial membrane potential {GO:0010917}; negative regulation of transport {GO:0051051}; neuron death in response to oxidative stress {GO:0036475}; positive regulation of apoptotic process {GO:0043065}; positive regulation of cysteine-type endopeptidase activity involved in apoptotic process {GO:0043280}; positive regulation of stress-activated MAPK cascade {GO:0032874}; protein localization to plasma membrane {GO:0072659}; protein transport {GO:0015031}; regulation of neurotransmitter uptake {GO:0051580}</t>
  </si>
  <si>
    <t>cytoplasm {GO:0005737}; cytoskeleton {GO:0005856}; endoplasmic reticulum membrane {GO:0005789}; integral component of membrane {GO:0016021}; membrane {GO:0016020}; plasma membrane {GO:0005886}</t>
  </si>
  <si>
    <t>Glutamate Neurotransmitter Release Cycle {R-MMU-210500}</t>
  </si>
  <si>
    <t>sp|P0C605|KGP1_MOUSE</t>
  </si>
  <si>
    <t>cGMP-dependent protein kinase 1 (cGK 1; cGK1)</t>
  </si>
  <si>
    <t>cGMP-dependent protein kinase I (cGKI)</t>
  </si>
  <si>
    <t>KGP1_MOUSE</t>
  </si>
  <si>
    <t>P0C605</t>
  </si>
  <si>
    <t>Q14DK6; Q9Z0Z0</t>
  </si>
  <si>
    <t>Prkg1b; Prkgr1a; Prkgr1b</t>
  </si>
  <si>
    <t>MGI:108174</t>
  </si>
  <si>
    <t>Acetylation; Allosteric enzyme; Alternative splicing; ATP-binding; cGMP; cGMP-binding; Coiled coil; Cytoplasm; Disulfide bond; Kinase; Nucleotide-binding; Phosphoprotein; Serine/threonine-protein kinase; Transferase</t>
  </si>
  <si>
    <t>ATP-binding; Nucleotide-binding; cGMP; cGMP-binding</t>
  </si>
  <si>
    <t>cGMP-mediated signaling {GO:0019934}; dendrite development {GO:0016358}; forebrain development {GO:0030900}; negative regulation of platelet aggregation {GO:0090331}; negative regulation of smooth muscle contraction {GO:0045986}; negative regulation of vascular associated smooth muscle cell migration {GO:1904753}; negative regulation of vascular associated smooth muscle cell proliferation {GO:1904706}; neuron migration {GO:0001764}; protein phosphorylation {GO:0006468}; regulation of GTPase activity {GO:0043087}; relaxation of vascular associated smooth muscle {GO:0060087}; signal transduction {GO:0007165}</t>
  </si>
  <si>
    <t>cytoplasm {GO:0005737}; Golgi apparatus {GO:0005794}; plasma membrane {GO:0005886}</t>
  </si>
  <si>
    <t>ATP binding {GO:0005524}; calcium channel regulator activity {GO:0005246}; cGMP binding {GO:0030553}; cGMP-dependent protein kinase activity {GO:0004692}; identical protein binding {GO:0042802}; protein kinase activity {GO:0004672}; protein serine kinase activity {GO:0106310}</t>
  </si>
  <si>
    <t>Rap1 signalling {R-MMU-392517}; cGMP effects {R-MMU-418457}</t>
  </si>
  <si>
    <t>sp|Q5U430|UBR3_MOUSE</t>
  </si>
  <si>
    <t>E3 ubiquitin-protein ligase UBR3</t>
  </si>
  <si>
    <t>N-recognin-3; RING-type E3 ubiquitin transferase UBR3; Ubiquitin-protein ligase E3-alpha-3; Ubiquitin-protein ligase E3-alpha-III; Zinc finger protein 650</t>
  </si>
  <si>
    <t>UBR3_MOUSE</t>
  </si>
  <si>
    <t>Q5U430</t>
  </si>
  <si>
    <t>A2AV04; A6MFP4; Q69Z32</t>
  </si>
  <si>
    <t>Kiaa2024; Zfp650; Znf650</t>
  </si>
  <si>
    <t>MGI:1861100</t>
  </si>
  <si>
    <t>Alternative splicing; Coiled coil; Membrane; Metal-binding; Phosphoprotein; Transferase; Transmembrane; Transmembrane helix; Ubl conjugation pathway; Zinc; Zinc-finger</t>
  </si>
  <si>
    <t>embryo development ending in birth or egg hatching {GO:0009792}; in utero embryonic development {GO:0001701}; negative regulation of calcium ion transmembrane transport via high voltage-gated calcium channel {GO:1904878}; olfactory behavior {GO:0042048}; positive regulation of protein catabolic process {GO:0045732}; protein ubiquitination {GO:0016567}; sensory perception of smell {GO:0007608}; suckling behavior {GO:0001967}; ubiquitin-dependent protein catabolic process {GO:0006511}; ubiquitin-dependent protein catabolic process via the N-end rule pathway {GO:0071596}</t>
  </si>
  <si>
    <t>cytoplasm {GO:0005737}; integral component of membrane {GO:0016021}; ubiquitin ligase complex {GO:0000151}</t>
  </si>
  <si>
    <t>ubiquitin protein ligase activity {GO:0061630}; ubiquitin-protein transferase activity {GO:0004842}; zinc ion binding {GO:0008270}</t>
  </si>
  <si>
    <t>sp|Q3UFY7|5NT3B_MOUSE</t>
  </si>
  <si>
    <t>7-methylguanosine phosphate-specific 5'-nucleotidase (7-methylguanosine nucleotidase)</t>
  </si>
  <si>
    <t>Cytosolic 5'-nucleotidase 3B; Cytosolic 5'-nucleotidase III-like protein (cN-III-like protein); N(7)-methylguanylate 5'-phosphatase</t>
  </si>
  <si>
    <t>5NT3B_MOUSE</t>
  </si>
  <si>
    <t>Q3UFY7</t>
  </si>
  <si>
    <t>A2A4I2; A2A4I3; Q3TLP3; Q8BHU9; Q91WE8; Q9D9F9</t>
  </si>
  <si>
    <t>Nt5c3l</t>
  </si>
  <si>
    <t>MGI:1915356</t>
  </si>
  <si>
    <t>Acetylation; Alternative splicing; Cytoplasm; Hydrolase; Magnesium; Metal-binding; Nucleotide metabolism; Nucleotide-binding</t>
  </si>
  <si>
    <t>nucleotide metabolic process {GO:0009117}</t>
  </si>
  <si>
    <t>hydrolase activity {GO:0016787}; magnesium ion binding {GO:0000287}; nucleotide binding {GO:0000166}</t>
  </si>
  <si>
    <t>sp|A2RSY6|TRM1L_MOUSE</t>
  </si>
  <si>
    <t>TRMT1-like protein</t>
  </si>
  <si>
    <t>TRM1L_MOUSE</t>
  </si>
  <si>
    <t>A2RSY6</t>
  </si>
  <si>
    <t>Q0VGB9; Q3UFG1; Q3UKB0; Q8C2S4; Q8CI50; Q8R203; Q9CT68</t>
  </si>
  <si>
    <t>MGI:1916185</t>
  </si>
  <si>
    <t>Alternative splicing; Behavior; Isopeptide bond; Metal-binding; Methyltransferase; Phosphoprotein; RNA-binding; S-adenosyl-L-methionine; Transferase; tRNA processing; tRNA-binding; Ubl conjugation; Zinc; Zinc-finger</t>
  </si>
  <si>
    <t>Behavior; tRNA processing</t>
  </si>
  <si>
    <t>adult behavior {GO:0030534}; adult locomotory behavior {GO:0008344}; tRNA N2-guanine methylation {GO:0002940}</t>
  </si>
  <si>
    <t>metal ion binding {GO:0046872}; tRNA (guanine-N2-)-methyltransferase activity {GO:0004809}; tRNA binding {GO:0000049}</t>
  </si>
  <si>
    <t>sp|Q9QXW9|LAT2_MOUSE</t>
  </si>
  <si>
    <t>Large neutral amino acids transporter small subunit 2</t>
  </si>
  <si>
    <t>L-type amino acid transporter 2 (mLAT2); Solute carrier family 7 member 8</t>
  </si>
  <si>
    <t>LAT2_MOUSE</t>
  </si>
  <si>
    <t>Q9QXW9</t>
  </si>
  <si>
    <t>Lat2</t>
  </si>
  <si>
    <t>MGI:1355323</t>
  </si>
  <si>
    <t>Amino-acid transport; Cell membrane; Cytoplasm; Disulfide bond; Membrane; Phosphoprotein; Transmembrane; Transmembrane helix; Transport</t>
  </si>
  <si>
    <t>amino acid import across plasma membrane {GO:0089718}; amino acid transport {GO:0006865}; glycine transport {GO:0015816}; L-alanine import across plasma membrane {GO:1904273}; L-amino acid transport {GO:0015807}; L-leucine import across plasma membrane {GO:1903801}; leucine import across plasma membrane {GO:0098713}; leucine transport {GO:0015820}; neutral amino acid transport {GO:0015804}; proline transmembrane transport {GO:0035524}; thyroid hormone transport {GO:0070327}; tryptophan transport {GO:0015827}; valine transport {GO:0015829}</t>
  </si>
  <si>
    <t>apical plasma membrane {GO:0016324}; basal plasma membrane {GO:0009925}; basolateral plasma membrane {GO:0016323}; cytoplasm {GO:0005737}; integral component of membrane {GO:0016021}; microvillus membrane {GO:0031528}; plasma membrane {GO:0005886}</t>
  </si>
  <si>
    <t>amine transmembrane transporter activity {GO:0005275}; amino acid transmembrane transporter activity {GO:0015171}; glycine transmembrane transporter activity {GO:0015187}; L-alanine transmembrane transporter activity {GO:0015180}; L-amino acid transmembrane transporter activity {GO:0015179}; L-leucine transmembrane transporter activity {GO:0015190}; neutral amino acid transmembrane transporter activity {GO:0015175}; organic cation transmembrane transporter activity {GO:0015101}; thyroid hormone transmembrane transporter activity {GO:0015349}; toxin transmembrane transporter activity {GO:0019534}</t>
  </si>
  <si>
    <t>Amino acid transport across the plasma membrane {R-MMU-352230}</t>
  </si>
  <si>
    <t>sp|Q8BGB7|ENOPH_MOUSE</t>
  </si>
  <si>
    <t>Enolase-phosphatase E1</t>
  </si>
  <si>
    <t>2,3-diketo-5-methylthio-1-phosphopentane phosphatase; MASA homolog</t>
  </si>
  <si>
    <t>ENOPH_MOUSE</t>
  </si>
  <si>
    <t>Q8BGB7</t>
  </si>
  <si>
    <t>Q3TGK8; Q3TXA2; Q3U8Y4; Q8VC92; Q9D6U4</t>
  </si>
  <si>
    <t>Masa</t>
  </si>
  <si>
    <t>MGI:1915120</t>
  </si>
  <si>
    <t>Alternative splicing; Amino-acid biosynthesis; Cytoplasm; Hydrolase; Magnesium; Metal-binding; Methionine biosynthesis; Nucleus</t>
  </si>
  <si>
    <t>2,3-diketo-5-methylthiopentyl-1-phosphate enolase activity {GO:0043715}; 2-hydroxy-3-keto-5-methylthiopentenyl-1-phosphate phosphatase activity {GO:0043716}; acireductone synthase activity {GO:0043874}; magnesium ion binding {GO:0000287}</t>
  </si>
  <si>
    <t>Amino-acid biosynthesis; L-methionine biosynthesis via salvage pathway; L-methionine from S-methyl-5-thio-alpha-D-ribose 1-phosphate: step 4/6..</t>
  </si>
  <si>
    <t>sp|Q8K0C9|GMDS_MOUSE</t>
  </si>
  <si>
    <t>GDP-mannose 4,6 dehydratase</t>
  </si>
  <si>
    <t>GDP-D-mannose dehydratase (GMD)</t>
  </si>
  <si>
    <t>GMDS_MOUSE</t>
  </si>
  <si>
    <t>Q8K0C9</t>
  </si>
  <si>
    <t>MGI:1891112</t>
  </si>
  <si>
    <t>Acetylation; Lyase; NADP; Phosphoprotein</t>
  </si>
  <si>
    <t>'de novo' GDP-L-fucose biosynthetic process {GO:0042351}; GDP-mannose metabolic process {GO:0019673}; Notch signaling pathway {GO:0007219}</t>
  </si>
  <si>
    <t>GDP-mannose 4,6-dehydratase activity {GO:0008446}; identical protein binding {GO:0042802}; NADP+ binding {GO:0070401}</t>
  </si>
  <si>
    <t>Nucleotide-sugar biosynthesis; GDP-L-fucose biosynthesis via de novo pathway; GDP-L-fucose from GDP-alpha-D-mannose: step 1/2.</t>
  </si>
  <si>
    <t>sp|Q921G8|GCP2_MOUSE</t>
  </si>
  <si>
    <t>Gamma-tubulin complex component 2 (GCP-2)</t>
  </si>
  <si>
    <t>GCP2_MOUSE</t>
  </si>
  <si>
    <t>Q921G8</t>
  </si>
  <si>
    <t>G5E859</t>
  </si>
  <si>
    <t>Gcp2</t>
  </si>
  <si>
    <t>MGI:1921487</t>
  </si>
  <si>
    <t>Cytoplasm; Cytoskeleton; Microtubule; Phosphoprotein</t>
  </si>
  <si>
    <t>brain development {GO:0007420}; cytoplasmic microtubule organization {GO:0031122}; meiotic cell cycle {GO:0051321}; microtubule nucleation {GO:0007020}; mitotic cell cycle {GO:0000278}; neuron migration {GO:0001764}; spindle assembly {GO:0051225}</t>
  </si>
  <si>
    <t>centrosome {GO:0005813}; cytosol {GO:0005829}; equatorial microtubule organizing center {GO:0000923}; gamma-tubulin complex {GO:0000930}; gamma-tubulin small complex {GO:0008275}; microtubule {GO:0005874}; microtubule organizing center {GO:0005815}; nucleoplasm {GO:0005654}; spindle pole {GO:0000922}</t>
  </si>
  <si>
    <t>gamma-tubulin binding {GO:0043015}</t>
  </si>
  <si>
    <t>Recruitment of mitotic centrosome proteins and complexes {R-MMU-380270}; Recruitment of NuMA to mitotic centrosomes {R-MMU-380320}</t>
  </si>
  <si>
    <t>sp|A2AG50|MA7D2_MOUSE</t>
  </si>
  <si>
    <t>MAP7 domain-containing protein 2</t>
  </si>
  <si>
    <t>MA7D2_MOUSE</t>
  </si>
  <si>
    <t>A2AG50</t>
  </si>
  <si>
    <t>A2AG54; Q8BLE6; Q8BMQ4; Q9D2A4</t>
  </si>
  <si>
    <t>Mtap7d2</t>
  </si>
  <si>
    <t>MGI:1917474</t>
  </si>
  <si>
    <t>Alternative splicing; Coiled coil</t>
  </si>
  <si>
    <t>microtubule cytoskeleton {GO:0015630}</t>
  </si>
  <si>
    <t>sp|P62878|RBX1_MOUSE</t>
  </si>
  <si>
    <t>E3 ubiquitin-protein ligase RBX1, N-terminally processed</t>
  </si>
  <si>
    <t>E3 ubiquitin-protein transferase RBX1; RING finger protein 75; RING-box protein 1 (Rbx1)</t>
  </si>
  <si>
    <t>RBX1_MOUSE</t>
  </si>
  <si>
    <t>P62878</t>
  </si>
  <si>
    <t>Q8N6Z8; Q9D1S2; Q9WUK9; Q9Y254</t>
  </si>
  <si>
    <t>MGI:1891829</t>
  </si>
  <si>
    <t>3D-structure; Acetylation; Cytoplasm; DNA damage; DNA repair; Metal-binding; Nucleus; Phosphoprotein; Transferase; Ubl conjugation pathway; Zinc; Zinc-finger</t>
  </si>
  <si>
    <t>cellular response to DNA damage stimulus {GO:0006974}; cellular response to UV {GO:0034644}; DNA repair {GO:0006281}; positive regulation of proteasomal ubiquitin-dependent protein catabolic process {GO:0032436}; positive regulation of protein autoubiquitination {GO:1902499}; proteasome-mediated ubiquitin-dependent protein catabolic process {GO:0043161}; protein catabolic process {GO:0030163}; protein K48-linked ubiquitination {GO:0070936}; protein monoubiquitination {GO:0006513}; protein neddylation {GO:0045116}; protein polyubiquitination {GO:0000209}; protein ubiquitination {GO:0016567}; SCF-dependent proteasomal ubiquitin-dependent protein catabolic process {GO:0031146}; ubiquitin-dependent protein catabolic process {GO:0006511}</t>
  </si>
  <si>
    <t>anaphase-promoting complex {GO:0005680}; Cul2-RING ubiquitin ligase complex {GO:0031462}; Cul3-RING ubiquitin ligase complex {GO:0031463}; Cul4A-RING E3 ubiquitin ligase complex {GO:0031464}; Cul4B-RING E3 ubiquitin ligase complex {GO:0031465}; Cul5-RING ubiquitin ligase complex {GO:0031466}; Cul7-RING ubiquitin ligase complex {GO:0031467}; cullin-RING ubiquitin ligase complex {GO:0031461}; cytosol {GO:0005829}; nucleoplasm {GO:0005654}; nucleus {GO:0005634}; SCF ubiquitin ligase complex {GO:0019005}; ubiquitin ligase complex {GO:0000151}; VCB complex {GO:0030891}</t>
  </si>
  <si>
    <t>cullin family protein binding {GO:0097602}; eukaryotic initiation factor 4E binding {GO:0008190}; NEDD8 ligase activity {GO:0061663}; protein-containing complex binding {GO:0044877}; RNA polymerase II-specific DNA-binding transcription factor binding {GO:0061629}; ubiquitin protein ligase activity {GO:0061630}; ubiquitin protein ligase binding {GO:0031625}; ubiquitin-protein transferase activity {GO:0004842}; ubiquitin-ubiquitin ligase activity {GO:0034450}; zinc ion binding {GO:0008270}</t>
  </si>
  <si>
    <t>Recognition of DNA damage by PCNA-containing replication complex {R-MMU-110314}; Prolactin receptor signaling {R-MMU-1170546}; Oxygen-dependent proline hydroxylation of Hypoxia-inducible Factor Alpha {R-MMU-1234176}; Degradation of beta-catenin by the destruction complex {R-MMU-195253}; Degradation of DVL {R-MMU-4641258}; Degradation of GLI1 by the proteasome {R-MMU-5610780}; GLI3 is processed to GLI3R by the proteasome {R-MMU-5610785}; Hedgehog 'on' state {R-MMU-5632684}; Regulation of RAS by GAPs {R-MMU-5658442}; DNA Damage Recognition in GG-NER {R-MMU-5696394}; Formation of Incision Complex in GG-NER {R-MMU-5696395}; Dual Incision in GG-NER {R-MMU-5696400}; Formation of TC-NER Pre-Incision Complex {R-MMU-6781823}; Dual incision in TC-NER {R-MMU-6782135}; Gap-filling DNA repair synthesis and ligation in TC-NER {R-MMU-6782210}; Orc1 removal from chromatin {R-MMU-68949}; FBXL7 down-regulates AURKA during mitotic entry and in early mitosis {R-MMU-8854050}; Regulation of RUNX2 expression and activity {R-MMU-8939902}; Neddylation {R-MMU-8951664}; Interleukin-1 signaling {R-MMU-9020702}; Regulation of BACH1 activity {R-MMU-9708530}; KEAP1-NFE2L2 pathway {R-MMU-9755511}; GSK3B and BTRC:CUL1-mediated-degradation of NFE2L2 {R-MMU-9762114}; Antigen processing: Ubiquitination &amp; Proteasome degradation {R-MMU-983168}</t>
  </si>
  <si>
    <t>sp|Q6P5B0|RRP12_MOUSE</t>
  </si>
  <si>
    <t>RRP12-like protein</t>
  </si>
  <si>
    <t>RRP12_MOUSE</t>
  </si>
  <si>
    <t>Q6P5B0</t>
  </si>
  <si>
    <t>Q7TMI5; Q80TU2</t>
  </si>
  <si>
    <t>Kiaa0690</t>
  </si>
  <si>
    <t>MGI:2147437</t>
  </si>
  <si>
    <t>Isopeptide bond; Membrane; Nucleus; Phosphoprotein; Transmembrane; Transmembrane helix; Ubl conjugation</t>
  </si>
  <si>
    <t>cytosol {GO:0005829}; integral component of membrane {GO:0016021}; intracellular membrane-bounded organelle {GO:0043231}; nuclear membrane {GO:0031965}; nucleolus {GO:0005730}; plasma membrane {GO:0005886}</t>
  </si>
  <si>
    <t>sp|A2A8L5|PTPRF_MOUSE</t>
  </si>
  <si>
    <t>Receptor-type tyrosine-protein phosphatase F</t>
  </si>
  <si>
    <t>Leukocyte common antigen related (LAR)</t>
  </si>
  <si>
    <t>PTPRF_MOUSE</t>
  </si>
  <si>
    <t>A2A8L5</t>
  </si>
  <si>
    <t>Q6PG86; Q9EQ17</t>
  </si>
  <si>
    <t>Lar</t>
  </si>
  <si>
    <t>MGI:102695</t>
  </si>
  <si>
    <t>3D-structure; Cell adhesion; Disulfide bond; Glycoprotein; Heparin-binding; Hydrolase; Immunoglobulin domain; Membrane; Phosphoprotein; Protein phosphatase; Receptor; Repeat; Signal; Transmembrane; Transmembrane helix</t>
  </si>
  <si>
    <t>Heparin-binding; Hydrolase; Protein phosphatase; Receptor</t>
  </si>
  <si>
    <t>cell migration {GO:0016477}; homophilic cell adhesion via plasma membrane adhesion molecules {GO:0007156}; negative regulation of cell population proliferation {GO:0008285}; negative regulation of cell projection organization {GO:0031345}; negative regulation of cytokine-mediated signaling pathway {GO:0001960}; negative regulation of epidermal growth factor receptor signaling pathway {GO:0042059}; negative regulation of insulin receptor signaling pathway {GO:0046627}; negative regulation of neurotrophin TRK receptor signaling pathway {GO:0051387}; negative regulation of receptor binding {GO:1900121}; nervous system development {GO:0007399}; neuron projection regeneration {GO:0031102}; peptidyl-tyrosine dephosphorylation {GO:0035335}; positive regulation of apoptotic process {GO:0043065}; positive regulation of dendrite morphogenesis {GO:0050775}; positive regulation of neuron apoptotic process {GO:0043525}; protein dephosphorylation {GO:0006470}; regulation of axon regeneration {GO:0048679}; regulation of neuron projection development {GO:0010975}; regulation of postsynapse organization {GO:0099175}; regulation of synapse structure or activity {GO:0050803}; synaptic membrane adhesion {GO:0099560}</t>
  </si>
  <si>
    <t>endosome {GO:0005768}; excitatory synapse {GO:0060076}; growth cone {GO:0030426}; integral component of postsynaptic density membrane {GO:0099061}; intracellular membrane-bounded organelle {GO:0043231}; membrane {GO:0016020}; neuron projection {GO:0043005}; neuronal cell body {GO:0043025}; plasma membrane {GO:0005886}</t>
  </si>
  <si>
    <t>cell adhesion molecule binding {GO:0050839}; chondroitin sulfate proteoglycan binding {GO:0035373}; heparin binding {GO:0008201}; insulin receptor binding {GO:0005158}; phosphate ion binding {GO:0042301}; phosphoprotein phosphatase activity {GO:0004721}; protein tyrosine phosphatase activity {GO:0004725}; protein-containing complex binding {GO:0044877}; receptor tyrosine kinase binding {GO:0030971}; transmembrane receptor protein tyrosine phosphatase activity {GO:0005001}</t>
  </si>
  <si>
    <t>Receptor-type tyrosine-protein phosphatases {R-MMU-388844}; Synaptic adhesion-like molecules {R-MMU-8849932}</t>
  </si>
  <si>
    <t>sp|Q9CQ02|COMD4_MOUSE</t>
  </si>
  <si>
    <t>COMM domain-containing protein 4</t>
  </si>
  <si>
    <t>COMD4_MOUSE</t>
  </si>
  <si>
    <t>Q9CQ02</t>
  </si>
  <si>
    <t>MGI:1913449</t>
  </si>
  <si>
    <t>Cytoplasm; Nucleus; Transcription; Transcription regulation; Ubl conjugation pathway</t>
  </si>
  <si>
    <t>cytoplasm {GO:0005737}; cytosol {GO:0005829}; intracellular membrane-bounded organelle {GO:0043231}; nucleus {GO:0005634}; plasma membrane {GO:0005886}</t>
  </si>
  <si>
    <t>sp|Q9ESN6|TRIM2_MOUSE</t>
  </si>
  <si>
    <t>Tripartite motif-containing protein 2</t>
  </si>
  <si>
    <t>E3 ubiquitin-protein ligase TRIM2; Neural activity-related RING finger protein; RING-type E3 ubiquitin transferase TRIM2</t>
  </si>
  <si>
    <t>TRIM2_MOUSE</t>
  </si>
  <si>
    <t>Q9ESN6</t>
  </si>
  <si>
    <t>Q3UHP5; Q5DU27; Q8C981</t>
  </si>
  <si>
    <t>Kiaa0517; Narf</t>
  </si>
  <si>
    <t>MGI:1933163</t>
  </si>
  <si>
    <t>Cytoplasm; Metal-binding; Phosphoprotein; Repeat; Transferase; Ubl conjugation; Ubl conjugation pathway; Zinc; Zinc-finger</t>
  </si>
  <si>
    <t>cellular response to leukemia inhibitory factor {GO:1990830}; proteasome-mediated ubiquitin-dependent protein catabolic process {GO:0043161}; protein polyubiquitination {GO:0000209}; regulation of neuron apoptotic process {GO:0043523}</t>
  </si>
  <si>
    <t>myosin binding {GO:0017022}; ubiquitin protein ligase activity {GO:0061630}; ubiquitin-protein transferase activity {GO:0004842}; zinc ion binding {GO:0008270}</t>
  </si>
  <si>
    <t>sp|Q922E4|PCY2_MOUSE</t>
  </si>
  <si>
    <t>Ethanolamine-phosphate cytidylyltransferase</t>
  </si>
  <si>
    <t>CTP:phosphoethanolamine cytidylyltransferase; Phosphorylethanolamine transferase</t>
  </si>
  <si>
    <t>PCY2_MOUSE</t>
  </si>
  <si>
    <t>Q922E4</t>
  </si>
  <si>
    <t>Q99J50</t>
  </si>
  <si>
    <t>MGI:1915921</t>
  </si>
  <si>
    <t>Lipid biosynthesis; Lipid metabolism; Nucleotidyltransferase; Phospholipid biosynthesis; Phospholipid metabolism; Phosphoprotein; Transferase</t>
  </si>
  <si>
    <t>phosphatidylethanolamine biosynthetic process {GO:0006646}</t>
  </si>
  <si>
    <t>ethanolamine-phosphate cytidylyltransferase activity {GO:0004306}</t>
  </si>
  <si>
    <t>Phospholipid metabolism; phosphatidylethanolamine biosynthesis; phosphatidylethanolamine from ethanolamine: step 2/3.</t>
  </si>
  <si>
    <t>Synthesis of PE {R-MMU-1483213}</t>
  </si>
  <si>
    <t>sp|Q8K0D5|EFGM_MOUSE</t>
  </si>
  <si>
    <t>Elongation factor G, mitochondrial (EF-Gmt)</t>
  </si>
  <si>
    <t>Elongation factor G 1, mitochondrial (mEF-G 1); Elongation factor G1</t>
  </si>
  <si>
    <t>EFGM_MOUSE</t>
  </si>
  <si>
    <t>Q8K0D5</t>
  </si>
  <si>
    <t>Q921D6; Q924I0</t>
  </si>
  <si>
    <t>Efg; Efg1; Gfm</t>
  </si>
  <si>
    <t>MGI:107339</t>
  </si>
  <si>
    <t>Acetylation; Elongation factor; GTP-binding; Mitochondrion; Nucleotide-binding; Phosphoprotein; Protein biosynthesis; Transit peptide</t>
  </si>
  <si>
    <t>mitochondrial translational elongation {GO:0070125}</t>
  </si>
  <si>
    <t>Protein biosynthesis; polypeptide chain elongation.</t>
  </si>
  <si>
    <t>Mitochondrial translation elongation {R-MMU-5389840}</t>
  </si>
  <si>
    <t>sp|Q99KG3|RBM10_MOUSE</t>
  </si>
  <si>
    <t>RNA-binding protein 10</t>
  </si>
  <si>
    <t>RNA-binding motif protein 10</t>
  </si>
  <si>
    <t>RBM10_MOUSE</t>
  </si>
  <si>
    <t>Q99KG3</t>
  </si>
  <si>
    <t>Q3TIY0; Q3U5B8; Q3UKI8; Q80U75; Q8BTP8</t>
  </si>
  <si>
    <t>Kiaa0122</t>
  </si>
  <si>
    <t>MGI:2384310</t>
  </si>
  <si>
    <t>Acetylation; Alternative initiation; Alternative splicing; Metal-binding; Methylation; Nucleus; Phosphoprotein; Repeat; RNA-binding; Zinc; Zinc-finger</t>
  </si>
  <si>
    <t>3'-UTR-mediated mRNA stabilization {GO:0070935}; mRNA splicing, via spliceosome {GO:0000398}; mRNA stabilization {GO:0048255}; negative regulation of cell growth involved in cardiac muscle cell development {GO:0061052}; negative regulation of cell population proliferation {GO:0008285}; negative regulation of mRNA splicing, via spliceosome {GO:0048025}; negative regulation of transcription by RNA polymerase II {GO:0000122}; negative regulation of vascular associated smooth muscle cell proliferation {GO:1904706}; positive regulation of execution phase of apoptosis {GO:1900119}; positive regulation of vascular associated smooth muscle cell apoptotic process {GO:1905461}; regulation of alternative mRNA splicing, via spliceosome {GO:0000381}; regulation of vascular associated smooth muscle cell apoptotic process {GO:1905459}; vascular associated smooth muscle cell apoptotic process {GO:1905288}; vascular associated smooth muscle cell proliferation {GO:1990874}</t>
  </si>
  <si>
    <t>nuclear speck {GO:0016607}; nucleus {GO:0005634}; protein-containing complex {GO:0032991}</t>
  </si>
  <si>
    <t>identical protein binding {GO:0042802}; metal ion binding {GO:0046872}; miRNA binding {GO:0035198}; RNA binding {GO:0003723}; single-stranded RNA binding {GO:0003727}</t>
  </si>
  <si>
    <t>sp|Q8C166|CPNE1_MOUSE</t>
  </si>
  <si>
    <t>Copine-1</t>
  </si>
  <si>
    <t>Copine I</t>
  </si>
  <si>
    <t>CPNE1_MOUSE</t>
  </si>
  <si>
    <t>Q8C166</t>
  </si>
  <si>
    <t>Q925K4; Q925K5</t>
  </si>
  <si>
    <t>MGI:2386621</t>
  </si>
  <si>
    <t>Acetylation; Calcium; Cell membrane; Cytoplasm; Differentiation; Membrane; Metal-binding; Nucleus; Repeat; Repressor; Transcription; Transcription regulation</t>
  </si>
  <si>
    <t>cellular response to calcium ion {GO:0071277}; negative regulation of DNA binding {GO:0043392}; negative regulation of gene expression {GO:0010629}; negative regulation of NIK/NF-kappaB signaling {GO:1901223}; neuron projection extension {GO:1990138}; positive regulation of neuron differentiation {GO:0045666}; positive regulation of protein kinase B signaling {GO:0051897}; positive regulation of tumor necrosis factor-mediated signaling pathway {GO:1903265}; proteolysis {GO:0006508}; regulation of I-kappaB kinase/NF-kappaB signaling {GO:0043122}</t>
  </si>
  <si>
    <t>aggresome {GO:0016235}; cytoplasm {GO:0005737}; cytosol {GO:0005829}; membrane {GO:0016020}; nuclear membrane {GO:0031965}; nucleoplasm {GO:0005654}; nucleus {GO:0005634}; plasma membrane {GO:0005886}</t>
  </si>
  <si>
    <t>calcium ion binding {GO:0005509}; calcium-dependent phospholipid binding {GO:0005544}; endopeptidase activity {GO:0004175}; identical protein binding {GO:0042802}; NF-kappaB binding {GO:0051059}; phosphatidylserine binding {GO:0001786}</t>
  </si>
  <si>
    <t>sp|Q9EQ61|PESC_MOUSE</t>
  </si>
  <si>
    <t>Pescadillo homolog</t>
  </si>
  <si>
    <t>PESC_MOUSE</t>
  </si>
  <si>
    <t>Q9EQ61</t>
  </si>
  <si>
    <t>Q542F0</t>
  </si>
  <si>
    <t>Pes</t>
  </si>
  <si>
    <t>MGI:1890613</t>
  </si>
  <si>
    <t>Acetylation; Chromosome; Isopeptide bond; Nucleus; Ribosome biogenesis; rRNA processing; Ubl conjugation</t>
  </si>
  <si>
    <t>fibroblast proliferation {GO:0048144}; maturation of 5.8S rRNA from tricistronic rRNA transcript (SSU-rRNA, 5.8S rRNA, LSU-rRNA) {GO:0000466}; maturation of LSU-rRNA from tricistronic rRNA transcript (SSU-rRNA, 5.8S rRNA, LSU-rRNA) {GO:0000463}; nucleolus organization {GO:0007000}; protein localization to organelle {GO:0033365}; regulation of cell cycle {GO:0051726}; ribosome biogenesis {GO:0042254}; rRNA processing {GO:0006364}</t>
  </si>
  <si>
    <t>chromosome {GO:0005694}; condensed chromosome {GO:0000793}; cytosol {GO:0005829}; nucleolus {GO:0005730}; nucleoplasm {GO:0005654}; nucleus {GO:0005634}; PeBoW complex {GO:0070545}; preribosome, large subunit precursor {GO:0030687}</t>
  </si>
  <si>
    <t>ribonucleoprotein complex binding {GO:0043021}; RNA binding {GO:0003723}</t>
  </si>
  <si>
    <t>sp|Q80ZM7|T2AG_MOUSE</t>
  </si>
  <si>
    <t>sp|Q8BTW9|PAK4_MOUSE</t>
  </si>
  <si>
    <t>Serine/threonine-protein kinase PAK 4</t>
  </si>
  <si>
    <t>p21-activated kinase 4 (PAK-4)</t>
  </si>
  <si>
    <t>PAK4_MOUSE</t>
  </si>
  <si>
    <t>Q8BTW9</t>
  </si>
  <si>
    <t>Q6ZPX0; Q80Z97; Q9CS71</t>
  </si>
  <si>
    <t>Kiaa1142</t>
  </si>
  <si>
    <t>MGI:1917834</t>
  </si>
  <si>
    <t>Apoptosis; ATP-binding; Cell cycle; Cytoplasm; Kinase; Methylation; Nucleotide-binding; Phosphoprotein; Serine/threonine-protein kinase; Transferase; Ubl conjugation</t>
  </si>
  <si>
    <t>apoptotic process {GO:0006915}; cell cycle {GO:0007049}; cellular response to organic cyclic compound {GO:0071407}; dendritic spine development {GO:0060996}; intracellular signal transduction {GO:0035556}; negative regulation of endothelial cell apoptotic process {GO:2000352}; positive regulation of angiogenesis {GO:0045766}; protein phosphorylation {GO:0006468}; regulation of MAPK cascade {GO:0043408}</t>
  </si>
  <si>
    <t>RAC1 GTPase cycle {R-MMU-9013149}; RAC2 GTPase cycle {R-MMU-9013404}; RHOQ GTPase cycle {R-MMU-9013406}; RHOH GTPase cycle {R-MMU-9013407}; RHOG GTPase cycle {R-MMU-9013408}; RHOU GTPase cycle {R-MMU-9013420}; RAC3 GTPase cycle {R-MMU-9013423}; RHOV GTPase cycle {R-MMU-9013424}</t>
  </si>
  <si>
    <t>sp|P18052|PTPRA_MOUSE</t>
  </si>
  <si>
    <t>Receptor-type tyrosine-protein phosphatase alpha (Protein-tyrosine phosphatase alpha; R-PTP-alpha)</t>
  </si>
  <si>
    <t>LCA-related phosphatase; PTPTY-28</t>
  </si>
  <si>
    <t>PTPRA_MOUSE</t>
  </si>
  <si>
    <t>P18052</t>
  </si>
  <si>
    <t>A2AHF2; Q61808</t>
  </si>
  <si>
    <t>Lrp; Ptpa</t>
  </si>
  <si>
    <t>MGI:97808</t>
  </si>
  <si>
    <t>3D-structure; Alternative splicing; Cell junction; Cell membrane; Glycoprotein; Hydrolase; Membrane; Phosphoprotein; Protein phosphatase; Repeat; Signal; Transmembrane; Transmembrane helix</t>
  </si>
  <si>
    <t>insulin receptor signaling pathway {GO:0008286}; integrin-mediated signaling pathway {GO:0007229}; modulation of chemical synaptic transmission {GO:0050804}; positive regulation of oligodendrocyte differentiation {GO:0048714}; protein dephosphorylation {GO:0006470}; protein phosphorylation {GO:0006468}; regulation of focal adhesion assembly {GO:0051893}</t>
  </si>
  <si>
    <t>focal adhesion {GO:0005925}; integral component of synaptic membrane {GO:0099699}; intracellular membrane-bounded organelle {GO:0043231}; membrane {GO:0016020}; plasma membrane {GO:0005886}; receptor complex {GO:0043235}; Schaffer collateral - CA1 synapse {GO:0098685}</t>
  </si>
  <si>
    <t>protein tyrosine phosphatase activity {GO:0004725}; protein-containing complex binding {GO:0044877}</t>
  </si>
  <si>
    <t>NCAM signaling for neurite out-growth {R-MMU-375165}; RAF/MAP kinase cascade {R-MMU-5673001}</t>
  </si>
  <si>
    <t>sp|Q99M31|HSP7E_MOUSE</t>
  </si>
  <si>
    <t>Heat shock 70 kDa protein 14</t>
  </si>
  <si>
    <t>NST-1; hsr.1</t>
  </si>
  <si>
    <t>HSP7E_MOUSE</t>
  </si>
  <si>
    <t>Q99M31</t>
  </si>
  <si>
    <t>A2AJH7; Q3U5W7; Q60637</t>
  </si>
  <si>
    <t>Hsp70-4</t>
  </si>
  <si>
    <t>MGI:1354164</t>
  </si>
  <si>
    <t>Alternative splicing; ATP-binding; Chaperone; Cytoplasm; Nucleotide-binding</t>
  </si>
  <si>
    <t>cellular response to unfolded protein {GO:0034620}; chaperone cofactor-dependent protein refolding {GO:0051085}; protein refolding {GO:0042026}; vesicle-mediated transport {GO:0016192}</t>
  </si>
  <si>
    <t>cytoplasm {GO:0005737}; cytosol {GO:0005829}; nucleus {GO:0005634}; plasma membrane {GO:0005886}; ribosome {GO:0005840}</t>
  </si>
  <si>
    <t>sp|Q61749|EI2BD_MOUSE</t>
  </si>
  <si>
    <t>Translation initiation factor eIF-2B subunit delta</t>
  </si>
  <si>
    <t>eIF-2B GDP-GTP exchange factor subunit delta</t>
  </si>
  <si>
    <t>EI2BD_MOUSE</t>
  </si>
  <si>
    <t>Q61749</t>
  </si>
  <si>
    <t>Q3TYW7; Q61748; Q8VC35</t>
  </si>
  <si>
    <t>Eif2b; Eif2bd; Jgr1a</t>
  </si>
  <si>
    <t>MGI:95300</t>
  </si>
  <si>
    <t>Acetylation; Alternative splicing; Initiation factor; Phosphoprotein; Protein biosynthesis</t>
  </si>
  <si>
    <t>myelination {GO:0042552}; negative regulation of guanyl-nucleotide exchange factor activity {GO:1905098}; oligodendrocyte development {GO:0014003}; ovarian follicle development {GO:0001541}; response to glucose {GO:0009749}; response to heat {GO:0009408}; response to peptide hormone {GO:0043434}; T cell receptor signaling pathway {GO:0050852}; translational initiation {GO:0006413}</t>
  </si>
  <si>
    <t>cytoplasm {GO:0005737}; eukaryotic translation initiation factor 2B complex {GO:0005851}</t>
  </si>
  <si>
    <t>sp|O35855|BCAT2_MOUSE</t>
  </si>
  <si>
    <t>Branched-chain-amino-acid aminotransferase, mitochondrial (BCAT(m))</t>
  </si>
  <si>
    <t>BCAT2_MOUSE</t>
  </si>
  <si>
    <t>O35855</t>
  </si>
  <si>
    <t>Q8VD03</t>
  </si>
  <si>
    <t>Bcatm; Eca40</t>
  </si>
  <si>
    <t>MGI:1276534</t>
  </si>
  <si>
    <t>Acetylation; Amino-acid biosynthesis; Aminotransferase; Branched-chain amino acid biosynthesis; Lipid metabolism; Mitochondrion; Pyridoxal phosphate; Transferase; Transit peptide</t>
  </si>
  <si>
    <t>branched-chain amino acid catabolic process {GO:0009083}; branched-chain amino acid metabolic process {GO:0009081}; cellular response to leukemia inhibitory factor {GO:1990830}; isoleucine catabolic process {GO:0006550}; isoleucine metabolic process {GO:0006549}; leucine biosynthetic process {GO:0009098}; leucine metabolic process {GO:0006551}; lipid metabolic process {GO:0006629}; regulation of hormone levels {GO:0010817}; valine biosynthetic process {GO:0009099}; valine metabolic process {GO:0006573}</t>
  </si>
  <si>
    <t>cytoplasm {GO:0005737}; mitochondrion {GO:0005739}; nucleoplasm {GO:0005654}; nucleus {GO:0005634}</t>
  </si>
  <si>
    <t>branched-chain-amino-acid transaminase activity {GO:0004084}; L-isoleucine transaminase activity {GO:0052656}; L-leucine transaminase activity {GO:0052654}; L-leucine:2-oxoglutarate aminotransferase activity {GO:0050048}; L-valine transaminase activity {GO:0052655}</t>
  </si>
  <si>
    <t>sp|Q9D142|NUD14_MOUSE</t>
  </si>
  <si>
    <t>Uridine diphosphate glucose pyrophosphatase NUDT14 (UDPG pyrophosphatase; UGPPase)</t>
  </si>
  <si>
    <t>Nucleoside diphosphate-linked moiety X motif 14 (Nudix motif 14)</t>
  </si>
  <si>
    <t>NUD14_MOUSE</t>
  </si>
  <si>
    <t>Q9D142</t>
  </si>
  <si>
    <t>Q9CSD2</t>
  </si>
  <si>
    <t>MGI:1913424</t>
  </si>
  <si>
    <t>Cytoplasm; Hydrolase; Magnesium</t>
  </si>
  <si>
    <t>nucleoside phosphate metabolic process {GO:0006753}; ribose phosphate metabolic process {GO:0019693}</t>
  </si>
  <si>
    <t>ADP-ribose diphosphatase activity {GO:0047631}; identical protein binding {GO:0042802}; metal ion binding {GO:0046872}; UDP-sugar diphosphatase activity {GO:0008768}</t>
  </si>
  <si>
    <t>Synthesis of dolichyl-phosphate-glucose {R-MMU-480985}</t>
  </si>
  <si>
    <t>sp|Q571I9|A16A1_MOUSE</t>
  </si>
  <si>
    <t>Aldehyde dehydrogenase family 16 member A1</t>
  </si>
  <si>
    <t>A16A1_MOUSE</t>
  </si>
  <si>
    <t>Q571I9</t>
  </si>
  <si>
    <t>Q3U6I2; Q3UMC3; Q8C0L4; Q8VD78</t>
  </si>
  <si>
    <t>MGI:1916998</t>
  </si>
  <si>
    <t>oxidoreductase activity, acting on the aldehyde or oxo group of donors, NAD or NADP as acceptor {GO:0016620}</t>
  </si>
  <si>
    <t>sp|Q99K70|RRAGC_MOUSE</t>
  </si>
  <si>
    <t>Ras-related GTP-binding protein C (Rag C; RagC)</t>
  </si>
  <si>
    <t>GTPase-interacting protein 2; TIB929</t>
  </si>
  <si>
    <t>RRAGC_MOUSE</t>
  </si>
  <si>
    <t>Q99K70</t>
  </si>
  <si>
    <t>A2A7K7; Q3TL69; Q6IQZ6; Q8CFT7; Q9Z124</t>
  </si>
  <si>
    <t>MGI:1858751</t>
  </si>
  <si>
    <t>3D-structure; Acetylation; Alternative splicing; Cytoplasm; GTP-binding; Hydrolase; Lysosome; Nucleotide-binding; Nucleus; Phosphoprotein</t>
  </si>
  <si>
    <t>cellular response to amino acid starvation {GO:0034198}; cellular response to amino acid stimulus {GO:0071230}; cellular response to starvation {GO:0009267}; positive regulation of TOR signaling {GO:0032008}; regulation of autophagy {GO:0010506}; regulation of TOR signaling {GO:0032006}; regulation of TORC1 signaling {GO:1903432}; response to amino acid {GO:0043200}</t>
  </si>
  <si>
    <t>cytoplasm {GO:0005737}; Gtr1-Gtr2 GTPase complex {GO:1990131}; intracellular membrane-bounded organelle {GO:0043231}; lysosome {GO:0005764}; nucleoplasm {GO:0005654}; nucleus {GO:0005634}</t>
  </si>
  <si>
    <t>GDP binding {GO:0019003}; GTP binding {GO:0005525}; GTPase activity {GO:0003924}; GTPase binding {GO:0051020}; protein heterodimerization activity {GO:0046982}</t>
  </si>
  <si>
    <t>sp|Q8BRK8|AAPK2_MOUSE</t>
  </si>
  <si>
    <t>5'-AMP-activated protein kinase catalytic subunit alpha-2 (AMPK subunit alpha-2)</t>
  </si>
  <si>
    <t>Acetyl-CoA carboxylase kinase (ACACA kinase); Hydroxymethylglutaryl-CoA reductase kinase (HMGCR kinase)</t>
  </si>
  <si>
    <t>AAPK2_MOUSE</t>
  </si>
  <si>
    <t>Q8BRK8</t>
  </si>
  <si>
    <t>B1ASQ8; Q3UYM4</t>
  </si>
  <si>
    <t>MGI:1336173</t>
  </si>
  <si>
    <t>ATP-binding; Autophagy; Biological rhythms; Cholesterol biosynthesis; Cholesterol metabolism; Chromatin regulator; Cytoplasm; Fatty acid biosynthesis; Fatty acid metabolism; Kinase; Lipid biosynthesis; Lipid metabolism; Magnesium; Metal-binding; Nucleotide-binding; Nucleus; Phosphoprotein; Serine/threonine-protein kinase; Steroid biosynthesis; Steroid metabolism; Sterol biosynthesis; Sterol metabolism; Transcription; Transcription regulation; Transferase; Ubl conjugation; Wnt signaling pathway</t>
  </si>
  <si>
    <t>Autophagy; Biological rhythms; Cholesterol biosynthesis; Cholesterol metabolism; Fatty acid biosynthesis; Fatty acid metabolism; Lipid biosynthesis; Lipid metabolism; Steroid biosynthesis; Steroid metabolism; Sterol biosynthesis; Sterol metabolism; Transcription; Transcription regulation; Wnt signaling pathway</t>
  </si>
  <si>
    <t>Chromatin regulator; Kinase; Serine/threonine-protein kinase; Transferase</t>
  </si>
  <si>
    <t>autophagy {GO:0006914}; cellular response to calcium ion {GO:0071277}; cellular response to glucose starvation {GO:0042149}; cellular response to glucose stimulus {GO:0071333}; cellular response to nutrient levels {GO:0031669}; cellular response to oxidative stress {GO:0034599}; cellular response to prostaglandin E stimulus {GO:0071380}; cellular response to xenobiotic stimulus {GO:0071466}; cholesterol biosynthetic process {GO:0006695}; chromatin organization {GO:0006325}; energy homeostasis {GO:0097009}; fatty acid biosynthetic process {GO:0006633}; fatty acid homeostasis {GO:0055089}; glucose homeostasis {GO:0042593}; intracellular signal transduction {GO:0035556}; lipid biosynthetic process {GO:0008610}; lipid droplet disassembly {GO:1905691}; negative regulation of apoptotic process {GO:0043066}; negative regulation of gene expression {GO:0010629}; negative regulation of TOR signaling {GO:0032007}; negative regulation of tubulin deacetylation {GO:1904428}; positive regulation of autophagy {GO:0010508}; positive regulation of glycolytic process {GO:0045821}; positive regulation of peptidyl-lysine acetylation {GO:2000758}; positive regulation of protein localization {GO:1903829}; protein localization to lipid droplet {GO:1990044}; protein phosphorylation {GO:0006468}; regulation of circadian rhythm {GO:0042752}; regulation of gene expression {GO:0010468}; regulation of lipid metabolic process {GO:0019216}; regulation of macroautophagy {GO:0016241}; regulation of microtubule cytoskeleton organization {GO:0070507}; regulation of stress granule assembly {GO:0062028}; response to activity {GO:0014823}; response to caffeine {GO:0031000}; response to muscle activity {GO:0014850}; rhythmic process {GO:0048511}; Wnt signaling pathway {GO:0016055}</t>
  </si>
  <si>
    <t>apical plasma membrane {GO:0016324}; axon {GO:0030424}; cytoplasm {GO:0005737}; cytoplasmic stress granule {GO:0010494}; cytosol {GO:0005829}; dendrite {GO:0030425}; Golgi apparatus {GO:0005794}; neuronal cell body {GO:0043025}; nuclear speck {GO:0016607}; nucleoplasm {GO:0005654}; nucleotide-activated protein kinase complex {GO:0031588}; nucleus {GO:0005634}; protein-containing complex {GO:0032991}</t>
  </si>
  <si>
    <t>[acetyl-CoA carboxylase] kinase activity {GO:0050405}; [hydroxymethylglutaryl-CoA reductase (NADPH)] kinase activity {GO:0047322}; AMP-activated protein kinase activity {GO:0004679}; ATP binding {GO:0005524}; chromatin binding {GO:0003682}; histone serine kinase activity {GO:0035174}; metal ion binding {GO:0046872}; protein kinase activity {GO:0004672}; protein serine kinase activity {GO:0106310}; protein serine/threonine kinase activity {GO:0004674}; protein serine/threonine/tyrosine kinase activity {GO:0004712}; protein-containing complex binding {GO:0044877}; protein-macromolecule adaptor activity {GO:0030674}</t>
  </si>
  <si>
    <t>sp|Q99KF1|TMED9_MOUSE</t>
  </si>
  <si>
    <t>Transmembrane emp24 domain-containing protein 9</t>
  </si>
  <si>
    <t>Glycoprotein 25L2; p24 family protein alpha-2 (p24alpha2)</t>
  </si>
  <si>
    <t>TMED9_MOUSE</t>
  </si>
  <si>
    <t>Q99KF1</t>
  </si>
  <si>
    <t>Q9CX02</t>
  </si>
  <si>
    <t>Gp25l2</t>
  </si>
  <si>
    <t>MGI:1914761</t>
  </si>
  <si>
    <t>Acetylation; Coiled coil; Endoplasmic reticulum; Glycoprotein; Golgi apparatus; Membrane; Protein transport; Signal; Transmembrane; Transmembrane helix; Transport</t>
  </si>
  <si>
    <t>COPI coating of Golgi vesicle {GO:0048205}; endoplasmic reticulum to Golgi vesicle-mediated transport {GO:0006888}; Golgi organization {GO:0007030}; intracellular protein transport {GO:0006886}; positive regulation of organelle organization {GO:0010638}</t>
  </si>
  <si>
    <t>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Golgi apparatus {GO:0005794}; Golgi membrane {GO:0000139}; integral component of membrane {GO:0016021}; synaptic vesicle {GO:0008021}</t>
  </si>
  <si>
    <t>sp|Q5SWD9|TSR1_MOUSE</t>
  </si>
  <si>
    <t>Pre-rRNA-processing protein TSR1 homolog</t>
  </si>
  <si>
    <t>TSR1_MOUSE</t>
  </si>
  <si>
    <t>Q5SWD9</t>
  </si>
  <si>
    <t>Q3TMW6; Q3TRK6; Q3U4T2; Q3UYU4; Q3V3X8; Q6ZPR9; Q8K2F5</t>
  </si>
  <si>
    <t>Kiaa1401</t>
  </si>
  <si>
    <t>MGI:2144566</t>
  </si>
  <si>
    <t>Alternative splicing; Nucleus; Ribosome biogenesis</t>
  </si>
  <si>
    <t>endonucleolytic cleavage of tricistronic rRNA transcript (SSU-rRNA, 5.8S rRNA, LSU-rRNA) {GO:0000479}; maturation of SSU-rRNA from tricistronic rRNA transcript (SSU-rRNA, 5.8S rRNA, LSU-rRNA) {GO:0000462}</t>
  </si>
  <si>
    <t>nucleolus {GO:0005730}; preribosome, small subunit precursor {GO:0030688}</t>
  </si>
  <si>
    <t>GTP binding {GO:0005525}; GTPase activity {GO:0003924}; U3 snoRNA binding {GO:0034511}</t>
  </si>
  <si>
    <t>sp|Q80UP8|S20A2_MOUSE</t>
  </si>
  <si>
    <t>Sodium-dependent phosphate transporter 2</t>
  </si>
  <si>
    <t>Phosphate transporter 2 (PiT-2); Solute carrier family 20 member 2; Type III sodium-dependent phosphate transporter</t>
  </si>
  <si>
    <t>S20A2_MOUSE</t>
  </si>
  <si>
    <t>Q80UP8</t>
  </si>
  <si>
    <t>E9QLQ8; Q3TBZ8; Q9ES96</t>
  </si>
  <si>
    <t>Pit2</t>
  </si>
  <si>
    <t>MGI:97851</t>
  </si>
  <si>
    <t>Cell membrane; Glycoprotein; Host-virus interaction; Ion transport; Membrane; Phosphate transport; Phosphoprotein; Receptor; Sodium; Sodium transport; Symport; Transmembrane; Transmembrane helix; Transport</t>
  </si>
  <si>
    <t>Host-virus interaction; Ion transport; Phosphate transport; Sodium transport; Symport; Transport</t>
  </si>
  <si>
    <t>phosphate ion transmembrane transport {GO:0035435}; sodium ion transport {GO:0006814}</t>
  </si>
  <si>
    <t>integral component of membrane {GO:0016021}; plasma membrane {GO:0005886}</t>
  </si>
  <si>
    <t>inorganic phosphate transmembrane transporter activity {GO:0005315}; symporter activity {GO:0015293}</t>
  </si>
  <si>
    <t>Sodium-coupled phosphate cotransporters {R-MMU-427652}</t>
  </si>
  <si>
    <t>sp|Q571E4|GALNS_MOUSE</t>
  </si>
  <si>
    <t>N-acetylgalactosamine-6-sulfatase</t>
  </si>
  <si>
    <t>Chondroitinsulfatase (Chondroitinase); Galactose-6-sulfate sulfatase; N-acetylgalactosamine-6-sulfate sulfatase (GalNAc6S sulfatase)</t>
  </si>
  <si>
    <t>GALNS_MOUSE</t>
  </si>
  <si>
    <t>Q571E4</t>
  </si>
  <si>
    <t>Q3TWQ4; Q99KU8; Q9JHK9</t>
  </si>
  <si>
    <t>MGI:1355303</t>
  </si>
  <si>
    <t>Calcium; Disulfide bond; Glycoprotein; Hydrolase; Lysosome; Metal-binding; Signal</t>
  </si>
  <si>
    <t>arylsulfatase activity {GO:0004065}; metal ion binding {GO:0046872}; N-acetylgalactosamine-6-sulfatase activity {GO:0043890}; sulfuric ester hydrolase activity {GO:0008484}</t>
  </si>
  <si>
    <t>Keratan sulfate degradation {R-MMU-2022857}; Neutrophil degranulation {R-MMU-6798695}</t>
  </si>
  <si>
    <t>sp|Q8BV13|CSN7B_MOUSE</t>
  </si>
  <si>
    <t>COP9 signalosome complex subunit 7b (SGN7b; Signalosome subunit 7b)</t>
  </si>
  <si>
    <t>JAB1-containing signalosome subunit 7b</t>
  </si>
  <si>
    <t>CSN7B_MOUSE</t>
  </si>
  <si>
    <t>Q8BV13</t>
  </si>
  <si>
    <t>O88547; Q3TGG7; Q921G4</t>
  </si>
  <si>
    <t>Csn7b</t>
  </si>
  <si>
    <t>MGI:1349388</t>
  </si>
  <si>
    <t>Acetylation; Coiled coil; Cytoplasm; Nucleus; Signalosome</t>
  </si>
  <si>
    <t>COP9 signalosome {GO:0008180}; cytoplasm {GO:0005737}; nucleoplasm {GO:0005654}</t>
  </si>
  <si>
    <t>sp|Q9WU63|HEBP2_MOUSE</t>
  </si>
  <si>
    <t>Heme-binding protein 2</t>
  </si>
  <si>
    <t>Protein SOUL</t>
  </si>
  <si>
    <t>HEBP2_MOUSE</t>
  </si>
  <si>
    <t>Q9WU63</t>
  </si>
  <si>
    <t>Soul</t>
  </si>
  <si>
    <t>MGI:1860084</t>
  </si>
  <si>
    <t>Acetylation; Cytoplasm; Mitochondrion; Phosphoprotein</t>
  </si>
  <si>
    <t>negative regulation of mitochondrial membrane potential {GO:0010917}; positive regulation of mitochondrial membrane permeability {GO:0035794}; positive regulation of necrotic cell death {GO:0010940}</t>
  </si>
  <si>
    <t>heme binding {GO:0020037}</t>
  </si>
  <si>
    <t>sp|Q70FJ1|AKAP9_MOUSE</t>
  </si>
  <si>
    <t>A-kinase anchor protein 9 (AKAP-9)</t>
  </si>
  <si>
    <t>Protein kinase A-anchoring protein 9 (PRKA9)</t>
  </si>
  <si>
    <t>AKAP9_MOUSE</t>
  </si>
  <si>
    <t>Q70FJ1</t>
  </si>
  <si>
    <t>Q3TH74; Q80TR6</t>
  </si>
  <si>
    <t>Kiaa0803</t>
  </si>
  <si>
    <t>MGI:2178217</t>
  </si>
  <si>
    <t>Alternative splicing; Coiled coil; Cytoplasm; Cytoskeleton; Golgi apparatus; Phosphoprotein</t>
  </si>
  <si>
    <t>cellular response to cAMP {GO:0071320}; maintenance of centrosome location {GO:0051661}; microtubule nucleation {GO:0007020}; negative regulation of adenylate cyclase activity {GO:0007194}; positive regulation of microtubule polymerization {GO:0031116}; positive regulation of peptidyl-serine phosphorylation {GO:0033138}; positive regulation of potassium ion transmembrane transporter activity {GO:1901018}; protein-containing complex localization {GO:0031503}; regulation of cardiac muscle cell action potential involved in regulation of contraction {GO:0098909}; regulation of Golgi organization {GO:1903358}; regulation of heart rate by cardiac conduction {GO:0086091}; regulation of membrane repolarization {GO:0060306}; regulation of postsynaptic neurotransmitter receptor activity {GO:0098962}; regulation of ventricular cardiac muscle cell membrane repolarization {GO:0060307}; Sertoli cell development {GO:0060009}; signal transduction {GO:0007165}; spermatogenesis {GO:0007283}</t>
  </si>
  <si>
    <t>9+2 motile cilium {GO:0097729}; centrosome {GO:0005813}; ciliary basal body {GO:0036064}; cis-Golgi network {GO:0005801}; cytoplasm {GO:0005737}; dendritic branch {GO:0044307}; extrinsic component of postsynaptic density membrane {GO:0099147}; glutamatergic synapse {GO:0098978}; Golgi apparatus {GO:0005794}; Golgi stack {GO:0005795}; intracellular membrane-bounded organelle {GO:0043231}; neuronal cell body {GO:0043025}; pericentriolar material {GO:0000242}; potassium channel complex {GO:0034705}; subapical part of cell {GO:0120219}; synaptic membrane {GO:0097060}; voltage-gated potassium channel complex {GO:0008076}</t>
  </si>
  <si>
    <t>molecular adaptor activity {GO:0060090}; potassium channel regulator activity {GO:0015459}; protein kinase A regulatory subunit binding {GO:0034237}; transmembrane transporter binding {GO:0044325}</t>
  </si>
  <si>
    <t>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Phase 3 - rapid repolarisation {R-MMU-5576890}; Phase 2 - plateau phase {R-MMU-5576893}; Anchoring of the basal body to the plasma membrane {R-MMU-5620912}; AURKA Activation by TPX2 {R-MMU-8854518}</t>
  </si>
  <si>
    <t>sp|Q9JLV1|BAG3_MOUSE</t>
  </si>
  <si>
    <t>BAG family molecular chaperone regulator 3 (BAG-3)</t>
  </si>
  <si>
    <t>Bcl-2-associated athanogene 3; Bcl-2-binding protein Bis</t>
  </si>
  <si>
    <t>BAG3_MOUSE</t>
  </si>
  <si>
    <t>Q9JLV1</t>
  </si>
  <si>
    <t>Q9CQL3; Q9JJC7</t>
  </si>
  <si>
    <t>Bis</t>
  </si>
  <si>
    <t>MGI:1352493</t>
  </si>
  <si>
    <t>3D-structure; Acetylation; Apoptosis; Chaperone; Cytoplasm; Isopeptide bond; Methylation; Nucleus; Phosphoprotein; Repeat; Ubl conjugation</t>
  </si>
  <si>
    <t>autophagosome assembly {GO:0000045}; brain development {GO:0007420}; cellular response to heat {GO:0034605}; cellular response to mechanical stimulus {GO:0071260}; cellular response to unfolded protein {GO:0034620}; chaperone-mediated autophagy {GO:0061684}; extrinsic apoptotic signaling pathway in absence of ligand {GO:0097192}; extrinsic apoptotic signaling pathway via death domain receptors {GO:0008625}; muscle cell cellular homeostasis {GO:0046716}; negative regulation of apoptotic process {GO:0043066}; negative regulation of protein targeting to mitochondrion {GO:1903215}; negative regulation of striated muscle cell apoptotic process {GO:0010664}; negative regulation of transcription from RNA polymerase II promoter in response to stress {GO:0097201}; positive regulation of aggrephagy {GO:1905337}; positive regulation of protein export from nucleus {GO:0046827}; positive regulation of protein import into nucleus {GO:0042307}; protein stabilization {GO:0050821}; spinal cord development {GO:0021510}; striated muscle cell apoptotic process {GO:0010658}</t>
  </si>
  <si>
    <t>chaperone complex {GO:0101031}; cytoplasm {GO:0005737}; cytosol {GO:0005829}; membrane {GO:0016020}; neuron projection {GO:0043005}; nucleus {GO:0005634}; stress fiber {GO:0001725}; Z disc {GO:0030018}</t>
  </si>
  <si>
    <t>adenyl-nucleotide exchange factor activity {GO:0000774}; chaperone binding {GO:0051087}; protein-containing complex binding {GO:0044877}</t>
  </si>
  <si>
    <t>sp|Q99K46|UBP11_MOUSE</t>
  </si>
  <si>
    <t>Ubiquitin carboxyl-terminal hydrolase 11</t>
  </si>
  <si>
    <t>Deubiquitinating enzyme 11; Ubiquitin thioesterase 11; Ubiquitin-specific-processing protease 11</t>
  </si>
  <si>
    <t>UBP11_MOUSE</t>
  </si>
  <si>
    <t>Q99K46</t>
  </si>
  <si>
    <t>B1AXB2; Q3TLG5</t>
  </si>
  <si>
    <t>MGI:2384312</t>
  </si>
  <si>
    <t>Acetylation; Chromosome; Cytoplasm; Hydrolase; Nucleus; Phosphoprotein; Protease; Thiol protease; Ubl conjugation pathway</t>
  </si>
  <si>
    <t>chromosome {GO:0005694}; cytosol {GO:0005829}; nucleoplasm {GO:0005654}; nucleus {GO:0005634}</t>
  </si>
  <si>
    <t>cysteine-type deubiquitinase activity {GO:0004843}; cysteine-type endopeptidase activity {GO:0004197}; transcription corepressor binding {GO:0001222}</t>
  </si>
  <si>
    <t>sp|A2A791|ZMYM4_MOUSE</t>
  </si>
  <si>
    <t>Zinc finger MYM-type protein 4</t>
  </si>
  <si>
    <t>Zinc finger protein 262</t>
  </si>
  <si>
    <t>ZMYM4_MOUSE</t>
  </si>
  <si>
    <t>A2A791</t>
  </si>
  <si>
    <t>Q3UFQ2; Q6ZQB9; Q80X47; Q8K1H5</t>
  </si>
  <si>
    <t>Kiaa0425; Zfp262; Znf262</t>
  </si>
  <si>
    <t>MGI:1915035</t>
  </si>
  <si>
    <t>Acetylation; Alternative splicing; Isopeptide bond; Metal-binding; Phosphoprotein; Repeat; Ubl conjugation; Zinc; Zinc-finger</t>
  </si>
  <si>
    <t>cytoskeleton organization {GO:0007010}; regulation of cell morphogenesis {GO:0022604}</t>
  </si>
  <si>
    <t>sp|Q9QY48|DNS2B_MOUSE</t>
  </si>
  <si>
    <t>Deoxyribonuclease-2-beta</t>
  </si>
  <si>
    <t>DNase II-like acid DNase; DNase2-like acid DNase; Deoxyribonuclease II beta (DNase II beta); Endonuclease DLAD</t>
  </si>
  <si>
    <t>DNS2B_MOUSE</t>
  </si>
  <si>
    <t>Q9QY48</t>
  </si>
  <si>
    <t>Q8C589</t>
  </si>
  <si>
    <t>Dlad</t>
  </si>
  <si>
    <t>MGI:1913283</t>
  </si>
  <si>
    <t>Endonuclease; Glycoprotein; Hydrolase; Lysosome; Nuclease; Signal</t>
  </si>
  <si>
    <t>apoptotic DNA fragmentation {GO:0006309}</t>
  </si>
  <si>
    <t>cytoplasm {GO:0005737}; extracellular region {GO:0005576}; lysosome {GO:0005764}</t>
  </si>
  <si>
    <t>deoxyribonuclease II activity {GO:0004531}; endodeoxyribonuclease activity {GO:0004520}</t>
  </si>
  <si>
    <t>sp|Q8VE99|CC115_MOUSE</t>
  </si>
  <si>
    <t>Coiled-coil domain-containing protein 115</t>
  </si>
  <si>
    <t>Coiled-coil protein 1 (Ccp1)</t>
  </si>
  <si>
    <t>CC115_MOUSE</t>
  </si>
  <si>
    <t>Q8VE99</t>
  </si>
  <si>
    <t>Q3TS67</t>
  </si>
  <si>
    <t>MGI:1916918</t>
  </si>
  <si>
    <t>Coiled coil; Cytoplasmic vesicle; Endoplasmic reticulum; Endosome; Lysosome</t>
  </si>
  <si>
    <t>Cytoplasmic vesicle; Endoplasmic reticulum; Endosome; Lysosome</t>
  </si>
  <si>
    <t>cellular iron ion homeostasis {GO:0006879}; cellular response to increased oxygen levels {GO:0036295}; lysosomal lumen acidification {GO:0007042}; lysosomal protein catabolic process {GO:1905146}; vacuolar proton-transporting V-type ATPase complex assembly {GO:0070072}</t>
  </si>
  <si>
    <t>COPI-coated vesicle {GO:0030137}; endoplasmic reticulum {GO:0005783}; endoplasmic reticulum-Golgi intermediate compartment {GO:0005793}; endosome {GO:0005768}; extrinsic component of endoplasmic reticulum membrane {GO:0042406}; lysosome {GO:0005764}; vacuolar proton-transporting V-type ATPase complex {GO:0016471}</t>
  </si>
  <si>
    <t>RHOA GTPase cycle {R-MMU-8980692}</t>
  </si>
  <si>
    <t>sp|Q9JJR8|TMM9B_MOUSE</t>
  </si>
  <si>
    <t>Transmembrane protein 9B</t>
  </si>
  <si>
    <t>TMM9B_MOUSE</t>
  </si>
  <si>
    <t>Q9JJR8</t>
  </si>
  <si>
    <t>MGI:1915254</t>
  </si>
  <si>
    <t>Endosome; Glycoprotein; Lysosome; Membrane; Phosphoprotein; Signal; Transmembrane; Transmembrane helix</t>
  </si>
  <si>
    <t>early endosome membrane {GO:0031901}; integral component of membrane {GO:0016021}; lysosomal membrane {GO:0005765}</t>
  </si>
  <si>
    <t>sp|Q8VC31|CCDC9_MOUSE</t>
  </si>
  <si>
    <t>Coiled-coil domain-containing protein 9</t>
  </si>
  <si>
    <t>CCDC9_MOUSE</t>
  </si>
  <si>
    <t>Q8VC31</t>
  </si>
  <si>
    <t>MGI:1921443</t>
  </si>
  <si>
    <t>Coiled coil; Methylation; Phosphoprotein</t>
  </si>
  <si>
    <t>exon-exon junction complex {GO:0035145}</t>
  </si>
  <si>
    <t>sp|Q9CQA1|TPPC5_MOUSE</t>
  </si>
  <si>
    <t>Trafficking protein particle complex subunit 5</t>
  </si>
  <si>
    <t>TPPC5_MOUSE</t>
  </si>
  <si>
    <t>Q9CQA1</t>
  </si>
  <si>
    <t>Q8BJX6</t>
  </si>
  <si>
    <t>MGI:1913932</t>
  </si>
  <si>
    <t>Endoplasmic reticulum; ER-Golgi transport; Golgi apparatus; Phosphoprotein; Transport</t>
  </si>
  <si>
    <t>COPII vesicle coating {GO:0048208}; endoplasmic reticulum to Golgi vesicle-mediated transport {GO:0006888}; vesicle coating {GO:0006901}; vesicle tethering {GO:0099022}</t>
  </si>
  <si>
    <t>cytoplasm {GO:0005737}; endoplasmic reticulum {GO:0005783}; TRAPP complex {GO:0030008}; TRAPPI protein complex {GO:1990070}; TRAPPII protein complex {GO:1990071}; TRAPPIII protein complex {GO:1990072}</t>
  </si>
  <si>
    <t>sp|P97821|CATC_MOUSE</t>
  </si>
  <si>
    <t>Dipeptidyl peptidase 1 light chain</t>
  </si>
  <si>
    <t>Cathepsin C; Cathepsin J; Dipeptidyl peptidase I (DPP-I; DPPI); Dipeptidyl transferase; Dipeptidyl peptidase I exclusion domain chain; Dipeptidyl peptidase I heavy chain; Dipeptidyl peptidase I light chain</t>
  </si>
  <si>
    <t>CATC_MOUSE</t>
  </si>
  <si>
    <t>P97821</t>
  </si>
  <si>
    <t>O08853</t>
  </si>
  <si>
    <t>MGI:109553</t>
  </si>
  <si>
    <t>Chloride; Disulfide bond; Glycoprotein; Hydrolase; Lysosome; Protease; Signal; Thiol protease; Zymogen</t>
  </si>
  <si>
    <t>aging {GO:0007568}; negative regulation of myelination {GO:0031642}; positive regulation of apoptotic signaling pathway {GO:2001235}; positive regulation of microglial cell activation {GO:1903980}; positive regulation of proteolysis involved in protein catabolic process {GO:1903052}; proteolysis {GO:0006508}; proteolysis involved in protein catabolic process {GO:0051603}; response to organic substance {GO:0010033}; T cell mediated cytotoxicity {GO:0001913}</t>
  </si>
  <si>
    <t>centrosome {GO:0005813}; collagen-containing extracellular matrix {GO:0062023}; cytoplasm {GO:0005737}; endoplasmic reticulum {GO:0005783}; extracellular space {GO:0005615}; Golgi apparatus {GO:0005794}; intracellular membrane-bounded organelle {GO:0043231}; lysosome {GO:0005764}; nucleoplasm {GO:0005654}</t>
  </si>
  <si>
    <t>chaperone binding {GO:0051087}; chloride ion binding {GO:0031404}; cysteine-type endopeptidase activity {GO:0004197}; cysteine-type peptidase activity {GO:0008234}; dipeptidyl-peptidase activity {GO:0008239}; identical protein binding {GO:0042802}; peptidase activator activity involved in apoptotic process {GO:0016505}; phosphatase binding {GO:0019902}; protein self-association {GO:0043621}; serine-type endopeptidase activity {GO:0004252}</t>
  </si>
  <si>
    <t>COPII-mediated vesicle transport {R-MMU-204005}; MHC class II antigen presentation {R-MMU-2132295}; Cargo concentration in the ER {R-MMU-5694530}; Neutrophil degranulation {R-MMU-6798695}</t>
  </si>
  <si>
    <t>sp|A2BE28|LAS1L_MOUSE</t>
  </si>
  <si>
    <t>Ribosomal biogenesis protein LAS1L</t>
  </si>
  <si>
    <t>Protein LAS1 homolog</t>
  </si>
  <si>
    <t>LAS1L_MOUSE</t>
  </si>
  <si>
    <t>A2BE28</t>
  </si>
  <si>
    <t>A2BE30; Q6KAR5; Q8C742</t>
  </si>
  <si>
    <t>MGI:1923380</t>
  </si>
  <si>
    <t>Alternative splicing; Cytoplasm; Nucleus; Phosphoprotein; rRNA processing</t>
  </si>
  <si>
    <t>maturation of 5.8S rRNA {GO:0000460}; maturation of LSU-rRNA {GO:0000470}</t>
  </si>
  <si>
    <t>Las1 complex {GO:0090730}; MLL1 complex {GO:0071339}; nucleolus {GO:0005730}; preribosome, large subunit precursor {GO:0030687}</t>
  </si>
  <si>
    <t>endonuclease activity {GO:0004519}</t>
  </si>
  <si>
    <t>sp|Q9JM96|BORG4_MOUSE</t>
  </si>
  <si>
    <t>Cdc42 effector protein 4</t>
  </si>
  <si>
    <t>Binder of Rho GTPases 4</t>
  </si>
  <si>
    <t>BORG4_MOUSE</t>
  </si>
  <si>
    <t>Q9JM96</t>
  </si>
  <si>
    <t>Q3TNF3; Q9QZT8</t>
  </si>
  <si>
    <t>Borg4; Cep4</t>
  </si>
  <si>
    <t>MGI:1929760</t>
  </si>
  <si>
    <t>Cell shape; Cytoplasm; Cytoskeleton; Membrane; Methylation; Phosphoprotein</t>
  </si>
  <si>
    <t>cellular response to interferon-gamma {GO:0071346}; positive regulation of actin filament polymerization {GO:0030838}; positive regulation of pseudopodium assembly {GO:0031274}; regulation of cell shape {GO:0008360}; Rho protein signal transduction {GO:0007266}</t>
  </si>
  <si>
    <t>actin cytoskeleton {GO:0015629}; adherens junction {GO:0005912}; cytoplasm {GO:0005737}; cytoskeleton {GO:0005856}; endomembrane system {GO:0012505}; microtubule cytoskeleton {GO:0015630}; phagocytic vesicle {GO:0045335}; plasma membrane {GO:0005886}</t>
  </si>
  <si>
    <t>RAC1 GTPase cycle {R-MMU-9013149}; RAC2 GTPase cycle {R-MMU-9013404}; RHOQ GTPase cycle {R-MMU-9013406}</t>
  </si>
  <si>
    <t>sp|Q9D0M1|KPRA_MOUSE</t>
  </si>
  <si>
    <t>Phosphoribosyl pyrophosphate synthase-associated protein 1 (PRPP synthase-associated protein 1)</t>
  </si>
  <si>
    <t>39 kDa phosphoribosypyrophosphate synthase-associated protein (PAP39)</t>
  </si>
  <si>
    <t>KPRA_MOUSE</t>
  </si>
  <si>
    <t>Q9D0M1</t>
  </si>
  <si>
    <t>MGI:1915013</t>
  </si>
  <si>
    <t>5-phosphoribose 1-diphosphate biosynthetic process {GO:0006015}; negative regulation of kinase activity {GO:0033673}; purine nucleotide biosynthetic process {GO:0006164}</t>
  </si>
  <si>
    <t>enzyme regulator activity {GO:0030234}; identical protein binding {GO:0042802}; kinase binding {GO:0019900}; magnesium ion binding {GO:0000287}; ribose phosphate diphosphokinase activity {GO:0004749}</t>
  </si>
  <si>
    <t>sp|P62715|PP2AB_MOUSE</t>
  </si>
  <si>
    <t>Serine/threonine-protein phosphatase 2A catalytic subunit beta isoform (PP2A-beta)</t>
  </si>
  <si>
    <t>PP2AB_MOUSE</t>
  </si>
  <si>
    <t>P62715</t>
  </si>
  <si>
    <t>P11082</t>
  </si>
  <si>
    <t>MGI:1321161</t>
  </si>
  <si>
    <t>Centromere; Chromosome; Cytoplasm; Cytoskeleton; Hydrolase; Manganese; Metal-binding; Methylation; Nucleus; Phosphoprotein; Protein phosphatase; Ubl conjugation</t>
  </si>
  <si>
    <t>apoptotic mitochondrial changes {GO:0008637}; mitotic cell cycle {GO:0000278}; negative regulation of gene expression {GO:0010629}; negative regulation of NF-kappaB transcription factor activity {GO:0032088}; negative regulation of Ras protein signal transduction {GO:0046580}; negative regulation of tumor necrosis factor-mediated signaling pathway {GO:0010804}; positive regulation of microtubule binding {GO:1904528}; proteasome-mediated ubiquitin-dependent protein catabolic process {GO:0043161}; protein dephosphorylation {GO:0006470}; regulation of gene expression {GO:0010468}; response to antibiotic {GO:0046677}; response to endoplasmic reticulum stress {GO:0034976}; response to hydrogen peroxide {GO:0042542}; response to lead ion {GO:0010288}</t>
  </si>
  <si>
    <t>chromosome, centromeric region {GO:0000775}; cytoplasm {GO:0005737}; cytosol {GO:0005829}; nucleus {GO:0005634}; protein phosphatase type 2A complex {GO:0000159}; spindle pole {GO:0000922}</t>
  </si>
  <si>
    <t>metal ion binding {GO:0046872}; myosin phosphatase activity {GO:0017018}; phosphoprotein phosphatase activity {GO:0004721}; protein C-terminus binding {GO:0008022}; protein serine/threonine phosphatase activity {GO:0004722}</t>
  </si>
  <si>
    <t>Inhibition of replication initiation of damaged DNA by RB1/E2F1 {R-MMU-113501}; Spry regulation of FGF signaling {R-MMU-1295596}; Amplification of signal from unattached kinetochores via a MAD2 inhibitory signal {R-MMU-141444}; DARPP-32 events {R-MMU-180024}; Degradation of beta-catenin by the destruction complex {R-MMU-195253}; Beta-catenin phosphorylation cascade {R-MMU-196299}; ERK/MAPK targets {R-MMU-198753}; ERKs are inactivated {R-MMU-202670}; Separation of Sister Chromatids {R-MMU-2467813}; Resolution of Sister Chromatid Cohesion {R-MMU-2500257}; CTLA4 inhibitory signaling {R-MMU-389513}; Platelet sensitization by LDL {R-MMU-432142}; Disassembly of the destruction complex and recruitment of AXIN to the membrane {R-MMU-4641262}; RHO GTPases Activate Formins {R-MMU-5663220}; RAF activation {R-MMU-5673000}; Negative regulation of MAPK pathway {R-MMU-5675221}; Regulation of TP53 Degradation {R-MMU-6804757}; PI5P, PP2A and IER3 Regulate PI3K/AKT Signaling {R-MMU-6811558}; Mitotic Prometaphase {R-MMU-68877}; Cyclin D associated events in G1 {R-MMU-69231}; Cyclin A/B1/B2 associated events during G2/M transition {R-MMU-69273}; EML4 and NUDC in mitotic spindle formation {R-MMU-9648025}</t>
  </si>
  <si>
    <t>sp|Q922U1|PRPF3_MOUSE</t>
  </si>
  <si>
    <t>U4/U6 small nuclear ribonucleoprotein Prp3</t>
  </si>
  <si>
    <t>Pre-mRNA-splicing factor 3</t>
  </si>
  <si>
    <t>PRPF3_MOUSE</t>
  </si>
  <si>
    <t>Q922U1</t>
  </si>
  <si>
    <t>Q3TJH4; Q9D6C6</t>
  </si>
  <si>
    <t>MGI:1918017</t>
  </si>
  <si>
    <t>Isopeptide bond; mRNA processing; mRNA splicing; Nucleus; Phosphoprotein; Spliceosome; Ubl conjugation</t>
  </si>
  <si>
    <t>mRNA splicing, via spliceosome {GO:0000398}; spliceosomal tri-snRNP complex assembly {GO:0000244}</t>
  </si>
  <si>
    <t>Cajal body {GO:0015030}; cytosol {GO:0005829}; nuclear speck {GO:0016607}; nucleoplasm {GO:0005654}; nucleus {GO:0005634}; protein-containing complex {GO:0032991}; U2-type precatalytic spliceosome {GO:0071005}; U4/U6 x U5 tri-snRNP complex {GO:0046540}</t>
  </si>
  <si>
    <t>sp|Q9R0Y5|KAD1_MOUSE</t>
  </si>
  <si>
    <t>Adenylate kinase isoenzyme 1 (AK 1)</t>
  </si>
  <si>
    <t>ATP-AMP transphosphorylase 1; ATP:AMP phosphotransferase; Adenylate monophosphate kinase; Myokinase</t>
  </si>
  <si>
    <t>KAD1_MOUSE</t>
  </si>
  <si>
    <t>Q9R0Y5</t>
  </si>
  <si>
    <t>A2AK80; Q542C5; Q9R0Y4</t>
  </si>
  <si>
    <t>MGI:87977</t>
  </si>
  <si>
    <t>Acetylation; Alternative splicing; ATP-binding; Cytoplasm; Kinase; Nucleotide-binding; Phosphoprotein; Transferase</t>
  </si>
  <si>
    <t>ADP biosynthetic process {GO:0006172}; AMP metabolic process {GO:0046033}; ATP metabolic process {GO:0046034}; inosine biosynthetic process {GO:0046103}; nucleoside diphosphate phosphorylation {GO:0006165}; nucleoside triphosphate biosynthetic process {GO:0009142}; positive regulation of glucose transmembrane transport {GO:0010828}</t>
  </si>
  <si>
    <t>cytoplasm {GO:0005737}; cytosol {GO:0005829}; neuron projection {GO:0043005}; outer dense fiber {GO:0001520}; perinuclear region of cytoplasm {GO:0048471}; sarcomere {GO:0030017}; sperm flagellum {GO:0036126}</t>
  </si>
  <si>
    <t>adenylate kinase activity {GO:0004017}; ATP binding {GO:0005524}; nucleoside diphosphate kinase activity {GO:0004550}; phosphotransferase activity, phosphate group as acceptor {GO:0016776}</t>
  </si>
  <si>
    <t>sp|P70288|HDAC2_MOUSE</t>
  </si>
  <si>
    <t>Histone deacetylase 2 (HD2)</t>
  </si>
  <si>
    <t>Protein deacylase HDAC2; YY1 transcription factor-binding protein</t>
  </si>
  <si>
    <t>HDAC2_MOUSE</t>
  </si>
  <si>
    <t>P70288</t>
  </si>
  <si>
    <t>B2RRP3</t>
  </si>
  <si>
    <t>Yy1bp</t>
  </si>
  <si>
    <t>MGI:1097691</t>
  </si>
  <si>
    <t>Acetylation; Biological rhythms; Chromatin regulator; Cytoplasm; Hydrolase; Isopeptide bond; Nucleus; Phosphoprotein; Repressor; S-nitrosylation; Transcription; Transcription regulation; Ubl conjugation</t>
  </si>
  <si>
    <t>cardiac muscle cell development {GO:0055013}; cardiac muscle cell proliferation {GO:0060038}; cellular response to hydrogen peroxide {GO:0070301}; cellular response to trichostatin A {GO:0035984}; chromatin organization {GO:0006325}; chromatin remodeling {GO:0006338}; circadian regulation of gene expression {GO:0032922}; dendrite development {GO:0016358}; embryonic digit morphogenesis {GO:0042733}; epidermal cell differentiation {GO:0009913}; eyelid development in camera-type eye {GO:0061029}; fungiform papilla formation {GO:0061198}; hair follicle placode formation {GO:0060789}; heterochromatin organization {GO:0070828}; hippocampus development {GO:0021766}; histone deacetylation {GO:0016575}; histone H3 deacetylation {GO:0070932}; histone H3-K27 methylation {GO:0070734}; histone H4 deacetylation {GO:0070933}; negative regulation of apoptotic process {GO:0043066}; negative regulation of canonical Wnt signaling pathway {GO:0090090}; negative regulation of cardiac muscle cell proliferation {GO:0060044}; negative regulation of cell migration {GO:0030336}; negative regulation of dendritic spine development {GO:0061000}; negative regulation of DNA binding {GO:0043392}; negative regulation of DNA-binding transcription factor activity {GO:0043433}; negative regulation of DNA-templated transcription {GO:0045892}; negative regulation of intrinsic apoptotic signaling pathway {GO:2001243}; negative regulation of miRNA transcription {GO:1902894}; negative regulation of neuron projection development {GO:0010977}; negative regulation of peptidyl-lysine acetylation {GO:2000757}; negative regulation of stem cell population maintenance {GO:1902455}; negative regulation of transcription by RNA polymerase II {GO:0000122}; negative regulation of transforming growth factor beta receptor signaling pathway {GO:0030512}; neuron differentiation {GO:0030182}; odontogenesis of dentin-containing tooth {GO:0042475}; oligodendrocyte differentiation {GO:0048709}; positive regulation of cell population proliferation {GO:0008284}; positive regulation of DNA-binding transcription factor activity {GO:0051091}; positive regulation of DNA-templated transcription {GO:0045893}; positive regulation of epithelial to mesenchymal transition {GO:0010718}; positive regulation of interleukin-1 production {GO:0032732}; positive regulation of male mating behavior {GO:1902437}; positive regulation of oligodendrocyte differentiation {GO:0048714}; positive regulation of proteolysis {GO:0045862}; positive regulation of signaling receptor activity {GO:2000273}; positive regulation of stem cell population maintenance {GO:1902459}; positive regulation of transcription by RNA polymerase II {GO:0045944}; positive regulation of tumor necrosis factor production {GO:0032760}; positive regulation of tyrosine phosphorylation of STAT protein {GO:0042531}; protein deacetylation {GO:0006476}; regulation of cell fate specification {GO:0042659}; regulation of protein deacetylation {GO:0090311}; regulation of protein kinase B signaling {GO:0051896}; regulation of sarcomere organization {GO:0060297}; regulation of stem cell differentiation {GO:2000736}; regulation of transcription by RNA polymerase II {GO:0006357}</t>
  </si>
  <si>
    <t>chromatin {GO:0000785}; chromosome, telomeric region {GO:0000781}; cytoplasm {GO:0005737}; ESC/E(Z) complex {GO:0035098}; heterochromatin {GO:0000792}; histone deacetylase complex {GO:0000118}; nucleoplasm {GO:0005654}; nucleus {GO:0005634}; NuRD complex {GO:0016581}; protein-containing complex {GO:0032991}; replication fork {GO:0005657}; RNA polymerase II transcription repressor complex {GO:0090571}; Sin3 complex {GO:0016580}; transcription regulator complex {GO:0005667}; transcription repressor complex {GO:0017053}</t>
  </si>
  <si>
    <t>chromatin binding {GO:0003682}; chromatin DNA binding {GO:0031490}; deacetylase activity {GO:0019213}; DNA-binding transcription factor binding {GO:0140297}; enzyme binding {GO:0019899}; heat shock protein binding {GO:0031072}; histone deacetylase activity {GO:0004407}; histone deacetylase activity (H4-K16 specific) {GO:0034739}; histone deacetylase binding {GO:0042826}; histone decrotonylase activity {GO:0160009}; Krueppel-associated box domain binding {GO:0035851}; NF-kappaB binding {GO:0051059}; promoter-specific chromatin binding {GO:1990841}; protein de-2-hydroxyisobutyrylase activity {GO:0160010}; protein lysine deacetylase activity {GO:0033558}; RNA polymerase II cis-regulatory region sequence-specific DNA binding {GO:0000978}; RNA polymerase II-specific DNA-binding transcription factor binding {GO:0061629}; sequence-specific DNA binding {GO:0043565}; transcription corepressor binding {GO:0001222}</t>
  </si>
  <si>
    <t>HDACs deacetylate histones {R-MMU-3214815}; Notch-HLH transcription pathway {R-MMU-350054}; SUMOylation of chromatin organization proteins {R-MMU-4551638}; Regulation of TP53 Activity through Acetylation {R-MMU-6804758}; RNA Polymerase I Transcription Initiation {R-MMU-73762}; Regulation of PTEN gene transcription {R-MMU-8943724}; Regulation of MECP2 expression and activity {R-MMU-9022692}; STAT3 nuclear events downstream of ALK signaling {R-MMU-9701898}; Factors involved in megakaryocyte development and platelet production {R-MMU-983231}</t>
  </si>
  <si>
    <t>sp|Q8VCX5|MICU1_MOUSE</t>
  </si>
  <si>
    <t>Calcium uptake protein 1, mitochondrial</t>
  </si>
  <si>
    <t>Calcium-binding atopy-related autoantigen 1 homolog</t>
  </si>
  <si>
    <t>MICU1_MOUSE</t>
  </si>
  <si>
    <t>Q8VCX5</t>
  </si>
  <si>
    <t>Q8BK07; Q8BL84; Q8R1W0</t>
  </si>
  <si>
    <t>Cbara1</t>
  </si>
  <si>
    <t>MGI:2384909</t>
  </si>
  <si>
    <t>Alternative splicing; Calcium; Calcium transport; Disulfide bond; Ion transport; Membrane; Metal-binding; Mitochondrion; Mitochondrion inner membrane; Repeat; Transit peptide; Transmembrane; Transmembrane helix; Transport</t>
  </si>
  <si>
    <t>calcium import into the mitochondrion {GO:0036444}; calcium ion import {GO:0070509}; mitochondrial calcium ion homeostasis {GO:0051560}; mitochondrial calcium ion transmembrane transport {GO:0006851}; positive regulation of mitochondrial calcium ion concentration {GO:0051561}; protein homooligomerization {GO:0051260}; regulation of cellular hyperosmotic salinity response {GO:1900069}</t>
  </si>
  <si>
    <t>calcium channel complex {GO:0034704}; integral component of mitochondrial membrane {GO:0032592}; mitochondrial inner membrane {GO:0005743}; mitochondrial intermembrane space {GO:0005758}; mitochondrion {GO:0005739}; uniplex complex {GO:1990246}</t>
  </si>
  <si>
    <t>calcium ion binding {GO:0005509}; identical protein binding {GO:0042802}; protein heterodimerization activity {GO:0046982}</t>
  </si>
  <si>
    <t>Mitochondrial calcium ion transport {R-MMU-8949215}; Processing of SMDT1 {R-MMU-8949664}</t>
  </si>
  <si>
    <t>sp|Q9ERI5|JMJD6_MOUSE</t>
  </si>
  <si>
    <t>Bifunctional arginine demethylase and lysyl-hydroxylase JMJD6</t>
  </si>
  <si>
    <t>Histone arginine demethylase JMJD6; JmjC domain-containing protein 6; Jumonji domain-containing protein 6; Lysyl-hydroxylase JMJD6; Peptide-lysine 5-dioxygenase JMJD6; Phosphatidylserine receptor (Protein PTDSR)</t>
  </si>
  <si>
    <t>JMJD6_MOUSE</t>
  </si>
  <si>
    <t>Q9ERI5</t>
  </si>
  <si>
    <t>A2AA26; A8Y5I2; Q80TX1</t>
  </si>
  <si>
    <t>Kiaa0585; Ptdsr</t>
  </si>
  <si>
    <t>MGI:1858910</t>
  </si>
  <si>
    <t>Alternative splicing; Chromatin regulator; Cytoplasm; Developmental protein; Differentiation; Dioxygenase; Iron; Metal-binding; mRNA processing; mRNA splicing; Nucleus; Oxidoreductase; RNA-binding; Transcription; Transcription regulation</t>
  </si>
  <si>
    <t>Differentiation; Transcription; Transcription regulation; mRNA processing; mRNA splicing</t>
  </si>
  <si>
    <t>Chromatin regulator; Developmental protein; Dioxygenase; Oxidoreductase; RNA-binding</t>
  </si>
  <si>
    <t>apoptotic cell clearance {GO:0043277}; blood vessel development {GO:0001568}; cell surface receptor signaling pathway {GO:0007166}; chromatin organization {GO:0006325}; erythrocyte development {GO:0048821}; heart development {GO:0007507}; histone H3-R2 demethylation {GO:0070078}; histone H4-R3 demethylation {GO:0070079}; kidney development {GO:0001822}; lung development {GO:0030324}; macrophage activation {GO:0042116}; mRNA processing {GO:0006397}; oxidative RNA demethylation {GO:0035513}; peptidyl-lysine hydroxylation to 5-hydroxy-L-lysine {GO:0018395}; phagocytosis {GO:0006909}; positive regulation of DNA-templated transcription {GO:0045893}; positive regulation of transcription by RNA polymerase II {GO:0045944}; protein demethylation {GO:0006482}; protein homooligomerization {GO:0051260}; recognition of apoptotic cell {GO:0043654}; regulation of mRNA splicing, via spliceosome {GO:0048024}; retina development in camera-type eye {GO:0060041}; RNA splicing {GO:0008380}; sprouting angiogenesis {GO:0002040}; T cell differentiation in thymus {GO:0033077}</t>
  </si>
  <si>
    <t>cytoplasm {GO:0005737}; cytosol {GO:0005829}; nucleolus {GO:0005730}; nucleoplasm {GO:0005654}; nucleus {GO:0005634}; plasma membrane {GO:0005886}; ribonucleoprotein complex {GO:1990904}</t>
  </si>
  <si>
    <t>demethylase activity {GO:0032451}; histone demethylase activity {GO:0032452}; histone H3-methyl-arginine-2 demethylase activity {GO:0033746}; histone H3-methyl-arginine-3 demethylase activity {GO:0033749}; identical protein binding {GO:0042802}; iron ion binding {GO:0005506}; oxidative RNA demethylase activity {GO:0035515}; P-TEFb complex binding {GO:0106140}; peptidyl-lysine 5-dioxygenase activity {GO:0070815}; RNA binding {GO:0003723}; signaling receptor activity {GO:0038023}; single-stranded RNA binding {GO:0003727}; transcription regulator activator activity {GO:0140537}</t>
  </si>
  <si>
    <t>sp|P98156|VLDLR_MOUSE</t>
  </si>
  <si>
    <t>Very low-density lipoprotein receptor (VLDL receptor; VLDL-R)</t>
  </si>
  <si>
    <t>VLDLR_MOUSE</t>
  </si>
  <si>
    <t>P98156</t>
  </si>
  <si>
    <t>Q64022</t>
  </si>
  <si>
    <t>MGI:98935</t>
  </si>
  <si>
    <t>Cholesterol metabolism; Coated pit; Disulfide bond; EGF-like domain; Endocytosis; Glycoprotein; Isopeptide bond; Lipid metabolism; Lipid transport; Membrane; Receptor; Repeat; Signal; Steroid metabolism; Sterol metabolism; Transmembrane; Transmembrane helix; Transport; Ubl conjugation; VLDL</t>
  </si>
  <si>
    <t>Cholesterol metabolism; Endocytosis; Lipid metabolism; Lipid transport; Steroid metabolism; Sterol metabolism; Transport</t>
  </si>
  <si>
    <t>Coated pit; Membrane; VLDL</t>
  </si>
  <si>
    <t>Disulfide bond; Glycoprotein; Isopeptide bond; Ubl conjugation</t>
  </si>
  <si>
    <t>cellular response to hypoxia {GO:0071456}; cholesterol metabolic process {GO:0008203}; dendrite morphogenesis {GO:0048813}; glycoprotein transport {GO:0034436}; lipid transport {GO:0006869}; positive regulation of dendrite development {GO:1900006}; positive regulation of protein kinase activity {GO:0045860}; receptor-mediated endocytosis {GO:0006898}; reelin-mediated signaling pathway {GO:0038026}; ventral spinal cord development {GO:0021517}; very-low-density lipoprotein particle clearance {GO:0034447}</t>
  </si>
  <si>
    <t>apical part of cell {GO:0045177}; cell surface {GO:0009986}; clathrin-coated pit {GO:0005905}; extracellular space {GO:0005615}; integral component of membrane {GO:0016021}; membrane {GO:0016020}; nucleus {GO:0005634}; perinuclear region of cytoplasm {GO:0048471}; plasma membrane {GO:0005886}; receptor complex {GO:0043235}; very-low-density lipoprotein particle {GO:0034361}</t>
  </si>
  <si>
    <t>apolipoprotein binding {GO:0034185}; calcium ion binding {GO:0005509}; calcium-dependent protein binding {GO:0048306}; cargo receptor activity {GO:0038024}; reelin receptor activity {GO:0038025}; very-low-density lipoprotein particle binding {GO:0034189}; very-low-density lipoprotein particle receptor activity {GO:0030229}</t>
  </si>
  <si>
    <t>Reelin signalling pathway {R-MMU-8866376}; VLDLR internalisation and degradation {R-MMU-8866427}; VLDL clearance {R-MMU-8964046}</t>
  </si>
  <si>
    <t>sp|Q6P5G6|UBXN7_MOUSE</t>
  </si>
  <si>
    <t>UBX domain-containing protein 7</t>
  </si>
  <si>
    <t>UBXN7_MOUSE</t>
  </si>
  <si>
    <t>Q6P5G6</t>
  </si>
  <si>
    <t>Q6ZQ44</t>
  </si>
  <si>
    <t>Kiaa0794; Ubxd7</t>
  </si>
  <si>
    <t>MGI:2146388</t>
  </si>
  <si>
    <t>nuclear body {GO:0016604}; nucleoplasm {GO:0005654}; nucleus {GO:0005634}; VCP-NPL4-UFD1 AAA ATPase complex {GO:0034098}</t>
  </si>
  <si>
    <t>RNA polymerase II-specific DNA-binding transcription factor binding {GO:0061629}; ubiquitin binding {GO:0043130}; ubiquitin protein ligase binding {GO:0031625}</t>
  </si>
  <si>
    <t>Neddylation {R-MMU-8951664}; KEAP1-NFE2L2 pathway {R-MMU-9755511}</t>
  </si>
  <si>
    <t>sp|Q08288|LYAR_MOUSE</t>
  </si>
  <si>
    <t>Cell growth-regulating nucleolar protein</t>
  </si>
  <si>
    <t>Ly1 antibody-reactive protein; Protein expressed in male leptotene and zygotene spermatocytes 264 (MLZ-264)</t>
  </si>
  <si>
    <t>LYAR_MOUSE</t>
  </si>
  <si>
    <t>Q08288</t>
  </si>
  <si>
    <t>Q9D9X2</t>
  </si>
  <si>
    <t>MGI:107470</t>
  </si>
  <si>
    <t>3D-structure; Cell projection; Coiled coil; Cytoplasm; DNA-binding; Immunity; Innate immunity; Isopeptide bond; Metal-binding; Nucleus; Repeat; Repressor; Transcription; Transcription regulation; Ubl conjugation; Zinc; Zinc-finger</t>
  </si>
  <si>
    <t>erythrocyte development {GO:0048821}; innate immune response {GO:0045087}; negative regulation of innate immune response {GO:0045824}; negative regulation of transcription by RNA polymerase II {GO:0000122}; positive regulation of phagocytosis {GO:0050766}; positive regulation of transcription by RNA polymerase I {GO:0045943}; rRNA processing {GO:0006364}</t>
  </si>
  <si>
    <t>cytoplasm {GO:0005737}; nucleolus {GO:0005730}; nucleoplasm {GO:0005654}; nucleus {GO:0005634}; photoreceptor outer segment {GO:0001750}</t>
  </si>
  <si>
    <t>DNA binding {GO:0003677}; DNA-binding transcription factor binding {GO:0140297}; identical protein binding {GO:0042802}; metal ion binding {GO:0046872}; transcription regulator inhibitor activity {GO:0140416}</t>
  </si>
  <si>
    <t>sp|Q8C2E7|WASC5_MOUSE</t>
  </si>
  <si>
    <t>WASH complex subunit 5</t>
  </si>
  <si>
    <t>WASH complex subunit strumpellin</t>
  </si>
  <si>
    <t>WASC5_MOUSE</t>
  </si>
  <si>
    <t>Q8C2E7</t>
  </si>
  <si>
    <t>Q8BGY1; Q8K2J2</t>
  </si>
  <si>
    <t>Kiaa0196</t>
  </si>
  <si>
    <t>MGI:2146110</t>
  </si>
  <si>
    <t>Alternative splicing; Cytoplasm; Endoplasmic reticulum; Endosome; Protein transport; Transport</t>
  </si>
  <si>
    <t>Cytoplasm; Endoplasmic reticulum; Endosome</t>
  </si>
  <si>
    <t>actin filament polymerization {GO:0030041}; cholesterol homeostasis {GO:0042632}; endosomal transport {GO:0016197}; endosome fission {GO:0140285}; endosome organization {GO:0007032}; exocytosis {GO:0006887}; lysosome organization {GO:0007040}; meiotic spindle assembly {GO:0090306}; oocyte maturation {GO:0001556}; phagocytosis {GO:0006909}; polar body extrusion after meiotic divisions {GO:0040038}; positive regulation of neuron projection development {GO:0010976}; protein transport {GO:0015031}; protein-containing complex localization {GO:0031503}; protein-containing complex organization {GO:0043933}; regulation of actin nucleation {GO:0051125}; regulation of Arp2/3 complex-mediated actin nucleation {GO:0034315}; regulation of vesicle size {GO:0097494}</t>
  </si>
  <si>
    <t>cytoplasm {GO:0005737}; cytosol {GO:0005829}; early endosome {GO:0005769}; early endosome membrane {GO:0031901}; endoplasmic reticulum {GO:0005783}; endosome {GO:0005768}; neuron projection {GO:0043005}; neuronal cell body {GO:0043025}; nucleoplasm {GO:0005654}; WASH complex {GO:0071203}</t>
  </si>
  <si>
    <t>sp|Q9CPQ3|TOM22_MOUSE</t>
  </si>
  <si>
    <t>Mitochondrial import receptor subunit TOM22 homolog</t>
  </si>
  <si>
    <t>Translocase of outer membrane 22 kDa subunit homolog</t>
  </si>
  <si>
    <t>TOM22_MOUSE</t>
  </si>
  <si>
    <t>Q9CPQ3</t>
  </si>
  <si>
    <t>Q543M4; Q9D8D3</t>
  </si>
  <si>
    <t>Tom22</t>
  </si>
  <si>
    <t>MGI:2450248</t>
  </si>
  <si>
    <t>Acetylation; Membrane; Mitochondrion; Mitochondrion outer membrane; Phosphoprotein; Protein transport; Receptor; Translocation; Transmembrane; Transmembrane helix; Transport</t>
  </si>
  <si>
    <t>positive regulation of apoptotic process {GO:0043065}; protein insertion into mitochondrial membrane {GO:0051204}; protein insertion into mitochondrial outer membrane {GO:0045040}; protein targeting to mitochondrion {GO:0006626}</t>
  </si>
  <si>
    <t>integral component of membrane {GO:0016021}; mitochondrial inner membrane {GO:0005743}; mitochondrial outer membrane translocase complex {GO:0005742}; mitochondrion {GO:0005739}</t>
  </si>
  <si>
    <t>protein transmembrane transporter activity {GO:0008320}</t>
  </si>
  <si>
    <t>sp|Q91YN9|BAG2_MOUSE</t>
  </si>
  <si>
    <t>BAG family molecular chaperone regulator 2 (BAG-2)</t>
  </si>
  <si>
    <t>Bcl-2-associated athanogene 2</t>
  </si>
  <si>
    <t>BAG2_MOUSE</t>
  </si>
  <si>
    <t>Q91YN9</t>
  </si>
  <si>
    <t>Q3UMR7</t>
  </si>
  <si>
    <t>MGI:1891254</t>
  </si>
  <si>
    <t>3D-structure; Acetylation; Chaperone; Coiled coil; Phosphoprotein</t>
  </si>
  <si>
    <t>negative regulation of protein binding {GO:0032091}; negative regulation of protein ubiquitination {GO:0031397}; negative regulation of ubiquitin protein ligase activity {GO:1904667}; positive regulation of proteasomal protein catabolic process {GO:1901800}; positive regulation of protein processing {GO:0010954}; protein metabolic process {GO:0019538}; protein stabilization {GO:0050821}</t>
  </si>
  <si>
    <t>axon {GO:0030424}; chaperone complex {GO:0101031}; dendrite {GO:0030425}</t>
  </si>
  <si>
    <t>adenyl-nucleotide exchange factor activity {GO:0000774}; chaperone binding {GO:0051087}; heat shock protein binding {GO:0031072}; identical protein binding {GO:0042802}; tau protein binding {GO:0048156}; transmembrane transporter binding {GO:0044325}; ubiquitin protein ligase binding {GO:0031625}</t>
  </si>
  <si>
    <t>sp|A2A5R2|BIG2_MOUSE</t>
  </si>
  <si>
    <t>Brefeldin A-inhibited guanine nucleotide-exchange protein 2 (Brefeldin A-inhibited GEP 2)</t>
  </si>
  <si>
    <t>ADP-ribosylation factor guanine nucleotide-exchange factor 2</t>
  </si>
  <si>
    <t>BIG2_MOUSE</t>
  </si>
  <si>
    <t>A2A5R2</t>
  </si>
  <si>
    <t>Arfgep2; Big2</t>
  </si>
  <si>
    <t>MGI:2139354</t>
  </si>
  <si>
    <t>Acetylation; Cell projection; Cytoplasm; Cytoplasmic vesicle; Cytoskeleton; Endosome; Golgi apparatus; Guanine-nucleotide releasing factor; Membrane; Phosphoprotein; Protein transport; Synapse; Transport</t>
  </si>
  <si>
    <t>Cell projection; Cytoplasm; Cytoplasmic vesicle; Cytoskeleton; Endosome; Golgi apparatus; Membrane; Synapse</t>
  </si>
  <si>
    <t>endomembrane system organization {GO:0010256}; endosome organization {GO:0007032}; exocytosis {GO:0006887}; Golgi to plasma membrane transport {GO:0006893}; intracellular signal transduction {GO:0035556}; positive regulation of tumor necrosis factor production {GO:0032760}; protein transport {GO:0015031}; receptor recycling {GO:0001881}; regulation of ARF protein signal transduction {GO:0032012}</t>
  </si>
  <si>
    <t>anchoring junction {GO:0070161}; asymmetric synapse {GO:0032279}; axonemal microtubule {GO:0005879}; cytoplasm {GO:0005737}; cytoplasmic vesicle {GO:0031410}; cytosol {GO:0005829}; dendritic spine {GO:0043197}; Golgi apparatus {GO:0005794}; Golgi membrane {GO:0000139}; intracellular membrane-bounded organelle {GO:0043231}; membrane {GO:0016020}; microtubule organizing center {GO:0005815}; perinuclear region of cytoplasm {GO:0048471}; recycling endosome {GO:0055037}; symmetric synapse {GO:0032280}; trans-Golgi network {GO:0005802}</t>
  </si>
  <si>
    <t>GABA receptor binding {GO:0050811}; guanyl-nucleotide exchange factor activity {GO:0005085}; myosin binding {GO:0017022}; protein kinase A regulatory subunit binding {GO:0034237}</t>
  </si>
  <si>
    <t>sp|Q80X82|SYMPK_MOUSE</t>
  </si>
  <si>
    <t>Symplekin</t>
  </si>
  <si>
    <t>SYMPK_MOUSE</t>
  </si>
  <si>
    <t>Q80X82</t>
  </si>
  <si>
    <t>F8WJD4</t>
  </si>
  <si>
    <t>MGI:1915438</t>
  </si>
  <si>
    <t>Cell adhesion; Cell junction; Cell membrane; Cytoplasm; Cytoskeleton; Isopeptide bond; Membrane; mRNA processing; Nucleus; Phosphoprotein; Repeat; Tight junction; Ubl conjugation</t>
  </si>
  <si>
    <t>Cell adhesion; mRNA processing</t>
  </si>
  <si>
    <t>Cell junction; Cell membrane; Cytoplasm; Cytoskeleton; Membrane; Nucleus; Tight junction</t>
  </si>
  <si>
    <t>cell adhesion {GO:0007155}; mRNA polyadenylation {GO:0006378}; negative regulation of protein binding {GO:0032091}; positive regulation of protein dephosphorylation {GO:0035307}</t>
  </si>
  <si>
    <t>bicellular tight junction {GO:0005923}; cytoplasm {GO:0005737}; cytoskeleton {GO:0005856}; cytosol {GO:0005829}; mRNA cleavage and polyadenylation specificity factor complex {GO:0005847}; nuclear body {GO:0016604}; nuclear stress granule {GO:0097165}; nucleoplasm {GO:0005654}; plasma membrane {GO:0005886}</t>
  </si>
  <si>
    <t>sp|Q922H2|PDK3_MOUSE</t>
  </si>
  <si>
    <t>[Pyruvate dehydrogenase (acetyl-transferring)] kinase isozyme 3, mitochondrial</t>
  </si>
  <si>
    <t>Pyruvate dehydrogenase kinase isoform 3</t>
  </si>
  <si>
    <t>PDK3_MOUSE</t>
  </si>
  <si>
    <t>Q922H2</t>
  </si>
  <si>
    <t>Q8BTX1</t>
  </si>
  <si>
    <t>MGI:2384308</t>
  </si>
  <si>
    <t>ATP-binding; Carbohydrate metabolism; Glucose metabolism; Kinase; Mitochondrion; Nucleotide-binding; Transferase; Transit peptide</t>
  </si>
  <si>
    <t>cellular response to fatty acid {GO:0071398}; cellular response to glucose stimulus {GO:0071333}; glucose metabolic process {GO:0006006}; hypoxia-inducible factor-1alpha signaling pathway {GO:0097411}; peptidyl-serine phosphorylation {GO:0018105}; peroxisome proliferator activated receptor signaling pathway {GO:0035357}; protein phosphorylation {GO:0006468}; regulation of acetyl-CoA biosynthetic process from pyruvate {GO:0010510}; regulation of glucose metabolic process {GO:0010906}; regulation of reactive oxygen species metabolic process {GO:2000377}</t>
  </si>
  <si>
    <t>mitochondrial matrix {GO:0005759}; mitochondrion {GO:0005739}; nucleolus {GO:0005730}</t>
  </si>
  <si>
    <t>ATP binding {GO:0005524}; protein kinase activity {GO:0004672}; protein serine/threonine kinase activity {GO:0004674}; pyruvate dehydrogenase (acetyl-transferring) kinase activity {GO:0004740}</t>
  </si>
  <si>
    <t>Regulation of pyruvate dehydrogenase (PDH) complex {R-MMU-204174}; Signaling by Retinoic Acid {R-MMU-5362517}</t>
  </si>
  <si>
    <t>sp|Q60648|SAP3_MOUSE</t>
  </si>
  <si>
    <t>Ganglioside GM2 activator</t>
  </si>
  <si>
    <t>Cerebroside sulfate activator protein; GM2-AP; Sphingolipid activator protein 3 (SAP-3)</t>
  </si>
  <si>
    <t>SAP3_MOUSE</t>
  </si>
  <si>
    <t>Q60648</t>
  </si>
  <si>
    <t>Q61610; Q61819</t>
  </si>
  <si>
    <t>MGI:95762</t>
  </si>
  <si>
    <t>3D-structure; Disulfide bond; Glycoprotein; Hydrolase; Lipid metabolism; Lysosome; Signal; Sphingolipid metabolism</t>
  </si>
  <si>
    <t>ganglioside catabolic process {GO:0006689}; learning or memory {GO:0007611}; lipid storage {GO:0019915}; lipid transport {GO:0006869}; maintenance of location in cell {GO:0051651}; nervous system process {GO:0050877}; neuromuscular process controlling balance {GO:0050885}; oligosaccharide catabolic process {GO:0009313}</t>
  </si>
  <si>
    <t>cytoplasmic side of plasma membrane {GO:0009898}; cytosol {GO:0005829}; lysosome {GO:0005764}; mitochondrion {GO:0005739}</t>
  </si>
  <si>
    <t>beta-N-acetylhexosaminidase activity {GO:0004563}; enzyme activator activity {GO:0008047}; lipid transporter activity {GO:0005319}</t>
  </si>
  <si>
    <t>sp|Q9D7M1|GID8_MOUSE</t>
  </si>
  <si>
    <t>Glucose-induced degradation protein 8 homolog</t>
  </si>
  <si>
    <t>Two hybrid-associated protein 1 with RanBPM (Twa1)</t>
  </si>
  <si>
    <t>GID8_MOUSE</t>
  </si>
  <si>
    <t>Q9D7M1</t>
  </si>
  <si>
    <t>MGI:1923675</t>
  </si>
  <si>
    <t>Cytoplasm; Nucleus; Ubl conjugation; Wnt signaling pathway</t>
  </si>
  <si>
    <t>positive regulation of canonical Wnt signaling pathway {GO:0090263}; positive regulation of cell population proliferation {GO:0008284}; proteasome-mediated ubiquitin-dependent protein catabolic process {GO:0043161}; Wnt signaling pathway {GO:0016055}</t>
  </si>
  <si>
    <t>cell junction {GO:0030054}; cytoplasm {GO:0005737}; cytosol {GO:0005829}; nucleoplasm {GO:0005654}; nucleus {GO:0005634}; ubiquitin ligase complex {GO:0000151}</t>
  </si>
  <si>
    <t>tr|A0A5F8MPP0|A0A5F8MPP0_MOUSE</t>
  </si>
  <si>
    <t>sp|P54818|GALC_MOUSE</t>
  </si>
  <si>
    <t>Galactocerebrosidase (GALCERase)</t>
  </si>
  <si>
    <t>Galactocerebroside beta-galactosidase; Galactosylceramidase; Galactosylceramide beta-galactosidase</t>
  </si>
  <si>
    <t>GALC_MOUSE</t>
  </si>
  <si>
    <t>P54818</t>
  </si>
  <si>
    <t>O35151; Q3U3H7</t>
  </si>
  <si>
    <t>MGI:95636</t>
  </si>
  <si>
    <t>3D-structure; Disulfide bond; Glycoprotein; Glycosidase; Hydrolase; Lipid degradation; Lipid metabolism; Lysosome; Signal; Sphingolipid metabolism</t>
  </si>
  <si>
    <t>Lipid degradation; Lipid metabolism; Sphingolipid metabolism</t>
  </si>
  <si>
    <t>galactosylceramide catabolic process {GO:0006683}; myelination {GO:0042552}</t>
  </si>
  <si>
    <t>lysosome {GO:0005764}; mitochondrion {GO:0005739}</t>
  </si>
  <si>
    <t>galactosylceramidase activity {GO:0004336}</t>
  </si>
  <si>
    <t>Glycosphingolipid metabolism {R-MMU-1660662}</t>
  </si>
  <si>
    <t>sp|Q8R015|BL1S5_MOUSE</t>
  </si>
  <si>
    <t>Biogenesis of lysosome-related organelles complex 1 subunit 5 (BLOC-1 subunit 5)</t>
  </si>
  <si>
    <t>Protein Muted homolog</t>
  </si>
  <si>
    <t>BL1S5_MOUSE</t>
  </si>
  <si>
    <t>Q8R015</t>
  </si>
  <si>
    <t>Q3TCP2; Q8CAC9</t>
  </si>
  <si>
    <t>Mu; Muted</t>
  </si>
  <si>
    <t>MGI:2178598</t>
  </si>
  <si>
    <t>Acetylation; Alternative splicing</t>
  </si>
  <si>
    <t>anterograde axonal transport {GO:0008089}; anterograde synaptic vesicle transport {GO:0048490}; developmental pigmentation {GO:0048066}; endosome to melanosome transport {GO:0035646}; melanosome organization {GO:0032438}; melanosome transport {GO:0032402}; neuron projection development {GO:0031175}; otolith morphogenesis {GO:0032474}; positive regulation of pigment cell differentiation {GO:0050942}; vesicle-mediated transport {GO:0016192}</t>
  </si>
  <si>
    <t>axon cytoplasm {GO:1904115}; BLOC-1 complex {GO:0031083}; transport vesicle {GO:0030133}</t>
  </si>
  <si>
    <t>sp|Q8BU04|UBR7_MOUSE</t>
  </si>
  <si>
    <t>Putative E3 ubiquitin-protein ligase UBR7</t>
  </si>
  <si>
    <t>N-recognin-7; RING-type E3 ubiquitin transferase UBR7</t>
  </si>
  <si>
    <t>UBR7_MOUSE</t>
  </si>
  <si>
    <t>Q8BU04</t>
  </si>
  <si>
    <t>Q80UT9</t>
  </si>
  <si>
    <t>MGI:1913872</t>
  </si>
  <si>
    <t>Isopeptide bond; Metal-binding; Phosphoprotein; Transferase; Ubl conjugation; Ubl conjugation pathway; Zinc; Zinc-finger</t>
  </si>
  <si>
    <t>ubiquitin protein ligase activity {GO:0061630}; zinc ion binding {GO:0008270}</t>
  </si>
  <si>
    <t>sp|Q9R0L7|AKP8L_MOUSE</t>
  </si>
  <si>
    <t>A-kinase anchor protein 8-like (AKAP8-like protein)</t>
  </si>
  <si>
    <t>Neighbor of A-kinase-anchoring protein 95 (Neighbor of AKAP95)</t>
  </si>
  <si>
    <t>AKP8L_MOUSE</t>
  </si>
  <si>
    <t>Q9R0L7</t>
  </si>
  <si>
    <t>Nakap; Nakap95</t>
  </si>
  <si>
    <t>MGI:1860606</t>
  </si>
  <si>
    <t>Acetylation; Cytoplasm; Metal-binding; Methylation; Nucleus; Phosphoprotein; Repeat; Transcription; Transcription regulation; Zinc; Zinc-finger</t>
  </si>
  <si>
    <t>cell cycle G2/M phase transition {GO:0044839}; mitotic chromosome condensation {GO:0007076}; mRNA processing {GO:0006397}; nuclear membrane disassembly {GO:0051081}; positive regulation of histone deacetylation {GO:0031065}; positive regulation of transcription by RNA polymerase II {GO:0045944}; regulation of mRNA export from nucleus {GO:0010793}</t>
  </si>
  <si>
    <t>chromatin {GO:0000785}; cytoplasm {GO:0005737}; nuclear matrix {GO:0016363}; nuclear speck {GO:0016607}; nucleus {GO:0005634}; PML body {GO:0016605}; ribonucleoprotein complex {GO:1990904}</t>
  </si>
  <si>
    <t>DNA binding {GO:0003677}; histone deacetylase binding {GO:0042826}; lamin binding {GO:0005521}; metal ion binding {GO:0046872}; protein kinase A regulatory subunit binding {GO:0034237}</t>
  </si>
  <si>
    <t>sp|Q9EPK2|XRP2_MOUSE</t>
  </si>
  <si>
    <t>Protein XRP2</t>
  </si>
  <si>
    <t>XRP2_MOUSE</t>
  </si>
  <si>
    <t>Q9EPK2</t>
  </si>
  <si>
    <t>Q8BLN8; Q8BVQ8; Q8BZP9</t>
  </si>
  <si>
    <t>Rp2h</t>
  </si>
  <si>
    <t>MGI:1277953</t>
  </si>
  <si>
    <t>Alternative splicing; Cell membrane; Cell projection; Cilium; GTP-binding; GTPase activation; Lipoprotein; Membrane; Myristate; Nucleotide-binding; Palmitate; Protein transport; Transport</t>
  </si>
  <si>
    <t>Cell membrane; Cell projection; Cilium; Membrane</t>
  </si>
  <si>
    <t>post-Golgi vesicle-mediated transport {GO:0006892}; protein transport {GO:0015031}</t>
  </si>
  <si>
    <t>centriole {GO:0005814}; ciliary basal body {GO:0036064}; cilium {GO:0005929}; cytoplasm {GO:0005737}; cytoplasmic vesicle {GO:0031410}; Golgi apparatus {GO:0005794}; nuclear body {GO:0016604}; nucleoplasm {GO:0005654}; periciliary membrane compartment {GO:1990075}; plasma membrane {GO:0005886}</t>
  </si>
  <si>
    <t>GTP binding {GO:0005525}; GTPase activator activity {GO:0005096}; magnesium ion binding {GO:0000287}</t>
  </si>
  <si>
    <t>sp|Q8BYN5|FSD1L_MOUSE</t>
  </si>
  <si>
    <t>FSD1-like protein</t>
  </si>
  <si>
    <t>Coiled-coil domain-containing protein 10; FSD1 N-terminal-like protein</t>
  </si>
  <si>
    <t>FSD1L_MOUSE</t>
  </si>
  <si>
    <t>Q8BYN5</t>
  </si>
  <si>
    <t>Q3USW7</t>
  </si>
  <si>
    <t>Ccdc10; Csdufd1; Fsd1nl</t>
  </si>
  <si>
    <t>MGI:2442443</t>
  </si>
  <si>
    <t>sp|Q9R0Q9|MPU1_MOUSE</t>
  </si>
  <si>
    <t>Mannose-P-dolichol utilization defect 1 protein</t>
  </si>
  <si>
    <t>Suppressor of Lec15 and Lec35 glycosylation mutation homolog (SL15)</t>
  </si>
  <si>
    <t>MPU1_MOUSE</t>
  </si>
  <si>
    <t>Q9R0Q9</t>
  </si>
  <si>
    <t>O70203; Q9R0P7</t>
  </si>
  <si>
    <t>Supl15h</t>
  </si>
  <si>
    <t>MGI:1346040</t>
  </si>
  <si>
    <t>Acetylation; Membrane; Repeat; Transmembrane; Transmembrane helix; Transport</t>
  </si>
  <si>
    <t>oligosaccharide biosynthetic process {GO:0009312}</t>
  </si>
  <si>
    <t>sp|Q9WVJ3|CBPQ_MOUSE</t>
  </si>
  <si>
    <t>Carboxypeptidase Q</t>
  </si>
  <si>
    <t>Hematopoietic lineage switch 2; Plasma glutamate carboxypeptidase</t>
  </si>
  <si>
    <t>CBPQ_MOUSE</t>
  </si>
  <si>
    <t>Q9WVJ3</t>
  </si>
  <si>
    <t>O70216; Q3U8N9</t>
  </si>
  <si>
    <t>Hls2; Pgcp</t>
  </si>
  <si>
    <t>MGI:1889205</t>
  </si>
  <si>
    <t>Carboxypeptidase; Endoplasmic reticulum; Glycoprotein; Golgi apparatus; Hydrolase; Lysosome; Metal-binding; Metalloprotease; Protease; Secreted; Signal; Zinc; Zymogen</t>
  </si>
  <si>
    <t>Endoplasmic reticulum; Golgi apparatus; Lysosome; Secreted</t>
  </si>
  <si>
    <t>Glycoprotein; Zymogen</t>
  </si>
  <si>
    <t>peptide catabolic process {GO:0043171}; proteolysis {GO:0006508}; thyroid hormone generation {GO:0006590}; tissue regeneration {GO:0042246}</t>
  </si>
  <si>
    <t>cytoplasm {GO:0005737}; endoplasmic reticulum {GO:0005783}; extracellular space {GO:0005615}; Golgi apparatus {GO:0005794}; intracellular membrane-bounded organelle {GO:0043231}; lysosome {GO:0005764}</t>
  </si>
  <si>
    <t>carboxypeptidase activity {GO:0004180}; metal ion binding {GO:0046872}; metallodipeptidase activity {GO:0070573}; protein homodimerization activity {GO:0042803}</t>
  </si>
  <si>
    <t>sp|Q9D7A8|ARMC1_MOUSE</t>
  </si>
  <si>
    <t>Armadillo repeat-containing protein 1</t>
  </si>
  <si>
    <t>ARMC1_MOUSE</t>
  </si>
  <si>
    <t>Q9D7A8</t>
  </si>
  <si>
    <t>Q8CBW1</t>
  </si>
  <si>
    <t>MGI:1921502</t>
  </si>
  <si>
    <t>Acetylation; Cytoplasm; Membrane; Mitochondrion; Mitochondrion outer membrane; Phosphoprotein</t>
  </si>
  <si>
    <t>intracellular distribution of mitochondria {GO:0048312}</t>
  </si>
  <si>
    <t>cytosol {GO:0005829}; mitochondrial outer membrane {GO:0005741}; mitochondrion {GO:0005739}</t>
  </si>
  <si>
    <t>sp|Q8BWR4|UBP40_MOUSE</t>
  </si>
  <si>
    <t>Ubiquitin carboxyl-terminal hydrolase 40</t>
  </si>
  <si>
    <t>Deubiquitinating enzyme 40; Ubiquitin thioesterase 40; Ubiquitin-specific-processing protease 40</t>
  </si>
  <si>
    <t>UBP40_MOUSE</t>
  </si>
  <si>
    <t>Q8BWR4</t>
  </si>
  <si>
    <t>Q08EB7; Q148V0; Q3TLV1; Q3TMN0; Q3V1R4; Q5EBN6</t>
  </si>
  <si>
    <t>MGI:2443184</t>
  </si>
  <si>
    <t>Alternative splicing; Hydrolase; Protease; Thiol protease; Ubl conjugation pathway</t>
  </si>
  <si>
    <t>protein deubiquitination {GO:0016579}; regulation of protein stability {GO:0031647}; ubiquitin-dependent protein catabolic process {GO:0006511}</t>
  </si>
  <si>
    <t>sp|Q9EQI8|RM46_MOUSE</t>
  </si>
  <si>
    <t>39S ribosomal protein L46, mitochondrial (L46mt; MRP-L46)</t>
  </si>
  <si>
    <t>RM46_MOUSE</t>
  </si>
  <si>
    <t>Q9EQI8</t>
  </si>
  <si>
    <t>MGI:1914558</t>
  </si>
  <si>
    <t>cell junction {GO:0030054}; mitochondrial inner membrane {GO:0005743}; mitochondrial large ribosomal subunit {GO:0005762}; mitochondrion {GO:0005739}; nucleoplasm {GO:0005654}</t>
  </si>
  <si>
    <t>sp|P61804|DAD1_MOUSE</t>
  </si>
  <si>
    <t>Dolichyl-diphosphooligosaccharide--protein glycosyltransferase subunit DAD1 (Oligosaccharyl transferase subunit DAD1)</t>
  </si>
  <si>
    <t>Defender against cell death 1 (DAD-1)</t>
  </si>
  <si>
    <t>DAD1_MOUSE</t>
  </si>
  <si>
    <t>P61804</t>
  </si>
  <si>
    <t>O08552; O70364; P46966; P46968; Q3V3W6; Q96GB7</t>
  </si>
  <si>
    <t>MGI:101912</t>
  </si>
  <si>
    <t>Acetylation; Apoptosis; Endoplasmic reticulum; Membrane; Transmembrane; Transmembrane helix</t>
  </si>
  <si>
    <t>apoptotic process {GO:0006915}; blastocyst development {GO:0001824}; negative regulation of apoptotic process {GO:0043066}; protein glycosylation {GO:0006486}; protein N-linked glycosylation {GO:0006487}; regulation of protein stability {GO:0031647}; response to nutrient {GO:0007584}; response to xenobiotic stimulus {GO:0009410}</t>
  </si>
  <si>
    <t>endoplasmic reticulum membrane {GO:0005789}; integral component of membrane {GO:0016021}; oligosaccharyltransferase complex {GO:0008250}</t>
  </si>
  <si>
    <t>sp|Q9Z0H3|SNF5_MOUSE</t>
  </si>
  <si>
    <t>SWI/SNF-related matrix-associated actin-dependent regulator of chromatin subfamily B member 1</t>
  </si>
  <si>
    <t>BRG1-associated factor 47 (BAF47); Integrase interactor 1 protein; SNF5 homolog (mSNF5)</t>
  </si>
  <si>
    <t>SNF5_MOUSE</t>
  </si>
  <si>
    <t>Q9Z0H3</t>
  </si>
  <si>
    <t>Baf47; Ini1; Snf5l1</t>
  </si>
  <si>
    <t>MGI:1328366</t>
  </si>
  <si>
    <t>Activator; Alternative splicing; Cell cycle; Chromatin regulator; DNA-binding; Isopeptide bond; Neurogenesis; Nucleus; Phosphoprotein; Repeat; Transcription; Transcription regulation; Tumor suppressor; Ubl conjugation</t>
  </si>
  <si>
    <t>Cell cycle; Neurogenesis; Transcription; Transcription regulation</t>
  </si>
  <si>
    <t>Activator; Chromatin regulator; DNA-binding</t>
  </si>
  <si>
    <t>blastocyst development {GO:0001824}; blastocyst hatching {GO:0001835}; cell cycle {GO:0007049}; chromatin remodeling {GO:0006338}; hepatocyte differentiation {GO:0070365}; negative regulation of cell population proliferation {GO:0008285}; negative regulation of histone H3-K9 dimethylation {GO:1900110}; negative regulation of histone H3-K9 trimethylation {GO:1900113}; nervous system development {GO:0007399}; nucleosome disassembly {GO:0006337}; positive regulation by host of viral transcription {GO:0043923}; positive regulation of cell differentiation {GO:0045597}; positive regulation of DNA-binding transcription factor activity {GO:0051091}; positive regulation of double-strand break repair {GO:2000781}; positive regulation of glucose mediated signaling pathway {GO:1902661}; positive regulation of histone H3-K9 acetylation {GO:2000617}; positive regulation of histone H4 acetylation {GO:0090240}; positive regulation of myoblast differentiation {GO:0045663}; positive regulation of stem cell population maintenance {GO:1902459}; positive regulation of T cell differentiation {GO:0045582}; positive regulation of transcription by RNA polymerase II {GO:0045944}; positive regulation of transcription of nucleolar large rRNA by RNA polymerase I {GO:1901838};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{GO:0006357}; single stranded viral RNA replication via double stranded DNA intermediate {GO:0039692}</t>
  </si>
  <si>
    <t>bBAF complex {GO:0140092}; brahma complex {GO:0035060}; chromatin {GO:0000785}; fibrillar center {GO:0001650}; germ cell nucleus {GO:0043073}; intracellular membrane-bounded organelle {GO:0043231}; kinetochore {GO:0000776}; nBAF complex {GO:0071565}; npBAF complex {GO:0071564}; nuclear chromosome {GO:0000228}; nuclear matrix {GO:0016363}; nucleolus {GO:0005730}; nucleoplasm {GO:0005654}; nucleus {GO:0005634}; RSC-type complex {GO:0016586}; SWI/SNF complex {GO:0016514}; XY body {GO:0001741}</t>
  </si>
  <si>
    <t>DNA binding {GO:0003677}; identical protein binding {GO:0042802}; p53 binding {GO:0002039}; RNA polymerase I core promoter sequence-specific DNA binding {GO:0001164}; Tat protein binding {GO:0030957}; transcription coactivator activity {GO:0003713}; transcription coregulator activity {GO:0003712}</t>
  </si>
  <si>
    <t>sp|Q9D6Y9|GLGB_MOUSE</t>
  </si>
  <si>
    <t>1,4-alpha-glucan-branching enzyme</t>
  </si>
  <si>
    <t>Brancher enzyme; Glycogen-branching enzyme</t>
  </si>
  <si>
    <t>GLGB_MOUSE</t>
  </si>
  <si>
    <t>Q9D6Y9</t>
  </si>
  <si>
    <t>MGI:1921435</t>
  </si>
  <si>
    <t>Acetylation; Glycogen biosynthesis; Glycogen storage disease; Glycosyltransferase; Phosphoprotein; Transferase</t>
  </si>
  <si>
    <t>Glycogen storage disease</t>
  </si>
  <si>
    <t>carbohydrate metabolic process {GO:0005975}; glycogen biosynthetic process {GO:0005978}; negative regulation of neuron apoptotic process {GO:0043524}</t>
  </si>
  <si>
    <t>1,4-alpha-glucan branching enzyme activity {GO:0003844}; 1,4-alpha-glucan branching enzyme activity (using a glucosylated glycogenin as primer for glycogen synthesis) {GO:0102752}; carbohydrate binding {GO:0030246}; cation binding {GO:0043169}; hydrolase activity, hydrolyzing O-glycosyl compounds {GO:0004553}</t>
  </si>
  <si>
    <t>Glycogen synthesis {R-MMU-3322077}</t>
  </si>
  <si>
    <t>sp|P21279|GNAQ_MOUSE</t>
  </si>
  <si>
    <t>Guanine nucleotide-binding protein G(q) subunit alpha</t>
  </si>
  <si>
    <t>Guanine nucleotide-binding protein alpha-q</t>
  </si>
  <si>
    <t>GNAQ_MOUSE</t>
  </si>
  <si>
    <t>P21279</t>
  </si>
  <si>
    <t>Q6PFF5</t>
  </si>
  <si>
    <t>MGI:95776</t>
  </si>
  <si>
    <t>3D-structure; Cell membrane; Golgi apparatus; GTP-binding; Lipoprotein; Magnesium; Membrane; Metal-binding; Nucleotide-binding; Nucleus; Palmitate; Transducer</t>
  </si>
  <si>
    <t>Cell membrane; Golgi apparatus; Membrane; Nucleus</t>
  </si>
  <si>
    <t>action potential {GO:0001508}; activation of phospholipase C activity {GO:0007202}; adenylate cyclase-activating G protein-coupled receptor signaling pathway {GO:0007189}; adenylate cyclase-modulating G protein-coupled receptor signaling pathway {GO:0007188}; cranial skeletal system development {GO:1904888}; developmental pigmentation {GO:0048066}; embryonic digit morphogenesis {GO:0042733}; endothelin receptor signaling pathway {GO:0086100}; forebrain neuron development {GO:0021884}; G protein-coupled receptor signaling pathway {GO:0007186}; glutamate receptor signaling pathway {GO:0007215}; heart development {GO:0007507}; maternal behavior {GO:0042711}; multicellular organism aging {GO:0010259}; negative regulation of apoptotic process {GO:0043066}; negative regulation of potassium ion transport {GO:0043267}; negative regulation of protein kinase activity {GO:0006469}; neuron remodeling {GO:0016322}; phospholipase C-activating dopamine receptor signaling pathway {GO:0060158}; phospholipase C-activating G protein-coupled receptor signaling pathway {GO:0007200}; positive regulation of smooth muscle cell proliferation {GO:0048661}; post-embryonic development {GO:0009791}; protein stabilization {GO:0050821}; regulation of blood pressure {GO:0008217}; regulation of canonical Wnt signaling pathway {GO:0060828}; regulation of melanocyte differentiation {GO:0045634}; regulation of platelet activation {GO:0010543}; skeletal system development {GO:0001501}</t>
  </si>
  <si>
    <t>caveola {GO:0005901}; cell body {GO:0044297}; cytosol {GO:0005829}; dendrite {GO:0030425}; Golgi apparatus {GO:0005794}; heterotrimeric G-protein complex {GO:0005834}; membrane {GO:0016020}; nuclear membrane {GO:0031965}; plasma membrane {GO:0005886}; synapse {GO:0045202}</t>
  </si>
  <si>
    <t>alkylglycerophosphoethanolamine phosphodiesterase activity {GO:0047391}; G protein-coupled receptor binding {GO:0001664}; G-protein beta/gamma-subunit complex binding {GO:0031683}; GTP binding {GO:0005525}; GTPase activator activity {GO:0005096}; GTPase activity {GO:0003924}; metal ion binding {GO:0046872}; protein-containing complex binding {GO:0044877}</t>
  </si>
  <si>
    <t>PLC beta mediated events {R-MMU-112043}; G-protein activation {R-MMU-202040}; Acetylcholine regulates insulin secretion {R-MMU-399997}; G alpha (q) signalling events {R-MMU-416476}; ADP signalling through P2Y purinoceptor 1 {R-MMU-418592}; Thromboxane signalling through TP receptor {R-MMU-428930}; Fatty Acids bound to GPR40 (FFAR1) regulate insulin secretion {R-MMU-434316}; Thrombin signalling through proteinase activated receptors (PARs) {R-MMU-456926}; Cooperation of PDCL (PhLP1) and TRiC/CCT in G-protein beta folding {R-MMU-6814122}</t>
  </si>
  <si>
    <t>sp|Q6P3D0|NUD16_MOUSE</t>
  </si>
  <si>
    <t>U8 snoRNA-decapping enzyme</t>
  </si>
  <si>
    <t>IDP phosphatase (IDPase); Inosine diphosphate phosphatase; Nucleoside diphosphate-linked moiety X motif 16 (Nudix motif 16); m7GpppN-mRNA hydrolase</t>
  </si>
  <si>
    <t>NUD16_MOUSE</t>
  </si>
  <si>
    <t>Q6P3D0</t>
  </si>
  <si>
    <t>Q9D716</t>
  </si>
  <si>
    <t>MGI:1922936</t>
  </si>
  <si>
    <t>Cytoplasm; Hydrolase; Magnesium; Manganese; Metal-binding; Nucleotide metabolism; Nucleotide-binding; Nucleus; RNA-binding</t>
  </si>
  <si>
    <t>adenosine to inosine editing {GO:0006382}; chromosome organization {GO:0051276}; dITP catabolic process {GO:0035863}; IDP catabolic process {GO:0046709}; mRNA catabolic process {GO:0006402}; NAD-cap decapping {GO:0110155}; negative regulation of rRNA processing {GO:2000233}; positive regulation of cell cycle process {GO:0090068}; RNA phosphodiester bond hydrolysis, endonucleolytic {GO:0090502}; sno(s)RNA catabolic process {GO:0016077}</t>
  </si>
  <si>
    <t>chloride ion binding {GO:0031404}; cobalt ion binding {GO:0050897}; dIDP phosphatase activity {GO:0097383}; dITP diphosphatase activity {GO:0035870}; GTP binding {GO:0005525}; identical protein binding {GO:0042802}; IDP phosphatase activity {GO:1990003}; ITP binding {GO:1901641}; m7G(5')pppN diphosphatase activity {GO:0050072}; magnesium ion binding {GO:0000287}; manganese ion binding {GO:0030145}; metalloexopeptidase activity {GO:0008235}; mRNA binding {GO:0003729}; phosphodiesterase decapping endonuclease activity {GO:1990174}; protein homodimerization activity {GO:0042803}; RNA NAD-cap (NAD-forming) hydrolase activity {GO:0110152}; snoRNA binding {GO:0030515}; XTP binding {GO:1901640}</t>
  </si>
  <si>
    <t>sp|C0HKD8|MFA1A_MOUSE</t>
  </si>
  <si>
    <t>Microfibrillar-associated protein 1A</t>
  </si>
  <si>
    <t>Spliceosome B complex protein MFAP1A</t>
  </si>
  <si>
    <t>MFA1A_MOUSE</t>
  </si>
  <si>
    <t>C0HKD8</t>
  </si>
  <si>
    <t>Q3TU29; Q8CCL1; Q9CQU1; Q9CSJ5</t>
  </si>
  <si>
    <t>MGI:1914782</t>
  </si>
  <si>
    <t>Acetylation; Isopeptide bond; mRNA processing; mRNA splicing; Nucleus; Phosphoprotein; Spliceosome; Ubl conjugation</t>
  </si>
  <si>
    <t>centrosome {GO:0005813}; collagen-containing extracellular matrix {GO:0062023}; microfibril {GO:0001527}; nucleoplasm {GO:0005654}; nucleus {GO:0005634}; U2-type precatalytic spliceosome {GO:0071005}; U2-type spliceosomal complex {GO:0005684}</t>
  </si>
  <si>
    <t>sp|Q3UH53|SDK1_MOUSE</t>
  </si>
  <si>
    <t>Protein sidekick-1</t>
  </si>
  <si>
    <t>SDK1_MOUSE</t>
  </si>
  <si>
    <t>Q3UH53</t>
  </si>
  <si>
    <t>Q3UFD1; Q6PAL2; Q6V3A4; Q8BMC2; Q8BZI1</t>
  </si>
  <si>
    <t>MGI:2444413</t>
  </si>
  <si>
    <t>behavioral response to cocaine {GO:0048148}; homophilic cell adhesion via plasma membrane adhesion molecules {GO:0007156}; regulation of dendritic spine development {GO:0060998}; retina layer formation {GO:0010842}; synapse assembly {GO:0007416}</t>
  </si>
  <si>
    <t>sp|Q8C4Y3|NELFB_MOUSE</t>
  </si>
  <si>
    <t>Negative elongation factor B (NELF-B)</t>
  </si>
  <si>
    <t>Cofactor of BRCA1</t>
  </si>
  <si>
    <t>NELFB_MOUSE</t>
  </si>
  <si>
    <t>Q8C4Y3</t>
  </si>
  <si>
    <t>A0A0X1KG62; Q69ZP4; Q99J41; Q9JJA5</t>
  </si>
  <si>
    <t>Cobra1</t>
  </si>
  <si>
    <t>MGI:1931035</t>
  </si>
  <si>
    <t>Acetylation; Alternative initiation; Nucleus; Phosphoprotein; Repressor; RNA-binding; Transcription; Transcription regulation</t>
  </si>
  <si>
    <t>cell population proliferation {GO:0008283}; negative regulation of stem cell differentiation {GO:2000737}; negative regulation of transcription elongation by RNA polymerase II {GO:0034244}; stem cell differentiation {GO:0048863}</t>
  </si>
  <si>
    <t>cytoplasm {GO:0005737}; cytosol {GO:0005829}; mitochondrial outer membrane {GO:0005741}; NELF complex {GO:0032021}; nucleus {GO:0005634}</t>
  </si>
  <si>
    <t>Formation of RNA Pol II elongation complex {R-MMU-112382}; Formation of the Early Elongation Complex {R-MMU-113418}; RNA Polymerase II Pre-transcription Events {R-MMU-674695}; TP53 Regulates Transcription of DNA Repair Genes {R-MMU-6796648}; RNA Polymerase II Transcription Elongation {R-MMU-75955}</t>
  </si>
  <si>
    <t>sp|P11531|DMD_MOUSE</t>
  </si>
  <si>
    <t>Dystrophin</t>
  </si>
  <si>
    <t>DMD_MOUSE</t>
  </si>
  <si>
    <t>P11531</t>
  </si>
  <si>
    <t>A2A9Z0; O35653; Q60703</t>
  </si>
  <si>
    <t>MGI:94909</t>
  </si>
  <si>
    <t>Actin-binding; Alternative splicing; Calcium; Cell membrane; Cytoplasm; Cytoskeleton; Membrane; Metal-binding; Phosphoprotein; Postsynaptic cell membrane; Repeat; Synapse; Zinc; Zinc-finger</t>
  </si>
  <si>
    <t>Cell membrane; Cytoplasm; Cytoskeleton; Membrane; Postsynaptic cell membrane; Synapse</t>
  </si>
  <si>
    <t>Calcium; Metal-binding; Zinc</t>
  </si>
  <si>
    <t>actin cytoskeleton organization {GO:0030036}; aging {GO:0007568}; cardiac muscle cell action potential {GO:0086001}; cardiac muscle contraction {GO:0060048}; cerebral cortex development {GO:0021987}; establishment of blood-nerve barrier {GO:0008065}; establishment of glial blood-brain barrier {GO:0060857}; muscle cell cellular homeostasis {GO:0046716}; muscle cell development {GO:0055001}; muscle organ development {GO:0007517}; myotube cell development {GO:0014904}; negative regulation of ERK1 and ERK2 cascade {GO:0070373}; negative regulation of neuron differentiation {GO:0045665}; negative regulation of peptidyl-cysteine S-nitrosylation {GO:1902083}; negative regulation of peptidyl-serine phosphorylation {GO:0033137}; neuron development {GO:0048666}; neuron projection morphogenesis {GO:0048812}; neurotransmitter receptor metabolic process {GO:0045213}; nucleus localization {GO:0051647}; olfactory nerve structural organization {GO:0021629}; peptide biosynthetic process {GO:0043043}; positive regulation of cell population proliferation {GO:0008284}; positive regulation of cell-matrix adhesion {GO:0001954}; positive regulation of neuron differentiation {GO:0045666}; positive regulation of neuron projection development {GO:0010976}; positive regulation of sodium ion transmembrane transporter activity {GO:2000651}; protein localization {GO:0008104}; protein-containing complex assembly {GO:0065003}; regulation of cardiac muscle contraction by regulation of the release of sequestered calcium ion {GO:0010881}; regulation of cell cycle {GO:0051726}; regulation of cellular response to growth factor stimulus {GO:0090287}; regulation of DNA-templated transcription {GO:0006355}; regulation of gene expression {GO:0010468}; regulation of heart rate {GO:0002027}; regulation of membrane potential {GO:0042391}; regulation of muscle system process {GO:0090257}; regulation of release of sequestered calcium ion into cytosol by sarcoplasmic reticulum {GO:0010880}; regulation of ryanodine-sensitive calcium-release channel activity {GO:0060314}; regulation of skeletal muscle contraction {GO:0014819}; regulation of skeletal muscle contraction by regulation of release of sequestered calcium ion {GO:0014809}; regulation of voltage-gated calcium channel activity {GO:1901385}; response to denervation involved in regulation of muscle adaptation {GO:0014894}; response to muscle stretch {GO:0035994}; response to water deprivation {GO:0009414}; skeletal muscle tissue development {GO:0007519}; skeletal muscle tissue regeneration {GO:0043403}</t>
  </si>
  <si>
    <t>astrocyte projection {GO:0097449}; axon {GO:0030424}; cell junction {GO:0030054}; cell projection {GO:0042995}; cell surface {GO:0009986}; cell-substrate junction {GO:0030055}; cortical actin cytoskeleton {GO:0030864}; costamere {GO:0043034}; dystrophin-associated glycoprotein complex {GO:0016010}; filopodium {GO:0030175}; filopodium membrane {GO:0031527}; Golgi apparatus {GO:0005794}; lamellipodium {GO:0030027}; matrix side of mitochondrial inner membrane {GO:0099617}; membrane raft {GO:0045121}; mitochondrial outer membrane {GO:0005741}; myofibril {GO:0030016}; neurofilament {GO:0005883}; neuron projection {GO:0043005}; neuron projection terminus {GO:0044306}; neuronal cell body {GO:0043025}; nucleus {GO:0005634}; perinuclear region of cytoplasm {GO:0048471}; plasma membrane {GO:0005886}; postsynaptic density {GO:0014069}; postsynaptic membrane {GO:0045211}; protein-containing complex {GO:0032991}; ribosome {GO:0005840}; sarcolemma {GO:0042383}; secretory granule {GO:0030141}; synapse {GO:0045202}; synaptic vesicle membrane {GO:0030672}; Z disc {GO:0030018}</t>
  </si>
  <si>
    <t>actin binding {GO:0003779}; actin filament binding {GO:0051015}; dystroglycan binding {GO:0002162}; integrin binding {GO:0005178}; lamin binding {GO:0005521}; myosin binding {GO:0017022}; nitric-oxide synthase binding {GO:0050998}; PDZ domain binding {GO:0030165}; protein-containing complex binding {GO:0044877}; structural constituent of muscle {GO:0008307}; vinculin binding {GO:0017166}; zinc ion binding {GO:0008270}</t>
  </si>
  <si>
    <t>sp|Q8R2Y2|MUC18_MOUSE</t>
  </si>
  <si>
    <t>Cell surface glycoprotein MUC18</t>
  </si>
  <si>
    <t>Gicerin; Melanoma cell adhesion molecule; Melanoma-associated antigen MUC18; CD_antigen=CD146</t>
  </si>
  <si>
    <t>MUC18_MOUSE</t>
  </si>
  <si>
    <t>Q8R2Y2</t>
  </si>
  <si>
    <t>Q9EPF1; Q9ESS7; Q9JHQ2; Q9JHQ3</t>
  </si>
  <si>
    <t>Muc18</t>
  </si>
  <si>
    <t>MGI:1933966</t>
  </si>
  <si>
    <t>Alternative splicing; Cell adhesion; Disulfide bond; Glycoprotein; Immunoglobulin domain; Membrane; Phosphoprotein; Repeat; Signal; Transmembrane; Transmembrane helix</t>
  </si>
  <si>
    <t>angiogenesis {GO:0001525}; cell adhesion {GO:0007155}; glomerular filtration {GO:0003094}; heterophilic cell-cell adhesion via plasma membrane cell adhesion molecules {GO:0007157}; positive regulation of cell migration {GO:0030335}; vascular wound healing {GO:0061042}</t>
  </si>
  <si>
    <t>external side of plasma membrane {GO:0009897}; extracellular space {GO:0005615}; integral component of membrane {GO:0016021}; nucleus {GO:0005634}; plasma membrane {GO:0005886}</t>
  </si>
  <si>
    <t>RHOA GTPase cycle {R-MMU-8980692}; RHOB GTPase cycle {R-MMU-9013026}; RHOC GTPase cycle {R-MMU-9013106}; RAC1 GTPase cycle {R-MMU-9013149}; RAC2 GTPase cycle {R-MMU-9013404}; RHOD GTPase cycle {R-MMU-9013405}; RHOG GTPase cycle {R-MMU-9013408}; RAC3 GTPase cycle {R-MMU-9013423}; RHOF GTPase cycle {R-MMU-9035034}</t>
  </si>
  <si>
    <t>sp|Q8BZQ7|ANC2_MOUSE</t>
  </si>
  <si>
    <t>Anaphase-promoting complex subunit 2 (APC2)</t>
  </si>
  <si>
    <t>Cyclosome subunit 2</t>
  </si>
  <si>
    <t>ANC2_MOUSE</t>
  </si>
  <si>
    <t>Q8BZQ7</t>
  </si>
  <si>
    <t>Q3TCK5; Q8R2Q1</t>
  </si>
  <si>
    <t>MGI:2139135</t>
  </si>
  <si>
    <t>Cell cycle; Cell division; Differentiation; Mitosis; Neurogenesis; Phosphoprotein; Ubl conjugation pathway</t>
  </si>
  <si>
    <t>Cell cycle; Cell division; Differentiation; Mitosis; Neurogenesis; Ubl conjugation pathway</t>
  </si>
  <si>
    <t>cell differentiation {GO:0030154}; cell division {GO:0051301}; metaphase/anaphase transition of mitotic cell cycle {GO:0007091}; negative regulation of gene expression {GO:0010629}; nervous system development {GO:0007399}; positive regulation of axon extension {GO:0045773}; positive regulation of dendrite morphogenesis {GO:0050775}; positive regulation of synapse maturation {GO:0090129}; positive regulation of synaptic plasticity {GO:0031915}; protein K11-linked ubiquitination {GO:0070979}; ubiquitin-dependent protein catabolic process {GO:0006511}</t>
  </si>
  <si>
    <t>sp|Q9QYF1|RDH11_MOUSE</t>
  </si>
  <si>
    <t>Retinol dehydrogenase 11</t>
  </si>
  <si>
    <t>Androgen-regulated short-chain dehydrogenase/reductase 1; Cell line MC/9.IL4-derived protein 1; M42C60; Prostate short-chain dehydrogenase/reductase 1; Retinal reductase 1 (RalR1); Short-chain aldehyde dehydrogenase (SCALD)</t>
  </si>
  <si>
    <t>RDH11_MOUSE</t>
  </si>
  <si>
    <t>Q9QYF1</t>
  </si>
  <si>
    <t>Q3UXM9; Q9D0U5</t>
  </si>
  <si>
    <t>Arsdr1; Mdt1; Psdr1</t>
  </si>
  <si>
    <t>MGI:102581</t>
  </si>
  <si>
    <t>Acetylation; Alternative splicing; Endoplasmic reticulum; Lipid metabolism; Membrane; NADP; Oxidoreductase; Signal-anchor; Transmembrane; Transmembrane helix</t>
  </si>
  <si>
    <t>adaptation of rhodopsin mediated signaling {GO:0016062}; cellular detoxification of aldehyde {GO:0110095}; retinal metabolic process {GO:0042574}; retinoid metabolic process {GO:0001523}; retinol metabolic process {GO:0042572}; visual perception {GO:0007601}</t>
  </si>
  <si>
    <t>endoplasmic reticulum membrane {GO:0005789}; integral component of membrane {GO:0016021}; photoreceptor inner segment {GO:0001917}</t>
  </si>
  <si>
    <t>11-cis-retinol dehydrogenase activity {GO:0102354}; aldehyde dehydrogenase (NADP+) activity {GO:0033721}; NAD-retinol dehydrogenase activity {GO:0004745}; NADP-retinol dehydrogenase activity {GO:0052650}</t>
  </si>
  <si>
    <t>The canonical retinoid cycle in rods (twilight vision) {R-MMU-2453902}; RA biosynthesis pathway {R-MMU-5365859}; Retinoid metabolism and transport {R-MMU-975634}</t>
  </si>
  <si>
    <t>sp|E9Q4Z2|ACACB_MOUSE</t>
  </si>
  <si>
    <t>sp|O89023|TPP1_MOUSE</t>
  </si>
  <si>
    <t>Tripeptidyl-peptidase 1 (TPP-1)</t>
  </si>
  <si>
    <t>Lysosomal pepstatin-insensitive protease (LPIC); Tripeptidyl aminopeptidase; Tripeptidyl-peptidase I (TPP-I)</t>
  </si>
  <si>
    <t>TPP1_MOUSE</t>
  </si>
  <si>
    <t>O89023</t>
  </si>
  <si>
    <t>Q543Q8; Q9QUS7</t>
  </si>
  <si>
    <t>Cln2</t>
  </si>
  <si>
    <t>MGI:1336194</t>
  </si>
  <si>
    <t>Autocatalytic cleavage; Calcium; Disulfide bond; Glycoprotein; Hydrolase; Lysosome; Metal-binding; Protease; Serine protease; Signal; Zymogen</t>
  </si>
  <si>
    <t>Autocatalytic cleavage; Disulfide bond; Glycoprotein; Zymogen</t>
  </si>
  <si>
    <t>bone resorption {GO:0045453}; central nervous system development {GO:0007417}; epithelial cell differentiation {GO:0030855}; lysosomal protein catabolic process {GO:1905146}; lysosome organization {GO:0007040}; nervous system development {GO:0007399}; neuromuscular process controlling balance {GO:0050885}; peptide catabolic process {GO:0043171}; protein catabolic process {GO:0030163}; protein localization to chromosome, telomeric region {GO:0070198}; proteolysis {GO:0006508}</t>
  </si>
  <si>
    <t>Golgi apparatus {GO:0005794}; lysosome {GO:0005764}; melanosome {GO:0042470}; membrane raft {GO:0045121}; mitochondrion {GO:0005739}; recycling endosome {GO:0055037}</t>
  </si>
  <si>
    <t>endopeptidase activity {GO:0004175}; lysophosphatidic acid binding {GO:0035727}; metal ion binding {GO:0046872}; peptidase activity {GO:0008233}; peptide binding {GO:0042277}; serine-type endopeptidase activity {GO:0004252}; serine-type peptidase activity {GO:0008236}; sulfatide binding {GO:0120146}; tripeptidyl-peptidase activity {GO:0008240}</t>
  </si>
  <si>
    <t>sp|Q5QNQ6|OSBP2_MOUSE</t>
  </si>
  <si>
    <t>Oxysterol-binding protein 2</t>
  </si>
  <si>
    <t>OSBP2_MOUSE</t>
  </si>
  <si>
    <t>Q5QNQ6</t>
  </si>
  <si>
    <t>Q8CF21</t>
  </si>
  <si>
    <t>MGI:1921559</t>
  </si>
  <si>
    <t>Lipid transport; Lipid-binding; Membrane; Phosphoprotein; Transport</t>
  </si>
  <si>
    <t>spermatid development {GO:0007286}</t>
  </si>
  <si>
    <t>apical dendrite {GO:0097440}; cytosol {GO:0005829}; intracellular membrane-bounded organelle {GO:0043231}; membrane {GO:0016020}; perinuclear endoplasmic reticulum {GO:0097038}; plasma membrane {GO:0005886}</t>
  </si>
  <si>
    <t>cholesterol binding {GO:0015485}; sterol binding {GO:0032934}; sterol transporter activity {GO:0015248}</t>
  </si>
  <si>
    <t>sp|Q3UCV8|OTUL_MOUSE</t>
  </si>
  <si>
    <t>Ubiquitin thioesterase otulin</t>
  </si>
  <si>
    <t>Deubiquitinating enzyme otulin; OTU domain-containing deubiquitinase with linear linkage specificity; Ubiquitin thioesterase Gumby</t>
  </si>
  <si>
    <t>OTUL_MOUSE</t>
  </si>
  <si>
    <t>Q3UCV8</t>
  </si>
  <si>
    <t>Q3UY59; Q5M8N1; Q8R027</t>
  </si>
  <si>
    <t>MGI:3577015</t>
  </si>
  <si>
    <t>Acetylation; Angiogenesis; Coiled coil; Cytoplasm; Hydrolase; Immunity; Innate immunity; Phosphoprotein; Protease; Thiol protease; Ubl conjugation; Ubl conjugation pathway; Wnt signaling pathway</t>
  </si>
  <si>
    <t>Angiogenesis; Immunity; Innate immunity; Ubl conjugation pathway; Wnt signaling pathway</t>
  </si>
  <si>
    <t>innate immune response {GO:0045087}; negative regulation of inflammatory response {GO:0050728}; negative regulation of NF-kappaB transcription factor activity {GO:0032088}; nucleotide-binding oligomerization domain containing 2 signaling pathway {GO:0070431}; protein linear deubiquitination {GO:1990108}; regulation of canonical Wnt signaling pathway {GO:0060828}; regulation of tumor necrosis factor-mediated signaling pathway {GO:0010803}; sprouting angiogenesis {GO:0002040}; Wnt signaling pathway {GO:0016055}</t>
  </si>
  <si>
    <t>cysteine-type deubiquitinase activity {GO:0004843}; cysteine-type peptidase activity {GO:0008234}</t>
  </si>
  <si>
    <t>Regulation of TNFR1 signaling {R-MMU-5357905}; Synthesis of active ubiquitin: roles of E1 and E2 enzymes {R-MMU-8866652}</t>
  </si>
  <si>
    <t>sp|P97314|CSRP2_MOUSE</t>
  </si>
  <si>
    <t>Cysteine and glycine-rich protein 2</t>
  </si>
  <si>
    <t>Cysteine-rich protein 2 (CRP2); Double LIM protein 1 (DLP-1)</t>
  </si>
  <si>
    <t>CSRP2_MOUSE</t>
  </si>
  <si>
    <t>P97314</t>
  </si>
  <si>
    <t>Q9CZG5</t>
  </si>
  <si>
    <t>Dlp1</t>
  </si>
  <si>
    <t>MGI:1202907</t>
  </si>
  <si>
    <t>Acetylation; Developmental protein; Differentiation; Isopeptide bond; LIM domain; Metal-binding; Nucleus; Repeat; Ubl conjugation; Zinc</t>
  </si>
  <si>
    <t>sp|Q4PJX1|ODR4_MOUSE</t>
  </si>
  <si>
    <t>Protein odr-4 homolog (mODR-4)</t>
  </si>
  <si>
    <t>ODR4_MOUSE</t>
  </si>
  <si>
    <t>Q4PJX1</t>
  </si>
  <si>
    <t>Q3U8Y3; Q99J66</t>
  </si>
  <si>
    <t>MGI:2385108</t>
  </si>
  <si>
    <t>Alternative splicing; Membrane; Transmembrane; Transmembrane helix</t>
  </si>
  <si>
    <t>protein localization {GO:0008104}</t>
  </si>
  <si>
    <t>sp|Q8BTZ7|GMPPB_MOUSE</t>
  </si>
  <si>
    <t>Mannose-1-phosphate guanyltransferase beta</t>
  </si>
  <si>
    <t>GDP-mannose pyrophosphorylase B; GTP-mannose-1-phosphate guanylyltransferase beta</t>
  </si>
  <si>
    <t>GMPPB_MOUSE</t>
  </si>
  <si>
    <t>Q8BTZ7</t>
  </si>
  <si>
    <t>MGI:2660880</t>
  </si>
  <si>
    <t>Cytoplasm; GTP-binding; Nucleotide-binding; Nucleotidyltransferase; Transferase</t>
  </si>
  <si>
    <t>GDP-mannose biosynthetic process {GO:0009298}; protein glycosylation {GO:0006486}</t>
  </si>
  <si>
    <t>GTP binding {GO:0005525}; mannose-1-phosphate guanylyltransferase activity {GO:0004475}; nucleotidyltransferase activity {GO:0016779}</t>
  </si>
  <si>
    <t>Nucleotide-sugar biosynthesis; GDP-alpha-D-mannose biosynthesis; GDP-alpha-D-mannose from alpha-D-mannose 1-phosphate (GTP route): step 1/1..</t>
  </si>
  <si>
    <t>sp|Q9CQE1|NPS3B_MOUSE</t>
  </si>
  <si>
    <t>Protein NipSnap homolog 3B (NipSnap3B)</t>
  </si>
  <si>
    <t>NipSnap-related protein; Protein NipSnap homolog 3A (NipSnap3A)</t>
  </si>
  <si>
    <t>NPS3B_MOUSE</t>
  </si>
  <si>
    <t>Q9CQE1</t>
  </si>
  <si>
    <t>B1AWZ4; Q8VHX9</t>
  </si>
  <si>
    <t>Nipsnap3a</t>
  </si>
  <si>
    <t>MGI:1913786</t>
  </si>
  <si>
    <t>sp|P52196|THTR_MOUSE</t>
  </si>
  <si>
    <t>Thiosulfate sulfurtransferase</t>
  </si>
  <si>
    <t>Rhodanese</t>
  </si>
  <si>
    <t>THTR_MOUSE</t>
  </si>
  <si>
    <t>P52196</t>
  </si>
  <si>
    <t>MGI:98852</t>
  </si>
  <si>
    <t>Acetylation; Glycoprotein; Mitochondrion; Phosphoprotein; Repeat; RNA-binding; Transferase</t>
  </si>
  <si>
    <t>epithelial cell differentiation {GO:0030855}; rRNA import into mitochondrion {GO:0035928}; rRNA transport {GO:0051029}; transsulfuration {GO:0019346}</t>
  </si>
  <si>
    <t>5S rRNA binding {GO:0008097}; thiosulfate sulfurtransferase activity {GO:0004792}</t>
  </si>
  <si>
    <t>sp|Q9CQF6|ADPPT_MOUSE</t>
  </si>
  <si>
    <t>L-aminoadipate-semialdehyde dehydrogenase-phosphopantetheinyl transferase</t>
  </si>
  <si>
    <t>4'-phosphopantetheinyl transferase; Alpha-aminoadipic semialdehyde dehydrogenase-phosphopantetheinyl transferase (AASD-PPT)</t>
  </si>
  <si>
    <t>ADPPT_MOUSE</t>
  </si>
  <si>
    <t>Q9CQF6</t>
  </si>
  <si>
    <t>Q5U5W8; Q9CU40; Q9D827</t>
  </si>
  <si>
    <t>MGI:1914868</t>
  </si>
  <si>
    <t>Alternative splicing; Cytoplasm; Magnesium; Metal-binding; Transferase</t>
  </si>
  <si>
    <t>10-formyltetrahydrofolate catabolic process {GO:0009258}; lysine biosynthetic process via aminoadipic acid {GO:0019878}; protein maturation {GO:0051604}</t>
  </si>
  <si>
    <t>holo-[acyl-carrier-protein] synthase activity {GO:0008897}; magnesium ion binding {GO:0000287}</t>
  </si>
  <si>
    <t>Vitamin B5 (pantothenate) metabolism {R-MMU-199220}</t>
  </si>
  <si>
    <t>sp|Q9D7N9|APMAP_MOUSE</t>
  </si>
  <si>
    <t>Adipocyte plasma membrane-associated protein</t>
  </si>
  <si>
    <t>Protein DD16</t>
  </si>
  <si>
    <t>APMAP_MOUSE</t>
  </si>
  <si>
    <t>Q9D7N9</t>
  </si>
  <si>
    <t>A2AQX3; Q3U4F4</t>
  </si>
  <si>
    <t>MGI:1919131</t>
  </si>
  <si>
    <t>Acetylation; Glycoprotein; Membrane; Phosphoprotein; Signal-anchor; Transmembrane; Transmembrane helix</t>
  </si>
  <si>
    <t>biosynthetic process {GO:0009058}</t>
  </si>
  <si>
    <t>cell surface {GO:0009986}; integral component of membrane {GO:0016021}; membrane {GO:0016020}</t>
  </si>
  <si>
    <t>arylesterase activity {GO:0004064}; strictosidine synthase activity {GO:0016844}</t>
  </si>
  <si>
    <t>sp|Q8C7X2|EMC1_MOUSE</t>
  </si>
  <si>
    <t>ER membrane protein complex subunit 1</t>
  </si>
  <si>
    <t>EMC1_MOUSE</t>
  </si>
  <si>
    <t>Q8C7X2</t>
  </si>
  <si>
    <t>B2RTJ5; Q3TCG4; Q6ZQJ4; Q8K3W8</t>
  </si>
  <si>
    <t>Kiaa0090</t>
  </si>
  <si>
    <t>MGI:2443696</t>
  </si>
  <si>
    <t>Alternative splicing; Disulfide bond; Endoplasmic reticulum; Glycoprotein; Membrane; Signal; Transmembrane; Transmembrane helix</t>
  </si>
  <si>
    <t>EMC complex {GO:0072546}; endoplasmic reticulum {GO:0005783}; endoplasmic reticulum membrane {GO:0005789}; integral component of endoplasmic reticulum membrane {GO:0030176}; integral component of membrane {GO:0016021}; protein-containing complex {GO:0032991}</t>
  </si>
  <si>
    <t>sp|Q9JJT9|PHAX_MOUSE</t>
  </si>
  <si>
    <t>Phosphorylated adapter RNA export protein</t>
  </si>
  <si>
    <t>RNA U small nuclear RNA export adapter protein</t>
  </si>
  <si>
    <t>PHAX_MOUSE</t>
  </si>
  <si>
    <t>Q9JJT9</t>
  </si>
  <si>
    <t>Q8BSR8</t>
  </si>
  <si>
    <t>Rnuxa</t>
  </si>
  <si>
    <t>MGI:1891839</t>
  </si>
  <si>
    <t>Acetylation; Cytoplasm; Nucleus; Phosphoprotein; Protein transport; RNA-binding; Transport</t>
  </si>
  <si>
    <t>protein transport {GO:0015031}; RNA stabilization {GO:0043489}; snRNA export from nucleus {GO:0006408}</t>
  </si>
  <si>
    <t>Cajal body {GO:0015030}; centrosome {GO:0005813}; cytoplasm {GO:0005737}; neuronal cell body {GO:0043025}; nucleoplasm {GO:0005654}; nucleus {GO:0005634}; ribonucleoprotein complex {GO:1990904}</t>
  </si>
  <si>
    <t>mRNA cap binding complex binding {GO:0140262}; RNA binding {GO:0003723}; toxic substance binding {GO:0015643}</t>
  </si>
  <si>
    <t>sp|Q8CI11|GNL3_MOUSE</t>
  </si>
  <si>
    <t>Guanine nucleotide-binding protein-like 3</t>
  </si>
  <si>
    <t>Nucleolar GTP-binding protein 3; Nucleostemin</t>
  </si>
  <si>
    <t>GNL3_MOUSE</t>
  </si>
  <si>
    <t>Q8CI11</t>
  </si>
  <si>
    <t>Q811R9; Q811S8; Q8BK21</t>
  </si>
  <si>
    <t>Ns</t>
  </si>
  <si>
    <t>MGI:1353651</t>
  </si>
  <si>
    <t>Acetylation; Alternative splicing; Coiled coil; GTP-binding; Isopeptide bond; Nucleotide-binding; Nucleus; Phosphoprotein; Ubl conjugation</t>
  </si>
  <si>
    <t>cell population proliferation {GO:0008283}; positive regulation of miRNA transcription {GO:1902895}; positive regulation of protein localization to chromosome, telomeric region {GO:1904816}; positive regulation of protein sumoylation {GO:0033235}; positive regulation of telomere maintenance {GO:0032206}; regulation of cell population proliferation {GO:0042127}; stem cell division {GO:0017145}; stem cell population maintenance {GO:0019827}</t>
  </si>
  <si>
    <t>chromosome {GO:0005694}; midbody {GO:0030496}; nuclear body {GO:0016604}; nucleolus {GO:0005730}; nucleoplasm {GO:0005654}; nucleus {GO:0005634}</t>
  </si>
  <si>
    <t>GTP binding {GO:0005525}; mRNA 5'-UTR binding {GO:0048027}</t>
  </si>
  <si>
    <t>sp|P34152|FAK1_MOUSE</t>
  </si>
  <si>
    <t>Focal adhesion kinase 1 (FADK 1)</t>
  </si>
  <si>
    <t>Focal adhesion kinase-related nonkinase (FRNK); Protein-tyrosine kinase 2; p125FAK; pp125FAK</t>
  </si>
  <si>
    <t>FAK1_MOUSE</t>
  </si>
  <si>
    <t>P34152</t>
  </si>
  <si>
    <t>O08578; Q5DTH7; Q8C513; Q8CFH7; Q8CHM2; Q8K2S0; Q9DAW3</t>
  </si>
  <si>
    <t>Fadk; Fak; Fak1; Kiaa4203</t>
  </si>
  <si>
    <t>MGI:95481</t>
  </si>
  <si>
    <t>3D-structure; Acetylation; Alternative promoter usage; Alternative splicing; Angiogenesis; ATP-binding; Cell junction; Cell membrane; Cell projection; Cytoplasm; Cytoskeleton; Developmental protein; Isopeptide bond; Kinase; Membrane; Nucleotide-binding; Nucleus; Phosphoprotein; Transferase; Tyrosine-protein kinase; Ubl conjugation</t>
  </si>
  <si>
    <t>Developmental protein; Kinase; Transferase; Tyrosine-protein kinase</t>
  </si>
  <si>
    <t>angiogenesis {GO:0001525}; axonogenesis {GO:0007409}; blood vessel development {GO:0001568}; cell differentiation {GO:0030154}; cell migration {GO:0016477}; cellular chloride ion homeostasis {GO:0030644}; cellular response to transforming growth factor beta stimulus {GO:0071560}; central nervous system neuron axonogenesis {GO:0021955}; endothelial cell migration {GO:0043542}; ephrin receptor signaling pathway {GO:0048013}; epidermal growth factor receptor signaling pathway {GO:0007173}; extracellular matrix organization {GO:0030198}; growth hormone receptor signaling pathway {GO:0060396}; innate immune response {GO:0045087}; integrin-mediated signaling pathway {GO:0007229}; JNK cascade {GO:0007254}; MAPK cascade {GO:0000165}; microtubule cytoskeleton organization {GO:0000226}; negative regulation of anoikis {GO:2000811}; negative regulation of apoptotic process {GO:0043066}; negative regulation of autophagy {GO:0010507}; negative regulation of axonogenesis {GO:0050771}; negative regulation of cell migration {GO:0030336}; negative regulation of cell-cell adhesion {GO:0022408}; negative regulation of organ growth {GO:0046621}; negative regulation of synapse assembly {GO:0051964}; neuron migration {GO:0001764}; nuclear migration {GO:0007097}; organ growth {GO:0035265}; peptidyl-tyrosine autophosphorylation {GO:0038083}; peptidyl-tyrosine phosphorylation {GO:0018108}; positive regulation of cardiac muscle hypertrophy {GO:0010613}; positive regulation of cell adhesion {GO:0045785}; positive regulation of cell growth {GO:0030307}; positive regulation of cell migration {GO:0030335}; positive regulation of cell population proliferation {GO:0008284}; positive regulation of fibroblast migration {GO:0010763}; positive regulation of glial cell proliferation {GO:0060252}; positive regulation of macrophage chemotaxis {GO:0010759}; positive regulation of macrophage proliferation {GO:0120041}; positive regulation of phagocytosis {GO:0050766}; positive regulation of phosphatidylinositol 3-kinase signaling {GO:0014068}; positive regulation of protein kinase activity {GO:0045860}; positive regulation of protein kinase B signaling {GO:0051897}; positive regulation of protein phosphorylation {GO:0001934}; positive regulation of smooth muscle cell migration {GO:0014911}; positive regulation of smooth muscle cell proliferation {GO:0048661}; positive regulation of synaptic transmission {GO:0050806}; positive regulation of ubiquitin-dependent protein catabolic process {GO:2000060}; positive regulation of wound healing {GO:0090303}; protein autophosphorylation {GO:0046777}; protein phosphorylation {GO:0006468}; regulation of cell adhesion {GO:0030155}; regulation of cell adhesion mediated by integrin {GO:0033628}; regulation of cell population proliferation {GO:0042127}; regulation of cell shape {GO:0008360}; regulation of epithelial cell migration {GO:0010632}; regulation of focal adhesion assembly {GO:0051893}; regulation of osteoblast differentiation {GO:0045667}; regulation of protein phosphorylation {GO:0001932}; regulation of substrate adhesion-dependent cell spreading {GO:1900024}; signal complex assembly {GO:0007172}; transforming growth factor beta receptor signaling pathway {GO:0007179}; transmembrane receptor protein tyrosine kinase signaling pathway {GO:0007169}; vasculogenesis {GO:0001570}; vasodilation {GO:0042311}</t>
  </si>
  <si>
    <t>apical plasma membrane {GO:0016324}; basolateral plasma membrane {GO:0016323}; ciliary basal body {GO:0036064}; cytoplasm {GO:0005737}; cytosol {GO:0005829}; dendritic spine {GO:0043197}; extrinsic component of cytoplasmic side of plasma membrane {GO:0031234}; focal adhesion {GO:0005925}; glutamatergic synapse {GO:0098978}; intercalated disc {GO:0014704}; intracellular membrane-bounded organelle {GO:0043231}; lamellipodium {GO:0030027}; nuclear body {GO:0016604}; nucleolus {GO:0005730}; nucleus {GO:0005634}; perinuclear region of cytoplasm {GO:0048471}; plasma membrane {GO:0005886}; postsynapse {GO:0098794}; sarcolemma {GO:0042383}; stress fiber {GO:0001725}</t>
  </si>
  <si>
    <t>actin binding {GO:0003779}; ATP binding {GO:0005524}; identical protein binding {GO:0042802}; integrin binding {GO:0005178}; JUN kinase binding {GO:0008432}; non-membrane spanning protein tyrosine kinase activity {GO:0004715}; phosphatase binding {GO:0019902}; phosphatidylinositol 3-kinase binding {GO:0043548}; protein kinase binding {GO:0019901}; protein phosphatase binding {GO:0019903}; protein tyrosine kinase activity {GO:0004713}; protein tyrosine phosphatase activity {GO:0004725}; protein-containing complex binding {GO:0044877}; SH2 domain binding {GO:0042169}; signaling receptor binding {GO:0005102}</t>
  </si>
  <si>
    <t>Apoptotic cleavage of cellular proteins {R-MMU-111465}; Regulation of actin dynamics for phagocytic cup formation {R-MMU-2029482}; Integrin signaling {R-MMU-354192}; GRB2:SOS provides linkage to MAPK signaling for Integrins {R-MMU-354194}; p130Cas linkage to MAPK signaling for integrins {R-MMU-372708}; NCAM signaling for neurite out-growth {R-MMU-375165}; EPHB-mediated forward signaling {R-MMU-3928662}; DCC mediated attractive signaling {R-MMU-418885}; VEGFA-VEGFR2 Pathway {R-MMU-4420097}; RHO GTPases Activate WASPs and WAVEs {R-MMU-5663213}; RAF/MAP kinase cascade {R-MMU-5673001}; MET activates PTK2 signaling {R-MMU-8874081}; Extra-nuclear estrogen signaling {R-MMU-9009391}</t>
  </si>
  <si>
    <t>sp|Q8BH61|F13A_MOUSE</t>
  </si>
  <si>
    <t>Coagulation factor XIII A chain (Coagulation factor XIIIa)</t>
  </si>
  <si>
    <t>Protein-glutamine gamma-glutamyltransferase A chain; Transglutaminase A chain</t>
  </si>
  <si>
    <t>F13A_MOUSE</t>
  </si>
  <si>
    <t>Q8BH61</t>
  </si>
  <si>
    <t>Q3TNF9; Q8BIP2</t>
  </si>
  <si>
    <t>F13a</t>
  </si>
  <si>
    <t>MGI:1921395</t>
  </si>
  <si>
    <t>Acetylation; Acyltransferase; Blood coagulation; Calcium; Cytoplasm; Glycoprotein; Hemostasis; Metal-binding; Secreted; Transferase; Zymogen</t>
  </si>
  <si>
    <t>Acetylation; Glycoprotein; Zymogen</t>
  </si>
  <si>
    <t>blood coagulation {GO:0007596}; blood coagulation, fibrin clot formation {GO:0072378}; peptide cross-linking {GO:0018149}</t>
  </si>
  <si>
    <t>collagen-containing extracellular matrix {GO:0062023}; cytoplasm {GO:0005737}; extracellular region {GO:0005576}</t>
  </si>
  <si>
    <t>metal ion binding {GO:0046872}; protein-glutamine gamma-glutamyltransferase activity {GO:0003810}</t>
  </si>
  <si>
    <t>Platelet degranulation {R-MMU-114608}; Common Pathway of Fibrin Clot Formation {R-MMU-140875}</t>
  </si>
  <si>
    <t>sp|Q8BH48|UBAP1_MOUSE</t>
  </si>
  <si>
    <t>Ubiquitin-associated protein 1 (UBAP-1)</t>
  </si>
  <si>
    <t>UBAP1_MOUSE</t>
  </si>
  <si>
    <t>Q8BH48</t>
  </si>
  <si>
    <t>Q8BQ80; Q8BSW6; Q9D749; Q9ERV5</t>
  </si>
  <si>
    <t>MGI:2149543</t>
  </si>
  <si>
    <t>Alternative splicing; Cytoplasm; Endosome; Phosphoprotein; Protein transport; Repeat; Transport</t>
  </si>
  <si>
    <t>protein transport {GO:0015031}; ubiquitin-dependent protein catabolic process via the multivesicular body sorting pathway {GO:0043162}</t>
  </si>
  <si>
    <t>cytoplasm {GO:0005737}; cytosol {GO:0005829}; ESCRT I complex {GO:0000813}; intracellular membrane-bounded organelle {GO:0043231}; plasma membrane {GO:0005886}</t>
  </si>
  <si>
    <t>sp|O35166|GOSR2_MOUSE</t>
  </si>
  <si>
    <t>Golgi SNAP receptor complex member 2</t>
  </si>
  <si>
    <t>27 kDa Golgi SNARE protein; Membrin</t>
  </si>
  <si>
    <t>GOSR2_MOUSE</t>
  </si>
  <si>
    <t>O35166</t>
  </si>
  <si>
    <t>Q3UDN0; Q9CR77</t>
  </si>
  <si>
    <t>Gs27</t>
  </si>
  <si>
    <t>MGI:1927204</t>
  </si>
  <si>
    <t>Acetylation; Coiled coil; Endoplasmic reticulum; Golgi apparatus; Membrane; Protein transport; Transmembrane; Transmembrane helix; Transport</t>
  </si>
  <si>
    <t>intra-Golgi vesicle-mediated transport {GO:0006891}; protein transport {GO:0015031}; vesicle fusion {GO:0006906}; vesicle-mediated transport {GO:0016192}</t>
  </si>
  <si>
    <t>endoplasmic reticulum membrane {GO:0005789}; ER to Golgi transport vesicle membrane {GO:0012507}; Golgi apparatus {GO:0005794}; Golgi membrane {GO:0000139}; integral component of membrane {GO:0016021}; late endosome membrane {GO:0031902}; SNARE complex {GO:0031201}</t>
  </si>
  <si>
    <t>COPII-mediated vesicle transport {R-MMU-204005}; Cargo concentration in the ER {R-MMU-5694530}; COPI-mediated anterograde transport {R-MMU-6807878}; Intra-Golgi traffic {R-MMU-6811438}</t>
  </si>
  <si>
    <t>sp|Q8K0G5|EIPR1_MOUSE</t>
  </si>
  <si>
    <t>EARP and GARP complex-interacting protein 1</t>
  </si>
  <si>
    <t>Endosome-associated recycling protein-interacting protein; Golgi-associated retrograde protein-interacting protein; Tumor-suppressing STF cDNA 1 protein; Tumor-suppressing subchromosomal transferable fragment candidate gene 1 protein</t>
  </si>
  <si>
    <t>EIPR1_MOUSE</t>
  </si>
  <si>
    <t>Q8K0G5</t>
  </si>
  <si>
    <t>E9QN80</t>
  </si>
  <si>
    <t>MGI:1289332</t>
  </si>
  <si>
    <t>Acetylation; Golgi apparatus; Phosphoprotein; Repeat; WD repeat</t>
  </si>
  <si>
    <t>endocytic recycling {GO:0032456}; positive regulation of dense core granule transport {GO:1904811}; positive regulation of endocytic recycling {GO:2001137}; positive regulation of retrograde transport, endosome to Golgi {GO:1905281}; protein ubiquitination {GO:0016567}; regulation of insulin secretion {GO:0050796}</t>
  </si>
  <si>
    <t>EARP complex {GO:1990745}; GARP complex {GO:0000938}; trans-Golgi network {GO:0005802}</t>
  </si>
  <si>
    <t>sp|Q9WTX2|PRKRA_MOUSE</t>
  </si>
  <si>
    <t>Interferon-inducible double-stranded RNA-dependent protein kinase activator A</t>
  </si>
  <si>
    <t>PKR-associated protein X; PKR-associating protein X (RAX); Protein activator of the interferon-induced protein kinase; Protein kinase, interferon-inducible double-stranded RNA-dependent activator</t>
  </si>
  <si>
    <t>PRKRA_MOUSE</t>
  </si>
  <si>
    <t>Q9WTX2</t>
  </si>
  <si>
    <t>Q9CZB7</t>
  </si>
  <si>
    <t>Rax</t>
  </si>
  <si>
    <t>MGI:1344375</t>
  </si>
  <si>
    <t>Cytoplasm; Phosphoprotein; Repeat; RNA-binding; RNA-mediated gene silencing</t>
  </si>
  <si>
    <t>RNA-mediated gene silencing</t>
  </si>
  <si>
    <t>cellular response to oxidative stress {GO:0034599}; ear development {GO:0043583}; middle ear morphogenesis {GO:0042474}; miRNA processing {GO:0035196}; outer ear morphogenesis {GO:0042473}; positive regulation of cell population proliferation {GO:0008284}; positive regulation of intrinsic apoptotic signaling pathway {GO:2001244}; pre-miRNA processing {GO:0031054}; protein phosphorylation {GO:0006468}; protein stabilization {GO:0050821}; regulation of production of small RNA involved in gene silencing by RNA {GO:0070920}; siRNA processing {GO:0030422}; skeletal system morphogenesis {GO:0048705}</t>
  </si>
  <si>
    <t>cytoplasm {GO:0005737}; cytosol {GO:0005829}; nucleoplasm {GO:0005654}; nucleus {GO:0005634}; perinuclear region of cytoplasm {GO:0048471}; RISC complex {GO:0016442}; RISC-loading complex {GO:0070578}</t>
  </si>
  <si>
    <t>double-stranded RNA binding {GO:0003725}; enzyme activator activity {GO:0008047}; enzyme binding {GO:0019899}; identical protein binding {GO:0042802}; pre-miRNA binding {GO:0070883}; protein homodimerization activity {GO:0042803}; protein kinase binding {GO:0019901}; siRNA binding {GO:0035197}</t>
  </si>
  <si>
    <t>MicroRNA (miRNA) biogenesis {R-MMU-203927}; Small interfering RNA (siRNA) biogenesis {R-MMU-426486}</t>
  </si>
  <si>
    <t>sp|Q9EQS3|MYCBP_MOUSE</t>
  </si>
  <si>
    <t>c-Myc-binding protein</t>
  </si>
  <si>
    <t>Associate of Myc 1 (AMY-1)</t>
  </si>
  <si>
    <t>MYCBP_MOUSE</t>
  </si>
  <si>
    <t>Q9EQS3</t>
  </si>
  <si>
    <t>O88308; Q8R048</t>
  </si>
  <si>
    <t>Amy1</t>
  </si>
  <si>
    <t>MGI:1891750</t>
  </si>
  <si>
    <t>Cytoplasm; Nucleus; Transcription; Transcription regulation</t>
  </si>
  <si>
    <t>sp|P03987|IGHG3_MOUSE</t>
  </si>
  <si>
    <t>Ig gamma-3 chain C region</t>
  </si>
  <si>
    <t>IGHG3_MOUSE</t>
  </si>
  <si>
    <t>P03987</t>
  </si>
  <si>
    <t>P22436</t>
  </si>
  <si>
    <t>3D-structure; Alternative splicing; Cell membrane; Glycoprotein; Immunoglobulin domain; Membrane; Secreted; Transmembrane; Transmembrane helix</t>
  </si>
  <si>
    <t>Cell membrane; Membrane; Secreted</t>
  </si>
  <si>
    <t>Immunoglobulin domain; Transmembrane; Transmembrane helix</t>
  </si>
  <si>
    <t>regulation of immune response {GO:0050776}</t>
  </si>
  <si>
    <t>endoplasmic reticulum {GO:0005783}; extracellular region {GO:0005576}; integral component of membrane {GO:0016021}; plasma membrane {GO:0005886}</t>
  </si>
  <si>
    <t>antigen binding {GO:0003823}; immunoglobulin receptor binding {GO:0034987}</t>
  </si>
  <si>
    <t>sp|Q80YS6|AFAP1_MOUSE</t>
  </si>
  <si>
    <t>Actin filament-associated protein 1</t>
  </si>
  <si>
    <t>110 kDa actin filament-associated protein (AFAP-110)</t>
  </si>
  <si>
    <t>AFAP1_MOUSE</t>
  </si>
  <si>
    <t>Q80YS6</t>
  </si>
  <si>
    <t>Q3UGX1; Q6ZPE4</t>
  </si>
  <si>
    <t>Kiaa3018</t>
  </si>
  <si>
    <t>MGI:1917542</t>
  </si>
  <si>
    <t>Acetylation; Actin-binding; Coiled coil; Cytoplasm; Cytoskeleton; Phosphoprotein; Repeat; SH3-binding</t>
  </si>
  <si>
    <t>regulation of cytoskeleton organization {GO:0051493}; regulation of signal transduction {GO:0009966}</t>
  </si>
  <si>
    <t>actin cytoskeleton {GO:0015629}; actin filament {GO:0005884}; cytosol {GO:0005829}; focal adhesion {GO:0005925}</t>
  </si>
  <si>
    <t>actin binding {GO:0003779}; SH2 domain binding {GO:0042169}; SH3 domain binding {GO:0017124}</t>
  </si>
  <si>
    <t>sp|Q9D0I6|WSDU1_MOUSE</t>
  </si>
  <si>
    <t>WD repeat, SAM and U-box domain-containing protein 1</t>
  </si>
  <si>
    <t>WSDU1_MOUSE</t>
  </si>
  <si>
    <t>Q9D0I6</t>
  </si>
  <si>
    <t>Q80X63</t>
  </si>
  <si>
    <t>MGI:1919387</t>
  </si>
  <si>
    <t>Phosphoprotein; Repeat; WD repeat</t>
  </si>
  <si>
    <t>ubiquitin-protein transferase activity {GO:0004842}</t>
  </si>
  <si>
    <t>sp|Q8BPK2|ZCHC3_MOUSE</t>
  </si>
  <si>
    <t>Zinc finger CCHC domain-containing protein 3</t>
  </si>
  <si>
    <t>ZCHC3_MOUSE</t>
  </si>
  <si>
    <t>Q8BPK2</t>
  </si>
  <si>
    <t>MGI:1915167</t>
  </si>
  <si>
    <t>Antiviral defense; Cytoplasm; DNA-binding; Immunity; Innate immunity; Metal-binding; Phosphoprotein; Repeat; RNA-binding; Zinc; Zinc-finger</t>
  </si>
  <si>
    <t>activation of innate immune response {GO:0002218}; cellular response to exogenous dsRNA {GO:0071360}; defense response to virus {GO:0051607}; detection of virus {GO:0009597}; innate immune response {GO:0045087}; positive regulation of RIG-I signaling pathway {GO:1900246}; positive regulation of type I interferon production {GO:0032481}</t>
  </si>
  <si>
    <t>double-stranded DNA binding {GO:0003690}; RNA binding {GO:0003723}; zinc ion binding {GO:0008270}</t>
  </si>
  <si>
    <t>sp|Q9CQ71|RFA3_MOUSE</t>
  </si>
  <si>
    <t>Replication protein A 14 kDa subunit (RP-A p14)</t>
  </si>
  <si>
    <t>Replication factor A protein 3 (RF-A protein 3)</t>
  </si>
  <si>
    <t>RFA3_MOUSE</t>
  </si>
  <si>
    <t>Q9CQ71</t>
  </si>
  <si>
    <t>MGI:1915490</t>
  </si>
  <si>
    <t>DNA damage; DNA recombination; DNA repair; DNA replication; Isopeptide bond; Nucleus; Ubl conjugation</t>
  </si>
  <si>
    <t>base-excision repair {GO:0006284}; DNA repair {GO:0006281}; DNA replication {GO:0006260}; double-strand break repair via homologous recombination {GO:0000724}; mismatch repair {GO:0006298}; nucleotide-excision repair {GO:0006289}; regulation of cell population proliferation {GO:0042127}; regulation of mitotic cell cycle {GO:0007346}</t>
  </si>
  <si>
    <t>DNA replication factor A complex {GO:0005662}; nucleoplasm {GO:0005654}; site of double-strand break {GO:0035861}</t>
  </si>
  <si>
    <t>damaged DNA binding {GO:0003684}; single-stranded DNA binding {GO:0003697}</t>
  </si>
  <si>
    <t>sp|Q8VD62|CK068_MOUSE</t>
  </si>
  <si>
    <t>UPF0696 protein C11orf68 homolog</t>
  </si>
  <si>
    <t>Basophilic leukemia-expressed protein Bles03; Protein WF-3</t>
  </si>
  <si>
    <t>CK068_MOUSE</t>
  </si>
  <si>
    <t>Q8VD62</t>
  </si>
  <si>
    <t>E9QNR6; Q6LCE3</t>
  </si>
  <si>
    <t>MGI:2147598</t>
  </si>
  <si>
    <t>sp|P56213|ALR_MOUSE</t>
  </si>
  <si>
    <t>FAD-linked sulfhydryl oxidase ALR</t>
  </si>
  <si>
    <t>Augmenter of liver regeneration</t>
  </si>
  <si>
    <t>ALR_MOUSE</t>
  </si>
  <si>
    <t>P56213</t>
  </si>
  <si>
    <t>Q8CIF8; Q9JJE6</t>
  </si>
  <si>
    <t>Alr</t>
  </si>
  <si>
    <t>MGI:107757</t>
  </si>
  <si>
    <t>Disulfide bond; FAD; Flavoprotein; Growth factor; Mitochondrion; Oxidoreductase</t>
  </si>
  <si>
    <t>Growth factor; Oxidoreductase</t>
  </si>
  <si>
    <t>cellular response to actinomycin D {GO:0072717}; cellular response to lipopolysaccharide {GO:0071222}; cellular response to toxic substance {GO:0097237}; cellular response to tumor necrosis factor {GO:0071356}; liver development {GO:0001889}; liver regeneration {GO:0097421}; negative regulation of apoptotic process {GO:0043066}; negative regulation of natural killer cell mediated cytotoxicity {GO:0045953}; negative regulation of oxidative stress-induced neuron death {GO:1903204}; positive regulation of DNA biosynthetic process {GO:2000573}</t>
  </si>
  <si>
    <t>cytosol {GO:0005829}; extracellular space {GO:0005615}; mitochondrial intermembrane space {GO:0005758}; mitochondrion {GO:0005739}</t>
  </si>
  <si>
    <t>flavin adenine dinucleotide binding {GO:0050660}; flavin-linked sulfhydryl oxidase activity {GO:0016971}; growth factor activity {GO:0008083}; protein-disulfide reductase activity {GO:0015035}</t>
  </si>
  <si>
    <t>sp|P56695|WFS1_MOUSE</t>
  </si>
  <si>
    <t>Wolframin</t>
  </si>
  <si>
    <t>WFS1_MOUSE</t>
  </si>
  <si>
    <t>P56695</t>
  </si>
  <si>
    <t>Q9Z276</t>
  </si>
  <si>
    <t>MGI:1328355</t>
  </si>
  <si>
    <t>Acetylation; Cytoplasmic vesicle; Endoplasmic reticulum; Glycoprotein; Membrane; Phosphoprotein; Transmembrane; Transmembrane helix</t>
  </si>
  <si>
    <t>calcium ion homeostasis {GO:0055074}; endoplasmic reticulum calcium ion homeostasis {GO:0032469}; endoplasmic reticulum unfolded protein response {GO:0030968}; glucose homeostasis {GO:0042593}; kidney development {GO:0001822}; negative regulation of apoptotic process {GO:0043066}; negative regulation of ATF6-mediated unfolded protein response {GO:1903892}; negative regulation of DNA-binding transcription factor activity {GO:0043433}; negative regulation of endoplasmic reticulum stress-induced intrinsic apoptotic signaling pathway {GO:1902236}; negative regulation of neuron apoptotic process {GO:0043524}; negative regulation of programmed cell death {GO:0043069}; negative regulation of response to endoplasmic reticulum stress {GO:1903573}; negative regulation of transcription by RNA polymerase II {GO:0000122}; negative regulation of type B pancreatic cell apoptotic process {GO:2000675}; nervous system process {GO:0050877}; olfactory behavior {GO:0042048}; pancreas development {GO:0031016}; positive regulation of calcium ion transport {GO:0051928}; positive regulation of growth {GO:0045927}; positive regulation of protein metabolic process {GO:0051247}; positive regulation of protein ubiquitination {GO:0031398}; protein stabilization {GO:0050821}; regulation of cell cycle {GO:0051726}; renal water homeostasis {GO:0003091}; response to endoplasmic reticulum stress {GO:0034976}; sensory perception of sound {GO:0007605}; ubiquitin-dependent ERAD pathway {GO:0030433}; visual perception {GO:0007601}</t>
  </si>
  <si>
    <t>dendrite {GO:0030425}; endoplasmic reticulum {GO:0005783}; integral component of endoplasmic reticulum membrane {GO:0030176}; integral component of synaptic vesicle membrane {GO:0030285}; secretory granule {GO:0030141}</t>
  </si>
  <si>
    <t>ATPase binding {GO:0051117}; calcium-dependent protein binding {GO:0048306}; calmodulin binding {GO:0005516}; DNA-binding transcription factor binding {GO:0140297}; proteasome binding {GO:0070628}; ubiquitin protein ligase binding {GO:0031625}</t>
  </si>
  <si>
    <t>sp|Q9JJ78|TOPK_MOUSE</t>
  </si>
  <si>
    <t>Lymphokine-activated killer T-cell-originated protein kinase</t>
  </si>
  <si>
    <t>PDZ-binding kinase; T-LAK cell-originated protein kinase</t>
  </si>
  <si>
    <t>TOPK_MOUSE</t>
  </si>
  <si>
    <t>Q9JJ78</t>
  </si>
  <si>
    <t>Q922V2; Q9D184</t>
  </si>
  <si>
    <t>Topk</t>
  </si>
  <si>
    <t>MGI:1289156</t>
  </si>
  <si>
    <t>Acetylation; ATP-binding; Isopeptide bond; Kinase; Nucleotide-binding; Phosphoprotein; Serine/threonine-protein kinase; Transferase; Ubl conjugation</t>
  </si>
  <si>
    <t>cellular response to UV {GO:0034644}; negative regulation of inflammatory response {GO:0050728}; negative regulation of proteasomal ubiquitin-dependent protein catabolic process {GO:0032435}; negative regulation of protein phosphorylation {GO:0001933}; negative regulation of stress-activated MAPK cascade {GO:0032873}; p38MAPK cascade {GO:0038066}; peptidyl-serine phosphorylation {GO:0018105}; peptidyl-threonine phosphorylation {GO:0018107}; positive regulation of mitotic DNA damage checkpoint {GO:1904291}; proteasome-mediated ubiquitin-dependent protein catabolic process {GO:0043161}; protein phosphorylation {GO:0006468}; stress-activated MAPK cascade {GO:0051403}</t>
  </si>
  <si>
    <t>ATP binding {GO:0005524}; JUN kinase kinase kinase activity {GO:0004706}; MAP kinase kinase activity {GO:0004708}; protein serine kinase activity {GO:0106310}; protein serine/threonine kinase activity {GO:0004674}; protein tyrosine kinase activity {GO:0004713}</t>
  </si>
  <si>
    <t>sp|Q9Z0W3|NU160_MOUSE</t>
  </si>
  <si>
    <t>Nuclear pore complex protein Nup160</t>
  </si>
  <si>
    <t>160 kDa nucleoporin; Gene trap locus 1-13 protein (GTL-13); Nucleoporin Nup160</t>
  </si>
  <si>
    <t>NU160_MOUSE</t>
  </si>
  <si>
    <t>Q9Z0W3</t>
  </si>
  <si>
    <t>Q3TBI7; Q3TP11; Q3U250; Q6A0A7; Q7TME1; Q9CZD9</t>
  </si>
  <si>
    <t>Gtl1-13; Kiaa0197</t>
  </si>
  <si>
    <t>MGI:1926227</t>
  </si>
  <si>
    <t>Alternative splicing; mRNA transport; Nuclear pore complex; Nucleus; Phosphoprotein; Protein transport; Translocation; Transport</t>
  </si>
  <si>
    <t>mRNA export from nucleus {GO:0006406}; nephron development {GO:0072006}; nucleocytoplasmic transport {GO:0006913}; protein transport {GO:0015031}</t>
  </si>
  <si>
    <t>kinetochore {GO:0000776}; nuclear envelope {GO:0005635}; nuclear pore {GO:0005643}; nuclear pore outer ring {GO:0031080}</t>
  </si>
  <si>
    <t>sp|Q6NZF1|ZC11A_MOUSE</t>
  </si>
  <si>
    <t>Zinc finger CCCH domain-containing protein 11A</t>
  </si>
  <si>
    <t>ZC11A_MOUSE</t>
  </si>
  <si>
    <t>Q6NZF1</t>
  </si>
  <si>
    <t>Q6NXW9; Q6PDR6; Q80TU7; Q8C5L5; Q99JN6</t>
  </si>
  <si>
    <t>Kiaa0663</t>
  </si>
  <si>
    <t>MGI:1917829</t>
  </si>
  <si>
    <t>Coiled coil; Isopeptide bond; Metal-binding; mRNA transport; Phosphoprotein; Repeat; Transport; Ubl conjugation; Zinc; Zinc-finger</t>
  </si>
  <si>
    <t>Transport; mRNA transport</t>
  </si>
  <si>
    <t>poly(A)+ mRNA export from nucleus {GO:0016973}</t>
  </si>
  <si>
    <t>transcription export complex {GO:0000346}</t>
  </si>
  <si>
    <t>metal ion binding {GO:0046872}; mRNA binding {GO:0003729}</t>
  </si>
  <si>
    <t>sp|O35459|ECH1_MOUSE</t>
  </si>
  <si>
    <t>Delta(3,5)-Delta(2,4)-dienoyl-CoA isomerase, mitochondrial</t>
  </si>
  <si>
    <t>ECH1_MOUSE</t>
  </si>
  <si>
    <t>O35459</t>
  </si>
  <si>
    <t>Q5M8P6</t>
  </si>
  <si>
    <t>MGI:1858208</t>
  </si>
  <si>
    <t>Acetylation; Fatty acid metabolism; Isomerase; Lipid metabolism; Mitochondrion; Peroxisome; Phosphoprotein; Transit peptide</t>
  </si>
  <si>
    <t>delta(3,5)-delta(2,4)-dienoyl-CoA isomerase activity {GO:0051750}</t>
  </si>
  <si>
    <t>sp|Q9DBZ1|IKIP_MOUSE</t>
  </si>
  <si>
    <t>Inhibitor of nuclear factor kappa-B kinase-interacting protein (I kappa-B kinase-interacting protein; IKBKB-interacting protein; IKK-interacting protein)</t>
  </si>
  <si>
    <t>IKIP_MOUSE</t>
  </si>
  <si>
    <t>Q9DBZ1</t>
  </si>
  <si>
    <t>Q7TMH1; Q8K1Z4; Q9DA09</t>
  </si>
  <si>
    <t>Ikip</t>
  </si>
  <si>
    <t>MGI:1914704</t>
  </si>
  <si>
    <t>Alternative splicing; Coiled coil; Endoplasmic reticulum; Glycoprotein; Membrane; Transmembrane; Transmembrane helix</t>
  </si>
  <si>
    <t>sp|Q9WV60|GSK3B_MOUSE</t>
  </si>
  <si>
    <t>Glycogen synthase kinase-3 beta (GSK-3 beta)</t>
  </si>
  <si>
    <t>Serine/threonine-protein kinase GSK3B</t>
  </si>
  <si>
    <t>GSK3B_MOUSE</t>
  </si>
  <si>
    <t>Q9WV60</t>
  </si>
  <si>
    <t>MGI:1861437</t>
  </si>
  <si>
    <t>3D-structure; ADP-ribosylation; ATP-binding; Biological rhythms; Carbohydrate metabolism; Cell membrane; Cytoplasm; Developmental protein; Differentiation; Glycogen metabolism; Kinase; Membrane; Neurogenesis; Nucleotide-binding; Nucleus; Phosphoprotein; Serine/threonine-protein kinase; Signal transduction inhibitor; Transferase; Wnt signaling pathway</t>
  </si>
  <si>
    <t>Biological rhythms; Carbohydrate metabolism; Differentiation; Glycogen metabolism; Neurogenesis; Wnt signaling pathway</t>
  </si>
  <si>
    <t>Developmental protein; Kinase; Serine/threonine-protein kinase; Signal transduction inhibitor; Transferase</t>
  </si>
  <si>
    <t>animal organ morphogenesis {GO:0009887}; axon extension {GO:0048675}; axonogenesis {GO:0007409}; beta-catenin destruction complex disassembly {GO:1904886}; bone remodeling {GO:0046849}; canonical Wnt signaling pathway {GO:0060070}; cell growth involved in cardiac muscle cell development {GO:0061049}; cell migration {GO:0016477}; cellular response to amyloid-beta {GO:1904646}; cellular response to glucocorticoid stimulus {GO:0071385}; cellular response to hepatocyte growth factor stimulus {GO:0035729}; cellular response to interleukin-3 {GO:0036016}; cellular response to mechanical stimulus {GO:0071260}; cellular response to retinoic acid {GO:0071300}; circadian rhythm {GO:0007623}; cytoskeleton organization {GO:0007010}; epithelial to mesenchymal transition {GO:0001837}; ER overload response {GO:0006983}; establishment of cell polarity {GO:0030010}; establishment or maintenance of cell polarity {GO:0007163}; extrinsic apoptotic signaling pathway {GO:0097191}; extrinsic apoptotic signaling pathway in absence of ligand {GO:0097192}; fat cell differentiation {GO:0045444}; glycogen metabolic process {GO:0005977}; hepatic stellate cell activation {GO:0035733}; hepatocyte apoptotic process {GO:0097284}; hippocampus development {GO:0021766}; hypermethylation of CpG island {GO:0044027}; insulin receptor signaling pathway {GO:0008286}; intracellular signal transduction {GO:0035556}; intrinsic apoptotic signaling pathway in response to endoplasmic reticulum stress {GO:0070059}; maintenance of cell polarity {GO:0030011}; myoblast fusion {GO:0007520}; myotube differentiation {GO:0014902}; negative regulation of apoptotic process {GO:0043066}; negative regulation of calcineurin-NFAT signaling cascade {GO:0070885}; negative regulation of canonical Wnt signaling pathway {GO:0090090}; negative regulation of canonical Wnt signaling pathway involved in osteoblast differentiation {GO:1905240}; negative regulation of cardiac muscle hypertrophy {GO:0010614}; negative regulation of dendrite development {GO:2000171}; negative regulation of dendrite morphogenesis {GO:0050774}; negative regulation of dopaminergic neuron differentiation {GO:1904339}; negative regulation of extrinsic apoptotic signaling pathway via death domain receptors {GO:1902042}; negative regulation of gene expression {GO:0010629}; negative regulation of MAP kinase activity {GO:0043407}; negative regulation of mesenchymal stem cell differentiation {GO:2000740}; negative regulation of neuron death {GO:1901215}; negative regulation of neuron maturation {GO:0014043}; negative regulation of neuron migration {GO:2001223}; negative regulation of neuron projection development {GO:0010977}; negative regulation of nitric-oxide synthase activity {GO:0051001}; negative regulation of protein acetylation {GO:1901984}; negative regulation of protein binding {GO:0032091}; negative regulation of protein localization to centrosome {GO:1904780}; negative regulation of protein localization to nucleus {GO:1900181}; negative regulation of protein-containing complex assembly {GO:0031333}; negative regulation of smooth muscle cell apoptotic process {GO:0034392}; negative regulation of synaptic assembly at neuromuscular junction {GO:0045886}; negative regulation of TOR signaling {GO:0032007}; neuron projection development {GO:0031175}; neuron projection organization {GO:0106027}; peptidyl-serine phosphorylation {GO:0018105}; peptidyl-threonine phosphorylation {GO:0018107}; phosphorylation {GO:0016310}; positive regulation of apoptotic process {GO:0043065}; positive regulation of autophagy {GO:0010508}; positive regulation of axon extension {GO:0045773}; positive regulation of cardiac muscle cell differentiation {GO:2000727}; positive regulation of cell differentiation {GO:0045597}; positive regulation of cell-matrix adhesion {GO:0001954}; positive regulation of cilium assembly {GO:0045724}; positive regulation of DNA biosynthetic process {GO:2000573}; positive regulation of excitatory postsynaptic potential {GO:2000463}; positive regulation of gene expression {GO:0010628}; positive regulation of GTPase activity {GO:0043547}; positive regulation of mitochondrial membrane potential {GO:0010918}; positive regulation of mitochondrial outer membrane permeabilization involved in apoptotic signaling pathway {GO:1901030}; positive regulation of mitochondrion organization {GO:0010822}; positive regulation of neuron apoptotic process {GO:0043525}; positive regulation of neuron death {GO:1901216}; positive regulation of osteoblast proliferation {GO:0033690}; positive regulation of osteoclast differentiation {GO:0045672}; positive regulation of osteoclast proliferation {GO:0090290}; positive regulation of peptidyl-threonine phosphorylation {GO:0010800}; positive regulation of proteasomal ubiquitin-dependent protein catabolic process {GO:0032436}; positive regulation of protein binding {GO:0032092}; positive regulation of protein catabolic process {GO:0045732}; positive regulation of protein export from nucleus {GO:0046827}; positive regulation of protein localization to centrosome {GO:1904781}; positive regulation of protein localization to cilium {GO:1903566}; positive regulation of protein-containing complex assembly {GO:0031334}; positive regulation of smooth muscle cell proliferation {GO:0048661}; positive regulation of stem cell differentiation {GO:2000738}; positive regulation of synaptic assembly at neuromuscular junction {GO:0045887}; positive regulation of transcription by RNA polymerase II {GO:0045944}; proteasome-mediated ubiquitin-dependent protein catabolic process {GO:0043161}; protein autophosphorylation {GO:0046777}; protein export from nucleus {GO:0006611}; protein localization to microtubule {GO:0035372}; protein phosphorylation {GO:0006468}; re-entry into mitotic cell cycle {GO:0000320}; regulation of apoptotic process {GO:0042981}; regulation of axon extension {GO:0030516}; regulation of axonogenesis {GO:0050770}; regulation of cell growth {GO:0001558}; regulation of circadian rhythm {GO:0042752}; regulation of dendrite morphogenesis {GO:0048814}; regulation of gene expression by genomic imprinting {GO:0006349}; regulation of long-term synaptic potentiation {GO:1900271}; regulation of microtubule anchoring at centrosome {GO:0150101}; regulation of microtubule cytoskeleton organization {GO:0070507}; regulation of microtubule-based process {GO:0032886}; regulation of modification of postsynaptic structure {GO:0099159}; regulation of neuron projection development {GO:0010975}; regulation of neuronal synaptic plasticity {GO:0048168}; regulation of neurotransmitter receptor localization to postsynaptic specialization membrane {GO:0098696}; regulation of osteoblast differentiation {GO:0045667}; regulation of protein export from nucleus {GO:0046825}; regulation of synaptic vesicle exocytosis {GO:2000300}; response to zinc ion {GO:0010043}; signal transduction {GO:0007165}; stem cell differentiation {GO:0048863}; superior temporal gyrus development {GO:0071109}; transcription by RNA polymerase II {GO:0006366}; Wnt signaling pathway {GO:0016055}</t>
  </si>
  <si>
    <t>axon {GO:0030424}; beta-catenin destruction complex {GO:0030877}; centrosome {GO:0005813}; cytoplasm {GO:0005737}; cytosol {GO:0005829}; dendrite {GO:0030425}; dendritic shaft {GO:0043198}; dendritic spine {GO:0043197}; glutamatergic synapse {GO:0098978}; growth cone {GO:0030426}; membrane {GO:0016020}; membrane raft {GO:0045121}; membrane-bounded organelle {GO:0043227}; microtubule {GO:0005874}; mitochondrion {GO:0005739}; neuronal cell body {GO:0043025}; nucleoplasm {GO:0005654}; nucleus {GO:0005634}; perinuclear region of cytoplasm {GO:0048471}; plasma membrane {GO:0005886}; postsynaptic density {GO:0014069}; protein-containing complex {GO:0032991}; ribonucleoprotein complex {GO:1990904}; Schaffer collateral - CA1 synapse {GO:0098685}; Wnt signalosome {GO:1990909}</t>
  </si>
  <si>
    <t>ATP binding {GO:0005524}; beta-catenin binding {GO:0008013}; dynactin binding {GO:0034452}; dynein complex binding {GO:0070840}; integrin binding {GO:0005178}; ionotropic glutamate receptor binding {GO:0035255}; kinase activity {GO:0016301}; NF-kappaB binding {GO:0051059}; p53 binding {GO:0002039}; protease binding {GO:0002020}; protein kinase A catalytic subunit binding {GO:0034236}; protein kinase activity {GO:0004672}; protein kinase binding {GO:0019901}; protein serine kinase activity {GO:0106310}; protein serine/threonine kinase activity {GO:0004674}; RNA polymerase II-specific DNA-binding transcription factor binding {GO:0061629}; tau protein binding {GO:0048156}; tau-protein kinase activity {GO:0050321}; ubiquitin protein ligase binding {GO:0031625}</t>
  </si>
  <si>
    <t>Degradation of beta-catenin by the destruction complex {R-MMU-195253}; Beta-catenin phosphorylation cascade {R-MMU-196299}; Regulation of HSF1-mediated heat shock response {R-MMU-3371453}; CRMPs in Sema3A signaling {R-MMU-399956}; Disassembly of the destruction complex and recruitment of AXIN to the membrane {R-MMU-4641262}; B-WICH complex positively regulates rRNA expression {R-MMU-5250924}; GLI3 is processed to GLI3R by the proteasome {R-MMU-5610785}; GSK3B and BTRC:CUL1-mediated-degradation of NFE2L2 {R-MMU-9762114}</t>
  </si>
  <si>
    <t>sp|P46737|BRCC3_MOUSE</t>
  </si>
  <si>
    <t>Lys-63-specific deubiquitinase BRCC36</t>
  </si>
  <si>
    <t>BRCA1-A complex subunit BRCC36; BRCA1/BRCA2-containing complex subunit 3; BRCA1/BRCA2-containing complex subunit 36; BRISC complex subunit BRCC36</t>
  </si>
  <si>
    <t>BRCC3_MOUSE</t>
  </si>
  <si>
    <t>P46737</t>
  </si>
  <si>
    <t>A3KGA9; A8Y5K0; Q3UDZ4; Q9D025</t>
  </si>
  <si>
    <t>Brcc36; C6.1a</t>
  </si>
  <si>
    <t>MGI:2389572</t>
  </si>
  <si>
    <t>3D-structure; Acetylation; Alternative splicing; Cell cycle; Cell division; Chromatin regulator; Cytoplasm; Cytoskeleton; DNA damage; DNA repair; Hydrolase; Metal-binding; Metalloprotease; Mitosis; Nucleus; Phosphoprotein; Protease; Ubl conjugation pathway; Zinc</t>
  </si>
  <si>
    <t>Cell cycle; Cell division; DNA damage; DNA repair; Mitosis; Ubl conjugation pathway</t>
  </si>
  <si>
    <t>Chromatin regulator; Hydrolase; Metalloprotease; Protease</t>
  </si>
  <si>
    <t>cell division {GO:0051301}; cellular response to ionizing radiation {GO:0071479}; chromatin organization {GO:0006325}; double-strand break repair {GO:0006302}; histone H2A K63-linked deubiquitination {GO:0070537}; histone H2A monoubiquitination {GO:0035518}; mitotic G2 DNA damage checkpoint signaling {GO:0007095}; mitotic G2/M transition checkpoint {GO:0044818}; positive regulation of DNA repair {GO:0045739}; protein autoubiquitination {GO:0051865}; protein deubiquitination {GO:0016579}; protein K63-linked deubiquitination {GO:0070536}; regulation of DNA damage checkpoint {GO:2000001}; regulation of DNA repair {GO:0006282}; response to ionizing radiation {GO:0010212}; response to X-ray {GO:0010165}</t>
  </si>
  <si>
    <t>BRCA1-A complex {GO:0070531}; BRISC complex {GO:0070552}; cytoplasm {GO:0005737}; nuclear ubiquitin ligase complex {GO:0000152}; nucleoplasm {GO:0005654}; nucleus {GO:0005634}; spindle pole {GO:0000922}; ubiquitin ligase complex {GO:0000151}</t>
  </si>
  <si>
    <t>cysteine-type deubiquitinase activity {GO:0004843}; enzyme regulator activity {GO:0030234}; metal ion binding {GO:0046872}; metal-dependent deubiquitinase activity {GO:0140492}; metallopeptidase activity {GO:0008237}; polyubiquitin modification-dependent protein binding {GO:0031593}</t>
  </si>
  <si>
    <t>sp|Q8BHC1|RB39B_MOUSE</t>
  </si>
  <si>
    <t>Ras-related protein Rab-39B</t>
  </si>
  <si>
    <t>RB39B_MOUSE</t>
  </si>
  <si>
    <t>Q8BHC1</t>
  </si>
  <si>
    <t>Q3TUJ3</t>
  </si>
  <si>
    <t>MGI:1915040</t>
  </si>
  <si>
    <t>Autophagy; Cell membrane; Cytoplasmic vesicle; Golgi apparatus; GTP-binding; Lipoprotein; Membrane; Methylation; Nucleotide-binding; Phosphoprotein; Prenylation; Protein transport; Transport</t>
  </si>
  <si>
    <t>autophagy {GO:0006914}; protein transport {GO:0015031}; Rab protein signal transduction {GO:0032482}; regulation of autophagy {GO:0010506}; synapse organization {GO:0050808}; vesicle-mediated transport {GO:0016192}</t>
  </si>
  <si>
    <t>cytoplasmic vesicle membrane {GO:0030659}; Golgi apparatus {GO:0005794}; Golgi membrane {GO:0000139}; neuron projection {GO:0043005}; plasma membrane {GO:0005886}; vesicle {GO:0031982}</t>
  </si>
  <si>
    <t>GTP binding {GO:0005525}; GTPase activity {GO:0003924}; myosin V binding {GO:0031489}</t>
  </si>
  <si>
    <t>sp|Q9Z0E0|NCDN_MOUSE</t>
  </si>
  <si>
    <t>Neurochondrin</t>
  </si>
  <si>
    <t>M-Sema F-associating protein of 75 kDa; Norbin</t>
  </si>
  <si>
    <t>NCDN_MOUSE</t>
  </si>
  <si>
    <t>Q9Z0E0</t>
  </si>
  <si>
    <t>Q3TCW4; Q80TW1; Q91YH7; Q9CW81; Q9QUQ0</t>
  </si>
  <si>
    <t>Kiaa0607; Sfap75</t>
  </si>
  <si>
    <t>MGI:1347351</t>
  </si>
  <si>
    <t>Acetylation; Alternative splicing; Cell projection; Cytoplasm; Endosome; Lipoprotein; Membrane; Methylation; Palmitate; Phosphoprotein; Synapse</t>
  </si>
  <si>
    <t>Cell projection; Cytoplasm; Endosome; Membrane; Synapse</t>
  </si>
  <si>
    <t>Acetylation; Lipoprotein; Methylation; Palmitate; Phosphoprotein</t>
  </si>
  <si>
    <t>bone resorption {GO:0045453}; neuron projection development {GO:0031175}; regulation of neuronal synaptic plasticity {GO:0048168}</t>
  </si>
  <si>
    <t>anchoring junction {GO:0070161}; cytosol {GO:0005829}; dendrite {GO:0030425}; endosome membrane {GO:0010008}; membrane {GO:0016020}; neuron projection {GO:0043005}; neuronal cell body {GO:0043025}; perikaryon {GO:0043204}; postsynapse {GO:0098794}</t>
  </si>
  <si>
    <t>sp|Q8VDD8|WASH1_MOUSE</t>
  </si>
  <si>
    <t>WASH complex subunit 1</t>
  </si>
  <si>
    <t>WAS protein family homolog 1</t>
  </si>
  <si>
    <t>WASH1_MOUSE</t>
  </si>
  <si>
    <t>Q8VDD8</t>
  </si>
  <si>
    <t>Q3U473</t>
  </si>
  <si>
    <t>Orf19; Wash; Wash1</t>
  </si>
  <si>
    <t>MGI:1916017</t>
  </si>
  <si>
    <t>Actin-binding; Cytoplasm; Cytoplasmic vesicle; Cytoskeleton; Endosome; Isopeptide bond; Membrane; Transport; Ubl conjugation</t>
  </si>
  <si>
    <t>Cytoplasm; Cytoplasmic vesicle; Cytoskeleton; Endosome; Membrane</t>
  </si>
  <si>
    <t>Arp2/3 complex-mediated actin nucleation {GO:0034314}; dendritic cell antigen processing and presentation {GO:0002468}; endocytic recycling {GO:0032456}; endosomal transport {GO:0016197}; endosome organization {GO:0007032}; endosome to plasma membrane protein transport {GO:0099638}; exocytosis {GO:0006887}; low-density lipoprotein particle clearance {GO:0034383}; meiotic spindle assembly {GO:0090306}; negative regulation of autophagy {GO:0010507}; negative regulation of phosphatidylinositol 3-kinase activity {GO:0043553}; oocyte maturation {GO:0001556}; polar body extrusion after meiotic divisions {GO:0040038}; positive regulation of cholesterol import {GO:1904109}; positive regulation of protein localization to cell surface {GO:2000010}; protein localization to cell surface {GO:0034394}; regulation of actin filament polymerization {GO:0030833}; regulation of Arp2/3 complex-mediated actin nucleation {GO:0034315}; regulation of immune response {GO:0050776}; regulation of protein ubiquitination {GO:0031396}; retrograde transport, endosome to Golgi {GO:0042147}; T cell proliferation {GO:0042098}</t>
  </si>
  <si>
    <t>autophagosome {GO:0005776}; centriole {GO:0005814}; centrosome {GO:0005813}; cytosol {GO:0005829}; early endosome {GO:0005769}; early endosome membrane {GO:0031901}; endosome {GO:0005768}; exocyst {GO:0000145}; filopodium {GO:0030175}; lamellipodium {GO:0030027}; late endosome {GO:0005770}; recycling endosome {GO:0055037}; recycling endosome membrane {GO:0055038}; WASH complex {GO:0071203}</t>
  </si>
  <si>
    <t>actin binding {GO:0003779}; alpha-tubulin binding {GO:0043014}; gamma-tubulin binding {GO:0043015}; low-density lipoprotein particle receptor binding {GO:0050750}; ubiquitin protein ligase binding {GO:0031625}</t>
  </si>
  <si>
    <t>sp|P70268|PKN1_MOUSE</t>
  </si>
  <si>
    <t>Serine/threonine-protein kinase N1</t>
  </si>
  <si>
    <t>Protein kinase C-like 1; Protein kinase C-like PKN; Protein-kinase C-related kinase 1; Serine-threonine protein kinase N</t>
  </si>
  <si>
    <t>PKN1_MOUSE</t>
  </si>
  <si>
    <t>P70268</t>
  </si>
  <si>
    <t>Q3UEA6; Q7TST2; Q8BTL8</t>
  </si>
  <si>
    <t>Pkn; Prk1; Prkcl1</t>
  </si>
  <si>
    <t>MGI:108022</t>
  </si>
  <si>
    <t>Acetylation; Alternative splicing; ATP-binding; Cell membrane; Chromatin regulator; Coiled coil; Cytoplasm; Endosome; Kinase; Membrane; Nucleotide-binding; Nucleus; Phosphoprotein; Repeat; Serine/threonine-protein kinase; Transcription; Transcription regulation; Transferase</t>
  </si>
  <si>
    <t>B cell apoptotic process {GO:0001783}; B cell homeostasis {GO:0001782}; chromatin organization {GO:0006325}; epithelial cell migration {GO:0010631}; hyperosmotic response {GO:0006972}; intracellular signal transduction {GO:0035556}; negative regulation of B cell proliferation {GO:0030889}; negative regulation of protein kinase activity {GO:0006469}; negative regulation of protein phosphorylation {GO:0001933}; peptidyl-serine phosphorylation {GO:0018105}; post-translational protein modification {GO:0043687}; protein phosphorylation {GO:0006468}; regulation of cell motility {GO:2000145}; regulation of germinal center formation {GO:0002634}; regulation of immunoglobulin production {GO:0002637}; regulation of transcription by RNA polymerase II {GO:0006357}; renal system process {GO:0003014}; spleen development {GO:0048536}</t>
  </si>
  <si>
    <t>cleavage furrow {GO:0032154}; cytoplasm {GO:0005737}; cytoplasmic vesicle {GO:0031410}; endosome {GO:0005768}; midbody {GO:0030496}; nucleus {GO:0005634}; protein-containing complex {GO:0032991}</t>
  </si>
  <si>
    <t>ATP binding {GO:0005524}; calcium-dependent protein kinase C activity {GO:0004698}; chromatin binding {GO:0003682}; histone binding {GO:0042393}; histone deacetylase binding {GO:0042826}; histone kinase activity (H3-T11 specific) {GO:0035402}; nuclear androgen receptor binding {GO:0050681}; nuclear receptor coactivator activity {GO:0030374}; protein kinase activity {GO:0004672}; protein kinase C activity {GO:0004697}; protein kinase C binding {GO:0005080}; protein serine kinase activity {GO:0106310}; protein serine/threonine kinase activity {GO:0004674}; small GTPase binding {GO:0031267}</t>
  </si>
  <si>
    <t>RHO GTPases activate PKNs {R-MMU-5625740}; Activated PKN1 stimulates transcription of AR (androgen receptor) regulated genes KLK2 and KLK3 {R-MMU-5625886}; RHOA GTPase cycle {R-MMU-8980692}; RHOB GTPase cycle {R-MMU-9013026}; RHOC GTPase cycle {R-MMU-9013106}; RAC1 GTPase cycle {R-MMU-9013149}</t>
  </si>
  <si>
    <t>sp|Q8VDG5|PPCS_MOUSE</t>
  </si>
  <si>
    <t>Phosphopantothenate--cysteine ligase</t>
  </si>
  <si>
    <t>Phosphopantothenoylcysteine synthetase (PPC synthetase)</t>
  </si>
  <si>
    <t>PPCS_MOUSE</t>
  </si>
  <si>
    <t>Q8VDG5</t>
  </si>
  <si>
    <t>Q3TVW0; Q9D376; Q9DA06</t>
  </si>
  <si>
    <t>Coab</t>
  </si>
  <si>
    <t>MGI:1915237</t>
  </si>
  <si>
    <t>Acetylation; Alternative splicing; ATP-binding; Ligase; Nucleotide-binding</t>
  </si>
  <si>
    <t>acetyl-CoA biosynthetic process {GO:0006085}; coenzyme A biosynthetic process {GO:0015937}; heart process {GO:0003015}</t>
  </si>
  <si>
    <t>ATP binding {GO:0005524}; identical protein binding {GO:0042802}; phosphopantothenate--cysteine ligase activity {GO:0004632}; protein homodimerization activity {GO:0042803}</t>
  </si>
  <si>
    <t>Cofactor biosynthesis; coenzyme A biosynthesis; CoA from (R)- pantothenate: step 2/5..</t>
  </si>
  <si>
    <t>sp|Q3UQN2|FCHO2_MOUSE</t>
  </si>
  <si>
    <t>F-BAR domain only protein 2</t>
  </si>
  <si>
    <t>FCHO2_MOUSE</t>
  </si>
  <si>
    <t>Q3UQN2</t>
  </si>
  <si>
    <t>Q3UJ91; Q7TMS9; Q8C0I2</t>
  </si>
  <si>
    <t>MGI:3505790</t>
  </si>
  <si>
    <t>Alternative splicing; Coated pit; Coiled coil; Disulfide bond; Endocytosis; Isopeptide bond; Membrane; Phosphoprotein; Ubl conjugation</t>
  </si>
  <si>
    <t>Coated pit; Membrane</t>
  </si>
  <si>
    <t>clathrin coat assembly {GO:0048268}; clathrin-dependent endocytosis {GO:0072583}; membrane invagination {GO:0010324}; protein localization to plasma membrane {GO:0072659}; synaptic vesicle endocytosis {GO:0048488}</t>
  </si>
  <si>
    <t>clathrin-coated pit {GO:0005905}; clathrin-coated vesicle {GO:0030136}; cytoplasm {GO:0005737}; plasma membrane {GO:0005886}; presynaptic endocytic zone membrane {GO:0098835}</t>
  </si>
  <si>
    <t>identical protein binding {GO:0042802}; phosphatidylinositol binding {GO:0035091}; phosphatidylinositol-4,5-bisphosphate binding {GO:0005546}; phosphatidylserine binding {GO:0001786}</t>
  </si>
  <si>
    <t>sp|Q3V1T4|P3H1_MOUSE</t>
  </si>
  <si>
    <t>Prolyl 3-hydroxylase 1</t>
  </si>
  <si>
    <t>Growth suppressor 1; Leucine- and proline-enriched proteoglycan 1 (Leprecan-1)</t>
  </si>
  <si>
    <t>P3H1_MOUSE</t>
  </si>
  <si>
    <t>Q3V1T4</t>
  </si>
  <si>
    <t>A2A7Q4; A6PW85; Q3TWX8; Q8BSV2; Q8CFL3; Q9CWK5; Q9QZT6; Q9QZT7</t>
  </si>
  <si>
    <t>MGI:1888921</t>
  </si>
  <si>
    <t>Alternative splicing; Coiled coil; Dioxygenase; Endoplasmic reticulum; Extracellular matrix; Glycoprotein; Iron; Metal-binding; Oxidoreductase; Repeat; Secreted; Signal; TPR repeat; Vitamin C</t>
  </si>
  <si>
    <t>Endoplasmic reticulum; Extracellular matrix; Secreted</t>
  </si>
  <si>
    <t>Coiled coil; Repeat; Signal; TPR repeat</t>
  </si>
  <si>
    <t>bone development {GO:0060348}; collagen fibril organization {GO:0030199}; collagen metabolic process {GO:0032963}; negative regulation of cell growth {GO:0030308}; negative regulation of post-translational protein modification {GO:1901874}; positive regulation of neuron projection development {GO:0010976}; protein folding {GO:0006457}; protein hydroxylation {GO:0018126}; protein stabilization {GO:0050821}; regulation of ossification {GO:0030278}; regulation of protein secretion {GO:0050708}</t>
  </si>
  <si>
    <t>basement membrane {GO:0005604}; cytoplasm {GO:0005737}; endoplasmic reticulum {GO:0005783}; extracellular region {GO:0005576}; nucleus {GO:0005634}; plasma membrane {GO:0005886}</t>
  </si>
  <si>
    <t>iron ion binding {GO:0005506}; L-ascorbic acid binding {GO:0031418}; procollagen-proline 3-dioxygenase activity {GO:0019797}</t>
  </si>
  <si>
    <t>sp|Q9JIW9|RALB_MOUSE</t>
  </si>
  <si>
    <t>Ras-related protein Ral-B</t>
  </si>
  <si>
    <t>RALB_MOUSE</t>
  </si>
  <si>
    <t>Q9JIW9</t>
  </si>
  <si>
    <t>Q3TVS5</t>
  </si>
  <si>
    <t>MGI:1927244</t>
  </si>
  <si>
    <t>Apoptosis; Cell cycle; Cell division; Cell membrane; GTP-binding; Hydrolase; Lipoprotein; Membrane; Methylation; Nucleotide-binding; Prenylation</t>
  </si>
  <si>
    <t>Apoptosis; Cell cycle; Cell division</t>
  </si>
  <si>
    <t>apoptotic process {GO:0006915}; cell cycle {GO:0007049}; cell division {GO:0051301}; cellular response to exogenous dsRNA {GO:0071360}; cellular response to starvation {GO:0009267}; negative regulation of protein binding {GO:0032091}; positive regulation of autophagosome assembly {GO:2000786}; positive regulation of epidermal growth factor receptor signaling pathway {GO:0045742}; positive regulation of protein binding {GO:0032092}; positive regulation of protein phosphorylation {GO:0001934}; positive regulation of protein serine/threonine kinase activity {GO:0071902}; Ras protein signal transduction {GO:0007265}; receptor internalization {GO:0031623}; regulation of exocyst assembly {GO:0001928}; regulation of exocyst localization {GO:0060178}</t>
  </si>
  <si>
    <t>midbody {GO:0030496}; plasma membrane {GO:0005886}</t>
  </si>
  <si>
    <t>ATPase binding {GO:0051117}; G protein activity {GO:0003925}; GDP binding {GO:0019003}; GTP binding {GO:0005525}; GTPase activity {GO:0003924}; ubiquitin protein ligase binding {GO:0031625}</t>
  </si>
  <si>
    <t>sp|Q8BKT7|THOC5_MOUSE</t>
  </si>
  <si>
    <t>THO complex subunit 5 homolog</t>
  </si>
  <si>
    <t>Fms-interacting protein (FMIP)</t>
  </si>
  <si>
    <t>THOC5_MOUSE</t>
  </si>
  <si>
    <t>Q8BKT7</t>
  </si>
  <si>
    <t>Q69ZU0; Q8CHR3</t>
  </si>
  <si>
    <t>Fmip; Kiaa0983</t>
  </si>
  <si>
    <t>MGI:1351333</t>
  </si>
  <si>
    <t>Acetylation; Cytoplasm; Differentiation; Isopeptide bond; mRNA processing; mRNA splicing; mRNA transport; Nucleus; Phosphoprotein; RNA-binding; Transport; Ubl conjugation</t>
  </si>
  <si>
    <t>Differentiation; Transport; mRNA processing; mRNA splicing; mRNA transport</t>
  </si>
  <si>
    <t>blastocyst development {GO:0001824}; cell morphogenesis {GO:0000902}; monocyte differentiation {GO:0030224}; mRNA export from nucleus {GO:0006406}; mRNA processing {GO:0006397}; negative regulation of DNA damage checkpoint {GO:2000002}; negative regulation of macrophage differentiation {GO:0045650}; positive regulation of DNA-templated transcription, elongation {GO:0032786}; primitive hemopoiesis {GO:0060215}; regulation of gene expression {GO:0010468}; regulation of mRNA export from nucleus {GO:0010793}; regulation of stem cell division {GO:2000035}; RNA splicing {GO:0008380}; stem cell division {GO:0017145}; viral mRNA export from host cell nucleus {GO:0046784}</t>
  </si>
  <si>
    <t>chromosome, telomeric region {GO:0000781}; cytoplasm {GO:0005737}; nucleoplasm {GO:0005654}; nucleus {GO:0005634}; THO complex {GO:0000347}; THO complex part of transcription export complex {GO:0000445}; transcription export complex {GO:0000346}</t>
  </si>
  <si>
    <t>sp|Q8R418|DICER_MOUSE</t>
  </si>
  <si>
    <t>Endoribonuclease Dicer</t>
  </si>
  <si>
    <t>Double-strand-specific ribonuclease mDCR-1</t>
  </si>
  <si>
    <t>DICER_MOUSE</t>
  </si>
  <si>
    <t>Q8R418</t>
  </si>
  <si>
    <t>Q8R419</t>
  </si>
  <si>
    <t>Dicer; Mdcr</t>
  </si>
  <si>
    <t>MGI:2177178</t>
  </si>
  <si>
    <t>3D-structure; Alternative promoter usage; ATP-binding; Cytoplasm; Endonuclease; Helicase; Hydrolase; Magnesium; Manganese; Metal-binding; Nuclease; Nucleotide-binding; Phosphoprotein; Repeat; RNA-binding; RNA-mediated gene silencing</t>
  </si>
  <si>
    <t>Endonuclease; Helicase; Hydrolase; Nuclease; RNA-binding</t>
  </si>
  <si>
    <t>anatomical structure development {GO:0048856}; angiogenesis {GO:0001525}; apoptotic DNA fragmentation {GO:0006309}; branching morphogenesis of an epithelial tube {GO:0048754}; cardiac muscle cell development {GO:0055013}; cardiac neural crest cell development involved in outflow tract morphogenesis {GO:0061309}; cartilage development {GO:0051216}; cell population proliferation {GO:0008283}; cerebral cortex development {GO:0021987}; defense response to virus {GO:0051607}; digestive tract development {GO:0048565}; embryonic hindlimb morphogenesis {GO:0035116}; embryonic limb morphogenesis {GO:0030326}; epidermis morphogenesis {GO:0048730}; ganglion development {GO:0061548}; gene expression {GO:0010467}; global gene silencing by mRNA cleavage {GO:0098795}; hair follicle cell proliferation {GO:0071335}; hair follicle development {GO:0001942}; hair follicle morphogenesis {GO:0031069}; inner ear receptor cell development {GO:0060119}; intestinal epithelial cell development {GO:0060576}; lung development {GO:0030324}; meiotic spindle organization {GO:0000212}; miRNA processing {GO:0035196}; mRNA stabilization {GO:0048255}; multicellular organism growth {GO:0035264}; myoblast differentiation involved in skeletal muscle regeneration {GO:0014835}; negative regulation of gene expression {GO:0010629}; negative regulation of glial cell proliferation {GO:0060253}; negative regulation of Schwann cell proliferation {GO:0010626}; negative regulation of transcription by RNA polymerase II {GO:0000122}; negative regulation of tumor necrosis factor production {GO:0032720}; nerve development {GO:0021675}; neuron projection morphogenesis {GO:0048812}; NIK/NF-kappaB signaling {GO:0038061}; olfactory bulb interneuron differentiation {GO:0021889}; pericentric heterochromatin assembly {GO:0031508}; peripheral nervous system myelin formation {GO:0032290}; positive regulation of collagen biosynthetic process {GO:0032967}; positive regulation of endothelial cell migration {GO:0010595}; positive regulation of endothelial cell-matrix adhesion via fibronectin {GO:1904906}; positive regulation of establishment of endothelial barrier {GO:1903142}; positive regulation of gene expression {GO:0010628}; positive regulation of hepatic stellate cell proliferation {GO:1904899}; positive regulation of miRNA metabolic process {GO:2000630}; positive regulation of myelination {GO:0031643}; positive regulation of Schwann cell differentiation {GO:0014040}; positive regulation of transcription by RNA polymerase II {GO:0045944}; positive regulation of vascular endothelial cell proliferation {GO:1905564}; post-embryonic development {GO:0009791}; post-transcriptional gene silencing by RNA {GO:0035194}; pre-miRNA processing {GO:0031054}; regulation of cell cycle {GO:0051726}; regulation of enamel mineralization {GO:0070173}; regulation of epithelial cell differentiation {GO:0030856}; regulation of gene expression {GO:0010468}; regulation of inflammatory response {GO:0050727}; regulation of miRNA metabolic process {GO:2000628}; regulation of muscle cell apoptotic process {GO:0010660}; regulation of myelination {GO:0031641}; regulation of neurogenesis {GO:0050767}; regulation of neuron differentiation {GO:0045664}; regulation of Notch signaling pathway {GO:0008593}; regulation of odontogenesis of dentin-containing tooth {GO:0042487}; regulation of oligodendrocyte differentiation {GO:0048713}; regulation of protein phosphorylation {GO:0001932}; regulation of regulatory T cell differentiation {GO:0045589}; regulation of RNA metabolic process {GO:0051252}; regulation of stem cell differentiation {GO:2000736}; regulation of viral genome replication {GO:0045069}; reproductive structure development {GO:0048608}; RISC complex assembly {GO:0070922}; RNA phosphodiester bond hydrolysis {GO:0090501}; RNA phosphodiester bond hydrolysis, endonucleolytic {GO:0090502}; RNA processing {GO:0006396}; rRNA processing {GO:0006364}; siRNA processing {GO:0030422}; spermatogonial cell division {GO:0007284}; spinal cord motor neuron differentiation {GO:0021522}; spindle assembly {GO:0051225}; spleen development {GO:0048536}; stem cell population maintenance {GO:0019827}; trophectodermal cell proliferation {GO:0001834}; zygote asymmetric cell division {GO:0010070}</t>
  </si>
  <si>
    <t>axon {GO:0030424}; cytoplasm {GO:0005737}; cytosol {GO:0005829}; dendrite {GO:0030425}; endoplasmic reticulum {GO:0005783}; endoplasmic reticulum-Golgi intermediate compartment {GO:0005793}; extracellular exosome {GO:0070062}; growth cone {GO:0030426}; nucleus {GO:0005634}; perinuclear region of cytoplasm {GO:0048471}; RISC complex {GO:0016442}; RISC-loading complex {GO:0070578}</t>
  </si>
  <si>
    <t>ATP binding {GO:0005524}; deoxyribonuclease I activity {GO:0004530}; DNA binding {GO:0003677}; double-stranded RNA binding {GO:0003725}; endoribonuclease activity {GO:0004521}; helicase activity {GO:0004386}; metal ion binding {GO:0046872}; miRNA binding {GO:0035198}; pre-miRNA binding {GO:0070883}; protein domain specific binding {GO:0019904}; ribonuclease III activity {GO:0004525}; RNA binding {GO:0003723}; siRNA binding {GO:0035197}</t>
  </si>
  <si>
    <t>sp|O35345|IMA7_MOUSE</t>
  </si>
  <si>
    <t>Importin subunit alpha-7</t>
  </si>
  <si>
    <t>Importin alpha-S2; Karyopherin subunit alpha-6</t>
  </si>
  <si>
    <t>IMA7_MOUSE</t>
  </si>
  <si>
    <t>O35345</t>
  </si>
  <si>
    <t>Q3U388; Q9CVP9</t>
  </si>
  <si>
    <t>Kpna5</t>
  </si>
  <si>
    <t>MGI:1100836</t>
  </si>
  <si>
    <t>Acetylation; Cytoplasm; Phosphoprotein; Protein transport; Repeat; Transport</t>
  </si>
  <si>
    <t>entry of viral genome into host nucleus through nuclear pore complex via importin {GO:0075506}; maternal process involved in female pregnancy {GO:0060135}; mitigation of host defenses by symbiont {GO:0030682}; NLS-bearing protein import into nucleus {GO:0006607}; positive regulation of cytokine production involved in inflammatory response {GO:1900017}; positive regulation of transcription by RNA polymerase II {GO:0045944}; positive regulation of viral life cycle {GO:1903902}; protein import into nucleus {GO:0006606}; transcription by RNA polymerase II {GO:0006366}; viral genome replication {GO:0019079}</t>
  </si>
  <si>
    <t>cytosol {GO:0005829}; host cell {GO:0043657}; NLS-dependent protein nuclear import complex {GO:0042564}; nucleoplasm {GO:0005654}; nucleus {GO:0005634}</t>
  </si>
  <si>
    <t>Assembly of the ORC complex at the origin of replication {R-MMU-68616}</t>
  </si>
  <si>
    <t>sp|Q8BL74|TF3C2_MOUSE</t>
  </si>
  <si>
    <t>General transcription factor 3C polypeptide 2</t>
  </si>
  <si>
    <t>TF3C-beta; Transcription factor IIIC 110 kDa subunit (TFIIIC 110 kDa subunit; TFIIIC110); Transcription factor IIIC subunit beta</t>
  </si>
  <si>
    <t>TF3C2_MOUSE</t>
  </si>
  <si>
    <t>Q8BL74</t>
  </si>
  <si>
    <t>Q3U7Z9; Q80XQ7; Q8BJJ4; Q8BLP3; Q8K1J1; Q9CSS0; Q9CVE6; Q9DBK6</t>
  </si>
  <si>
    <t>Kiaa0011</t>
  </si>
  <si>
    <t>MGI:1919002</t>
  </si>
  <si>
    <t>Nucleus; Phosphoprotein; Repeat; Transcription; WD repeat</t>
  </si>
  <si>
    <t>transcription by RNA polymerase III {GO:0006383}</t>
  </si>
  <si>
    <t>nucleoplasm {GO:0005654}; transcription factor TFIIIC complex {GO:0000127}</t>
  </si>
  <si>
    <t>sp|Q9EPL2|CSTN1_MOUSE</t>
  </si>
  <si>
    <t>CTF1-alpha</t>
  </si>
  <si>
    <t>Alcadein-alpha (Alc-alpha; SAlc-alpha); C-terminal fragment 1-alpha</t>
  </si>
  <si>
    <t>CSTN1_MOUSE</t>
  </si>
  <si>
    <t>Q9EPL2</t>
  </si>
  <si>
    <t>A2A800; B2KFP1; B2KFP2; Q69ZV9; Q7TS67; Q8K103</t>
  </si>
  <si>
    <t>Cs1; Cstn1; Kiaa0911</t>
  </si>
  <si>
    <t>MGI:1929895</t>
  </si>
  <si>
    <t>3D-structure; Alternative splicing; Calcium; Cell adhesion; Cell membrane; Cell projection; Endoplasmic reticulum; Glycoprotein; Golgi apparatus; Membrane; Nucleus; Postsynaptic cell membrane; Repeat; Signal; Synapse; Transmembrane; Transmembrane helix</t>
  </si>
  <si>
    <t>Cell membrane; Cell projection; Endoplasmic reticulum; Golgi apparatus; Membrane; Nucleus; Postsynaptic cell membrane; Synapse</t>
  </si>
  <si>
    <t>cellular calcium ion homeostasis {GO:0006874}; chemical synaptic transmission {GO:0007268}; homophilic cell adhesion via plasma membrane adhesion molecules {GO:0007156}; neurotransmitter receptor transport to postsynaptic membrane {GO:0098969}; positive regulation of synapse assembly {GO:0051965}; positive regulation of synaptic transmission {GO:0050806}; regulation of cell growth {GO:0001558}; regulation of synapse maturation {GO:0090128}; vesicle-mediated transport in synapse {GO:0099003}</t>
  </si>
  <si>
    <t>anchoring junction {GO:0070161}; cell surface {GO:0009986}; endoplasmic reticulum membrane {GO:0005789}; extracellular region {GO:0005576}; GABA-ergic synapse {GO:0098982}; glutamatergic synapse {GO:0098978}; Golgi membrane {GO:0000139}; integral component of membrane {GO:0016021}; integral component of postsynaptic density membrane {GO:0099061}; integral component of spine apparatus membrane {GO:0099065}; nucleus {GO:0005634}; postsynaptic density {GO:0014069}; postsynaptic endosome {GO:0098845}; postsynaptic membrane {GO:0045211}</t>
  </si>
  <si>
    <t>amyloid-beta binding {GO:0001540}; calcium ion binding {GO:0005509}; kinesin binding {GO:0019894}; X11-like protein binding {GO:0042988}</t>
  </si>
  <si>
    <t>sp|P70460|VASP_MOUSE</t>
  </si>
  <si>
    <t>Vasodilator-stimulated phosphoprotein (VASP)</t>
  </si>
  <si>
    <t>VASP_MOUSE</t>
  </si>
  <si>
    <t>P70460</t>
  </si>
  <si>
    <t>Q3TAP0; Q3TCD2; Q3U0C2; Q3UDF1; Q91VD2; Q9R214</t>
  </si>
  <si>
    <t>MGI:109268</t>
  </si>
  <si>
    <t>3D-structure; Acetylation; Actin-binding; Cell junction; Cell membrane; Cell projection; Coiled coil; Cytoplasm; Cytoskeleton; Membrane; Phosphoprotein; Repeat; SH3-binding; Tight junction</t>
  </si>
  <si>
    <t>Cell junction; Cell membrane; Cell projection; Cytoplasm; Cytoskeleton; Membrane; Tight junction</t>
  </si>
  <si>
    <t>actin cytoskeleton organization {GO:0030036}; actin polymerization or depolymerization {GO:0008154}; axon guidance {GO:0007411}; neural tube closure {GO:0001843}; positive regulation of actin filament polymerization {GO:0030838}; protein homotetramerization {GO:0051289}</t>
  </si>
  <si>
    <t>bicellular tight junction {GO:0005923}; cytoskeleton {GO:0005856}; cytosol {GO:0005829}; filopodium {GO:0030175}; filopodium membrane {GO:0031527}; focal adhesion {GO:0005925}; lamellipodium {GO:0030027}; lamellipodium membrane {GO:0031258}; plasma membrane {GO:0005886}</t>
  </si>
  <si>
    <t>actin binding {GO:0003779}; profilin binding {GO:0005522}; SH3 domain binding {GO:0017124}</t>
  </si>
  <si>
    <t>Signaling by ROBO receptors {R-MMU-376176}; Cell-extracellular matrix interactions {R-MMU-446353}</t>
  </si>
  <si>
    <t>tr|Q3TMP1|Q3TMP1_MOUSE</t>
  </si>
  <si>
    <t>sp|Q5EG47|AAPK1_MOUSE</t>
  </si>
  <si>
    <t>5'-AMP-activated protein kinase catalytic subunit alpha-1 (AMPK subunit alpha-1)</t>
  </si>
  <si>
    <t>Acetyl-CoA carboxylase kinase (ACACA kinase); Hydroxymethylglutaryl-CoA reductase kinase (HMGCR kinase); Tau-protein kinase PRKAA1</t>
  </si>
  <si>
    <t>AAPK1_MOUSE</t>
  </si>
  <si>
    <t>Q5EG47</t>
  </si>
  <si>
    <t>MGI:2145955</t>
  </si>
  <si>
    <t>3D-structure; ATP-binding; Autophagy; Biological rhythms; Cholesterol biosynthesis; Cholesterol metabolism; Chromatin regulator; Cytoplasm; Fatty acid biosynthesis; Fatty acid metabolism; Kinase; Lipid biosynthesis; Lipid metabolism; Magnesium; Metal-binding; Nucleotide-binding; Nucleus; Phosphoprotein; Serine/threonine-protein kinase; Steroid biosynthesis; Steroid metabolism; Sterol biosynthesis; Sterol metabolism; Transcription; Transcription regulation; Transferase; Ubl conjugation; Wnt signaling pathway</t>
  </si>
  <si>
    <t>autophagy {GO:0006914}; bile acid and bile salt transport {GO:0015721}; bile acid signaling pathway {GO:0038183}; CAMKK-AMPK signaling cascade {GO:0061762}; cellular response to calcium ion {GO:0071277}; cellular response to ethanol {GO:0071361}; cellular response to glucose starvation {GO:0042149}; cellular response to glucose stimulus {GO:0071333}; cellular response to hydrogen peroxide {GO:0070301}; cellular response to hypoxia {GO:0071456}; cellular response to nutrient levels {GO:0031669}; cellular response to organonitrogen compound {GO:0071417}; cellular response to oxidative stress {GO:0034599}; cellular response to prostaglandin E stimulus {GO:0071380}; cellular response to xenobiotic stimulus {GO:0071466}; cholesterol biosynthetic process {GO:0006695}; chromatin organization {GO:0006325}; cold acclimation {GO:0009631}; energy homeostasis {GO:0097009}; fatty acid biosynthetic process {GO:0006633}; fatty acid homeostasis {GO:0055089}; fatty acid oxidation {GO:0019395}; glucose homeostasis {GO:0042593}; glucose metabolic process {GO:0006006}; intracellular signal transduction {GO:0035556}; lipid biosynthetic process {GO:0008610}; lipid droplet disassembly {GO:1905691}; motor behavior {GO:0061744}; negative regulation of apoptotic process {GO:0043066}; negative regulation of gene expression {GO:0010629}; negative regulation of hepatocyte apoptotic process {GO:1903944}; negative regulation of insulin receptor signaling pathway {GO:0046627}; negative regulation of lipid catabolic process {GO:0050995}; negative regulation of TOR signaling {GO:0032007}; negative regulation of tubulin deacetylation {GO:1904428}; neuron cellular homeostasis {GO:0070050}; positive regulation of autophagy {GO:0010508}; positive regulation of cell population proliferation {GO:0008284}; positive regulation of gene expression {GO:0010628}; positive regulation of glycolytic process {GO:0045821}; positive regulation of mitochondrial transcription {GO:1903109}; positive regulation of peptidyl-lysine acetylation {GO:2000758}; positive regulation of protein localization {GO:1903829}; positive regulation of protein targeting to mitochondrion {GO:1903955}; positive regulation of skeletal muscle tissue development {GO:0048643}; protein localization to lipid droplet {GO:1990044}; protein phosphorylation {GO:0006468}; regulation of bile acid secretion {GO:0120188}; regulation of circadian rhythm {GO:0042752}; regulation of microtubule cytoskeleton organization {GO:0070507}; regulation of peptidyl-serine phosphorylation {GO:0033135}; regulation of stress granule assembly {GO:0062028}; regulation of vesicle-mediated transport {GO:0060627}; response to 17alpha-ethynylestradiol {GO:1904486}; response to activity {GO:0014823}; response to caffeine {GO:0031000}; response to camptothecin {GO:1901563}; response to gamma radiation {GO:0010332}; response to hydrogen peroxide {GO:0042542}; response to UV {GO:0009411}; rhythmic process {GO:0048511}; Wnt signaling pathway {GO:0016055}</t>
  </si>
  <si>
    <t>apical plasma membrane {GO:0016324}; axon {GO:0030424}; cytoplasm {GO:0005737}; cytosol {GO:0005829}; dendrite {GO:0030425}; neuronal cell body {GO:0043025}; nuclear speck {GO:0016607}; nucleotide-activated protein kinase complex {GO:0031588}; nucleus {GO:0005634}; protein-containing complex {GO:0032991}</t>
  </si>
  <si>
    <t>[acetyl-CoA carboxylase] kinase activity {GO:0050405}; [hydroxymethylglutaryl-CoA reductase (NADPH)] kinase activity {GO:0047322}; AMP-activated protein kinase activity {GO:0004679}; ATP binding {GO:0005524}; chromatin binding {GO:0003682}; histone serine kinase activity {GO:0035174}; kinase binding {GO:0019900}; metal ion binding {GO:0046872}; protein C-terminus binding {GO:0008022}; protein kinase activity {GO:0004672}; protein serine kinase activity {GO:0106310}; protein serine/threonine kinase activity {GO:0004674}; protein-containing complex binding {GO:0044877}; tau-protein kinase activity {GO:0050321}</t>
  </si>
  <si>
    <t>sp|P28481|CO2A1_MOUSE</t>
  </si>
  <si>
    <t>Chondrocalcin</t>
  </si>
  <si>
    <t>Alpha-1 type II collagen</t>
  </si>
  <si>
    <t>CO2A1_MOUSE</t>
  </si>
  <si>
    <t>P28481</t>
  </si>
  <si>
    <t>Q61428; Q62031; Q62032; Q62033; Q641K3; Q6LDB1; Q6LDI8; Q6LDI9; Q80VY3; Q80X38; Q8CEF7; Q8K0N6</t>
  </si>
  <si>
    <t>MGI:88452</t>
  </si>
  <si>
    <t>3D-structure; Alternative splicing; Calcium; Collagen; Disease variant; Disulfide bond; Extracellular matrix; Glycoprotein; Hydroxylation; Metal-binding; Repeat; Secreted; Signal</t>
  </si>
  <si>
    <t>anterior head development {GO:0097065}; bone development {GO:0060348}; cartilage condensation {GO:0001502}; cartilage development {GO:0051216}; cartilage development involved in endochondral bone morphogenesis {GO:0060351}; cellular response to BMP stimulus {GO:0071773}; central nervous system development {GO:0007417}; chondrocyte differentiation {GO:0002062}; collagen fibril organization {GO:0030199}; embryonic skeletal joint morphogenesis {GO:0060272}; endochondral ossification {GO:0001958}; extracellular matrix organization {GO:0030198}; extrinsic apoptotic signaling pathway in absence of ligand {GO:0097192}; heart morphogenesis {GO:0003007}; inner ear development {GO:0048839}; inner ear morphogenesis {GO:0042472}; limb bud formation {GO:0060174}; limb morphogenesis {GO:0035108}; negative regulation of extrinsic apoptotic signaling pathway in absence of ligand {GO:2001240}; notochord development {GO:0030903}; ossification {GO:0001503}; otic vesicle development {GO:0071599}; proteoglycan metabolic process {GO:0006029}; regulation of gene expression {GO:0010468}; roof of mouth development {GO:0060021}; sensory perception of sound {GO:0007605}; skeletal system development {GO:0001501}; skeletal system morphogenesis {GO:0048705}; tissue homeostasis {GO:0001894}; visual perception {GO:0007601}</t>
  </si>
  <si>
    <t>basement membrane {GO:0005604}; collagen trimer {GO:0005581}; collagen type II trimer {GO:0005585}; collagen type XI trimer {GO:0005592}; collagen-containing extracellular matrix {GO:0062023}; cytoplasm {GO:0005737}; extracellular matrix {GO:0031012}; extracellular space {GO:0005615}</t>
  </si>
  <si>
    <t>extracellular matrix structural constituent {GO:0005201}; identical protein binding {GO:0042802}; metal ion binding {GO:0046872}; MHC class II protein binding {GO:0042289}; platelet-derived growth factor binding {GO:0048407}; proteoglycan binding {GO:0043394}</t>
  </si>
  <si>
    <t>Collagen degradation {R-MMU-1442490}; Extracellular matrix organization {R-MMU-1474244}; Collagen biosynthesis and modifying enzymes {R-MMU-1650814}; Signaling by PDGF {R-MMU-186797}; Immunoregulatory interactions between a Lymphoid and a non-Lymphoid cell {R-MMU-198933}; Assembly of collagen fibrils and other multimeric structures {R-MMU-2022090}; Integrin cell surface interactions {R-MMU-216083}; Non-integrin membrane-ECM interactions {R-MMU-3000171}; ECM proteoglycans {R-MMU-3000178}; NCAM1 interactions {R-MMU-419037}; MET activates PTK2 signaling {R-MMU-8874081}; Collagen chain trimerization {R-MMU-8948216}</t>
  </si>
  <si>
    <t>sp|Q8C3W1|CA198_MOUSE</t>
  </si>
  <si>
    <t>Uncharacterized protein C1orf198 homolog</t>
  </si>
  <si>
    <t>CA198_MOUSE</t>
  </si>
  <si>
    <t>Q8C3W1</t>
  </si>
  <si>
    <t>Q3TCS2; Q3U2K7; Q3U3E1; Q6PDM3</t>
  </si>
  <si>
    <t>MGI:1916801</t>
  </si>
  <si>
    <t>sp|Q80U78|PUM1_MOUSE</t>
  </si>
  <si>
    <t>Pumilio homolog 1</t>
  </si>
  <si>
    <t>PUM1_MOUSE</t>
  </si>
  <si>
    <t>Q80U78</t>
  </si>
  <si>
    <t>Q80X96; Q80YU8; Q8BPV7; Q9EPU6</t>
  </si>
  <si>
    <t>MGI:1931749</t>
  </si>
  <si>
    <t>Acetylation; Alternative splicing; Cytoplasm; Differentiation; Methylation; Phosphoprotein; Repeat; RNA-binding; Spermatogenesis; Translation regulation</t>
  </si>
  <si>
    <t>Differentiation; Spermatogenesis; Translation regulation</t>
  </si>
  <si>
    <t>adult locomotory behavior {GO:0008344}; miRNA processing {GO:0035196}; mRNA destabilization {GO:0061157}; positive regulation of miRNA-mediated gene silencing {GO:2000637}; positive regulation of RIG-I signaling pathway {GO:1900246}; post-transcriptional gene silencing {GO:0016441}; post-transcriptional regulation of gene expression {GO:0010608}; regulation of cell cycle {GO:0051726}; regulation of chromosome segregation {GO:0051983}; regulation of mRNA stability {GO:0043488}; spermatogenesis {GO:0007283}; stem cell differentiation {GO:0048863}</t>
  </si>
  <si>
    <t>cytoplasm {GO:0005737}; cytoplasmic stress granule {GO:0010494}; cytosol {GO:0005829}; nucleoplasm {GO:0005654}; P-body {GO:0000932}</t>
  </si>
  <si>
    <t>miRNA binding {GO:0035198}; mRNA 3'-UTR binding {GO:0003730}; mRNA binding {GO:0003729}; RNA binding {GO:0003723}</t>
  </si>
  <si>
    <t>sp|Q9CPW7|ZMAT2_MOUSE</t>
  </si>
  <si>
    <t>Zinc finger matrin-type protein 2</t>
  </si>
  <si>
    <t>ZMAT2_MOUSE</t>
  </si>
  <si>
    <t>Q9CPW7</t>
  </si>
  <si>
    <t>Q5EBK0</t>
  </si>
  <si>
    <t>MGI:1913742</t>
  </si>
  <si>
    <t>Acetylation; DNA-binding; Isopeptide bond; Metal-binding; mRNA processing; mRNA splicing; Nucleus; Spliceosome; Ubl conjugation; Zinc; Zinc-finger</t>
  </si>
  <si>
    <t>nucleus {GO:0005634}; U2-type precatalytic spliceosome {GO:0071005}; U4/U6 x U5 tri-snRNP complex {GO:0046540}</t>
  </si>
  <si>
    <t>sp|Q9CPP0|NPM3_MOUSE</t>
  </si>
  <si>
    <t>Nucleoplasmin-3</t>
  </si>
  <si>
    <t>NPM3_MOUSE</t>
  </si>
  <si>
    <t>Q9CPP0</t>
  </si>
  <si>
    <t>Q3UJ58</t>
  </si>
  <si>
    <t>MGI:894653</t>
  </si>
  <si>
    <t>Acetylation; Chaperone; Methylation; Nucleus; Phosphoprotein</t>
  </si>
  <si>
    <t>chromatin remodeling {GO:0006338}; rRNA processing {GO:0006364}; rRNA transcription {GO:0009303}</t>
  </si>
  <si>
    <t>actin cytoskeleton {GO:0015629}; cytoplasm {GO:0005737}; cytosol {GO:0005829}; nucleolus {GO:0005730}; nucleoplasm {GO:0005654}</t>
  </si>
  <si>
    <t>chromatin binding {GO:0003682}; histone binding {GO:0042393}; RNA binding {GO:0003723}</t>
  </si>
  <si>
    <t>sp|Q8QZY9|SF3B4_MOUSE</t>
  </si>
  <si>
    <t>Splicing factor 3B subunit 4</t>
  </si>
  <si>
    <t>SF3B4_MOUSE</t>
  </si>
  <si>
    <t>Q8QZY9</t>
  </si>
  <si>
    <t>MGI:109580</t>
  </si>
  <si>
    <t>Acetylation; mRNA processing; mRNA splicing; Nucleus; Phosphoprotein; Repeat; RNA-binding; Spliceosome</t>
  </si>
  <si>
    <t>nucleus {GO:0005634}; spliceosomal complex {GO:0005681}; U12-type spliceosomal complex {GO:0005689}; U2-type precatalytic spliceosome {GO:0071005}; U2-type spliceosomal complex {GO:0005684}</t>
  </si>
  <si>
    <t>sp|Q9ERD6|RGPS2_MOUSE</t>
  </si>
  <si>
    <t>Ras-specific guanine nucleotide-releasing factor RalGPS2</t>
  </si>
  <si>
    <t>Ral GEF with PH domain and SH3-binding motif 2; RalA exchange factor RalGPS2</t>
  </si>
  <si>
    <t>RGPS2_MOUSE</t>
  </si>
  <si>
    <t>Q9ERD6</t>
  </si>
  <si>
    <t>Q7TPZ6; Q80YA6; Q8BZ37; Q8BZU2; Q9D2Y7</t>
  </si>
  <si>
    <t>MGI:1925505</t>
  </si>
  <si>
    <t>Alternative splicing; Cell membrane; Cytoplasm; Guanine-nucleotide releasing factor; Membrane; Phosphoprotein</t>
  </si>
  <si>
    <t>positive regulation of GTPase activity {GO:0043547}; Ras protein signal transduction {GO:0007265}; regulation of Ral protein signal transduction {GO:0032485}</t>
  </si>
  <si>
    <t>sp|A2AR02|PPIG_MOUSE</t>
  </si>
  <si>
    <t>Peptidyl-prolyl cis-trans isomerase G (PPIase G; Peptidyl-prolyl isomerase G)</t>
  </si>
  <si>
    <t>Cyclophilin G; Rotamase G</t>
  </si>
  <si>
    <t>PPIG_MOUSE</t>
  </si>
  <si>
    <t>A2AR02</t>
  </si>
  <si>
    <t>O70134; Q3TP68; Q3UXE0</t>
  </si>
  <si>
    <t>MGI:2445173</t>
  </si>
  <si>
    <t>Isomerase; Isopeptide bond; Nucleus; Phosphoprotein; Rotamase; Ubl conjugation</t>
  </si>
  <si>
    <t>protein folding {GO:0006457}; protein peptidyl-prolyl isomerization {GO:0000413}</t>
  </si>
  <si>
    <t>cytoplasm {GO:0005737}; cytosol {GO:0005829}; intracellular membrane-bounded organelle {GO:0043231}; nuclear matrix {GO:0016363}; nuclear speck {GO:0016607}; nucleus {GO:0005634}</t>
  </si>
  <si>
    <t>cyclosporin A binding {GO:0016018}; peptidyl-prolyl cis-trans isomerase activity {GO:0003755}</t>
  </si>
  <si>
    <t>sp|Q3V0J1|TM237_MOUSE</t>
  </si>
  <si>
    <t>Transmembrane protein 237</t>
  </si>
  <si>
    <t>Amyotrophic lateral sclerosis 2 chromosomal region candidate gene 4 protein homolog</t>
  </si>
  <si>
    <t>TM237_MOUSE</t>
  </si>
  <si>
    <t>Q3V0J1</t>
  </si>
  <si>
    <t>B2RVK7; Q3TIS2</t>
  </si>
  <si>
    <t>Als2cr4</t>
  </si>
  <si>
    <t>MGI:2138365</t>
  </si>
  <si>
    <t>Alternative splicing; Cell projection; Cilium; Cilium biogenesis/degradation; Membrane; Phosphoprotein; Transmembrane; Transmembrane helix</t>
  </si>
  <si>
    <t>Cell projection; Cilium; Membrane</t>
  </si>
  <si>
    <t>cilium assembly {GO:0060271}; regulation of Wnt signaling pathway {GO:0030111}</t>
  </si>
  <si>
    <t>ciliary transition zone {GO:0035869}; cone photoreceptor outer segment {GO:0120199}; integral component of membrane {GO:0016021}; photoreceptor connecting cilium {GO:0032391}; rod photoreceptor outer segment {GO:0120200}</t>
  </si>
  <si>
    <t>sp|Q9EPU4|CPSF1_MOUSE</t>
  </si>
  <si>
    <t>Cleavage and polyadenylation specificity factor subunit 1</t>
  </si>
  <si>
    <t>Cleavage and polyadenylation specificity factor 160 kDa subunit (CPSF 160 kDa subunit)</t>
  </si>
  <si>
    <t>CPSF1_MOUSE</t>
  </si>
  <si>
    <t>Q9EPU4</t>
  </si>
  <si>
    <t>Cpsf160</t>
  </si>
  <si>
    <t>MGI:2679722</t>
  </si>
  <si>
    <t>mRNA polyadenylation {GO:0006378}</t>
  </si>
  <si>
    <t>enzyme binding {GO:0019899}; mRNA 3'-UTR AU-rich region binding {GO:0035925}</t>
  </si>
  <si>
    <t>sp|Q80ZK0|RT10_MOUSE</t>
  </si>
  <si>
    <t>28S ribosomal protein S10, mitochondrial (MRP-S10; S10mt)</t>
  </si>
  <si>
    <t>RT10_MOUSE</t>
  </si>
  <si>
    <t>Q80ZK0</t>
  </si>
  <si>
    <t>Q4V9W5</t>
  </si>
  <si>
    <t>MGI:1928139</t>
  </si>
  <si>
    <t>Mitochondrion; Ribonucleoprotein; Ribosomal protein</t>
  </si>
  <si>
    <t>sp|Q9D7M8|RPB4_MOUSE</t>
  </si>
  <si>
    <t>DNA-directed RNA polymerase II subunit RPB4 (RNA polymerase II subunit B4)</t>
  </si>
  <si>
    <t>DNA-directed RNA polymerase II subunit D</t>
  </si>
  <si>
    <t>RPB4_MOUSE</t>
  </si>
  <si>
    <t>Q9D7M8</t>
  </si>
  <si>
    <t>Q6ZWW0; Q78KE6</t>
  </si>
  <si>
    <t>MGI:1916491</t>
  </si>
  <si>
    <t>DNA-directed RNA polymerase; Nucleus; Transcription</t>
  </si>
  <si>
    <t>mRNA export from nucleus in response to heat stress {GO:0031990}; nuclear-transcribed mRNA catabolic process, deadenylation-dependent decay {GO:0000288}; positive regulation of translational initiation {GO:0045948}; recruitment of 3'-end processing factors to RNA polymerase II holoenzyme complex {GO:0034402}; transcription by RNA polymerase II {GO:0006366}; transcription initiation at RNA polymerase II promoter {GO:0006367}</t>
  </si>
  <si>
    <t>cytosol {GO:0005829}; nuclear speck {GO:0016607}; nucleoplasm {GO:0005654}; nucleus {GO:0005634}; P-body {GO:0000932}; RNA polymerase II, core complex {GO:0005665}</t>
  </si>
  <si>
    <t>nucleotide binding {GO:0000166}; translation initiation factor binding {GO:0031369}</t>
  </si>
  <si>
    <t>sp|Q9CWY8|RNH2A_MOUSE</t>
  </si>
  <si>
    <t>Ribonuclease H2 subunit A (RNase H2 subunit A)</t>
  </si>
  <si>
    <t>Ribonuclease HI large subunit (RNase HI large subunit); Ribonuclease HI subunit A</t>
  </si>
  <si>
    <t>RNH2A_MOUSE</t>
  </si>
  <si>
    <t>Q9CWY8</t>
  </si>
  <si>
    <t>Q8CHY8</t>
  </si>
  <si>
    <t>Rnasehi</t>
  </si>
  <si>
    <t>MGI:1916974</t>
  </si>
  <si>
    <t>3D-structure; Acetylation; Endonuclease; Hydrolase; Metal-binding; Nuclease; Nucleus; Phosphoprotein</t>
  </si>
  <si>
    <t>DNA replication, removal of RNA primer {GO:0043137}; mismatch repair {GO:0006298}; RNA catabolic process {GO:0006401}</t>
  </si>
  <si>
    <t>cytosol {GO:0005829}; nucleoplasm {GO:0005654}; ribonuclease H2 complex {GO:0032299}</t>
  </si>
  <si>
    <t>metal ion binding {GO:0046872}; RNA binding {GO:0003723}; RNA-DNA hybrid ribonuclease activity {GO:0004523}</t>
  </si>
  <si>
    <t>tr|E9PX29|E9PX29_MOUSE</t>
  </si>
  <si>
    <t>sp|Q91VA6|PDIP2_MOUSE</t>
  </si>
  <si>
    <t>Polymerase delta-interacting protein 2</t>
  </si>
  <si>
    <t>PDIP2_MOUSE</t>
  </si>
  <si>
    <t>Q91VA6</t>
  </si>
  <si>
    <t>MGI:1915061</t>
  </si>
  <si>
    <t>DNA damage; DNA repair; Mitochondrion; Nucleus; Phosphoprotein; Transit peptide</t>
  </si>
  <si>
    <t>error-free translesion synthesis {GO:0070987}; mitochondrion morphogenesis {GO:0070584}; mitotic spindle assembly {GO:0090307}; negative regulation of macroautophagy {GO:0016242}; positive regulation of actin filament binding {GO:1904531}; positive regulation of focal adhesion assembly {GO:0051894}; positive regulation of mitotic cell cycle {GO:0045931}; positive regulation of mitotic cytokinesis {GO:1903490}; positive regulation of Rho guanyl-nucleotide exchange factor activity {GO:2001108}; vascular associated smooth muscle cell proliferation {GO:1990874}</t>
  </si>
  <si>
    <t>cell-cell junction {GO:0005911}; cytoplasm {GO:0005737}; midbody {GO:0030496}; mitochondrial matrix {GO:0005759}; mitochondrial nucleoid {GO:0042645}; mitochondrion {GO:0005739}; mitotic spindle {GO:0072686}; nucleus {GO:0005634}; plasma membrane {GO:0005886}</t>
  </si>
  <si>
    <t>DNA binding {GO:0003677}; protein-macromolecule adaptor activity {GO:0030674}</t>
  </si>
  <si>
    <t>sp|Q62469|ITA2_MOUSE</t>
  </si>
  <si>
    <t>Integrin alpha-2</t>
  </si>
  <si>
    <t>CD49 antigen-like family member B; Collagen receptor; Platelet membrane glycoprotein Ia (GPIa); VLA-2 subunit alpha; CD_antigen=CD49b</t>
  </si>
  <si>
    <t>ITA2_MOUSE</t>
  </si>
  <si>
    <t>Q62469</t>
  </si>
  <si>
    <t>Q62163; Q6P1C7</t>
  </si>
  <si>
    <t>MGI:96600</t>
  </si>
  <si>
    <t>Calcium; Cell adhesion; Disulfide bond; Glycoprotein; Integrin; Magnesium; Membrane; Metal-binding; Receptor; Repeat; Signal; Transmembrane; Transmembrane helix</t>
  </si>
  <si>
    <t>cell adhesion mediated by integrin {GO:0033627}; cell population proliferation {GO:0008283}; cell-cell adhesion {GO:0098609}; cell-matrix adhesion {GO:0007160}; cell-substrate adhesion {GO:0031589}; cellular response to estradiol stimulus {GO:0071392}; cellular response to mechanical stimulus {GO:0071260}; collagen-activated signaling pathway {GO:0038065}; detection of mechanical stimulus involved in sensory perception of pain {GO:0050966}; establishment of protein localization {GO:0045184}; female pregnancy {GO:0007565}; focal adhesion assembly {GO:0048041}; hepatocyte differentiation {GO:0070365}; hypotonic response {GO:0006971}; integrin-mediated signaling pathway {GO:0007229}; mammary gland development {GO:0030879}; mesodermal cell differentiation {GO:0048333}; positive regulation of alkaline phosphatase activity {GO:0010694}; positive regulation of cell adhesion {GO:0045785}; positive regulation of cell projection organization {GO:0031346}; positive regulation of collagen binding {GO:0033343}; positive regulation of collagen biosynthetic process {GO:0032967}; positive regulation of DNA binding {GO:0043388}; positive regulation of epithelial cell migration {GO:0010634}; positive regulation of inflammatory response {GO:0050729}; positive regulation of leukocyte migration {GO:0002687}; positive regulation of phagocytosis, engulfment {GO:0060100}; positive regulation of positive chemotaxis {GO:0050927}; positive regulation of smooth muscle cell migration {GO:0014911}; positive regulation of smooth muscle cell proliferation {GO:0048661}; positive regulation of smooth muscle contraction {GO:0045987}; positive regulation of translation {GO:0045727}; positive regulation of transmission of nerve impulse {GO:0051971}; response to amine {GO:0014075}; response to hypoxia {GO:0001666}; response to L-ascorbic acid {GO:0033591}; response to muscle activity {GO:0014850}; response to parathyroid hormone {GO:0071107}; response to xenobiotic stimulus {GO:0009410}; skin morphogenesis {GO:0043589}; substrate-dependent cell migration {GO:0006929}; wound healing {GO:0042060}</t>
  </si>
  <si>
    <t>axon {GO:0030424}; axon terminus {GO:0043679}; basal part of cell {GO:0045178}; cell projection {GO:0042995}; cell surface {GO:0009986}; external side of plasma membrane {GO:0009897}; focal adhesion {GO:0005925}; integrin alpha2-beta1 complex {GO:0034666}; integrin complex {GO:0008305}; nucleus {GO:0005634}; perinuclear region of cytoplasm {GO:0048471}; plasma membrane {GO:0005886}</t>
  </si>
  <si>
    <t>amyloid-beta binding {GO:0001540}; collagen binding {GO:0005518}; collagen binding involved in cell-matrix adhesion {GO:0098639}; collagen receptor activity {GO:0038064}; integrin binding {GO:0005178}; laminin binding {GO:0043236}; metal ion binding {GO:0046872}; protein-containing complex binding {GO:0044877}</t>
  </si>
  <si>
    <t>Integrin cell surface interactions {R-MMU-216083}; Syndecan interactions {R-MMU-3000170}; ECM proteoglycans {R-MMU-3000178}; MET activates PTK2 signaling {R-MMU-8874081}</t>
  </si>
  <si>
    <t>sp|Q45VK7|DYHC2_MOUSE</t>
  </si>
  <si>
    <t>Cytoplasmic dynein 2 heavy chain 1</t>
  </si>
  <si>
    <t>Cytoplasmic dynein 2 heavy chain; Dynein cytoplasmic heavy chain 2; Dynein heavy chain 11 (mDHC11); Dynein heavy chain isotype 1B</t>
  </si>
  <si>
    <t>DYHC2_MOUSE</t>
  </si>
  <si>
    <t>Q45VK7</t>
  </si>
  <si>
    <t>B8JJF9; B8JJG0; O08822; Q5VI59; Q5VI60; Q5VI61; Q5VI62; Q69Z42; Q8BJL5; Q8BL87; Q8BMC7; Q8BUI9; Q8BXK5; Q9CRR8</t>
  </si>
  <si>
    <t>Dhc1b; Dnchc2; Kiaa1997</t>
  </si>
  <si>
    <t>MGI:107736</t>
  </si>
  <si>
    <t>Alternative splicing; ATP-binding; Cell membrane; Cell projection; Cilium; Cilium biogenesis/degradation; Coiled coil; Cytoplasm; Cytoskeleton; Developmental protein; Dynein; Membrane; Microtubule; Motor protein; Nucleotide-binding</t>
  </si>
  <si>
    <t>Cell membrane; Cell projection; Cilium; Cytoplasm; Cytoskeleton; Dynein; Membrane; Microtubule</t>
  </si>
  <si>
    <t>cilium assembly {GO:0060271}; coronary vasculature development {GO:0060976}; determination of left/right symmetry {GO:0007368}; dorsal/ventral pattern formation {GO:0009953}; embryonic limb morphogenesis {GO:0030326}; forebrain development {GO:0030900}; Golgi organization {GO:0007030}; heart development {GO:0007507}; intraciliary retrograde transport {GO:0035721}; kidney development {GO:0001822}; microtubule-based movement {GO:0007018}; neuron differentiation {GO:0030182}; non-motile cilium assembly {GO:1905515}; positive regulation of smoothened signaling pathway {GO:0045880}; protein localization to cilium {GO:0061512}; protein processing {GO:0016485}; spinal cord motor neuron differentiation {GO:0021522}</t>
  </si>
  <si>
    <t>apical part of cell {GO:0045177}; axoneme {GO:0005930}; cytoplasmic dynein complex {GO:0005868}; dynein complex {GO:0030286}; Golgi apparatus {GO:0005794}; microtubule {GO:0005874}; motile cilium {GO:0031514}; plasma membrane {GO:0005886}</t>
  </si>
  <si>
    <t>Hedgehog 'off' state {R-MMU-5610787}; Intraflagellar transport {R-MMU-5620924}</t>
  </si>
  <si>
    <t>sp|Q9JJK2|LANC2_MOUSE</t>
  </si>
  <si>
    <t>LanC-like protein 2</t>
  </si>
  <si>
    <t>Testis-specific adriamycin sensitivity protein</t>
  </si>
  <si>
    <t>LANC2_MOUSE</t>
  </si>
  <si>
    <t>Q9JJK2</t>
  </si>
  <si>
    <t>Tasp</t>
  </si>
  <si>
    <t>MGI:1919085</t>
  </si>
  <si>
    <t>Cell membrane; Cytoplasm; Lipoprotein; Membrane; Myristate; Nucleus; Phosphoprotein</t>
  </si>
  <si>
    <t>carbohydrate metabolic process {GO:0005975}; negative regulation of DNA-templated transcription {GO:0045892}; positive regulation of abscisic acid-activated signaling pathway {GO:0009789}</t>
  </si>
  <si>
    <t>cortical actin cytoskeleton {GO:0030864}; cytosol {GO:0005829}; nucleoplasm {GO:0005654}; nucleus {GO:0005634}; plasma membrane {GO:0005886}</t>
  </si>
  <si>
    <t>phosphatidylinositol-3-phosphate binding {GO:0032266}; phosphatidylinositol-4-phosphate binding {GO:0070273}; phosphatidylinositol-5-phosphate binding {GO:0010314}</t>
  </si>
  <si>
    <t>sp|Q5XPI3|RN123_MOUSE</t>
  </si>
  <si>
    <t>E3 ubiquitin-protein ligase RNF123</t>
  </si>
  <si>
    <t>Kip1 ubiquitination-promoting complex protein 1; RING finger protein 123; RING-type E3 ubiquitin transferase RNF123</t>
  </si>
  <si>
    <t>RN123_MOUSE</t>
  </si>
  <si>
    <t>Q5XPI3</t>
  </si>
  <si>
    <t>Q6PGE0</t>
  </si>
  <si>
    <t>Kpc1</t>
  </si>
  <si>
    <t>MGI:2148796</t>
  </si>
  <si>
    <t>Acetylation; Alternative splicing; Cytoplasm; Metal-binding; Methylation; Phosphoprotein; Transferase; Ubl conjugation; Ubl conjugation pathway; Zinc; Zinc-finger</t>
  </si>
  <si>
    <t>proteolysis involved in protein catabolic process {GO:0051603}</t>
  </si>
  <si>
    <t>cytoplasm {GO:0005737}; cytosol {GO:0005829}; nuclear membrane {GO:0031965}</t>
  </si>
  <si>
    <t>Ub-specific processing proteases {R-MMU-5689880}; Antigen processing: Ubiquitination &amp; Proteasome degradation {R-MMU-983168}</t>
  </si>
  <si>
    <t>sp|Q9DBH0|WWP2_MOUSE</t>
  </si>
  <si>
    <t>NEDD4-like E3 ubiquitin-protein ligase WWP2</t>
  </si>
  <si>
    <t>HECT-type E3 ubiquitin transferase WWP2; WW domain-containing protein 2</t>
  </si>
  <si>
    <t>WWP2_MOUSE</t>
  </si>
  <si>
    <t>Q9DBH0</t>
  </si>
  <si>
    <t>Q8BTG4; Q923F6</t>
  </si>
  <si>
    <t>MGI:1914144</t>
  </si>
  <si>
    <t>Nucleus; Phosphoprotein; Repeat; Transferase; Ubl conjugation; Ubl conjugation pathway</t>
  </si>
  <si>
    <t>extracellular transport {GO:0006858}; negative regulation of DNA-binding transcription factor activity {GO:0043433}; negative regulation of DNA-templated transcription {GO:0045892}; negative regulation of gene expression {GO:0010629}; negative regulation of protein transport {GO:0051224}; negative regulation of transcription by RNA polymerase II {GO:0000122}; negative regulation of transporter activity {GO:0032410}; positive regulation of transcription by RNA polymerase II {GO:0045944}; proteasome-mediated ubiquitin-dependent protein catabolic process {GO:0043161}; protein autoubiquitination {GO:0051865}; protein K63-linked ubiquitination {GO:0070534}; protein polyubiquitination {GO:0000209}; protein ubiquitination {GO:0016567}; regulation of ion transmembrane transport {GO:0034765}; regulation of membrane potential {GO:0042391}; regulation of potassium ion transmembrane transporter activity {GO:1901016}; transcription by RNA polymerase II {GO:0006366}</t>
  </si>
  <si>
    <t>cytoplasm {GO:0005737}; extracellular region {GO:0005576}; nucleus {GO:0005634}</t>
  </si>
  <si>
    <t>RNA polymerase II-specific DNA-binding transcription factor binding {GO:0061629}; ubiquitin protein ligase activity {GO:0061630}; ubiquitin-protein transferase activity {GO:0004842}</t>
  </si>
  <si>
    <t>Regulation of PTEN stability and activity {R-MMU-8948751}; RHOQ GTPase cycle {R-MMU-9013406}; RHOU GTPase cycle {R-MMU-9013420}; NOTCH3 Activation and Transmission of Signal to the Nucleus {R-MMU-9013507}</t>
  </si>
  <si>
    <t>sp|Q64521|GPDM_MOUSE</t>
  </si>
  <si>
    <t>Glycerol-3-phosphate dehydrogenase, mitochondrial (GPD-M; GPDH-M)</t>
  </si>
  <si>
    <t>Protein TISP38</t>
  </si>
  <si>
    <t>GPDM_MOUSE</t>
  </si>
  <si>
    <t>Q64521</t>
  </si>
  <si>
    <t>Q3TK51; Q3UDY8; Q61507; Q8CBX6; Q8K4U5; Q8VDT0; Q9ERP0</t>
  </si>
  <si>
    <t>Gdm1</t>
  </si>
  <si>
    <t>MGI:99778</t>
  </si>
  <si>
    <t>Calcium; FAD; Flavoprotein; Membrane; Metal-binding; Mitochondrion; Mitochondrion inner membrane; Oxidoreductase; Phosphoprotein; Repeat; Transit peptide</t>
  </si>
  <si>
    <t>Calcium; FAD; Flavoprotein; Metal-binding</t>
  </si>
  <si>
    <t>camera-type eye development {GO:0043010}; gluconeogenesis {GO:0006094}; glycerol catabolic process {GO:0019563}; glycerol-3-phosphate metabolic process {GO:0006072}; multicellular organism growth {GO:0035264}; NADH metabolic process {GO:0006734}</t>
  </si>
  <si>
    <t>glycerol-3-phosphate dehydrogenase complex {GO:0009331}; mitochondrial inner membrane {GO:0005743}; mitochondrion {GO:0005739}</t>
  </si>
  <si>
    <t>calcium ion binding {GO:0005509}; glycerol-3-phosphate dehydrogenase [NAD+] activity {GO:0004367}; sn-glycerol-3-phosphate:ubiquinone-8 oxidoreductase activity {GO:0052591}</t>
  </si>
  <si>
    <t>Polyol metabolism; glycerol degradation via glycerol kinase pathway; glycerone phosphate from sn-glycerol 3-phosphate (anaerobic route): step 1/1.</t>
  </si>
  <si>
    <t>Synthesis of PA {R-MMU-1483166}; Triglyceride catabolism {R-MMU-163560}</t>
  </si>
  <si>
    <t>sp|Q9DBB8|DHDH_MOUSE</t>
  </si>
  <si>
    <t>Trans-1,2-dihydrobenzene-1,2-diol dehydrogenase</t>
  </si>
  <si>
    <t>D-xylose 1-dehydrogenase; D-xylose-NADP dehydrogenase; Dimeric dihydrodiol dehydrogenase</t>
  </si>
  <si>
    <t>DHDH_MOUSE</t>
  </si>
  <si>
    <t>Q9DBB8</t>
  </si>
  <si>
    <t>Q14B09</t>
  </si>
  <si>
    <t>MGI:1919005</t>
  </si>
  <si>
    <t>NADP; Oxidoreductase</t>
  </si>
  <si>
    <t>D-xylose catabolic process {GO:0042843}</t>
  </si>
  <si>
    <t>D-xylose 1-dehydrogenase (NADP+) activity {GO:0047837}; nucleotide binding {GO:0000166}; trans-1,2-dihydrobenzene-1,2-diol dehydrogenase activity {GO:0047115}</t>
  </si>
  <si>
    <t>sp|P53702|CCHL_MOUSE</t>
  </si>
  <si>
    <t>Holocytochrome c-type synthase</t>
  </si>
  <si>
    <t>Cytochrome c-type heme lyase (CCHL)</t>
  </si>
  <si>
    <t>CCHL_MOUSE</t>
  </si>
  <si>
    <t>P53702</t>
  </si>
  <si>
    <t>Q6P5G5</t>
  </si>
  <si>
    <t>Cchl</t>
  </si>
  <si>
    <t>MGI:106911</t>
  </si>
  <si>
    <t>Heme; Iron; Lipoprotein; Lyase; Membrane; Metal-binding; Mitochondrion; Mitochondrion inner membrane; Myristate; Repeat</t>
  </si>
  <si>
    <t>cytochrome c-heme linkage {GO:0018063}</t>
  </si>
  <si>
    <t>cytosol {GO:0005829}; membrane {GO:0016020}; mitochondrial inner membrane {GO:0005743}; mitochondrion {GO:0005739}</t>
  </si>
  <si>
    <t>heme binding {GO:0020037}; holocytochrome-c synthase activity {GO:0004408}; metal ion binding {GO:0046872}</t>
  </si>
  <si>
    <t>sp|P61922|GABT_MOUSE</t>
  </si>
  <si>
    <t>4-aminobutyrate aminotransferase, mitochondrial</t>
  </si>
  <si>
    <t>(S)-3-amino-2-methylpropionate transaminase; GABA aminotransferase (GABA-AT); Gamma-amino-N-butyrate transaminase (GABA transaminase; GABA-T); L-AIBAT</t>
  </si>
  <si>
    <t>GABT_MOUSE</t>
  </si>
  <si>
    <t>P61922</t>
  </si>
  <si>
    <t>Q8BZA3</t>
  </si>
  <si>
    <t>Gabat</t>
  </si>
  <si>
    <t>MGI:2443582</t>
  </si>
  <si>
    <t>Acetylation; Alternative splicing; Aminotransferase; Disulfide bond; Iron; Iron-sulfur; Metal-binding; Mitochondrion; Neurotransmitter degradation; Pyridoxal phosphate; Transferase; Transit peptide</t>
  </si>
  <si>
    <t>Neurotransmitter degradation</t>
  </si>
  <si>
    <t>Iron; Iron-sulfur; Metal-binding; Pyridoxal phosphate</t>
  </si>
  <si>
    <t>aging {GO:0007568}; behavioral response to cocaine {GO:0048148}; cerebellum development {GO:0021549}; copulation {GO:0007620}; exploration behavior {GO:0035640}; gamma-aminobutyric acid biosynthetic process {GO:0009449}; gamma-aminobutyric acid catabolic process {GO:0009450}; gamma-aminobutyric acid metabolic process {GO:0009448}; locomotory behavior {GO:0007626}; negative regulation of blood pressure {GO:0045776}; negative regulation of dopamine secretion {GO:0033602}; negative regulation of gamma-aminobutyric acid secretion {GO:0014053}; negative regulation of platelet aggregation {GO:0090331}; neurotransmitter catabolic process {GO:0042135}; positive regulation of aspartate secretion {GO:1904450}; positive regulation of dopamine metabolic process {GO:0045964}; positive regulation of heat generation {GO:0031652}; positive regulation of inhibitory postsynaptic potential {GO:0097151}; positive regulation of insulin secretion {GO:0032024}; positive regulation of prolactin secretion {GO:1902722}; positive regulation of uterine smooth muscle contraction {GO:0070474}; response to cocaine {GO:0042220}; response to ethanol {GO:0045471}; response to hypoxia {GO:0001666}; response to iron ion {GO:0010039}; response to nicotine {GO:0035094}; response to xenobiotic stimulus {GO:0009410}</t>
  </si>
  <si>
    <t>4-aminobutyrate transaminase complex {GO:0032144}; mitochondrial matrix {GO:0005759}; mitochondrion {GO:0005739}; neuron projection {GO:0043005}</t>
  </si>
  <si>
    <t>(S)-3-amino-2-methylpropionate transaminase activity {GO:0047298}; 4-aminobutyrate transaminase activity {GO:0003867}; 4-aminobutyrate:2-oxoglutarate transaminase activity {GO:0034386}; identical protein binding {GO:0042802}; iron-sulfur cluster binding {GO:0051536}; metal ion binding {GO:0046872}; pyridoxal phosphate binding {GO:0030170}; succinate-semialdehyde dehydrogenase binding {GO:0032145}</t>
  </si>
  <si>
    <t>Degradation of GABA {R-MMU-916853}</t>
  </si>
  <si>
    <t>sp|Q9D8S3|ARFG3_MOUSE</t>
  </si>
  <si>
    <t>ADP-ribosylation factor GTPase-activating protein 3 (ARF GAP 3)</t>
  </si>
  <si>
    <t>ARFG3_MOUSE</t>
  </si>
  <si>
    <t>Q9D8S3</t>
  </si>
  <si>
    <t>Q544V6; Q8BW06; Q99KN8</t>
  </si>
  <si>
    <t>MGI:1913501</t>
  </si>
  <si>
    <t>Cytoplasm; ER-Golgi transport; Golgi apparatus; GTPase activation; Membrane; Metal-binding; Phosphoprotein; Protein transport; Transport; Zinc; Zinc-finger</t>
  </si>
  <si>
    <t>COPI coating of Golgi vesicle {GO:0048205}; protein secretion {GO:0009306}</t>
  </si>
  <si>
    <t>cytosol {GO:0005829}; Golgi apparatus {GO:0005794}; Golgi membrane {GO:0000139}</t>
  </si>
  <si>
    <t>COPI-mediated anterograde transport {R-MMU-6807878}; COPI-dependent Golgi-to-ER retrograde traffic {R-MMU-6811434}; RHOG GTPase cycle {R-MMU-9013408}</t>
  </si>
  <si>
    <t>sp|Q9D1L9|LTOR5_MOUSE</t>
  </si>
  <si>
    <t>Ragulator complex protein LAMTOR5</t>
  </si>
  <si>
    <t>Late endosomal/lysosomal adaptor and MAPK and MTOR activator 5</t>
  </si>
  <si>
    <t>LTOR5_MOUSE</t>
  </si>
  <si>
    <t>Q9D1L9</t>
  </si>
  <si>
    <t>Q3UJV9</t>
  </si>
  <si>
    <t>Hbxip; Xip</t>
  </si>
  <si>
    <t>MGI:1915826</t>
  </si>
  <si>
    <t>Acetylation; Cytoplasm; Lysosome</t>
  </si>
  <si>
    <t>cellular response to amino acid stimulus {GO:0071230}; negative regulation of cysteine-type endopeptidase activity involved in apoptotic process {GO:0043154}; positive regulation of gene expression {GO:0010628}; positive regulation of I-kappaB kinase/NF-kappaB signaling {GO:0043123}; positive regulation of interleukin-8 production {GO:0032757}; positive regulation of NF-kappaB transcription factor activity {GO:0051092}; positive regulation of protein localization to nucleus {GO:1900182}; positive regulation of RNA polymerase II regulatory region sequence-specific DNA binding {GO:1905636}; positive regulation of TOR signaling {GO:0032008}; positive regulation of TORC1 signaling {GO:1904263}; protein localization to lysosome {GO:0061462}; regulation of cell size {GO:0008361}; TORC1 signaling {GO:0038202}</t>
  </si>
  <si>
    <t>cytosol {GO:0005829}; late endosome membrane {GO:0031902}; lysosomal membrane {GO:0005765}; lysosome {GO:0005764}; protein-containing complex {GO:0032991}; Ragulator complex {GO:0071986}</t>
  </si>
  <si>
    <t>guanyl-nucleotide exchange factor activity {GO:0005085}; molecular adaptor activity {GO:0060090}</t>
  </si>
  <si>
    <t>sp|C0HK79|ARXS1_MOUSE</t>
  </si>
  <si>
    <t>Adipocyte-related X-chromosome expressed sequence 1</t>
  </si>
  <si>
    <t>ARXS1_MOUSE</t>
  </si>
  <si>
    <t>C0HK79</t>
  </si>
  <si>
    <t>B1AUR7; Q8BK31; Q9D365; Q9D6F2</t>
  </si>
  <si>
    <t>MGI:1923469</t>
  </si>
  <si>
    <t>Endoplasmic reticulum; Glycoprotein; Membrane; Signal-anchor; Transmembrane; Transmembrane helix</t>
  </si>
  <si>
    <t>fat cell differentiation {GO:0045444}; protein targeting to ER {GO:0045047}; signal peptide processing {GO:0006465}</t>
  </si>
  <si>
    <t>endoplasmic reticulum {GO:0005783}; integral component of membrane {GO:0016021}; signal peptidase complex {GO:0005787}</t>
  </si>
  <si>
    <t>sp|Q9JL62|GLTP_MOUSE</t>
  </si>
  <si>
    <t>Glycolipid transfer protein (GLTP)</t>
  </si>
  <si>
    <t>GLTP_MOUSE</t>
  </si>
  <si>
    <t>Q9JL62</t>
  </si>
  <si>
    <t>Q91YJ7; Q9CTK9</t>
  </si>
  <si>
    <t>MGI:1929253</t>
  </si>
  <si>
    <t>Acetylation; Cytoplasm; Lipid transport; Repeat; Transport</t>
  </si>
  <si>
    <t>ceramide transport {GO:0035627}; intermembrane lipid transfer {GO:0120009}</t>
  </si>
  <si>
    <t>ceramide 1-phosphate binding {GO:1902387}; ceramide 1-phosphate transfer activity {GO:1902388}; glycolipid binding {GO:0051861}; identical protein binding {GO:0042802}; lipid binding {GO:0008289}; lipid transfer activity {GO:0120013}</t>
  </si>
  <si>
    <t>sp|Q8BHL8|PSMF1_MOUSE</t>
  </si>
  <si>
    <t>Proteasome inhibitor PI31 subunit</t>
  </si>
  <si>
    <t>PSMF1_MOUSE</t>
  </si>
  <si>
    <t>Q8BHL8</t>
  </si>
  <si>
    <t>Q8C0G9</t>
  </si>
  <si>
    <t>MGI:1346072</t>
  </si>
  <si>
    <t>Acetylation; Cytoplasm; Endoplasmic reticulum; Methylation; Phosphoprotein; Proteasome</t>
  </si>
  <si>
    <t>Cytoplasm; Endoplasmic reticulum; Proteasome</t>
  </si>
  <si>
    <t>negative regulation of proteasomal protein catabolic process {GO:1901799}; proteasome-mediated ubiquitin-dependent protein catabolic process {GO:0043161}; ubiquitin-dependent protein catabolic process {GO:0006511}</t>
  </si>
  <si>
    <t>cytosol {GO:0005829}; endoplasmic reticulum {GO:0005783}; perinuclear region of cytoplasm {GO:0048471}; proteasome complex {GO:0000502}</t>
  </si>
  <si>
    <t>endopeptidase inhibitor activity {GO:0004866}; proteasome binding {GO:0070628}; protein heterodimerization activity {GO:0046982}; protein homodimerization activity {GO:0042803}</t>
  </si>
  <si>
    <t>sp|Q8VCF0|MAVS_MOUSE</t>
  </si>
  <si>
    <t>Mitochondrial antiviral-signaling protein (MAVS)</t>
  </si>
  <si>
    <t>CARD adapter inducing interferon beta (Cardif); Interferon beta promoter stimulator protein 1 (IPS-1); Virus-induced-signaling adapter (VISA)</t>
  </si>
  <si>
    <t>MAVS_MOUSE</t>
  </si>
  <si>
    <t>Q8VCF0</t>
  </si>
  <si>
    <t>MGI:2444773</t>
  </si>
  <si>
    <t>3D-structure; Antiviral defense; Immunity; Innate immunity; Membrane; Methylation; Mitochondrion; Mitochondrion outer membrane; Peroxisome; Phosphoprotein; Transmembrane; Transmembrane helix; Ubl conjugation</t>
  </si>
  <si>
    <t>activation of innate immune response {GO:0002218}; cellular response to exogenous dsRNA {GO:0071360}; defense response to bacterium {GO:0042742}; defense response to virus {GO:0051607}; innate immune response {GO:0045087}; negative regulation of viral genome replication {GO:0045071}; positive regulation of chemokine (C-C motif) ligand 5 production {GO:0071651}; positive regulation of defense response to virus by host {GO:0002230}; positive regulation of DNA-binding transcription factor activity {GO:0051091}; positive regulation of interferon-alpha production {GO:0032727}; positive regulation of interferon-beta production {GO:0032728}; positive regulation of interleukin-6 production {GO:0032755}; positive regulation of interleukin-8 production {GO:0032757}; positive regulation of IP-10 production {GO:0071660}; positive regulation of myeloid dendritic cell cytokine production {GO:0002735}; positive regulation of protein import into nucleus {GO:0042307}; positive regulation of protein phosphorylation {GO:0001934}; positive regulation of response to cytokine stimulus {GO:0060760}; positive regulation of transcription by RNA polymerase II {GO:0045944}; positive regulation of tumor necrosis factor production {GO:0032760}; positive regulation of type I interferon production {GO:0032481}; positive regulation of type I interferon-mediated signaling pathway {GO:0060340}; regulation of peroxisome organization {GO:1900063}; RIG-I signaling pathway {GO:0039529}; signal transduction {GO:0007165}</t>
  </si>
  <si>
    <t>integral component of membrane {GO:0016021}; mitochondrial membrane {GO:0031966}; mitochondrial outer membrane {GO:0005741}; mitochondrion {GO:0005739}; peroxisomal membrane {GO:0005778}; peroxisome {GO:0005777}</t>
  </si>
  <si>
    <t>CARD domain binding {GO:0050700}; protein kinase binding {GO:0019901}; signaling adaptor activity {GO:0035591}</t>
  </si>
  <si>
    <t>DDX58/IFIH1-mediated induction of interferon-alpha/beta {R-MMU-168928}; Negative regulators of DDX58/IFIH1 signaling {R-MMU-936440}</t>
  </si>
  <si>
    <t>sp|Q9QXE7|TBL1X_MOUSE</t>
  </si>
  <si>
    <t>F-box-like/WD repeat-containing protein TBL1X</t>
  </si>
  <si>
    <t>Transducin beta-like protein 1X</t>
  </si>
  <si>
    <t>TBL1X_MOUSE</t>
  </si>
  <si>
    <t>Q9QXE7</t>
  </si>
  <si>
    <t>Q8BMM0; Q8BYQ4; Q8C0A1</t>
  </si>
  <si>
    <t>Tbl1</t>
  </si>
  <si>
    <t>MGI:1336172</t>
  </si>
  <si>
    <t>Acetylation; Activator; Isopeptide bond; Nucleus; Repeat; Transcription; Transcription regulation; Ubl conjugation; Ubl conjugation pathway; WD repeat</t>
  </si>
  <si>
    <t>fat cell differentiation {GO:0045444}; histone deacetylation {GO:0016575}; negative regulation of DNA-templated transcription {GO:0045892}; positive regulation of transcription by RNA polymerase II {GO:0045944}; proteasome-mediated ubiquitin-dependent protein catabolic process {GO:0043161}; protein stabilization {GO:0050821}; regulation of transcription by RNA polymerase II {GO:0006357}; response to estrogen {GO:0043627}; response to steroid hormone {GO:0048545}</t>
  </si>
  <si>
    <t>histone deacetylase complex {GO:0000118}; mitotic spindle {GO:0072686}; nucleoplasm {GO:0005654}; nucleus {GO:0005634}; transcription regulator complex {GO:0005667}; transcription repressor complex {GO:0017053}</t>
  </si>
  <si>
    <t>beta-catenin binding {GO:0008013}; chromatin binding {GO:0003682}; DNA binding {GO:0003677}; DNA-binding transcription factor binding {GO:0140297}; histone binding {GO:0042393}; identical protein binding {GO:0042802}; protein C-terminus binding {GO:0008022}; protein domain specific binding {GO:0019904}; transcription cis-regulatory region binding {GO:0000976}; transcription corepressor activity {GO:0003714}</t>
  </si>
  <si>
    <t>Notch-HLH transcription pathway {R-MMU-350054}; Regulation of lipid metabolism by PPARalpha {R-MMU-400206}; NR1H3 &amp; NR1H2 regulate gene expression linked to cholesterol transport and efflux {R-MMU-9029569}; Cytoprotection by HMOX1 {R-MMU-9707564}</t>
  </si>
  <si>
    <t>sp|Q8C341|SUCO_MOUSE</t>
  </si>
  <si>
    <t>SUN domain-containing ossification factor</t>
  </si>
  <si>
    <t>Membrane protein CH1; Protein osteopotentia; SUN-like protein 1</t>
  </si>
  <si>
    <t>SUCO_MOUSE</t>
  </si>
  <si>
    <t>Q8C341</t>
  </si>
  <si>
    <t>Q3TAG8; Q3V3T1; Q8CE34</t>
  </si>
  <si>
    <t>Opt</t>
  </si>
  <si>
    <t>MGI:2138346</t>
  </si>
  <si>
    <t>Alternative splicing; Coiled coil; Developmental protein; Endoplasmic reticulum; Glycoprotein; Membrane; Osteogenesis; Phosphoprotein; Signal; Transmembrane; Transmembrane helix</t>
  </si>
  <si>
    <t>Osteogenesis</t>
  </si>
  <si>
    <t>ossification {GO:0001503}; positive regulation of collagen biosynthetic process {GO:0032967}; positive regulation of osteoblast differentiation {GO:0045669}; regulation of bone remodeling {GO:0046850}</t>
  </si>
  <si>
    <t>cytoplasm {GO:0005737}; integral component of membrane {GO:0016021}; membrane {GO:0016020}; rough endoplasmic reticulum {GO:0005791}; rough endoplasmic reticulum membrane {GO:0030867}</t>
  </si>
  <si>
    <t>sp|Q148V7|RELCH_MOUSE</t>
  </si>
  <si>
    <t>RAB11-binding protein RELCH</t>
  </si>
  <si>
    <t>LisH domain and HEAT repeat-containing protein KIAA1468; RAB11-binding protein containing LisH, coiled-coil, and HEAT repeats</t>
  </si>
  <si>
    <t>RELCH_MOUSE</t>
  </si>
  <si>
    <t>Q148V7</t>
  </si>
  <si>
    <t>Q148V6; Q6PAN5; Q6ZPQ2; Q8C9Z0; Q8CCT3; Q8CD48</t>
  </si>
  <si>
    <t>Kiaa1468</t>
  </si>
  <si>
    <t>MGI:1922832</t>
  </si>
  <si>
    <t>Acetylation; Alternative splicing; Coiled coil; Endosome; Golgi apparatus; Lipid transport; Phosphoprotein; Repeat; Transport</t>
  </si>
  <si>
    <t>Endosome; Golgi apparatus</t>
  </si>
  <si>
    <t>intracellular cholesterol transport {GO:0032367}</t>
  </si>
  <si>
    <t>recycling endosome {GO:0055037}; trans-Golgi network {GO:0005802}</t>
  </si>
  <si>
    <t>sp|Q8CDG3|VCIP1_MOUSE</t>
  </si>
  <si>
    <t>Deubiquitinating protein VCPIP1</t>
  </si>
  <si>
    <t>Valosin-containing protein p97/p47 complex-interacting protein 1; Valosin-containing protein p97/p47 complex-interacting protein p135 (VCP/p47 complex-interacting 135-kDa protein)</t>
  </si>
  <si>
    <t>VCIP1_MOUSE</t>
  </si>
  <si>
    <t>Q8CDG3</t>
  </si>
  <si>
    <t>Q7TMU9; Q8BP90</t>
  </si>
  <si>
    <t>MGI:1917925</t>
  </si>
  <si>
    <t>Acetylation; Alternative splicing; Cytoplasm; DNA damage; DNA repair; Endoplasmic reticulum; Golgi apparatus; Hydrolase; Nucleus; Phosphoprotein; Protease; Thiol protease; Ubl conjugation pathway</t>
  </si>
  <si>
    <t>Cytoplasm; Endoplasmic reticulum; Golgi apparatus; Nucleus</t>
  </si>
  <si>
    <t>cellular response to DNA damage stimulus {GO:0006974}; endoplasmic reticulum membrane fusion {GO:0016320}; Golgi organization {GO:0007030}; Golgi reassembly {GO:0090168}; mitotic cell cycle {GO:0000278}; protein deubiquitination {GO:0016579}; protein K11-linked deubiquitination {GO:0035871}; protein K48-linked deubiquitination {GO:0071108}; protein ubiquitination {GO:0016567}; protein-DNA covalent cross-linking repair {GO:0106300}; regulation of protein localization to chromatin {GO:1905634}</t>
  </si>
  <si>
    <t>cytoplasm {GO:0005737}; endoplasmic reticulum {GO:0005783}; Golgi stack {GO:0005795}; nucleus {GO:0005634}; synapse {GO:0045202}</t>
  </si>
  <si>
    <t>cysteine-type deubiquitinase activity {GO:0004843}</t>
  </si>
  <si>
    <t>Ovarian tumor domain proteases {R-MMU-5689896}</t>
  </si>
  <si>
    <t>sp|Q03146|DDR1_MOUSE</t>
  </si>
  <si>
    <t>Epithelial discoidin domain-containing receptor 1 (Epithelial discoidin domain receptor 1)</t>
  </si>
  <si>
    <t>CD167 antigen-like family member A; Cell adhesion kinase; Discoidin receptor tyrosine kinase; Protein-tyrosine kinase MPK-6; Tyrosine kinase DDR; Tyrosine-protein kinase CAK; CD_antigen=CD167a</t>
  </si>
  <si>
    <t>DDR1_MOUSE</t>
  </si>
  <si>
    <t>Q03146</t>
  </si>
  <si>
    <t>Cak; Eddr1; Mpk6</t>
  </si>
  <si>
    <t>MGI:99216</t>
  </si>
  <si>
    <t>Alternative splicing; ATP-binding; Calcium; Cell membrane; Disulfide bond; Glycoprotein; Kinase; Lactation; Membrane; Metal-binding; Nucleotide-binding; Phosphoprotein; Pregnancy; Receptor; Signal; Transferase; Transmembrane; Transmembrane helix; Tyrosine-protein kinase</t>
  </si>
  <si>
    <t>Lactation; Pregnancy</t>
  </si>
  <si>
    <t>axon development {GO:0061564}; branching involved in mammary gland duct morphogenesis {GO:0060444}; cell population proliferation {GO:0008283}; collagen-activated tyrosine kinase receptor signaling pathway {GO:0038063}; ear development {GO:0043583}; embryo implantation {GO:0007566}; lactation {GO:0007595}; mammary gland alveolus development {GO:0060749}; negative regulation of cell population proliferation {GO:0008285}; neuron projection extension {GO:1990138}; peptidyl-tyrosine autophosphorylation {GO:0038083}; peptidyl-tyrosine phosphorylation {GO:0018108}; positive regulation of kinase activity {GO:0033674}; protein autophosphorylation {GO:0046777}; regulation of cell growth {GO:0001558}; regulation of cell-matrix adhesion {GO:0001952}; regulation of extracellular matrix disassembly {GO:0010715}; smooth muscle cell migration {GO:0014909}; smooth muscle cell-matrix adhesion {GO:0061302}; transmembrane receptor protein tyrosine kinase signaling pathway {GO:0007169}; wound healing, spreading of cells {GO:0044319}</t>
  </si>
  <si>
    <t>basolateral plasma membrane {GO:0016323}; brush border {GO:0005903}; cytoplasm {GO:0005737}; integral component of plasma membrane {GO:0005887}; plasma membrane {GO:0005886}; receptor complex {GO:0043235}</t>
  </si>
  <si>
    <t>ATP binding {GO:0005524}; collagen binding {GO:0005518}; metal ion binding {GO:0046872}; protein tyrosine kinase collagen receptor activity {GO:0038062}; transmembrane receptor protein tyrosine kinase activity {GO:0004714}</t>
  </si>
  <si>
    <t>Non-integrin membrane-ECM interactions {R-MMU-3000171}</t>
  </si>
  <si>
    <t>sp|Q8BTY1|KAT1_MOUSE</t>
  </si>
  <si>
    <t>Kynurenine--oxoglutarate transaminase 1</t>
  </si>
  <si>
    <t>Cysteine-S-conjugate beta-lyase; Glutamine transaminase K (GTK); Glutamine--phenylpyruvate transaminase; Kynurenine aminotransferase 1; Kynurenine aminotransferase I (KATI); Kynurenine--oxoglutarate transaminase I</t>
  </si>
  <si>
    <t>KAT1_MOUSE</t>
  </si>
  <si>
    <t>Q8BTY1</t>
  </si>
  <si>
    <t>Q8BY27</t>
  </si>
  <si>
    <t>Ccbl1; Kat</t>
  </si>
  <si>
    <t>MGI:1917516</t>
  </si>
  <si>
    <t>Aminotransferase; Cytoplasm; Lyase; Pyridoxal phosphate; Transferase</t>
  </si>
  <si>
    <t>Aminotransferase; Lyase; Transferase</t>
  </si>
  <si>
    <t>biosynthetic process {GO:0009058}; cellular modified amino acid metabolic process {GO:0006575}; kynurenine metabolic process {GO:0070189}; L-kynurenine catabolic process {GO:0097053}; L-kynurenine metabolic process {GO:0097052}; pyruvate metabolic process {GO:0006090}; response to bacterium {GO:0009617}</t>
  </si>
  <si>
    <t>cysteine-S-conjugate beta-lyase activity {GO:0047804}; glutamine-phenylpyruvate transaminase activity {GO:0047316}; kynurenine-oxoglutarate transaminase activity {GO:0016212}; protein homodimerization activity {GO:0042803}; pyridoxal phosphate binding {GO:0030170}</t>
  </si>
  <si>
    <t>Amino-acid degradation; L-kynurenine degradation; kynurenate from L-kynurenine: step 1/2.</t>
  </si>
  <si>
    <t>Tryptophan catabolism {R-MMU-71240}; Phenylalanine metabolism {R-MMU-8964208}; Glutamate and glutamine metabolism {R-MMU-8964539}</t>
  </si>
  <si>
    <t>sp|Q9D6M3|GHC1_MOUSE</t>
  </si>
  <si>
    <t>Mitochondrial glutamate carrier 1 (GC-1)</t>
  </si>
  <si>
    <t>Glutamate/H(+) symporter 1; Solute carrier family 25 member 22</t>
  </si>
  <si>
    <t>GHC1_MOUSE</t>
  </si>
  <si>
    <t>Q9D6M3</t>
  </si>
  <si>
    <t>Q3TRY1</t>
  </si>
  <si>
    <t>Gc1</t>
  </si>
  <si>
    <t>MGI:1915517</t>
  </si>
  <si>
    <t>Membrane; Mitochondrion; Mitochondrion inner membrane; Repeat; Symport; Transmembrane; Transmembrane helix; Transport</t>
  </si>
  <si>
    <t>aspartate transmembrane transport {GO:0015810}; L-glutamate transmembrane transport {GO:0015813}; malate-aspartate shuttle {GO:0043490}; regulation of insulin secretion {GO:0050796}</t>
  </si>
  <si>
    <t>amino acid:proton symporter activity {GO:0005280}; L-aspartate transmembrane transporter activity {GO:0015183}; L-glutamate transmembrane transporter activity {GO:0005313}; transmembrane transporter activity {GO:0022857}</t>
  </si>
  <si>
    <t>Organic anion transporters {R-MMU-428643}</t>
  </si>
  <si>
    <t>sp|Q60876|4EBP1_MOUSE</t>
  </si>
  <si>
    <t>sp|Q8K2D3|EDC3_MOUSE</t>
  </si>
  <si>
    <t>Enhancer of mRNA-decapping protein 3</t>
  </si>
  <si>
    <t>YjeF domain-containing protein 1</t>
  </si>
  <si>
    <t>EDC3_MOUSE</t>
  </si>
  <si>
    <t>Q8K2D3</t>
  </si>
  <si>
    <t>Q3THV7</t>
  </si>
  <si>
    <t>Yjdc</t>
  </si>
  <si>
    <t>MGI:2142951</t>
  </si>
  <si>
    <t>Cytoplasm; Phosphoprotein; RNA-binding</t>
  </si>
  <si>
    <t>deadenylation-independent decapping of nuclear-transcribed mRNA {GO:0031087}; P-body assembly {GO:0033962}</t>
  </si>
  <si>
    <t>cytoplasmic ribonucleoprotein granule {GO:0036464}; P-body {GO:0000932}</t>
  </si>
  <si>
    <t>identical protein binding {GO:0042802}; mRNA binding {GO:0003729}</t>
  </si>
  <si>
    <t>sp|Q61771|KIF3B_MOUSE</t>
  </si>
  <si>
    <t>Kinesin-like protein KIF3B, N-terminally processed</t>
  </si>
  <si>
    <t>Microtubule plus end-directed kinesin motor 3B</t>
  </si>
  <si>
    <t>KIF3B_MOUSE</t>
  </si>
  <si>
    <t>Q61771</t>
  </si>
  <si>
    <t>Q3UFZ8; Q8BNH4</t>
  </si>
  <si>
    <t>MGI:107688</t>
  </si>
  <si>
    <t>Acetylation; ATP-binding; Cell projection; Coiled coil; Cytoplasm; Cytoskeleton; Microtubule; Motor protein; Nucleotide-binding; Synapse</t>
  </si>
  <si>
    <t>anterograde dendritic transport of neurotransmitter receptor complex {GO:0098971}; cilium assembly {GO:0060271}; intraciliary transport {GO:0042073}; microtubule-based movement {GO:0007018}; mitotic spindle assembly {GO:0090307}; opsin transport {GO:0036372}; positive regulation of cytokinesis {GO:0032467}; vesicle-mediated transport {GO:0016192}</t>
  </si>
  <si>
    <t>anchoring junction {GO:0070161}; axon {GO:0030424}; centrosome {GO:0005813}; cilium {GO:0005929}; cytosol {GO:0005829}; dendrite {GO:0030425}; dendrite cytoplasm {GO:0032839}; dendritic spine {GO:0043197}; kinesin complex {GO:0005871}; kinesin II complex {GO:0016939}; microtubule {GO:0005874}; microtubule cytoskeleton {GO:0015630}; midbody {GO:0030496}; spindle {GO:0005819}</t>
  </si>
  <si>
    <t>ATP binding {GO:0005524}; ATP hydrolysis activity {GO:0016887}; intraciliary transport particle B binding {GO:0120170}; microtubule binding {GO:0008017}; microtubule motor activity {GO:0003777}; small GTPase binding {GO:0031267}</t>
  </si>
  <si>
    <t>MHC class II antigen presentation {R-MMU-2132295}; Intraflagellar transport {R-MMU-5620924}; COPI-dependent Golgi-to-ER retrograde traffic {R-MMU-6811434}; Kinesins {R-MMU-983189}</t>
  </si>
  <si>
    <t>sp|Q9QXN3|TRIP4_MOUSE</t>
  </si>
  <si>
    <t>Activating signal cointegrator 1 (ASC-1)</t>
  </si>
  <si>
    <t>Thyroid receptor-interacting protein 4 (TR-interacting protein 4; TRIP-4)</t>
  </si>
  <si>
    <t>TRIP4_MOUSE</t>
  </si>
  <si>
    <t>Q9QXN3</t>
  </si>
  <si>
    <t>E9QK64; Q8CAD5</t>
  </si>
  <si>
    <t>MGI:1928469</t>
  </si>
  <si>
    <t>Acetylation; Alternative splicing; Cytoplasm; Cytoskeleton; Isopeptide bond; Metal-binding; Nucleus; Phosphoprotein; Transcription; Transcription regulation; Ubl conjugation; Zinc; Zinc-finger</t>
  </si>
  <si>
    <t>intracellular estrogen receptor signaling pathway {GO:0030520}; positive regulation of DNA-templated transcription {GO:0045893}; regulation of DNA-templated transcription {GO:0006355}; regulation of myoblast differentiation {GO:0045661}; rescue of stalled ribosome {GO:0072344}; ribosome-associated ubiquitin-dependent protein catabolic process {GO:1990116}; toxin transport {GO:1901998}</t>
  </si>
  <si>
    <t>activating signal cointegrator 1 complex {GO:0099053}; centrosome {GO:0005813}; cytoplasm {GO:0005737}; cytosol {GO:0005829}; neuromuscular junction {GO:0031594}; nuclear body {GO:0016604}; nucleoplasm {GO:0005654}; nucleus {GO:0005634}; protein-containing complex {GO:0032991}</t>
  </si>
  <si>
    <t>histone acetyltransferase binding {GO:0035035}; nuclear estrogen receptor binding {GO:0030331}; nuclear receptor binding {GO:0016922}; protease binding {GO:0002020}; protein kinase binding {GO:0019901}; transcription coactivator activity {GO:0003713}; ubiquitin-like protein ligase binding {GO:0044389}; zinc ion binding {GO:0008270}</t>
  </si>
  <si>
    <t>sp|Q0VGB7|PP4R2_MOUSE</t>
  </si>
  <si>
    <t>Serine/threonine-protein phosphatase 4 regulatory subunit 2</t>
  </si>
  <si>
    <t>PP4R2_MOUSE</t>
  </si>
  <si>
    <t>Q0VGB7</t>
  </si>
  <si>
    <t>Q4G0D4; Q6P6N7; Q6PHU6; Q8BUU5</t>
  </si>
  <si>
    <t>MGI:3027896</t>
  </si>
  <si>
    <t>Cytoplasm; Cytoskeleton; mRNA processing; mRNA splicing; Nucleus; Phosphoprotein</t>
  </si>
  <si>
    <t>hematopoietic progenitor cell differentiation {GO:0002244}; mRNA processing {GO:0006397}; protein dephosphorylation {GO:0006470}; regulation of double-strand break repair {GO:2000779}; regulation of double-strand break repair via homologous recombination {GO:0010569}; RNA splicing {GO:0008380}</t>
  </si>
  <si>
    <t>chromatin {GO:0000785}; cytoplasm {GO:0005737}; microtubule organizing center {GO:0005815}; nucleoplasm {GO:0005654}; nucleus {GO:0005634}; protein phosphatase 4 complex {GO:0030289}</t>
  </si>
  <si>
    <t>protein phosphatase regulator activity {GO:0019888}; protein-macromolecule adaptor activity {GO:0030674}</t>
  </si>
  <si>
    <t>Processing of DNA double-strand break ends {R-MMU-5693607}</t>
  </si>
  <si>
    <t>sp|Q7TPD0|INT3_MOUSE</t>
  </si>
  <si>
    <t>Integrator complex subunit 3 (Int3)</t>
  </si>
  <si>
    <t>SOSS complex subunit A; Sensor of single-strand DNA complex subunit A (SOSS-A; Sensor of ssDNA subunit A)</t>
  </si>
  <si>
    <t>INT3_MOUSE</t>
  </si>
  <si>
    <t>Q7TPD0</t>
  </si>
  <si>
    <t>A0A4X0; A0A4X3; Q99LK7</t>
  </si>
  <si>
    <t>MGI:2140050</t>
  </si>
  <si>
    <t>Acetylation; Alternative splicing; Cytoplasm; DNA damage; DNA repair; Nucleus; Phosphoprotein</t>
  </si>
  <si>
    <t>cellular response to DNA damage stimulus {GO:0006974}; DNA repair {GO:0006281}; double-strand break repair via homologous recombination {GO:0000724}; mitotic G2/M transition checkpoint {GO:0044818}; response to ionizing radiation {GO:0010212}; snRNA processing {GO:0016180}</t>
  </si>
  <si>
    <t>cytoplasm {GO:0005737}; integrator complex {GO:0032039}; nucleus {GO:0005634}; site of double-strand break {GO:0035861}; SOSS complex {GO:0070876}</t>
  </si>
  <si>
    <t>sp|P32883|RASK_MOUSE</t>
  </si>
  <si>
    <t>GTPase KRas, N-terminally processed</t>
  </si>
  <si>
    <t>K-Ras 2; Ki-Ras; c-K-ras; c-Ki-ras</t>
  </si>
  <si>
    <t>RASK_MOUSE</t>
  </si>
  <si>
    <t>P32883</t>
  </si>
  <si>
    <t>P04200; P08643</t>
  </si>
  <si>
    <t>Kras2</t>
  </si>
  <si>
    <t>MGI:96680</t>
  </si>
  <si>
    <t>Acetylation; Alternative splicing; Cell membrane; Cytoplasm; GTP-binding; Hydrolase; Isopeptide bond; Lipoprotein; Membrane; Methylation; Nucleotide-binding; Palmitate; Prenylation; Proto-oncogene; Ubl conjugation</t>
  </si>
  <si>
    <t>Acetylation; Isopeptide bond; Lipoprotein; Methylation; Palmitate; Prenylation; Ubl conjugation</t>
  </si>
  <si>
    <t>actin cytoskeleton organization {GO:0030036}; cell population proliferation {GO:0008283}; cytokine-mediated signaling pathway {GO:0019221}; endocrine signaling {GO:0038002}; epithelial tube branching involved in lung morphogenesis {GO:0060441}; forebrain astrocyte development {GO:0021897}; glial cell proliferation {GO:0014009}; homeostasis of number of cells within a tissue {GO:0048873}; negative regulation of epithelial cell differentiation {GO:0030857}; negative regulation of neuron apoptotic process {GO:0043524}; neuron apoptotic process {GO:0051402}; positive regulation of cell population proliferation {GO:0008284}; positive regulation of cellular senescence {GO:2000774}; positive regulation of gene expression {GO:0010628}; positive regulation of glial cell proliferation {GO:0060252}; positive regulation of MAP kinase activity {GO:0043406}; positive regulation of NF-kappaB transcription factor activity {GO:0051092}; positive regulation of nitric-oxide synthase activity {GO:0051000}; positive regulation of protein phosphorylation {GO:0001934}; positive regulation of Rac protein signal transduction {GO:0035022}; Rac protein signal transduction {GO:0016601}; Ras protein signal transduction {GO:0007265}; regulation of long-term neuronal synaptic plasticity {GO:0048169}; regulation of protein stability {GO:0031647}; regulation of synaptic transmission, GABAergic {GO:0032228}; skeletal muscle cell differentiation {GO:0035914}; striated muscle cell differentiation {GO:0051146}; type I pneumocyte differentiation {GO:0060509}; visual learning {GO:0008542}</t>
  </si>
  <si>
    <t>cytoplasm {GO:0005737}; endomembrane system {GO:0012505}; extrinsic component of cytoplasmic side of plasma membrane {GO:0031234}; membrane {GO:0016020}; membrane raft {GO:0045121}; mitochondrion {GO:0005739}; plasma membrane {GO:0005886}</t>
  </si>
  <si>
    <t>G protein activity {GO:0003925}; GDP binding {GO:0019003}; GMP binding {GO:0019002}; GTP binding {GO:0005525}; GTPase activity {GO:0003924}; identical protein binding {GO:0042802}; LRR domain binding {GO:0030275}; protein-containing complex binding {GO:0044877}</t>
  </si>
  <si>
    <t>Activation of RAS in B cells {R-MMU-1169092}; SHC1 events in ERBB4 signaling {R-MMU-1250347}; Signaling by SCF-KIT {R-MMU-1433557}; p38MAPK events {R-MMU-171007}; GRB2 events in EGFR signaling {R-MMU-179812}; SHC1 events in EGFR signaling {R-MMU-180336}; Downstream signal transduction {R-MMU-186763}; GRB2 events in ERBB2 signaling {R-MMU-1963640}; Tie2 Signaling {R-MMU-210993}; EGFR Transactivation by Gastrin {R-MMU-2179392}; DAP12 signaling {R-MMU-2424491}; FCERI mediated MAPK activation {R-MMU-2871796}; NCAM signaling for neurite out-growth {R-MMU-375165}; Ca2+ pathway {R-MMU-4086398}; VEGFR2 mediated cell proliferation {R-MMU-5218921}; CD209 (DC-SIGN) signaling {R-MMU-5621575}; SHC-mediated cascade:FGFR1 {R-MMU-5654688}; FRS-mediated FGFR1 signaling {R-MMU-5654693}; SHC-mediated cascade:FGFR2 {R-MMU-5654699}; FRS-mediated FGFR2 signaling {R-MMU-5654700}; SHC-mediated cascade:FGFR3 {R-MMU-5654704}; FRS-mediated FGFR3 signaling {R-MMU-5654706}; FRS-mediated FGFR4 signaling {R-MMU-5654712}; SHC-mediated cascade:FGFR4 {R-MMU-5654719}; Regulation of RAS by GAPs {R-MMU-5658442}; RAF activation {R-MMU-5673000}; RAF/MAP kinase cascade {R-MMU-5673001}; MAP2K and MAPK activation {R-MMU-5674135}; Negative regulation of MAPK pathway {R-MMU-5675221}; PTK6 Regulates RHO GTPases, RAS GTPase and MAP kinases {R-MMU-8849471}; MET activates RAS signaling {R-MMU-8851805}; FLT3 Signaling {R-MMU-9607240}; Estrogen-stimulated signaling through PRKCZ {R-MMU-9634635}; RAS processing {R-MMU-9648002}; Signaling by CSF3 (G-CSF) {R-MMU-9674555}</t>
  </si>
  <si>
    <t>sp|Q99LN9|DOHH_MOUSE</t>
  </si>
  <si>
    <t>Deoxyhypusine hydroxylase (DOHH)</t>
  </si>
  <si>
    <t>Deoxyhypusine dioxygenase; Deoxyhypusine monooxygenase</t>
  </si>
  <si>
    <t>DOHH_MOUSE</t>
  </si>
  <si>
    <t>Q99LN9</t>
  </si>
  <si>
    <t>Q8BNT3; Q8BTD5</t>
  </si>
  <si>
    <t>MGI:1915964</t>
  </si>
  <si>
    <t>Acetylation; Alternative splicing; Hypusine biosynthesis; Iron; Metal-binding; Monooxygenase; Oxidoreductase; Repeat</t>
  </si>
  <si>
    <t>Hypusine biosynthesis</t>
  </si>
  <si>
    <t>peptidyl-lysine modification to peptidyl-hypusine {GO:0008612}</t>
  </si>
  <si>
    <t>deoxyhypusine monooxygenase activity {GO:0019135}; iron ion binding {GO:0005506}; oxidoreductase activity {GO:0016491}</t>
  </si>
  <si>
    <t>Protein modification; eIF5A hypusination. {ECO:0000255|HAMAP- Rule:MF_03101,.</t>
  </si>
  <si>
    <t>sp|Q9CZ28|SNF8_MOUSE</t>
  </si>
  <si>
    <t>Vacuolar-sorting protein SNF8</t>
  </si>
  <si>
    <t>ESCRT-II complex subunit VPS22</t>
  </si>
  <si>
    <t>SNF8_MOUSE</t>
  </si>
  <si>
    <t>Q9CZ28</t>
  </si>
  <si>
    <t>A2A6M2</t>
  </si>
  <si>
    <t>D11Moh34</t>
  </si>
  <si>
    <t>MGI:1343161</t>
  </si>
  <si>
    <t>Coiled coil; Cytoplasm; Endosome; Membrane; Methylation; Nucleus; Protein transport; Transcription; Transcription regulation; Transport</t>
  </si>
  <si>
    <t>early endosome to late endosome transport {GO:0045022}; endocytic recycling {GO:0032456}; positive regulation of exosomal secretion {GO:1903543}; positive regulation of gene expression {GO:0010628}; positive regulation of protein catabolic process {GO:0045732}; protein transport to vacuole involved in ubiquitin-dependent protein catabolic process via the multivesicular body sorting pathway {GO:0043328}; regulation of protein catabolic process {GO:0042176}; regulation of protein complex stability {GO:0061635}; regulation of transcription by RNA polymerase II {GO:0006357}; regulation of viral budding via host ESCRT complex {GO:1903772}</t>
  </si>
  <si>
    <t>cytoplasm {GO:0005737}; cytosol {GO:0005829}; endosome membrane {GO:0010008}; ESCRT II complex {GO:0000814}; late endosome membrane {GO:0031902}; membrane {GO:0016020}; nucleoplasm {GO:0005654}; nucleus {GO:0005634}; perinuclear region of cytoplasm {GO:0048471}; plasma membrane {GO:0005886}; recycling endosome {GO:0055037}; transcription regulator complex {GO:0005667}</t>
  </si>
  <si>
    <t>channel regulator activity {GO:0016247}; lipid binding {GO:0008289}; protein C-terminus binding {GO:0008022}; protein homodimerization activity {GO:0042803}; protein N-terminus binding {GO:0047485}</t>
  </si>
  <si>
    <t>sp|Q91YR5|EFNMT_MOUSE</t>
  </si>
  <si>
    <t>eEF1A N-terminal methyltransferase</t>
  </si>
  <si>
    <t>Methyltransferase-like protein 13</t>
  </si>
  <si>
    <t>EFNMT_MOUSE</t>
  </si>
  <si>
    <t>Q91YR5</t>
  </si>
  <si>
    <t>Q3TF24; Q3TFY3; Q69ZX4; Q8BWN2; Q8BX81</t>
  </si>
  <si>
    <t>MGI:1918699</t>
  </si>
  <si>
    <t>Acetylation; Alternative splicing; Cytoplasm; Methyltransferase; Mitochondrion; Multifunctional enzyme; Nucleus; Phosphoprotein; Transferase</t>
  </si>
  <si>
    <t>Methyltransferase; Multifunctional enzyme; Transferase</t>
  </si>
  <si>
    <t>methylation {GO:0032259}; negative regulation of cell cycle G1/S phase transition {GO:1902807}; negative regulation of transcription by RNA polymerase II {GO:0000122}</t>
  </si>
  <si>
    <t>methyltransferase activity {GO:0008168}</t>
  </si>
  <si>
    <t>tr|F6TQW2|F6TQW2_MOUSE</t>
  </si>
  <si>
    <t>sp|P16110|LEG3_MOUSE</t>
  </si>
  <si>
    <t>Galectin-3 (Gal-3)</t>
  </si>
  <si>
    <t>35 kDa lectin; Carbohydrate-binding protein 35 (CBP 35); Galactose-specific lectin 3; IgE-binding protein; L-34 galactoside-binding lectin; Laminin-binding protein; Lectin L-29; Mac-2 antigen</t>
  </si>
  <si>
    <t>LEG3_MOUSE</t>
  </si>
  <si>
    <t>P16110</t>
  </si>
  <si>
    <t>MGI:96778</t>
  </si>
  <si>
    <t>3D-structure; Acetylation; Cytoplasm; Differentiation; Disulfide bond; IgE-binding protein; Immunity; Innate immunity; Lectin; mRNA processing; mRNA splicing; Nucleus; Phosphoprotein; Repeat; Secreted; Spliceosome</t>
  </si>
  <si>
    <t>Differentiation; Immunity; Innate immunity; mRNA processing; mRNA splicing</t>
  </si>
  <si>
    <t>IgE-binding protein</t>
  </si>
  <si>
    <t>antimicrobial humoral immune response mediated by antimicrobial peptide {GO:0061844}; cell differentiation {GO:0030154}; eosinophil chemotaxis {GO:0048245}; extracellular matrix organization {GO:0030198}; innate immune response {GO:0045087}; killing of cells of another organism {GO:0031640}; macrophage chemotaxis {GO:0048246}; monocyte chemotaxis {GO:0002548}; mononuclear cell migration {GO:0071674}; mRNA processing {GO:0006397}; negative regulation of apoptotic process {GO:0043066}; negative regulation of cell proliferation in bone marrow {GO:1903769}; negative regulation of endocytosis {GO:0045806}; negative regulation of extrinsic apoptotic signaling pathway {GO:2001237}; negative regulation of immunological synapse formation {GO:2000521}; negative regulation of T cell activation via T cell receptor contact with antigen bound to MHC molecule on antigen presenting cell {GO:2001189}; negative regulation of T cell receptor signaling pathway {GO:0050860}; neutrophil chemotaxis {GO:0030593}; positive chemotaxis {GO:0050918}; positive regulation of angiogenesis {GO:0045766}; positive regulation of calcium ion import {GO:0090280}; positive regulation of cell population proliferation {GO:0008284}; positive regulation of mononuclear cell migration {GO:0071677}; positive regulation of protein localization to plasma membrane {GO:1903078}; positive regulation of protein-containing complex assembly {GO:0031334}; positive regulation of serotonin secretion {GO:0014064}; regulation of extrinsic apoptotic signaling pathway via death domain receptors {GO:1902041}; regulation of T cell apoptotic process {GO:0070232}; regulation of T cell proliferation {GO:0042129}; RNA splicing {GO:0008380}; skeletal system development {GO:0001501}</t>
  </si>
  <si>
    <t>cell surface {GO:0009986}; collagen-containing extracellular matrix {GO:0062023}; cornified envelope {GO:0001533}; cytoplasm {GO:0005737}; cytosol {GO:0005829}; external side of plasma membrane {GO:0009897}; extracellular matrix {GO:0031012}; extracellular region {GO:0005576}; extracellular space {GO:0005615}; glial cell projection {GO:0097386}; immunological synapse {GO:0001772}; mitochondrial inner membrane {GO:0005743}; nucleoplasm {GO:0005654}; nucleus {GO:0005634}; spliceosomal complex {GO:0005681}</t>
  </si>
  <si>
    <t>advanced glycation end-product receptor activity {GO:0050785}; chemoattractant activity {GO:0042056}; disaccharide binding {GO:0048030}; Fc-gamma receptor I complex binding {GO:0034988}; IgE binding {GO:0019863}; laminin binding {GO:0043236}; monosaccharide binding {GO:0048029}; oligosaccharide binding {GO:0070492}; protein phosphatase binding {GO:0019903}</t>
  </si>
  <si>
    <t>sp|Q60823|AKT2_MOUSE</t>
  </si>
  <si>
    <t>RAC-beta serine/threonine-protein kinase</t>
  </si>
  <si>
    <t>Protein kinase Akt-2; Protein kinase B beta (PKB beta); RAC-PK-beta</t>
  </si>
  <si>
    <t>AKT2_MOUSE</t>
  </si>
  <si>
    <t>Q60823</t>
  </si>
  <si>
    <t>MGI:104874</t>
  </si>
  <si>
    <t>Acetylation; Apoptosis; ATP-binding; Carbohydrate metabolism; Cell membrane; Cytoplasm; Developmental protein; Disulfide bond; Endosome; Glucose metabolism; Glycogen biosynthesis; Glycogen metabolism; Glycoprotein; Kinase; Manganese; Membrane; Metal-binding; Nucleotide-binding; Nucleus; Phosphoprotein; Serine/threonine-protein kinase; Sugar transport; Transferase; Translation regulation; Transport; Ubl conjugation</t>
  </si>
  <si>
    <t>Apoptosis; Carbohydrate metabolism; Glucose metabolism; Glycogen biosynthesis; Glycogen metabolism; Sugar transport; Translation regulation; Transport</t>
  </si>
  <si>
    <t>Acetylation; Disulfide bond; Glycoprotein; Phosphoprotein; Ubl conjugation</t>
  </si>
  <si>
    <t>activation of GTPase activity {GO:0090630}; carbohydrate transport {GO:0008643}; cellular response to high light intensity {GO:0071486}; cellular response to insulin stimulus {GO:0032869}; cellular response to organic cyclic compound {GO:0071407}; glucose metabolic process {GO:0006006}; glycogen biosynthetic process {GO:0005978}; insulin receptor signaling pathway {GO:0008286}; intracellular protein transmembrane transport {GO:0065002}; intracellular signal transduction {GO:0035556}; negative regulation of apoptotic process {GO:0043066}; negative regulation of cysteine-type endopeptidase activity involved in apoptotic process {GO:0043154}; negative regulation of long-chain fatty acid import across plasma membrane {GO:0010748}; negative regulation of RNA splicing {GO:0033119}; peptidyl-serine phosphorylation {GO:0018105}; peripheral nervous system myelin maintenance {GO:0032287}; positive regulation of cell migration {GO:0030335}; positive regulation of cell motility {GO:2000147}; positive regulation of cell population proliferation {GO:0008284}; positive regulation of fatty acid beta-oxidation {GO:0032000}; positive regulation of gene expression {GO:0010628}; positive regulation of glucose import {GO:0046326}; positive regulation of glucose metabolic process {GO:0010907}; positive regulation of glycogen biosynthetic process {GO:0045725}; positive regulation of mitochondrial membrane potential {GO:0010918}; positive regulation of nitric oxide biosynthetic process {GO:0045429}; positive regulation of peptidyl-serine phosphorylation {GO:0033138}; positive regulation of positive chemotaxis {GO:0050927}; positive regulation of protein phosphorylation {GO:0001934}; positive regulation of protein targeting to membrane {GO:0090314}; positive regulation of signal transduction {GO:0009967}; positive regulation of sodium ion transport {GO:0010765}; positive regulation of transcription by RNA polymerase II {GO:0045944}; positive regulation of vesicle fusion {GO:0031340}; protein kinase B signaling {GO:0043491}; protein localization to plasma membrane {GO:0072659}; protein phosphorylation {GO:0006468}; regulation of translation {GO:0006417}; response to insulin {GO:0032868}; retinal rod cell apoptotic process {GO:0097473}</t>
  </si>
  <si>
    <t>cell cortex {GO:0005938}; cytosol {GO:0005829}; early endosome {GO:0005769}; insulin-responsive compartment {GO:0032593}; intracellular membrane-bounded organelle {GO:0043231}; mitochondrion {GO:0005739}; nucleoplasm {GO:0005654}; nucleus {GO:0005634}; plasma membrane {GO:0005886}; protein-containing complex {GO:0032991}; ruffle membrane {GO:0032587}; sarcoplasmic reticulum {GO:0016529}; vesicle {GO:0031982}</t>
  </si>
  <si>
    <t>ATP binding {GO:0005524}; metal ion binding {GO:0046872}; protein kinase activity {GO:0004672}; protein kinase C binding {GO:0005080}; protein serine kinase activity {GO:0106310}; protein serine/threonine kinase activity {GO:0004674}</t>
  </si>
  <si>
    <t>PIP3 activates AKT signaling {R-MMU-1257604}; Downregulation of ERBB2:ERBB3 signaling {R-MMU-1358803}; Activation of AKT2 {R-MMU-165158}; Inhibition of TSC complex formation by PKB {R-MMU-165181}; AKT phosphorylates targets in the cytosol {R-MMU-198323}; AKT phosphorylates targets in the nucleus {R-MMU-198693}; Negative regulation of the PI3K/AKT network {R-MMU-199418}; AKT-mediated inactivation of FOXO1A {R-MMU-211163}; Deactivation of the beta-catenin transactivating complex {R-MMU-3769402}; CD28 dependent PI3K/Akt signaling {R-MMU-389357}; CTLA4 inhibitory signaling {R-MMU-389513}; G beta:gamma signalling through PI3Kgamma {R-MMU-392451}; VEGFR2 mediated vascular permeability {R-MMU-5218920}; TP53 Regulates Metabolic Genes {R-MMU-5628897}; Regulation of TP53 Degradation {R-MMU-6804757}; Regulation of TP53 Activity through Acetylation {R-MMU-6804758}; Regulation of TP53 Activity through Association with Co-factors {R-MMU-6804759}; Cyclin E associated events during G1/S transition {R-MMU-69202}; Cyclin A:Cdk2-associated events at S phase entry {R-MMU-69656}; RAB GEFs exchange GTP for GDP on RABs {R-MMU-8876198}; Regulation of PTEN stability and activity {R-MMU-8948751}; FLT3 Signaling {R-MMU-9607240}; Regulation of localization of FOXO transcription factors {R-MMU-9614399}; Estrogen-dependent nuclear events downstream of ESR-membrane signaling {R-MMU-9634638}; KEAP1-NFE2L2 pathway {R-MMU-9755511}</t>
  </si>
  <si>
    <t>sp|O89103|C1QR1_MOUSE</t>
  </si>
  <si>
    <t>Complement component C1q receptor</t>
  </si>
  <si>
    <t>C1q/MBL/SPA receptor (C1qR(p); C1qRp); Cell surface antigen AA4; Complement component 1 q subcomponent receptor 1; Lymphocyte antigen 68 (Ly-68); CD_antigen=CD93</t>
  </si>
  <si>
    <t>C1QR1_MOUSE</t>
  </si>
  <si>
    <t>O89103</t>
  </si>
  <si>
    <t>A2AVY5; Q3U2X0</t>
  </si>
  <si>
    <t>Aa4; C1qr1; C1qrp; Ly68</t>
  </si>
  <si>
    <t>MGI:106664</t>
  </si>
  <si>
    <t>Cell adhesion; Disulfide bond; EGF-like domain; Glycoprotein; Lectin; Membrane; Phosphoprotein; Receptor; Repeat; Signal; Transmembrane; Transmembrane helix</t>
  </si>
  <si>
    <t>cell surface {GO:0009986}; cytoplasmic vesicle {GO:0031410}; integral component of membrane {GO:0016021}; plasma membrane {GO:0005886}</t>
  </si>
  <si>
    <t>calcium ion binding {GO:0005509}; carbohydrate binding {GO:0030246}; complement component C1q complex binding {GO:0001849}</t>
  </si>
  <si>
    <t>sp|Q91VW3|SH3L3_MOUSE</t>
  </si>
  <si>
    <t>SH3 domain-binding glutamic acid-rich-like protein 3</t>
  </si>
  <si>
    <t>SH3L3_MOUSE</t>
  </si>
  <si>
    <t>Q91VW3</t>
  </si>
  <si>
    <t>MGI:1920973</t>
  </si>
  <si>
    <t>3D-structure; Acetylation; Cell membrane; Cell projection; Cytoplasm; Glycoprotein; Membrane; Nucleus</t>
  </si>
  <si>
    <t>cytoplasm {GO:0005737}; nuclear body {GO:0016604}</t>
  </si>
  <si>
    <t>sp|Q8R123|FAD1_MOUSE</t>
  </si>
  <si>
    <t>FAD synthase region</t>
  </si>
  <si>
    <t>FAD pyrophosphorylase; FMN adenylyltransferase; Flavin adenine dinucleotide synthase</t>
  </si>
  <si>
    <t>FAD1_MOUSE</t>
  </si>
  <si>
    <t>Q8R123</t>
  </si>
  <si>
    <t>Q3TSN6; Q8BXQ1</t>
  </si>
  <si>
    <t>MGI:2443030</t>
  </si>
  <si>
    <t>Acetylation; Alternative splicing; ATP-binding; Cytoplasm; FAD; Flavoprotein; FMN; Nucleotide-binding; Nucleotidyltransferase; Phosphoprotein; Transferase</t>
  </si>
  <si>
    <t>ATP-binding; FAD; FMN; Flavoprotein; Nucleotide-binding</t>
  </si>
  <si>
    <t>FAD biosynthetic process {GO:0006747}</t>
  </si>
  <si>
    <t>ATP binding {GO:0005524}; FMN adenylyltransferase activity {GO:0003919}; identical protein binding {GO:0042802}</t>
  </si>
  <si>
    <t>Cofactor biosynthesis; FAD biosynthesis; FAD from FMN: step 1/1.</t>
  </si>
  <si>
    <t>Vitamin B2 (riboflavin) metabolism {R-MMU-196843}</t>
  </si>
  <si>
    <t>sp|Q8CFQ3|AQR_MOUSE</t>
  </si>
  <si>
    <t>RNA helicase aquarius</t>
  </si>
  <si>
    <t>Intron-binding protein of 160 kDa</t>
  </si>
  <si>
    <t>AQR_MOUSE</t>
  </si>
  <si>
    <t>Q8CFQ3</t>
  </si>
  <si>
    <t>P97871; Q3U9N1; Q3ULE8; Q80TX8</t>
  </si>
  <si>
    <t>Kiaa0560</t>
  </si>
  <si>
    <t>MGI:1276102</t>
  </si>
  <si>
    <t>Acetylation; ATP-binding; Helicase; Hydrolase; mRNA processing; mRNA splicing; Nucleotide-binding; Nucleus; RNA-binding; Spliceosome</t>
  </si>
  <si>
    <t>catalytic step 2 spliceosome {GO:0071013}; nucleoplasm {GO:0005654}; nucleus {GO:0005634}; U2-type catalytic step 2 spliceosome {GO:0071007}</t>
  </si>
  <si>
    <t>3'-5' RNA helicase activity {GO:0034458}; ATP binding {GO:0005524}; ATP hydrolysis activity {GO:0016887}; mRNA binding {GO:0003729}; RNA binding {GO:0003723}; single-stranded RNA binding {GO:0003727}</t>
  </si>
  <si>
    <t>sp|P62071|RRAS2_MOUSE</t>
  </si>
  <si>
    <t>Ras-related protein R-Ras2</t>
  </si>
  <si>
    <t>RRAS2_MOUSE</t>
  </si>
  <si>
    <t>P62071</t>
  </si>
  <si>
    <t>P17082; Q3TA79; Q8C5D1; Q9D0H6</t>
  </si>
  <si>
    <t>MGI:1914172</t>
  </si>
  <si>
    <t>Acetylation; Cell membrane; Golgi apparatus; GTP-binding; Hydrolase; Lipoprotein; Membrane; Methylation; Nucleotide-binding; Palmitate; Phosphoprotein; Prenylation</t>
  </si>
  <si>
    <t>cell migration {GO:0016477}; positive regulation of Schwann cell migration {GO:1900149}; Ras protein signal transduction {GO:0007265}; regulation of neuron death {GO:1901214}; Schwann cell migration {GO:0036135}</t>
  </si>
  <si>
    <t>Golgi membrane {GO:0000139}; plasma membrane {GO:0005886}</t>
  </si>
  <si>
    <t>RND1 GTPase cycle {R-MMU-9696273}</t>
  </si>
  <si>
    <t>sp|Q80U87|UBP8_MOUSE</t>
  </si>
  <si>
    <t>Ubiquitin carboxyl-terminal hydrolase 8</t>
  </si>
  <si>
    <t>Deubiquitinating enzyme 8; Ubiquitin isopeptidase Y (mUBPy); Ubiquitin thioesterase 8; Ubiquitin-specific-processing protease 8</t>
  </si>
  <si>
    <t>UBP8_MOUSE</t>
  </si>
  <si>
    <t>Q80U87</t>
  </si>
  <si>
    <t>A2AI53; Q80YP2; Q8R0D3; Q9EQU1; Q9WVP5</t>
  </si>
  <si>
    <t>Kiaa0055; Ubpy</t>
  </si>
  <si>
    <t>MGI:1934029</t>
  </si>
  <si>
    <t>3D-structure; Cell cycle; Cell membrane; Cytoplasm; Endosome; Hydrolase; Membrane; Nucleus; Phosphoprotein; Protease; SH3-binding; Thiol protease; Ubl conjugation; Ubl conjugation pathway</t>
  </si>
  <si>
    <t>cellular response to nerve growth factor stimulus {GO:1990090}; endosome organization {GO:0007032}; mitotic cytokinesis {GO:0000281}; positive regulation of canonical Wnt signaling pathway {GO:0090263}; protein deubiquitination {GO:0016579}; protein K48-linked deubiquitination {GO:0071108}; protein K63-linked deubiquitination {GO:0070536}; Ras protein signal transduction {GO:0007265}; regulation of protein catabolic process at postsynapse, modulating synaptic transmission {GO:0099576}; regulation of protein localization {GO:0032880}; regulation of protein stability {GO:0031647}; ubiquitin-dependent protein catabolic process {GO:0006511}</t>
  </si>
  <si>
    <t>acrosomal membrane {GO:0002080}; cytoplasm {GO:0005737}; cytosol {GO:0005829}; dendritic spine {GO:0043197}; early endosome {GO:0005769}; extrinsic component of endosome membrane {GO:0031313}; extrinsic component of plasma membrane {GO:0019897}; glutamatergic synapse {GO:0098978}; midbody {GO:0030496}; nucleus {GO:0005634}; postsynaptic density {GO:0014069}</t>
  </si>
  <si>
    <t>cysteine-type deubiquitinase activity {GO:0004843}; SH3 domain binding {GO:0017124}</t>
  </si>
  <si>
    <t>Downregulation of ERBB2:ERBB3 signaling {R-MMU-1358803}; Regulation of FZD by ubiquitination {R-MMU-4641263}; Ub-specific processing proteases {R-MMU-5689880}; Negative regulation of MET activity {R-MMU-6807004}</t>
  </si>
  <si>
    <t>sp|Q9JI90|RNF14_MOUSE</t>
  </si>
  <si>
    <t>E3 ubiquitin-protein ligase RNF14</t>
  </si>
  <si>
    <t>Androgen receptor-associated protein 54; Protein Triad2; RING finger protein 14</t>
  </si>
  <si>
    <t>RNF14_MOUSE</t>
  </si>
  <si>
    <t>Q9JI90</t>
  </si>
  <si>
    <t>Q7TPR0; Q9D0L2; Q9D6N2; Q9D6Z8; Q9JI89</t>
  </si>
  <si>
    <t>Ara54; Triad2</t>
  </si>
  <si>
    <t>MGI:1929668</t>
  </si>
  <si>
    <t>Alternative splicing; Cytoplasm; Metal-binding; Nucleus; Phosphoprotein; Repeat; Transcription; Transcription regulation; Transferase; Ubl conjugation; Ubl conjugation pathway; Zinc; Zinc-finger</t>
  </si>
  <si>
    <t>positive regulation of DNA-templated transcription {GO:0045893}; positive regulation of proteasomal ubiquitin-dependent protein catabolic process {GO:0032436}; protein polyubiquitination {GO:0000209}; regulation of androgen receptor signaling pathway {GO:0060765}; regulation of DNA-templated transcription {GO:0006355}; ubiquitin-dependent protein catabolic process {GO:0006511}</t>
  </si>
  <si>
    <t>metal ion binding {GO:0046872}; nuclear androgen receptor binding {GO:0050681}; ubiquitin conjugating enzyme binding {GO:0031624}; ubiquitin protein ligase activity {GO:0061630}; ubiquitin-like protein transferase activity {GO:0019787}</t>
  </si>
  <si>
    <t>sp|Q8BP40|PPA6_MOUSE</t>
  </si>
  <si>
    <t>Lysophosphatidic acid phosphatase type 6</t>
  </si>
  <si>
    <t>Acid phosphatase 6, lysophosphatidic; Acid phosphatase-like protein 1; PACPL1</t>
  </si>
  <si>
    <t>PPA6_MOUSE</t>
  </si>
  <si>
    <t>Q8BP40</t>
  </si>
  <si>
    <t>Q3TNE2; Q8BN33; Q9JMG5; Q9QXG5</t>
  </si>
  <si>
    <t>Acpl1; Lpap</t>
  </si>
  <si>
    <t>MGI:1931010</t>
  </si>
  <si>
    <t>Alternative splicing; Hydrolase; Lipid metabolism; Mitochondrion; Phospholipid metabolism; Transit peptide</t>
  </si>
  <si>
    <t>Lipid metabolism; Phospholipid metabolism</t>
  </si>
  <si>
    <t>dephosphorylation {GO:0016311}; hematopoietic progenitor cell differentiation {GO:0002244}; lysobisphosphatidic acid metabolic process {GO:2001311}; phospholipid metabolic process {GO:0006644}</t>
  </si>
  <si>
    <t>acid phosphatase activity {GO:0003993}; lysophosphatidic acid phosphatase activity {GO:0052642}; phosphatase activity {GO:0016791}</t>
  </si>
  <si>
    <t>sp|Q8BYN3|ITPK1_MOUSE</t>
  </si>
  <si>
    <t>Inositol-tetrakisphosphate 1-kinase</t>
  </si>
  <si>
    <t>Inositol 1,3,4-trisphosphate 5/6-kinase (Inositol-triphosphate 5/6-kinase; Ins(1,3,4)P(3) 5/6-kinase)</t>
  </si>
  <si>
    <t>ITPK1_MOUSE</t>
  </si>
  <si>
    <t>Q8BYN3</t>
  </si>
  <si>
    <t>Q8K0J6; Q8R0Z0</t>
  </si>
  <si>
    <t>MGI:2446159</t>
  </si>
  <si>
    <t>Acetylation; ATP-binding; Hydrolase; Isomerase; Kinase; Magnesium; Metal-binding; Nucleotide-binding; Phosphoprotein; Transferase</t>
  </si>
  <si>
    <t>Hydrolase; Isomerase; Kinase; Transferase</t>
  </si>
  <si>
    <t>inositol phosphorylation {GO:0052746}; inositol trisphosphate metabolic process {GO:0032957}; necroptotic process {GO:0070266}; neural tube development {GO:0021915}</t>
  </si>
  <si>
    <t>apical plasma membrane {GO:0016324}</t>
  </si>
  <si>
    <t>ATP binding {GO:0005524}; hydrolase activity {GO:0016787}; inositol tetrakisphosphate 1-kinase activity {GO:0047325}; inositol tetrakisphosphate 6-kinase activity {GO:0000825}; inositol-1,3,4-trisphosphate 5-kinase activity {GO:0052726}; inositol-1,3,4-trisphosphate 6-kinase activity {GO:0052725}; isomerase activity {GO:0016853}; magnesium ion binding {GO:0000287}</t>
  </si>
  <si>
    <t>Synthesis of pyrophosphates in the cytosol {R-MMU-1855167}; Synthesis of IP3 and IP4 in the cytosol {R-MMU-1855204}; Factors involved in megakaryocyte development and platelet production {R-MMU-983231}</t>
  </si>
  <si>
    <t>sp|Q9DBG9|TX1B3_MOUSE</t>
  </si>
  <si>
    <t>Tax1-binding protein 3</t>
  </si>
  <si>
    <t>Tax interaction protein 1 (TIP-1)</t>
  </si>
  <si>
    <t>TX1B3_MOUSE</t>
  </si>
  <si>
    <t>Q9DBG9</t>
  </si>
  <si>
    <t>MGI:1923531</t>
  </si>
  <si>
    <t>3D-structure; Acetylation; Cell membrane; Cytoplasm; Membrane; Nucleus; Phosphoprotein; Wnt signaling pathway</t>
  </si>
  <si>
    <t>activation of GTPase activity {GO:0090630}; negative regulation of cell population proliferation {GO:0008285}; negative regulation of protein localization to cell surface {GO:2000009}; negative regulation of Wnt signaling pathway {GO:0030178}; Rho protein signal transduction {GO:0007266}; Wnt signaling pathway {GO:0016055}</t>
  </si>
  <si>
    <t>actin cytoskeleton {GO:0015629}; cytoplasm {GO:0005737}; fibrillar center {GO:0001650}; intracellular membrane-bounded organelle {GO:0043231}; nucleus {GO:0005634}; plasma membrane {GO:0005886}</t>
  </si>
  <si>
    <t>beta-catenin binding {GO:0008013}; protein C-terminus binding {GO:0008022}</t>
  </si>
  <si>
    <t>RHO GTPases Activate Rhotekin and Rhophilins {R-MMU-5666185}</t>
  </si>
  <si>
    <t>sp|Q9D5V6|SYAP1_MOUSE</t>
  </si>
  <si>
    <t>Synapse-associated protein 1</t>
  </si>
  <si>
    <t>BSD domain-containing signal transducer and Akt interactor protein (BSTA)</t>
  </si>
  <si>
    <t>SYAP1_MOUSE</t>
  </si>
  <si>
    <t>Q9D5V6</t>
  </si>
  <si>
    <t>Q3UI67; Q9D870</t>
  </si>
  <si>
    <t>MGI:1914293</t>
  </si>
  <si>
    <t>Cell membrane; Cell projection; Cytoplasm; Differentiation; Golgi apparatus; Membrane; Phosphoprotein; Postsynaptic cell membrane; Synapse</t>
  </si>
  <si>
    <t>Cell membrane; Cell projection; Cytoplasm; Golgi apparatus; Membrane; Postsynaptic cell membrane; Synapse</t>
  </si>
  <si>
    <t>cell differentiation {GO:0030154}; cellular response to epidermal growth factor stimulus {GO:0071364}; cellular response to insulin stimulus {GO:0032869}; cellular response to insulin-like growth factor stimulus {GO:1990314}; cellular response to platelet-derived growth factor stimulus {GO:0036120}; positive regulation of fat cell differentiation {GO:0045600}; positive regulation of protein serine/threonine kinase activity {GO:0071902}; regulation of short-term neuronal synaptic plasticity {GO:0048172}; TORC2 signaling {GO:0038203}</t>
  </si>
  <si>
    <t>anchoring junction {GO:0070161}; axon {GO:0030424}; cytoplasm {GO:0005737}; cytosol {GO:0005829}; dendrite {GO:0030425}; extrinsic component of cytoplasmic side of plasma membrane {GO:0031234}; Golgi apparatus {GO:0005794}; growth cone {GO:0030426}; nucleoplasm {GO:0005654}; nucleus {GO:0005634}; perikaryon {GO:0043204}; perinuclear region of cytoplasm {GO:0048471}; postsynaptic membrane {GO:0045211}; presynaptic membrane {GO:0042734}; synapse {GO:0045202}</t>
  </si>
  <si>
    <t>sp|Q9CZT8|RAB3B_MOUSE</t>
  </si>
  <si>
    <t>Ras-related protein Rab-3B</t>
  </si>
  <si>
    <t>RAB3B_MOUSE</t>
  </si>
  <si>
    <t>Q9CZT8</t>
  </si>
  <si>
    <t>Q80WV9; Q920F1</t>
  </si>
  <si>
    <t>MGI:1917158</t>
  </si>
  <si>
    <t>Acetylation; Cell membrane; Golgi apparatus; GTP-binding; Lipoprotein; Membrane; Methylation; Nucleotide-binding; Phosphoprotein; Prenylation; Protein transport; Transport</t>
  </si>
  <si>
    <t>antigen processing and presentation {GO:0019882}; peptidyl-cysteine methylation {GO:0018125}; positive regulation of dopamine uptake involved in synaptic transmission {GO:0051586}; protein localization to plasma membrane {GO:0072659}; protein secretion {GO:0009306}; regulation of exocytosis {GO:0017157}; regulation of synaptic vesicle cycle {GO:0098693}; regulation of vesicle size {GO:0097494}; vesicle docking involved in exocytosis {GO:0006904}</t>
  </si>
  <si>
    <t>anchored component of synaptic vesicle membrane {GO:0098993}; cytoplasm {GO:0005737}; cytosol {GO:0005829}; dopaminergic synapse {GO:0098691}; endosome {GO:0005768}; Golgi apparatus {GO:0005794}; intracellular membrane-bounded organelle {GO:0043231}; perinuclear region of cytoplasm {GO:0048471}; plasma membrane {GO:0005886}; synaptic vesicle {GO:0008021}; vesicle {GO:0031982}</t>
  </si>
  <si>
    <t>GDP binding {GO:0019003}; GTP binding {GO:0005525}; GTP-dependent protein binding {GO:0030742}; GTPase activity {GO:0003924}; myosin V binding {GO:0031489}</t>
  </si>
  <si>
    <t>RAB geranylgeranylation {R-MMU-8873719}</t>
  </si>
  <si>
    <t>sp|P01867|IGG2B_MOUSE</t>
  </si>
  <si>
    <t>Immunoglobulin heavy constant gamma 2B</t>
  </si>
  <si>
    <t>Ig gamma-2B chain C region</t>
  </si>
  <si>
    <t>IGG2B_MOUSE</t>
  </si>
  <si>
    <t>P01867</t>
  </si>
  <si>
    <t>P01866</t>
  </si>
  <si>
    <t>MGI:96445</t>
  </si>
  <si>
    <t>3D-structure; Alternative splicing; Cell membrane; Disulfide bond; Glycoprotein; Immunoglobulin domain; Membrane; Repeat; Secreted; Transmembrane; Transmembrane helix</t>
  </si>
  <si>
    <t>Immunoglobulin domain; Repeat; Transmembrane; Transmembrane helix</t>
  </si>
  <si>
    <t>B cell receptor signaling pathway {GO:0050853}; complement activation, classical pathway {GO:0006958}; defense response to bacterium {GO:0042742}; humoral immune response mediated by circulating immunoglobulin {GO:0002455}; immunoglobulin mediated immune response {GO:0016064}; innate immune response {GO:0045087}; phagocytosis, engulfment {GO:0006911}; phagocytosis, recognition {GO:0006910}; positive regulation of B cell activation {GO:0050871}; positive regulation of immune response {GO:0050778}; positive regulation of phagocytosis {GO:0050766}; positive regulation of type I hypersensitivity {GO:0001812}; positive regulation of type IIa hypersensitivity {GO:0001798}</t>
  </si>
  <si>
    <t>external side of plasma membrane {GO:0009897}; extracellular region {GO:0005576}; extracellular space {GO:0005615}; IgG immunoglobulin complex {GO:0071735}; immunoglobulin complex, circulating {GO:0042571}; integral component of membrane {GO:0016021}</t>
  </si>
  <si>
    <t>antigen binding {GO:0003823}; Fc-gamma receptor I complex binding {GO:0034988}; immunoglobulin receptor binding {GO:0034987}</t>
  </si>
  <si>
    <t>Initial triggering of complement {R-MMU-166663}; Classical antibody-mediated complement activation {R-MMU-173623}; FCGR activation {R-MMU-2029481}; Regulation of actin dynamics for phagocytic cup formation {R-MMU-2029482}; Role of phospholipids in phagocytosis {R-MMU-2029485}; Regulation of Complement cascade {R-MMU-977606}</t>
  </si>
  <si>
    <t>sp|Q61183|PAPOA_MOUSE</t>
  </si>
  <si>
    <t>Poly(A) polymerase alpha (PAP-alpha)</t>
  </si>
  <si>
    <t>Polynucleotide adenylyltransferase</t>
  </si>
  <si>
    <t>PAPOA_MOUSE</t>
  </si>
  <si>
    <t>Q61183</t>
  </si>
  <si>
    <t>Q61208; Q61209; Q8K4X2</t>
  </si>
  <si>
    <t>Pap; Plap</t>
  </si>
  <si>
    <t>MGI:109301</t>
  </si>
  <si>
    <t>Acetylation; Alternative splicing; ATP-binding; Isopeptide bond; Magnesium; Manganese; Metal-binding; mRNA processing; Nucleotide-binding; Nucleus; Phosphoprotein; RNA-binding; Transferase; Ubl conjugation</t>
  </si>
  <si>
    <t>mRNA polyadenylation {GO:0006378}; regulation of mRNA 3'-end processing {GO:0031440}; RNA polyadenylation {GO:0043631}</t>
  </si>
  <si>
    <t>ATP binding {GO:0005524}; magnesium ion binding {GO:0000287}; manganese ion binding {GO:0030145}; polynucleotide adenylyltransferase activity {GO:0004652}; RNA binding {GO:0003723}</t>
  </si>
  <si>
    <t>sp|P62500|T22D1_MOUSE</t>
  </si>
  <si>
    <t>TSC22 domain family protein 1</t>
  </si>
  <si>
    <t>Regulatory protein TSC-22; TGFB-stimulated clone 22 homolog; TSC22-related inducible leucine zipper 1b; Transforming growth factor beta-1-induced transcript 4 protein</t>
  </si>
  <si>
    <t>T22D1_MOUSE</t>
  </si>
  <si>
    <t>P62500</t>
  </si>
  <si>
    <t>Q00992; Q69Z44; Q6PDK1; Q9EQN4</t>
  </si>
  <si>
    <t>Kiaa1994; Tgfb1i4; Tilz1b; Tsc22</t>
  </si>
  <si>
    <t>MGI:109127</t>
  </si>
  <si>
    <t>Alternative splicing; Cytoplasm; Nucleus; Phosphoprotein; Repressor; Transcription; Transcription regulation</t>
  </si>
  <si>
    <t>negative regulation of apoptotic process {GO:0043066}; positive regulation of cell population proliferation {GO:0008284}; regulation of transcription by RNA polymerase II {GO:0006357}</t>
  </si>
  <si>
    <t>sp|P61967|AP1S1_MOUSE</t>
  </si>
  <si>
    <t>AP-1 complex subunit sigma-1A</t>
  </si>
  <si>
    <t>Adaptor protein complex AP-1 subunit sigma-1A; Adaptor-related protein complex 1 subunit sigma-1A; Clathrin assembly protein complex 1 sigma-1A small chain; Clathrin coat assembly protein AP19; Golgi adaptor HA1/AP1 adaptin sigma-1A subunit; HA1 19 kDa subunit; Sigma 1a subunit of AP-1 clathrin; Sigma-adaptin 1A; Sigma1A-adaptin</t>
  </si>
  <si>
    <t>AP1S1_MOUSE</t>
  </si>
  <si>
    <t>P61967</t>
  </si>
  <si>
    <t>P82267; Q00382; Q9BTN4; Q9UDW9</t>
  </si>
  <si>
    <t>Ap19</t>
  </si>
  <si>
    <t>MGI:1098244</t>
  </si>
  <si>
    <t>3D-structure; Coated pit; Cytoplasmic vesicle; Golgi apparatus; Membrane; Phosphoprotein; Protein transport; Transport</t>
  </si>
  <si>
    <t>Coated pit; Cytoplasmic vesicle; Golgi apparatus; Membrane</t>
  </si>
  <si>
    <t>basolateral protein secretion {GO:0110010}; intracellular protein transport {GO:0006886}; melanosome assembly {GO:1903232}; platelet dense granule organization {GO:0060155}; retrograde transport, endosome to Golgi {GO:0042147}; vesicle-mediated transport {GO:0016192}</t>
  </si>
  <si>
    <t>AP-1 adaptor complex {GO:0030121}; clathrin-coated pit {GO:0005905}; cytosol {GO:0005829}; early endosome {GO:0005769}; Golgi apparatus {GO:0005794}; intracellular membrane-bounded organelle {GO:0043231}; lysosomal membrane {GO:0005765}; terminal bouton {GO:0043195}; trans-Golgi network {GO:0005802}; trans-Golgi network membrane {GO:0032588}</t>
  </si>
  <si>
    <t>sp|Q80UW8|RPAB1_MOUSE</t>
  </si>
  <si>
    <t>DNA-directed RNA polymerases I, II, and III subunit RPABC1 (RNA polymerases I, II, and III subunit ABC1)</t>
  </si>
  <si>
    <t>DNA-directed RNA polymerase II subunit E; RPB5 homolog</t>
  </si>
  <si>
    <t>RPAB1_MOUSE</t>
  </si>
  <si>
    <t>Q80UW8</t>
  </si>
  <si>
    <t>MGI:1913670</t>
  </si>
  <si>
    <t>Acetylation; DNA-directed RNA polymerase; Isopeptide bond; Nucleus; Transcription; Ubl conjugation</t>
  </si>
  <si>
    <t>nucleoplasm {GO:0005654}; nucleus {GO:0005634}; RNA polymerase I complex {GO:0005736}; RNA polymerase II, core complex {GO:0005665}; RNA polymerase III complex {GO:0005666}; RPAP3/R2TP/prefoldin-like complex {GO:1990062}</t>
  </si>
  <si>
    <t>DNA binding {GO:0003677}; DNA-directed 5'-3' RNA polymerase activity {GO:0003899}</t>
  </si>
  <si>
    <t>Formation of RNA Pol II elongation complex {R-MMU-112382}; Formation of the Early Elongation Complex {R-MMU-113418}; B-WICH complex positively regulates rRNA expression {R-MMU-5250924}; RNA Polymerase II Pre-transcription Events {R-MMU-674695}; Formation of TC-NER Pre-Incision Complex {R-MMU-6781823}; Dual incision in TC-NER {R-MMU-6782135}; Gap-filling DNA repair synthesis and ligation in TC-NER {R-MMU-6782210}; TP53 Regulates Transcription of DNA Repair Genes {R-MMU-6796648}; FGFR2 alternative splicing {R-MMU-6803529}; RNA polymerase II transcribes snRNA genes {R-MMU-6807505}; mRNA Capping {R-MMU-72086}; mRNA Splicing - Major Pathway {R-MMU-72163}; mRNA Splicing - Minor Pathway {R-MMU-72165}; Processing of Capped Intron-Containing Pre-mRNA {R-MMU-72203}; RNA Polymerase I Transcription Initiation {R-MMU-73762}; RNA Polymerase I Promoter Escape {R-MMU-73772}; RNA Polymerase II Promoter Escape {R-MMU-73776}; RNA Polymerase II Transcription Pre-Initiation And Promoter Opening {R-MMU-73779}; RNA Polymerase I Transcription Termination {R-MMU-73863}; RNA Polymerase II Transcription Initiation {R-MMU-75953}; RNA Polymerase II Transcription Elongation {R-MMU-75955}; RNA Polymerase II Transcription Initiation And Promoter Clearance {R-MMU-76042}; RNA Polymerase III Transcription Initiation From Type 1 Promoter {R-MMU-76061}; RNA Polymerase III Transcription Initiation From Type 2 Promoter {R-MMU-76066}; RNA Polymerase III Transcription Initiation From Type 3 Promoter {R-MMU-76071}; RNA Pol II CTD phosphorylation and interaction with CE {R-MMU-77075}; Estrogen-dependent gene expression {R-MMU-9018519}</t>
  </si>
  <si>
    <t>sp|Q9CQ56|USE1_MOUSE</t>
  </si>
  <si>
    <t>Vesicle transport protein USE1</t>
  </si>
  <si>
    <t>Protein D12; USE1-like protein</t>
  </si>
  <si>
    <t>USE1_MOUSE</t>
  </si>
  <si>
    <t>Q9CQ56</t>
  </si>
  <si>
    <t>Q3TUK0; Q80V73; Q99MB6</t>
  </si>
  <si>
    <t>Use1l</t>
  </si>
  <si>
    <t>MGI:1914273</t>
  </si>
  <si>
    <t>Alternative splicing; Coiled coil; Endoplasmic reticulum; ER-Golgi transport; Membrane; Protein transport; Transmembrane; Transmembrane helix; Transport</t>
  </si>
  <si>
    <t>endoplasmic reticulum organization {GO:0007029}; endoplasmic reticulum tubular network organization {GO:0071786}; protein transport {GO:0015031}; regulation of ER to Golgi vesicle-mediated transport {GO:0060628}; retrograde vesicle-mediated transport, Golgi to endoplasmic reticulum {GO:0006890}</t>
  </si>
  <si>
    <t>COPI-coated vesicle {GO:0030137}; endoplasmic reticulum {GO:0005783}; endoplasmic reticulum membrane {GO:0005789}; Golgi apparatus {GO:0005794}; integral component of membrane {GO:0016021}; plasma membrane {GO:0005886}; SNARE complex {GO:0031201}</t>
  </si>
  <si>
    <t>SNAP receptor activity {GO:0005484}</t>
  </si>
  <si>
    <t>sp|Q8BHT6|B3GLT_MOUSE</t>
  </si>
  <si>
    <t>Beta-1,3-glucosyltransferase (Beta3Glc-T)</t>
  </si>
  <si>
    <t>Beta 3-glucosyltransferase; Beta-3-glycosyltransferase-like</t>
  </si>
  <si>
    <t>B3GLT_MOUSE</t>
  </si>
  <si>
    <t>Q8BHT6</t>
  </si>
  <si>
    <t>E9QMK8; Q0PCR7; Q149S5</t>
  </si>
  <si>
    <t>MGI:2685903</t>
  </si>
  <si>
    <t>Alternative splicing; Carbohydrate metabolism; Endoplasmic reticulum; Fucose metabolism; Glycoprotein; Glycosyltransferase; Membrane; Signal-anchor; Transferase; Transmembrane; Transmembrane helix</t>
  </si>
  <si>
    <t>fucose metabolic process {GO:0006004}; protein glycosylation {GO:0006486}</t>
  </si>
  <si>
    <t>endoplasmic reticulum membrane {GO:0005789}; integral component of membrane {GO:0016021}</t>
  </si>
  <si>
    <t>acetylglucosaminyltransferase activity {GO:0008375}</t>
  </si>
  <si>
    <t>sp|Q8BM55|TM214_MOUSE</t>
  </si>
  <si>
    <t>Transmembrane protein 214</t>
  </si>
  <si>
    <t>TM214_MOUSE</t>
  </si>
  <si>
    <t>Q8BM55</t>
  </si>
  <si>
    <t>Q3TLH3; Q3UPX9; Q78HK3; Q8R0D5; Q8R237; Q8VC05</t>
  </si>
  <si>
    <t>MGI:1916046</t>
  </si>
  <si>
    <t>Acetylation; Alternative splicing; Apoptosis; Endoplasmic reticulum; Glycoprotein; Membrane; Transmembrane; Transmembrane helix</t>
  </si>
  <si>
    <t>apoptotic process {GO:0006915}</t>
  </si>
  <si>
    <t>cytoplasmic microtubule {GO:0005881}; cytosol {GO:0005829}; endoplasmic reticulum {GO:0005783}; endoplasmic reticulum membrane {GO:0005789}; Golgi apparatus {GO:0005794}; integral component of membrane {GO:0016021}</t>
  </si>
  <si>
    <t>sp|Q8BW96|KCC1D_MOUSE</t>
  </si>
  <si>
    <t>Calcium/calmodulin-dependent protein kinase type 1D</t>
  </si>
  <si>
    <t>CaM kinase I delta (CaM-KI delta; CaMKI delta); CaM kinase ID; CaMKI-like protein kinase (CKLiK; mCKLiK)</t>
  </si>
  <si>
    <t>KCC1D_MOUSE</t>
  </si>
  <si>
    <t>Q8BW96</t>
  </si>
  <si>
    <t>Q3U450; Q80W64; Q8BWI7</t>
  </si>
  <si>
    <t>MGI:2442190</t>
  </si>
  <si>
    <t>Allosteric enzyme; Alternative splicing; ATP-binding; Calcium; Calmodulin-binding; Cytoplasm; Inflammatory response; Isopeptide bond; Kinase; Neurogenesis; Nucleotide-binding; Nucleus; Phosphoprotein; Serine/threonine-protein kinase; Transferase; Ubl conjugation</t>
  </si>
  <si>
    <t>Inflammatory response; Neurogenesis</t>
  </si>
  <si>
    <t>Allosteric enzyme; Calmodulin-binding; Kinase; Serine/threonine-protein kinase; Transferase</t>
  </si>
  <si>
    <t>inflammatory response {GO:0006954}; negative regulation of apoptotic process {GO:0043066}; nervous system development {GO:0007399}; peptidyl-serine phosphorylation {GO:0018105}; positive regulation of apoptotic process {GO:0043065}; positive regulation of CREB transcription factor activity {GO:0032793}; positive regulation of neuron projection development {GO:0010976}; positive regulation of neutrophil chemotaxis {GO:0090023}; positive regulation of phagocytosis {GO:0050766}; positive regulation of respiratory burst {GO:0060267}; regulation of dendrite development {GO:0050773}; regulation of granulocyte chemotaxis {GO:0071622}</t>
  </si>
  <si>
    <t>ATP binding {GO:0005524}; calmodulin binding {GO:0005516}; calmodulin-dependent protein kinase activity {GO:0004683}; protein serine kinase activity {GO:0106310}</t>
  </si>
  <si>
    <t>sp|Q91WG8|GLCNE_MOUSE</t>
  </si>
  <si>
    <t>N-acetylmannosamine kinase</t>
  </si>
  <si>
    <t>UDP-GlcNAc-2-epimerase/ManAc kinase; UDP-GlcNAc-2-epimerase; Uridine diphosphate-N-acetylglucosamine-2-epimerase; ManAc kinase</t>
  </si>
  <si>
    <t>GLCNE_MOUSE</t>
  </si>
  <si>
    <t>Q91WG8</t>
  </si>
  <si>
    <t>Q8CC83; Q8CCB0; Q9Z0P6</t>
  </si>
  <si>
    <t>Glcne; Uae1</t>
  </si>
  <si>
    <t>MGI:1354951</t>
  </si>
  <si>
    <t>Allosteric enzyme; ATP-binding; Cytoplasm; Hydrolase; Kinase; Metal-binding; Multifunctional enzyme; Nucleotide-binding; Phosphoprotein; Transferase; Zinc</t>
  </si>
  <si>
    <t>Allosteric enzyme; Hydrolase; Kinase; Multifunctional enzyme; Transferase</t>
  </si>
  <si>
    <t>N-acetylglucosamine biosynthetic process {GO:0006045}; N-acetylneuraminate metabolic process {GO:0006054}; UDP-N-acetylglucosamine metabolic process {GO:0006047}</t>
  </si>
  <si>
    <t>ATP binding {GO:0005524}; catalytic activity {GO:0003824}; hydrolase activity, hydrolyzing O-glycosyl compounds {GO:0004553}; metal ion binding {GO:0046872}; N-acylmannosamine kinase activity {GO:0009384}; UDP-N-acetylglucosamine 2-epimerase activity {GO:0008761}</t>
  </si>
  <si>
    <t>sp|Q9EPN1|NBEA_MOUSE</t>
  </si>
  <si>
    <t>sp|Q9R0H0|ACOX1_MOUSE</t>
  </si>
  <si>
    <t>Peroxisomal acyl-CoA oxidase 1, C chain</t>
  </si>
  <si>
    <t>Palmitoyl-CoA oxidase; Peroxisomal fatty acyl-CoA oxidase; Straight-chain acyl-CoA oxidase</t>
  </si>
  <si>
    <t>ACOX1_MOUSE</t>
  </si>
  <si>
    <t>Q9R0H0</t>
  </si>
  <si>
    <t>A2A850; O35616; Q3TDG0; Q8BYC3</t>
  </si>
  <si>
    <t>Acox; Paox</t>
  </si>
  <si>
    <t>MGI:1330812</t>
  </si>
  <si>
    <t>Acetylation; Alternative splicing; FAD; Fatty acid metabolism; Flavoprotein; Lipid metabolism; Oxidoreductase; Peroxisome; Phosphoprotein</t>
  </si>
  <si>
    <t>cholesterol homeostasis {GO:0042632}; fatty acid beta-oxidation {GO:0006635}; fatty acid beta-oxidation using acyl-CoA oxidase {GO:0033540}; fatty acid catabolic process {GO:0009062}; fatty acid oxidation {GO:0019395}; generation of precursor metabolites and energy {GO:0006091}; hydrogen peroxide biosynthetic process {GO:0050665}; lipid homeostasis {GO:0055088}; lipid metabolic process {GO:0006629}; peroxisome fission {GO:0016559}; prostaglandin metabolic process {GO:0006693}; spermatogenesis {GO:0007283}; very long-chain fatty acid beta-oxidation {GO:0140493}; very long-chain fatty acid metabolic process {GO:0000038}</t>
  </si>
  <si>
    <t>cytoplasm {GO:0005737}; cytosol {GO:0005829}; mitochondrion {GO:0005739}; peroxisomal membrane {GO:0005778}; peroxisome {GO:0005777}</t>
  </si>
  <si>
    <t>acyl-CoA oxidase activity {GO:0003997}; FAD binding {GO:0071949}; fatty acid binding {GO:0005504}; flavin adenine dinucleotide binding {GO:0050660}; palmitoyl-CoA oxidase activity {GO:0016401}; PDZ domain binding {GO:0030165}; protein homodimerization activity {GO:0042803}; protein N-terminus binding {GO:0047485}</t>
  </si>
  <si>
    <t>alpha-linolenic acid (ALA) metabolism {R-MMU-2046106}; Beta-oxidation of very long chain fatty acids {R-MMU-390247}; Peroxisomal protein import {R-MMU-9033241}</t>
  </si>
  <si>
    <t>sp|Q9D706|RPAP3_MOUSE</t>
  </si>
  <si>
    <t>RNA polymerase II-associated protein 3</t>
  </si>
  <si>
    <t>RPAP3_MOUSE</t>
  </si>
  <si>
    <t>Q9D706</t>
  </si>
  <si>
    <t>D15Ertd682e</t>
  </si>
  <si>
    <t>MGI:1277218</t>
  </si>
  <si>
    <t>Acetylation; Isopeptide bond; Phosphoprotein; Repeat; TPR repeat; Ubl conjugation</t>
  </si>
  <si>
    <t>chaperone complex {GO:0101031}; cytosol {GO:0005829}; R2TP complex {GO:0097255}; RPAP3/R2TP/prefoldin-like complex {GO:1990062}</t>
  </si>
  <si>
    <t>sp|Q9ESU6|BRD4_MOUSE</t>
  </si>
  <si>
    <t>Bromodomain-containing protein 4</t>
  </si>
  <si>
    <t>Mitotic chromosome-associated protein (MCAP)</t>
  </si>
  <si>
    <t>BRD4_MOUSE</t>
  </si>
  <si>
    <t>Q9ESU6</t>
  </si>
  <si>
    <t>B0V2V7; Q8VHF7; Q8VHF8</t>
  </si>
  <si>
    <t>Mcap</t>
  </si>
  <si>
    <t>MGI:1888520</t>
  </si>
  <si>
    <t>3D-structure; Acetylation; Alternative splicing; Bromodomain; Chromatin regulator; Chromosome; Isopeptide bond; Nucleus; Phosphoprotein; Repeat; Transcription; Transcription regulation; Ubl conjugation</t>
  </si>
  <si>
    <t>cellular response to DNA damage stimulus {GO:0006974}; chromatin remodeling {GO:0006338}; chromosome segregation {GO:0007059}; histone H3-K14 acetylation {GO:0044154}; histone H4-K12 acetylation {GO:0043983}; inner cell mass cell proliferation {GO:0001833}; negative regulation by host of viral transcription {GO:0043922}; negative regulation of DNA damage checkpoint {GO:2000002}; positive regulation of DNA binding {GO:0043388}; positive regulation of DNA-templated transcription {GO:0045893}; positive regulation of G2/M transition of mitotic cell cycle {GO:0010971}; positive regulation of histone H3-K36 trimethylation {GO:2001255}; positive regulation of I-kappaB kinase/NF-kappaB signaling {GO:0043123}; positive regulation of transcription by RNA polymerase II {GO:0045944}; positive regulation of transcription elongation by RNA polymerase II {GO:0032968}; protein autophosphorylation {GO:0046777}; protein phosphorylation {GO:0006468}; regulation of DNA-templated transcription {GO:0006355}; regulation of inflammatory response {GO:0050727}; regulation of phosphorylation of RNA polymerase II C-terminal domain {GO:1901407}; regulation of transcription involved in G1/S transition of mitotic cell cycle {GO:0000083}</t>
  </si>
  <si>
    <t>chromatin {GO:0000785}; chromosome {GO:0005694}; condensed nuclear chromosome {GO:0000794}; cyclin/CDK positive transcription elongation factor complex {GO:0008024}; nucleoplasm {GO:0005654}; nucleus {GO:0005634}</t>
  </si>
  <si>
    <t>chromatin binding {GO:0003682}; DNA binding {GO:0003677}; enzyme binding {GO:0019899}; GTP-dependent protein kinase activity {GO:0034211}; lysine-acetylated histone binding {GO:0070577}; P-TEFb complex binding {GO:0106140}; p53 binding {GO:0002039}; RNA polymerase II C-terminal domain binding {GO:0099122}; RNA polymerase II CTD heptapeptide repeat kinase activity {GO:0008353}; transcription coactivator activity {GO:0003713}; transcription coregulator activity {GO:0003712}</t>
  </si>
  <si>
    <t>sp|Q3TPX4|EXOC5_MOUSE</t>
  </si>
  <si>
    <t>Exocyst complex component 5</t>
  </si>
  <si>
    <t>Exocyst complex component Sec10</t>
  </si>
  <si>
    <t>EXOC5_MOUSE</t>
  </si>
  <si>
    <t>Q3TPX4</t>
  </si>
  <si>
    <t>Q80VK3</t>
  </si>
  <si>
    <t>Sec10l1</t>
  </si>
  <si>
    <t>MGI:2145645</t>
  </si>
  <si>
    <t>Acetylation; Coiled coil; Cytoplasm; Exocytosis; Phosphoprotein; Protein transport; Transport</t>
  </si>
  <si>
    <t>epithelial cell apoptotic process {GO:1904019}; establishment of planar polarity {GO:0001736}; exocytosis {GO:0006887}; Golgi to plasma membrane transport {GO:0006893}; membrane fission {GO:0090148}; mitotic cytokinesis {GO:0000281}; non-motile cilium assembly {GO:1905515}; protein localization to plasma membrane {GO:0072659}; protein transport {GO:0015031}; vesicle docking involved in exocytosis {GO:0006904}; vesicle tethering involved in exocytosis {GO:0090522}</t>
  </si>
  <si>
    <t>cytosol {GO:0005829}; exocyst {GO:0000145}; midbody {GO:0030496}</t>
  </si>
  <si>
    <t>protein N-terminus binding {GO:0047485}; small GTPase binding {GO:0031267}</t>
  </si>
  <si>
    <t>sp|Q9DC23|DJC10_MOUSE</t>
  </si>
  <si>
    <t>DnaJ homolog subfamily C member 10</t>
  </si>
  <si>
    <t>Endoplasmic reticulum DNA J domain-containing protein 5 (ER-resident protein ERdj5; ERdj5); Endoplasmic reticulum DnaJ-PDI fusion protein 1; J domain-containing protein disulfide isomerase-like protein (J domain-containing PDI-like protein; JPDI)</t>
  </si>
  <si>
    <t>DJC10_MOUSE</t>
  </si>
  <si>
    <t>Q9DC23</t>
  </si>
  <si>
    <t>A2ASA2; Q71S84; Q8CH78; Q8CIB0; Q99LV4</t>
  </si>
  <si>
    <t>Erdj5; Jpdi</t>
  </si>
  <si>
    <t>MGI:1914111</t>
  </si>
  <si>
    <t>3D-structure; Disulfide bond; Endoplasmic reticulum; Glycoprotein; Oxidoreductase; Redox-active center; Repeat; Signal</t>
  </si>
  <si>
    <t>intrinsic apoptotic signaling pathway in response to endoplasmic reticulum stress {GO:0070059}; IRE1-mediated unfolded protein response {GO:0036498}; negative regulation of protein phosphorylation {GO:0001933}; positive regulation of ATP-dependent activity {GO:0032781}; protein folding in endoplasmic reticulum {GO:0034975}; response to endoplasmic reticulum stress {GO:0034976}; ubiquitin-dependent ERAD pathway {GO:0030433}</t>
  </si>
  <si>
    <t>endoplasmic reticulum {GO:0005783}; endoplasmic reticulum chaperone complex {GO:0034663}; endoplasmic reticulum lumen {GO:0005788}</t>
  </si>
  <si>
    <t>ATPase activator activity {GO:0001671}; ATPase binding {GO:0051117}; chaperone binding {GO:0051087}; disulfide oxidoreductase activity {GO:0015036}; Hsp70 protein binding {GO:0030544}; misfolded protein binding {GO:0051787}; oxidoreductase activity, acting on a sulfur group of donors, disulfide as acceptor {GO:0016671}; protein-disulfide reductase activity {GO:0015035}</t>
  </si>
  <si>
    <t>sp|O88712|CTBP1_MOUSE</t>
  </si>
  <si>
    <t>C-terminal-binding protein 1 (CtBP1)</t>
  </si>
  <si>
    <t>CTBP1_MOUSE</t>
  </si>
  <si>
    <t>O88712</t>
  </si>
  <si>
    <t>Q3TAT1; Q3TDL5; Q3TUM5; Q91WI6; Q91YX3; Q9QYG2</t>
  </si>
  <si>
    <t>MGI:1201685</t>
  </si>
  <si>
    <t>ADP-ribosylation; Alternative splicing; Cytoplasm; Differentiation; Isopeptide bond; NAD; Nucleus; Oxidoreductase; Phosphoprotein; Repressor; Transcription; Transcription regulation; Ubl conjugation</t>
  </si>
  <si>
    <t>heterochromatin assembly {GO:0031507}; negative regulation of DNA-templated transcription {GO:0045892}; negative regulation of histone acetylation {GO:0035067}; negative regulation of histone H4 acetylation {GO:0090241}; negative regulation of transcription by RNA polymerase II {GO:0000122}; positive regulation of histone deacetylation {GO:0031065}; presynapse to nucleus signaling pathway {GO:0099526}; regulation of cell cycle {GO:0051726}; regulation of transcription by RNA polymerase II {GO:0006357}; white fat cell differentiation {GO:0050872}</t>
  </si>
  <si>
    <t>cytoplasm {GO:0005737}; GABA-ergic synapse {GO:0098982}; glutamatergic synapse {GO:0098978}; nucleoplasm {GO:0005654}; nucleus {GO:0005634}; presynapse {GO:0098793}; presynaptic active zone cytoplasmic component {GO:0098831}; transcription repressor complex {GO:0017053}</t>
  </si>
  <si>
    <t>chromatin binding {GO:0003682}; DNA-binding transcription factor binding {GO:0140297}; identical protein binding {GO:0042802}; NAD binding {GO:0051287}; oxidoreductase activity, acting on the CH-OH group of donors, NAD or NADP as acceptor {GO:0016616}; PDZ domain binding {GO:0030165}; protein domain specific binding {GO:0019904}; protein homodimerization activity {GO:0042803}; RNA polymerase II-specific DNA-binding transcription factor binding {GO:0061629}; transcription coactivator activity {GO:0003713}; transcription coregulator binding {GO:0001221}; transcription corepressor activity {GO:0003714}; transcription corepressor binding {GO:0001222}</t>
  </si>
  <si>
    <t>Deactivation of the beta-catenin transactivating complex {R-MMU-3769402}; SUMOylation of transcription cofactors {R-MMU-3899300}; Repression of WNT target genes {R-MMU-4641265}</t>
  </si>
  <si>
    <t>sp|P63089|PTN_MOUSE</t>
  </si>
  <si>
    <t>Pleiotrophin (PTN)</t>
  </si>
  <si>
    <t>Heparin-binding brain mitogen (HBBM); Heparin-binding growth factor 8 (HBGF-8); Heparin-binding growth-associated molecule (HB-GAM); Heparin-binding neutrophic factor (HBNF); Osteoblast-specific factor 1 (OSF-1)</t>
  </si>
  <si>
    <t>PTN_MOUSE</t>
  </si>
  <si>
    <t>P63089</t>
  </si>
  <si>
    <t>P20935</t>
  </si>
  <si>
    <t>MGI:97804</t>
  </si>
  <si>
    <t>Disulfide bond; Growth factor; Heparin-binding; Mitogen; Secreted; Signal</t>
  </si>
  <si>
    <t>Growth factor; Heparin-binding; Mitogen</t>
  </si>
  <si>
    <t>bone mineralization {GO:0030282}; decidualization {GO:0046697}; dendrite arborization {GO:0140059}; dendrite regeneration {GO:0031104}; estrous cycle {GO:0044849}; integrin-mediated signaling pathway {GO:0007229}; learning {GO:0007612}; leukocyte chemotaxis involved in inflammatory response {GO:0002232}; memory {GO:0007613}; negative regulation of angiogenesis {GO:0016525}; negative regulation of cell migration {GO:0030336}; negative regulation of epithelial cell proliferation {GO:0050680}; negative regulation of glial cell proliferation {GO:0060253}; negative regulation of long-term synaptic potentiation {GO:1900272}; negative regulation of membrane potential {GO:0045837}; negative regulation of mesenchymal cell proliferation {GO:0072201}; negative regulation of neuroblast proliferation {GO:0007406}; negative regulation of neuromuscular junction development {GO:1904397}; oogenesis {GO:0048477}; ossification {GO:0001503}; ossification involved in bone remodeling {GO:0043932}; positive regulation of apoptotic process {GO:0043065}; positive regulation of axon regeneration {GO:0048680}; positive regulation of bone mineralization {GO:0030501}; positive regulation of cell differentiation {GO:0045597}; positive regulation of cell division {GO:0051781}; positive regulation of cell population proliferation {GO:0008284}; positive regulation of cell-substrate adhesion {GO:0010811}; positive regulation of dendrite development {GO:1900006}; positive regulation of hepatocyte proliferation {GO:2000347}; positive regulation of leukocyte chemotaxis {GO:0002690}; positive regulation of neuron projection development {GO:0010976}; positive regulation of oligodendrocyte differentiation {GO:0048714}; positive regulation of ossification {GO:0045778}; positive regulation of skeletal muscle acetylcholine-gated channel clustering {GO:1904395}; positive regulation of stem cell differentiation {GO:2000738}; receptor clustering {GO:0043113}; regulation of cell shape {GO:0008360}; regulation of endothelial cell migration {GO:0010594}; regulation of hemopoiesis {GO:1903706}; regulation of myelination {GO:0031641}; regulation of stem cell population maintenance {GO:2000036}; regulation of synaptic plasticity {GO:0048167}; response to auditory stimulus {GO:0010996}; retinal rod cell differentiation {GO:0060221}; tissue regeneration {GO:0042246}</t>
  </si>
  <si>
    <t>basement membrane {GO:0005604}; cell surface {GO:0009986}; cytoplasm {GO:0005737}; endoplasmic reticulum {GO:0005783}; extracellular matrix {GO:0031012}; extracellular region {GO:0005576}; extracellular space {GO:0005615}; membrane {GO:0016020}; neuromuscular junction {GO:0031594}; perinuclear region of cytoplasm {GO:0048471}; plasma membrane {GO:0005886}; postsynapse {GO:0098794}; presynapse {GO:0098793}; protein-containing complex {GO:0032991}</t>
  </si>
  <si>
    <t>chondroitin sulfate binding {GO:0035374}; chondroitin sulfate proteoglycan binding {GO:0035373}; glycosaminoglycan binding {GO:0005539}; growth factor activity {GO:0008083}; heparan sulfate binding {GO:1904399}; heparin binding {GO:0008201}; integrin binding {GO:0005178}; protein kinase binding {GO:0019901}; protein phosphatase inhibitor activity {GO:0004864}; proteoglycan binding {GO:0043394}; syndecan binding {GO:0045545}; vascular endothelial growth factor binding {GO:0038085}</t>
  </si>
  <si>
    <t>Signaling by ALK {R-MMU-201556}</t>
  </si>
  <si>
    <t>sp|Q5XJE5|LEO1_MOUSE</t>
  </si>
  <si>
    <t>RNA polymerase-associated protein LEO1</t>
  </si>
  <si>
    <t>LEO1_MOUSE</t>
  </si>
  <si>
    <t>Q5XJE5</t>
  </si>
  <si>
    <t>E9QPK8; Q640R1</t>
  </si>
  <si>
    <t>Gm185</t>
  </si>
  <si>
    <t>MGI:2685031</t>
  </si>
  <si>
    <t>Acetylation; Activator; Alternative splicing; Nucleus; Phosphoprotein; Transcription; Transcription regulation; Wnt signaling pathway</t>
  </si>
  <si>
    <t>endodermal cell fate commitment {GO:0001711}; histone H2B ubiquitination {GO:0033523}; histone monoubiquitination {GO:0010390}; mRNA polyadenylation {GO:0006378}; negative regulation of myeloid cell differentiation {GO:0045638}; positive regulation of mRNA 3'-end processing {GO:0031442}; positive regulation of transcription elongation by RNA polymerase II {GO:0032968}; stem cell population maintenance {GO:0019827}; transcription elongation by RNA polymerase II promoter {GO:0006368}; Wnt signaling pathway {GO:0016055}</t>
  </si>
  <si>
    <t>Cdc73/Paf1 complex {GO:0016593}; centrosome {GO:0005813}; fibrillar center {GO:0001650}; nucleoplasm {GO:0005654}; nucleus {GO:0005634}</t>
  </si>
  <si>
    <t>RNA polymerase II C-terminal domain phosphoserine binding {GO:1990269}</t>
  </si>
  <si>
    <t>Formation of RNA Pol II elongation complex {R-MMU-112382}; Formation of the beta-catenin:TCF transactivating complex {R-MMU-201722}; RNA Polymerase II Pre-transcription Events {R-MMU-674695}; RNA Polymerase II Transcription Elongation {R-MMU-75955}; E3 ubiquitin ligases ubiquitinate target proteins {R-MMU-8866654}</t>
  </si>
  <si>
    <t>sp|Q8R107|PRLD1_MOUSE</t>
  </si>
  <si>
    <t>PRELI domain-containing protein 1, mitochondrial</t>
  </si>
  <si>
    <t>Px19-like protein</t>
  </si>
  <si>
    <t>PRLD1_MOUSE</t>
  </si>
  <si>
    <t>Q8R107</t>
  </si>
  <si>
    <t>Q3UCN0; Q4QQJ9; Q6PCZ5; Q78IE2; Q9D1F7</t>
  </si>
  <si>
    <t>Preli</t>
  </si>
  <si>
    <t>MGI:1913744</t>
  </si>
  <si>
    <t>Apoptosis; Lipid transport; Mitochondrion; Transit peptide; Transport</t>
  </si>
  <si>
    <t>Apoptosis; Lipid transport; Transport</t>
  </si>
  <si>
    <t>apoptotic process {GO:0006915}; negative regulation of apoptotic process {GO:0043066}; negative regulation of mitochondrial membrane potential {GO:0010917}; negative regulation of release of cytochrome c from mitochondria {GO:0090201}; phospholipid transport {GO:0015914}; positive regulation of cellular respiration {GO:1901857}; positive regulation of endopeptidase activity {GO:0010950}; positive regulation of phospholipid transport {GO:2001140}; positive regulation of T cell apoptotic process {GO:0070234}; regulation of membrane lipid distribution {GO:0097035}; regulation of mitochondrial membrane potential {GO:0051881}; regulation of T cell differentiation {GO:0045580}</t>
  </si>
  <si>
    <t>mitochondrial intermembrane space {GO:0005758}; mitochondrion {GO:0005739}; nucleoplasm {GO:0005654}; protein-containing complex {GO:0032991}</t>
  </si>
  <si>
    <t>phosphatidic acid transfer activity {GO:1990050}</t>
  </si>
  <si>
    <t>TP53 Regulates Transcription of Genes Involved in Cytochrome C Release {R-MMU-6803204}</t>
  </si>
  <si>
    <t>sp|Q9JHS3|LTOR2_MOUSE</t>
  </si>
  <si>
    <t>Ragulator complex protein LAMTOR2</t>
  </si>
  <si>
    <t>Endosomal adaptor protein p14; Late endosomal/lysosomal Mp1-interacting protein; Late endosomal/lysosomal adaptor and MAPK and MTOR activator 2; Mitogen-activated protein-binding protein-interacting protein; Roadblock domain-containing protein 3</t>
  </si>
  <si>
    <t>LTOR2_MOUSE</t>
  </si>
  <si>
    <t>Q9JHS3</t>
  </si>
  <si>
    <t>Mapbpip; Robld3</t>
  </si>
  <si>
    <t>MGI:1932697</t>
  </si>
  <si>
    <t>3D-structure; Endosome; Lysosome; Membrane</t>
  </si>
  <si>
    <t>cellular response to amino acid stimulus {GO:0071230}; fibroblast migration {GO:0010761}; positive regulation of MAPK cascade {GO:0043410}; positive regulation of TOR signaling {GO:0032008}; protein localization {GO:0008104}; protein localization to cell junction {GO:1902414}; regulation of cell growth {GO:0001558}; regulation of cell-substrate junction organization {GO:0150116}; TORC1 signaling {GO:0038202}</t>
  </si>
  <si>
    <t>late endosome {GO:0005770}; late endosome membrane {GO:0031902}; lysosomal membrane {GO:0005765}; Ragulator complex {GO:0071986}</t>
  </si>
  <si>
    <t>Macroautophagy {R-MMU-1632852}; MTOR signalling {R-MMU-165159}; mTORC1-mediated signalling {R-MMU-166208}; Energy dependent regulation of mTOR by LKB1-AMPK {R-MMU-380972}; TP53 Regulates Metabolic Genes {R-MMU-5628897}; MAP2K and MAPK activation {R-MMU-5674135}; Neutrophil degranulation {R-MMU-6798695}; Regulation of PTEN gene transcription {R-MMU-8943724}; Amino acids regulate mTORC1 {R-MMU-9639288}</t>
  </si>
  <si>
    <t>sp|Q80ZS3|RT26_MOUSE</t>
  </si>
  <si>
    <t>28S ribosomal protein S26, mitochondrial (MRP-S26; S26mt)</t>
  </si>
  <si>
    <t>RT26_MOUSE</t>
  </si>
  <si>
    <t>Q80ZS3</t>
  </si>
  <si>
    <t>MGI:1333830</t>
  </si>
  <si>
    <t>mitochondrial inner membrane {GO:0005743}; mitochondrial small ribosomal subunit {GO:0005763}; mitochondrion {GO:0005739}; nucleoplasm {GO:0005654}</t>
  </si>
  <si>
    <t>sp|Q7TSI3|PP6R1_MOUSE</t>
  </si>
  <si>
    <t>Serine/threonine-protein phosphatase 6 regulatory subunit 1</t>
  </si>
  <si>
    <t>SAPS domain family member 1</t>
  </si>
  <si>
    <t>PP6R1_MOUSE</t>
  </si>
  <si>
    <t>Q7TSI3</t>
  </si>
  <si>
    <t>Q80TJ4</t>
  </si>
  <si>
    <t>Kiaa1115; Pp6r1; Saps1</t>
  </si>
  <si>
    <t>MGI:2442163</t>
  </si>
  <si>
    <t>protein phosphatase binding {GO:0019903}; protein phosphatase regulator activity {GO:0019888}; small GTPase binding {GO:0031267}</t>
  </si>
  <si>
    <t>sp|Q62432|SMAD2_MOUSE</t>
  </si>
  <si>
    <t>Mothers against decapentaplegic homolog 2 (MAD homolog 2; Mothers against DPP homolog 2)</t>
  </si>
  <si>
    <t>Mad-related protein 2 (mMad2); SMAD family member 2 (SMAD 2; Smad2)</t>
  </si>
  <si>
    <t>SMAD2_MOUSE</t>
  </si>
  <si>
    <t>Q62432</t>
  </si>
  <si>
    <t>Q6GU18; Q6VP00; Q9D8P6</t>
  </si>
  <si>
    <t>Madh2; Madr2</t>
  </si>
  <si>
    <t>MGI:108051</t>
  </si>
  <si>
    <t>Acetylation; Alternative splicing; Cytoplasm; DNA-binding; Metal-binding; Nucleus; Phosphoprotein; Transcription; Transcription regulation; Ubl conjugation; Zinc</t>
  </si>
  <si>
    <t>activin receptor signaling pathway {GO:0032924}; adrenal gland development {GO:0030325}; anatomical structure morphogenesis {GO:0009653}; anterior/posterior pattern specification {GO:0009952}; BMP signaling pathway {GO:0030509}; cell differentiation {GO:0030154}; cell fate commitment {GO:0045165}; common-partner SMAD protein phosphorylation {GO:0007182}; developmental growth {GO:0048589}; embryonic cranial skeleton morphogenesis {GO:0048701}; embryonic foregut morphogenesis {GO:0048617}; embryonic pattern specification {GO:0009880}; endoderm development {GO:0007492}; endoderm formation {GO:0001706}; gastrulation {GO:0007369}; heart development {GO:0007507}; in utero embryonic development {GO:0001701}; insulin secretion {GO:0030073}; intracellular signal transduction {GO:0035556}; lung development {GO:0030324}; mesoderm formation {GO:0001707}; negative regulation of cell population proliferation {GO:0008285}; negative regulation of DNA-templated transcription {GO:0045892}; negative regulation of gene expression {GO:0010629}; nodal signaling pathway {GO:0038092}; organ growth {GO:0035265}; pancreas development {GO:0031016}; paraxial mesoderm morphogenesis {GO:0048340}; pattern specification process {GO:0007389}; pericardium development {GO:0060039}; positive regulation of BMP signaling pathway {GO:0030513}; positive regulation of DNA-templated transcription {GO:0045893}; positive regulation of epithelial to mesenchymal transition {GO:0010718}; positive regulation of gene expression {GO:0010628}; positive regulation of nodal signaling pathway involved in determination of lateral mesoderm left/right asymmetry {GO:1900224}; positive regulation of transcription by RNA polymerase II {GO:0045944}; post-embryonic development {GO:0009791}; protein phosphorylation {GO:0006468}; regulation of binding {GO:0051098}; regulation of transforming growth factor beta receptor signaling pathway {GO:0017015}; response to cholesterol {GO:0070723}; response to glucose {GO:0009749}; secondary palate development {GO:0062009}; signal transduction involved in regulation of gene expression {GO:0023019}; SMAD protein complex assembly {GO:0007183}; SMAD protein signal transduction {GO:0060395}; transforming growth factor beta receptor signaling pathway {GO:0007179}; ureteric bud development {GO:0001657}; wound healing {GO:0042060}; zygotic specification of dorsal/ventral axis {GO:0007352}</t>
  </si>
  <si>
    <t>activin responsive factor complex {GO:0032444}; chromatin {GO:0000785}; cytoplasm {GO:0005737}; heteromeric SMAD protein complex {GO:0071144}; homomeric SMAD protein complex {GO:0071142}; nucleoplasm {GO:0005654}; nucleus {GO:0005634}; protein-containing complex {GO:0032991}; SMAD protein complex {GO:0071141}; transcription regulator complex {GO:0005667}</t>
  </si>
  <si>
    <t>chromatin binding {GO:0003682}; co-SMAD binding {GO:0070410}; disordered domain specific binding {GO:0097718}; DNA binding {GO:0003677}; DNA-binding transcription activator activity, RNA polymerase II-specific {GO:0001228}; DNA-binding transcription factor activity {GO:0003700}; DNA-binding transcription factor activity, RNA polymerase II-specific {GO:0000981}; DNA-binding transcription factor binding {GO:0140297}; double-stranded DNA binding {GO:0003690}; I-SMAD binding {GO:0070411}; identical protein binding {GO:0042802}; metal ion binding {GO:0046872}; phosphatase binding {GO:0019902}; R-SMAD binding {GO:0070412}; RNA polymerase II cis-regulatory region sequence-specific DNA binding {GO:0000978}; RNA polymerase II-specific DNA-binding transcription factor binding {GO:0061629}; SMAD binding {GO:0046332}; tau protein binding {GO:0048156}; transforming growth factor beta receptor binding {GO:0005160}; type I transforming growth factor beta receptor binding {GO:0034713}; ubiquitin protein ligase binding {GO:0031625}</t>
  </si>
  <si>
    <t>Signaling by NODAL {R-MMU-1181150}; Signaling by Activin {R-MMU-1502540}; Downregulation of TGF-beta receptor signaling {R-MMU-2173788}; TGF-beta receptor signaling activates SMADs {R-MMU-2173789}; Downregulation of SMAD2/3:SMAD4 transcriptional activity {R-MMU-2173795}; SMAD2/SMAD3:SMAD4 heterotrimer regulates transcription {R-MMU-2173796}; Ub-specific processing proteases {R-MMU-5689880}; FOXO-mediated transcription of cell cycle genes {R-MMU-9617828}</t>
  </si>
  <si>
    <t>sp|Q8C7E9|CSTFT_MOUSE</t>
  </si>
  <si>
    <t>Cleavage stimulation factor subunit 2 tau variant</t>
  </si>
  <si>
    <t>CF-1 64 kDa subunit tau variant; Cleavage stimulation factor 64 kDa subunit tau variant (CSTF 64 kDa subunit tau variant); TauCstF-64</t>
  </si>
  <si>
    <t>CSTFT_MOUSE</t>
  </si>
  <si>
    <t>Q8C7E9</t>
  </si>
  <si>
    <t>Q6A016; Q8BHH7; Q8C3W7; Q8R2Y1; Q9EPU3</t>
  </si>
  <si>
    <t>Kiaa0689</t>
  </si>
  <si>
    <t>MGI:1932622</t>
  </si>
  <si>
    <t>mRNA processing; Nucleus; Phosphoprotein; Repeat; RNA-binding</t>
  </si>
  <si>
    <t>intracellular membrane-bounded organelle {GO:0043231}; mRNA cleavage and polyadenylation specificity factor complex {GO:0005847}; nucleoplasm {GO:0005654}</t>
  </si>
  <si>
    <t>sp|Q8BHN5|RBM45_MOUSE</t>
  </si>
  <si>
    <t>RNA-binding protein 45</t>
  </si>
  <si>
    <t>Developmentally-regulated RNA-binding protein 1 (RB-1); RNA-binding motif protein 45</t>
  </si>
  <si>
    <t>RBM45_MOUSE</t>
  </si>
  <si>
    <t>Q8BHN5</t>
  </si>
  <si>
    <t>Q8C1Z5</t>
  </si>
  <si>
    <t>Drb1; Drbp1</t>
  </si>
  <si>
    <t>MGI:2387367</t>
  </si>
  <si>
    <t>Cytoplasm; Developmental protein; Differentiation; Isopeptide bond; Neurogenesis; Nucleus; Phosphoprotein; Repeat; RNA-binding; Ubl conjugation</t>
  </si>
  <si>
    <t>cytoplasm {GO:0005737}; nucleoplasm {GO:0005654}; nucleus {GO:0005634}; ribonucleoprotein complex {GO:1990904}</t>
  </si>
  <si>
    <t>sp|Q9ESJ0|XPO4_MOUSE</t>
  </si>
  <si>
    <t>Exportin-4 (Exp4)</t>
  </si>
  <si>
    <t>XPO4_MOUSE</t>
  </si>
  <si>
    <t>Q9ESJ0</t>
  </si>
  <si>
    <t>E9QLH3; Q6ZPJ4</t>
  </si>
  <si>
    <t>MGI:1888526</t>
  </si>
  <si>
    <t>3D-structure; Cytoplasm; Nucleus; Phosphoprotein; Protein transport; Transport</t>
  </si>
  <si>
    <t>positive regulation of protein export from nucleus {GO:0046827}; protein export from nucleus {GO:0006611}</t>
  </si>
  <si>
    <t>cytoplasm {GO:0005737}; cytosol {GO:0005829}; nuclear pore {GO:0005643}; nucleoplasm {GO:0005654}</t>
  </si>
  <si>
    <t>nuclear export signal receptor activity {GO:0005049}</t>
  </si>
  <si>
    <t>sp|Q923B0|GGACT_MOUSE</t>
  </si>
  <si>
    <t>Gamma-glutamylaminecyclotransferase (GGACT)</t>
  </si>
  <si>
    <t>AIG2-like domain-containing protein 1; Gamma-glutamylamine cyclotransferase</t>
  </si>
  <si>
    <t>GGACT_MOUSE</t>
  </si>
  <si>
    <t>Q923B0</t>
  </si>
  <si>
    <t>Q66JP0</t>
  </si>
  <si>
    <t>A2ld1</t>
  </si>
  <si>
    <t>MGI:2385008</t>
  </si>
  <si>
    <t>3D-structure; Alternative splicing; Lyase</t>
  </si>
  <si>
    <t>cellular modified amino acid catabolic process {GO:0042219}</t>
  </si>
  <si>
    <t>gamma-glutamylaminecyclotransferase activity {GO:0061929}</t>
  </si>
  <si>
    <t>sp|Q9CY16|RT28_MOUSE</t>
  </si>
  <si>
    <t>28S ribosomal protein S28, mitochondrial (MRP-S28; S28mt)</t>
  </si>
  <si>
    <t>RT28_MOUSE</t>
  </si>
  <si>
    <t>Q9CY16</t>
  </si>
  <si>
    <t>Q8R2K6</t>
  </si>
  <si>
    <t>MGI:1913480</t>
  </si>
  <si>
    <t>Acetylation; Mitochondrion; Phosphoprotein; Ribonucleoprotein; Ribosomal protein; Transit peptide</t>
  </si>
  <si>
    <t>sp|Q9QYI4|DJB12_MOUSE</t>
  </si>
  <si>
    <t>DnaJ homolog subfamily B member 12</t>
  </si>
  <si>
    <t>mDj10</t>
  </si>
  <si>
    <t>DJB12_MOUSE</t>
  </si>
  <si>
    <t>Q9QYI4</t>
  </si>
  <si>
    <t>Q8K037</t>
  </si>
  <si>
    <t>MGI:1931881</t>
  </si>
  <si>
    <t>Acetylation; Chaperone; Endoplasmic reticulum; Membrane; Methylation; Nucleus; Transmembrane; Transmembrane helix</t>
  </si>
  <si>
    <t>cellular response to misfolded protein {GO:0071218}; chaperone cofactor-dependent protein refolding {GO:0051085}; ERAD pathway {GO:0036503}; protein-containing complex assembly {GO:0065003}; ubiquitin-dependent ERAD pathway {GO:0030433}</t>
  </si>
  <si>
    <t>endoplasmic reticulum {GO:0005783}; endoplasmic reticulum membrane {GO:0005789}; integral component of endoplasmic reticulum membrane {GO:0030176}; nuclear membrane {GO:0031965}</t>
  </si>
  <si>
    <t>sp|Q8VEH3|ARL8A_MOUSE</t>
  </si>
  <si>
    <t>ADP-ribosylation factor-like protein 8A</t>
  </si>
  <si>
    <t>ADP-ribosylation factor-like protein 10B; Novel small G protein indispensable for equal chromosome segregation 2</t>
  </si>
  <si>
    <t>ARL8A_MOUSE</t>
  </si>
  <si>
    <t>Q8VEH3</t>
  </si>
  <si>
    <t>Q99KS1; Q9CTB0</t>
  </si>
  <si>
    <t>Arl10b; Gie2</t>
  </si>
  <si>
    <t>MGI:1915974</t>
  </si>
  <si>
    <t>Cell cycle; Cell division; Cell projection; Chromosome partition; Cytoplasm; Cytoskeleton; Endosome; GTP-binding; Lysosome; Membrane; Mitosis; Nucleotide-binding; Protein transport; Synapse; Transport</t>
  </si>
  <si>
    <t>anterograde axonal transport {GO:0008089}; cell cycle {GO:0007049}; cell division {GO:0051301}; chromosome segregation {GO:0007059}; protein transport {GO:0015031}</t>
  </si>
  <si>
    <t>anchoring junction {GO:0070161}; axon cytoplasm {GO:1904115}; cytoplasm {GO:0005737}; late endosome membrane {GO:0031902}; lysosomal membrane {GO:0005765}; midbody {GO:0030496}; spindle midzone {GO:0051233}; synapse {GO:0045202}</t>
  </si>
  <si>
    <t>sp|Q00897|A1AT4_MOUSE</t>
  </si>
  <si>
    <t>Alpha-1-antitrypsin 1-4</t>
  </si>
  <si>
    <t>Alpha-1 protease inhibitor 4; Serine protease inhibitor 1-4; Serine protease inhibitor A1d (Serpin A1d)</t>
  </si>
  <si>
    <t>A1AT4_MOUSE</t>
  </si>
  <si>
    <t>Q00897</t>
  </si>
  <si>
    <t>Dom4; Spi1-4</t>
  </si>
  <si>
    <t>MGI:891968</t>
  </si>
  <si>
    <t>endoplasmic reticulum {GO:0005783}; extracellular region {GO:0005576}; extracellular space {GO:0005615}; Golgi apparatus {GO:0005794}; intracellular membrane-bounded organelle {GO:0043231}</t>
  </si>
  <si>
    <t>sp|P70353|NFYC_MOUSE</t>
  </si>
  <si>
    <t>Nuclear transcription factor Y subunit gamma</t>
  </si>
  <si>
    <t>CAAT box DNA-binding protein subunit C; Nuclear transcription factor Y subunit C (NF-YC)</t>
  </si>
  <si>
    <t>NFYC_MOUSE</t>
  </si>
  <si>
    <t>P70353</t>
  </si>
  <si>
    <t>O35088; Q6GU21</t>
  </si>
  <si>
    <t>MGI:107901</t>
  </si>
  <si>
    <t>histone H3-K4 trimethylation {GO:0080182}; positive regulation of DNA-templated transcription {GO:0045893}; positive regulation of transcription by RNA polymerase II {GO:0045944}; regulation of DNA-templated transcription {GO:0006355}; regulation of histone acetylation {GO:0035065}</t>
  </si>
  <si>
    <t>CCAAT-binding factor complex {GO:0016602}; nucleoplasm {GO:0005654}; nucleus {GO:0005634}; protein-DNA complex {GO:0032993}; RNA polymerase II transcription regulator complex {GO:0090575}; transcription regulator complex {GO:0005667}</t>
  </si>
  <si>
    <t>DNA binding {GO:0003677}; DNA-binding transcription activator activity, RNA polymerase II-specific {GO:0001228}; DNA-binding transcription factor activity {GO:0003700}; protein heterodimerization activity {GO:0046982}; RNA polymerase II cis-regulatory region sequence-specific DNA binding {GO:0000978}; transcription cis-regulatory region binding {GO:0000976}</t>
  </si>
  <si>
    <t>sp|Q9DB50|AP1S2_MOUSE</t>
  </si>
  <si>
    <t>AP-1 complex subunit sigma-2</t>
  </si>
  <si>
    <t>Adaptor protein complex AP-1 subunit sigma-1B; Adaptor-related protein complex 1 subunit sigma-1B; Clathrin assembly protein complex 1 sigma-1B small chain; Golgi adaptor HA1/AP1 adaptin sigma-1B subunit; Sigma 1B subunit of AP-1 clathrin; Sigma-adaptin 1B; Sigma1B-adaptin</t>
  </si>
  <si>
    <t>AP1S2_MOUSE</t>
  </si>
  <si>
    <t>Q9DB50</t>
  </si>
  <si>
    <t>B1B0F4; Q543R7</t>
  </si>
  <si>
    <t>MGI:1889383</t>
  </si>
  <si>
    <t>Coated pit; Cytoplasmic vesicle; Golgi apparatus; Membrane; Protein transport; Transport</t>
  </si>
  <si>
    <t>adipose tissue development {GO:0060612}; establishment of localization in cell {GO:0051649}; fat cell differentiation {GO:0045444}; intracellular protein transport {GO:0006886}; melanosome assembly {GO:1903232}; neuromuscular process controlling balance {GO:0050885}; platelet dense granule organization {GO:0060155}; synaptic vesicle budding from endosome {GO:0016182}; synaptic vesicle recycling {GO:0036465}; vesicle-mediated transport {GO:0016192}; visual learning {GO:0008542}</t>
  </si>
  <si>
    <t>AP-1 adaptor complex {GO:0030121}; clathrin-coated pit {GO:0005905}; early endosome {GO:0005769}; Golgi apparatus {GO:0005794}; intracellular membrane-bounded organelle {GO:0043231}; lysosomal membrane {GO:0005765}; presynapse {GO:0098793}; trans-Golgi network membrane {GO:0032588}</t>
  </si>
  <si>
    <t>sp|Q62141|SIN3B_MOUSE</t>
  </si>
  <si>
    <t>Paired amphipathic helix protein Sin3b</t>
  </si>
  <si>
    <t>Histone deacetylase complex subunit Sin3b; Transcriptional corepressor Sin3b</t>
  </si>
  <si>
    <t>SIN3B_MOUSE</t>
  </si>
  <si>
    <t>Q62141</t>
  </si>
  <si>
    <t>O54976; Q6A013; Q8VCB8; Q8VDZ5</t>
  </si>
  <si>
    <t>Kiaa0700</t>
  </si>
  <si>
    <t>MGI:107158</t>
  </si>
  <si>
    <t>3D-structure; Alternative splicing; Nucleus; Phosphoprotein; Repeat; Repressor; Transcription; Transcription regulation; Ubl conjugation</t>
  </si>
  <si>
    <t>cardiac muscle tissue development {GO:0048738}; histone deacetylation {GO:0016575}; negative regulation of cell cycle {GO:0045786}; negative regulation of cell migration {GO:0030336}; negative regulation of DNA-templated transcription {GO:0045892}; negative regulation of transcription by RNA polymerase II {GO:0000122}; skeletal muscle tissue development {GO:0007519}</t>
  </si>
  <si>
    <t>autosome {GO:0030849}; chromatin {GO:0000785}; cytoplasm {GO:0005737}; histone deacetylase complex {GO:0000118}; nucleus {GO:0005634}; Sin3 complex {GO:0016580}; X chromosome {GO:0000805}; XY body {GO:0001741}; Y chromosome {GO:0000806}</t>
  </si>
  <si>
    <t>chromatin binding {GO:0003682}; transcription corepressor activity {GO:0003714}</t>
  </si>
  <si>
    <t>Regulation of lipid metabolism by PPARalpha {R-MMU-400206}; RUNX1 regulates genes involved in megakaryocyte differentiation and platelet function {R-MMU-8936459}; Cytoprotection by HMOX1 {R-MMU-9707564}</t>
  </si>
  <si>
    <t>sp|Q7TNE3|SPAG7_MOUSE</t>
  </si>
  <si>
    <t>Sperm-associated antigen 7</t>
  </si>
  <si>
    <t>SPAG7_MOUSE</t>
  </si>
  <si>
    <t>Q7TNE3</t>
  </si>
  <si>
    <t>Q3TM27; Q80XJ8; Q8BK16</t>
  </si>
  <si>
    <t>MGI:107380</t>
  </si>
  <si>
    <t>sp|Q99JR5|TINAL_MOUSE</t>
  </si>
  <si>
    <t>Tubulointerstitial nephritis antigen-like</t>
  </si>
  <si>
    <t>Adrenocortical zonation factor 1 (AZ-1); Androgen-regulated gene 1 protein; Tubulointerstitial nephritis antigen-related protein (TARP)</t>
  </si>
  <si>
    <t>TINAL_MOUSE</t>
  </si>
  <si>
    <t>Q99JR5</t>
  </si>
  <si>
    <t>Q9EQT9</t>
  </si>
  <si>
    <t>Arg1; Lcn7; Tinagl</t>
  </si>
  <si>
    <t>MGI:2137617</t>
  </si>
  <si>
    <t>Disulfide bond; Glycoprotein; Secreted; Signal</t>
  </si>
  <si>
    <t>collagen-containing extracellular matrix {GO:0062023}; cytoplasm {GO:0005737}; extracellular space {GO:0005615}; lysosome {GO:0005764}</t>
  </si>
  <si>
    <t>cysteine-type peptidase activity {GO:0008234}; laminin binding {GO:0043236}</t>
  </si>
  <si>
    <t>sp|Q3UBX0|TM109_MOUSE</t>
  </si>
  <si>
    <t>Transmembrane protein 109</t>
  </si>
  <si>
    <t>Mitsugumin-23 (Mg23)</t>
  </si>
  <si>
    <t>TM109_MOUSE</t>
  </si>
  <si>
    <t>Q3UBX0</t>
  </si>
  <si>
    <t>Q8R006</t>
  </si>
  <si>
    <t>MGI:1915789</t>
  </si>
  <si>
    <t>Endoplasmic reticulum; Ion channel; Ion transport; Membrane; Nucleus; Sarcoplasmic reticulum; Signal; Transmembrane; Transmembrane helix; Transport; Voltage-gated channel</t>
  </si>
  <si>
    <t>Endoplasmic reticulum; Membrane; Nucleus; Sarcoplasmic reticulum</t>
  </si>
  <si>
    <t>Ion channel; Voltage-gated channel</t>
  </si>
  <si>
    <t>cellular response to gamma radiation {GO:0071480}; intrinsic apoptotic signaling pathway in response to DNA damage by p53 class mediator {GO:0042771}; negative regulation of cell death {GO:0060548}; regulation of ion transmembrane transport {GO:0034765}</t>
  </si>
  <si>
    <t>endoplasmic reticulum {GO:0005783}; integral component of membrane {GO:0016021}; nuclear membrane {GO:0031965}; nuclear outer membrane {GO:0005640}; sarcoplasmic reticulum membrane {GO:0033017}</t>
  </si>
  <si>
    <t>voltage-gated ion channel activity {GO:0005244}</t>
  </si>
  <si>
    <t>sp|Q8VE88|F1142_MOUSE</t>
  </si>
  <si>
    <t>Protein FAM114A2</t>
  </si>
  <si>
    <t>F1142_MOUSE</t>
  </si>
  <si>
    <t>Q8VE88</t>
  </si>
  <si>
    <t>Q3UE42; Q5QNR1; Q9D310</t>
  </si>
  <si>
    <t>MGI:1917629</t>
  </si>
  <si>
    <t>sp|Q9JKS5|HABP4_MOUSE</t>
  </si>
  <si>
    <t>Intracellular hyaluronan-binding protein 4 (IHABP-4; IHABP4)</t>
  </si>
  <si>
    <t>Hyaluronic acid-binding protein 4</t>
  </si>
  <si>
    <t>HABP4_MOUSE</t>
  </si>
  <si>
    <t>Q9JKS5</t>
  </si>
  <si>
    <t>Q3UNH8; Q9D450</t>
  </si>
  <si>
    <t>MGI:1891713</t>
  </si>
  <si>
    <t>Coiled coil; Cytoplasm; Isopeptide bond; Methylation; mRNA processing; mRNA splicing; Nucleus; Phosphoprotein; RNA-binding; Transcription; Transcription regulation; Translation regulation; Ubl conjugation</t>
  </si>
  <si>
    <t>Transcription; Transcription regulation; Translation regulation; mRNA processing; mRNA splicing</t>
  </si>
  <si>
    <t>cellular response to mechanical stimulus {GO:0071260}; hyaluronan metabolic process {GO:0030212}; mRNA processing {GO:0006397}; negative regulation of DNA binding {GO:0043392}; PML body organization {GO:0030578}; positive regulation of RNA splicing {GO:0033120}; positive regulation of translational initiation {GO:0045948}; RNA splicing {GO:0008380}</t>
  </si>
  <si>
    <t>Cajal body {GO:0015030}; cytoplasm {GO:0005737}; cytoplasmic stress granule {GO:0010494}; cytosol {GO:0005829}; Gemini of coiled bodies {GO:0097504}; nuclear membrane {GO:0031965}; nuclear speck {GO:0016607}; nucleolus {GO:0005730}; nucleus {GO:0005634}; sarcomere {GO:0030017}; sarcoplasm {GO:0016528}</t>
  </si>
  <si>
    <t>hyaluronic acid binding {GO:0005540}; RNA binding {GO:0003723}; SUMO binding {GO:0032183}</t>
  </si>
  <si>
    <t>sp|Q9DB60|PXL2B_MOUSE</t>
  </si>
  <si>
    <t>Prostamide/prostaglandin F synthase (Prostamide/PG F synthase; Prostamide/PGF synthase)</t>
  </si>
  <si>
    <t>Peroxiredoxin-like 2B</t>
  </si>
  <si>
    <t>PXL2B_MOUSE</t>
  </si>
  <si>
    <t>Q9DB60</t>
  </si>
  <si>
    <t>Fam213b</t>
  </si>
  <si>
    <t>MGI:1913719</t>
  </si>
  <si>
    <t>Cytoplasm; Fatty acid biosynthesis; Fatty acid metabolism; Lipid biosynthesis; Lipid metabolism; NADP; Oxidoreductase; Phosphoprotein; Prostaglandin biosynthesis; Prostaglandin metabolism</t>
  </si>
  <si>
    <t>prostaglandin biosynthetic process {GO:0001516}</t>
  </si>
  <si>
    <t>cytoplasm {GO:0005737}; cytosol {GO:0005829}; endoplasmic reticulum {GO:0005783}; myelin sheath {GO:0043209}</t>
  </si>
  <si>
    <t>antioxidant activity {GO:0016209}; oxidoreductase activity, acting on the CH-OH group of donors, NAD or NADP as acceptor {GO:0016616}; prostaglandin-F synthase activity {GO:0047017}; thioredoxin peroxidase activity {GO:0008379}</t>
  </si>
  <si>
    <t>sp|Q8C9B9|DIDO1_MOUSE</t>
  </si>
  <si>
    <t>Death-inducer obliterator 1 (DIO-1)</t>
  </si>
  <si>
    <t>Death-associated transcription factor 1 (DATF-1)</t>
  </si>
  <si>
    <t>DIDO1_MOUSE</t>
  </si>
  <si>
    <t>Q8C9B9</t>
  </si>
  <si>
    <t>A2AJ47; A2AJ48; B2RS46; Q05C59; Q3ZTP5; Q3ZTP6; Q4V9W1; Q6ZQD7; Q80V34; Q8BMD0; Q8BRG2; Q8CHR5; Q9WV00</t>
  </si>
  <si>
    <t>Datf1; Dio1</t>
  </si>
  <si>
    <t>MGI:1344352</t>
  </si>
  <si>
    <t>3D-structure; Acetylation; Alternative splicing; Apoptosis; Cytoplasm; Cytoskeleton; Isopeptide bond; Metal-binding; Methylation; Nucleus; Phosphoprotein; Ubl conjugation; Zinc; Zinc-finger</t>
  </si>
  <si>
    <t>apoptotic signaling pathway {GO:0097190}; DNA-templated transcription {GO:0006351}</t>
  </si>
  <si>
    <t>cytoplasm {GO:0005737}; nucleoplasm {GO:0005654}; nucleus {GO:0005634}; spindle {GO:0005819}</t>
  </si>
  <si>
    <t>sp|Q9Z1E4|GYS1_MOUSE</t>
  </si>
  <si>
    <t>Glycogen [starch] synthase, muscle</t>
  </si>
  <si>
    <t>GYS1_MOUSE</t>
  </si>
  <si>
    <t>Q9Z1E4</t>
  </si>
  <si>
    <t>P54859; Q3TBN4; Q8BQG4; Q8VEB0</t>
  </si>
  <si>
    <t>Gys; Gys3</t>
  </si>
  <si>
    <t>MGI:101805</t>
  </si>
  <si>
    <t>Allosteric enzyme; Glycogen biosynthesis; Glycosyltransferase; Phosphoprotein; Transferase</t>
  </si>
  <si>
    <t>glycogen biosynthetic process {GO:0005978}; glycogen metabolic process {GO:0005977}; heart development {GO:0007507}</t>
  </si>
  <si>
    <t>cytoplasm {GO:0005737}; cytosol {GO:0005829}; inclusion body {GO:0016234}</t>
  </si>
  <si>
    <t>glucose binding {GO:0005536}; glycogen (starch) synthase activity {GO:0004373}; glycogen synthase activity, transferring glucose-1-phosphate {GO:0061547}; protein kinase binding {GO:0019901}</t>
  </si>
  <si>
    <t>sp|Q8BIL5|HOOK1_MOUSE</t>
  </si>
  <si>
    <t>Protein Hook homolog 1 (mHK1)</t>
  </si>
  <si>
    <t>HOOK1_MOUSE</t>
  </si>
  <si>
    <t>Q8BIL5</t>
  </si>
  <si>
    <t>Q8BIZ2; Q8K0P1; Q8K454; Q9CTN6</t>
  </si>
  <si>
    <t>MGI:1925213</t>
  </si>
  <si>
    <t>3D-structure; Acetylation; Alternative splicing; Coiled coil; Cytoplasm; Cytoskeleton; Developmental protein; Differentiation; Microtubule; Phosphoprotein; Protein transport; Spermatogenesis; Transport</t>
  </si>
  <si>
    <t>Differentiation; Protein transport; Spermatogenesis; Transport</t>
  </si>
  <si>
    <t>cytoplasmic microtubule organization {GO:0031122}; cytoskeleton-dependent intracellular transport {GO:0030705}; early endosome to late endosome transport {GO:0045022}; endosome organization {GO:0007032}; endosome to lysosome transport {GO:0008333}; Golgi organization {GO:0007030}; lysosome organization {GO:0007040}; manchette assembly {GO:1905198}; protein localization to perinuclear region of cytoplasm {GO:1905719}; protein transport {GO:0015031}; spermatid development {GO:0007286}</t>
  </si>
  <si>
    <t>centrosome {GO:0005813}; cytoplasm {GO:0005737}; cytosol {GO:0005829}; FHF complex {GO:0070695}; HOPS complex {GO:0030897}; microtubule {GO:0005874}; microtubule cytoskeleton {GO:0015630}</t>
  </si>
  <si>
    <t>actin binding {GO:0003779}; dynein light intermediate chain binding {GO:0051959}; identical protein binding {GO:0042802}; microtubule binding {GO:0008017}; protein homodimerization activity {GO:0042803}</t>
  </si>
  <si>
    <t>sp|Q9WUR9|KAD4_MOUSE</t>
  </si>
  <si>
    <t>Adenylate kinase 4, mitochondrial (AK 4)</t>
  </si>
  <si>
    <t>Adenylate kinase 3-like; Adenylate kinase isoenzyme 4; GTP:AMP phosphotransferase AK4</t>
  </si>
  <si>
    <t>KAD4_MOUSE</t>
  </si>
  <si>
    <t>Q9WUR9</t>
  </si>
  <si>
    <t>Q9R1X7</t>
  </si>
  <si>
    <t>Ak-4; Ak3b; Ak3l1</t>
  </si>
  <si>
    <t>MGI:87979</t>
  </si>
  <si>
    <t>Acetylation; ATP-binding; GTP-binding; Kinase; Mitochondrion; Nucleotide-binding; Transferase</t>
  </si>
  <si>
    <t>ATP-binding; GTP-binding; Nucleotide-binding</t>
  </si>
  <si>
    <t>ADP biosynthetic process {GO:0006172}; AMP metabolic process {GO:0046033}; ATP metabolic process {GO:0046034}; brain development {GO:0007420}; cellular response to hypoxia {GO:0071456}; GTP metabolic process {GO:0046039}; liver development {GO:0001889}; nucleoside diphosphate phosphorylation {GO:0006165}; nucleoside triphosphate biosynthetic process {GO:0009142}; regulation of ATP biosynthetic process {GO:2001169}; regulation of oxidative phosphorylation {GO:0002082}; response to xenobiotic stimulus {GO:0009410}</t>
  </si>
  <si>
    <t>adenylate kinase activity {GO:0004017}; ATP binding {GO:0005524}; GTP binding {GO:0005525}; nucleoside diphosphate kinase activity {GO:0004550}; nucleoside triphosphate adenylate kinase activity {GO:0046899}</t>
  </si>
  <si>
    <t>sp|Q923G2|RPAB3_MOUSE</t>
  </si>
  <si>
    <t>DNA-directed RNA polymerases I, II, and III subunit RPABC3 (RNA polymerases I, II, and III subunit ABC3)</t>
  </si>
  <si>
    <t>DNA-directed RNA polymerase II subunit H; RPB17; RPB8 homolog</t>
  </si>
  <si>
    <t>RPAB3_MOUSE</t>
  </si>
  <si>
    <t>Q923G2</t>
  </si>
  <si>
    <t>Q3TT30</t>
  </si>
  <si>
    <t>MGI:2384309</t>
  </si>
  <si>
    <t>Acetylation; DNA-binding; DNA-directed RNA polymerase; Nucleus; Transcription</t>
  </si>
  <si>
    <t>nucleoplasm {GO:0005654}; nucleus {GO:0005634}; protein-DNA complex {GO:0032993}; RNA polymerase I complex {GO:0005736}; RNA polymerase II, core complex {GO:0005665}; RNA polymerase III complex {GO:0005666}</t>
  </si>
  <si>
    <t>single-stranded DNA binding {GO:0003697}</t>
  </si>
  <si>
    <t>sp|Q9JIG7|CCD22_MOUSE</t>
  </si>
  <si>
    <t>Coiled-coil domain-containing protein 22</t>
  </si>
  <si>
    <t>CCD22_MOUSE</t>
  </si>
  <si>
    <t>Q9JIG7</t>
  </si>
  <si>
    <t>B1AVA1; Q8BYH4</t>
  </si>
  <si>
    <t>DXImx40e</t>
  </si>
  <si>
    <t>MGI:1859608</t>
  </si>
  <si>
    <t>Coiled coil; Endosome; Phosphoprotein; Protein transport; Transport; Ubl conjugation pathway</t>
  </si>
  <si>
    <t>cellular copper ion homeostasis {GO:0006878}; cholesterol homeostasis {GO:0042632}; cytoplasmic sequestering of NF-kappaB {GO:0007253}; endocytic recycling {GO:0032456}; Golgi to plasma membrane transport {GO:0006893}; negative regulation of I-kappaB kinase/NF-kappaB signaling {GO:0043124}; positive regulation of I-kappaB kinase/NF-kappaB signaling {GO:0043123}; positive regulation of ubiquitin-dependent protein catabolic process {GO:2000060}; protein transport {GO:0015031}; regulation of plasma lipoprotein particle levels {GO:0097006}</t>
  </si>
  <si>
    <t>endosome {GO:0005768}</t>
  </si>
  <si>
    <t>cullin family protein binding {GO:0097602}</t>
  </si>
  <si>
    <t>sp|Q6GV12|KDSR_MOUSE</t>
  </si>
  <si>
    <t>3-ketodihydrosphingosine reductase (KDS reductase)</t>
  </si>
  <si>
    <t>3-dehydrosphinganine reductase; Follicular variant translocation protein 1 homolog (FVT-1)</t>
  </si>
  <si>
    <t>KDSR_MOUSE</t>
  </si>
  <si>
    <t>Q6GV12</t>
  </si>
  <si>
    <t>Fvt1</t>
  </si>
  <si>
    <t>MGI:1918000</t>
  </si>
  <si>
    <t>Endoplasmic reticulum; Lipid metabolism; Membrane; NADP; Oxidoreductase; Proto-oncogene; Signal; Sphingolipid metabolism; Transmembrane; Transmembrane helix</t>
  </si>
  <si>
    <t>3-keto-sphinganine metabolic process {GO:0006666}; sphingolipid biosynthetic process {GO:0030148}</t>
  </si>
  <si>
    <t>3-dehydrosphinganine reductase activity {GO:0047560}</t>
  </si>
  <si>
    <t>Sphingolipid de novo biosynthesis {R-MMU-1660661}</t>
  </si>
  <si>
    <t>sp|Q9CY34|UB2FA_MOUSE</t>
  </si>
  <si>
    <t>NEDD8-conjugating enzyme UBE2F</t>
  </si>
  <si>
    <t>NEDD8 carrier protein UBE2F; NEDD8 protein ligase UBE2F; NEDD8-conjugating enzyme 2; RING-type E3 NEDD8 transferase UBE2F; Ubiquitin-conjugating enzyme E2 F</t>
  </si>
  <si>
    <t>UB2FA_MOUSE</t>
  </si>
  <si>
    <t>Q9CY34</t>
  </si>
  <si>
    <t>Q99JK3; Q9D8K0; Q9D8K7</t>
  </si>
  <si>
    <t>Ube2fa</t>
  </si>
  <si>
    <t>MGI:1915171</t>
  </si>
  <si>
    <t>Acetylation; ATP-binding; Nucleotide-binding; Transferase; Ubl conjugation pathway</t>
  </si>
  <si>
    <t>protein neddylation {GO:0045116}</t>
  </si>
  <si>
    <t>ATP binding {GO:0005524}; NEDD8 conjugating enzyme activity {GO:0061654}; NEDD8 transferase activity {GO:0019788}</t>
  </si>
  <si>
    <t>sp|Q9QZ23|NFU1_MOUSE</t>
  </si>
  <si>
    <t>NFU1 iron-sulfur cluster scaffold homolog, mitochondrial</t>
  </si>
  <si>
    <t>HIRA-interacting protein 5 (mHIRIP5)</t>
  </si>
  <si>
    <t>NFU1_MOUSE</t>
  </si>
  <si>
    <t>Q9QZ23</t>
  </si>
  <si>
    <t>Q3ULE0; Q6VNZ7; Q8CF80; Q9D1B7</t>
  </si>
  <si>
    <t>Hirip5</t>
  </si>
  <si>
    <t>MGI:1913290</t>
  </si>
  <si>
    <t>3D-structure; Cytoplasm; Iron; Iron-sulfur; Metal-binding; Mitochondrion; Transit peptide</t>
  </si>
  <si>
    <t>iron-sulfur cluster assembly {GO:0016226}; protein maturation by iron-sulfur cluster transfer {GO:0097428}</t>
  </si>
  <si>
    <t>cytosol {GO:0005829}; mitochondrion {GO:0005739}; nucleoplasm {GO:0005654}; nucleus {GO:0005634}</t>
  </si>
  <si>
    <t>4 iron, 4 sulfur cluster binding {GO:0051539}; iron ion binding {GO:0005506}</t>
  </si>
  <si>
    <t>sp|Q3UIA2|RHG17_MOUSE</t>
  </si>
  <si>
    <t>Rho GTPase-activating protein 17</t>
  </si>
  <si>
    <t>Neuron-associated developmentally-regulated protein (Nadrin); Rho-type GTPase-activating protein 17</t>
  </si>
  <si>
    <t>RHG17_MOUSE</t>
  </si>
  <si>
    <t>Q3UIA2</t>
  </si>
  <si>
    <t>Q3UDP7; Q8BGD1; Q99LH3; Q99N39; Q99N40</t>
  </si>
  <si>
    <t>MGI:1917747</t>
  </si>
  <si>
    <t>Alternative splicing; Cell junction; Cytoplasm; GTPase activation; Membrane; Phosphoprotein; SH3-binding; Tight junction</t>
  </si>
  <si>
    <t>Cell junction; Cytoplasm; Membrane; Tight junction</t>
  </si>
  <si>
    <t>actin filament organization {GO:0007015}; calcium-ion regulated exocytosis {GO:0017156}; regulation of actin cytoskeleton organization {GO:0032956}; regulation of Rac protein signal transduction {GO:0035020}; signal transduction {GO:0007165}</t>
  </si>
  <si>
    <t>bicellular tight junction {GO:0005923}; cytoplasm {GO:0005737}; cytosol {GO:0005829}; plasma membrane {GO:0005886}</t>
  </si>
  <si>
    <t>CDC42 GTPase cycle {R-MMU-9013148}; RAC1 GTPase cycle {R-MMU-9013149}; RAC2 GTPase cycle {R-MMU-9013404}; RHOD GTPase cycle {R-MMU-9013405}; RHOQ GTPase cycle {R-MMU-9013406}; RAC3 GTPase cycle {R-MMU-9013423}</t>
  </si>
  <si>
    <t>sp|Q9Z108|STAU1_MOUSE</t>
  </si>
  <si>
    <t>Double-stranded RNA-binding protein Staufen homolog 1</t>
  </si>
  <si>
    <t>STAU1_MOUSE</t>
  </si>
  <si>
    <t>Q9Z108</t>
  </si>
  <si>
    <t>Stau</t>
  </si>
  <si>
    <t>MGI:1338864</t>
  </si>
  <si>
    <t>Cytoplasm; Endoplasmic reticulum; Methylation; Repeat; RNA-binding</t>
  </si>
  <si>
    <t>anterograde dendritic transport of messenger ribonucleoprotein complex {GO:0098964}; dendritic transport of messenger ribonucleoprotein complex {GO:0098963}; germ cell development {GO:0007281}; intracellular mRNA localization {GO:0008298}; modification of postsynaptic structure {GO:0099010}; modulation of chemical synaptic transmission {GO:0050804}; positive regulation by virus of viral protein levels in host cell {GO:0046726}; positive regulation of long-term synaptic potentiation {GO:1900273}; positive regulation of viral genome replication {GO:0045070}; protein localization to synapse {GO:0035418}</t>
  </si>
  <si>
    <t>cell body {GO:0044297}; cytoplasm {GO:0005737}; cytoplasmic ribonucleoprotein granule {GO:0036464}; cytoplasmic stress granule {GO:0010494}; cytosol {GO:0005829}; dendrite {GO:0030425}; dendrite cytoplasm {GO:0032839}; endoplasmic reticulum {GO:0005783}; glutamatergic synapse {GO:0098978}; messenger ribonucleoprotein complex {GO:1990124}; neuron projection {GO:0043005}; neuronal cell body {GO:0043025}; plasma membrane {GO:0005886}; ribonucleoprotein complex {GO:1990904}; rough endoplasmic reticulum {GO:0005791}</t>
  </si>
  <si>
    <t>double-stranded RNA binding {GO:0003725}; mRNA binding {GO:0003729}; protein phosphatase 1 binding {GO:0008157}; RNA binding {GO:0003723}</t>
  </si>
  <si>
    <t>sp|Q8BHG9|CGBP1_MOUSE</t>
  </si>
  <si>
    <t>CGG triplet repeat-binding protein 1 (CGG-binding protein 1)</t>
  </si>
  <si>
    <t>20 kDa CGG-binding protein; p20-CGGBP DNA-binding protein</t>
  </si>
  <si>
    <t>CGBP1_MOUSE</t>
  </si>
  <si>
    <t>Q8BHG9</t>
  </si>
  <si>
    <t>Q8K2K1</t>
  </si>
  <si>
    <t>MGI:2146370</t>
  </si>
  <si>
    <t>DNA-binding; Nucleus; Phosphoprotein; Transcription; Transcription regulation</t>
  </si>
  <si>
    <t>negative regulation of transcription by RNA polymerase II {GO:0000122}; regulation of gene expression {GO:0010468}; regulation of gene expression, epigenetic {GO:0040029}</t>
  </si>
  <si>
    <t>DNA-binding transcription factor binding {GO:0140297}; double-stranded DNA binding {GO:0003690}; identical protein binding {GO:0042802}</t>
  </si>
  <si>
    <t>sp|Q9JJL8|SYSM_MOUSE</t>
  </si>
  <si>
    <t>Serine--tRNA ligase, mitochondrial</t>
  </si>
  <si>
    <t>SerRSmt; Seryl-tRNA synthetase (SerRS); Seryl-tRNA(Ser/Sec) synthetase</t>
  </si>
  <si>
    <t>SYSM_MOUSE</t>
  </si>
  <si>
    <t>Q9JJL8</t>
  </si>
  <si>
    <t>Q68FL2; Q9CWP1</t>
  </si>
  <si>
    <t>Sarsm</t>
  </si>
  <si>
    <t>MGI:1919234</t>
  </si>
  <si>
    <t>mitochondrial seryl-tRNA aminoacylation {GO:0070158}; selenocysteinyl-tRNA(Sec) biosynthetic process {GO:0097056}; seryl-tRNA aminoacylation {GO:0006434}</t>
  </si>
  <si>
    <t>ATP binding {GO:0005524}; serine-tRNA ligase activity {GO:0004828}; tRNA binding {GO:0000049}</t>
  </si>
  <si>
    <t>sp|Q9WVQ1|MAGI2_MOUSE</t>
  </si>
  <si>
    <t>Membrane-associated guanylate kinase, WW and PDZ domain-containing protein 2</t>
  </si>
  <si>
    <t>Activin receptor-interacting protein 1 (Acvrip1); Atrophin-1-interacting protein 1 (AIP-1); Membrane-associated guanylate kinase inverted 2 (MAGI-2)</t>
  </si>
  <si>
    <t>MAGI2_MOUSE</t>
  </si>
  <si>
    <t>Q9WVQ1</t>
  </si>
  <si>
    <t>Q3UH81; Q6GT88; Q8BYT1; Q8CA85</t>
  </si>
  <si>
    <t>Acvrinp1; Aip1; Arip1</t>
  </si>
  <si>
    <t>MGI:1354953</t>
  </si>
  <si>
    <t>3D-structure; Alternative splicing; Cell membrane; Cell projection; Cytoplasm; Cytoskeleton; Endocytosis; Endosome; Membrane; Neurogenesis; Phosphoprotein; Repeat; Synapse; Synaptosome</t>
  </si>
  <si>
    <t>Endocytosis; Neurogenesis</t>
  </si>
  <si>
    <t>Cell membrane; Cell projection; Cytoplasm; Cytoskeleton; Endosome; Membrane; Synapse; Synaptosome</t>
  </si>
  <si>
    <t>cellular response to nerve growth factor stimulus {GO:1990090}; clathrin-dependent endocytosis {GO:0072583}; negative regulation of activin receptor signaling pathway {GO:0032926}; negative regulation of cell migration {GO:0030336}; negative regulation of cell population proliferation {GO:0008285}; negative regulation of protein kinase B signaling {GO:0051898}; nerve growth factor signaling pathway {GO:0038180}; neuroligin clustering involved in postsynaptic membrane assembly {GO:0097118}; podocyte development {GO:0072015}; positive regulation of neuron projection development {GO:0010976}; positive regulation of phosphoprotein phosphatase activity {GO:0032516}; positive regulation of receptor internalization {GO:0002092}; positive regulation of synaptic vesicle clustering {GO:2000809}; receptor clustering {GO:0043113}; regulation of neurotransmitter receptor localization to postsynaptic specialization membrane {GO:0098696}; regulation of synaptic membrane adhesion {GO:0099179}; signal transduction {GO:0007165}; SMAD protein signal transduction {GO:0060395}</t>
  </si>
  <si>
    <t>bicellular tight junction {GO:0005923}; cell-cell junction {GO:0005911}; centriole {GO:0005814}; ciliary base {GO:0097546}; cytoplasm {GO:0005737}; dendrite {GO:0030425}; extrinsic component of postsynaptic membrane {GO:0098890}; GABA-ergic synapse {GO:0098982}; glutamatergic synapse {GO:0098978}; late endosome {GO:0005770}; nucleus {GO:0005634}; perinuclear region of cytoplasm {GO:0048471}; photoreceptor inner segment {GO:0001917}; photoreceptor outer segment {GO:0001750}; plasma membrane {GO:0005886}; postsynaptic density {GO:0014069}; protein-containing complex {GO:0032991}; slit diaphragm {GO:0036057}; synapse {GO:0045202}</t>
  </si>
  <si>
    <t>activin receptor binding {GO:0070697}; beta-1 adrenergic receptor binding {GO:0031697}; kinesin binding {GO:0019894}; phosphatase binding {GO:0019902}; protein-containing complex binding {GO:0044877}; signaling receptor complex adaptor activity {GO:0030159}; SMAD binding {GO:0046332}; structural constituent of postsynaptic density {GO:0098919}; structural constituent of postsynaptic specialization {GO:0098879}; type II activin receptor binding {GO:0070699}</t>
  </si>
  <si>
    <t>sp|P29416|HEXA_MOUSE</t>
  </si>
  <si>
    <t>Beta-hexosaminidase subunit alpha</t>
  </si>
  <si>
    <t>Beta-N-acetylhexosaminidase subunit alpha (Hexosaminidase subunit A); N-acetyl-beta-glucosaminidase subunit alpha</t>
  </si>
  <si>
    <t>HEXA_MOUSE</t>
  </si>
  <si>
    <t>P29416</t>
  </si>
  <si>
    <t>Q64246; Q91XG3</t>
  </si>
  <si>
    <t>MGI:96073</t>
  </si>
  <si>
    <t>Disulfide bond; Glycoprotein; Glycosidase; Hydrolase; Lipid metabolism; Lysosome; Signal; Zymogen</t>
  </si>
  <si>
    <t>adult walking behavior {GO:0007628}; carbohydrate metabolic process {GO:0005975}; cell morphogenesis involved in neuron differentiation {GO:0048667}; ganglioside catabolic process {GO:0006689}; glycosaminoglycan biosynthetic process {GO:0006024}; glycosaminoglycan metabolic process {GO:0030203}; hyaluronan catabolic process {GO:0030214}; lipid storage {GO:0019915}; locomotory behavior {GO:0007626}; lysosome organization {GO:0007040}; maintenance of location in cell {GO:0051651}; myelination {GO:0042552}; neuromuscular process controlling balance {GO:0050885}; neuromuscular process controlling posture {GO:0050884}; sensory perception of sound {GO:0007605}; sexual reproduction {GO:0019953}; skeletal system development {GO:0001501}; SMAD protein signal transduction {GO:0060395}</t>
  </si>
  <si>
    <t>azurophil granule {GO:0042582}; beta-N-acetylhexosaminidase complex {GO:1905379}; cytosol {GO:0005829}; intracellular membrane-bounded organelle {GO:0043231}; lysosomal lumen {GO:0043202}; lysosome {GO:0005764}; membrane {GO:0016020}</t>
  </si>
  <si>
    <t>acetylglucosaminyltransferase activity {GO:0008375}; beta-N-acetylhexosaminidase activity {GO:0004563}; N-acetyl-beta-D-galactosaminidase activity {GO:0102148}; protein heterodimerization activity {GO:0046982}</t>
  </si>
  <si>
    <t>Glycosphingolipid metabolism {R-MMU-1660662}; Keratan sulfate degradation {R-MMU-2022857}; CS/DS degradation {R-MMU-2024101}; Hyaluronan uptake and degradation {R-MMU-2160916}</t>
  </si>
  <si>
    <t>sp|Q8BY71|HAT1_MOUSE</t>
  </si>
  <si>
    <t>Histone acetyltransferase type B catalytic subunit</t>
  </si>
  <si>
    <t>Histone acetyltransferase 1</t>
  </si>
  <si>
    <t>HAT1_MOUSE</t>
  </si>
  <si>
    <t>Q8BY71</t>
  </si>
  <si>
    <t>MGI:96013</t>
  </si>
  <si>
    <t>Acetylation; Acyltransferase; Mitochondrion; Nucleus; Phosphoprotein; Transferase</t>
  </si>
  <si>
    <t>DNA replication-dependent chromatin assembly {GO:0006335}; DNA replication-independent chromatin assembly {GO:0006336}; histone H4 acetylation {GO:0043967}; subtelomeric heterochromatin assembly {GO:0031509}</t>
  </si>
  <si>
    <t>chromatin {GO:0000785}; chromosome, telomeric region {GO:0000781}; mitochondrion {GO:0005739}; nuclear matrix {GO:0016363}; nucleoplasm {GO:0005654}; protein-containing complex {GO:0032991}</t>
  </si>
  <si>
    <t>H4 histone acetyltransferase activity {GO:0010485}; histone binding {GO:0042393}</t>
  </si>
  <si>
    <t>sp|Q7TMY4|THOC7_MOUSE</t>
  </si>
  <si>
    <t>THO complex subunit 7 homolog</t>
  </si>
  <si>
    <t>Ngg1-interacting factor 3-like protein 1-binding protein 1</t>
  </si>
  <si>
    <t>THOC7_MOUSE</t>
  </si>
  <si>
    <t>Q7TMY4</t>
  </si>
  <si>
    <t>Q3UIA6; Q80VT4; Q9CQ50</t>
  </si>
  <si>
    <t>Nif3l1bp1</t>
  </si>
  <si>
    <t>MGI:1913481</t>
  </si>
  <si>
    <t>Acetylation; Alternative splicing; Coiled coil; Cytoplasm; mRNA processing; mRNA splicing; mRNA transport; Nucleus; Phosphoprotein; RNA-binding; Transport</t>
  </si>
  <si>
    <t>mRNA export from nucleus {GO:0006406}; mRNA processing {GO:0006397}; RNA splicing {GO:0008380}; viral mRNA export from host cell nucleus {GO:0046784}</t>
  </si>
  <si>
    <t>chromosome, telomeric region {GO:0000781}; cytoplasm {GO:0005737}; cytosol {GO:0005829}; nuclear speck {GO:0016607}; nucleus {GO:0005634}; THO complex {GO:0000347}; THO complex part of transcription export complex {GO:0000445}; transcription export complex {GO:0000346}</t>
  </si>
  <si>
    <t>sp|Q8BHC9|FUT11_MOUSE</t>
  </si>
  <si>
    <t>Alpha-(1,3)-fucosyltransferase 11</t>
  </si>
  <si>
    <t>Fucosyltransferase XI (Fuc-TXI; FucT-XI); Galactoside 3-L-fucosyltransferase 11 (Fucosyltransferase 11)</t>
  </si>
  <si>
    <t>FUT11_MOUSE</t>
  </si>
  <si>
    <t>Q8BHC9</t>
  </si>
  <si>
    <t>Q9CXS9</t>
  </si>
  <si>
    <t>MGI:1920318</t>
  </si>
  <si>
    <t>Disulfide bond; Glycoprotein; Glycosyltransferase; Golgi apparatus; Membrane; Signal-anchor; Transferase; Transmembrane; Transmembrane helix</t>
  </si>
  <si>
    <t>fucosylation {GO:0036065}; N-glycan fucosylation {GO:0036071}; protein glycosylation {GO:0006486}</t>
  </si>
  <si>
    <t>Golgi cisterna membrane {GO:0032580}; Golgi membrane {GO:0000139}; integral component of membrane {GO:0016021}</t>
  </si>
  <si>
    <t>alpha-(1-&gt;3)-fucosyltransferase activity {GO:0046920}; fucosyltransferase activity {GO:0008417}</t>
  </si>
  <si>
    <t>Lewis blood group biosynthesis {R-MMU-9037629}</t>
  </si>
  <si>
    <t>sp|P62311|LSM3_MOUSE</t>
  </si>
  <si>
    <t>U6 snRNA-associated Sm-like protein LSm3</t>
  </si>
  <si>
    <t>LSM3_MOUSE</t>
  </si>
  <si>
    <t>P62311</t>
  </si>
  <si>
    <t>Q9Y4Z1</t>
  </si>
  <si>
    <t>MGI:1914928</t>
  </si>
  <si>
    <t>mRNA splicing, via spliceosome {GO:0000398}; P-body assembly {GO:0033962}</t>
  </si>
  <si>
    <t>catalytic step 2 spliceosome {GO:0071013}; Lsm1-7-Pat1 complex {GO:1990726}; Lsm2-8 complex {GO:0120115}; nucleus {GO:0005634}; P-body {GO:0000932}; precatalytic spliceosome {GO:0071011}; U2-type precatalytic spliceosome {GO:0071005}; U4/U6 x U5 tri-snRNP complex {GO:0046540}; U6 snRNP {GO:0005688}</t>
  </si>
  <si>
    <t>RNA binding {GO:0003723}; U6 snRNA 3'-end binding {GO:0030629}</t>
  </si>
  <si>
    <t>sp|Q8CCB4|VPS53_MOUSE</t>
  </si>
  <si>
    <t>Vacuolar protein sorting-associated protein 53 homolog</t>
  </si>
  <si>
    <t>VPS53_MOUSE</t>
  </si>
  <si>
    <t>Q8CCB4</t>
  </si>
  <si>
    <t>Q8C7U0; Q8CIA1; Q9CX82; Q9D6T7</t>
  </si>
  <si>
    <t>MGI:1915549</t>
  </si>
  <si>
    <t>Acetylation; Alternative splicing; Coiled coil; Endosome; Golgi apparatus; Membrane; Phosphoprotein; Protein transport; Transport</t>
  </si>
  <si>
    <t>endocytic recycling {GO:0032456}; lysosomal transport {GO:0007041}; protein transport {GO:0015031}; retrograde transport, endosome to Golgi {GO:0042147}</t>
  </si>
  <si>
    <t>cytosol {GO:0005829}; EARP complex {GO:1990745}; endosome membrane {GO:0010008}; GARP complex {GO:0000938}; Golgi apparatus {GO:0005794}; intracellular membrane-bounded organelle {GO:0043231}; membrane {GO:0016020}; perinuclear region of cytoplasm {GO:0048471}; recycling endosome {GO:0055037}; trans-Golgi network {GO:0005802}</t>
  </si>
  <si>
    <t>sp|Q2NL51|GSK3A_MOUSE</t>
  </si>
  <si>
    <t>Glycogen synthase kinase-3 alpha (GSK-3 alpha)</t>
  </si>
  <si>
    <t>Serine/threonine-protein kinase GSK3A</t>
  </si>
  <si>
    <t>GSK3A_MOUSE</t>
  </si>
  <si>
    <t>Q2NL51</t>
  </si>
  <si>
    <t>MGI:2152453</t>
  </si>
  <si>
    <t>Acetylation; ATP-binding; Carbohydrate metabolism; Glycogen metabolism; Kinase; Neurogenesis; Nucleotide-binding; Phosphoprotein; Serine/threonine-protein kinase; Signal transduction inhibitor; Transferase; Wnt signaling pathway</t>
  </si>
  <si>
    <t>Carbohydrate metabolism; Glycogen metabolism; Neurogenesis; Wnt signaling pathway</t>
  </si>
  <si>
    <t>Kinase; Serine/threonine-protein kinase; Signal transduction inhibitor; Transferase</t>
  </si>
  <si>
    <t>aging {GO:0007568}; cardiac left ventricle morphogenesis {GO:0003214}; cell migration {GO:0016477}; cellular response to glucocorticoid stimulus {GO:0071385}; cellular response to insulin stimulus {GO:0032869}; cellular response to interleukin-3 {GO:0036016}; cellular response to lithium ion {GO:0071285}; cellular response to organic cyclic compound {GO:0071407}; extrinsic apoptotic signaling pathway {GO:0097191}; extrinsic apoptotic signaling pathway in absence of ligand {GO:0097192}; glycogen metabolic process {GO:0005977}; hypermethylation of CpG island {GO:0044027}; insulin receptor signaling pathway {GO:0008286}; negative regulation of canonical Wnt signaling pathway {GO:0090090}; negative regulation of cell growth involved in cardiac muscle cell development {GO:0061052}; negative regulation of dendrite development {GO:2000171}; negative regulation of glucose import {GO:0046325}; negative regulation of glycogen synthase activity, transferring glucose-1-phosphate {GO:1904227}; negative regulation of insulin receptor signaling pathway {GO:0046627}; negative regulation of TOR signaling {GO:0032007}; nervous system development {GO:0007399}; peptidyl-serine phosphorylation {GO:0018105}; peptidyl-threonine phosphorylation {GO:0018107}; positive regulation of adenylate cyclase-activating adrenergic receptor signaling pathway {GO:0071879}; positive regulation of adenylate cyclase-activating G protein-coupled receptor signaling pathway {GO:0106071}; positive regulation of amyloid-beta formation {GO:1902004}; positive regulation of autophagy {GO:0010508}; positive regulation of gene expression {GO:0010628}; positive regulation of glycogen (starch) synthase activity {GO:2000467}; positive regulation of heart contraction {GO:0045823}; positive regulation of mitochondrial outer membrane permeabilization involved in apoptotic signaling pathway {GO:1901030}; positive regulation of neuron apoptotic process {GO:0043525}; positive regulation of peptidyl-serine phosphorylation {GO:0033138}; positive regulation of peptidyl-threonine phosphorylation {GO:0010800}; positive regulation of proteasomal ubiquitin-dependent protein catabolic process {GO:0032436}; positive regulation of protein targeting to mitochondrion {GO:1903955}; positive regulation of protein ubiquitination {GO:0031398}; positive regulation of transcription by RNA polymerase II {GO:0045944}; proteasome-mediated ubiquitin-dependent protein catabolic process {GO:0043161}; protein phosphorylation {GO:0006468}; regulation of autophagy of mitochondrion {GO:1903146}; regulation of gene expression by genomic imprinting {GO:0006349}; regulation of neuron projection development {GO:0010975}; regulation of systemic arterial blood pressure {GO:0003073}; signal transduction {GO:0007165}; Wnt signaling pathway {GO:0016055}</t>
  </si>
  <si>
    <t>axon {GO:0030424}; beta-catenin destruction complex {GO:0030877}; cytoplasm {GO:0005737}; cytosol {GO:0005829}; microtubule {GO:0005874}; mitochondrion {GO:0005739}; nucleus {GO:0005634}</t>
  </si>
  <si>
    <t>ATP binding {GO:0005524}; protein kinase A catalytic subunit binding {GO:0034236}; protein kinase activity {GO:0004672}; protein kinase binding {GO:0019901}; protein serine kinase activity {GO:0106310}; protein serine/threonine kinase activity {GO:0004674}; signaling receptor binding {GO:0005102}; tau-protein kinase activity {GO:0050321}</t>
  </si>
  <si>
    <t>sp|Q9D1P0|RM13_MOUSE</t>
  </si>
  <si>
    <t>39S ribosomal protein L13, mitochondrial (L13mt; MRP-L13)</t>
  </si>
  <si>
    <t>RM13_MOUSE</t>
  </si>
  <si>
    <t>Q9D1P0</t>
  </si>
  <si>
    <t>MGI:2137218</t>
  </si>
  <si>
    <t>mitochondrial translation {GO:0032543}; negative regulation of translation {GO:0017148}; translation {GO:0006412}</t>
  </si>
  <si>
    <t>mitochondrial inner membrane {GO:0005743}; mitochondrial large ribosomal subunit {GO:0005762}; mitochondrial ribosome {GO:0005761}; mitochondrion {GO:0005739}; ribosome {GO:0005840}</t>
  </si>
  <si>
    <t>sp|Q9D0M0|EXOS7_MOUSE</t>
  </si>
  <si>
    <t>Exosome complex exonuclease RRP42</t>
  </si>
  <si>
    <t>Exosome component 7; Ribosomal RNA-processing protein 42</t>
  </si>
  <si>
    <t>EXOS7_MOUSE</t>
  </si>
  <si>
    <t>Q9D0M0</t>
  </si>
  <si>
    <t>Q4VBW5; Q9CT77</t>
  </si>
  <si>
    <t>Rrp42</t>
  </si>
  <si>
    <t>MGI:1913696</t>
  </si>
  <si>
    <t>Acetylation; Cytoplasm; Exosome; Nucleus; RNA-binding; rRNA processing</t>
  </si>
  <si>
    <t>exonucleolytic catabolism of deadenylated mRNA {GO:0043928}; exonucleolytic trimming to generate mature 3'-end of 5.8S rRNA from tricistronic rRNA transcript (SSU-rRNA, 5.8S rRNA, LSU-rRNA) {GO:0000467}; nuclear mRNA surveillance {GO:0071028}; nuclear polyadenylation-dependent mRNA catabolic process {GO:0071042}; nuclear polyadenylation-dependent rRNA catabolic process {GO:0071035}; nuclear polyadenylation-dependent tRNA catabolic process {GO:0071038}; nuclear-transcribed mRNA catabolic process, exonucleolytic, 3'-5' {GO:0034427}; RNA catabolic process {GO:0006401}; RNA processing {GO:0006396}; rRNA catabolic process {GO:0016075}; U1 snRNA 3'-end processing {GO:0034473}; U4 snRNA 3'-end processing {GO:0034475}; U5 snRNA 3'-end processing {GO:0034476}</t>
  </si>
  <si>
    <t>sp|Q6DVA0|LEMD2_MOUSE</t>
  </si>
  <si>
    <t>LEM domain-containing protein 2</t>
  </si>
  <si>
    <t>Nuclear envelope transmembrane protein 25 (NET25)</t>
  </si>
  <si>
    <t>LEMD2_MOUSE</t>
  </si>
  <si>
    <t>Q6DVA0</t>
  </si>
  <si>
    <t>Q8C4H8; Q8R0N2</t>
  </si>
  <si>
    <t>Lem2</t>
  </si>
  <si>
    <t>MGI:2385045</t>
  </si>
  <si>
    <t>Acetylation; Cytoplasm; Cytoskeleton; Membrane; Nucleus; Phosphoprotein; Transmembrane; Transmembrane helix</t>
  </si>
  <si>
    <t>heart formation {GO:0060914}; negative regulation of BMP signaling pathway {GO:0030514}; negative regulation of MAPK cascade {GO:0043409}; negative regulation of protein kinase B signaling {GO:0051898}; neurogenesis {GO:0022008}; nuclear envelope organization {GO:0006998}; protein localization to chromatin {GO:0071168}; skeletal muscle cell differentiation {GO:0035914}</t>
  </si>
  <si>
    <t>chromatin {GO:0000785}; endoplasmic reticulum {GO:0005783}; integral component of nuclear inner membrane {GO:0005639}; nuclear envelope {GO:0005635}; nuclear membrane {GO:0031965}; spindle {GO:0005819}</t>
  </si>
  <si>
    <t>chromatin DNA binding {GO:0031490}</t>
  </si>
  <si>
    <t>sp|Q99104|MYO5A_MOUSE</t>
  </si>
  <si>
    <t>Unconventional myosin-Va</t>
  </si>
  <si>
    <t>Dilute myosin heavy chain, non-muscle</t>
  </si>
  <si>
    <t>MYO5A_MOUSE</t>
  </si>
  <si>
    <t>Q99104</t>
  </si>
  <si>
    <t>E9PUE5</t>
  </si>
  <si>
    <t>Dilute</t>
  </si>
  <si>
    <t>MGI:105976</t>
  </si>
  <si>
    <t>3D-structure; Acetylation; Actin-binding; ATP-binding; Calmodulin-binding; Coiled coil; Motor protein; Myosin; Nucleotide-binding; Phosphoprotein; Protein transport; Repeat; Transport</t>
  </si>
  <si>
    <t>actin filament organization {GO:0007015}; actin filament-based movement {GO:0030048}; axo-dendritic protein transport {GO:0099640}; cellular response to insulin stimulus {GO:0032869}; chemical synaptic transmission {GO:0007268}; developmental pigmentation {GO:0048066}; dopamine metabolic process {GO:0042417}; endoplasmic reticulum localization {GO:0051643}; establishment of endoplasmic reticulum localization to postsynapse {GO:0099089}; exocytosis {GO:0006887}; hair follicle maturation {GO:0048820}; insulin secretion {GO:0030073}; locomotion involved in locomotory behavior {GO:0031987}; long-chain fatty acid biosynthetic process {GO:0042759}; macroautophagy {GO:0016236}; melanin biosynthetic process {GO:0042438}; melanin metabolic process {GO:0006582}; melanocyte differentiation {GO:0030318}; melanosome localization {GO:0032400}; melanosome transport {GO:0032402}; myelination {GO:0042552}; negative regulation of dopamine secretion {GO:0033602}; negative regulation of synaptic transmission, glutamatergic {GO:0051967}; odontogenesis {GO:0042476}; pigmentation {GO:0043473}; positive regulation of cellular response to insulin stimulus {GO:1900078}; positive regulation of cytochrome-c oxidase activity {GO:1904960}; positive regulation of protein localization to plasma membrane {GO:1903078}; positive regulation of vascular associated smooth muscle cell migration {GO:1904754}; post-Golgi vesicle-mediated transport {GO:0006892}; protein localization to plasma membrane {GO:0072659}; protein-containing complex assembly {GO:0065003}; reactive gliosis {GO:0150103}; regulation of exocytosis {GO:0017157}; regulation of inositol 1,4,5-trisphosphate-sensitive calcium-release channel activity {GO:0031585}; regulation of postsynaptic cytosolic calcium ion concentration {GO:0099566}; secretory granule localization {GO:0032252}; synapse organization {GO:0050808}; vesicle transport along actin filament {GO:0030050}; vesicle-mediated transport {GO:0016192}; visual perception {GO:0007601}</t>
  </si>
  <si>
    <t>actin cytoskeleton {GO:0015629}; actin filament {GO:0005884}; actomyosin {GO:0042641}; actomyosin, myosin complex part {GO:0042642}; axon {GO:0030424}; cytoplasm {GO:0005737}; cytosol {GO:0005829}; dendrite {GO:0030425}; early endosome {GO:0005769}; endoplasmic reticulum {GO:0005783}; filopodium tip {GO:0032433}; glutamatergic synapse {GO:0098978}; Golgi apparatus {GO:0005794}; insulin-responsive compartment {GO:0032593}; intermediate filament {GO:0005882}; late endosome {GO:0005770}; lysosome {GO:0005764}; melanosome {GO:0042470}; membrane {GO:0016020}; myosin complex {GO:0016459}; neuron projection {GO:0043005}; neuronal cell body {GO:0043025}; peroxisome {GO:0005777}; photoreceptor outer segment {GO:0001750}; postsynapse {GO:0098794}; postsynaptic actin cytoskeleton {GO:0098871}; recycling endosome {GO:0055037}; ribonucleoprotein complex {GO:1990904}; ruffle {GO:0001726}; Schaffer collateral - CA1 synapse {GO:0098685}; secretory granule {GO:0030141}; smooth endoplasmic reticulum {GO:0005790}; synaptic vesicle {GO:0008021}; unconventional myosin complex {GO:0016461}; vesicle {GO:0031982}</t>
  </si>
  <si>
    <t>actin binding {GO:0003779}; actin filament binding {GO:0051015}; ATP binding {GO:0005524}; ATP-dependent protein binding {GO:0043008}; calcium ion binding {GO:0005509}; calcium-dependent protein binding {GO:0048306}; calmodulin binding {GO:0005516}; cytoskeletal motor activity {GO:0003774}; disordered domain specific binding {GO:0097718}; identical protein binding {GO:0042802}; microfilament motor activity {GO:0000146}; protein kinase binding {GO:0019901}; protein-containing complex binding {GO:0044877}; small GTPase binding {GO:0031267}; SNARE binding {GO:0000149}; syntaxin-1 binding {GO:0017075}</t>
  </si>
  <si>
    <t>Regulation of actin dynamics for phagocytic cup formation {R-MMU-2029482}</t>
  </si>
  <si>
    <t>sp|Q9D6L8|PPIL3_MOUSE</t>
  </si>
  <si>
    <t>Peptidyl-prolyl cis-trans isomerase-like 3 (PPIase)</t>
  </si>
  <si>
    <t>CYP10L; Cyclophilin-like protein PPIL3; Rotamase PPIL3</t>
  </si>
  <si>
    <t>PPIL3_MOUSE</t>
  </si>
  <si>
    <t>Q9D6L8</t>
  </si>
  <si>
    <t>Q812D2; Q9CY23</t>
  </si>
  <si>
    <t>Cyp10l</t>
  </si>
  <si>
    <t>MGI:1917475</t>
  </si>
  <si>
    <t>Acetylation; Alternative splicing; Isomerase; Methylation; mRNA processing; mRNA splicing; Rotamase; Spliceosome</t>
  </si>
  <si>
    <t>Spliceosome</t>
  </si>
  <si>
    <t>mRNA processing {GO:0006397}; protein folding {GO:0006457}; protein peptidyl-prolyl isomerization {GO:0000413}; RNA splicing {GO:0008380}</t>
  </si>
  <si>
    <t>catalytic step 2 spliceosome {GO:0071013}</t>
  </si>
  <si>
    <t>sp|Q99ME2|WDR6_MOUSE</t>
  </si>
  <si>
    <t>WD repeat-containing protein 6 (mWDR6)</t>
  </si>
  <si>
    <t>WDR6_MOUSE</t>
  </si>
  <si>
    <t>Q99ME2</t>
  </si>
  <si>
    <t>MGI:1930140</t>
  </si>
  <si>
    <t>Acetylation; Cell cycle; Cytoplasm; Repeat; WD repeat</t>
  </si>
  <si>
    <t>G1 to G0 transition {GO:0070314}; negative regulation of autophagy {GO:0010507}; negative regulation of cell population proliferation {GO:0008285}; tRNA methylation {GO:0030488}</t>
  </si>
  <si>
    <t>COP9 signalosome {GO:0008180}; cytoplasm {GO:0005737}; cytosol {GO:0005829}; plasma membrane {GO:0005886}; protein-containing complex {GO:0032991}</t>
  </si>
  <si>
    <t>insulin receptor substrate binding {GO:0043560}</t>
  </si>
  <si>
    <t>RHOU GTPase cycle {R-MMU-9013420}; RHOV GTPase cycle {R-MMU-9013424}; RND3 GTPase cycle {R-MMU-9696264}; RND2 GTPase cycle {R-MMU-9696270}; RND1 GTPase cycle {R-MMU-9696273}</t>
  </si>
  <si>
    <t>sp|Q9CZG3|COMD8_MOUSE</t>
  </si>
  <si>
    <t>COMM domain-containing protein 8</t>
  </si>
  <si>
    <t>COMD8_MOUSE</t>
  </si>
  <si>
    <t>Q9CZG3</t>
  </si>
  <si>
    <t>Q9D7F6</t>
  </si>
  <si>
    <t>MGI:1343485</t>
  </si>
  <si>
    <t>sp|P70444|BID_MOUSE</t>
  </si>
  <si>
    <t>BH3-interacting domain death agonist p11</t>
  </si>
  <si>
    <t>p22 BID (BID); p15 BID; p13 BID; p11 BID</t>
  </si>
  <si>
    <t>BID_MOUSE</t>
  </si>
  <si>
    <t>P70444</t>
  </si>
  <si>
    <t>Q99M39</t>
  </si>
  <si>
    <t>MGI:108093</t>
  </si>
  <si>
    <t>3D-structure; Acetylation; Apoptosis; Cytoplasm; Membrane; Mitochondrion; Mitochondrion outer membrane; Phosphoprotein; Ubl conjugation</t>
  </si>
  <si>
    <t>activation of cysteine-type endopeptidase activity involved in apoptotic process {GO:0006919}; apoptotic mitochondrial changes {GO:0008637}; establishment of protein localization to membrane {GO:0090150}; extrinsic apoptotic signaling pathway {GO:0097191}; hepatocyte apoptotic process {GO:0097284}; mitochondrial ATP synthesis coupled electron transport {GO:0042775}; mitochondrial outer membrane permeabilization {GO:0097345}; negative regulation of intrinsic apoptotic signaling pathway in response to DNA damage {GO:1902230}; positive regulation of apoptotic process {GO:0043065}; positive regulation of apoptotic signaling pathway {GO:2001235}; positive regulation of autophagy in response to ER overload {GO:0034263}; positive regulation of extrinsic apoptotic signaling pathway {GO:2001238}; positive regulation of fibroblast apoptotic process {GO:2000271}; positive regulation of intrinsic apoptotic signaling pathway {GO:2001244}; positive regulation of mitochondrial membrane potential {GO:0010918}; positive regulation of protein-containing complex assembly {GO:0031334}; positive regulation of release of cytochrome c from mitochondria {GO:0090200}; protein targeting to mitochondrion {GO:0006626}; protein-containing complex assembly {GO:0065003}; regulation of apoptotic process {GO:0042981}; regulation of epithelial cell proliferation {GO:0050678}; regulation of G1/S transition of mitotic cell cycle {GO:2000045}; regulation of mitochondrial membrane permeability involved in apoptotic process {GO:1902108}; regulation of T cell proliferation {GO:0042129}; release of cytochrome c from mitochondria {GO:0001836}; signal transduction in response to DNA damage {GO:0042770}; supramolecular fiber organization {GO:0097435}</t>
  </si>
  <si>
    <t>cytosol {GO:0005829}; integral component of mitochondrial membrane {GO:0032592}; membrane {GO:0016020}; mitochondrial outer membrane {GO:0005741}; mitochondrion {GO:0005739}</t>
  </si>
  <si>
    <t>Activation of BAD and translocation to mitochondria {R-MMU-111447}; Activation and oligomerization of BAK protein {R-MMU-111452}; BH3-only proteins associate with and inactivate anti-apoptotic BCL-2 members {R-MMU-111453}; Activation, translocation and oligomerization of BAX {R-MMU-114294}; Activation, myristolyation of BID and translocation to mitochondria {R-MMU-75108}</t>
  </si>
  <si>
    <t>sp|Q8R0X7|SGPL1_MOUSE</t>
  </si>
  <si>
    <t>Sphingosine-1-phosphate lyase 1 (S1PL; SP-lyase 1; SPL 1; mSPL)</t>
  </si>
  <si>
    <t>Sphingosine-1-phosphate aldolase</t>
  </si>
  <si>
    <t>SGPL1_MOUSE</t>
  </si>
  <si>
    <t>Q8R0X7</t>
  </si>
  <si>
    <t>O54955; Q8C942</t>
  </si>
  <si>
    <t>MGI:1261415</t>
  </si>
  <si>
    <t>Acetylation; Apoptosis; Endoplasmic reticulum; Lipid metabolism; Lyase; Membrane; Nitration; Phosphoprotein; Pyridoxal phosphate; Signal-anchor; Sphingolipid metabolism; Transmembrane; Transmembrane helix</t>
  </si>
  <si>
    <t>Apoptosis; Lipid metabolism; Sphingolipid metabolism</t>
  </si>
  <si>
    <t>androgen metabolic process {GO:0008209}; apoptotic signaling pathway {GO:0097190}; ceramide metabolic process {GO:0006672}; estrogen metabolic process {GO:0008210}; face morphogenesis {GO:0060325}; fatty acid metabolic process {GO:0006631}; female gonad development {GO:0008585}; fibroblast migration {GO:0010761}; hemopoiesis {GO:0030097}; kidney development {GO:0001822}; Leydig cell differentiation {GO:0033327}; luteinization {GO:0001553}; nitrogen compound metabolic process {GO:0006807}; platelet-derived growth factor receptor signaling pathway {GO:0048008}; post-embryonic development {GO:0009791}; regulation of multicellular organism growth {GO:0040014}; roof of mouth development {GO:0060021}; skeletal system morphogenesis {GO:0048705}; spermatogenesis {GO:0007283}; sphingolipid catabolic process {GO:0030149}; vasculogenesis {GO:0001570}</t>
  </si>
  <si>
    <t>pyridoxal phosphate binding {GO:0030170}; sphinganine-1-phosphate aldolase activity {GO:0008117}</t>
  </si>
  <si>
    <t>sp|Q6P8M1|TATD1_MOUSE</t>
  </si>
  <si>
    <t>Deoxyribonuclease TATDN1</t>
  </si>
  <si>
    <t>TATD1_MOUSE</t>
  </si>
  <si>
    <t>Q6P8M1</t>
  </si>
  <si>
    <t>Q8BY37</t>
  </si>
  <si>
    <t>MGI:1916944</t>
  </si>
  <si>
    <t>Alternative splicing; Hydrolase; Metal-binding; Nuclease; Nucleus</t>
  </si>
  <si>
    <t>3'-5'-exodeoxyribonuclease activity {GO:0008296}; metal ion binding {GO:0046872}</t>
  </si>
  <si>
    <t>sp|P23249|MOV10_MOUSE</t>
  </si>
  <si>
    <t>Putative helicase MOV-10</t>
  </si>
  <si>
    <t>Moloney leukemia virus 10 protein</t>
  </si>
  <si>
    <t>MOV10_MOUSE</t>
  </si>
  <si>
    <t>P23249</t>
  </si>
  <si>
    <t>Q9DC64</t>
  </si>
  <si>
    <t>Gb110</t>
  </si>
  <si>
    <t>MGI:97054</t>
  </si>
  <si>
    <t>Acetylation; ATP-binding; Cytoplasm; Helicase; Hydrolase; Nucleotide-binding; Nucleus; Phosphoprotein; RNA-binding; RNA-mediated gene silencing</t>
  </si>
  <si>
    <t>3'-UTR-mediated mRNA destabilization {GO:0061158}; defense response to virus {GO:0051607}; miRNA-mediated gene silencing {GO:0035195}; miRNA-mediated gene silencing by mRNA destabilization {GO:0035279}; negative regulation of transposition, RNA-mediated {GO:0010526}; positive regulation of mRNA catabolic process {GO:0061014}; post-transcriptional gene silencing by RNA {GO:0035194}; regulation of neuron projection arborization {GO:0150011}</t>
  </si>
  <si>
    <t>cytoplasmic ribonucleoprotein granule {GO:0036464}; cytoplasmic stress granule {GO:0010494}; cytosol {GO:0005829}; nucleus {GO:0005634}; P granule {GO:0043186}; P-body {GO:0000932}</t>
  </si>
  <si>
    <t>5'-3' RNA helicase activity {GO:0032574}; ATP binding {GO:0005524}; ATP hydrolysis activity {GO:0016887}; RNA binding {GO:0003723}</t>
  </si>
  <si>
    <t>sp|P62746|RHOB_MOUSE</t>
  </si>
  <si>
    <t>Rho-related GTP-binding protein RhoB</t>
  </si>
  <si>
    <t>RHOB_MOUSE</t>
  </si>
  <si>
    <t>P62746</t>
  </si>
  <si>
    <t>P01121; Q9CUV7</t>
  </si>
  <si>
    <t>Arhb</t>
  </si>
  <si>
    <t>MGI:107949</t>
  </si>
  <si>
    <t>Angiogenesis; Apoptosis; Cell adhesion; Cell membrane; Developmental protein; Differentiation; Endosome; GTP-binding; Lipoprotein; Membrane; Methylation; Nucleotide-binding; Nucleus; Palmitate; Phosphoprotein; Prenylation; Protein transport; Transport; Tumor suppressor</t>
  </si>
  <si>
    <t>Angiogenesis; Apoptosis; Cell adhesion; Differentiation; Protein transport; Transport</t>
  </si>
  <si>
    <t>Cell membrane; Endosome; Membrane; Nucleus</t>
  </si>
  <si>
    <t>actin filament organization {GO:0007015}; angiogenesis {GO:0001525}; apoptotic process {GO:0006915}; cell adhesion {GO:0007155}; cell differentiation {GO:0030154}; cell migration {GO:0016477}; cellular response to hydrogen peroxide {GO:0070301}; cellular response to ionizing radiation {GO:0071479}; cortical cytoskeleton organization {GO:0030865}; endosome to lysosome transport {GO:0008333}; endothelial tube morphogenesis {GO:0061154}; establishment or maintenance of cell polarity {GO:0007163}; intracellular protein transport {GO:0006886}; mitotic cytokinesis {GO:0000281}; negative regulation of cell cycle {GO:0045786}; negative regulation of cell migration {GO:0030336}; positive regulation of angiogenesis {GO:0045766}; positive regulation of apoptotic process {GO:0043065}; positive regulation of endothelial cell migration {GO:0010595}; regulation of actin cytoskeleton organization {GO:0032956}; regulation of cell migration {GO:0030334}; regulation of cell shape {GO:0008360}; small GTPase mediated signal transduction {GO:0007264}</t>
  </si>
  <si>
    <t>cell cortex {GO:0005938}; cell projection {GO:0042995}; cleavage furrow {GO:0032154}; cytoplasmic vesicle {GO:0031410}; cytoskeleton {GO:0005856}; cytosol {GO:0005829}; early endosome {GO:0005769}; endosome membrane {GO:0010008}; late endosome {GO:0005770}; late endosome membrane {GO:0031902}; membrane {GO:0016020}; nucleus {GO:0005634}; plasma membrane {GO:0005886}</t>
  </si>
  <si>
    <t>GDP binding {GO:0019003}; GTP binding {GO:0005525}; GTPase activity {GO:0003924}; protein kinase binding {GO:0019901}</t>
  </si>
  <si>
    <t>GPVI-mediated activation cascade {R-MMU-114604}; G alpha (12/13) signalling events {R-MMU-416482}; Sema4D induced cell migration and growth-cone collapse {R-MMU-416572}; RHO GTPases activate PKNs {R-MMU-5625740}; RHO GTPases activate CIT {R-MMU-5625900}; RHO GTPases Activate ROCKs {R-MMU-5627117}; RHO GTPases Activate Formins {R-MMU-5663220}; RHOB GTPase cycle {R-MMU-9013026}</t>
  </si>
  <si>
    <t>sp|Q64314|CD34_MOUSE</t>
  </si>
  <si>
    <t>Hematopoietic progenitor cell antigen CD34</t>
  </si>
  <si>
    <t>CD_antigen=CD34</t>
  </si>
  <si>
    <t>CD34_MOUSE</t>
  </si>
  <si>
    <t>Q64314</t>
  </si>
  <si>
    <t>Q62550; Q62551</t>
  </si>
  <si>
    <t>MGI:88329</t>
  </si>
  <si>
    <t>Alternative splicing; Cell adhesion; Glycoprotein; Membrane; Phosphoprotein; Signal; Transmembrane; Transmembrane helix</t>
  </si>
  <si>
    <t>cell-cell adhesion {GO:0098609}; cell-matrix adhesion {GO:0007160}; endothelial cell proliferation {GO:0001935}; extracellular exosome assembly {GO:0071971}; glomerular endothelium development {GO:0072011}; glomerular filtration {GO:0003094}; hematopoietic stem cell proliferation {GO:0071425}; hemopoiesis {GO:0030097}; leukocyte migration {GO:0050900}; mesangial cell-matrix adhesion {GO:0035759}; metanephric glomerular mesangial cell differentiation {GO:0072254}; negative regulation of blood coagulation {GO:0030195}; negative regulation of cellular response to heat {GO:1900035}; negative regulation of cellular response to hypoxia {GO:1900038}; negative regulation of gene expression {GO:0010629}; negative regulation of interleukin-2 production {GO:0032703}; negative regulation of neuron death {GO:1901215}; negative regulation of nitric oxide biosynthetic process {GO:0045019}; negative regulation of tumor necrosis factor production {GO:0032720}; paracrine signaling {GO:0038001}; positive regulation of angiogenesis {GO:0045766}; positive regulation of glial cell-derived neurotrophic factor production {GO:1900168}; positive regulation of granulocyte colony-stimulating factor production {GO:0071657}; positive regulation of interleukin-10 production {GO:0032733}; positive regulation of odontogenesis {GO:0042482}; positive regulation of transforming growth factor beta production {GO:0071636}; positive regulation of vasculogenesis {GO:2001214}; regulation of blood pressure {GO:0008217}; signal transduction {GO:0007165}; tissue homeostasis {GO:0001894}; transdifferentiation {GO:0060290}; vascular wound healing {GO:0061042}</t>
  </si>
  <si>
    <t>apical plasma membrane {GO:0016324}; basal plasma membrane {GO:0009925}; cell periphery {GO:0071944}; cell surface {GO:0009986}; cytoplasm {GO:0005737}; external side of plasma membrane {GO:0009897}; extracellular region {GO:0005576}; glomerular endothelium fenestra {GO:0036053}; intercellular bridge {GO:0045171}; lysosome {GO:0005764}; membrane {GO:0016020}; perinuclear region of cytoplasm {GO:0048471}; plasma membrane {GO:0005886}</t>
  </si>
  <si>
    <t>carbohydrate binding {GO:0030246}; RNA polymerase II-specific DNA-binding transcription factor binding {GO:0061629}; sulfate binding {GO:0043199}</t>
  </si>
  <si>
    <t>Immunoregulatory interactions between a Lymphoid and a non-Lymphoid cell {R-MMU-198933}</t>
  </si>
  <si>
    <t>sp|Q91WM1|STRBP_MOUSE</t>
  </si>
  <si>
    <t>Spermatid perinuclear RNA-binding protein</t>
  </si>
  <si>
    <t>STRBP_MOUSE</t>
  </si>
  <si>
    <t>Q91WM1</t>
  </si>
  <si>
    <t>Q62262</t>
  </si>
  <si>
    <t>Spnr</t>
  </si>
  <si>
    <t>MGI:104626</t>
  </si>
  <si>
    <t>Alternative splicing; Cytoplasm; Cytoskeleton; Developmental protein; Differentiation; DNA-binding; Methylation; Repeat; RNA-binding; Spermatogenesis</t>
  </si>
  <si>
    <t>mechanosensory behavior {GO:0007638}; spermatid development {GO:0007286}</t>
  </si>
  <si>
    <t>cytoplasm {GO:0005737}; manchette {GO:0002177}; microtubule cytoskeleton {GO:0015630}; nucleus {GO:0005634}</t>
  </si>
  <si>
    <t>double-stranded RNA binding {GO:0003725}; microtubule binding {GO:0008017}; single-stranded RNA binding {GO:0003727}; tubulin binding {GO:0015631}</t>
  </si>
  <si>
    <t>sp|Q9CQE7|ERGI3_MOUSE</t>
  </si>
  <si>
    <t>Endoplasmic reticulum-Golgi intermediate compartment protein 3</t>
  </si>
  <si>
    <t>Serologically defined breast cancer antigen NY-BR-84 homolog</t>
  </si>
  <si>
    <t>ERGI3_MOUSE</t>
  </si>
  <si>
    <t>Q9CQE7</t>
  </si>
  <si>
    <t>B7ZCN9; Q6PGA7</t>
  </si>
  <si>
    <t>Erv46; Sdbcag84</t>
  </si>
  <si>
    <t>MGI:1913616</t>
  </si>
  <si>
    <t>Acetylation; Alternative splicing; Endoplasmic reticulum; ER-Golgi transport; Glycoprotein; Golgi apparatus; Membrane; Phosphoprotein; Transmembrane; Transmembrane helix; Transport</t>
  </si>
  <si>
    <t>endoplasmic reticulum to Golgi vesicle-mediated transport {GO:0006888}; positive regulation of intracellular protein transport {GO:0090316}; retrograde vesicle-mediated transport, Golgi to endoplasmic reticulum {GO:0006890}</t>
  </si>
  <si>
    <t>COPII-coated ER to Golgi transport vesicle {GO:0030134}; endoplasmic reticulum {GO:0005783}; endoplasmic reticulum-Golgi intermediate compartment {GO:0005793}; endoplasmic reticulum-Golgi intermediate compartment membrane {GO:0033116}; integral component of endoplasmic reticulum membrane {GO:0030176}; integral component of Golgi membrane {GO:0030173}; membrane {GO:0016020}; retrograte transporter complex, Golgi to ER {GO:0061852}; transporter complex {GO:1990351}</t>
  </si>
  <si>
    <t>protein self-association {GO:0043621}</t>
  </si>
  <si>
    <t>sp|Q6P5F6|S39AA_MOUSE</t>
  </si>
  <si>
    <t>Zinc transporter ZIP10</t>
  </si>
  <si>
    <t>Solute carrier family 39 member 10; Zrt- and Irt-like protein 10 (ZIP-10)</t>
  </si>
  <si>
    <t>S39AA_MOUSE</t>
  </si>
  <si>
    <t>Q6P5F6</t>
  </si>
  <si>
    <t>Q80TG2; Q8BX42; Q8C0L2</t>
  </si>
  <si>
    <t>Kiaa1265; Zip10</t>
  </si>
  <si>
    <t>MGI:1914515</t>
  </si>
  <si>
    <t>Glycoprotein; Ion transport; Membrane; Phosphoprotein; Signal; Transmembrane; Transmembrane helix; Transport; Zinc; Zinc transport</t>
  </si>
  <si>
    <t>Ion transport; Transport; Zinc transport</t>
  </si>
  <si>
    <t>Zinc</t>
  </si>
  <si>
    <t>cellular zinc ion homeostasis {GO:0006882}; negative regulation of B cell apoptotic process {GO:0002903}; positive regulation of B cell proliferation {GO:0030890}; positive regulation of B cell receptor signaling pathway {GO:0050861}; positive regulation of protein tyrosine phosphatase activity {GO:1903615}; zinc ion import across plasma membrane {GO:0071578}</t>
  </si>
  <si>
    <t>integral component of plasma membrane {GO:0005887}; plasma membrane {GO:0005886}</t>
  </si>
  <si>
    <t>zinc ion transmembrane transporter activity {GO:0005385}</t>
  </si>
  <si>
    <t>sp|Q9Z139|ROR1_MOUSE</t>
  </si>
  <si>
    <t>Inactive tyrosine-protein kinase transmembrane receptor ROR1 (mROR1)</t>
  </si>
  <si>
    <t>Neurotrophic tyrosine kinase, receptor-related 1</t>
  </si>
  <si>
    <t>ROR1_MOUSE</t>
  </si>
  <si>
    <t>Q9Z139</t>
  </si>
  <si>
    <t>Q8BG10</t>
  </si>
  <si>
    <t>Ntrkr1</t>
  </si>
  <si>
    <t>MGI:1347520</t>
  </si>
  <si>
    <t>ATP-binding; Cell projection; Disulfide bond; Glycoprotein; Immunoglobulin domain; Kringle; Membrane; Nucleotide-binding; Phosphoprotein; Receptor; Signal; Transmembrane; Transmembrane helix; Wnt signaling pathway</t>
  </si>
  <si>
    <t>Cell projection; Membrane</t>
  </si>
  <si>
    <t>Immunoglobulin domain; Kringle; Signal; Transmembrane; Transmembrane helix</t>
  </si>
  <si>
    <t>astrocyte development {GO:0014002}; inner ear development {GO:0048839}; positive regulation of I-kappaB kinase/NF-kappaB signaling {GO:0043123}; positive regulation of kinase activity {GO:0033674}; positive regulation of neuron projection development {GO:0010976}; positive regulation of NF-kappaB transcription factor activity {GO:0051092}; positive regulation of phosphatidylinositol 3-kinase signaling {GO:0014068}; sensory perception of sound {GO:0007605}</t>
  </si>
  <si>
    <t>axon terminus {GO:0043679}; cell surface {GO:0009986}; cytoplasm {GO:0005737}; integral component of plasma membrane {GO:0005887}; plasma membrane {GO:0005886}; receptor complex {GO:0043235}; stress fiber {GO:0001725}</t>
  </si>
  <si>
    <t>ATP binding {GO:0005524}; transmembrane receptor protein tyrosine kinase activity {GO:0004714}; Wnt receptor activity {GO:0042813}; Wnt-protein binding {GO:0017147}</t>
  </si>
  <si>
    <t>WNT5A-dependent internalization of FZD2, FZD5 and ROR2 {R-MMU-5140745}</t>
  </si>
  <si>
    <t>sp|Q9QXX4|S2513_MOUSE</t>
  </si>
  <si>
    <t>Electrogenic aspartate/glutamate antiporter SLC25A13, mitochondrial</t>
  </si>
  <si>
    <t>Citrin; Solute carrier family 25 member 13</t>
  </si>
  <si>
    <t>S2513_MOUSE</t>
  </si>
  <si>
    <t>Q9QXX4</t>
  </si>
  <si>
    <t>Q9CZF6; Q9DCF5</t>
  </si>
  <si>
    <t>MGI:1354721</t>
  </si>
  <si>
    <t>Acetylation; Calcium; Membrane; Metal-binding; Methylation; Mitochondrion; Mitochondrion inner membrane; Phosphoprotein; Repeat; Transmembrane; Transmembrane helix; Transport</t>
  </si>
  <si>
    <t>aspartate transmembrane transport {GO:0015810}; ATP biosynthetic process {GO:0006754}; cellular respiration {GO:0045333}; L-glutamate transmembrane transport {GO:0015813}; malate-aspartate shuttle {GO:0043490}; response to calcium ion {GO:0051592}</t>
  </si>
  <si>
    <t>sp|Q03141|MARK3_MOUSE</t>
  </si>
  <si>
    <t>MAP/microtubule affinity-regulating kinase 3</t>
  </si>
  <si>
    <t>ELKL motif kinase 2 (EMK-2); MPK-10</t>
  </si>
  <si>
    <t>MARK3_MOUSE</t>
  </si>
  <si>
    <t>Q03141</t>
  </si>
  <si>
    <t>Q3TM40; Q3V1U3; Q8C6G9; Q8R375; Q9JKE4</t>
  </si>
  <si>
    <t>Emk2; Mpk10</t>
  </si>
  <si>
    <t>MGI:1341865</t>
  </si>
  <si>
    <t>3D-structure; Alternative splicing; ATP-binding; Cell membrane; Cell projection; Cytoplasm; Kinase; Membrane; Nucleotide-binding; Phosphoprotein; Serine/threonine-protein kinase; Transferase</t>
  </si>
  <si>
    <t>intracellular signal transduction {GO:0035556}; microtubule cytoskeleton organization {GO:0000226}; negative regulation of hippo signaling {GO:0035331}; peptidyl-serine autophosphorylation {GO:0036289}; peptidyl-serine phosphorylation {GO:0018105}; positive regulation of protein binding {GO:0032092}; protein phosphorylation {GO:0006468}</t>
  </si>
  <si>
    <t>cytoplasm {GO:0005737}; dendrite {GO:0030425}; plasma membrane {GO:0005886}</t>
  </si>
  <si>
    <t>ATP binding {GO:0005524}; protein serine kinase activity {GO:0106310}; protein serine/threonine kinase activity {GO:0004674}; tau-protein kinase activity {GO:0050321}</t>
  </si>
  <si>
    <t>RAF activation {R-MMU-5673000}; MAP2K and MAPK activation {R-MMU-5674135}; Negative regulation of MAPK pathway {R-MMU-5675221}</t>
  </si>
  <si>
    <t>sp|Q60716|P4HA2_MOUSE</t>
  </si>
  <si>
    <t>Prolyl 4-hydroxylase subunit alpha-2 (4-PH alpha-2)</t>
  </si>
  <si>
    <t>Procollagen-proline,2-oxoglutarate-4-dioxygenase subunit alpha-2</t>
  </si>
  <si>
    <t>P4HA2_MOUSE</t>
  </si>
  <si>
    <t>Q60716</t>
  </si>
  <si>
    <t>Q8VBU4</t>
  </si>
  <si>
    <t>MGI:894286</t>
  </si>
  <si>
    <t>peptidyl-proline hydroxylation to 4-hydroxy-L-proline {GO:0018401}</t>
  </si>
  <si>
    <t>cytosol {GO:0005829}; endoplasmic reticulum {GO:0005783}; endoplasmic reticulum lumen {GO:0005788}; intracellular membrane-bounded organelle {GO:0043231}; nucleoplasm {GO:0005654}; procollagen-proline 4-dioxygenase complex {GO:0016222}</t>
  </si>
  <si>
    <t>iron ion binding {GO:0005506}; L-ascorbic acid binding {GO:0031418}; procollagen-proline 4-dioxygenase activity {GO:0004656}</t>
  </si>
  <si>
    <t>sp|Q99KR3|LACB2_MOUSE</t>
  </si>
  <si>
    <t>Endoribonuclease LACTB2</t>
  </si>
  <si>
    <t>Beta-lactamase-like protein 2</t>
  </si>
  <si>
    <t>LACB2_MOUSE</t>
  </si>
  <si>
    <t>Q99KR3</t>
  </si>
  <si>
    <t>MGI:2442551</t>
  </si>
  <si>
    <t>Acetylation; Endonuclease; Hydrolase; Metal-binding; Mitochondrion; Nuclease; Phosphoprotein; RNA-binding; Zinc</t>
  </si>
  <si>
    <t>Endonuclease; Hydrolase; Nuclease; RNA-binding</t>
  </si>
  <si>
    <t>RNA phosphodiester bond hydrolysis, endonucleolytic {GO:0090502}</t>
  </si>
  <si>
    <t>endoribonuclease activity {GO:0004521}; single-stranded RNA binding {GO:0003727}; zinc ion binding {GO:0008270}</t>
  </si>
  <si>
    <t>sp|Q80UM7|MOGS_MOUSE</t>
  </si>
  <si>
    <t>Mannosyl-oligosaccharide glucosidase</t>
  </si>
  <si>
    <t>Glucosidase 1; Glycoprotein-processing glucosidase I</t>
  </si>
  <si>
    <t>MOGS_MOUSE</t>
  </si>
  <si>
    <t>Q80UM7</t>
  </si>
  <si>
    <t>Q9Z2W5</t>
  </si>
  <si>
    <t>Gcs1</t>
  </si>
  <si>
    <t>MGI:1929872</t>
  </si>
  <si>
    <t>3D-structure; Endoplasmic reticulum; Glycoprotein; Glycosidase; Hydrolase; Membrane; Signal-anchor; Transmembrane; Transmembrane helix</t>
  </si>
  <si>
    <t>oligosaccharide metabolic process {GO:0009311}; protein N-linked glycosylation {GO:0006487}</t>
  </si>
  <si>
    <t>Glc3Man9GlcNAc2 oligosaccharide glucosidase activity {GO:0004573}</t>
  </si>
  <si>
    <t>Glycan metabolism; N-glycan degradation.</t>
  </si>
  <si>
    <t>sp|Q8BGA5|KRR1_MOUSE</t>
  </si>
  <si>
    <t>KRR1 small subunit processome component homolog</t>
  </si>
  <si>
    <t>HIV-1 Rev-binding protein 2 homolog; KRR-R motif-containing protein 1</t>
  </si>
  <si>
    <t>KRR1_MOUSE</t>
  </si>
  <si>
    <t>Q8BGA5</t>
  </si>
  <si>
    <t>Q3UIG9; Q52KQ6; Q5EBJ5; Q8C029</t>
  </si>
  <si>
    <t>Hrb2</t>
  </si>
  <si>
    <t>MGI:1289274</t>
  </si>
  <si>
    <t>Cytoplasm; Isopeptide bond; Nucleus; Phosphoprotein; Ribonucleoprotein; Ribosome biogenesis; RNA-binding; rRNA processing; Ubl conjugation</t>
  </si>
  <si>
    <t>chromosome {GO:0005694}; cytoplasm {GO:0005737}; intercellular bridge {GO:0045171}; nucleolus {GO:0005730}; nucleoplasm {GO:0005654}; small-subunit processome {GO:0032040}</t>
  </si>
  <si>
    <t>sp|Q60899|ELAV2_MOUSE</t>
  </si>
  <si>
    <t>ELAV-like protein 2</t>
  </si>
  <si>
    <t>ELAV-like neuronal protein 1; Hu-antigen B (HuB); Nervous system-specific RNA-binding protein Mel-N1</t>
  </si>
  <si>
    <t>ELAV2_MOUSE</t>
  </si>
  <si>
    <t>Q60899</t>
  </si>
  <si>
    <t>Hub</t>
  </si>
  <si>
    <t>MGI:1100887</t>
  </si>
  <si>
    <t>Phosphoprotein; Repeat; RNA-binding</t>
  </si>
  <si>
    <t>cellular response to leukemia inhibitory factor {GO:1990830}</t>
  </si>
  <si>
    <t>ribonucleoprotein complex {GO:1990904}; synapse {GO:0045202}</t>
  </si>
  <si>
    <t>sp|P49138|MAPK2_MOUSE</t>
  </si>
  <si>
    <t>MAP kinase-activated protein kinase 2 (MAPK-activated protein kinase 2; MAPKAP kinase 2; MAPKAP-K2; MAPKAPK-2; MK-2; MK2)</t>
  </si>
  <si>
    <t>MAPK2_MOUSE</t>
  </si>
  <si>
    <t>P49138</t>
  </si>
  <si>
    <t>Q6P561</t>
  </si>
  <si>
    <t>Rps6kc1</t>
  </si>
  <si>
    <t>MGI:109298</t>
  </si>
  <si>
    <t>ATP-binding; Cytoplasm; DNA damage; Isopeptide bond; Kinase; Nucleotide-binding; Nucleus; Phosphoprotein; Serine/threonine-protein kinase; Transferase; Ubl conjugation</t>
  </si>
  <si>
    <t>DNA damage</t>
  </si>
  <si>
    <t>3'-UTR-mediated mRNA stabilization {GO:0070935}; cellular response to DNA damage stimulus {GO:0006974}; cellular response to vascular endothelial growth factor stimulus {GO:0035924}; inflammatory response {GO:0006954}; inner ear development {GO:0048839}; intracellular signal transduction {GO:0035556}; macropinocytosis {GO:0044351}; mRNA stabilization {GO:0048255}; p38MAPK cascade {GO:0038066}; peptidyl-serine phosphorylation {GO:0018105}; positive regulation of macrophage cytokine production {GO:0060907}; positive regulation of tumor necrosis factor production {GO:0032760}; protein autophosphorylation {GO:0046777}; protein phosphorylation {GO:0006468}; regulation of interleukin-6 production {GO:0032675}; regulation of tumor necrosis factor production {GO:0032680}; response to cytokine {GO:0034097}; response to lipopolysaccharide {GO:0032496}; toll-like receptor signaling pathway {GO:0002224}; vascular endothelial growth factor receptor signaling pathway {GO:0048010}</t>
  </si>
  <si>
    <t>centrosome {GO:0005813}; cytoplasm {GO:0005737}; nucleoplasm {GO:0005654}; nucleus {GO:0005634}</t>
  </si>
  <si>
    <t>ATP binding {GO:0005524}; calcium-dependent protein serine/threonine kinase activity {GO:0009931}; calmodulin binding {GO:0005516}; calmodulin-dependent protein kinase activity {GO:0004683}; mitogen-activated protein kinase binding {GO:0051019}; protein serine kinase activity {GO:0106310}; protein serine/threonine kinase activity {GO:0004674}</t>
  </si>
  <si>
    <t>p38MAPK events {R-MMU-171007}; CREB phosphorylation {R-MMU-199920}; Synthesis of Leukotrienes (LT) and Eoxins (EX) {R-MMU-2142691}; Oxidative Stress Induced Senescence {R-MMU-2559580}; Regulation of HSF1-mediated heat shock response {R-MMU-3371453}; VEGFA-VEGFR2 Pathway {R-MMU-4420097}; activated TAK1 mediates p38 MAPK activation {R-MMU-450302}; Butyrate Response Factor 1 (BRF1) binds and destabilizes mRNA {R-MMU-450385}; Tristetraprolin (TTP, ZFP36) binds and destabilizes mRNA {R-MMU-450513}</t>
  </si>
  <si>
    <t>sp|O70481|UBR1_MOUSE</t>
  </si>
  <si>
    <t>E3 ubiquitin-protein ligase UBR1</t>
  </si>
  <si>
    <t>N-recognin-1; RING-type E3 ubiquitin transferase UBR1; Ubiquitin-protein ligase E3-alpha-1; Ubiquitin-protein ligase E3-alpha-I</t>
  </si>
  <si>
    <t>UBR1_MOUSE</t>
  </si>
  <si>
    <t>O70481</t>
  </si>
  <si>
    <t>A2AQ54; Q5BKR8; Q792M3; Q8BN40; Q8C5K3</t>
  </si>
  <si>
    <t>MGI:1277977</t>
  </si>
  <si>
    <t>Acetylation; Cytoplasm; Metal-binding; Phosphoprotein; Transferase; Ubl conjugation pathway; Zinc; Zinc-finger</t>
  </si>
  <si>
    <t>cellular response to leucine {GO:0071233}; negative regulation of TOR signaling {GO:0032007}; protein ubiquitination {GO:0016567}; ubiquitin-dependent protein catabolic process {GO:0006511}; ubiquitin-dependent protein catabolic process via the N-end rule pathway {GO:0071596}</t>
  </si>
  <si>
    <t>cytoplasm {GO:0005737}; cytosol {GO:0005829}; proteasome complex {GO:0000502}; ubiquitin ligase complex {GO:0000151}</t>
  </si>
  <si>
    <t>leucine binding {GO:0070728}; ubiquitin protein ligase activity {GO:0061630}; ubiquitin-protein transferase activity {GO:0004842}; zinc ion binding {GO:0008270}</t>
  </si>
  <si>
    <t>sp|Q9Z0R6|ITSN2_MOUSE</t>
  </si>
  <si>
    <t>Intersectin-2</t>
  </si>
  <si>
    <t>EH domain and SH3 domain regulator of endocytosis 2 (EH and SH3 domains protein 2); SH3 domain-containing protein 1B</t>
  </si>
  <si>
    <t>ITSN2_MOUSE</t>
  </si>
  <si>
    <t>Q9Z0R6</t>
  </si>
  <si>
    <t>Q8C9C3; Q9Z0R5</t>
  </si>
  <si>
    <t>Ese2; Sh3d1B</t>
  </si>
  <si>
    <t>MGI:1338049</t>
  </si>
  <si>
    <t>Alternative splicing; Calcium; Coiled coil; Cytoplasm; Differentiation; Endocytosis; Metal-binding; Phosphoprotein; Repeat; SH3 domain</t>
  </si>
  <si>
    <t>cell differentiation {GO:0030154}; clathrin-dependent synaptic vesicle endocytosis {GO:0150007}; endocytosis {GO:0006897}; endosomal transport {GO:0016197}; positive regulation of dendrite extension {GO:1903861}</t>
  </si>
  <si>
    <t>centrosome {GO:0005813}; clathrin-coated pit {GO:0005905}; cytoplasm {GO:0005737}; presynapse {GO:0098793}</t>
  </si>
  <si>
    <t>calcium ion binding {GO:0005509}; guanyl-nucleotide exchange factor activity {GO:0005085}; molecular adaptor activity {GO:0060090}</t>
  </si>
  <si>
    <t>Cargo recognition for clathrin-mediated endocytosis {R-MMU-8856825}; Clathrin-mediated endocytosis {R-MMU-8856828}; RHOU GTPase cycle {R-MMU-9013420}</t>
  </si>
  <si>
    <t>sp|Q8BJH1|ZC21A_MOUSE</t>
  </si>
  <si>
    <t>Zinc finger C2HC domain-containing protein 1A</t>
  </si>
  <si>
    <t>ZC21A_MOUSE</t>
  </si>
  <si>
    <t>Q8BJH1</t>
  </si>
  <si>
    <t>Q3TCP6</t>
  </si>
  <si>
    <t>Fam164a</t>
  </si>
  <si>
    <t>MGI:1914556</t>
  </si>
  <si>
    <t>Alternative splicing; Metal-binding; Phosphoprotein; Zinc; Zinc-finger</t>
  </si>
  <si>
    <t>sp|P83877|TXN4A_MOUSE</t>
  </si>
  <si>
    <t>Thioredoxin-like protein 4A</t>
  </si>
  <si>
    <t>DIM1 protein homolog; Spliceosomal U5 snRNP-specific 15 kDa protein; Thioredoxin-like U5 snRNP protein U5-15kD</t>
  </si>
  <si>
    <t>TXN4A_MOUSE</t>
  </si>
  <si>
    <t>P83877</t>
  </si>
  <si>
    <t>O14834; Q3TLI3</t>
  </si>
  <si>
    <t>Dim1; Txnl4</t>
  </si>
  <si>
    <t>MGI:1351613</t>
  </si>
  <si>
    <t>Cell cycle; Cell division; Disulfide bond; Mitosis; mRNA processing; mRNA splicing; Nucleus; Phosphoprotein; Spliceosome</t>
  </si>
  <si>
    <t>Cell cycle; Cell division; Mitosis; mRNA processing; mRNA splicing</t>
  </si>
  <si>
    <t>cell cycle {GO:0007049}; cell division {GO:0051301}; mRNA splicing, via spliceosome {GO:0000398}</t>
  </si>
  <si>
    <t>cytoplasm {GO:0005737}; cytosol {GO:0005829}; nuclear membrane {GO:0031965}; nucleoplasm {GO:0005654}; nucleus {GO:0005634}; spliceosomal complex {GO:0005681}; U2-type precatalytic spliceosome {GO:0071005}; U4/U6 x U5 tri-snRNP complex {GO:0046540}; U5 snRNP {GO:0005682}</t>
  </si>
  <si>
    <t>sp|Q8VHL1|SETD7_MOUSE</t>
  </si>
  <si>
    <t>Histone-lysine N-methyltransferase SETD7</t>
  </si>
  <si>
    <t>Histone H3-K4 methyltransferase SETD7 (H3-K4-HMTase SETD7); SET domain-containing protein 7; SET7/9</t>
  </si>
  <si>
    <t>SETD7_MOUSE</t>
  </si>
  <si>
    <t>Q8VHL1</t>
  </si>
  <si>
    <t>Q6ZPJ6; Q80UU3; Q8C7Y6</t>
  </si>
  <si>
    <t>Kiaa1717; Set7; Set9</t>
  </si>
  <si>
    <t>MGI:1920501</t>
  </si>
  <si>
    <t>Activator; Chromatin regulator; Chromosome; Methyltransferase; Nucleus; Repeat; S-adenosyl-L-methionine; Transcription; Transcription regulation; Transferase</t>
  </si>
  <si>
    <t>Activator; Chromatin regulator; Methyltransferase; Transferase</t>
  </si>
  <si>
    <t>cellular response to DNA damage stimulus {GO:0006974}; heterochromatin organization {GO:0070828}; histone lysine methylation {GO:0034968}; peptidyl-lysine dimethylation {GO:0018027}; peptidyl-lysine methylation {GO:0018022}; peptidyl-lysine monomethylation {GO:0018026}; positive regulation of DNA-templated transcription {GO:0045893}; protein methylation {GO:0006479}; regulation of histone H3-K9 methylation {GO:0051570}</t>
  </si>
  <si>
    <t>chromosome {GO:0005694}; nucleolus {GO:0005730}; nucleus {GO:0005634}</t>
  </si>
  <si>
    <t>chromatin binding {GO:0003682}; histone-lysine N-methyltransferase activity {GO:0018024}; p53 binding {GO:0002039}; protein-lysine N-methyltransferase activity {GO:0016279}</t>
  </si>
  <si>
    <t>sp|Q8BTX9|HSDL1_MOUSE</t>
  </si>
  <si>
    <t>Inactive hydroxysteroid dehydrogenase-like protein 1</t>
  </si>
  <si>
    <t>HSDL1_MOUSE</t>
  </si>
  <si>
    <t>Q8BTX9</t>
  </si>
  <si>
    <t>Q3U839</t>
  </si>
  <si>
    <t>MGI:1919802</t>
  </si>
  <si>
    <t>Acetylation; Mitochondrion; NADP</t>
  </si>
  <si>
    <t>intermediate filament cytoskeleton {GO:0045111}; intracellular membrane-bounded organelle {GO:0043231}; mitochondrion {GO:0005739}</t>
  </si>
  <si>
    <t>sp|P47811|MK14_MOUSE</t>
  </si>
  <si>
    <t>Mitogen-activated protein kinase 14 (MAP kinase 14; MAPK 14)</t>
  </si>
  <si>
    <t>CRK1; Mitogen-activated protein kinase p38 alpha (MAP kinase p38 alpha)</t>
  </si>
  <si>
    <t>MK14_MOUSE</t>
  </si>
  <si>
    <t>P47811</t>
  </si>
  <si>
    <t>B2KF37; B2KF38; O08666; Q3U6R5; Q3UZS3; Q8C289; Q9JLV8; Q9QZ80</t>
  </si>
  <si>
    <t>Crk1; Csbp1; Csbp2</t>
  </si>
  <si>
    <t>MGI:1346865</t>
  </si>
  <si>
    <t>3D-structure; Acetylation; Alternative splicing; Apoptosis; ATP-binding; Cytoplasm; Kinase; Nucleotide-binding; Nucleus; Phosphoprotein; Serine/threonine-protein kinase; Stress response; Transcription; Transcription regulation; Transferase; Ubl conjugation</t>
  </si>
  <si>
    <t>angiogenesis {GO:0001525}; apoptotic process {GO:0006915}; bone development {GO:0060348}; cartilage condensation {GO:0001502}; cell morphogenesis {GO:0000902}; cellular response to DNA damage stimulus {GO:0006974}; cellular response to ionizing radiation {GO:0071479}; cellular response to lipopolysaccharide {GO:0071222}; cellular response to lipoteichoic acid {GO:0071223}; cellular response to tumor necrosis factor {GO:0071356}; cellular response to vascular endothelial growth factor stimulus {GO:0035924}; cellular response to virus {GO:0098586}; chondrocyte differentiation {GO:0002062}; DNA damage checkpoint signaling {GO:0000077}; fatty acid oxidation {GO:0019395}; glucose import {GO:0046323}; glucose metabolic process {GO:0006006}; intracellular signal transduction {GO:0035556}; lipopolysaccharide-mediated signaling pathway {GO:0031663}; MAPK cascade {GO:0000165}; negative regulation of canonical Wnt signaling pathway {GO:0090090}; negative regulation of hippo signaling {GO:0035331}; osteoblast differentiation {GO:0001649}; osteoclast differentiation {GO:0030316}; p38MAPK cascade {GO:0038066}; peptidyl-serine phosphorylation {GO:0018105}; placenta development {GO:0001890}; positive regulation of brown fat cell differentiation {GO:0090336}; positive regulation of cardiac muscle cell proliferation {GO:0060045}; positive regulation of cyclase activity {GO:0031281}; positive regulation of erythrocyte differentiation {GO:0045648}; positive regulation of gene expression {GO:0010628}; positive regulation of glucose import {GO:0046326}; positive regulation of interleukin-12 production {GO:0032735}; positive regulation of myoblast differentiation {GO:0045663}; positive regulation of myoblast fusion {GO:1901741}; positive regulation of myotube differentiation {GO:0010831}; positive regulation of protein import into nucleus {GO:0042307}; positive regulation of reactive oxygen species metabolic process {GO:2000379}; positive regulation of transcription by RNA polymerase II {GO:0045944}; protein autophosphorylation {GO:0046777}; protein phosphorylation {GO:0006468}; regulation of cytokine production involved in inflammatory response {GO:1900015}; regulation of DNA-templated transcription {GO:0006355}; regulation of ossification {GO:0030278}; regulation of synaptic membrane adhesion {GO:0099179}; regulation of transcription by RNA polymerase II {GO:0006357}; response to dietary excess {GO:0002021}; response to insulin {GO:0032868}; response to lipopolysaccharide {GO:0032496}; response to muramyl dipeptide {GO:0032495}; response to muscle stretch {GO:0035994}; signal transduction in response to DNA damage {GO:0042770}; skeletal muscle tissue development {GO:0007519}; stem cell differentiation {GO:0048863}; stress-activated MAPK cascade {GO:0051403}; stress-induced premature senescence {GO:0090400}; striated muscle cell differentiation {GO:0051146}; transcription by RNA polymerase II {GO:0006366}; transmembrane receptor protein serine/threonine kinase signaling pathway {GO:0007178}; vascular endothelial growth factor receptor signaling pathway {GO:0048010}</t>
  </si>
  <si>
    <t>cytoplasm {GO:0005737}; cytosol {GO:0005829}; glutamatergic synapse {GO:0098978}; mitochondrion {GO:0005739}; nuclear speck {GO:0016607}; nucleoplasm {GO:0005654}; nucleus {GO:0005634}; spindle pole {GO:0000922}</t>
  </si>
  <si>
    <t>ATP binding {GO:0005524}; enzyme binding {GO:0019899}; kinase activity {GO:0016301}; MAP kinase activity {GO:0004707}; mitogen-activated protein kinase p38 binding {GO:0048273}; NFAT protein binding {GO:0051525}; protein C-terminus binding {GO:0008022}; protein kinase activity {GO:0004672}; protein phosphatase binding {GO:0019903}; protein serine kinase activity {GO:0106310}; protein serine/threonine kinase activity {GO:0004674}</t>
  </si>
  <si>
    <t>NOD1/2 Signaling Pathway {R-MMU-168638}; p38MAPK events {R-MMU-171007}; ERK/MAPK targets {R-MMU-198753}; Oxidative Stress Induced Senescence {R-MMU-2559580}; DSCAM interactions {R-MMU-376172}; ADP signalling through P2Y purinoceptor 1 {R-MMU-418592}; Platelet sensitization by LDL {R-MMU-432142}; VEGFA-VEGFR2 Pathway {R-MMU-4420097}; activated TAK1 mediates p38 MAPK activation {R-MMU-450302}; Activation of the AP-1 family of transcription factors {R-MMU-450341}; Myogenesis {R-MMU-525793}; RHO GTPases Activate NADPH Oxidases {R-MMU-5668599}; Neutrophil degranulation {R-MMU-6798695}; Regulation of TP53 Activity through Phosphorylation {R-MMU-6804756}</t>
  </si>
  <si>
    <t>sp|Q9ESK9|RBCC1_MOUSE</t>
  </si>
  <si>
    <t>RB1-inducible coiled-coil protein 1</t>
  </si>
  <si>
    <t>Coiled-coil-forming protein 1; FAK family kinase-interacting protein of 200 kDa (FIP200); LaXp180</t>
  </si>
  <si>
    <t>RBCC1_MOUSE</t>
  </si>
  <si>
    <t>Q9ESK9</t>
  </si>
  <si>
    <t>E9QLQ2; Q3TXX2; Q61384; Q8BRY9; Q9JK14</t>
  </si>
  <si>
    <t>Cc1; Kiaa0203</t>
  </si>
  <si>
    <t>MGI:1341850</t>
  </si>
  <si>
    <t>Autophagy; Cell cycle; Coiled coil; Cytoplasm; Lysosome; Nucleus; Phosphoprotein; Transcription; Transcription regulation; Tumor suppressor</t>
  </si>
  <si>
    <t>Autophagy; Cell cycle; Transcription; Transcription regulation</t>
  </si>
  <si>
    <t>apoptotic process {GO:0006915}; autophagosome assembly {GO:0000045}; autophagy {GO:0006914}; autophagy of mitochondrion {GO:0000422}; autophagy of peroxisome {GO:0030242}; cell cycle {GO:0007049}; extrinsic apoptotic signaling pathway {GO:0097191}; glycophagy {GO:0061723}; heart development {GO:0007507}; liver development {GO:0001889}; negative regulation of apoptotic process {GO:0043066}; negative regulation of cell population proliferation {GO:0008285}; negative regulation of extrinsic apoptotic signaling pathway {GO:2001237}; piecemeal microautophagy of the nucleus {GO:0034727}; positive regulation of autophagy {GO:0010508}; positive regulation of cell size {GO:0045793}; positive regulation of JNK cascade {GO:0046330}; positive regulation of protein phosphorylation {GO:0001934}; protein autophosphorylation {GO:0046777}; protein phosphorylation {GO:0006468}; regulation of protein lipidation {GO:1903059}; reticulophagy {GO:0061709}</t>
  </si>
  <si>
    <t>Atg1/ULK1 kinase complex {GO:1990316}; autophagosome membrane {GO:0000421}; cytoplasm {GO:0005737}; cytosol {GO:0005829}; extrinsic component of membrane {GO:0019898}; lysosome {GO:0005764}; nuclear membrane {GO:0031965}; nucleus {GO:0005634}; phagophore assembly site {GO:0000407}; phagophore assembly site membrane {GO:0034045}</t>
  </si>
  <si>
    <t>molecular adaptor activity {GO:0060090}; protein kinase binding {GO:0019901}</t>
  </si>
  <si>
    <t>sp|O35099|M3K5_MOUSE</t>
  </si>
  <si>
    <t>Mitogen-activated protein kinase kinase kinase 5</t>
  </si>
  <si>
    <t>Apoptosis signal-regulating kinase 1 (ASK-1); MAPK/ERK kinase kinase 5 (MEK kinase 5; MEKK 5)</t>
  </si>
  <si>
    <t>M3K5_MOUSE</t>
  </si>
  <si>
    <t>O35099</t>
  </si>
  <si>
    <t>Q14AY5</t>
  </si>
  <si>
    <t>Ask1; Mekk5</t>
  </si>
  <si>
    <t>MGI:1346876</t>
  </si>
  <si>
    <t>Apoptosis; ATP-binding; Coiled coil; Cytoplasm; Endoplasmic reticulum; Immunity; Innate immunity; Kinase; Magnesium; Metal-binding; Methylation; Nucleotide-binding; Phosphoprotein; Serine/threonine-protein kinase; Stress response; Transferase; Ubl conjugation</t>
  </si>
  <si>
    <t>Apoptosis; Immunity; Innate immunity; Stress response</t>
  </si>
  <si>
    <t>cellular response to amino acid starvation {GO:0034198}; cellular response to hydrogen peroxide {GO:0070301}; cellular response to reactive nitrogen species {GO:1902170}; cellular response to tumor necrosis factor {GO:0071356}; endothelial cell apoptotic process {GO:0072577}; innate immune response {GO:0045087}; intrinsic apoptotic signaling pathway in response to endoplasmic reticulum stress {GO:0070059}; intrinsic apoptotic signaling pathway in response to oxidative stress {GO:0008631}; JNK cascade {GO:0007254}; MAPK cascade {GO:0000165}; p38MAPK cascade {GO:0038066}; positive regulation of apoptotic process {GO:0043065}; positive regulation of cardiac muscle cell apoptotic process {GO:0010666}; positive regulation of cysteine-type endopeptidase activity involved in apoptotic process {GO:0043280}; positive regulation of DNA-templated transcription {GO:0045893}; positive regulation of JNK cascade {GO:0046330}; positive regulation of JUN kinase activity {GO:0043507}; positive regulation of MAPK cascade {GO:0043410}; positive regulation of myoblast differentiation {GO:0045663}; positive regulation of neuron death {GO:1901216}; positive regulation of p38MAPK cascade {GO:1900745}; positive regulation of protein kinase activity {GO:0045860}; positive regulation of protein phosphorylation {GO:0001934}; positive regulation of vascular associated smooth muscle cell proliferation {GO:1904707}; programmed necrotic cell death {GO:0097300}; protein phosphorylation {GO:0006468}; regulation of cell death {GO:0010941}; response to endoplasmic reticulum stress {GO:0034976}; response to ischemia {GO:0002931}; stress-activated MAPK cascade {GO:0051403}; wound healing {GO:0042060}</t>
  </si>
  <si>
    <t>cytoplasm {GO:0005737}; cytosol {GO:0005829}; external side of plasma membrane {GO:0009897}; IRE1-TRAF2-ASK1 complex {GO:1990604}; protein kinase complex {GO:1902911}; protein-containing complex {GO:0032991}</t>
  </si>
  <si>
    <t>ATP binding {GO:0005524}; identical protein binding {GO:0042802}; JUN kinase kinase kinase activity {GO:0004706}; magnesium ion binding {GO:0000287}; MAP kinase kinase kinase activity {GO:0004709}; protein domain specific binding {GO:0019904}; protein homodimerization activity {GO:0042803}; protein kinase activity {GO:0004672}; protein kinase binding {GO:0019901}; protein phosphatase binding {GO:0019903}; protein serine kinase activity {GO:0106310}</t>
  </si>
  <si>
    <t>Oxidative Stress Induced Senescence {R-MMU-2559580}</t>
  </si>
  <si>
    <t>sp|Q8R238|SDSL_MOUSE</t>
  </si>
  <si>
    <t>Serine dehydratase-like</t>
  </si>
  <si>
    <t>L-serine deaminase; L-serine dehydratase/L-threonine deaminase; L-threonine dehydratase (TDH); SDH</t>
  </si>
  <si>
    <t>SDSL_MOUSE</t>
  </si>
  <si>
    <t>Q8R238</t>
  </si>
  <si>
    <t>Q8VI05</t>
  </si>
  <si>
    <t>Sds</t>
  </si>
  <si>
    <t>MGI:2182607</t>
  </si>
  <si>
    <t>Acetylation; Lipid metabolism; Lyase; Pyridoxal phosphate</t>
  </si>
  <si>
    <t>isoleucine biosynthetic process {GO:0009097}; L-serine catabolic process {GO:0006565}; lipid metabolic process {GO:0006629}; threonine catabolic process {GO:0006567}</t>
  </si>
  <si>
    <t>identical protein binding {GO:0042802}; L-serine ammonia-lyase activity {GO:0003941}; L-threonine ammonia-lyase activity {GO:0004794}</t>
  </si>
  <si>
    <t>sp|P31324|KAP3_MOUSE</t>
  </si>
  <si>
    <t>cAMP-dependent protein kinase type II-beta regulatory subunit</t>
  </si>
  <si>
    <t>KAP3_MOUSE</t>
  </si>
  <si>
    <t>P31324</t>
  </si>
  <si>
    <t>B1B199; Q3UTZ1; Q80ZM4; Q8BRZ7</t>
  </si>
  <si>
    <t>MGI:97760</t>
  </si>
  <si>
    <t>3D-structure; cAMP; cAMP-binding; Cell membrane; Cytoplasm; Membrane; Nucleotide-binding; Phosphoprotein; Repeat</t>
  </si>
  <si>
    <t>fatty acid metabolic process {GO:0006631}; learning {GO:0007612}; modulation of chemical synaptic transmission {GO:0050804}; negative regulation of cAMP-dependent protein kinase activity {GO:2000480}; regulation of protein kinase activity {GO:0045859}; response to antipsychotic drug {GO:0097332}; response to clozapine {GO:0097338}</t>
  </si>
  <si>
    <t>cAMP-dependent protein kinase complex {GO:0005952}; centrosome {GO:0005813}; ciliary base {GO:0097546}; cytoplasm {GO:0005737}; dendrite {GO:0030425}; dendritic shaft {GO:0043198}; dendritic spine {GO:0043197}; glutamatergic synapse {GO:0098978}; membrane raft {GO:0045121}; neuronal cell body {GO:0043025}; perinuclear region of cytoplasm {GO:0048471}; plasma membrane {GO:0005886}; postsynapse {GO:0098794}</t>
  </si>
  <si>
    <t>cAMP binding {GO:0030552}; cAMP-dependent protein kinase inhibitor activity {GO:0004862}; cAMP-dependent protein kinase regulator activity {GO:0008603}; protein domain specific binding {GO:0019904}; protein kinase A catalytic subunit binding {GO:0034236}; protein kinase binding {GO:0019901}; ubiquitin protein ligase binding {GO:0031625}</t>
  </si>
  <si>
    <t>PKA activation {R-MMU-163615}; PKA activation in glucagon signalling {R-MMU-164378}; DARPP-32 events {R-MMU-180024}; 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Vasopressin regulates renal water homeostasis via Aquaporins {R-MMU-432040}; CREB1 phosphorylation through the activation of Adenylate Cyclase {R-MMU-442720}; Hedgehog 'off' state {R-MMU-5610787}; Anchoring of the basal body to the plasma membrane {R-MMU-5620912}; AURKA Activation by TPX2 {R-MMU-8854518}; GPER1 signaling {R-MMU-9634597}; Factors involved in megakaryocyte development and platelet production {R-MMU-983231}</t>
  </si>
  <si>
    <t>sp|Q3TW96|UAP1L_MOUSE</t>
  </si>
  <si>
    <t>UDP-N-acetylhexosamine pyrophosphorylase-like protein 1</t>
  </si>
  <si>
    <t>UAP1L_MOUSE</t>
  </si>
  <si>
    <t>Q3TW96</t>
  </si>
  <si>
    <t>A1L3D3; Q6KAP8; Q6NVB6; Q80XP4</t>
  </si>
  <si>
    <t>MGI:2443318</t>
  </si>
  <si>
    <t>Alternative splicing; Nucleotidyltransferase; Transferase</t>
  </si>
  <si>
    <t>UDP-N-acetylglucosamine biosynthetic process {GO:0006048}</t>
  </si>
  <si>
    <t>UDP-N-acetylglucosamine diphosphorylase activity {GO:0003977}</t>
  </si>
  <si>
    <t>sp|P21278|GNA11_MOUSE</t>
  </si>
  <si>
    <t>Guanine nucleotide-binding protein subunit alpha-11 (G alpha-11; G-protein subunit alpha-11)</t>
  </si>
  <si>
    <t>GNA11_MOUSE</t>
  </si>
  <si>
    <t>P21278</t>
  </si>
  <si>
    <t>Q61939</t>
  </si>
  <si>
    <t>Gna-11</t>
  </si>
  <si>
    <t>MGI:95766</t>
  </si>
  <si>
    <t>Cell membrane; Cytoplasm; GTP-binding; Lipoprotein; Magnesium; Membrane; Metal-binding; Nucleotide-binding; Palmitate; Transducer</t>
  </si>
  <si>
    <t>action potential {GO:0001508}; adenylate cyclase-modulating G protein-coupled receptor signaling pathway {GO:0007188}; cellular response to pH {GO:0071467}; cranial skeletal system development {GO:1904888}; developmental pigmentation {GO:0048066}; endothelin receptor signaling pathway {GO:0086100}; G protein-coupled receptor signaling pathway {GO:0007186}; heart development {GO:0007507}; multicellular organism aging {GO:0010259}; phospholipase C-activating dopamine receptor signaling pathway {GO:0060158}; regulation of blood pressure {GO:0008217}; regulation of melanocyte differentiation {GO:0045634}; skeletal system development {GO:0001501}</t>
  </si>
  <si>
    <t>cytoplasm {GO:0005737}; cytosol {GO:0005829}; heterotrimeric G-protein complex {GO:0005834}; plasma membrane {GO:0005886}</t>
  </si>
  <si>
    <t>alkylglycerophosphoethanolamine phosphodiesterase activity {GO:0047391}; G protein-coupled receptor binding {GO:0001664}; G-protein beta/gamma-subunit complex binding {GO:0031683}; GTP binding {GO:0005525}; GTPase activity {GO:0003924}; metal ion binding {GO:0046872}; protein-containing complex binding {GO:0044877}</t>
  </si>
  <si>
    <t>sp|P56135|ATPK_MOUSE</t>
  </si>
  <si>
    <t>ATP synthase subunit f, mitochondrial</t>
  </si>
  <si>
    <t>ATP synthase membrane subunit f</t>
  </si>
  <si>
    <t>ATPK_MOUSE</t>
  </si>
  <si>
    <t>P56135</t>
  </si>
  <si>
    <t>Q3THX9; Q9JMF4</t>
  </si>
  <si>
    <t>Atp5j2</t>
  </si>
  <si>
    <t>MGI:1927558</t>
  </si>
  <si>
    <t>Acetylation; ATP synthesis; CF(0); Hydrogen ion transport; Ion transport; Membrane; Mitochondrion; Mitochondrion inner membrane; Phosphoprotein; Transmembrane; Transmembrane helix; Transport</t>
  </si>
  <si>
    <t>integral component of membrane {GO:0016021}; mitochondrial inner membrane {GO:0005743}; mitochondrial proton-transporting ATP synthase complex {GO:0005753}; mitochondrial proton-transporting ATP synthase complex, coupling factor F(o) {GO:0000276}; mitochondrion {GO:0005739}; nuclear membrane {GO:0031965}</t>
  </si>
  <si>
    <t>proton-transporting ATP synthase activity, rotational mechanism {GO:0046933}</t>
  </si>
  <si>
    <t>sp|Q3UI43|BABA1_MOUSE</t>
  </si>
  <si>
    <t>BRISC and BRCA1-A complex member 1</t>
  </si>
  <si>
    <t>Mediator of RAP80 interactions and targeting subunit of 40 kDa; New component of the BRCA1-A complex</t>
  </si>
  <si>
    <t>BABA1_MOUSE</t>
  </si>
  <si>
    <t>Q3UI43</t>
  </si>
  <si>
    <t>Q8C5Q8; Q99JU2; Q9CTJ4</t>
  </si>
  <si>
    <t>Merit40; Nba1</t>
  </si>
  <si>
    <t>MGI:1915501</t>
  </si>
  <si>
    <t>3D-structure; Acetylation; Cell cycle; Cell division; Chromatin regulator; Cytoplasm; DNA damage; DNA repair; Mitosis; Nucleus; Phosphoprotein; Ubl conjugation pathway</t>
  </si>
  <si>
    <t>cell division {GO:0051301}; chromatin organization {GO:0006325}; double-strand break repair {GO:0006302}; hematopoietic stem cell proliferation {GO:0071425}; histone H2A K63-linked deubiquitination {GO:0070537}; mitotic G2 DNA damage checkpoint signaling {GO:0007095}; mitotic G2/M transition checkpoint {GO:0044818}; positive regulation of DNA repair {GO:0045739}; protein K63-linked deubiquitination {GO:0070536}; regulation of DNA repair {GO:0006282}; response to ionizing radiation {GO:0010212}</t>
  </si>
  <si>
    <t>BRCA1-A complex {GO:0070531}; BRISC complex {GO:0070552}; cytoplasm {GO:0005737}; cytosol {GO:0005829}; nuclear body {GO:0016604}; nucleoplasm {GO:0005654}; nucleus {GO:0005634}</t>
  </si>
  <si>
    <t>sp|Q8BXK9|CLIC5_MOUSE</t>
  </si>
  <si>
    <t>Chloride intracellular channel protein 5</t>
  </si>
  <si>
    <t>CLIC5_MOUSE</t>
  </si>
  <si>
    <t>Q8BXK9</t>
  </si>
  <si>
    <t>Q3U0H8</t>
  </si>
  <si>
    <t>MGI:1917912</t>
  </si>
  <si>
    <t>Cell membrane; Chloride; Chloride channel; Cytoplasm; Cytoskeleton; Golgi apparatus; Hearing; Ion channel; Ion transport; Membrane; Sensory transduction; Transmembrane; Transmembrane helix; Transport; Vision; Voltage-gated channel</t>
  </si>
  <si>
    <t>Hearing; Ion transport; Sensory transduction; Transport; Vision</t>
  </si>
  <si>
    <t>auditory receptor cell stereocilium organization {GO:0060088}; chloride transport {GO:0006821}; diet induced thermogenesis {GO:0002024}; neuromuscular process controlling balance {GO:0050885}; protein localization {GO:0008104}; regulation of ion transmembrane transport {GO:0034765}; response to dietary excess {GO:0002021}; sensory perception of sound {GO:0007605}; visual perception {GO:0007601}</t>
  </si>
  <si>
    <t>actin cytoskeleton {GO:0015629}; apical plasma membrane {GO:0016324}; cell cortex {GO:0005938}; chloride channel complex {GO:0034707}; cytoplasm {GO:0005737}; Golgi apparatus {GO:0005794}; membrane {GO:0016020}; microtubule organizing center {GO:0005815}; plasma membrane {GO:0005886}; stereocilium {GO:0032420}; stereocilium bundle {GO:0032421}</t>
  </si>
  <si>
    <t>sp|P60521|GBRL2_MOUSE</t>
  </si>
  <si>
    <t>Gamma-aminobutyric acid receptor-associated protein-like 2</t>
  </si>
  <si>
    <t>GABA(A) receptor-associated protein-like 2; Golgi-associated ATPase enhancer of 16 kDa (GATE-16)</t>
  </si>
  <si>
    <t>GBRL2_MOUSE</t>
  </si>
  <si>
    <t>P60521</t>
  </si>
  <si>
    <t>O08765; Q9DCP8; Q9UQF7</t>
  </si>
  <si>
    <t>MGI:1890602</t>
  </si>
  <si>
    <t>Acetylation; Autophagy; Cytoplasmic vesicle; Endoplasmic reticulum; Golgi apparatus; Lipoprotein; Membrane; Phosphoprotein; Protein transport; Transport</t>
  </si>
  <si>
    <t>autophagosome assembly {GO:0000045}; autophagy of mitochondrion {GO:0000422}; cellular response to nitrogen starvation {GO:0006995}; intra-Golgi vesicle-mediated transport {GO:0006891}; macroautophagy {GO:0016236}; negative regulation of proteasomal protein catabolic process {GO:1901799}; protein localization to endoplasmic reticulum {GO:0070972}; protein transport {GO:0015031}</t>
  </si>
  <si>
    <t>autophagosome {GO:0005776}; autophagosome membrane {GO:0000421}; cytoplasm {GO:0005737}; cytoplasmic vesicle {GO:0031410}; cytosol {GO:0005829}; endoplasmic reticulum membrane {GO:0005789}; Golgi apparatus {GO:0005794}; Golgi membrane {GO:0000139}</t>
  </si>
  <si>
    <t>sp|Q9CQN7|RM41_MOUSE</t>
  </si>
  <si>
    <t>39S ribosomal protein L41, mitochondrial (L41mt; MRP-L41)</t>
  </si>
  <si>
    <t>RM41_MOUSE</t>
  </si>
  <si>
    <t>Q9CQN7</t>
  </si>
  <si>
    <t>Q8BJ44</t>
  </si>
  <si>
    <t>MGI:1333816</t>
  </si>
  <si>
    <t>Apoptosis; Cell cycle; Mitochondrion; Ribonucleoprotein; Ribosomal protein; Transit peptide</t>
  </si>
  <si>
    <t>apoptotic process {GO:0006915}; cell cycle {GO:0007049}; mitochondrial translation {GO:0032543}; translation {GO:0006412}</t>
  </si>
  <si>
    <t>mitochondrial inner membrane {GO:0005743}; mitochondrial large ribosomal subunit {GO:0005762}; mitochondrion {GO:0005739}; ribonucleoprotein complex {GO:1990904}</t>
  </si>
  <si>
    <t>sp|Q8BSL7|ARF2_MOUSE</t>
  </si>
  <si>
    <t>ADP-ribosylation factor 2</t>
  </si>
  <si>
    <t>ARF2_MOUSE</t>
  </si>
  <si>
    <t>Q8BSL7</t>
  </si>
  <si>
    <t>P10947; P16500; Q3TJ37; Q91VR9</t>
  </si>
  <si>
    <t>MGI:99595</t>
  </si>
  <si>
    <t>3D-structure; ER-Golgi transport; Golgi apparatus; GTP-binding; Lipoprotein; Myristate; Nucleotide-binding; Protein transport; Transport</t>
  </si>
  <si>
    <t>intracellular protein transport {GO:0006886}; protein transport {GO:0015031}; vesicle-mediated transport {GO:0016192}</t>
  </si>
  <si>
    <t>Golgi apparatus {GO:0005794}; plasma membrane {GO:0005886}</t>
  </si>
  <si>
    <t>sp|E9PY46|IF140_MOUSE</t>
  </si>
  <si>
    <t>Intraflagellar transport protein 140 homolog</t>
  </si>
  <si>
    <t>WD and tetratricopeptide repeats protein 2</t>
  </si>
  <si>
    <t>IF140_MOUSE</t>
  </si>
  <si>
    <t>E9PY46</t>
  </si>
  <si>
    <t>B2RSU5; Q2XQY6</t>
  </si>
  <si>
    <t>WDTC2</t>
  </si>
  <si>
    <t>MGI:2146906</t>
  </si>
  <si>
    <t>Cell projection; Cilium; Cilium biogenesis/degradation; Cytoplasm; Cytoskeleton; Disease variant; Phosphoprotein; Repeat; TPR repeat; WD repeat</t>
  </si>
  <si>
    <t>Repeat; TPR repeat; WD repeat</t>
  </si>
  <si>
    <t>cilium assembly {GO:0060271}; determination of left/right symmetry {GO:0007368}; embryonic brain development {GO:1990403}; embryonic camera-type eye development {GO:0031076}; embryonic cranial skeleton morphogenesis {GO:0048701}; embryonic digit morphogenesis {GO:0042733}; heart development {GO:0007507}; intraciliary retrograde transport {GO:0035721}; intraciliary transport {GO:0042073}; limb morphogenesis {GO:0035108}; neural tube patterning {GO:0021532}; non-motile cilium assembly {GO:1905515}; photoreceptor cell outer segment organization {GO:0035845}; protein localization to cilium {GO:0061512}; regulation of cilium assembly {GO:1902017}; regulation of smoothened signaling pathway {GO:0008589}</t>
  </si>
  <si>
    <t>axoneme {GO:0005930}; centriole {GO:0005814}; centrosome {GO:0005813}; ciliary basal body {GO:0036064}; cilium {GO:0005929}; cone photoreceptor outer segment {GO:0120199}; intraciliary transport particle A {GO:0030991}; non-motile cilium {GO:0097730}; photoreceptor connecting cilium {GO:0032391}</t>
  </si>
  <si>
    <t>sp|Q6UGQ3|SG2B2_MOUSE</t>
  </si>
  <si>
    <t>Secretoglobin family 2B member 2</t>
  </si>
  <si>
    <t>Androgen-binding protein epsilon; Lacrimal androgen-binding protein epsilon</t>
  </si>
  <si>
    <t>SG2B2_MOUSE</t>
  </si>
  <si>
    <t>Q6UGQ3</t>
  </si>
  <si>
    <t>Abpe</t>
  </si>
  <si>
    <t>MGI:3042579</t>
  </si>
  <si>
    <t>Secreted; Signal</t>
  </si>
  <si>
    <t>sp|Q2TBE6|P4K2A_MOUSE</t>
  </si>
  <si>
    <t>Phosphatidylinositol 4-kinase type 2-alpha</t>
  </si>
  <si>
    <t>Phosphatidylinositol 4-kinase type II-alpha</t>
  </si>
  <si>
    <t>P4K2A_MOUSE</t>
  </si>
  <si>
    <t>Q2TBE6</t>
  </si>
  <si>
    <t>MGI:1934031</t>
  </si>
  <si>
    <t>Acetylation; ATP-binding; Cell membrane; Cell projection; Cytoplasmic vesicle; Endosome; Golgi apparatus; Kinase; Lipid metabolism; Lipoprotein; Membrane; Mitochondrion; Nucleotide-binding; Palmitate; Phosphoprotein; Synapse; Synaptosome; Transferase; Ubl conjugation</t>
  </si>
  <si>
    <t>Cell membrane; Cell projection; Cytoplasmic vesicle; Endosome; Golgi apparatus; Membrane; Mitochondrion; Synapse; Synaptosome</t>
  </si>
  <si>
    <t>Acetylation; Lipoprotein; Palmitate; Phosphoprotein; Ubl conjugation</t>
  </si>
  <si>
    <t>basophil degranulation {GO:0002561}; endosome organization {GO:0007032}; Golgi organization {GO:0007030}; phosphatidylinositol biosynthetic process {GO:0006661}; phosphatidylinositol phosphate biosynthetic process {GO:0046854}; phosphorylation {GO:0016310}</t>
  </si>
  <si>
    <t>anchoring junction {GO:0070161}; BLOC-1 complex {GO:0031083}; cytoplasmic vesicle {GO:0031410}; dendrite {GO:0030425}; early endosome membrane {GO:0031901}; endosome {GO:0005768}; exocytic vesicle {GO:0070382}; Golgi membrane {GO:0000139}; growing cell tip {GO:0035838}; integral component of plasma membrane {GO:0005887}; intracellular membrane-bounded organelle {GO:0043231}; intrinsic component of membrane {GO:0031224}; membrane raft {GO:0045121}; mitochondrion {GO:0005739}; neuron projection {GO:0043005}; neuronal cell body {GO:0043025}; perikaryon {GO:0043204}; plasma membrane {GO:0005886}; presynaptic membrane {GO:0042734}; protein-containing complex {GO:0032991}; synaptic vesicle membrane {GO:0030672}; trans-Golgi network {GO:0005802}</t>
  </si>
  <si>
    <t>1-phosphatidylinositol 4-kinase activity {GO:0004430}; AP-3 adaptor complex binding {GO:0035651}; ATP binding {GO:0005524}; protein-containing complex binding {GO:0044877}</t>
  </si>
  <si>
    <t>Synthesis of PIPs at the plasma membrane {R-MMU-1660499}; Synthesis of PIPs at the Golgi membrane {R-MMU-1660514}; Synthesis of PIPs at the early endosome membrane {R-MMU-1660516}</t>
  </si>
  <si>
    <t>sp|Q9CRB2|NHP2_MOUSE</t>
  </si>
  <si>
    <t>H/ACA ribonucleoprotein complex subunit 2</t>
  </si>
  <si>
    <t>Nucleolar protein family A member 2; snoRNP protein NHP2</t>
  </si>
  <si>
    <t>NHP2_MOUSE</t>
  </si>
  <si>
    <t>Q9CRB2</t>
  </si>
  <si>
    <t>Nola2</t>
  </si>
  <si>
    <t>MGI:1098547</t>
  </si>
  <si>
    <t>Isopeptide bond; Nucleus; Phosphoprotein; Ribonucleoprotein; Ribosome biogenesis; RNA-binding; rRNA processing; Ubl conjugation</t>
  </si>
  <si>
    <t>cleavage involved in rRNA processing {GO:0000469}; maturation of LSU-rRNA {GO:0000470}; rRNA pseudouridine synthesis {GO:0031118}; snoRNA guided rRNA pseudouridine synthesis {GO:0000454}; snRNA pseudouridine synthesis {GO:0031120}; telomere maintenance via telomerase {GO:0007004}</t>
  </si>
  <si>
    <t>box H/ACA snoRNP complex {GO:0031429}; box H/ACA telomerase RNP complex {GO:0090661}; Cajal body {GO:0015030}; sno(s)RNA-containing ribonucleoprotein complex {GO:0005732}; telomerase holoenzyme complex {GO:0005697}</t>
  </si>
  <si>
    <t>box H/ACA snoRNA binding {GO:0034513}; mRNA 3'-UTR binding {GO:0003730}; RNA binding {GO:0003723}; telomerase RNA binding {GO:0070034}; U3 snoRNA binding {GO:0034511}</t>
  </si>
  <si>
    <t>sp|Q9Z1B5|MD2L1_MOUSE</t>
  </si>
  <si>
    <t>Mitotic spindle assembly checkpoint protein MAD2A</t>
  </si>
  <si>
    <t>Mitotic arrest deficient 2-like protein 1 (MAD2-like protein 1)</t>
  </si>
  <si>
    <t>MD2L1_MOUSE</t>
  </si>
  <si>
    <t>Q9Z1B5</t>
  </si>
  <si>
    <t>Q9JI53</t>
  </si>
  <si>
    <t>Mad2a</t>
  </si>
  <si>
    <t>MGI:1860374</t>
  </si>
  <si>
    <t>Acetylation; Cell cycle; Cell division; Centromere; Chromosome; Cytoplasm; Cytoskeleton; Kinetochore; Mitosis; Nucleus; Phosphoprotein</t>
  </si>
  <si>
    <t>cell division {GO:0051301}; establishment of centrosome localization {GO:0051660}; establishment of mitotic spindle orientation {GO:0000132}; mitotic sister chromatid segregation {GO:0000070}; mitotic spindle assembly checkpoint signaling {GO:0007094}; negative regulation of apoptotic process {GO:0043066}; negative regulation of mitotic cell cycle {GO:0045930}; negative regulation of mitotic metaphase/anaphase transition {GO:0045841}; negative regulation of protein catabolic process {GO:0042177}; negative regulation of ubiquitin protein ligase activity {GO:1904667}; negative regulation of ubiquitin-protein transferase activity {GO:0051444}; positive regulation of mitotic cell cycle spindle assembly checkpoint {GO:0090267}</t>
  </si>
  <si>
    <t>chromosome {GO:0005694}; chromosome, centromeric region {GO:0000775}; cytoplasm {GO:0005737}; cytosol {GO:0005829}; kinetochore {GO:0000776}; mitotic checkpoint complex {GO:0033597}; mitotic spindle {GO:0072686}; mitotic spindle assembly checkpoint MAD1-MAD2 complex {GO:1990728}; nuclear pore nuclear basket {GO:0044615}; nucleoplasm {GO:0005654}; nucleus {GO:0005634}; perinuclear region of cytoplasm {GO:0048471}; spindle pole {GO:0000922}</t>
  </si>
  <si>
    <t>identical protein binding {GO:0042802}; protein C-terminus binding {GO:0008022}; protein homodimerization activity {GO:0042803}</t>
  </si>
  <si>
    <t>Inhibition of the proteolytic activity of APC/C required for the onset of anaphase by mitotic spindle checkpoint components {R-MMU-141405}; Inactivation of APC/C via direct inhibition of the APC/C complex {R-MMU-141430}; Amplification of signal from unattached kinetochores via a MAD2 inhibitory signal {R-MMU-141444}; Cdc20:Phospho-APC/C mediated degradation of Cyclin A {R-MMU-174184}; APC/C:Cdc20 mediated degradation of mitotic proteins {R-MMU-176409}; APC-Cdc20 mediated degradation of Nek2A {R-MMU-179409}; Separation of Sister Chromatids {R-MMU-2467813}; Resolution of Sister Chromatid Cohesion {R-MMU-2500257}; RHO GTPases Activate Formins {R-MMU-5663220}; Mitotic Prometaphase {R-MMU-68877}; EML4 and NUDC in mitotic spindle formation {R-MMU-9648025}</t>
  </si>
  <si>
    <t>sp|Q9R0M4|PODXL_MOUSE</t>
  </si>
  <si>
    <t>Podocalyxin</t>
  </si>
  <si>
    <t>Podocalyxin-like protein 1 (PC; PCLP-1)</t>
  </si>
  <si>
    <t>PODXL_MOUSE</t>
  </si>
  <si>
    <t>Q9R0M4</t>
  </si>
  <si>
    <t>Q9ESZ1</t>
  </si>
  <si>
    <t>Pclp1</t>
  </si>
  <si>
    <t>MGI:1351317</t>
  </si>
  <si>
    <t>Cell adhesion; Cell membrane; Cell projection; Glycoprotein; Membrane; Phosphoprotein; Signal; Transmembrane; Transmembrane helix</t>
  </si>
  <si>
    <t>cell adhesion {GO:0007155}; cell migration {GO:0016477}; epithelial tube formation {GO:0072175}; leukocyte migration {GO:0050900}; negative regulation of cell adhesion {GO:0007162}; negative regulation of cell-cell adhesion {GO:0022408}; podocyte development {GO:0072015}; positive regulation of cell migration {GO:0030335}; positive regulation of cell-cell adhesion mediated by integrin {GO:0033634}; regulation of microvillus assembly {GO:0032534}</t>
  </si>
  <si>
    <t>apical plasma membrane {GO:0016324}; cell body {GO:0044297}; centriolar satellite {GO:0034451}; cytoplasm {GO:0005737}; extracellular exosome {GO:0070062}; filopodium {GO:0030175}; integral component of membrane {GO:0016021}; intracellular membrane-bounded organelle {GO:0043231}; lamellipodium {GO:0030027}; membrane raft {GO:0045121}; microvillus membrane {GO:0031528}; nucleolus {GO:0005730}; plasma membrane {GO:0005886}; ruffle {GO:0001726}; slit diaphragm {GO:0036057}</t>
  </si>
  <si>
    <t>sp|Q8C3I8|HGH1_MOUSE</t>
  </si>
  <si>
    <t>Protein HGH1 homolog</t>
  </si>
  <si>
    <t>HGH1_MOUSE</t>
  </si>
  <si>
    <t>Q8C3I8</t>
  </si>
  <si>
    <t>Q9JJF4</t>
  </si>
  <si>
    <t>Brp16; Fam203a</t>
  </si>
  <si>
    <t>MGI:1930628</t>
  </si>
  <si>
    <t>sp|Q64362|AKTIP_MOUSE</t>
  </si>
  <si>
    <t>AKT-interacting protein</t>
  </si>
  <si>
    <t>FT1; Fused toes protein</t>
  </si>
  <si>
    <t>AKTIP_MOUSE</t>
  </si>
  <si>
    <t>Q64362</t>
  </si>
  <si>
    <t>Q3TYE3</t>
  </si>
  <si>
    <t>Fif; Ft1; Fts</t>
  </si>
  <si>
    <t>MGI:3693832</t>
  </si>
  <si>
    <t>Apoptosis; Cell membrane; Cytoplasm; Membrane; Phosphoprotein; Protein transport; Transport</t>
  </si>
  <si>
    <t>apoptotic process {GO:0006915}; early endosome to late endosome transport {GO:0045022}; endosome organization {GO:0007032}; endosome to lysosome transport {GO:0008333}; lysosome organization {GO:0007040}; positive regulation of protein binding {GO:0032092}; positive regulation of protein phosphorylation {GO:0001934}; protein localization to perinuclear region of cytoplasm {GO:1905719}; protein polyubiquitination {GO:0000209}; protein transport {GO:0015031}</t>
  </si>
  <si>
    <t>cytosol {GO:0005829}; FHF complex {GO:0070695}; HOPS complex {GO:0030897}; nucleus {GO:0005634}; plasma membrane {GO:0005886}</t>
  </si>
  <si>
    <t>ubiquitin conjugating enzyme activity {GO:0061631}</t>
  </si>
  <si>
    <t>sp|Q9JLI6|SCLY_MOUSE</t>
  </si>
  <si>
    <t>Selenocysteine lyase (mSCL)</t>
  </si>
  <si>
    <t>SCLY_MOUSE</t>
  </si>
  <si>
    <t>Q9JLI6</t>
  </si>
  <si>
    <t>Q8CB57; Q8CB94</t>
  </si>
  <si>
    <t>Scl</t>
  </si>
  <si>
    <t>MGI:1355310</t>
  </si>
  <si>
    <t>Acetylation; Alternative splicing; Cytoplasm; Lyase; Phosphoprotein; Pyridoxal phosphate; Transferase</t>
  </si>
  <si>
    <t>Lyase; Transferase</t>
  </si>
  <si>
    <t>lipid metabolic process {GO:0006629}; negative regulation of cellular response to oxidative stress {GO:1900408}; response to insulin {GO:0032868}; selenium compound metabolic process {GO:0001887}; selenocysteine catabolic process {GO:0016261}</t>
  </si>
  <si>
    <t>catalytic complex {GO:1902494}; cytosol {GO:0005829}; Golgi apparatus {GO:0005794}</t>
  </si>
  <si>
    <t>amino acid binding {GO:0016597}; protein homodimerization activity {GO:0042803}; selenocysteine lyase activity {GO:0009000}; transferase activity {GO:0016740}; vitamin B6 binding {GO:0070279}</t>
  </si>
  <si>
    <t>Metabolism of ingested SeMet, Sec, MeSec into H2Se {R-MMU-2408508}</t>
  </si>
  <si>
    <t>sp|Q3UVG3|F91A1_MOUSE</t>
  </si>
  <si>
    <t>Protein FAM91A1</t>
  </si>
  <si>
    <t>F91A1_MOUSE</t>
  </si>
  <si>
    <t>Q3UVG3</t>
  </si>
  <si>
    <t>Q80TZ0; Q8K077</t>
  </si>
  <si>
    <t>D15Ertd621e; Kiaa0493</t>
  </si>
  <si>
    <t>MGI:1277178</t>
  </si>
  <si>
    <t>Cytoplasmic vesicle; Golgi apparatus; Phosphoprotein</t>
  </si>
  <si>
    <t>Cytoplasmic vesicle; Golgi apparatus</t>
  </si>
  <si>
    <t>intracellular protein transport {GO:0006886}; vesicle tethering to Golgi {GO:0099041}</t>
  </si>
  <si>
    <t>cytoplasmic vesicle {GO:0031410}; trans-Golgi network {GO:0005802}</t>
  </si>
  <si>
    <t>sp|P70441|NHRF1_MOUSE</t>
  </si>
  <si>
    <t>Na(+)/H(+) exchange regulatory cofactor NHE-RF1 (NHERF-1)</t>
  </si>
  <si>
    <t>Ezrin-radixin-moesin-binding phosphoprotein 50 (EBP50); Regulatory cofactor of Na(+)/H(+) exchanger; Sodium-hydrogen exchanger regulatory factor 1; Solute carrier family 9 isoform A3 regulatory factor 1</t>
  </si>
  <si>
    <t>NHRF1_MOUSE</t>
  </si>
  <si>
    <t>P70441</t>
  </si>
  <si>
    <t>Q8BYD8</t>
  </si>
  <si>
    <t>Nherf; Nherf1</t>
  </si>
  <si>
    <t>MGI:1349482</t>
  </si>
  <si>
    <t>Acetylation; Alternative splicing; Cell membrane; Cell projection; Cytoplasm; Membrane; Phosphoprotein; Repeat; Wnt signaling pathway</t>
  </si>
  <si>
    <t>actin cytoskeleton organization {GO:0030036}; adenylate cyclase-activating dopamine receptor signaling pathway {GO:0007191}; auditory receptor cell stereocilium organization {GO:0060088}; bile acid secretion {GO:0032782}; cellular phosphate ion homeostasis {GO:0030643}; cerebrospinal fluid circulation {GO:0090660}; cilium organization {GO:0044782}; establishment of epithelial cell apical/basal polarity {GO:0045198}; establishment of Golgi localization {GO:0051683}; establishment of localization in cell {GO:0051649}; fibroblast migration {GO:0010761}; gamma-aminobutyric acid import {GO:0051939}; gland morphogenesis {GO:0022612}; glutathione transport {GO:0034635}; import across plasma membrane {GO:0098739}; maintenance of epithelial cell apical/basal polarity {GO:0045199}; microvillus assembly {GO:0030033}; negative regulation of canonical Wnt signaling pathway {GO:0090090}; negative regulation of cell motility {GO:2000146}; negative regulation of cell population proliferation {GO:0008285}; negative regulation of ERK1 and ERK2 cascade {GO:0070373}; negative regulation of fibroblast migration {GO:0010764}; negative regulation of mitotic cell cycle {GO:0045930}; negative regulation of phosphatidylinositol 3-kinase signaling {GO:0014067}; negative regulation of platelet-derived growth factor receptor signaling pathway {GO:0010642}; negative regulation of protein kinase B signaling {GO:0051898}; negative regulation of sodium ion transport {GO:0010766}; negative regulation of sodium:proton antiporter activity {GO:0032416}; nuclear migration {GO:0007097}; phospholipase C-activating dopamine receptor signaling pathway {GO:0060158}; plasma membrane organization {GO:0007009}; positive regulation of intrinsic apoptotic signaling pathway {GO:2001244}; positive regulation of ion transmembrane transport {GO:0034767}; protein localization {GO:0008104}; protein localization to plasma membrane {GO:0072659}; regulation of cell shape {GO:0008360}; regulation of cell size {GO:0008361}; regulation of protein kinase activity {GO:0045859}; regulation of renal phosphate excretion {GO:1903402}; renal absorption {GO:0070293}; renal phosphate ion absorption {GO:0097291}; renal sodium ion transport {GO:0003096}; sensory perception of sound {GO:0007605}; sodium ion transport {GO:0006814}; Wnt signaling pathway {GO:0016055}</t>
  </si>
  <si>
    <t>apical part of cell {GO:0045177}; apical plasma membrane {GO:0016324}; brush border membrane {GO:0031526}; cell periphery {GO:0071944}; cytoplasm {GO:0005737}; endomembrane system {GO:0012505}; extracellular region {GO:0005576}; filopodium {GO:0030175}; membrane {GO:0016020}; membrane raft {GO:0045121}; microvillus {GO:0005902}; microvillus membrane {GO:0031528}; perinuclear region of cytoplasm {GO:0048471}; plasma membrane {GO:0005886}; plasma membrane protein complex {GO:0098797}; ruffle {GO:0001726}; sperm midpiece {GO:0097225}; stereocilium {GO:0032420}; stereocilium tip {GO:0032426}</t>
  </si>
  <si>
    <t>beta-2 adrenergic receptor binding {GO:0031698}; beta-catenin binding {GO:0008013}; chloride channel regulator activity {GO:0017081}; dopamine receptor binding {GO:0050780}; gamma-aminobutyric acid transmembrane transporter activity {GO:0015185}; growth factor receptor binding {GO:0070851}; identical protein binding {GO:0042802}; molecular adaptor activity {GO:0060090}; myosin II binding {GO:0045159}; PDZ domain binding {GO:0030165}; phosphatase binding {GO:0019902}; protein domain specific binding {GO:0019904}; protein N-terminus binding {GO:0047485}; protein self-association {GO:0043621}; protein-containing complex binding {GO:0044877}; protein-membrane adaptor activity {GO:0043495}; signaling receptor binding {GO:0005102}; type 2 metabotropic glutamate receptor binding {GO:0031799}; type 3 metabotropic glutamate receptor binding {GO:0031800}</t>
  </si>
  <si>
    <t>sp|Q8C7D2|CRBN_MOUSE</t>
  </si>
  <si>
    <t>Protein cereblon (Protein PiL)</t>
  </si>
  <si>
    <t>CRBN_MOUSE</t>
  </si>
  <si>
    <t>Q8C7D2</t>
  </si>
  <si>
    <t>Q3TVC2; Q5RJV6; Q6IS49; Q80XJ1; Q8BP45; Q8C6B7; Q9JKR4</t>
  </si>
  <si>
    <t>MGI:1913277</t>
  </si>
  <si>
    <t>3D-structure; Alternative splicing; Cytoplasm; Membrane; Metal-binding; Nucleus; Phosphoprotein; Ubl conjugation; Ubl conjugation pathway; Zinc</t>
  </si>
  <si>
    <t>locomotory exploration behavior {GO:0035641}; negative regulation of ion transmembrane transport {GO:0034766}; negative regulation of large conductance calcium-activated potassium channel activity {GO:1902607}; negative regulation of protein-containing complex assembly {GO:0031333}; positive regulation of protein-containing complex assembly {GO:0031334}; positive regulation of Wnt signaling pathway {GO:0030177}; proteasome-mediated ubiquitin-dependent protein catabolic process {GO:0043161}; protein ubiquitination {GO:0016567}</t>
  </si>
  <si>
    <t>Cul4A-RING E3 ubiquitin ligase complex {GO:0031464}; cytoplasm {GO:0005737}; membrane {GO:0016020}; nucleus {GO:0005634}; perinuclear region of cytoplasm {GO:0048471}</t>
  </si>
  <si>
    <t>tr|Q7TNL5|Q7TNL5_MOUSE</t>
  </si>
  <si>
    <t>sp|Q8K3H0|DP13A_MOUSE</t>
  </si>
  <si>
    <t>DCC-interacting protein 13-alpha (Dip13-alpha)</t>
  </si>
  <si>
    <t>Adapter protein containing PH domain, PTB domain and leucine zipper motif 1</t>
  </si>
  <si>
    <t>DP13A_MOUSE</t>
  </si>
  <si>
    <t>Q8K3H0</t>
  </si>
  <si>
    <t>Q3UJP7; Q69ZJ9; Q8BWZ8; Q8VCJ8; Q9CUW4</t>
  </si>
  <si>
    <t>MGI:1920243</t>
  </si>
  <si>
    <t>Cell cycle; Cell projection; Coiled coil; Cytoplasm; Cytoplasmic vesicle; Endosome; Membrane; Nucleus; Phosphoprotein</t>
  </si>
  <si>
    <t>Cell projection; Cytoplasm; Cytoplasmic vesicle; Endosome; Membrane; Nucleus</t>
  </si>
  <si>
    <t>adiponectin-activated signaling pathway {GO:0033211}; cell cycle {GO:0007049}; cellular response to hepatocyte growth factor stimulus {GO:0035729}; insulin receptor signaling pathway {GO:0008286}; negative regulation of Fc-gamma receptor signaling pathway involved in phagocytosis {GO:1905450}; positive regulation of cytokine production involved in inflammatory response {GO:1900017}; positive regulation of glucose import {GO:0046326}; positive regulation of macropinocytosis {GO:1905303}; positive regulation of melanin biosynthetic process {GO:0048023}; protein import into nucleus {GO:0006606}; regulation of fibroblast migration {GO:0010762}; regulation of G1/S transition of mitotic cell cycle {GO:2000045}; regulation of glucose import {GO:0046324}; regulation of innate immune response {GO:0045088}; regulation of protein localization to plasma membrane {GO:1903076}; regulation of toll-like receptor 4 signaling pathway {GO:0034143}; signaling {GO:0023052}; transforming growth factor beta receptor signaling pathway {GO:0007179}</t>
  </si>
  <si>
    <t>cytoplasm {GO:0005737}; cytoplasmic vesicle {GO:0031410}; cytosol {GO:0005829}; early endosome {GO:0005769}; early endosome membrane {GO:0031901}; early phagosome {GO:0032009}; endosome {GO:0005768}; endosome membrane {GO:0010008}; intracellular vesicle {GO:0097708}; macropinosome {GO:0044354}; membrane {GO:0016020}; nucleus {GO:0005634}; plasma membrane {GO:0005886}; ruffle {GO:0001726}; vesicle membrane {GO:0012506}</t>
  </si>
  <si>
    <t>beta-tubulin binding {GO:0048487}; identical protein binding {GO:0042802}; phosphatidylinositol binding {GO:0035091}; phosphatidylserine binding {GO:0001786}; protein homodimerization activity {GO:0042803}; protein kinase B binding {GO:0043422}; protein-containing complex binding {GO:0044877}</t>
  </si>
  <si>
    <t>Caspase activation via Dependence Receptors in the absence of ligand {R-MMU-418889}</t>
  </si>
  <si>
    <t>sp|Q7TSH2|KPBB_MOUSE</t>
  </si>
  <si>
    <t>Phosphorylase b kinase regulatory subunit beta (Phosphorylase kinase subunit beta)</t>
  </si>
  <si>
    <t>KPBB_MOUSE</t>
  </si>
  <si>
    <t>Q7TSH2</t>
  </si>
  <si>
    <t>MGI:97578</t>
  </si>
  <si>
    <t>Calmodulin-binding; Carbohydrate metabolism; Cell membrane; Glycogen metabolism; Lipoprotein; Membrane; Phosphoprotein; Prenylation</t>
  </si>
  <si>
    <t>glycogen metabolic process {GO:0005977}; protein phosphorylation {GO:0006468}</t>
  </si>
  <si>
    <t>phosphorylase kinase complex {GO:0005964}; plasma membrane {GO:0005886}</t>
  </si>
  <si>
    <t>calmodulin binding {GO:0005516}</t>
  </si>
  <si>
    <t>Glycan biosynthesis; glycogen metabolism.</t>
  </si>
  <si>
    <t>sp|Q8BTU1|CFA20_MOUSE</t>
  </si>
  <si>
    <t>Cilia- and flagella-associated protein 20</t>
  </si>
  <si>
    <t>Gene trap locus 3 protein</t>
  </si>
  <si>
    <t>CFA20_MOUSE</t>
  </si>
  <si>
    <t>Q8BTU1</t>
  </si>
  <si>
    <t>P70212; Q3T9D6</t>
  </si>
  <si>
    <t>Gtl3</t>
  </si>
  <si>
    <t>MGI:107428</t>
  </si>
  <si>
    <t>Alternative splicing; Cell projection; Cilium; Cytoplasm; Cytoskeleton; Microtubule; Nucleus</t>
  </si>
  <si>
    <t>Cell projection; Cilium; Cytoplasm; Cytoskeleton; Microtubule; Nucleus</t>
  </si>
  <si>
    <t>cilium assembly {GO:0060271}; positive regulation of cell motility {GO:2000147}; positive regulation of feeding behavior {GO:2000253}; protein polyglutamylation {GO:0018095}; regulation of cilium beat frequency involved in ciliary motility {GO:0060296}</t>
  </si>
  <si>
    <t>axonemal microtubule {GO:0005879}; centriole {GO:0005814}; ciliary basal body {GO:0036064}; cilium {GO:0005929}; motile cilium {GO:0031514}; nucleoplasm {GO:0005654}</t>
  </si>
  <si>
    <t>sp|Q8CFV9|RIFK_MOUSE</t>
  </si>
  <si>
    <t>Riboflavin kinase</t>
  </si>
  <si>
    <t>ATP:riboflavin 5'-phosphotransferase; Flavokinase; KOI-4</t>
  </si>
  <si>
    <t>RIFK_MOUSE</t>
  </si>
  <si>
    <t>Q8CFV9</t>
  </si>
  <si>
    <t>O35471; O35472; Q9CQ95</t>
  </si>
  <si>
    <t>MGI:1914688</t>
  </si>
  <si>
    <t>ATP-binding; Cytoplasm; Flavoprotein; FMN; Kinase; Magnesium; Metal-binding; Nucleotide-binding; Transferase; Zinc</t>
  </si>
  <si>
    <t>ATP-binding; FMN; Flavoprotein; Magnesium; Metal-binding; Nucleotide-binding; Zinc</t>
  </si>
  <si>
    <t>apoptotic process {GO:0006915}; FMN biosynthetic process {GO:0009398}; phosphorylation {GO:0016310}; positive regulation of NAD(P)H oxidase activity {GO:0033864}; reactive oxygen species metabolic process {GO:0072593}; riboflavin biosynthetic process {GO:0009231}; riboflavin metabolic process {GO:0006771}</t>
  </si>
  <si>
    <t>ATP binding {GO:0005524}; metal ion binding {GO:0046872}; riboflavin kinase activity {GO:0008531}</t>
  </si>
  <si>
    <t>Cofactor biosynthesis; FMN biosynthesis; FMN from riboflavin (ATP route): step 1/1..</t>
  </si>
  <si>
    <t>sp|Q99M51|NCK1_MOUSE</t>
  </si>
  <si>
    <t>Cytoplasmic protein NCK1</t>
  </si>
  <si>
    <t>NCK adaptor protein 1 (Nck-1)</t>
  </si>
  <si>
    <t>NCK1_MOUSE</t>
  </si>
  <si>
    <t>Q99M51</t>
  </si>
  <si>
    <t>O55032; Q9Z279</t>
  </si>
  <si>
    <t>MGI:109601</t>
  </si>
  <si>
    <t>Acetylation; Cytoplasm; Endoplasmic reticulum; Nucleus; Phosphoprotein; Repeat; SH2 domain; SH3 domain; Translation regulation</t>
  </si>
  <si>
    <t>actin filament organization {GO:0007015}; cell migration {GO:0016477}; ephrin receptor signaling pathway {GO:0048013}; lamellipodium assembly {GO:0030032}; negative regulation of cell death {GO:0060548}; negative regulation of endoplasmic reticulum stress-induced eIF2 alpha phosphorylation {GO:1903912}; negative regulation of insulin receptor signaling pathway {GO:0046627}; negative regulation of peptidyl-serine phosphorylation {GO:0033137}; negative regulation of PERK-mediated unfolded protein response {GO:1903898}; negative regulation of transcription from RNA polymerase II promoter in response to endoplasmic reticulum stress {GO:1990441}; peptidyl-serine dephosphorylation {GO:0070262}; positive regulation of actin filament polymerization {GO:0030838}; positive regulation of cap-dependent translational initiation {GO:1903676}; positive regulation of cap-independent translational initiation {GO:1903679}; positive regulation of endoplasmic reticulum stress-induced intrinsic apoptotic signaling pathway {GO:1902237}; positive regulation of neuron projection development {GO:0010976}; positive regulation of T cell proliferation {GO:0042102}; positive regulation of transcription by RNA polymerase II {GO:0045944}; positive regulation of translation in response to endoplasmic reticulum stress {GO:0036493}; regulation of cell migration {GO:0030334}; response to other organism {GO:0051707}; signal transduction {GO:0007165}; substrate-dependent cell migration, cell extension {GO:0006930}; T cell activation {GO:0042110}</t>
  </si>
  <si>
    <t>cell-cell junction {GO:0005911}; cytoplasm {GO:0005737}; cytosol {GO:0005829}; endoplasmic reticulum {GO:0005783}; nucleus {GO:0005634}; plasma membrane {GO:0005886}; protein phosphatase type 1 complex {GO:0000164}; ribosome {GO:0005840}; vesicle membrane {GO:0012506}</t>
  </si>
  <si>
    <t>ephrin receptor binding {GO:0046875}; eukaryotic initiation factor eIF2 binding {GO:0071074}; molecular condensate scaffold activity {GO:0140693}; protein domain specific binding {GO:0019904}; protein kinase inhibitor activity {GO:0004860}; protein-macromolecule adaptor activity {GO:0030674}; receptor tyrosine kinase binding {GO:0030971}; signaling adaptor activity {GO:0035591}; signaling receptor binding {GO:0005102}</t>
  </si>
  <si>
    <t>Downstream signal transduction {R-MMU-186763}; Generation of second messenger molecules {R-MMU-202433}; Regulation of actin dynamics for phagocytic cup formation {R-MMU-2029482}; Nephrin family interactions {R-MMU-373753}; DCC mediated attractive signaling {R-MMU-418885}; VEGFA-VEGFR2 Pathway {R-MMU-4420097}; RHO GTPases Activate WASPs and WAVEs {R-MMU-5663213}; RHOU GTPase cycle {R-MMU-9013420}; RHOV GTPase cycle {R-MMU-9013424}; Antigen activates B Cell Receptor (BCR) leading to generation of second messengers {R-MMU-983695}</t>
  </si>
  <si>
    <t>sp|Q8VEH6|ZNG1_MOUSE</t>
  </si>
  <si>
    <t>Zinc-regulated GTPase metalloprotein activator 1</t>
  </si>
  <si>
    <t>Cobalamin synthase W domain-containing protein 1 (COBW domain-containing protein 1)</t>
  </si>
  <si>
    <t>ZNG1_MOUSE</t>
  </si>
  <si>
    <t>Q8VEH6</t>
  </si>
  <si>
    <t>Q7TSA8; Q8K399</t>
  </si>
  <si>
    <t>Cbwd1</t>
  </si>
  <si>
    <t>MGI:2385089</t>
  </si>
  <si>
    <t>3D-structure; Alternative splicing; Chaperone; GTP-binding; Hydrolase; Nucleotide-binding; Nucleus; Zinc</t>
  </si>
  <si>
    <t>GTP-binding; Nucleotide-binding; Zinc</t>
  </si>
  <si>
    <t>kidney development {GO:0001822}; zinc ion homeostasis {GO:0055069}</t>
  </si>
  <si>
    <t>ATP binding {GO:0005524}; GTPase activity {GO:0003924}; zinc chaperone activity {GO:0140827}</t>
  </si>
  <si>
    <t>sp|Q8VHE0|SEC63_MOUSE</t>
  </si>
  <si>
    <t>Translocation protein SEC63 homolog</t>
  </si>
  <si>
    <t>SEC63_MOUSE</t>
  </si>
  <si>
    <t>Q8VHE0</t>
  </si>
  <si>
    <t>E9QKG1; Q8VEB9</t>
  </si>
  <si>
    <t>Sec63l</t>
  </si>
  <si>
    <t>MGI:2155302</t>
  </si>
  <si>
    <t>Chaperone; Coiled coil; Endoplasmic reticulum; Membrane; Phosphoprotein; Protein transport; Repeat; Transmembrane; Transmembrane helix; Transport</t>
  </si>
  <si>
    <t>liver development {GO:0001889}; multicellular organism aging {GO:0010259}; nitrogen compound metabolic process {GO:0006807}; post-translational protein targeting to endoplasmic reticulum membrane {GO:0006620}; post-translational protein targeting to membrane, translocation {GO:0031204}; SRP-dependent cotranslational protein targeting to membrane {GO:0006614}</t>
  </si>
  <si>
    <t>endoplasmic reticulum {GO:0005783}; integral component of membrane {GO:0016021}; membrane {GO:0016020}; Sec62/Sec63 complex {GO:0031207}</t>
  </si>
  <si>
    <t>sp|P52293|IMA1_MOUSE</t>
  </si>
  <si>
    <t>Importin subunit alpha-1</t>
  </si>
  <si>
    <t>Importin alpha P1; Karyopherin subunit alpha-2; Pendulin; Pore targeting complex 58 kDa subunit (PTAC58); RAG cohort protein 1; SRP1-alpha</t>
  </si>
  <si>
    <t>IMA1_MOUSE</t>
  </si>
  <si>
    <t>P52293</t>
  </si>
  <si>
    <t>Q64292</t>
  </si>
  <si>
    <t>Rch1</t>
  </si>
  <si>
    <t>MGI:103561</t>
  </si>
  <si>
    <t>3D-structure; Acetylation; Cytoplasm; Nucleus; Phosphoprotein; Protein transport; Repeat; Transport</t>
  </si>
  <si>
    <t>entry of viral genome into host nucleus through nuclear pore complex via importin {GO:0075506}; NLS-bearing protein import into nucleus {GO:0006607}; positive regulation of viral life cycle {GO:1903902}; postsynapse to nucleus signaling pathway {GO:0099527}; protein import into nucleus {GO:0006606}</t>
  </si>
  <si>
    <t>cytoplasmic stress granule {GO:0010494}; cytosol {GO:0005829}; extrinsic component of postsynaptic specialization membrane {GO:0098892}; glutamatergic synapse {GO:0098978}; host cell {GO:0043657}; NLS-dependent protein nuclear import complex {GO:0042564}; nucleoplasm {GO:0005654}; nucleus {GO:0005634}</t>
  </si>
  <si>
    <t>DNA-binding transcription factor binding {GO:0140297}; histone deacetylase binding {GO:0042826}; nuclear import signal receptor activity {GO:0061608}; nuclear localization sequence binding {GO:0008139}</t>
  </si>
  <si>
    <t>Sensing of DNA Double Strand Breaks {R-MMU-5693548}</t>
  </si>
  <si>
    <t>sp|Q9CQ86|MIEN1_MOUSE</t>
  </si>
  <si>
    <t>Migration and invasion enhancer 1</t>
  </si>
  <si>
    <t>MIEN1_MOUSE</t>
  </si>
  <si>
    <t>Q9CQ86</t>
  </si>
  <si>
    <t>A2A556</t>
  </si>
  <si>
    <t>Rdx12</t>
  </si>
  <si>
    <t>MGI:1913678</t>
  </si>
  <si>
    <t>Acetylation; Apoptosis; Cell membrane; Cytoplasm; Disulfide bond; Lipoprotein; Membrane; Prenylation; Redox-active center</t>
  </si>
  <si>
    <t>Acetylation; Disulfide bond; Lipoprotein; Prenylation</t>
  </si>
  <si>
    <t>apoptotic process {GO:0006915}; negative regulation of apoptotic process {GO:0043066}; positive regulation of cell migration {GO:0030335}; positive regulation of filopodium assembly {GO:0051491}; response to selenium ion {GO:0010269}</t>
  </si>
  <si>
    <t>centriolar satellite {GO:0034451}; cytosol {GO:0005829}; intrinsic component of the cytoplasmic side of the plasma membrane {GO:0031235}; nucleoplasm {GO:0005654}; plasma membrane {GO:0005886}</t>
  </si>
  <si>
    <t>sp|Q3V0C5|UBP48_MOUSE</t>
  </si>
  <si>
    <t>Ubiquitin carboxyl-terminal hydrolase 48</t>
  </si>
  <si>
    <t>Deubiquitinating enzyme 48; Ubiquitin thioesterase 48; Ubiquitin-specific-processing protease 48</t>
  </si>
  <si>
    <t>UBP48_MOUSE</t>
  </si>
  <si>
    <t>Q3V0C5</t>
  </si>
  <si>
    <t>Q3TM39; Q571J9; Q8VDJ1</t>
  </si>
  <si>
    <t>Kiaa4202</t>
  </si>
  <si>
    <t>MGI:2158502</t>
  </si>
  <si>
    <t>Acetylation; Alternative splicing; Cytoplasm; Hydrolase; Nucleus; Phosphoprotein; Protease; Repeat; Thiol protease; Ubl conjugation pathway</t>
  </si>
  <si>
    <t>cytosol {GO:0005829}; membrane raft {GO:0045121}; mitochondrion {GO:0005739}; nucleoplasm {GO:0005654}; nucleus {GO:0005634}; postsynaptic membrane {GO:0045211}</t>
  </si>
  <si>
    <t>sp|Q91YD6|VILL_MOUSE</t>
  </si>
  <si>
    <t>Villin-like protein</t>
  </si>
  <si>
    <t>EF-6</t>
  </si>
  <si>
    <t>VILL_MOUSE</t>
  </si>
  <si>
    <t>Q91YD6</t>
  </si>
  <si>
    <t>P97809; Q8BIS5; Q8R211; Q8VDI8</t>
  </si>
  <si>
    <t>MGI:1201781</t>
  </si>
  <si>
    <t>Actin capping; Actin-binding; Alternative splicing; Calcium; Repeat</t>
  </si>
  <si>
    <t>actin filament severing {GO:0051014}; actin polymerization or depolymerization {GO:0008154}; barbed-end actin filament capping {GO:0051016}</t>
  </si>
  <si>
    <t>actin cytoskeleton {GO:0015629}; cytoplasm {GO:0005737}</t>
  </si>
  <si>
    <t>actin filament binding {GO:0051015}; phosphatidylinositol-4,5-bisphosphate binding {GO:0005546}</t>
  </si>
  <si>
    <t>sp|Q80WW9|DDRGK_MOUSE</t>
  </si>
  <si>
    <t>DDRGK domain-containing protein 1</t>
  </si>
  <si>
    <t>UFM1-binding and PCI domain-containing protein 1</t>
  </si>
  <si>
    <t>DDRGK_MOUSE</t>
  </si>
  <si>
    <t>Q80WW9</t>
  </si>
  <si>
    <t>Q14BT4; Q9CT52</t>
  </si>
  <si>
    <t>MGI:1924256</t>
  </si>
  <si>
    <t>3D-structure; Endoplasmic reticulum; Isopeptide bond; Membrane; Phosphoprotein; Signal; Ubl conjugation; Ubl conjugation pathway</t>
  </si>
  <si>
    <t>cartilage development {GO:0051216}; negative regulation of apoptotic process {GO:0043066}; negative regulation of gene expression {GO:0010629}; negative regulation of IRE1-mediated unfolded protein response {GO:1903895}; negative regulation of proteasomal ubiquitin-dependent protein catabolic process {GO:0032435}; positive regulation of cell migration {GO:0030335}; positive regulation of cell population proliferation {GO:0008284}; positive regulation of gene expression {GO:0010628}; positive regulation of I-kappaB phosphorylation {GO:1903721}; positive regulation of metallopeptidase activity {GO:1905050}; positive regulation of NF-kappaB transcription factor activity {GO:0051092}; positive regulation of proteasomal protein catabolic process {GO:1901800}; positive regulation of proteasomal ubiquitin-dependent protein catabolic process {GO:0032436}; positive regulation of protein localization to endoplasmic reticulum {GO:1905552}; positive regulation of RNA polymerase II regulatory region sequence-specific DNA binding {GO:1905636}; positive regulation of transcription by RNA polymerase II {GO:0045944}; protein K69-linked ufmylation {GO:1990592}; protein localization to endoplasmic reticulum {GO:0070972}; protein ufmylation {GO:0071569}; regulation of intracellular estrogen receptor signaling pathway {GO:0033146}; regulation of protein stability {GO:0031647}; response to endoplasmic reticulum stress {GO:0034976}; reticulophagy {GO:0061709}</t>
  </si>
  <si>
    <t>endoplasmic reticulum {GO:0005783}; endoplasmic reticulum membrane {GO:0005789}; nucleolus {GO:0005730}</t>
  </si>
  <si>
    <t>RNA polymerase II-specific DNA-binding transcription factor binding {GO:0061629}; ubiquitin-like protein ligase binding {GO:0044389}</t>
  </si>
  <si>
    <t>sp|Q9JMB0|GKAP1_MOUSE</t>
  </si>
  <si>
    <t>G kinase-anchoring protein 1</t>
  </si>
  <si>
    <t>cGMP-dependent protein kinase-anchoring protein of 42 kDa</t>
  </si>
  <si>
    <t>GKAP1_MOUSE</t>
  </si>
  <si>
    <t>Q9JMB0</t>
  </si>
  <si>
    <t>Q9CUD8</t>
  </si>
  <si>
    <t>Gkap42</t>
  </si>
  <si>
    <t>MGI:1891694</t>
  </si>
  <si>
    <t>Coiled coil; Golgi apparatus; Phosphoprotein</t>
  </si>
  <si>
    <t>G protein-coupled receptor signaling pathway coupled to cGMP nucleotide second messenger {GO:0007199}; positive regulation of insulin receptor signaling pathway {GO:0046628}; signal transduction {GO:0007165}</t>
  </si>
  <si>
    <t>Golgi apparatus {GO:0005794}</t>
  </si>
  <si>
    <t>sp|Q9DBD5|PELP1_MOUSE</t>
  </si>
  <si>
    <t>Proline-, glutamic acid- and leucine-rich protein 1</t>
  </si>
  <si>
    <t>Modulator of non-genomic activity of estrogen receptor</t>
  </si>
  <si>
    <t>PELP1_MOUSE</t>
  </si>
  <si>
    <t>Q9DBD5</t>
  </si>
  <si>
    <t>Q5F2E2; Q6PEM0; Q91YM9</t>
  </si>
  <si>
    <t>Mnar</t>
  </si>
  <si>
    <t>MGI:1922523</t>
  </si>
  <si>
    <t>Acetylation; Activator; Cytoplasm; Nucleus; Phosphoprotein; Repeat; Repressor; Transcription; Ubl conjugation</t>
  </si>
  <si>
    <t>cellular response to estrogen stimulus {GO:0071391}; positive regulation of transcription by RNA polymerase II {GO:0045944}; rRNA processing {GO:0006364}</t>
  </si>
  <si>
    <t>cytoplasm {GO:0005737}; euchromatin {GO:0000791}; MLL1 complex {GO:0071339}; nucleolus {GO:0005730}; nucleoplasm {GO:0005654}; nucleus {GO:0005634}</t>
  </si>
  <si>
    <t>ATPase binding {GO:0051117}; chromatin binding {GO:0003682}; protein N-terminus binding {GO:0047485}; SUMO binding {GO:0032183}</t>
  </si>
  <si>
    <t>sp|P01837|IGKC_MOUSE</t>
  </si>
  <si>
    <t>Immunoglobulin kappa constant</t>
  </si>
  <si>
    <t>Ig kappa chain C region MOPC 21</t>
  </si>
  <si>
    <t>IGKC_MOUSE</t>
  </si>
  <si>
    <t>P01837</t>
  </si>
  <si>
    <t>A0A075B5P2</t>
  </si>
  <si>
    <t>MGI:96495</t>
  </si>
  <si>
    <t>3D-structure; Disulfide bond; Immunoglobulin domain</t>
  </si>
  <si>
    <t>Immunoglobulin domain</t>
  </si>
  <si>
    <t>B cell differentiation {GO:0030183}; B cell receptor signaling pathway {GO:0050853}; complement activation, classical pathway {GO:0006958}; defense response to bacterium {GO:0042742}; innate immune response {GO:0045087}; phagocytosis, engulfment {GO:0006911}; phagocytosis, recognition {GO:0006910}; positive regulation of B cell activation {GO:0050871}</t>
  </si>
  <si>
    <t>external side of plasma membrane {GO:0009897}; extracellular region {GO:0005576}; IgG immunoglobulin complex {GO:0071735}; immunoglobulin complex, circulating {GO:0042571}; plasma membrane {GO:0005886}</t>
  </si>
  <si>
    <t>sp|Q60847|COCA1_MOUSE</t>
  </si>
  <si>
    <t>Collagen alpha-1(XII) chain</t>
  </si>
  <si>
    <t>COCA1_MOUSE</t>
  </si>
  <si>
    <t>Q60847</t>
  </si>
  <si>
    <t>P70322</t>
  </si>
  <si>
    <t>MGI:88448</t>
  </si>
  <si>
    <t>Alternative splicing; Cell adhesion; Collagen; Disulfide bond; Extracellular matrix; Glycoprotein; Hydroxylation; Proteoglycan; Repeat; Secreted; Signal</t>
  </si>
  <si>
    <t>Disulfide bond; Glycoprotein; Hydroxylation; Proteoglycan</t>
  </si>
  <si>
    <t>cell adhesion {GO:0007155}; endodermal cell differentiation {GO:0035987}</t>
  </si>
  <si>
    <t>collagen type XII trimer {GO:0005595}; collagen-containing extracellular matrix {GO:0062023}; extracellular space {GO:0005615}</t>
  </si>
  <si>
    <t>Collagen degradation {R-MMU-1442490}; Collagen biosynthesis and modifying enzymes {R-MMU-1650814}; Assembly of collagen fibrils and other multimeric structures {R-MMU-2022090}; Collagen chain trimerization {R-MMU-8948216}</t>
  </si>
  <si>
    <t>sp|Q8JZQ2|AFG32_MOUSE</t>
  </si>
  <si>
    <t>AFG3-like protein 2</t>
  </si>
  <si>
    <t>AFG32_MOUSE</t>
  </si>
  <si>
    <t>Q8JZQ2</t>
  </si>
  <si>
    <t>MGI:1916847</t>
  </si>
  <si>
    <t>ATP-binding; Disease variant; Hydrolase; Membrane; Metal-binding; Metalloprotease; Mitochondrion; Mitochondrion inner membrane; Nucleotide-binding; Protease; Transit peptide; Transmembrane; Transmembrane helix; Zinc</t>
  </si>
  <si>
    <t>axonogenesis {GO:0007409}; calcium import into the mitochondrion {GO:0036444}; cristae formation {GO:0042407}; membrane protein proteolysis {GO:0033619}; mitochondrial calcium ion homeostasis {GO:0051560}; mitochondrial fusion {GO:0008053}; mitochondrial protein processing {GO:0034982}; mitochondrion organization {GO:0007005}; muscle cell development {GO:0055001}; myelination {GO:0042552}; nerve development {GO:0021675}; neuromuscular junction development {GO:0007528}; protein autoprocessing {GO:0016540}; protein processing {GO:0016485}; protein-containing complex assembly {GO:0065003}; proteolysis {GO:0006508}; regulation of multicellular organism growth {GO:0040014}; righting reflex {GO:0060013}</t>
  </si>
  <si>
    <t>m-AAA complex {GO:0005745}; mitochondrial inner membrane {GO:0005743}; mitochondrion {GO:0005739}</t>
  </si>
  <si>
    <t>ATP binding {GO:0005524}; ATP hydrolysis activity {GO:0016887}; ATP-dependent peptidase activity {GO:0004176}; metalloendopeptidase activity {GO:0004222}; metallopeptidase activity {GO:0008237}; zinc ion binding {GO:0008270}</t>
  </si>
  <si>
    <t>sp|Q8BUR4|DOCK1_MOUSE</t>
  </si>
  <si>
    <t>Dedicator of cytokinesis protein 1</t>
  </si>
  <si>
    <t>180 kDa protein downstream of CRK (DOCK180)</t>
  </si>
  <si>
    <t>DOCK1_MOUSE</t>
  </si>
  <si>
    <t>Q8BUR4</t>
  </si>
  <si>
    <t>Q3URT8; Q3UY80; Q4QQL8; Q6PD14; Q8BVC9; Q91Z55; Q922V1</t>
  </si>
  <si>
    <t>MGI:2429765</t>
  </si>
  <si>
    <t>3D-structure; Alternative splicing; Apoptosis; Cytoplasm; Guanine-nucleotide releasing factor; Membrane; Phagocytosis; Phosphoprotein; SH3 domain; SH3-binding</t>
  </si>
  <si>
    <t>apoptotic process {GO:0006915}; cell migration {GO:0016477}; hematopoietic progenitor cell differentiation {GO:0002244}; myoblast fusion {GO:0007520}; phagocytosis {GO:0006909}; positive regulation of epithelial cell migration {GO:0010634}; positive regulation of substrate adhesion-dependent cell spreading {GO:1900026}; small GTPase mediated signal transduction {GO:0007264}</t>
  </si>
  <si>
    <t>cytoplasm {GO:0005737}; cytosol {GO:0005829}; guanyl-nucleotide exchange factor complex {GO:0032045}; nuclear speck {GO:0016607}; nucleoplasm {GO:0005654}; plasma membrane {GO:0005886}</t>
  </si>
  <si>
    <t>guanyl-nucleotide exchange factor activity {GO:0005085}; SH3 domain binding {GO:0017124}; small GTPase binding {GO:0031267}</t>
  </si>
  <si>
    <t>Regulation of actin dynamics for phagocytic cup formation {R-MMU-2029482}; DCC mediated attractive signaling {R-MMU-418885}; VEGFA-VEGFR2 Pathway {R-MMU-4420097}; PTK6 Regulates RHO GTPases, RAS GTPase and MAP kinases {R-MMU-8849471}; RAC1 GTPase cycle {R-MMU-9013149}; RAC2 GTPase cycle {R-MMU-9013404}; RHOG GTPase cycle {R-MMU-9013408}; Factors involved in megakaryocyte development and platelet production {R-MMU-983231}</t>
  </si>
  <si>
    <t>sp|Q6PDH0|PHLB1_MOUSE</t>
  </si>
  <si>
    <t>Pleckstrin homology-like domain family B member 1</t>
  </si>
  <si>
    <t>Protein LL5-alpha</t>
  </si>
  <si>
    <t>PHLB1_MOUSE</t>
  </si>
  <si>
    <t>Q6PDH0</t>
  </si>
  <si>
    <t>Q80TV2</t>
  </si>
  <si>
    <t>Kiaa0638; Ll5a</t>
  </si>
  <si>
    <t>MGI:2143230</t>
  </si>
  <si>
    <t>Alternative splicing; Coiled coil; Methylation; Phosphoprotein</t>
  </si>
  <si>
    <t>positive regulation of basement membrane assembly involved in embryonic body morphogenesis {GO:1904261}; regulation of epithelial to mesenchymal transition {GO:0010717}; regulation of gastrulation {GO:0010470}; regulation of microtubule cytoskeleton organization {GO:0070507}</t>
  </si>
  <si>
    <t>basal cortex {GO:0045180}; cytosol {GO:0005829}; intercellular bridge {GO:0045171}; intracellular membrane-bounded organelle {GO:0043231}; plasma membrane {GO:0005886}</t>
  </si>
  <si>
    <t>sp|Q921W0|CHM1A_MOUSE</t>
  </si>
  <si>
    <t>Charged multivesicular body protein 1a</t>
  </si>
  <si>
    <t>Chromatin-modifying protein 1a (CHMP1a)</t>
  </si>
  <si>
    <t>CHM1A_MOUSE</t>
  </si>
  <si>
    <t>Q921W0</t>
  </si>
  <si>
    <t>Q3TW57</t>
  </si>
  <si>
    <t>Chmp1; Pcoln3</t>
  </si>
  <si>
    <t>MGI:1920159</t>
  </si>
  <si>
    <t>Acetylation; Cell cycle; Cell division; Coiled coil; Cytoplasm; Endosome; Membrane; Nucleus; Phosphoprotein; Protein transport; Repressor; Transcription; Transcription regulation; Transport</t>
  </si>
  <si>
    <t>Cell cycle; Cell division; Protein transport; Transcription; Transcription regulation; Transport</t>
  </si>
  <si>
    <t>autophagosome maturation {GO:0097352}; autophagy {GO:0006914}; cell division {GO:0051301}; endosome transport via multivesicular body sorting pathway {GO:0032509}; late endosome to lysosome transport {GO:1902774}; late endosome to vacuole transport {GO:0045324}; membrane fission {GO:0090148}; midbody abscission {GO:0061952}; mitotic chromosome condensation {GO:0007076}; mitotic metaphase plate congression {GO:0007080}; multivesicular body assembly {GO:0036258}; multivesicular body sorting pathway {GO:0071985}; multivesicular body-lysosome fusion {GO:0061763}; negative regulation of cell death {GO:0060548}; negative regulation of gene expression {GO:0010629}; nuclear membrane reassembly {GO:0031468}; nucleus organization {GO:0006997}; plasma membrane repair {GO:0001778}; protein transport {GO:0015031}; regulation of centrosome duplication {GO:0010824}; regulation of mitotic spindle assembly {GO:1901673}; ubiquitin-dependent protein catabolic process via the multivesicular body sorting pathway {GO:0043162}; vesicle fusion with vacuole {GO:0051469}; vesicle-mediated transport {GO:0016192}; viral budding from plasma membrane {GO:0046761}; viral budding via host ESCRT complex {GO:0039702}</t>
  </si>
  <si>
    <t>amphisome membrane {GO:1904930}; autophagosome membrane {GO:0000421}; condensed nuclear chromosome {GO:0000794}; early endosome {GO:0005769}; endomembrane system {GO:0012505}; ESCRT III complex {GO:0000815}; kinetochore {GO:0000776}; kinetochore microtubule {GO:0005828}; lysosomal membrane {GO:0005765}; microtubule organizing center {GO:0005815}; midbody {GO:0030496}; multivesicular body {GO:0005771}; multivesicular body membrane {GO:0032585}; nuclear matrix {GO:0016363}; nuclear pore {GO:0005643}; plasma membrane {GO:0005886}</t>
  </si>
  <si>
    <t>identical protein binding {GO:0042802}; protein domain specific binding {GO:0019904}; protein homodimerization activity {GO:0042803}</t>
  </si>
  <si>
    <t>sp|Q149F3|ERF3B_MOUSE</t>
  </si>
  <si>
    <t>Eukaryotic peptide chain release factor GTP-binding subunit ERF3B (Eukaryotic peptide chain release factor subunit 3b; eRF3b)</t>
  </si>
  <si>
    <t>G1 to S phase transition protein 2 homolog</t>
  </si>
  <si>
    <t>ERF3B_MOUSE</t>
  </si>
  <si>
    <t>Q149F3</t>
  </si>
  <si>
    <t>O88180; Q9CY91</t>
  </si>
  <si>
    <t>Erf3b</t>
  </si>
  <si>
    <t>MGI:1316727</t>
  </si>
  <si>
    <t>Cell cycle; Cytoplasm; GTP-binding; Nonsense-mediated mRNA decay; Nucleotide-binding; Protein biosynthesis</t>
  </si>
  <si>
    <t>Cell cycle; Nonsense-mediated mRNA decay; Protein biosynthesis</t>
  </si>
  <si>
    <t>cell cycle {GO:0007049}; nuclear-transcribed mRNA catabolic process, nonsense-mediated decay {GO:0000184}; translation {GO:0006412}</t>
  </si>
  <si>
    <t>translation release factor complex {GO:0018444}</t>
  </si>
  <si>
    <t>sp|Q80YD1|SUV3_MOUSE</t>
  </si>
  <si>
    <t>ATP-dependent RNA helicase SUPV3L1, mitochondrial</t>
  </si>
  <si>
    <t>Suppressor of var1 3-like protein 1 (SUV3-like protein 1)</t>
  </si>
  <si>
    <t>SUV3_MOUSE</t>
  </si>
  <si>
    <t>Q80YD1</t>
  </si>
  <si>
    <t>Q50HX5</t>
  </si>
  <si>
    <t>Suv3l1</t>
  </si>
  <si>
    <t>MGI:2441711</t>
  </si>
  <si>
    <t>Acetylation; ATP-binding; Helicase; Hydrolase; Mitochondrion; Mitochondrion nucleoid; Nucleotide-binding; Nucleus; Phosphoprotein; Transit peptide</t>
  </si>
  <si>
    <t>DNA duplex unwinding {GO:0032508}; DNA recombination {GO:0006310}; mitochondrial mRNA catabolic process {GO:0000958}; mitochondrial mRNA surveillance {GO:0035946}; mitochondrial ncRNA surveillance {GO:0035945}; mitochondrial RNA 3'-end processing {GO:0000965}; mitochondrial RNA surveillance {GO:2000827}; mitochondrion morphogenesis {GO:0070584}; negative regulation of apoptotic process {GO:0043066}; positive regulation of cell growth {GO:0030307}; positive regulation of mitochondrial RNA catabolic process {GO:0000962}; RNA catabolic process {GO:0006401}</t>
  </si>
  <si>
    <t>mitochondrial degradosome {GO:0045025}; mitochondrial matrix {GO:0005759}; mitochondrial nucleoid {GO:0042645}; mitochondrion {GO:0005739}; nucleus {GO:0005634}</t>
  </si>
  <si>
    <t>3'-5' RNA helicase activity {GO:0034458}; ATP binding {GO:0005524}; ATP hydrolysis activity {GO:0016887}; DNA binding {GO:0003677}; DNA helicase activity {GO:0003678}; double-stranded RNA binding {GO:0003725}; protein homodimerization activity {GO:0042803}; RNA helicase activity {GO:0003724}</t>
  </si>
  <si>
    <t>tr|A2A484|A2A484_MOUSE</t>
  </si>
  <si>
    <t>sp|P23953|EST1C_MOUSE</t>
  </si>
  <si>
    <t>Carboxylesterase 1C</t>
  </si>
  <si>
    <t>Liver carboxylesterase N; Lung surfactant convertase; PES-N</t>
  </si>
  <si>
    <t>EST1C_MOUSE</t>
  </si>
  <si>
    <t>P23953</t>
  </si>
  <si>
    <t>E9QQ07; O54936; P11374; Q8K125</t>
  </si>
  <si>
    <t>Es1</t>
  </si>
  <si>
    <t>MGI:95420</t>
  </si>
  <si>
    <t>Disulfide bond; Endoplasmic reticulum; Glycoprotein; Hydrolase; Phosphoprotein; Serine esterase; Signal</t>
  </si>
  <si>
    <t>cellular response to cholesterol {GO:0071397}; cellular response to low-density lipoprotein particle stimulus {GO:0071404}; cholesterol biosynthetic process {GO:0006695}; cholesterol homeostasis {GO:0042632}; cholesterol metabolic process {GO:0008203}; epithelial cell differentiation {GO:0030855}; lipid catabolic process {GO:0016042}; medium-chain fatty acid metabolic process {GO:0051791}; negative regulation of cholesterol storage {GO:0010887}; organic substance catabolic process {GO:1901575}; positive regulation of cholesterol efflux {GO:0010875}; positive regulation of cholesterol metabolic process {GO:0090205}; regulation of bile acid biosynthetic process {GO:0070857}; regulation of bile acid secretion {GO:0120188}; response to bacterium {GO:0009617}; reverse cholesterol transport {GO:0043691}</t>
  </si>
  <si>
    <t>cytoplasm {GO:0005737}; endoplasmic reticulum {GO:0005783}; endoplasmic reticulum lumen {GO:0005788}; extracellular space {GO:0005615}; lipid droplet {GO:0005811}</t>
  </si>
  <si>
    <t>carboxylic ester hydrolase activity {GO:0052689}; hydrolase activity, acting on ester bonds {GO:0016788}; methyl indole-3-acetate esterase activity {GO:0080030}; sterol esterase activity {GO:0004771}</t>
  </si>
  <si>
    <t>sp|P45377|ALD2_MOUSE</t>
  </si>
  <si>
    <t>Aldose reductase-related protein 2 (AR)</t>
  </si>
  <si>
    <t>Aldehyde reductase; Fibroblast growth factor-regulated protein; Protein FR-1</t>
  </si>
  <si>
    <t>ALD2_MOUSE</t>
  </si>
  <si>
    <t>P45377</t>
  </si>
  <si>
    <t>Q99JN4</t>
  </si>
  <si>
    <t>Fgfrp</t>
  </si>
  <si>
    <t>MGI:107673</t>
  </si>
  <si>
    <t>3D-structure; Cytoplasm; NADP; Oxidoreductase</t>
  </si>
  <si>
    <t>polyol metabolic process {GO:0019751}; retinal metabolic process {GO:0042574}</t>
  </si>
  <si>
    <t>cytosol {GO:0005829}; extracellular region {GO:0005576}; lysosome {GO:0005764}; mitochondrion {GO:0005739}</t>
  </si>
  <si>
    <t>alcohol dehydrogenase (NADP+) activity {GO:0008106}; alditol:NADP+ 1-oxidoreductase activity {GO:0004032}; estradiol 17-beta-dehydrogenase activity {GO:0004303}; geranylgeranyl reductase activity {GO:0045550}; indanol dehydrogenase activity {GO:0047718}; NADP+ binding {GO:0070401}; NADP-retinol dehydrogenase activity {GO:0052650}; NADPH binding {GO:0070402}; oxidoreductase activity, acting on the CH-OH group of donors, NAD or NADP as acceptor {GO:0016616}; retinal binding {GO:0016918}; retinal dehydrogenase activity {GO:0001758}</t>
  </si>
  <si>
    <t>sp|P53798|FDFT_MOUSE</t>
  </si>
  <si>
    <t>Squalene synthase (SQS; SS)</t>
  </si>
  <si>
    <t>FPP:FPP farnesyltransferase; Farnesyl-diphosphate farnesyltransferase</t>
  </si>
  <si>
    <t>FDFT_MOUSE</t>
  </si>
  <si>
    <t>P53798</t>
  </si>
  <si>
    <t>Q8BPF5</t>
  </si>
  <si>
    <t>Erg9</t>
  </si>
  <si>
    <t>MGI:102706</t>
  </si>
  <si>
    <t>Cholesterol biosynthesis; Cholesterol metabolism; Endoplasmic reticulum; Isoprene biosynthesis; Lipid biosynthesis; Lipid metabolism; Magnesium; Membrane; Metal-binding; Multifunctional enzyme; NAD; NADP; Steroid biosynthesis; Steroid metabolism; Sterol biosynthesis; Sterol metabolism; Transferase; Transmembrane; Transmembrane helix</t>
  </si>
  <si>
    <t>Magnesium; Metal-binding; NAD; NADP</t>
  </si>
  <si>
    <t>cholesterol biosynthetic process {GO:0006695}; farnesyl diphosphate metabolic process {GO:0045338}; isoprenoid biosynthetic process {GO:0008299}</t>
  </si>
  <si>
    <t>endoplasmic reticulum {GO:0005783}; endoplasmic reticulum membrane {GO:0005789}; integral component of membrane {GO:0016021}; intracellular membrane-bounded organelle {GO:0043231}</t>
  </si>
  <si>
    <t>farnesyl-diphosphate farnesyltransferase activity {GO:0004310}; metal ion binding {GO:0046872}; squalene synthase activity {GO:0051996}</t>
  </si>
  <si>
    <t>Terpene metabolism; lanosterol biosynthesis; lanosterol from farnesyl diphosphate: step 1/3..</t>
  </si>
  <si>
    <t>sp|Q9JI19|FIBP_MOUSE</t>
  </si>
  <si>
    <t>Acidic fibroblast growth factor intracellular-binding protein (aFGF intracellular-binding protein)</t>
  </si>
  <si>
    <t>FGF-1 intracellular-binding protein</t>
  </si>
  <si>
    <t>FIBP_MOUSE</t>
  </si>
  <si>
    <t>Q9JI19</t>
  </si>
  <si>
    <t>MGI:1926233</t>
  </si>
  <si>
    <t>Acetylation; Membrane; Nucleus</t>
  </si>
  <si>
    <t>endomembrane system {GO:0012505}; membrane {GO:0016020}; nuclear speck {GO:0016607}; nucleus {GO:0005634}</t>
  </si>
  <si>
    <t>sp|P28653|PGS1_MOUSE</t>
  </si>
  <si>
    <t>Biglycan</t>
  </si>
  <si>
    <t>Bone/cartilage proteoglycan I; PG-S1</t>
  </si>
  <si>
    <t>PGS1_MOUSE</t>
  </si>
  <si>
    <t>P28653</t>
  </si>
  <si>
    <t>Q61355</t>
  </si>
  <si>
    <t>MGI:88158</t>
  </si>
  <si>
    <t>Disulfide bond; Extracellular matrix; Glycoprotein; Leucine-rich repeat; Proteoglycan; Repeat; Secreted; Signal</t>
  </si>
  <si>
    <t>Disulfide bond; Glycoprotein; Proteoglycan</t>
  </si>
  <si>
    <t>articular cartilage development {GO:0061975}; bone development {GO:0060348}; peptide cross-linking via chondroitin 4-sulfate glycosaminoglycan {GO:0019800}</t>
  </si>
  <si>
    <t>cell surface {GO:0009986}; collagen-containing extracellular matrix {GO:0062023}; extracellular matrix {GO:0031012}; extracellular space {GO:0005615}; sarcolemma {GO:0042383}; transport vesicle {GO:0030133}</t>
  </si>
  <si>
    <t>extracellular matrix binding {GO:0050840}; glycosaminoglycan binding {GO:0005539}</t>
  </si>
  <si>
    <t>A tetrasaccharide linker sequence is required for GAG synthesis {R-MMU-1971475}; Chondroitin sulfate biosynthesis {R-MMU-2022870}; Dermatan sulfate biosynthesis {R-MMU-2022923}; CS/DS degradation {R-MMU-2024101}; ECM proteoglycans {R-MMU-3000178}</t>
  </si>
  <si>
    <t>sp|Q3UUQ7|PGAP1_MOUSE</t>
  </si>
  <si>
    <t>GPI inositol-deacylase</t>
  </si>
  <si>
    <t>Post-GPI attachment to proteins factor 1</t>
  </si>
  <si>
    <t>PGAP1_MOUSE</t>
  </si>
  <si>
    <t>Q3UUQ7</t>
  </si>
  <si>
    <t>E9QKG7; Q8BQ77</t>
  </si>
  <si>
    <t>MGI:2443342</t>
  </si>
  <si>
    <t>Alternative splicing; Endoplasmic reticulum; Glycoprotein; Hydrolase; Membrane; Protein transport; Transmembrane; Transmembrane helix; Transport</t>
  </si>
  <si>
    <t>anterior/posterior axis specification {GO:0009948}; embryonic pattern specification {GO:0009880}; endoplasmic reticulum to Golgi vesicle-mediated transport {GO:0006888}; forebrain regionalization {GO:0021871}; GPI anchor biosynthetic process {GO:0006506}; GPI anchor metabolic process {GO:0006505}; head development {GO:0060322}; positive regulation of ER to Golgi vesicle-mediated transport {GO:1902953}; protein transport {GO:0015031}; sensory perception of sound {GO:0007605}</t>
  </si>
  <si>
    <t>phosphatidylinositol deacylase activity {GO:0050185}</t>
  </si>
  <si>
    <t>sp|Q3SXD3|HDDC2_MOUSE</t>
  </si>
  <si>
    <t>5'-deoxynucleotidase HDDC2</t>
  </si>
  <si>
    <t>HD domain-containing protein 2</t>
  </si>
  <si>
    <t>HDDC2_MOUSE</t>
  </si>
  <si>
    <t>Q3SXD3</t>
  </si>
  <si>
    <t>Q9CV20</t>
  </si>
  <si>
    <t>MGI:1916942</t>
  </si>
  <si>
    <t>Acetylation; Hydrolase; Magnesium; Metal-binding; Phosphoprotein</t>
  </si>
  <si>
    <t>5'-deoxynucleotidase activity {GO:0002953}; metal ion binding {GO:0046872}</t>
  </si>
  <si>
    <t>sp|Q9CYI0|NJMU_MOUSE</t>
  </si>
  <si>
    <t>Protein Njmu-R1</t>
  </si>
  <si>
    <t>NJMU_MOUSE</t>
  </si>
  <si>
    <t>Q9CYI0</t>
  </si>
  <si>
    <t>Q7TMQ9</t>
  </si>
  <si>
    <t>MGI:1917841</t>
  </si>
  <si>
    <t>sp|Q99LJ0|CT2NL_MOUSE</t>
  </si>
  <si>
    <t>CTTNBP2 N-terminal-like protein</t>
  </si>
  <si>
    <t>CT2NL_MOUSE</t>
  </si>
  <si>
    <t>Q99LJ0</t>
  </si>
  <si>
    <t>Q6ZPR0; Q8BSV1; Q922L8</t>
  </si>
  <si>
    <t>Kiaa1433</t>
  </si>
  <si>
    <t>MGI:1933137</t>
  </si>
  <si>
    <t>Cell projection; Coiled coil; Cytoplasm; Cytoskeleton; Phosphoprotein</t>
  </si>
  <si>
    <t>negative regulation of transmembrane transport {GO:0034763}; negative regulation of transporter activity {GO:0032410}; protein dephosphorylation {GO:0006470}</t>
  </si>
  <si>
    <t>actin cytoskeleton {GO:0015629}; cytoplasm {GO:0005737}; lamellipodium {GO:0030027}</t>
  </si>
  <si>
    <t>sp|Q9JJY4|DDX20_MOUSE</t>
  </si>
  <si>
    <t>Probable ATP-dependent RNA helicase DDX20</t>
  </si>
  <si>
    <t>Component of gems 3; DEAD box protein 20; DEAD box protein DP 103; Gemin-3; Regulator of steroidogenic factor 1 (ROSF-1)</t>
  </si>
  <si>
    <t>DDX20_MOUSE</t>
  </si>
  <si>
    <t>Q9JJY4</t>
  </si>
  <si>
    <t>Q059Z6; Q9JIK4</t>
  </si>
  <si>
    <t>Dp103; Gemin3</t>
  </si>
  <si>
    <t>MGI:1858415</t>
  </si>
  <si>
    <t>ATP-binding; Cytoplasm; DNA-binding; Helicase; Hydrolase; mRNA processing; mRNA splicing; Nucleotide-binding; Nucleus; Phosphoprotein</t>
  </si>
  <si>
    <t>negative regulation of cell population proliferation {GO:0008285}; negative regulation of DNA-templated transcription {GO:0045892}; negative regulation of transcription by RNA polymerase II {GO:0000122}; oogenesis {GO:0048477}; positive regulation of apoptotic process {GO:0043065}; regulation of steroid biosynthetic process {GO:0050810}; spliceosomal snRNP assembly {GO:0000387}</t>
  </si>
  <si>
    <t>cytosol {GO:0005829}; Gemini of coiled bodies {GO:0097504}; RNA polymerase II transcription repressor complex {GO:0090571}; SMN complex {GO:0032797}; SMN-Sm protein complex {GO:0034719}; transcription repressor complex {GO:0017053}</t>
  </si>
  <si>
    <t>ATP binding {GO:0005524}; ATP hydrolysis activity {GO:0016887}; DNA binding {GO:0003677}; DNA-binding transcription factor binding {GO:0140297}; histone deacetylase binding {GO:0042826}; protein domain specific binding {GO:0019904}; protein-macromolecule adaptor activity {GO:0030674}; RNA binding {GO:0003723}; RNA helicase activity {GO:0003724}</t>
  </si>
  <si>
    <t>sp|Q6P2K6|P4R3A_MOUSE</t>
  </si>
  <si>
    <t>Serine/threonine-protein phosphatase 4 regulatory subunit 3A</t>
  </si>
  <si>
    <t>SMEK homolog 1</t>
  </si>
  <si>
    <t>P4R3A_MOUSE</t>
  </si>
  <si>
    <t>Q6P2K6</t>
  </si>
  <si>
    <t>Q3UF79; Q69Z35; Q80VS2; Q8BKP7</t>
  </si>
  <si>
    <t>MGI:1915984</t>
  </si>
  <si>
    <t>Acetylation; Alternative splicing; Cytoplasm; Cytoskeleton; Nucleus; Phosphoprotein</t>
  </si>
  <si>
    <t>cellular response to DNA damage stimulus {GO:0006974}; gluconeogenesis {GO:0006094}; positive regulation of gluconeogenesis {GO:0045722}; protein dephosphorylation {GO:0006470}</t>
  </si>
  <si>
    <t>cytoplasm {GO:0005737}; cytosol {GO:0005829}; microtubule organizing center {GO:0005815}; nuclear speck {GO:0016607}; nucleoplasm {GO:0005654}; nucleus {GO:0005634}; protein phosphatase 4 complex {GO:0030289}</t>
  </si>
  <si>
    <t>sp|P55012|S12A2_MOUSE</t>
  </si>
  <si>
    <t>Solute carrier family 12 member 2</t>
  </si>
  <si>
    <t>Basolateral Na-K-Cl symporter; Bumetanide-sensitive sodium-(potassium)-chloride cotransporter 2</t>
  </si>
  <si>
    <t>S12A2_MOUSE</t>
  </si>
  <si>
    <t>P55012</t>
  </si>
  <si>
    <t>E9PYU3</t>
  </si>
  <si>
    <t>Nkcc1</t>
  </si>
  <si>
    <t>MGI:101924</t>
  </si>
  <si>
    <t>Acetylation; Cell membrane; Chloride; Disulfide bond; Glycoprotein; Ion transport; Membrane; Phosphoprotein; Potassium; Potassium transport; Sodium; Sodium transport; Symport; Transmembrane; Transmembrane helix; Transport</t>
  </si>
  <si>
    <t>Ion transport; Potassium transport; Sodium transport; Symport; Transport</t>
  </si>
  <si>
    <t>Chloride; Potassium; Sodium</t>
  </si>
  <si>
    <t>ammonium transmembrane transport {GO:0072488}; branching involved in mammary gland duct morphogenesis {GO:0060444}; cell volume homeostasis {GO:0006884}; cellular chloride ion homeostasis {GO:0030644}; cellular potassium ion homeostasis {GO:0030007}; cellular response to chemokine {GO:1990869}; cellular response to lipopolysaccharide {GO:0071222}; cellular response to potassium ion {GO:0035865}; cellular sodium ion homeostasis {GO:0006883}; chloride ion homeostasis {GO:0055064}; chloride transmembrane transport {GO:1902476}; chloride transport {GO:0006821}; detection of mechanical stimulus involved in sensory perception of sound {GO:0050910}; gamma-aminobutyric acid signaling pathway {GO:0007214}; hyperosmotic response {GO:0006972}; inorganic anion import across plasma membrane {GO:0098658}; inorganic cation import across plasma membrane {GO:0098659}; maintenance of blood-brain barrier {GO:0035633}; mammary duct terminal end bud growth {GO:0060763}; multicellular organism growth {GO:0035264}; negative regulation of vascular wound healing {GO:0061044}; positive regulation of aspartate secretion {GO:1904450}; positive regulation of cell volume {GO:0045795}; potassium ion homeostasis {GO:0055075}; potassium ion import across plasma membrane {GO:1990573}; potassium ion transport {GO:0006813}; regulation of matrix metallopeptidase secretion {GO:1904464}; regulation of spontaneous synaptic transmission {GO:0150003}; sodium ion homeostasis {GO:0055078}; sodium ion import across plasma membrane {GO:0098719}; sodium ion transmembrane transport {GO:0035725}; sodium ion transport {GO:0006814}; T cell chemotaxis {GO:0010818}; transepithelial ammonium transport {GO:0070634}; transepithelial chloride transport {GO:0030321}</t>
  </si>
  <si>
    <t>apical plasma membrane {GO:0016324}; basal plasma membrane {GO:0009925}; basolateral plasma membrane {GO:0016323}; cell body {GO:0044297}; cell periphery {GO:0071944}; cell projection {GO:0042995}; cytoplasmic vesicle membrane {GO:0030659}; cytosol {GO:0005829}; integral component of membrane {GO:0016021}; lateral plasma membrane {GO:0016328}; neuron projection {GO:0043005}; neuronal cell body {GO:0043025}; plasma membrane {GO:0005886}</t>
  </si>
  <si>
    <t>ammonium transmembrane transporter activity {GO:0008519}; cation:chloride symporter activity {GO:0015377}; chaperone binding {GO:0051087}; Hsp90 protein binding {GO:0051879}; metal ion transmembrane transporter activity {GO:0046873}; potassium ion transmembrane transporter activity {GO:0015079}; potassium:chloride symporter activity {GO:0015379}; protein kinase binding {GO:0019901}; sodium:potassium:chloride symporter activity {GO:0008511}</t>
  </si>
  <si>
    <t>Cation-coupled Chloride cotransporters {R-MMU-426117}</t>
  </si>
  <si>
    <t>sp|A8C756|THADA_MOUSE</t>
  </si>
  <si>
    <t>Thyroid adenoma-associated protein homolog</t>
  </si>
  <si>
    <t>THADA_MOUSE</t>
  </si>
  <si>
    <t>A8C756</t>
  </si>
  <si>
    <t>Q3TDR4; Q3U2L1; Q69ZA8; Q7TPV7; Q8C8S7</t>
  </si>
  <si>
    <t>Kiaa1767</t>
  </si>
  <si>
    <t>MGI:3039623</t>
  </si>
  <si>
    <t>lipid homeostasis {GO:0055088}; negative regulation of endoplasmic reticulum calcium ion concentration {GO:0032471}; tRNA methylation {GO:0030488}</t>
  </si>
  <si>
    <t>sp|Q62074|KPCI_MOUSE</t>
  </si>
  <si>
    <t>Protein kinase C iota type</t>
  </si>
  <si>
    <t>Atypical protein kinase C-lambda/iota (aPKC-lambda/iota); nPKC-iota</t>
  </si>
  <si>
    <t>KPCI_MOUSE</t>
  </si>
  <si>
    <t>Q62074</t>
  </si>
  <si>
    <t>Pkcl</t>
  </si>
  <si>
    <t>MGI:99260</t>
  </si>
  <si>
    <t>3D-structure; Acetylation; ATP-binding; Cytoplasm; Developmental protein; Endosome; Kinase; Membrane; Metal-binding; Nucleotide-binding; Nucleus; Phosphoprotein; Proto-oncogene; Serine/threonine-protein kinase; Transferase; Tumor suppressor; Zinc; Zinc-finger</t>
  </si>
  <si>
    <t>actin filament organization {GO:0007015}; cell migration {GO:0016477}; cell-cell junction organization {GO:0045216}; cellular response to insulin stimulus {GO:0032869}; establishment of apical/basal cell polarity {GO:0035089}; establishment or maintenance of epithelial cell apical/basal polarity {GO:0045197}; eye photoreceptor cell development {GO:0042462}; Golgi vesicle budding {GO:0048194}; intracellular signal transduction {GO:0035556}; negative regulation of glial cell apoptotic process {GO:0034351}; negative regulation of neuron apoptotic process {GO:0043524}; peptidyl-serine phosphorylation {GO:0018105}; positive regulation of endothelial cell apoptotic process {GO:2000353}; positive regulation of glial cell proliferation {GO:0060252}; positive regulation of glucose import {GO:0046326}; positive regulation of neuron projection development {GO:0010976}; positive regulation of NF-kappaB transcription factor activity {GO:0051092}; positive regulation of protein localization to plasma membrane {GO:1903078}; protein localization {GO:0008104}; protein phosphorylation {GO:0006468}; regulation of postsynaptic membrane neurotransmitter receptor levels {GO:0099072}; response to interleukin-1 {GO:0070555}; response to peptide hormone {GO:0043434}</t>
  </si>
  <si>
    <t>apical part of cell {GO:0045177}; apical plasma membrane {GO:0016324}; bicellular tight junction {GO:0005923}; cell leading edge {GO:0031252}; cytoplasm {GO:0005737}; cytosol {GO:0005829}; endosome {GO:0005768}; glutamatergic synapse {GO:0098978}; Golgi membrane {GO:0000139}; intercellular bridge {GO:0045171}; microtubule cytoskeleton {GO:0015630}; nucleus {GO:0005634}; PAR polarity complex {GO:0120157}; plasma membrane {GO:0005886}; Schaffer collateral - CA1 synapse {GO:0098685}; Schmidt-Lanterman incisure {GO:0043220}</t>
  </si>
  <si>
    <t>ATP binding {GO:0005524}; calcium-dependent protein kinase C activity {GO:0004698}; metal ion binding {GO:0046872}; phospholipid binding {GO:0005543}; protein kinase activity {GO:0004672}; protein kinase C activity {GO:0004697}; protein serine kinase activity {GO:0106310}; protein serine/threonine kinase activity {GO:0004674}</t>
  </si>
  <si>
    <t>Pre-NOTCH Transcription and Translation {R-MMU-1912408}; p75NTR recruits signalling complexes {R-MMU-209543}; Tight junction interactions {R-MMU-420029}</t>
  </si>
  <si>
    <t>sp|Q8R3D1|TBC13_MOUSE</t>
  </si>
  <si>
    <t>TBC1 domain family member 13</t>
  </si>
  <si>
    <t>TBC13_MOUSE</t>
  </si>
  <si>
    <t>Q8R3D1</t>
  </si>
  <si>
    <t>MGI:2385326</t>
  </si>
  <si>
    <t>Cytoplasm; GTPase activation; Membrane</t>
  </si>
  <si>
    <t>activation of GTPase activity {GO:0090630}; intracellular protein transport {GO:0006886}</t>
  </si>
  <si>
    <t>sp|Q9JIY5|HTRA2_MOUSE</t>
  </si>
  <si>
    <t>Serine protease HTRA2, mitochondrial</t>
  </si>
  <si>
    <t>High temperature requirement protein A2 (HtrA2); Omi stress-regulated endoprotease; Serine protease 25; Serine proteinase OMI</t>
  </si>
  <si>
    <t>HTRA2_MOUSE</t>
  </si>
  <si>
    <t>Q9JIY5</t>
  </si>
  <si>
    <t>Q9R108</t>
  </si>
  <si>
    <t>Omi; Prss25</t>
  </si>
  <si>
    <t>MGI:1928676</t>
  </si>
  <si>
    <t>Apoptosis; Hydrolase; Membrane; Mitochondrion; Protease; Serine protease; Transit peptide; Transmembrane; Transmembrane helix; Zymogen</t>
  </si>
  <si>
    <t>adult locomotory behavior {GO:0008344}; adult walking behavior {GO:0007628}; aging {GO:0007568}; cellular response to growth factor stimulus {GO:0071363}; cellular response to heat {GO:0034605}; cellular response to interferon-beta {GO:0035458}; cellular response to oxidative stress {GO:0034599}; cellular response to retinoic acid {GO:0071300}; ceramide metabolic process {GO:0006672}; forebrain development {GO:0030900}; intrinsic apoptotic signaling pathway {GO:0097193}; intrinsic apoptotic signaling pathway in response to DNA damage {GO:0008630}; mitochondrion organization {GO:0007005}; negative regulation of cell death {GO:0060548}; negative regulation of mitophagy in response to mitochondrial depolarization {GO:1904924}; neuron development {GO:0048666}; pentacyclic triterpenoid metabolic process {GO:0019742}; positive regulation of apoptotic process {GO:0043065}; positive regulation of cysteine-type endopeptidase activity involved in apoptotic process {GO:0043280}; positive regulation of cysteine-type endopeptidase activity involved in apoptotic signaling pathway {GO:2001269}; positive regulation of extrinsic apoptotic signaling pathway in absence of ligand {GO:2001241}; positive regulation of mitochondrion organization {GO:0010822}; programmed cell death {GO:0012501}; protein catabolic process {GO:0030163}; proteolysis {GO:0006508}; regulation of multicellular organism growth {GO:0040014}; response to herbicide {GO:0009635}</t>
  </si>
  <si>
    <t>CD40 receptor complex {GO:0035631}; chromatin {GO:0000785}; cytoplasmic side of plasma membrane {GO:0009898}; cytoskeleton {GO:0005856}; cytosol {GO:0005829}; membrane {GO:0016020}; mitochondrial intermembrane space {GO:0005758}; mitochondrial membrane {GO:0031966}; mitochondrion {GO:0005739}; nucleus {GO:0005634}; serine-type endopeptidase complex {GO:1905370}</t>
  </si>
  <si>
    <t>identical protein binding {GO:0042802}; peptidase activity {GO:0008233}; serine-type endopeptidase activity {GO:0004252}; serine-type peptidase activity {GO:0008236}</t>
  </si>
  <si>
    <t>sp|Q6R891|NEB2_MOUSE</t>
  </si>
  <si>
    <t>Neurabin-2</t>
  </si>
  <si>
    <t>Neurabin-II; Protein phosphatase 1 regulatory subunit 9B; Spinophilin</t>
  </si>
  <si>
    <t>NEB2_MOUSE</t>
  </si>
  <si>
    <t>Q6R891</t>
  </si>
  <si>
    <t>Q8K0X7</t>
  </si>
  <si>
    <t>MGI:2387581</t>
  </si>
  <si>
    <t>Actin-binding; Alternative splicing; Cell junction; Cell membrane; Cell projection; Coiled coil; Cytoplasm; Cytoskeleton; Developmental protein; Differentiation; Membrane; Neurogenesis; Nucleus; Phosphoprotein; Synapse</t>
  </si>
  <si>
    <t>actin cytoskeleton organization {GO:0030036}; actin filament depolymerization {GO:0030042}; actin filament organization {GO:0007015}; aging {GO:0007568}; calcium-mediated signaling {GO:0019722}; cell migration {GO:0016477}; cellular response to epidermal growth factor stimulus {GO:0071364}; cellular response to estradiol stimulus {GO:0071392}; cellular response to morphine {GO:0071315}; cellular response to peptide {GO:1901653}; cellular response to xenobiotic stimulus {GO:0071466}; cerebral cortex development {GO:0021987}; dendrite development {GO:0016358}; developmental process involved in reproduction {GO:0003006}; filopodium assembly {GO:0046847}; hippocampus development {GO:0021766}; learning {GO:0007612}; male mating behavior {GO:0060179}; modulation of chemical synaptic transmission {GO:0050804}; negative regulation of cell growth {GO:0030308}; negative regulation of phosphoprotein phosphatase activity {GO:0032515}; neuron projection development {GO:0031175}; positive regulation of protein localization {GO:1903829}; positive regulation of protein localization to actin cortical patch {GO:1904372}; positive regulation of protein localization to plasma membrane {GO:1903078}; protein localization to actin cytoskeleton {GO:1903119}; protein localization to cell periphery {GO:1990778}; regulation of cell population proliferation {GO:0042127}; regulation of opioid receptor signaling pathway {GO:2000474}; regulation of protein phosphorylation {GO:0001932}; reproductive system development {GO:0061458}; response to amphetamine {GO:0001975}; response to clozapine {GO:0097338}; response to immobilization stress {GO:0035902}; response to kainic acid {GO:1904373}; response to L-phenylalanine derivative {GO:1904386}; response to nicotine {GO:0035094}; response to prostaglandin E {GO:0034695}; response to steroid hormone {GO:0048545}</t>
  </si>
  <si>
    <t>actin cytoskeleton {GO:0015629}; adherens junction {GO:0005912}; cortical actin cytoskeleton {GO:0030864}; cytoplasm {GO:0005737}; cytoplasmic side of dendritic spine plasma membrane {GO:1990780}; dendrite {GO:0030425}; dendritic spine {GO:0043197}; dendritic spine head {GO:0044327}; dendritic spine membrane {GO:0032591}; dendritic spine neck {GO:0044326}; filopodium {GO:0030175}; growth cone {GO:0030426}; lamellipodium {GO:0030027}; neuron projection {GO:0043005}; neuronal cell body {GO:0043025}; nucleoplasm {GO:0005654}; plasma membrane {GO:0005886}; postsynaptic density {GO:0014069}; ruffle membrane {GO:0032587}</t>
  </si>
  <si>
    <t>actin binding {GO:0003779}; actin filament binding {GO:0051015}; D2 dopamine receptor binding {GO:0031749}; kinase binding {GO:0019900}; protein C-terminus binding {GO:0008022}; protein kinase activity {GO:0004672}; protein phosphatase 1 binding {GO:0008157}; protein phosphatase inhibitor activity {GO:0004864}; protein-containing complex binding {GO:0044877}; transmembrane transporter binding {GO:0044325}</t>
  </si>
  <si>
    <t>sp|O08579|EMD_MOUSE</t>
  </si>
  <si>
    <t>Emerin</t>
  </si>
  <si>
    <t>EMD_MOUSE</t>
  </si>
  <si>
    <t>O08579</t>
  </si>
  <si>
    <t>Q3TIH6; Q3UJP3</t>
  </si>
  <si>
    <t>Sta</t>
  </si>
  <si>
    <t>MGI:108117</t>
  </si>
  <si>
    <t>Acetylation; Actin-binding; Membrane; Microtubule; Nucleus; Phosphoprotein; Transmembrane; Transmembrane helix</t>
  </si>
  <si>
    <t>Membrane; Microtubule; Nucleus</t>
  </si>
  <si>
    <t>cellular response to growth factor stimulus {GO:0071363}; negative regulation of canonical Wnt signaling pathway {GO:0090090}; negative regulation of fibroblast proliferation {GO:0048147}; nuclear membrane organization {GO:0071763}; positive regulation of protein export from nucleus {GO:0046827}; regulation of canonical Wnt signaling pathway {GO:0060828}; skeletal muscle cell differentiation {GO:0035914}</t>
  </si>
  <si>
    <t>cortical endoplasmic reticulum {GO:0032541}; cytoplasm {GO:0005737}; endoplasmic reticulum {GO:0005783}; integral component of membrane {GO:0016021}; microtubule {GO:0005874}; nuclear envelope {GO:0005635}; nuclear inner membrane {GO:0005637}; nuclear lamina {GO:0005652}; nuclear membrane {GO:0031965}; nuclear outer membrane {GO:0005640}; nucleoplasm {GO:0005654}; nucleus {GO:0005634}; spindle {GO:0005819}; spindle pole centrosome {GO:0031616}</t>
  </si>
  <si>
    <t>actin binding {GO:0003779}; beta-tubulin binding {GO:0048487}</t>
  </si>
  <si>
    <t>Nuclear Envelope Breakdown {R-MMU-2980766}; Initiation of Nuclear Envelope (NE) Reformation {R-MMU-2995383}; Depolymerisation of the Nuclear Lamina {R-MMU-4419969}; RAC1 GTPase cycle {R-MMU-9013149}; RAC2 GTPase cycle {R-MMU-9013404}; RHOD GTPase cycle {R-MMU-9013405}; RHOG GTPase cycle {R-MMU-9013408}; RAC3 GTPase cycle {R-MMU-9013423}; Insertion of tail-anchored proteins into the endoplasmic reticulum membrane {R-MMU-9609523}</t>
  </si>
  <si>
    <t>sp|Q4KWH5|PLCH1_MOUSE</t>
  </si>
  <si>
    <t>1-phosphatidylinositol 4,5-bisphosphate phosphodiesterase eta-1</t>
  </si>
  <si>
    <t>Phosphoinositide phospholipase C-eta-1; Phospholipase C-eta-1 (PLC-eta-1); Phospholipase C-like protein 3 (PLC-L3)</t>
  </si>
  <si>
    <t>PLCH1_MOUSE</t>
  </si>
  <si>
    <t>Q4KWH5</t>
  </si>
  <si>
    <t>Q4KWH6; Q4KWH7; Q69ZS3; Q7TPQ1; Q8CFQ2</t>
  </si>
  <si>
    <t>Kiaa1069; Plcl3</t>
  </si>
  <si>
    <t>MGI:2683547</t>
  </si>
  <si>
    <t>Alternative splicing; Calcium; Cytoplasm; Hydrolase; Lipid degradation; Lipid metabolism; Membrane; Metal-binding; Repeat; Transducer</t>
  </si>
  <si>
    <t>Hydrolase; Transducer</t>
  </si>
  <si>
    <t>lipid catabolic process {GO:0016042}; phosphatidylinositol-mediated signaling {GO:0048015}</t>
  </si>
  <si>
    <t>cytoplasm {GO:0005737}; cytosol {GO:0005829}; intracellular membrane-bounded organelle {GO:0043231}; membrane {GO:0016020}</t>
  </si>
  <si>
    <t>calcium ion binding {GO:0005509}; calcium-dependent phospholipase C activity {GO:0050429}; phosphatidylinositol phospholipase C activity {GO:0004435}</t>
  </si>
  <si>
    <t>Synthesis of IP3 and IP4 in the cytosol {R-MMU-1855204}</t>
  </si>
  <si>
    <t>sp|Q9Z2Z6|MCAT_MOUSE</t>
  </si>
  <si>
    <t>Mitochondrial carnitine/acylcarnitine carrier protein</t>
  </si>
  <si>
    <t>Carnitine/acylcarnitine translocase (CAC; CACT; mCAC); Solute carrier family 25 member 20</t>
  </si>
  <si>
    <t>MCAT_MOUSE</t>
  </si>
  <si>
    <t>Q9Z2Z6</t>
  </si>
  <si>
    <t>Q3U801</t>
  </si>
  <si>
    <t>Cac; Cact</t>
  </si>
  <si>
    <t>MGI:1928738</t>
  </si>
  <si>
    <t>Acetylation; Lipid transport; Membrane; Mitochondrion; Mitochondrion inner membrane; Repeat; Transmembrane; Transmembrane helix; Transport</t>
  </si>
  <si>
    <t>carnitine transmembrane transport {GO:1902603}; in utero embryonic development {GO:0001701}; lipid transport {GO:0006869}; mitochondrial transport {GO:0006839}</t>
  </si>
  <si>
    <t>cytosol {GO:0005829}; integral component of membrane {GO:0016021}; mitochondrial envelope {GO:0005740}; mitochondrial inner membrane {GO:0005743}; mitochondrion {GO:0005739}</t>
  </si>
  <si>
    <t>acyl carnitine transmembrane transporter activity {GO:0015227}; transmembrane transporter activity {GO:0022857}</t>
  </si>
  <si>
    <t>sp|Q6PHU5|SORT_MOUSE</t>
  </si>
  <si>
    <t>Sortilin</t>
  </si>
  <si>
    <t>Neurotensin receptor 3 (NTR3; mNTR3)</t>
  </si>
  <si>
    <t>SORT_MOUSE</t>
  </si>
  <si>
    <t>Q6PHU5</t>
  </si>
  <si>
    <t>A2AEE8; Q3UHE2; Q8K043; Q9QXW6</t>
  </si>
  <si>
    <t>MGI:1338015</t>
  </si>
  <si>
    <t>3D-structure; Alternative splicing; Cell membrane; Cleavage on pair of basic residues; Developmental protein; Differentiation; Disulfide bond; Endocytosis; Endoplasmic reticulum; Endosome; Glycoprotein; Golgi apparatus; Lipoprotein; Lysosome; Membrane; Nucleus; Osteogenesis; Palmitate; Phosphoprotein; Receptor; Repeat; Signal; Transmembrane; Transmembrane helix; Transport</t>
  </si>
  <si>
    <t>Differentiation; Endocytosis; Osteogenesis; Transport</t>
  </si>
  <si>
    <t>Cell membrane; Endoplasmic reticulum; Endosome; Golgi apparatus; Lysosome; Membrane; Nucleus</t>
  </si>
  <si>
    <t>endocytosis {GO:0006897}; endosome to lysosome transport {GO:0008333}; endosome transport via multivesicular body sorting pathway {GO:0032509}; extrinsic apoptotic signaling pathway via death domain receptors {GO:0008625}; G protein-coupled receptor signaling pathway {GO:0007186}; glucose import {GO:0046323}; Golgi to endosome transport {GO:0006895}; Golgi to lysosome transport {GO:0090160}; myotube differentiation {GO:0014902}; negative regulation of fat cell differentiation {GO:0045599}; negative regulation of lipoprotein lipase activity {GO:0051005}; neuropeptide signaling pathway {GO:0007218}; neurotrophin TRK receptor signaling pathway {GO:0048011}; ossification {GO:0001503}; plasma membrane to endosome transport {GO:0048227}; positive regulation of epithelial cell apoptotic process {GO:1904037}; post-Golgi vesicle-mediated transport {GO:0006892}; protein targeting to lysosome {GO:0006622}; regulation of gene expression {GO:0010468}; response to insulin {GO:0032868}; vesicle organization {GO:0016050}</t>
  </si>
  <si>
    <t>cell surface {GO:0009986}; clathrin-coated pit {GO:0005905}; clathrin-coated vesicle {GO:0030136}; cytoplasmic vesicle {GO:0031410}; cytoplasmic vesicle membrane {GO:0030659}; cytosol {GO:0005829}; dendrite {GO:0030425}; early endosome {GO:0005769}; endoplasmic reticulum membrane {GO:0005789}; endosome membrane {GO:0010008}; Golgi apparatus {GO:0005794}; Golgi cisterna membrane {GO:0032580}; integral component of membrane {GO:0016021}; intracellular membrane-bounded organelle {GO:0043231}; lysosomal membrane {GO:0005765}; lysosome {GO:0005764}; neuronal cell body {GO:0043025}; nuclear membrane {GO:0031965}; perinuclear region of cytoplasm {GO:0048471}; plasma membrane {GO:0005886}; trans-Golgi network transport vesicle {GO:0030140}</t>
  </si>
  <si>
    <t>enzyme binding {GO:0019899}; nerve growth factor binding {GO:0048406}; nerve growth factor receptor activity {GO:0010465}; neurotensin receptor activity, non-G protein-coupled {GO:0030379}; retromer complex binding {GO:1905394}</t>
  </si>
  <si>
    <t>sp|P55937|GOGA3_MOUSE</t>
  </si>
  <si>
    <t>Golgin subfamily A member 3</t>
  </si>
  <si>
    <t>Golgin-160; Male-enhanced antigen 2 (MEA-2)</t>
  </si>
  <si>
    <t>GOGA3_MOUSE</t>
  </si>
  <si>
    <t>P55937</t>
  </si>
  <si>
    <t>Q80VF5; Q8CCK4; Q9QYT2; Q9QYT3</t>
  </si>
  <si>
    <t>Mea2</t>
  </si>
  <si>
    <t>MGI:96958</t>
  </si>
  <si>
    <t>Acetylation; Alternative splicing; Coiled coil; Cytoplasm; Developmental protein; Differentiation; Golgi apparatus; Membrane; Phosphoprotein; Spermatogenesis</t>
  </si>
  <si>
    <t>cytosol {GO:0005829}; endoplasmic reticulum-Golgi intermediate compartment {GO:0005793}; extrinsic component of Golgi membrane {GO:0090498}; Golgi apparatus {GO:0005794}; Golgi cisterna membrane {GO:0032580}; Golgi membrane {GO:0000139}; nucleolus {GO:0005730}; nucleoplasm {GO:0005654}</t>
  </si>
  <si>
    <t>RND2 GTPase cycle {R-MMU-9696270}</t>
  </si>
  <si>
    <t>tr|E9Q411|E9Q411_MOUSE</t>
  </si>
  <si>
    <t>sp|Q9ER88|RT29_MOUSE</t>
  </si>
  <si>
    <t>28S ribosomal protein S29, mitochondrial (MRP-S29; S29mt)</t>
  </si>
  <si>
    <t>Death-associated protein 3 (DAP-3)</t>
  </si>
  <si>
    <t>RT29_MOUSE</t>
  </si>
  <si>
    <t>Q9ER88</t>
  </si>
  <si>
    <t>Q8C2B2; Q8CCQ8; Q8VCK8; Q9CRT4; Q9CS11; Q9D5V9</t>
  </si>
  <si>
    <t>Mrps29</t>
  </si>
  <si>
    <t>MGI:1929538</t>
  </si>
  <si>
    <t>Acetylation; Alternative splicing; Apoptosis; Mitochondrion; Ribonucleoprotein; Ribosomal protein; Transit peptide</t>
  </si>
  <si>
    <t>apoptotic mitochondrial changes {GO:0008637}; mitochondrial translation {GO:0032543}</t>
  </si>
  <si>
    <t>mitochondrial inner membrane {GO:0005743}; mitochondrial matrix {GO:0005759}; mitochondrial small ribosomal subunit {GO:0005763}; mitochondrion {GO:0005739}; nucleoplasm {GO:0005654}</t>
  </si>
  <si>
    <t>sp|Q61490|CD166_MOUSE</t>
  </si>
  <si>
    <t>CD166 antigen</t>
  </si>
  <si>
    <t>Activated leukocyte cell adhesion molecule; BEN; Protein DM-GRASP; CD_antigen=CD166</t>
  </si>
  <si>
    <t>CD166_MOUSE</t>
  </si>
  <si>
    <t>Q61490</t>
  </si>
  <si>
    <t>O70136; Q8CDA5; Q8R2T0</t>
  </si>
  <si>
    <t>MGI:1313266</t>
  </si>
  <si>
    <t>Adaptive immunity; Cell adhesion; Cell membrane; Cell projection; Disulfide bond; Glycoprotein; Immunity; Immunoglobulin domain; Membrane; Repeat; Signal; Transmembrane; Transmembrane helix</t>
  </si>
  <si>
    <t>Adaptive immunity; Cell adhesion; Immunity</t>
  </si>
  <si>
    <t>adaptive immune response {GO:0002250}; axon extension involved in axon guidance {GO:0048846}; axon guidance {GO:0007411}; cell adhesion {GO:0007155}; heterophilic cell-cell adhesion via plasma membrane cell adhesion molecules {GO:0007157}; motor neuron axon guidance {GO:0008045}; neuron projection extension {GO:1990138}; retinal ganglion cell axon guidance {GO:0031290}</t>
  </si>
  <si>
    <t>axon {GO:0030424}; dendrite {GO:0030425}; external side of plasma membrane {GO:0009897}; immunological synapse {GO:0001772}; integral component of plasma membrane {GO:0005887}; intrinsic component of plasma membrane {GO:0031226}; neuronal cell body {GO:0043025}; plasma membrane {GO:0005886}; T cell receptor complex {GO:0042101}</t>
  </si>
  <si>
    <t>sp|Q99N96|RM01_MOUSE</t>
  </si>
  <si>
    <t>39S ribosomal protein L1, mitochondrial (L1mt; MRP-L1)</t>
  </si>
  <si>
    <t>RM01_MOUSE</t>
  </si>
  <si>
    <t>Q99N96</t>
  </si>
  <si>
    <t>Q3UQP5; Q8K351; Q9CWW4</t>
  </si>
  <si>
    <t>MGI:2137202</t>
  </si>
  <si>
    <t>maturation of LSU-rRNA {GO:0000470}; mitochondrial translation {GO:0032543}; translation {GO:0006412}</t>
  </si>
  <si>
    <t>cytosolic large ribosomal subunit {GO:0022625}; mitochondrial inner membrane {GO:0005743}; mitochondrial large ribosomal subunit {GO:0005762}; mitochondrion {GO:0005739}</t>
  </si>
  <si>
    <t>sp|Q7TPW1|NEXN_MOUSE</t>
  </si>
  <si>
    <t>Nexilin</t>
  </si>
  <si>
    <t>F-actin-binding protein</t>
  </si>
  <si>
    <t>NEXN_MOUSE</t>
  </si>
  <si>
    <t>Q7TPW1</t>
  </si>
  <si>
    <t>E9QJX5; Q3TQP3; Q3UWU2; Q3UWU6; Q3UX39</t>
  </si>
  <si>
    <t>MGI:1916060</t>
  </si>
  <si>
    <t>Actin-binding; Cell junction; Cytoplasm; Cytoskeleton; Immunoglobulin domain; Phosphoprotein</t>
  </si>
  <si>
    <t>axon guidance {GO:0007411}; dendrite self-avoidance {GO:0070593}; homophilic cell adhesion via plasma membrane adhesion molecules {GO:0007156}; regulation of cell migration {GO:0030334}; regulation of cytoskeleton organization {GO:0051493}; response to bacterium {GO:0009617}</t>
  </si>
  <si>
    <t>actin cytoskeleton {GO:0015629}; adherens junction {GO:0005912}; axon {GO:0030424}; cell-substrate junction {GO:0030055}; focal adhesion {GO:0005925}; plasma membrane {GO:0005886}; Z disc {GO:0030018}</t>
  </si>
  <si>
    <t>actin filament binding {GO:0051015}; cell-cell adhesion mediator activity {GO:0098632}; structural constituent of muscle {GO:0008307}</t>
  </si>
  <si>
    <t>sp|Q5SFM8|RBM27_MOUSE</t>
  </si>
  <si>
    <t>RNA-binding protein 27</t>
  </si>
  <si>
    <t>Peri-implantation stem cell protein 1; RNA-binding motif protein 27</t>
  </si>
  <si>
    <t>RBM27_MOUSE</t>
  </si>
  <si>
    <t>Q5SFM8</t>
  </si>
  <si>
    <t>E9QM85; Q6ZPT9; Q7TQK8; Q8C2X5; Q8C9A5</t>
  </si>
  <si>
    <t>Kiaa1311</t>
  </si>
  <si>
    <t>MGI:2147194</t>
  </si>
  <si>
    <t>Alternative splicing; Coiled coil; Cytoplasm; Metal-binding; Methylation; Nucleus; Phosphoprotein; RNA-binding; Zinc; Zinc-finger</t>
  </si>
  <si>
    <t>sp|Q9CZL5|PHS2_MOUSE</t>
  </si>
  <si>
    <t>Pterin-4-alpha-carbinolamine dehydratase 2 (PHS 2)</t>
  </si>
  <si>
    <t>4-alpha-hydroxy-tetrahydropterin dehydratase 2; DcoH-like protein DCoHm; Dimerization cofactor of hepatocyte nuclear factor 1 from muscle; HNF-1-alpha dimerization cofactor</t>
  </si>
  <si>
    <t>PHS2_MOUSE</t>
  </si>
  <si>
    <t>Q9CZL5</t>
  </si>
  <si>
    <t>Dcoh2; Dcohm</t>
  </si>
  <si>
    <t>MGI:1919812</t>
  </si>
  <si>
    <t>3D-structure; Acetylation; Lyase; Tetrahydrobiopterin biosynthesis</t>
  </si>
  <si>
    <t>positive regulation of DNA-templated transcription {GO:0045893}; tetrahydrobiopterin biosynthetic process {GO:0006729}</t>
  </si>
  <si>
    <t>mitochondrion {GO:0005739}; nucleus {GO:0005634}</t>
  </si>
  <si>
    <t>4-alpha-hydroxytetrahydrobiopterin dehydratase activity {GO:0008124}; identical protein binding {GO:0042802}; phenylalanine 4-monooxygenase activity {GO:0004505}</t>
  </si>
  <si>
    <t>tr|F8VPP8|F8VPP8_MOUSE</t>
  </si>
  <si>
    <t>sp|Q9D3E6|STAG1_MOUSE</t>
  </si>
  <si>
    <t>Cohesin subunit SA-1</t>
  </si>
  <si>
    <t>SCC3 homolog 1; Stromal antigen 1</t>
  </si>
  <si>
    <t>STAG1_MOUSE</t>
  </si>
  <si>
    <t>Q9D3E6</t>
  </si>
  <si>
    <t>O08982; Q6P5D1</t>
  </si>
  <si>
    <t>Sa1</t>
  </si>
  <si>
    <t>MGI:1098658</t>
  </si>
  <si>
    <t>Cell cycle; Cell division; Chromosome; Chromosome partition; Isopeptide bond; Mitosis; Nucleus; Phosphoprotein; Ubl conjugation</t>
  </si>
  <si>
    <t>cell division {GO:0051301}; localization {GO:0051179}; mitotic spindle assembly {GO:0090307}; sister chromatid cohesion {GO:0007062}</t>
  </si>
  <si>
    <t>chromatin {GO:0000785}; cohesin complex {GO:0008278}; mitotic spindle pole {GO:0097431}; nuclear body {GO:0016604}; nuclear matrix {GO:0016363}; nucleoplasm {GO:0005654}; nucleus {GO:0005634}</t>
  </si>
  <si>
    <t>sp|Q91W86|VPS11_MOUSE</t>
  </si>
  <si>
    <t>Vacuolar protein sorting-associated protein 11 homolog</t>
  </si>
  <si>
    <t>VPS11_MOUSE</t>
  </si>
  <si>
    <t>Q91W86</t>
  </si>
  <si>
    <t>Q5FWZ1; Q9DBX8</t>
  </si>
  <si>
    <t>MGI:1918982</t>
  </si>
  <si>
    <t>Acetylation; Autophagy; Coiled coil; Cytoplasmic vesicle; Endosome; Lysosome; Membrane; Metal-binding; Methylation; Nucleotide-binding; Phosphoprotein; Protein transport; Repeat; Transport; Zinc; Zinc-finger</t>
  </si>
  <si>
    <t>Cytoplasmic vesicle; Endosome; Lysosome; Membrane</t>
  </si>
  <si>
    <t>Metal-binding; Nucleotide-binding; Zinc</t>
  </si>
  <si>
    <t>autophagy {GO:0006914}; endosomal vesicle fusion {GO:0034058}; endosome organization {GO:0007032}; endosome to lysosome transport {GO:0008333}; intracellular protein transport {GO:0006886}; negative regulation of intracellular estrogen receptor signaling pathway {GO:0033147}; organelle fusion {GO:0048284}; positive regulation of early endosome to late endosome transport {GO:2000643}; positive regulation of protein catabolic process {GO:0045732}; protein ubiquitination {GO:0016567}; regulation of organelle assembly {GO:1902115}; toxin transport {GO:1901998}; vacuole organization {GO:0007033}; vesicle docking involved in exocytosis {GO:0006904}</t>
  </si>
  <si>
    <t>actin filament {GO:0005884}; autophagosome {GO:0005776}; clathrin-coated vesicle {GO:0030136}; CORVET complex {GO:0033263}; early endosome {GO:0005769}; endocytic vesicle {GO:0030139}; endosome {GO:0005768}; HOPS complex {GO:0030897}; late endosome {GO:0005770}; late endosome membrane {GO:0031902}; lysosomal membrane {GO:0005765}; lysosome {GO:0005764}; presynaptic active zone {GO:0048786}</t>
  </si>
  <si>
    <t>metal ion binding {GO:0046872}; nucleotide binding {GO:0000166}; protein domain specific binding {GO:0019904}; protein-macromolecule adaptor activity {GO:0030674}; syntaxin binding {GO:0019905}; ubiquitin protein ligase activity {GO:0061630}</t>
  </si>
  <si>
    <t>sp|B1AR13|CISD3_MOUSE</t>
  </si>
  <si>
    <t>CDGSH iron-sulfur domain-containing protein 3, mitochondrial</t>
  </si>
  <si>
    <t>Melanoma nuclear protein 13</t>
  </si>
  <si>
    <t>CISD3_MOUSE</t>
  </si>
  <si>
    <t>B1AR13</t>
  </si>
  <si>
    <t>B1AR11; B1AR12</t>
  </si>
  <si>
    <t>Mel-13; Mel13</t>
  </si>
  <si>
    <t>MGI:101788</t>
  </si>
  <si>
    <t>2Fe-2S; Acetylation; Iron; Iron-sulfur; Metal-binding; Mitochondrion; Transit peptide</t>
  </si>
  <si>
    <t>protein maturation by [2Fe-2S] cluster transfer {GO:0106034}</t>
  </si>
  <si>
    <t>2 iron, 2 sulfur cluster binding {GO:0051537}; metal ion binding {GO:0046872}</t>
  </si>
  <si>
    <t>sp|A2APV2|FMNL2_MOUSE</t>
  </si>
  <si>
    <t>Formin-like protein 2</t>
  </si>
  <si>
    <t>Protein Man</t>
  </si>
  <si>
    <t>FMNL2_MOUSE</t>
  </si>
  <si>
    <t>A2APV2</t>
  </si>
  <si>
    <t>A2AQW1; Q69Z73; Q7TPA8; Q80VH6</t>
  </si>
  <si>
    <t>Kiaa1902; Man</t>
  </si>
  <si>
    <t>MGI:1918659</t>
  </si>
  <si>
    <t>Alternative splicing; Cytoplasm; Lipoprotein; Myristate; Phosphoprotein</t>
  </si>
  <si>
    <t>cell migration {GO:0016477}; cortical actin cytoskeleton organization {GO:0030866}; cytoskeleton organization {GO:0007010}; regulation of cell morphogenesis {GO:0022604}; regulation of cell shape {GO:0008360}</t>
  </si>
  <si>
    <t>RHO GTPases Activate Formins {R-MMU-5663220}; RHOC GTPase cycle {R-MMU-9013106}</t>
  </si>
  <si>
    <t>sp|Q8BK35|NOP53_MOUSE</t>
  </si>
  <si>
    <t>Ribosome biogenesis protein NOP53</t>
  </si>
  <si>
    <t>Glioma tumor suppressor candidate region gene 2 protein; PreS1-binding protein</t>
  </si>
  <si>
    <t>NOP53_MOUSE</t>
  </si>
  <si>
    <t>Q8BK35</t>
  </si>
  <si>
    <t>Q8VD18</t>
  </si>
  <si>
    <t>MGI:2154441</t>
  </si>
  <si>
    <t>Acetylation; Nucleus; Phosphoprotein; Ribosome biogenesis</t>
  </si>
  <si>
    <t>cellular response to DNA damage stimulus {GO:0006974}; cellular response to hypoxia {GO:0071456}; DNA repair {GO:0006281}; mitotic G2 DNA damage checkpoint signaling {GO:0007095}; negative regulation of phosphatidylinositol 3-kinase signaling {GO:0014067}; negative regulation of proteasomal ubiquitin-dependent protein catabolic process {GO:0032435}; negative regulation of protein kinase B signaling {GO:0051898}; negative regulation of protein-containing complex assembly {GO:0031333}; negative regulation of signal transduction by p53 class mediator {GO:1901797}; negative regulation of transcription by RNA polymerase II {GO:0000122}; negative regulation of transcription of nucleolar large rRNA by RNA polymerase I {GO:1901837}; positive regulation of proteasomal ubiquitin-dependent protein catabolic process {GO:0032436}; positive regulation of protein K63-linked deubiquitination {GO:1903006}; protein localization to nucleolus {GO:1902570}; protein localization to nucleoplasm {GO:1990173}; protein stabilization {GO:0050821}; regulation of aerobic respiration {GO:1903715}; regulation of apoptotic process {GO:0042981}; regulation of cell cycle {GO:0051726}; regulation of protein phosphorylation {GO:0001932}; regulation of RIG-I signaling pathway {GO:0039535}; regulation of signal transduction by p53 class mediator {GO:1901796}; ribosomal large subunit assembly {GO:0000027}; rRNA processing {GO:0006364}</t>
  </si>
  <si>
    <t>cytosol {GO:0005829}; fibrillar center {GO:0001650}; intracellular membrane-bounded organelle {GO:0043231}; nucleolus {GO:0005730}; nucleoplasm {GO:0005654}; rDNA heterochromatin {GO:0033553}</t>
  </si>
  <si>
    <t>5S rRNA binding {GO:0008097}; identical protein binding {GO:0042802}; p53 binding {GO:0002039}</t>
  </si>
  <si>
    <t>sp|P21956|MFGM_MOUSE</t>
  </si>
  <si>
    <t>Lactadherin</t>
  </si>
  <si>
    <t>MFGM; Milk fat globule-EGF factor 8 (MFG-E8); SED1; Sperm surface protein SP47 (MP47)</t>
  </si>
  <si>
    <t>MFGM_MOUSE</t>
  </si>
  <si>
    <t>P21956</t>
  </si>
  <si>
    <t>P97800; Q3TBN5; Q3U8S9; Q9R1X9; Q9WTS3</t>
  </si>
  <si>
    <t>MGI:102768</t>
  </si>
  <si>
    <t>3D-structure; Alternative splicing; Angiogenesis; Cell adhesion; Cytoplasmic vesicle; Disulfide bond; EGF-like domain; Fertilization; Glycoprotein; Membrane; Repeat; Secreted; Signal</t>
  </si>
  <si>
    <t>Angiogenesis; Cell adhesion; Fertilization</t>
  </si>
  <si>
    <t>angiogenesis {GO:0001525}; apoptotic cell clearance {GO:0043277}; cell adhesion {GO:0007155}; phagocytosis, engulfment {GO:0006911}; phagocytosis, recognition {GO:0006910}; positive regulation of phagocytosis {GO:0050766}; single fertilization {GO:0007338}</t>
  </si>
  <si>
    <t>acrosomal membrane {GO:0002080}; collagen-containing extracellular matrix {GO:0062023}; external side of plasma membrane {GO:0009897}; extracellular space {GO:0005615}; extrinsic component of plasma membrane {GO:0019897}</t>
  </si>
  <si>
    <t>integrin binding {GO:0005178}; phosphatidylethanolamine binding {GO:0008429}; phosphatidylserine binding {GO:0001786}</t>
  </si>
  <si>
    <t>sp|Q3THJ3|EIF1A_MOUSE</t>
  </si>
  <si>
    <t>Probable RNA-binding protein EIF1AD</t>
  </si>
  <si>
    <t>Eukaryotic translation initiation factor 1A domain-containing protein</t>
  </si>
  <si>
    <t>EIF1A_MOUSE</t>
  </si>
  <si>
    <t>Q3THJ3</t>
  </si>
  <si>
    <t>Q8K1C2; Q9D8F9</t>
  </si>
  <si>
    <t>MGI:1917110</t>
  </si>
  <si>
    <t>Nucleus; Phosphoprotein; RNA-binding</t>
  </si>
  <si>
    <t>cytosol {GO:0005829}; intracellular membrane-bounded organelle {GO:0043231}; nucleoplasm {GO:0005654}; nucleus {GO:0005634}</t>
  </si>
  <si>
    <t>sp|E9Q4N7|ARI1B_MOUSE</t>
  </si>
  <si>
    <t>AT-rich interactive domain-containing protein 1B (ARID domain-containing protein 1B)</t>
  </si>
  <si>
    <t>BRG1-associated factor 250b (BAF250B)</t>
  </si>
  <si>
    <t>ARI1B_MOUSE</t>
  </si>
  <si>
    <t>E9Q4N7</t>
  </si>
  <si>
    <t>MGI:1926129</t>
  </si>
  <si>
    <t>Acetylation; Chromatin regulator; Coiled coil; DNA-binding; Methylation; Neurogenesis; Nucleus; Phosphoprotein; Transcription; Transcription regulation</t>
  </si>
  <si>
    <t>chromatin remodeling {GO:0006338}; dendritic cell dendrite assembly {GO:0097026}; dendritic spine development {GO:0060996}; neuron-neuron synaptic transmission {GO:0007270}; positive regulation of DNA-templated transcription {GO:0045893}; regulation of transcription by RNA polymerase II {GO:0006357}</t>
  </si>
  <si>
    <t>brahma complex {GO:0035060}; cytoplasm {GO:0005737}; cytosol {GO:0005829}; nBAF complex {GO:0071565}; nucleoplasm {GO:0005654}; nucleus {GO:0005634}; plasma membrane {GO:0005886}; SWI/SNF complex {GO:0016514}; synapse {GO:0045202}</t>
  </si>
  <si>
    <t>sp|Q61247|A2AP_MOUSE</t>
  </si>
  <si>
    <t>Alpha-2-antiplasmin (Alpha-2-AP)</t>
  </si>
  <si>
    <t>Alpha-2-plasmin inhibitor (Alpha-2-PI); Serpin F2</t>
  </si>
  <si>
    <t>A2AP_MOUSE</t>
  </si>
  <si>
    <t>Q61247</t>
  </si>
  <si>
    <t>Pli</t>
  </si>
  <si>
    <t>MGI:107173</t>
  </si>
  <si>
    <t>3D-structure; Acute phase; Disulfide bond; Glycoprotein; Protease inhibitor; Secreted; Serine protease inhibitor; Signal; Sulfation</t>
  </si>
  <si>
    <t>Acute phase</t>
  </si>
  <si>
    <t>acute-phase response {GO:0006953}; blood vessel morphogenesis {GO:0048514}; collagen fibril organization {GO:0030199}; maintenance of blood vessel diameter homeostasis by renin-angiotensin {GO:0002034}; negative regulation of endopeptidase activity {GO:0010951}; negative regulation of fibrinolysis {GO:0051918}; negative regulation of plasminogen activation {GO:0010757}; positive regulation of cell differentiation {GO:0045597}; positive regulation of collagen biosynthetic process {GO:0032967}; positive regulation of ERK1 and ERK2 cascade {GO:0070374}; positive regulation of JNK cascade {GO:0046330}; positive regulation of smooth muscle cell proliferation {GO:0048661}; positive regulation of stress fiber assembly {GO:0051496}; positive regulation of transcription by RNA polymerase II {GO:0045944}; positive regulation of transforming growth factor beta production {GO:0071636}</t>
  </si>
  <si>
    <t>cell surface {GO:0009986}; collagen-containing extracellular matrix {GO:0062023}; extracellular space {GO:0005615}; fibrinogen complex {GO:0005577}</t>
  </si>
  <si>
    <t>protease binding {GO:0002020}; protein homodimerization activity {GO:0042803}; serine-type endopeptidase inhibitor activity {GO:0004867}</t>
  </si>
  <si>
    <t>Platelet degranulation {R-MMU-114608}; Dissolution of Fibrin Clot {R-MMU-75205}</t>
  </si>
  <si>
    <t>sp|O08688|CAN5_MOUSE</t>
  </si>
  <si>
    <t>Calpain-5</t>
  </si>
  <si>
    <t>New calpain 3 (nCL-3)</t>
  </si>
  <si>
    <t>CAN5_MOUSE</t>
  </si>
  <si>
    <t>O08688</t>
  </si>
  <si>
    <t>Q91YU0</t>
  </si>
  <si>
    <t>Ncl3</t>
  </si>
  <si>
    <t>MGI:1100859</t>
  </si>
  <si>
    <t>cell surface {GO:0009986}; cytoplasm {GO:0005737}; synapse {GO:0045202}</t>
  </si>
  <si>
    <t>calcium-dependent cysteine-type endopeptidase activity {GO:0004198}</t>
  </si>
  <si>
    <t>sp|Q9Z0F8|ADA17_MOUSE</t>
  </si>
  <si>
    <t>Disintegrin and metalloproteinase domain-containing protein 17 (ADAM 17)</t>
  </si>
  <si>
    <t>TNF-alpha convertase; TNF-alpha-converting enzyme; CD_antigen=CD156b</t>
  </si>
  <si>
    <t>ADA17_MOUSE</t>
  </si>
  <si>
    <t>Q9Z0F8</t>
  </si>
  <si>
    <t>O88726; Q505A7; Q9R1U4; Q9Z0K3</t>
  </si>
  <si>
    <t>Tace</t>
  </si>
  <si>
    <t>MGI:1096335</t>
  </si>
  <si>
    <t>Alternative splicing; Cell membrane; Cleavage on pair of basic residues; Disulfide bond; Glycoprotein; Hydrolase; Membrane; Metal-binding; Metalloprotease; Notch signaling pathway; Phosphoprotein; Protease; Secreted; SH3-binding; Signal; Transmembrane; Transmembrane helix; Zinc; Zymogen</t>
  </si>
  <si>
    <t>amyloid precursor protein catabolic process {GO:0042987}; B cell differentiation {GO:0030183}; cell adhesion {GO:0007155}; cell adhesion mediated by integrin {GO:0033627}; cell motility {GO:0048870}; cellular response to high density lipoprotein particle stimulus {GO:0071403}; defense response to Gram-positive bacterium {GO:0050830}; epidermal growth factor receptor signaling pathway {GO:0007173}; germinal center formation {GO:0002467}; membrane protein ectodomain proteolysis {GO:0006509}; negative regulation of apoptotic process {GO:0043066}; negative regulation of cold-induced thermogenesis {GO:0120163}; negative regulation of neuron projection development {GO:0010977}; negative regulation of transforming growth factor beta receptor signaling pathway {GO:0030512}; Notch receptor processing {GO:0007220}; Notch signaling pathway {GO:0007219}; positive regulation of apoptotic process {GO:0043065}; positive regulation of blood vessel endothelial cell migration {GO:0043536}; positive regulation of cell growth {GO:0030307}; positive regulation of cell migration {GO:0030335}; positive regulation of cell population proliferation {GO:0008284}; positive regulation of chemokine production {GO:0032722}; positive regulation of cyclin-dependent protein serine/threonine kinase activity {GO:0045737}; positive regulation of epidermal growth factor-activated receptor activity {GO:0045741}; positive regulation of ERK1 and ERK2 cascade {GO:0070374}; positive regulation of G1/S transition of mitotic cell cycle {GO:1900087}; positive regulation of neuron projection development {GO:0010976}; positive regulation of protein phosphorylation {GO:0001934}; positive regulation of T cell chemotaxis {GO:0010820}; positive regulation of transforming growth factor beta receptor signaling pathway {GO:0030511}; positive regulation of tumor necrosis factor-mediated signaling pathway {GO:1903265}; positive regulation of vascular endothelial cell proliferation {GO:1905564}; production of molecular mediator involved in inflammatory response {GO:0002532}; protein processing {GO:0016485}; proteolysis {GO:0006508}; receptor transactivation {GO:0035624}; regulation of axon regeneration {GO:0048679}; regulation of mast cell apoptotic process {GO:0033025}; regulation of neuron migration {GO:2001222}; response to hypoxia {GO:0001666}; response to lipopolysaccharide {GO:0032496}; response to xenobiotic stimulus {GO:0009410}; signaling receptor ligand precursor processing {GO:0140448}; spleen development {GO:0048536}; T cell differentiation in thymus {GO:0033077}</t>
  </si>
  <si>
    <t>actin cytoskeleton {GO:0015629}; apical part of cell {GO:0045177}; apical plasma membrane {GO:0016324}; cell surface {GO:0009986}; cell-cell junction {GO:0005911}; cytoplasm {GO:0005737}; cytoplasmic vesicle {GO:0031410}; cytosol {GO:0005829}; extracellular region {GO:0005576}; focal adhesion {GO:0005925}; integral component of plasma membrane {GO:0005887}; membrane {GO:0016020}; membrane raft {GO:0045121}; plasma membrane {GO:0005886}; ruffle membrane {GO:0032587}</t>
  </si>
  <si>
    <t>endopeptidase activity {GO:0004175}; integrin binding {GO:0005178}; interleukin-6 receptor binding {GO:0005138}; metal ion binding {GO:0046872}; metallodipeptidase activity {GO:0070573}; metalloendopeptidase activity {GO:0004222}; metalloendopeptidase activity involved in amyloid precursor protein catabolic process {GO:1902945}; metallopeptidase activity {GO:0008237}; Notch binding {GO:0005112}; PDZ domain binding {GO:0030165}; serine-type endopeptidase activity {GO:0004252}; SH3 domain binding {GO:0017124}</t>
  </si>
  <si>
    <t>Regulated proteolysis of p75NTR {R-MMU-193692}; TNF signaling {R-MMU-75893}</t>
  </si>
  <si>
    <t>sp|Q8K2F0|BRD3_MOUSE</t>
  </si>
  <si>
    <t>Bromodomain-containing protein 3</t>
  </si>
  <si>
    <t>Bromodomain-containing FSH-like protein FSRG2</t>
  </si>
  <si>
    <t>BRD3_MOUSE</t>
  </si>
  <si>
    <t>Q8K2F0</t>
  </si>
  <si>
    <t>Q8C665; Q8CAX7; Q9JI25</t>
  </si>
  <si>
    <t>Fsrg2</t>
  </si>
  <si>
    <t>MGI:1914632</t>
  </si>
  <si>
    <t>3D-structure; Alternative splicing; Bromodomain; Chromatin regulator; Coiled coil; Isopeptide bond; Nucleus; Phosphoprotein; Repeat; Transcription; Transcription regulation; Ubl conjugation</t>
  </si>
  <si>
    <t>Bromodomain; Coiled coil; Repeat</t>
  </si>
  <si>
    <t>chromatin remodeling {GO:0006338}; regulation of DNA-templated transcription {GO:0006355}; regulation of transcription by RNA polymerase II {GO:0006357}</t>
  </si>
  <si>
    <t>chromatin {GO:0000785}; nucleus {GO:0005634}</t>
  </si>
  <si>
    <t>chromatin binding {GO:0003682}; lysine-acetylated histone binding {GO:0070577}</t>
  </si>
  <si>
    <t>sp|Q8VD12|Z385A_MOUSE</t>
  </si>
  <si>
    <t>Zinc finger protein 385A</t>
  </si>
  <si>
    <t>Hematopoietic zinc finger protein</t>
  </si>
  <si>
    <t>Z385A_MOUSE</t>
  </si>
  <si>
    <t>Q8VD12</t>
  </si>
  <si>
    <t>G3UWA5; Q9QY68</t>
  </si>
  <si>
    <t>Hzf; Zfp385a</t>
  </si>
  <si>
    <t>MGI:1352495</t>
  </si>
  <si>
    <t>Alternative splicing; Cell cycle; Cell projection; Cytoplasm; DNA damage; Metal-binding; Nucleus; Phosphoprotein; Repeat; RNA-binding; Transcription; Transcription regulation; Translation regulation; Ubl conjugation; Zinc; Zinc-finger</t>
  </si>
  <si>
    <t>Cell cycle; DNA damage; Transcription; Transcription regulation; Translation regulation</t>
  </si>
  <si>
    <t>apoptotic process {GO:0006915}; cell cycle {GO:0007049}; cellular response to DNA damage stimulus {GO:0006974}; hemostasis {GO:0007599}; intracellular mRNA localization {GO:0008298}; learning or memory {GO:0007611}; locomotory behavior {GO:0007626}; megakaryocyte development {GO:0035855}; mRNA localization resulting in post-transcriptional regulation of gene expression {GO:0010609}; negative regulation of intrinsic apoptotic signaling pathway in response to DNA damage by p53 class mediator {GO:1902166}; platelet alpha granule organization {GO:0070889}; platelet formation {GO:0030220}; positive regulation of DNA damage response, signal transduction by p53 class mediator resulting in transcription of p21 class mediator {GO:1902164}; positive regulation of fat cell differentiation {GO:0045600}; regulation of cytoplasmic translation {GO:2000765}</t>
  </si>
  <si>
    <t>chromatin {GO:0000785}; cytoplasm {GO:0005737}; dendrite {GO:0030425}; neuronal cell body {GO:0043025}; nucleolus {GO:0005730}; nucleus {GO:0005634}</t>
  </si>
  <si>
    <t>mRNA 3'-UTR binding {GO:0003730}; p53 binding {GO:0002039}; zinc ion binding {GO:0008270}</t>
  </si>
  <si>
    <t>Regulation of TP53 Activity through Association with Co-factors {R-MMU-6804759}; Transcriptional activation of cell cycle inhibitor p21 {R-MMU-69895}</t>
  </si>
  <si>
    <t>sp|P08207|S10AA_MOUSE</t>
  </si>
  <si>
    <t>Protein S100-A10</t>
  </si>
  <si>
    <t>Calpactin I light chain; Calpactin-1 light chain; Cellular ligand of annexin II; S100 calcium-binding protein A10; p10 protein; p11</t>
  </si>
  <si>
    <t>S10AA_MOUSE</t>
  </si>
  <si>
    <t>P08207</t>
  </si>
  <si>
    <t>Cal1l</t>
  </si>
  <si>
    <t>MGI:1339468</t>
  </si>
  <si>
    <t>Acetylation; Repeat</t>
  </si>
  <si>
    <t>membrane raft assembly {GO:0001765}; mRNA transcription by RNA polymerase II {GO:0042789}; positive regulation of binding {GO:0051099}; positive regulation of exocytosis {GO:0045921}; positive regulation of focal adhesion assembly {GO:0051894}; positive regulation of GTPase activity {GO:0043547}; positive regulation of plasma membrane repair {GO:1905686}; positive regulation of plasminogen activation {GO:0010756}; positive regulation of stress fiber assembly {GO:0051496}; positive regulation of substrate adhesion-dependent cell spreading {GO:1900026}; positive regulation of transcription by RNA polymerase II {GO:0045944}; protein localization to plasma membrane {GO:0072659}; regulation of neurogenesis {GO:0050767}; vesicle budding from membrane {GO:0006900}</t>
  </si>
  <si>
    <t>AnxA2-p11 complex {GO:1990665}; collagen-containing extracellular matrix {GO:0062023}; cytoplasm {GO:0005737}; endoplasmic reticulum {GO:0005783}; extracellular space {GO:0005615}; extrinsic component of plasma membrane {GO:0019897}; membrane {GO:0016020}; membrane raft {GO:0045121}; nuclear matrix {GO:0016363}; plasma membrane {GO:0005886}; plasma membrane protein complex {GO:0098797}; RNA polymerase II transcription regulator complex {GO:0090575}</t>
  </si>
  <si>
    <t>calcium ion binding {GO:0005509}; calcium-dependent protein binding {GO:0048306}; protein homodimerization activity {GO:0042803}; transmembrane transporter binding {GO:0044325}</t>
  </si>
  <si>
    <t>Dissolution of Fibrin Clot {R-MMU-75205}</t>
  </si>
  <si>
    <t>sp|P28047|WNT7B_MOUSE</t>
  </si>
  <si>
    <t>Protein Wnt-7b</t>
  </si>
  <si>
    <t>WNT7B_MOUSE</t>
  </si>
  <si>
    <t>P28047</t>
  </si>
  <si>
    <t>Q80US5</t>
  </si>
  <si>
    <t>Wnt-7b</t>
  </si>
  <si>
    <t>MGI:98962</t>
  </si>
  <si>
    <t>Developmental protein; Disulfide bond; Extracellular matrix; Glycoprotein; Lipoprotein; Secreted; Signal; Wnt signaling pathway</t>
  </si>
  <si>
    <t>Disulfide bond; Glycoprotein; Lipoprotein</t>
  </si>
  <si>
    <t>anatomical structure regression {GO:0060033}; angiogenesis {GO:0001525}; apoptotic process involved in blood vessel morphogenesis {GO:1902262}; canonical Wnt signaling pathway {GO:0060070}; cell fate commitment {GO:0045165}; cell population proliferation {GO:0008283}; cell proliferation in forebrain {GO:0021846}; central nervous system vasculogenesis {GO:0022009}; chemoattraction of dopaminergic neuron axon {GO:0036516}; chorio-allantoic fusion {GO:0060710}; developmental growth involved in morphogenesis {GO:0060560}; embryonic organ development {GO:0048568}; embryonic placenta morphogenesis {GO:0060669}; establishment or maintenance of polarity of embryonic epithelium {GO:0016332}; forebrain regionalization {GO:0021871}; homeostatic process {GO:0042592}; in utero embryonic development {GO:0001701}; inner medullary collecting duct development {GO:0072061}; lobar bronchus development {GO:0060482}; lung development {GO:0030324}; lung epithelium development {GO:0060428}; lung morphogenesis {GO:0060425}; lung-associated mesenchyme development {GO:0060484}; metanephric collecting duct development {GO:0072205}; metanephric epithelium development {GO:0072207}; metanephric loop of Henle development {GO:0072236}; metanephros morphogenesis {GO:0003338}; negative regulation of neurogenesis {GO:0050768}; negative regulation of smoothened signaling pathway {GO:0045879}; neuron differentiation {GO:0030182}; neuron projection development {GO:0031175}; neuron projection morphogenesis {GO:0048812}; odontogenesis of dentin-containing tooth {GO:0042475}; osteoblast differentiation {GO:0001649}; outer medullary collecting duct development {GO:0072060}; oxygen homeostasis {GO:0032364}; planar cell polarity pathway involved in axon guidance {GO:1904938}; positive regulation of cell population proliferation {GO:0008284}; positive regulation of gene expression {GO:0010628}; positive regulation of JNK cascade {GO:0046330}; positive regulation of osteoblast differentiation {GO:0045669}; regulation of cell projection size {GO:0032536}; renal inner medulla development {GO:0072053}; renal outer medulla development {GO:0072054}; smooth muscle cell differentiation {GO:0051145}; stem cell development {GO:0048864}; synapse organization {GO:0050808}; trachea cartilage morphogenesis {GO:0060535}; vasculature development {GO:0001944}; Wnt signaling pathway {GO:0016055}</t>
  </si>
  <si>
    <t>cell surface {GO:0009986}; cytoplasm {GO:0005737}; endoplasmic reticulum lumen {GO:0005788}; extracellular space {GO:0005615}; plasma membrane {GO:0005886}</t>
  </si>
  <si>
    <t>chemoattractant activity involved in axon guidance {GO:1902379}; cytokine activity {GO:0005125}; frizzled binding {GO:0005109}; receptor ligand activity {GO:0048018}</t>
  </si>
  <si>
    <t>sp|Q9WV70|NOC2L_MOUSE</t>
  </si>
  <si>
    <t>Nucleolar complex protein 2 homolog (Protein NOC2 homolog)</t>
  </si>
  <si>
    <t>NOC2-like protein; Novel INHAT repressor</t>
  </si>
  <si>
    <t>NOC2L_MOUSE</t>
  </si>
  <si>
    <t>Q9WV70</t>
  </si>
  <si>
    <t>Q8VE16</t>
  </si>
  <si>
    <t>Nir</t>
  </si>
  <si>
    <t>MGI:1931051</t>
  </si>
  <si>
    <t>Apoptosis; Nucleus; Phosphoprotein; Repressor; Transcription; Transcription regulation</t>
  </si>
  <si>
    <t>apoptotic process {GO:0006915}; cellular response to UV {GO:0034644}; chromatin assembly {GO:0031497}; negative regulation of B cell apoptotic process {GO:0002903}; negative regulation of histone acetylation {GO:0035067}; negative regulation of intrinsic apoptotic signaling pathway {GO:2001243}; negative regulation of transcription by RNA polymerase II {GO:0000122}; ribosomal large subunit biogenesis {GO:0042273}</t>
  </si>
  <si>
    <t>chromosome {GO:0005694}; cytosol {GO:0005829}; Noc1p-Noc2p complex {GO:0030690}; Noc2p-Noc3p complex {GO:0030691}; nucleolus {GO:0005730}; nucleoplasm {GO:0005654}; nucleosome {GO:0000786}; nucleus {GO:0005634}</t>
  </si>
  <si>
    <t>chromatin binding {GO:0003682}; DNA-binding transcription factor binding {GO:0140297}; histone binding {GO:0042393}; nucleosome binding {GO:0031491}; p53 binding {GO:0002039}; transcription corepressor activity {GO:0003714}</t>
  </si>
  <si>
    <t>Regulation of TP53 Activity through Phosphorylation {R-MMU-6804756}</t>
  </si>
  <si>
    <t>sp|P30412|PPIC_MOUSE</t>
  </si>
  <si>
    <t>Peptidyl-prolyl cis-trans isomerase C (PPIase C)</t>
  </si>
  <si>
    <t>Cyclophilin C; Rotamase C</t>
  </si>
  <si>
    <t>PPIC_MOUSE</t>
  </si>
  <si>
    <t>P30412</t>
  </si>
  <si>
    <t>MGI:97751</t>
  </si>
  <si>
    <t>3D-structure; Cytoplasm; Isomerase; Rotamase</t>
  </si>
  <si>
    <t>sp|P12815|PDCD6_MOUSE</t>
  </si>
  <si>
    <t>Programmed cell death protein 6</t>
  </si>
  <si>
    <t>ALG-257; Apoptosis-linked gene 2 protein (ALG-2); PMP41</t>
  </si>
  <si>
    <t>PDCD6_MOUSE</t>
  </si>
  <si>
    <t>P12815</t>
  </si>
  <si>
    <t>Q545I0; Q61145</t>
  </si>
  <si>
    <t>Alg2</t>
  </si>
  <si>
    <t>MGI:109283</t>
  </si>
  <si>
    <t>3D-structure; Acetylation; Alternative splicing; Angiogenesis; Apoptosis; Calcium; Cytoplasm; Cytoplasmic vesicle; Endoplasmic reticulum; Endosome; Magnesium; Membrane; Metal-binding; Nucleus; Repeat</t>
  </si>
  <si>
    <t>Cytoplasm; Cytoplasmic vesicle; Endoplasmic reticulum; Endosome; Membrane; Nucleus</t>
  </si>
  <si>
    <t>activation of cysteine-type endopeptidase activity involved in apoptotic process {GO:0006919}; angiogenesis {GO:0001525}; apoptotic process {GO:0006915}; cellular response to heat {GO:0034605}; COPII vesicle coating {GO:0048208}; endoplasmic reticulum to Golgi vesicle-mediated transport {GO:0006888}; intracellular protein transport {GO:0006886}; negative regulation of protein kinase B signaling {GO:0051898}; negative regulation of TOR signaling {GO:0032007}; negative regulation of vascular endothelial growth factor receptor signaling pathway {GO:0030948}; neural crest cell development {GO:0014032}; neural crest formation {GO:0014029}; positive regulation of angiogenesis {GO:0045766}; positive regulation of cysteine-type endopeptidase activity involved in apoptotic process {GO:0043280}; positive regulation of endothelial cell migration {GO:0010595}; positive regulation of endothelial cell proliferation {GO:0001938}; positive regulation of protein monoubiquitination {GO:1902527}; response to calcium ion {GO:0051592}; vascular endothelial growth factor receptor-2 signaling pathway {GO:0036324}</t>
  </si>
  <si>
    <t>COPII vesicle coat {GO:0030127}; Cul3-RING ubiquitin ligase complex {GO:0031463}; cytoplasm {GO:0005737}; cytoplasmic vesicle {GO:0031410}; cytosol {GO:0005829}; endoplasmic reticulum {GO:0005783}; endoplasmic reticulum exit site {GO:0070971}; endoplasmic reticulum membrane {GO:0005789}; endosome {GO:0005768}; nucleoplasm {GO:0005654}; nucleus {GO:0005634}</t>
  </si>
  <si>
    <t>calcium ion binding {GO:0005509}; calcium-dependent protein binding {GO:0048306}; identical protein binding {GO:0042802}; magnesium ion binding {GO:0000287}; protein dimerization activity {GO:0046983}; protein homodimerization activity {GO:0042803}; protein-macromolecule adaptor activity {GO:0030674}; protein-membrane adaptor activity {GO:0043495}; ubiquitin ligase-substrate adaptor activity {GO:1990756}</t>
  </si>
  <si>
    <t>sp|Q8BG73|SH3L2_MOUSE</t>
  </si>
  <si>
    <t>SH3 domain-binding glutamic acid-rich-like protein 2</t>
  </si>
  <si>
    <t>SH3L2_MOUSE</t>
  </si>
  <si>
    <t>Q8BG73</t>
  </si>
  <si>
    <t>Q3TV64</t>
  </si>
  <si>
    <t>MGI:1915350</t>
  </si>
  <si>
    <t>Nucleus; SH3-binding</t>
  </si>
  <si>
    <t>nuclear membrane {GO:0031965}; nucleoplasm {GO:0005654}</t>
  </si>
  <si>
    <t>sp|P56395|CYB5_MOUSE</t>
  </si>
  <si>
    <t>Cytochrome b5</t>
  </si>
  <si>
    <t>CYB5_MOUSE</t>
  </si>
  <si>
    <t>P56395</t>
  </si>
  <si>
    <t>Cyb5</t>
  </si>
  <si>
    <t>MGI:1926952</t>
  </si>
  <si>
    <t>Acetylation; Electron transport; Endoplasmic reticulum; Heme; Iron; Membrane; Metal-binding; Microsome; Transmembrane; Transmembrane helix; Transport</t>
  </si>
  <si>
    <t>cytosol {GO:0005829}; endoplasmic reticulum {GO:0005783}; endoplasmic reticulum membrane {GO:0005789}; integral component of membrane {GO:0016021}; intracellular membrane-bounded organelle {GO:0043231}; membrane {GO:0016020}; mitochondrion {GO:0005739}</t>
  </si>
  <si>
    <t>enzyme binding {GO:0019899}; heme binding {GO:0020037}; metal ion binding {GO:0046872}; stearoyl-CoA 9-desaturase activity {GO:0004768}</t>
  </si>
  <si>
    <t>Vitamin C (ascorbate) metabolism {R-MMU-196836}; Insertion of tail-anchored proteins into the endoplasmic reticulum membrane {R-MMU-9609523}</t>
  </si>
  <si>
    <t>sp|Q921N6|DDX27_MOUSE</t>
  </si>
  <si>
    <t>Probable ATP-dependent RNA helicase DDX27</t>
  </si>
  <si>
    <t>DEAD box protein 27</t>
  </si>
  <si>
    <t>DDX27_MOUSE</t>
  </si>
  <si>
    <t>Q921N6</t>
  </si>
  <si>
    <t>Q3UUG2; Q8R0W3; Q8R1E2</t>
  </si>
  <si>
    <t>MGI:2385884</t>
  </si>
  <si>
    <t>Alternative splicing; ATP-binding; Chromosome; Helicase; Hydrolase; Nucleotide-binding; Nucleus; Phosphoprotein; Ribosome biogenesis; rRNA processing</t>
  </si>
  <si>
    <t>ATP binding {GO:0005524}; ATP hydrolysis activity {GO:0016887}; nucleic acid binding {GO:0003676}; RNA helicase activity {GO:0003724}</t>
  </si>
  <si>
    <t>sp|Q99JN2|KLH22_MOUSE</t>
  </si>
  <si>
    <t>Kelch-like protein 22</t>
  </si>
  <si>
    <t>KLH22_MOUSE</t>
  </si>
  <si>
    <t>Q99JN2</t>
  </si>
  <si>
    <t>D3YW27; Q8BT13</t>
  </si>
  <si>
    <t>MGI:1337995</t>
  </si>
  <si>
    <t>Acetylation; Alternative splicing; Cell cycle; Cell division; Cytoplasm; Cytoskeleton; Kelch repeat; Lysosome; Mitosis; Nucleus; Phosphoprotein; Repeat; Ubl conjugation pathway</t>
  </si>
  <si>
    <t>Cytoplasm; Cytoskeleton; Lysosome; Nucleus</t>
  </si>
  <si>
    <t>cell division {GO:0051301}; cellular response to amino acid stimulus {GO:0071230}; cellular response to leucine {GO:0071233}; mitotic sister chromatid segregation {GO:0000070}; mitotic spindle assembly checkpoint signaling {GO:0007094}; negative regulation of autophagy {GO:0010507}; positive regulation of cell growth {GO:0030307}; positive regulation of TORC1 signaling {GO:1904263}; proteasome-mediated ubiquitin-dependent protein catabolic process {GO:0043161}; protein monoubiquitination {GO:0006513}</t>
  </si>
  <si>
    <t>centrosome {GO:0005813}; Cul3-RING ubiquitin ligase complex {GO:0031463}; cytoplasm {GO:0005737}; cytosol {GO:0005829}; intercellular bridge {GO:0045171}; intracellular membrane-bounded organelle {GO:0043231}; lysosome {GO:0005764}; microtubule cytoskeleton {GO:0015630}; mitotic spindle {GO:0072686}; nucleus {GO:0005634}; polar microtubule {GO:0005827}</t>
  </si>
  <si>
    <t>14-3-3 protein binding {GO:0071889}</t>
  </si>
  <si>
    <t>sp|Q9D1Q4|DPM3_MOUSE</t>
  </si>
  <si>
    <t>Dolichol-phosphate mannosyltransferase subunit 3</t>
  </si>
  <si>
    <t>Dolichol-phosphate mannose synthase subunit 3 (DPM synthase subunit 3); Dolichyl-phosphate beta-D-mannosyltransferase subunit 3; Mannose-P-dolichol synthase subunit 3 (MPD synthase subunit 3)</t>
  </si>
  <si>
    <t>DPM3_MOUSE</t>
  </si>
  <si>
    <t>Q9D1Q4</t>
  </si>
  <si>
    <t>MGI:1915813</t>
  </si>
  <si>
    <t>dolichol metabolic process {GO:0019348}; GPI anchor biosynthetic process {GO:0006506}; protein glycosylation {GO:0006486}; regulation of protein stability {GO:0031647}</t>
  </si>
  <si>
    <t>dolichol-phosphate-mannose synthase complex {GO:0033185}; endoplasmic reticulum {GO:0005783}; integral component of endoplasmic reticulum membrane {GO:0030176}</t>
  </si>
  <si>
    <t>sp|Q9D967|MGDP1_MOUSE</t>
  </si>
  <si>
    <t>Magnesium-dependent phosphatase 1 (MDP-1)</t>
  </si>
  <si>
    <t>MGDP1_MOUSE</t>
  </si>
  <si>
    <t>Q9D967</t>
  </si>
  <si>
    <t>MGI:1915131</t>
  </si>
  <si>
    <t>3D-structure; Hydrolase; Magnesium; Metal-binding; Protein phosphatase</t>
  </si>
  <si>
    <t>fructosamine metabolic process {GO:0030389}</t>
  </si>
  <si>
    <t>acid phosphatase activity {GO:0003993}; metal ion binding {GO:0046872}; phosphatase activity {GO:0016791}; protein tyrosine phosphatase activity {GO:0004725}</t>
  </si>
  <si>
    <t>sp|Q8CC88|VWA8_MOUSE</t>
  </si>
  <si>
    <t>von Willebrand factor A domain-containing protein 8</t>
  </si>
  <si>
    <t>VWA8_MOUSE</t>
  </si>
  <si>
    <t>Q8CC88</t>
  </si>
  <si>
    <t>Q3U4P9; Q6ZQ94; Q8CDH8; Q8VCU3</t>
  </si>
  <si>
    <t>Kiaa0564</t>
  </si>
  <si>
    <t>MGI:1919008</t>
  </si>
  <si>
    <t>Alternative splicing; ATP-binding; Mitochondrion; Nucleotide-binding; Transit peptide</t>
  </si>
  <si>
    <t>ATP binding {GO:0005524}; ATP hydrolysis activity {GO:0016887}</t>
  </si>
  <si>
    <t>sp|Q8VDI7|UBAC1_MOUSE</t>
  </si>
  <si>
    <t>Ubiquitin-associated domain-containing protein 1 (UBA domain-containing protein 1)</t>
  </si>
  <si>
    <t>E3 ubiquitin-protein ligase subunit KPC2; Kip1 ubiquitination-promoting complex protein 2</t>
  </si>
  <si>
    <t>UBAC1_MOUSE</t>
  </si>
  <si>
    <t>Q8VDI7</t>
  </si>
  <si>
    <t>Q3TZH3</t>
  </si>
  <si>
    <t>Kpc2; Ubadc1</t>
  </si>
  <si>
    <t>MGI:1920995</t>
  </si>
  <si>
    <t>Acetylation; Cytoplasm; Repeat; Ubl conjugation pathway</t>
  </si>
  <si>
    <t>cytosol {GO:0005829}; Golgi apparatus {GO:0005794}; plasma membrane {GO:0005886}; ubiquitin ligase complex {GO:0000151}</t>
  </si>
  <si>
    <t>sp|Q91ZN5|S35B2_MOUSE</t>
  </si>
  <si>
    <t>Adenosine 3'-phospho 5'-phosphosulfate transporter 1</t>
  </si>
  <si>
    <t>PAPS transporter 1; Solute carrier family 35 member B2</t>
  </si>
  <si>
    <t>S35B2_MOUSE</t>
  </si>
  <si>
    <t>Q91ZN5</t>
  </si>
  <si>
    <t>Q3U221; Q8BTH2</t>
  </si>
  <si>
    <t>J207; Papst1</t>
  </si>
  <si>
    <t>MGI:1921086</t>
  </si>
  <si>
    <t>Alternative splicing; Golgi apparatus; Membrane; Transmembrane; Transmembrane helix; Transport</t>
  </si>
  <si>
    <t>3'-phosphoadenosine 5'-phosphosulfate transport {GO:0046963}</t>
  </si>
  <si>
    <t>Golgi apparatus {GO:0005794}; Golgi membrane {GO:0000139}; integral component of endoplasmic reticulum membrane {GO:0030176}; integral component of Golgi membrane {GO:0030173}; membrane {GO:0016020}</t>
  </si>
  <si>
    <t>3'-phosphoadenosine 5'-phosphosulfate transmembrane transporter activity {GO:0046964}; transmembrane transporter activity {GO:0022857}</t>
  </si>
  <si>
    <t>Transport and synthesis of PAPS {R-MMU-174362}; Transport of nucleotide sugars {R-MMU-727802}</t>
  </si>
  <si>
    <t>sp|Q9JHG2|RCAN2_MOUSE</t>
  </si>
  <si>
    <t>Calcipressin-2</t>
  </si>
  <si>
    <t>Calcineurin inhibitory protein ZAKI-4; Down syndrome candidate region 1-like protein 1; Myocyte-enriched calcineurin-interacting protein 2 (MCIP2); Regulator of calcineurin 2</t>
  </si>
  <si>
    <t>RCAN2_MOUSE</t>
  </si>
  <si>
    <t>Q9JHG2</t>
  </si>
  <si>
    <t>Q8VIP5</t>
  </si>
  <si>
    <t>Dscr1l1; Zaki4</t>
  </si>
  <si>
    <t>MGI:1858219</t>
  </si>
  <si>
    <t>calcineurin-NFAT signaling cascade {GO:0033173}; calcium-mediated signaling {GO:0019722}; locomotion involved in locomotory behavior {GO:0031987}; Notch signaling pathway {GO:0007219}; response to oxidative stress {GO:0006979}; short-term memory {GO:0007614}</t>
  </si>
  <si>
    <t>calcium-dependent protein serine/threonine phosphatase regulator activity {GO:0008597}; nucleic acid binding {GO:0003676}</t>
  </si>
  <si>
    <t>sp|Q9JME7|TPC2L_MOUSE</t>
  </si>
  <si>
    <t>Trafficking protein particle complex subunit 2-like protein</t>
  </si>
  <si>
    <t>TPC2L_MOUSE</t>
  </si>
  <si>
    <t>Q9JME7</t>
  </si>
  <si>
    <t>A4FUI9</t>
  </si>
  <si>
    <t>MGI:1916295</t>
  </si>
  <si>
    <t>Cytoplasm; Endoplasmic reticulum; ER-Golgi transport; Golgi apparatus; Transport</t>
  </si>
  <si>
    <t>Cytoplasm; Endoplasmic reticulum; Golgi apparatus</t>
  </si>
  <si>
    <t>cytoplasm {GO:0005737}; cytosol {GO:0005829}; endoplasmic reticulum {GO:0005783}; intracellular membrane-bounded organelle {GO:0043231}; nucleus {GO:0005634}; perinuclear region of cytoplasm {GO:0048471}; TRAPP complex {GO:0030008}; TRAPPII protein complex {GO:1990071}; TRAPPIII protein complex {GO:1990072}</t>
  </si>
  <si>
    <t>sp|Q60992|VAV2_MOUSE</t>
  </si>
  <si>
    <t>Guanine nucleotide exchange factor VAV2 (VAV-2)</t>
  </si>
  <si>
    <t>VAV2_MOUSE</t>
  </si>
  <si>
    <t>Q60992</t>
  </si>
  <si>
    <t>A2AH49</t>
  </si>
  <si>
    <t>MGI:102718</t>
  </si>
  <si>
    <t>Angiogenesis; Guanine-nucleotide releasing factor; Metal-binding; Phosphoprotein; Repeat; SH2 domain; SH3 domain; Zinc; Zinc-finger</t>
  </si>
  <si>
    <t>Repeat; SH2 domain; SH3 domain; Zinc-finger</t>
  </si>
  <si>
    <t>angiogenesis {GO:0001525}; cell migration {GO:0016477}; cell projection assembly {GO:0030031}; lamellipodium assembly {GO:0030032}; positive regulation of phosphatidylinositol 3-kinase activity {GO:0043552}; regulation of cell size {GO:0008361}; regulation of GTPase activity {GO:0043087}; small GTPase mediated signal transduction {GO:0007264}</t>
  </si>
  <si>
    <t>epidermal growth factor receptor binding {GO:0005154}; guanyl-nucleotide exchange factor activity {GO:0005085}; metal ion binding {GO:0046872}; phosphotyrosine residue binding {GO:0001784}</t>
  </si>
  <si>
    <t>GPVI-mediated activation cascade {R-MMU-114604}; NRAGE signals death through JNK {R-MMU-193648}; Regulation of actin dynamics for phagocytic cup formation {R-MMU-2029482}; DAP12 signaling {R-MMU-2424491}; FCERI mediated MAPK activation {R-MMU-2871796}; FCERI mediated Ca+2 mobilization {R-MMU-2871809}; EPH-ephrin mediated repulsion of cells {R-MMU-3928665}; G alpha (12/13) signalling events {R-MMU-416482}; VEGFA-VEGFR2 Pathway {R-MMU-4420097}; Signal transduction by L1 {R-MMU-445144}; VEGFR2 mediated vascular permeability {R-MMU-5218920}; RHOA GTPase cycle {R-MMU-8980692}; RHOB GTPase cycle {R-MMU-9013026}; RHOC GTPase cycle {R-MMU-9013106}; CDC42 GTPase cycle {R-MMU-9013148}; RAC1 GTPase cycle {R-MMU-9013149}; RAC2 GTPase cycle {R-MMU-9013404}; RHOG GTPase cycle {R-MMU-9013408}; RAC3 GTPase cycle {R-MMU-9013423}; Azathioprine ADME {R-MMU-9748787}</t>
  </si>
  <si>
    <t>sp|P24668|MPRD_MOUSE</t>
  </si>
  <si>
    <t>Cation-dependent mannose-6-phosphate receptor (CD Man-6-P receptor; CD-MPR)</t>
  </si>
  <si>
    <t>46 kDa mannose 6-phosphate receptor (MPR 46)</t>
  </si>
  <si>
    <t>MPRD_MOUSE</t>
  </si>
  <si>
    <t>P24668</t>
  </si>
  <si>
    <t>46mpr</t>
  </si>
  <si>
    <t>MGI:96904</t>
  </si>
  <si>
    <t>Disulfide bond; Glycoprotein; Lysosome; Membrane; Phosphoprotein; Receptor; Signal; Transmembrane; Transmembrane helix; Transport</t>
  </si>
  <si>
    <t>intracellular protein transport {GO:0006886}; lysosomal transport {GO:0007041}; protein targeting to lysosome {GO:0006622}; secretion of lysosomal enzymes {GO:0033299}</t>
  </si>
  <si>
    <t>endosome {GO:0005768}; integral component of membrane {GO:0016021}; late endosome {GO:0005770}; lysosomal membrane {GO:0005765}; perinuclear region of cytoplasm {GO:0048471}; trans-Golgi network {GO:0005802}</t>
  </si>
  <si>
    <t>protein domain specific binding {GO:0019904}; retromer complex binding {GO:1905394}</t>
  </si>
  <si>
    <t>Lysosome Vesicle Biogenesis {R-MMU-432720}; Retrograde transport at the Trans-Golgi-Network {R-MMU-6811440}; Cargo recognition for clathrin-mediated endocytosis {R-MMU-8856825}; Clathrin-mediated endocytosis {R-MMU-8856828}</t>
  </si>
  <si>
    <t>sp|Q9CYA6|ZCHC8_MOUSE</t>
  </si>
  <si>
    <t>Zinc finger CCHC domain-containing protein 8</t>
  </si>
  <si>
    <t>TRAMP-like complex RNA-binding factor ZCCHC8</t>
  </si>
  <si>
    <t>ZCHC8_MOUSE</t>
  </si>
  <si>
    <t>Q9CYA6</t>
  </si>
  <si>
    <t>Q3TK71; Q8CCB7; Q91WQ1</t>
  </si>
  <si>
    <t>MGI:1917900</t>
  </si>
  <si>
    <t>Acetylation; Coiled coil; Metal-binding; mRNA processing; mRNA splicing; Nucleus; Phosphoprotein; Spliceosome; Zinc; Zinc-finger</t>
  </si>
  <si>
    <t>mRNA processing {GO:0006397}; ncRNA processing {GO:0034470}; RNA splicing {GO:0008380}</t>
  </si>
  <si>
    <t>catalytic step 2 spliceosome {GO:0071013}; nuclear body {GO:0016604}; nucleoplasm {GO:0005654}; nucleus {GO:0005634}; TRAMP complex {GO:0031499}</t>
  </si>
  <si>
    <t>sp|Q60974|NCOR1_MOUSE</t>
  </si>
  <si>
    <t>Nuclear receptor corepressor 1 (N-CoR; N-CoR1)</t>
  </si>
  <si>
    <t>Retinoid X receptor-interacting protein 13 (RIP13)</t>
  </si>
  <si>
    <t>NCOR1_MOUSE</t>
  </si>
  <si>
    <t>Q60974</t>
  </si>
  <si>
    <t>Q60812</t>
  </si>
  <si>
    <t>Rxrip13</t>
  </si>
  <si>
    <t>MGI:1349717</t>
  </si>
  <si>
    <t>Acetylation; Alternative splicing; Biological rhythms; Chromatin regulator; Coiled coil; DNA-binding; Isopeptide bond; Nucleus; Phosphoprotein; Repeat; Repressor; Transcription; Transcription regulation; Ubl conjugation</t>
  </si>
  <si>
    <t>Chromatin regulator; DNA-binding; Repressor</t>
  </si>
  <si>
    <t>CD4-positive, CD25-positive, alpha-beta regulatory T cell differentiation {GO:0002361}; cellular response to Thyroglobulin triiodothyronine {GO:1904017}; cholesterol homeostasis {GO:0042632}; chromatin organization {GO:0006325}; circadian regulation of gene expression {GO:0032922}; definitive erythrocyte differentiation {GO:0060318}; epidermis development {GO:0008544}; establishment of skin barrier {GO:0061436}; gene expression {GO:0010467}; in utero embryonic development {GO:0001701}; locomotor rhythm {GO:0045475}; negative regulation of androgen receptor signaling pathway {GO:0060766}; negative regulation of DNA-templated transcription {GO:0045892}; negative regulation of fatty acid metabolic process {GO:0045922}; negative regulation of gene expression {GO:0010629}; negative regulation of glycolytic process {GO:0045820}; negative regulation of JNK cascade {GO:0046329}; negative regulation of miRNA maturation {GO:1903799}; negative regulation of phosphatidylinositol 3-kinase signaling {GO:0014067}; negative regulation of transcription by RNA polymerase II {GO:0000122}; positive regulation of cell population proliferation {GO:0008284}; positive regulation of histone deacetylation {GO:0031065}; protein stabilization {GO:0050821}; regulation of histone deacetylase activity {GO:1901725}; regulation of multicellular organism growth {GO:0040014}; regulation of thyroid hormone mediated signaling pathway {GO:0002155}; regulation of transcription by RNA polymerase II {GO:0006357}; spindle assembly {GO:0051225}; T cell differentiation in thymus {GO:0033077}; thalamus development {GO:0021794}</t>
  </si>
  <si>
    <t>chromatin {GO:0000785}; cytoplasm {GO:0005737}; cytosol {GO:0005829}; histone deacetylase complex {GO:0000118}; mitotic spindle {GO:0072686}; nucleoplasm {GO:0005654}; nucleus {GO:0005634}; perinuclear region of cytoplasm {GO:0048471}; transcription regulator complex {GO:0005667}; transcription repressor complex {GO:0017053}</t>
  </si>
  <si>
    <t>chromatin binding {GO:0003682}; DNA binding {GO:0003677}; histone deacetylase binding {GO:0042826}; histone deacetylase regulator activity {GO:0035033}; nuclear estrogen receptor binding {GO:0030331}; nuclear receptor binding {GO:0016922}; nuclear retinoic acid receptor binding {GO:0042974}; nuclear retinoid X receptor binding {GO:0046965}; nuclear thyroid hormone receptor binding {GO:0046966}; peroxisome proliferator activated receptor binding {GO:0042975}; protein domain specific binding {GO:0019904}; RNA polymerase II transcription regulatory region sequence-specific DNA binding {GO:0000977}; RNA polymerase II-specific DNA-binding transcription factor binding {GO:0061629}; sequence-specific DNA binding {GO:0043565}; transcription cis-regulatory region binding {GO:0000976}; transcription corepressor activity {GO:0003714}</t>
  </si>
  <si>
    <t>Downregulation of SMAD2/3:SMAD4 transcriptional activity {R-MMU-2173795}; Notch-HLH transcription pathway {R-MMU-350054}; Transcriptional regulation of white adipocyte differentiation {R-MMU-381340}; Nuclear Receptor transcription pathway {R-MMU-383280}; Regulation of lipid metabolism by PPARalpha {R-MMU-400206}; NR1H3 &amp; NR1H2 regulate gene expression linked to cholesterol transport and efflux {R-MMU-9029569}; NR1H2 &amp; NR1H3 regulate gene expression to control bile acid homeostasis {R-MMU-9623433}; Cytoprotection by HMOX1 {R-MMU-9707564}</t>
  </si>
  <si>
    <t>sp|Q9CR29|CCD43_MOUSE</t>
  </si>
  <si>
    <t>Coiled-coil domain-containing protein 43</t>
  </si>
  <si>
    <t>CCD43_MOUSE</t>
  </si>
  <si>
    <t>Q9CR29</t>
  </si>
  <si>
    <t>Q6PDT2</t>
  </si>
  <si>
    <t>D11Ertd707e</t>
  </si>
  <si>
    <t>MGI:1289318</t>
  </si>
  <si>
    <t>Alternative splicing; Coiled coil; Isopeptide bond; Phosphoprotein; Ubl conjugation</t>
  </si>
  <si>
    <t>sp|P60898|RPB9_MOUSE</t>
  </si>
  <si>
    <t>DNA-directed RNA polymerase II subunit RPB9 (RNA polymerase II subunit B9)</t>
  </si>
  <si>
    <t>DNA-directed RNA polymerase II subunit I; RNA polymerase II 14.5 kDa subunit (RPB14.5)</t>
  </si>
  <si>
    <t>RPB9_MOUSE</t>
  </si>
  <si>
    <t>P60898</t>
  </si>
  <si>
    <t>MGI:1917170</t>
  </si>
  <si>
    <t>Acetylation; DNA-directed RNA polymerase; Metal-binding; Nucleus; Transcription; Zinc; Zinc-finger</t>
  </si>
  <si>
    <t>maintenance of transcriptional fidelity during transcription elongation by RNA polymerase II {GO:0001193}; mRNA cleavage {GO:0006379}; transcription by RNA polymerase II {GO:0006366}; transcription initiation at RNA polymerase II promoter {GO:0006367}; transcription-coupled nucleotide-excision repair {GO:0006283}</t>
  </si>
  <si>
    <t>nucleolus {GO:0005730}; nucleoplasm {GO:0005654}; nucleus {GO:0005634}; RNA polymerase II, core complex {GO:0005665}</t>
  </si>
  <si>
    <t>sp|P57722|PCBP3_MOUSE</t>
  </si>
  <si>
    <t>Poly(rC)-binding protein 3</t>
  </si>
  <si>
    <t>Alpha-CP3</t>
  </si>
  <si>
    <t>PCBP3_MOUSE</t>
  </si>
  <si>
    <t>P57722</t>
  </si>
  <si>
    <t>Q8BSB0; Q8C544</t>
  </si>
  <si>
    <t>MGI:1890470</t>
  </si>
  <si>
    <t>Alternative splicing; Cytoplasm; DNA-binding; Repeat; Ribonucleoprotein; RNA-binding</t>
  </si>
  <si>
    <t>negative regulation of transcription by RNA polymerase II {GO:0000122}; regulation of gene expression {GO:0010468}; regulation of RNA metabolic process {GO:0051252}</t>
  </si>
  <si>
    <t>C-rich single-stranded DNA binding {GO:1990829}; DNA-binding transcription repressor activity, RNA polymerase II-specific {GO:0001227}; double-stranded DNA binding {GO:0003690}; mRNA binding {GO:0003729}</t>
  </si>
  <si>
    <t>sp|Q8BMB3|IF4E2_MOUSE</t>
  </si>
  <si>
    <t>Eukaryotic translation initiation factor 4E type 2 (eIF-4E type 2; eIF4E type 2; eIF4E-2; mRNA cap-binding protein type 2)</t>
  </si>
  <si>
    <t>Eukaryotic translation initiation factor 4E-like 3; eIF4E-like protein 4E-LP</t>
  </si>
  <si>
    <t>IF4E2_MOUSE</t>
  </si>
  <si>
    <t>Q8BMB3</t>
  </si>
  <si>
    <t>O88503; Q3UCK2</t>
  </si>
  <si>
    <t>MGI:1914440</t>
  </si>
  <si>
    <t>Acetylation; Cytoplasm; Initiation factor; Isopeptide bond; Phosphoprotein; Protein biosynthesis; RNA-binding; RNA-mediated gene silencing; Translation regulation; Ubl conjugation</t>
  </si>
  <si>
    <t>Protein biosynthesis; RNA-mediated gene silencing; Translation regulation</t>
  </si>
  <si>
    <t>in utero embryonic development {GO:0001701}; miRNA-mediated gene silencing by inhibition of translation {GO:0035278}; negative regulation of translation {GO:0017148}</t>
  </si>
  <si>
    <t>cytoplasm {GO:0005737}; eukaryotic translation initiation factor 4F complex {GO:0016281}; mRNA cap binding complex {GO:0005845}; P-body {GO:0000932}</t>
  </si>
  <si>
    <t>RNA 7-methylguanosine cap binding {GO:0000340}; translation initiation factor activity {GO:0003743}; ubiquitin protein ligase binding {GO:0031625}</t>
  </si>
  <si>
    <t>sp|Q8BFQ8|GALD1_MOUSE</t>
  </si>
  <si>
    <t>Glutamine amidotransferase-like class 1 domain-containing protein 1</t>
  </si>
  <si>
    <t>Parkinson disease 7 domain-containing protein 1</t>
  </si>
  <si>
    <t>GALD1_MOUSE</t>
  </si>
  <si>
    <t>Q8BFQ8</t>
  </si>
  <si>
    <t>Q8C2Q9</t>
  </si>
  <si>
    <t>MGI:2387178</t>
  </si>
  <si>
    <t>methylglyoxal catabolic process to D-lactate via S-lactoyl-glutathione {GO:0019243}</t>
  </si>
  <si>
    <t>cytoplasm {GO:0005737}; extracellular region {GO:0005576}</t>
  </si>
  <si>
    <t>glyoxalase III activity {GO:0019172}</t>
  </si>
  <si>
    <t>sp|Q8BW49|TTC12_MOUSE</t>
  </si>
  <si>
    <t>Tetratricopeptide repeat protein 12 (TPR repeat protein 12)</t>
  </si>
  <si>
    <t>TTC12_MOUSE</t>
  </si>
  <si>
    <t>Q8BW49</t>
  </si>
  <si>
    <t>MGI:2444588</t>
  </si>
  <si>
    <t>Cilium biogenesis/degradation; Cytoplasm; Phosphoprotein; Repeat; TPR repeat</t>
  </si>
  <si>
    <t>axonemal dynein complex assembly {GO:0070286}; sperm axoneme assembly {GO:0007288}</t>
  </si>
  <si>
    <t>centrosome {GO:0005813}; cytoplasm {GO:0005737}</t>
  </si>
  <si>
    <t>sp|P50096|IMDH1_MOUSE</t>
  </si>
  <si>
    <t>Inosine-5'-monophosphate dehydrogenase 1 (IMP dehydrogenase 1; IMPD 1; IMPDH 1)</t>
  </si>
  <si>
    <t>IMPDH-I</t>
  </si>
  <si>
    <t>IMDH1_MOUSE</t>
  </si>
  <si>
    <t>P50096</t>
  </si>
  <si>
    <t>Q7TSG7</t>
  </si>
  <si>
    <t>MGI:96567</t>
  </si>
  <si>
    <t>CBS domain; Cytoplasm; GMP biosynthesis; Metal-binding; Methylation; NAD; Nucleus; Oxidoreductase; Phosphoprotein; Potassium; Purine biosynthesis; Repeat</t>
  </si>
  <si>
    <t>'de novo' XMP biosynthetic process {GO:0097294}; GMP biosynthetic process {GO:0006177}; GMP salvage {GO:0032263}; GTP biosynthetic process {GO:0006183}; lymphocyte proliferation {GO:0046651}; purine nucleotide biosynthetic process {GO:0006164}</t>
  </si>
  <si>
    <t>DNA binding {GO:0003677}; identical protein binding {GO:0042802}; IMP dehydrogenase activity {GO:0003938}; metal ion binding {GO:0046872}; nucleic acid binding {GO:0003676}; nucleotide binding {GO:0000166}</t>
  </si>
  <si>
    <t>sp|Q8K2C9|HACD3_MOUSE</t>
  </si>
  <si>
    <t>Very-long-chain (3R)-3-hydroxyacyl-CoA dehydratase 3</t>
  </si>
  <si>
    <t>3-hydroxyacyl-CoA dehydratase 3 (HACD3); Butyrate-induced protein 1 (B-ind1); Protein-tyrosine phosphatase-like A domain-containing protein 1</t>
  </si>
  <si>
    <t>HACD3_MOUSE</t>
  </si>
  <si>
    <t>Q8K2C9</t>
  </si>
  <si>
    <t>O09003; Q6PGH3; Q8BGM8</t>
  </si>
  <si>
    <t>MGI:1889341</t>
  </si>
  <si>
    <t>Acetylation; Coiled coil; Endoplasmic reticulum; Fatty acid biosynthesis; Fatty acid metabolism; Lipid biosynthesis; Lipid metabolism; Lyase; Membrane; Phosphoprotein; Transmembrane; Transmembrane helix</t>
  </si>
  <si>
    <t>fatty acid elongation {GO:0030497}; I-kappaB kinase/NF-kappaB signaling {GO:0007249}; JNK cascade {GO:0007254}; positive regulation by virus of viral protein levels in host cell {GO:0046726}; positive regulation of viral genome replication {GO:0045070}; Rho protein signal transduction {GO:0007266}; sphingolipid biosynthetic process {GO:0030148}; very long-chain fatty acid biosynthetic process {GO:0042761}</t>
  </si>
  <si>
    <t>endoplasmic reticulum {GO:0005783}; integral component of endoplasmic reticulum membrane {GO:0030176}; nuclear membrane {GO:0031965}</t>
  </si>
  <si>
    <t>3-hydroxy-arachidoyl-CoA dehydratase activity {GO:0102343}; 3-hydroxy-behenoyl-CoA dehydratase activity {GO:0102344}; 3-hydroxy-lignoceroyl-CoA dehydratase activity {GO:0102345}; 3-hydroxyacyl-CoA dehydratase activity {GO:0018812}; enzyme binding {GO:0019899}; very-long-chain 3-hydroxyacyl-CoA dehydratase activity {GO:0102158}</t>
  </si>
  <si>
    <t>sp|Q8K4X7|PLCD_MOUSE</t>
  </si>
  <si>
    <t>1-acyl-sn-glycerol-3-phosphate acyltransferase delta</t>
  </si>
  <si>
    <t>1-acylglycerol-3-phosphate O-acyltransferase 4 (1-AGP acyltransferase 4; 1-AGPAT 4); Lysophosphatidic acid acyltransferase delta (LPAAT-delta)</t>
  </si>
  <si>
    <t>PLCD_MOUSE</t>
  </si>
  <si>
    <t>Q8K4X7</t>
  </si>
  <si>
    <t>Q3TKN0; Q9DB84</t>
  </si>
  <si>
    <t>MGI:1915512</t>
  </si>
  <si>
    <t>Acyltransferase; Endoplasmic reticulum; Lipid biosynthesis; Lipid metabolism; Membrane; Phospholipid biosynthesis; Phospholipid metabolism; Transferase; Transmembrane; Transmembrane helix</t>
  </si>
  <si>
    <t>CDP-diacylglycerol biosynthetic process {GO:0016024}; phospholipid metabolic process {GO:0006644}</t>
  </si>
  <si>
    <t>endomembrane system {GO:0012505}; endoplasmic reticulum {GO:0005783}; endoplasmic reticulum membrane {GO:0005789}; integral component of membrane {GO:0016021}; mitochondrial outer membrane {GO:0005741}</t>
  </si>
  <si>
    <t>1-acylglycerol-3-phosphate O-acyltransferase activity {GO:0003841}; acyltransferase activity {GO:0016746}; lysophosphatidic acid acyltransferase activity {GO:0042171}</t>
  </si>
  <si>
    <t>Phospholipid metabolism; CDP-diacylglycerol biosynthesis; CDP- diacylglycerol from sn-glycerol 3-phosphate: step 2/3.</t>
  </si>
  <si>
    <t>sp|Q8BKE6|CP20A_MOUSE</t>
  </si>
  <si>
    <t>Cytochrome P450 20A1</t>
  </si>
  <si>
    <t>CP20A_MOUSE</t>
  </si>
  <si>
    <t>Q8BKE6</t>
  </si>
  <si>
    <t>MGI:1925201</t>
  </si>
  <si>
    <t>Heme; Iron; Membrane; Metal-binding; Monooxygenase; Oxidoreductase; Transmembrane; Transmembrane helix</t>
  </si>
  <si>
    <t>heme binding {GO:0020037}; iron ion binding {GO:0005506}; monooxygenase activity {GO:0004497}; oxidoreductase activity, acting on paired donors, with incorporation or reduction of molecular oxygen {GO:0016705}</t>
  </si>
  <si>
    <t>sp|Q8BMZ5|SEN34_MOUSE</t>
  </si>
  <si>
    <t>tRNA-splicing endonuclease subunit Sen34</t>
  </si>
  <si>
    <t>Leukocyte receptor cluster member 5 homolog; tRNA-intron endonuclease Sen34</t>
  </si>
  <si>
    <t>SEN34_MOUSE</t>
  </si>
  <si>
    <t>Q8BMZ5</t>
  </si>
  <si>
    <t>Q58EU2; Q99LV6; Q9CYW1</t>
  </si>
  <si>
    <t>Leng5; Sen34</t>
  </si>
  <si>
    <t>MGI:1913328</t>
  </si>
  <si>
    <t>Alternative splicing; Lyase; mRNA processing; Nucleus; tRNA processing</t>
  </si>
  <si>
    <t>mRNA processing {GO:0006397}; tRNA-type intron splice site recognition and cleavage {GO:0000379}</t>
  </si>
  <si>
    <t>nucleolus {GO:0005730}; nucleoplasm {GO:0005654}; tRNA-intron endonuclease complex {GO:0000214}</t>
  </si>
  <si>
    <t>lyase activity {GO:0016829}; nucleic acid binding {GO:0003676}; tRNA-intron endonuclease activity {GO:0000213}</t>
  </si>
  <si>
    <t>sp|Q8R1F1|NIBA2_MOUSE</t>
  </si>
  <si>
    <t>Protein Niban 2</t>
  </si>
  <si>
    <t>Meg-3; Niban-like protein 1; Protein FAM129B</t>
  </si>
  <si>
    <t>NIBA2_MOUSE</t>
  </si>
  <si>
    <t>Q8R1F1</t>
  </si>
  <si>
    <t>Q3TCV6; Q3U8I3; Q3UC84; Q3UDW4; Q3UIE4; Q543S7; Q8BQ71; Q8CC78</t>
  </si>
  <si>
    <t>MGI:2442910</t>
  </si>
  <si>
    <t>Cell junction; Cytoplasm; Lipoprotein; Membrane; Myristate; Phosphoprotein</t>
  </si>
  <si>
    <t>Cell junction; Cytoplasm; Membrane</t>
  </si>
  <si>
    <t>gonadotropin secretion {GO:0032274}; negative regulation of apoptotic process {GO:0043066}; negative regulation of cell population proliferation {GO:0008285}; negative regulation of DNA biosynthetic process {GO:2000279}; negative regulation of DNA-templated transcription {GO:0045892}; positive regulation of DNA-templated transcription {GO:0045893}; positive regulation of transcription regulatory region DNA binding {GO:2000679}</t>
  </si>
  <si>
    <t>adherens junction {GO:0005912}; cytoplasm {GO:0005737}; cytosol {GO:0005829}; nucleoplasm {GO:0005654}; plasma membrane {GO:0005886}</t>
  </si>
  <si>
    <t>sp|P35831|PTN12_MOUSE</t>
  </si>
  <si>
    <t>Tyrosine-protein phosphatase non-receptor type 12</t>
  </si>
  <si>
    <t>MPTP-PEST; Protein-tyrosine phosphatase P19 (P19-PTP)</t>
  </si>
  <si>
    <t>PTN12_MOUSE</t>
  </si>
  <si>
    <t>P35831</t>
  </si>
  <si>
    <t>Q80UM4</t>
  </si>
  <si>
    <t>MGI:104673</t>
  </si>
  <si>
    <t>Acetylation; Cell junction; Cell projection; Cytoplasm; Hydrolase; Phosphoprotein; Protein phosphatase</t>
  </si>
  <si>
    <t>cellular response to epidermal growth factor stimulus {GO:0071364}; peptidyl-tyrosine dephosphorylation {GO:0035335}; protein dephosphorylation {GO:0006470}; regulation of epidermal growth factor receptor signaling pathway {GO:0042058}; tissue regeneration {GO:0042246}</t>
  </si>
  <si>
    <t>cell projection {GO:0042995}; cytoplasm {GO:0005737}; cytosol {GO:0005829}; focal adhesion {GO:0005925}; nucleus {GO:0005634}; podosome {GO:0002102}</t>
  </si>
  <si>
    <t>non-membrane spanning protein tyrosine phosphatase activity {GO:0004726}; phosphoprotein phosphatase activity {GO:0004721}; protein tyrosine phosphatase activity {GO:0004725}; SH3 domain binding {GO:0017124}</t>
  </si>
  <si>
    <t>SHC1 events in ERBB2 signaling {R-MMU-1250196}; EGFR downregulation {R-MMU-182971}; Signaling by PDGF {R-MMU-186797}; Downregulation of ERBB2 signaling {R-MMU-8863795}</t>
  </si>
  <si>
    <t>sp|Q5SSZ5|TENS3_MOUSE</t>
  </si>
  <si>
    <t>Tensin-3</t>
  </si>
  <si>
    <t>Tensin-like SH2 domain-containing protein 1</t>
  </si>
  <si>
    <t>TENS3_MOUSE</t>
  </si>
  <si>
    <t>Q5SSZ5</t>
  </si>
  <si>
    <t>Q3TZ54; Q8BJA7</t>
  </si>
  <si>
    <t>Tens1</t>
  </si>
  <si>
    <t>MGI:2443012</t>
  </si>
  <si>
    <t>Alternative splicing; Cell junction; Phosphoprotein; SH2 domain</t>
  </si>
  <si>
    <t>cell population proliferation {GO:0008283}; dephosphorylation {GO:0016311}; endothelial cell migration {GO:0043542}; lung alveolus development {GO:0048286}; positive regulation of cell population proliferation {GO:0008284}</t>
  </si>
  <si>
    <t>cytosol {GO:0005829}; focal adhesion {GO:0005925}</t>
  </si>
  <si>
    <t>phosphatase activity {GO:0016791}</t>
  </si>
  <si>
    <t>MET interacts with TNS proteins {R-MMU-8875513}</t>
  </si>
  <si>
    <t>sp|Q8R3Y8|I2BP1_MOUSE</t>
  </si>
  <si>
    <t>Interferon regulatory factor 2-binding protein 1 (IRF-2-binding protein 1; IRF-2BP1)</t>
  </si>
  <si>
    <t>Probable E3 ubiquitin-protein ligase IRF2BP1; Probable RING-type E3 ubiquitin transferase IRF2BP1</t>
  </si>
  <si>
    <t>I2BP1_MOUSE</t>
  </si>
  <si>
    <t>Q8R3Y8</t>
  </si>
  <si>
    <t>Q8BJC9; Q8C0B1; Q8CI76</t>
  </si>
  <si>
    <t>MGI:2442159</t>
  </si>
  <si>
    <t>Alternative splicing; Coiled coil; Isopeptide bond; Metal-binding; Methylation; Nucleus; Phosphoprotein; Repressor; Transcription; Transcription regulation; Transferase; Ubl conjugation; Ubl conjugation pathway; Zinc; Zinc-finger</t>
  </si>
  <si>
    <t>Repressor; Transferase</t>
  </si>
  <si>
    <t>negative regulation of transcription by RNA polymerase II {GO:0000122}; protein polyubiquitination {GO:0000209}; regulation of transcription by RNA polymerase II {GO:0006357}</t>
  </si>
  <si>
    <t>metal ion binding {GO:0046872}; transcription corepressor activity {GO:0003714}; ubiquitin protein ligase activity {GO:0061630}</t>
  </si>
  <si>
    <t>sp|Q9R1Q8|TAGL3_MOUSE</t>
  </si>
  <si>
    <t>Transgelin-3</t>
  </si>
  <si>
    <t>Neuronal protein NP25</t>
  </si>
  <si>
    <t>TAGL3_MOUSE</t>
  </si>
  <si>
    <t>Q9R1Q8</t>
  </si>
  <si>
    <t>Np25</t>
  </si>
  <si>
    <t>MGI:1926784</t>
  </si>
  <si>
    <t>negative regulation of transcription by RNA polymerase II {GO:0000122}</t>
  </si>
  <si>
    <t>cytoskeleton {GO:0005856}; myelin sheath {GO:0043209}; nucleus {GO:0005634}</t>
  </si>
  <si>
    <t>sp|P97470|PP4C_MOUSE</t>
  </si>
  <si>
    <t>Serine/threonine-protein phosphatase 4 catalytic subunit (PP4C; Pp4)</t>
  </si>
  <si>
    <t>Protein phosphatase X (PP-X)</t>
  </si>
  <si>
    <t>PP4C_MOUSE</t>
  </si>
  <si>
    <t>P97470</t>
  </si>
  <si>
    <t>P33172</t>
  </si>
  <si>
    <t>Ppp4; Ppx</t>
  </si>
  <si>
    <t>MGI:1891763</t>
  </si>
  <si>
    <t>Acetylation; Cytoplasm; Cytoskeleton; Hydrolase; Manganese; Metal-binding; Methylation; Nucleus; Protein phosphatase</t>
  </si>
  <si>
    <t>dephosphorylation {GO:0016311}; double-strand break repair via homologous recombination {GO:0000724}; regulation of double-strand break repair {GO:2000779}; regulation of double-strand break repair via homologous recombination {GO:0010569}</t>
  </si>
  <si>
    <t>chromatin {GO:0000785}; cytoplasm {GO:0005737}; cytosol {GO:0005829}; microtubule organizing center {GO:0005815}; nucleoplasm {GO:0005654}; nucleus {GO:0005634}; plasma membrane {GO:0005886}; protein phosphatase 4 complex {GO:0030289}</t>
  </si>
  <si>
    <t>lamin binding {GO:0005521}; metal ion binding {GO:0046872}; myosin phosphatase activity {GO:0017018}; NF-kappaB-inducing kinase activity {GO:0004704}; phosphatase activity {GO:0016791}; protein serine/threonine phosphatase activity {GO:0004722}; protein-containing complex binding {GO:0044877}</t>
  </si>
  <si>
    <t>sp|Q9JL56|GDE1_MOUSE</t>
  </si>
  <si>
    <t>Glycerophosphodiester phosphodiesterase 1</t>
  </si>
  <si>
    <t>Glycerophosphoinositol glycerophosphodiesterase GDE1; Lysophospholipase D GDE1; Membrane-interacting protein of RGS16</t>
  </si>
  <si>
    <t>GDE1_MOUSE</t>
  </si>
  <si>
    <t>Q9JL56</t>
  </si>
  <si>
    <t>Q3UBU4</t>
  </si>
  <si>
    <t>MGI:1891827</t>
  </si>
  <si>
    <t>Cell membrane; Cytoplasmic vesicle; Glycoprotein; Hydrolase; Lipid metabolism; Magnesium; Membrane; Metal-binding; Transmembrane; Transmembrane helix</t>
  </si>
  <si>
    <t>ethanolamine metabolic process {GO:0006580}; G protein-coupled receptor signaling pathway {GO:0007186}; N-acylethanolamine metabolic process {GO:0070291}; phospholipid metabolic process {GO:0006644}</t>
  </si>
  <si>
    <t>cytoplasmic vesicle membrane {GO:0030659}; integral component of membrane {GO:0016021}; integral component of plasma membrane {GO:0005887}; membrane {GO:0016020}; plasma membrane {GO:0005886}</t>
  </si>
  <si>
    <t>glycerophosphodiester phosphodiesterase activity {GO:0008889}; glycerophosphoinositol glycerophosphodiesterase activity {GO:0047395}; lysophospholipase activity {GO:0004622}; metal ion binding {GO:0046872}; phosphoric diester hydrolase activity {GO:0008081}</t>
  </si>
  <si>
    <t>sp|Q3KNM2|MARH5_MOUSE</t>
  </si>
  <si>
    <t>E3 ubiquitin-protein ligase MARCHF5</t>
  </si>
  <si>
    <t>Membrane-associated RING finger protein 5; Membrane-associated RING-CH protein V (MARCH-V); RING-type E3 ubiquitin transferase MARCHF5</t>
  </si>
  <si>
    <t>MARH5_MOUSE</t>
  </si>
  <si>
    <t>Q3KNM2</t>
  </si>
  <si>
    <t>Q3KNM3; Q6P230; Q9CPS3; Q9CTI6</t>
  </si>
  <si>
    <t>MGI:1915207</t>
  </si>
  <si>
    <t>Endoplasmic reticulum; Membrane; Metal-binding; Mitochondrion; Mitochondrion outer membrane; Transferase; Transmembrane; Transmembrane helix; Ubl conjugation; Ubl conjugation pathway; Zinc; Zinc-finger</t>
  </si>
  <si>
    <t>positive regulation of mitochondrial fission {GO:0090141}; protein autoubiquitination {GO:0051865}; protein localization to mitochondrion {GO:0070585}; protein polyubiquitination {GO:0000209}; regulation of mitochondrial fission {GO:0090140}</t>
  </si>
  <si>
    <t>endoplasmic reticulum {GO:0005783}; endoplasmic reticulum membrane {GO:0005789}; integral component of membrane {GO:0016021}; mitochondrial outer membrane {GO:0005741}; mitochondrion {GO:0005739}</t>
  </si>
  <si>
    <t>GTPase binding {GO:0051020}; ubiquitin protein ligase activity {GO:0061630}; zinc ion binding {GO:0008270}</t>
  </si>
  <si>
    <t>sp|Q8CGC6|RBM28_MOUSE</t>
  </si>
  <si>
    <t>RNA-binding protein 28</t>
  </si>
  <si>
    <t>RNA-binding motif protein 28</t>
  </si>
  <si>
    <t>RBM28_MOUSE</t>
  </si>
  <si>
    <t>Q8CGC6</t>
  </si>
  <si>
    <t>E9QKF8; Q3U0K5; Q8BG25; Q8VEJ8; Q9CS22; Q9CSE6</t>
  </si>
  <si>
    <t>MGI:2655711</t>
  </si>
  <si>
    <t>3D-structure; Acetylation; Isopeptide bond; mRNA processing; mRNA splicing; Nucleus; Phosphoprotein; Repeat; RNA-binding; Spliceosome; Ubl conjugation</t>
  </si>
  <si>
    <t>nucleolus {GO:0005730}; spliceosomal complex {GO:0005681}</t>
  </si>
  <si>
    <t>sp|Q6URW6|MYH14_MOUSE</t>
  </si>
  <si>
    <t>Myosin-14</t>
  </si>
  <si>
    <t>Myosin heavy chain 14; Myosin heavy chain, non-muscle IIc; Non-muscle myosin heavy chain IIc (NMHC II-C)</t>
  </si>
  <si>
    <t>MYH14_MOUSE</t>
  </si>
  <si>
    <t>Q6URW6</t>
  </si>
  <si>
    <t>B3F3T1; Q80V64; Q80ZE6</t>
  </si>
  <si>
    <t>MGI:1919210</t>
  </si>
  <si>
    <t>Acetylation; Actin-binding; Alternative splicing; ATP-binding; Calmodulin-binding; Cell shape; Coiled coil; Motor protein; Myosin; Nucleotide-binding; Phosphoprotein</t>
  </si>
  <si>
    <t>actin filament-based movement {GO:0030048}; actomyosin structure organization {GO:0031032}; mitochondrion morphogenesis {GO:0070584}; neuronal action potential {GO:0019228}; regulation of cell shape {GO:0008360}; sensory perception of sound {GO:0007605}; skeletal muscle contraction {GO:0003009}; skeletal muscle tissue development {GO:0007519}; vocalization behavior {GO:0071625}</t>
  </si>
  <si>
    <t>actomyosin {GO:0042641}; axon {GO:0030424}; brush border {GO:0005903}; cytoplasm {GO:0005737}; growth cone {GO:0030426}; myelin sheath {GO:0043209}; myosin complex {GO:0016459}; myosin filament {GO:0032982}; myosin II complex {GO:0016460}; myosin II filament {GO:0097513}; stress fiber {GO:0001725}</t>
  </si>
  <si>
    <t>actin filament binding {GO:0051015}; ATP binding {GO:0005524}; calmodulin binding {GO:0005516}; microfilament motor activity {GO:0000146}; molecular adaptor activity {GO:0060090}</t>
  </si>
  <si>
    <t>sp|Q3URQ0|TEX10_MOUSE</t>
  </si>
  <si>
    <t>Testis-expressed protein 10</t>
  </si>
  <si>
    <t>TEX10_MOUSE</t>
  </si>
  <si>
    <t>Q3URQ0</t>
  </si>
  <si>
    <t>MGI:1344413</t>
  </si>
  <si>
    <t>mitochondrion {GO:0005739}; MLL1 complex {GO:0071339}; nucleolus {GO:0005730}; nucleoplasm {GO:0005654}; nucleus {GO:0005634}</t>
  </si>
  <si>
    <t>sp|Q8BZM1|GLMN_MOUSE</t>
  </si>
  <si>
    <t>Glomulin</t>
  </si>
  <si>
    <t>FK506-binding protein-associated protein (FAP); FKBP-associated protein</t>
  </si>
  <si>
    <t>GLMN_MOUSE</t>
  </si>
  <si>
    <t>Q8BZM1</t>
  </si>
  <si>
    <t>Q3TFR5; Q99LB8</t>
  </si>
  <si>
    <t>Fap48</t>
  </si>
  <si>
    <t>MGI:2141180</t>
  </si>
  <si>
    <t>cell surface receptor signaling pathway {GO:0007166}; circulatory system development {GO:0072359}; muscle cell differentiation {GO:0042692}; negative regulation of cell population proliferation {GO:0008285}; negative regulation of T cell proliferation {GO:0042130}; neural tube closure {GO:0001843}; positive regulation of cytokine production {GO:0001819}; positive regulation of interleukin-2 production {GO:0032743}; positive regulation of phosphorylation {GO:0042327}; regulation of gene expression, epigenetic {GO:0040029}; regulation of proteasomal ubiquitin-dependent protein catabolic process {GO:0032434}; vasculogenesis {GO:0001570}</t>
  </si>
  <si>
    <t>Cul2-RING ubiquitin ligase complex {GO:0031462}; Cul3-RING ubiquitin ligase complex {GO:0031463}; Cul4A-RING E3 ubiquitin ligase complex {GO:0031464}; cullin-RING ubiquitin ligase complex {GO:0031461}; cytoplasm {GO:0005737}</t>
  </si>
  <si>
    <t>hepatocyte growth factor receptor binding {GO:0005171}; signaling receptor binding {GO:0005102}; ubiquitin protein ligase binding {GO:0031625}; ubiquitin-protein transferase inhibitor activity {GO:0055105}</t>
  </si>
  <si>
    <t>sp|Q80XI4|PI42B_MOUSE</t>
  </si>
  <si>
    <t>Phosphatidylinositol 5-phosphate 4-kinase type-2 beta</t>
  </si>
  <si>
    <t>1-phosphatidylinositol 5-phosphate 4-kinase 2-beta; Diphosphoinositide kinase 2-beta; Phosphatidylinositol 5-phosphate 4-kinase type II beta (PI(5)P 4-kinase type II beta; PIP4KII-beta); PtdIns(5)P-4-kinase isoform 2-beta</t>
  </si>
  <si>
    <t>PI42B_MOUSE</t>
  </si>
  <si>
    <t>Q80XI4</t>
  </si>
  <si>
    <t>Q8VHB2</t>
  </si>
  <si>
    <t>Pip5k2b</t>
  </si>
  <si>
    <t>MGI:1934234</t>
  </si>
  <si>
    <t>Acetylation; ATP-binding; Cell membrane; Cytoplasm; Endoplasmic reticulum; GTP-binding; Kinase; Lipid metabolism; Membrane; Nucleotide-binding; Nucleus; Phosphoprotein; Transferase; Ubl conjugation</t>
  </si>
  <si>
    <t>1-phosphatidyl-1D-myo-inositol 4,5-bisphosphate biosynthetic process {GO:1902635}; autophagosome-lysosome fusion {GO:0061909}; negative regulation of 1-phosphatidylinositol-4-phosphate 5-kinase activity {GO:0090217}; negative regulation of insulin receptor signaling pathway {GO:0046627}; phosphatidylinositol metabolic process {GO:0046488}; phosphatidylinositol phosphate biosynthetic process {GO:0046854}; phosphorylation {GO:0016310}; positive regulation of autophagosome assembly {GO:2000786}; regulation of autophagy {GO:0010506}</t>
  </si>
  <si>
    <t>autophagosome {GO:0005776}; endoplasmic reticulum membrane {GO:0005789}; nucleoplasm {GO:0005654}; nucleus {GO:0005634}; plasma membrane {GO:0005886}</t>
  </si>
  <si>
    <t>1-phosphatidylinositol-4-phosphate 5-kinase activity {GO:0016308}; 1-phosphatidylinositol-5-phosphate 4-kinase activity {GO:0016309}; ATP binding {GO:0005524}; GTP binding {GO:0005525}; protein homodimerization activity {GO:0042803}</t>
  </si>
  <si>
    <t>Synthesis of PIPs at the plasma membrane {R-MMU-1660499}; PI5P Regulates TP53 Acetylation {R-MMU-6811555}; PI5P, PP2A and IER3 Regulate PI3K/AKT Signaling {R-MMU-6811558}; Synthesis of PIPs in the nucleus {R-MMU-8847453}</t>
  </si>
  <si>
    <t>sp|Q62000|MIME_MOUSE</t>
  </si>
  <si>
    <t>Mimecan</t>
  </si>
  <si>
    <t>Osteoglycin</t>
  </si>
  <si>
    <t>MIME_MOUSE</t>
  </si>
  <si>
    <t>Q62000</t>
  </si>
  <si>
    <t>Og</t>
  </si>
  <si>
    <t>MGI:109278</t>
  </si>
  <si>
    <t>Disulfide bond; Extracellular matrix; Glycoprotein; Growth factor; Leucine-rich repeat; Repeat; Secreted; Signal</t>
  </si>
  <si>
    <t>articular cartilage development {GO:0061975}; bone development {GO:0060348}; negative regulation of smooth muscle cell proliferation {GO:0048662}</t>
  </si>
  <si>
    <t>collagen-containing extracellular matrix {GO:0062023}; extracellular matrix {GO:0031012}; extracellular space {GO:0005615}</t>
  </si>
  <si>
    <t>growth factor activity {GO:0008083}</t>
  </si>
  <si>
    <t>Keratan sulfate biosynthesis {R-MMU-2022854}; Keratan sulfate degradation {R-MMU-2022857}</t>
  </si>
  <si>
    <t>sp|Q9D168|INT12_MOUSE</t>
  </si>
  <si>
    <t>Integrator complex subunit 12 (Int12)</t>
  </si>
  <si>
    <t>PHD finger protein 22</t>
  </si>
  <si>
    <t>INT12_MOUSE</t>
  </si>
  <si>
    <t>Q9D168</t>
  </si>
  <si>
    <t>Q3U2Q5; Q921U2</t>
  </si>
  <si>
    <t>Phf22</t>
  </si>
  <si>
    <t>MGI:1919043</t>
  </si>
  <si>
    <t>3D-structure; Isopeptide bond; Metal-binding; Nucleus; Phosphoprotein; Ubl conjugation; Zinc; Zinc-finger</t>
  </si>
  <si>
    <t>snRNA 3'-end processing {GO:0034472}; snRNA processing {GO:0016180}</t>
  </si>
  <si>
    <t>integrator complex {GO:0032039}; nucleus {GO:0005634}</t>
  </si>
  <si>
    <t>sp|Q99PU8|DHX30_MOUSE</t>
  </si>
  <si>
    <t>ATP-dependent RNA helicase DHX30</t>
  </si>
  <si>
    <t>DEAH box protein 30</t>
  </si>
  <si>
    <t>DHX30_MOUSE</t>
  </si>
  <si>
    <t>Q99PU8</t>
  </si>
  <si>
    <t>Q3U4Z4; Q3UFA0; Q3UJS4; Q91WA7; Q99KN7</t>
  </si>
  <si>
    <t>Helg</t>
  </si>
  <si>
    <t>MGI:1920081</t>
  </si>
  <si>
    <t>Alternative splicing; ATP-binding; Cytoplasm; Helicase; Hydrolase; Mitochondrion; Mitochondrion nucleoid; Nucleotide-binding; Phosphoprotein; Ribosome biogenesis; RNA-binding</t>
  </si>
  <si>
    <t>Cytoplasm; Mitochondrion; Mitochondrion nucleoid</t>
  </si>
  <si>
    <t>central nervous system development {GO:0007417}; mitochondrial large ribosomal subunit assembly {GO:1902775}</t>
  </si>
  <si>
    <t>cytoplasm {GO:0005737}; cytosol {GO:0005829}; mitochondrial nucleoid {GO:0042645}; mitochondrion {GO:0005739}; ribonucleoprotein granule {GO:0035770}</t>
  </si>
  <si>
    <t>ATP binding {GO:0005524}; ATP hydrolysis activity {GO:0016887}; chromatin binding {GO:0003682}; double-stranded RNA binding {GO:0003725}; RNA binding {GO:0003723}; RNA helicase activity {GO:0003724}</t>
  </si>
  <si>
    <t>sp|Q9D7B6|ACAD8_MOUSE</t>
  </si>
  <si>
    <t>Isobutyryl-CoA dehydrogenase, mitochondrial</t>
  </si>
  <si>
    <t>Acyl-CoA dehydrogenase family member 8 (ACAD-8)</t>
  </si>
  <si>
    <t>ACAD8_MOUSE</t>
  </si>
  <si>
    <t>Q9D7B6</t>
  </si>
  <si>
    <t>Q8BK36; Q8BKQ8; Q8CFY9; Q9D2L8</t>
  </si>
  <si>
    <t>MGI:1914198</t>
  </si>
  <si>
    <t>Acetylation; Branched-chain amino acid catabolism; FAD; Flavoprotein; Mitochondrion; Oxidoreductase; Transit peptide</t>
  </si>
  <si>
    <t>fatty acid beta-oxidation {GO:0006635}; valine catabolic process {GO:0006574}</t>
  </si>
  <si>
    <t>acyl-CoA dehydrogenase activity {GO:0003995}; flavin adenine dinucleotide binding {GO:0050660}</t>
  </si>
  <si>
    <t>sp|P39655|LOX12_MOUSE</t>
  </si>
  <si>
    <t>Polyunsaturated fatty acid lipoxygenase ALOX12</t>
  </si>
  <si>
    <t>Arachidonate (12S)-lipoxygenase (12S-LOX; 12S-lipoxygenase); Arachidonate (15S)-lipoxygenase; Linoleate (13S)-lipoxygenase; Lipoxin synthase 12-LO; Platelet-type lipoxygenase 12 (P-12LO)</t>
  </si>
  <si>
    <t>LOX12_MOUSE</t>
  </si>
  <si>
    <t>P39655</t>
  </si>
  <si>
    <t>Q8BHG4</t>
  </si>
  <si>
    <t>Alox12p</t>
  </si>
  <si>
    <t>MGI:87998</t>
  </si>
  <si>
    <t>Cytoplasm; Dioxygenase; Fatty acid metabolism; Hydrolase; Iron; Lipid metabolism; Membrane; Metal-binding; Oxidoreductase; Phosphoprotein</t>
  </si>
  <si>
    <t>Dioxygenase; Hydrolase; Oxidoreductase</t>
  </si>
  <si>
    <t>aging {GO:0007568}; arachidonic acid metabolic process {GO:0019369}; cellular response to lipid {GO:0071396}; establishment of skin barrier {GO:0061436}; fatty acid oxidation {GO:0019395}; hepoxilin biosynthetic process {GO:0051122}; leukotriene A4 metabolic process {GO:1901751}; linoleic acid metabolic process {GO:0043651}; lipid metabolic process {GO:0006629}; lipid oxidation {GO:0034440}; lipoxin A4 biosynthetic process {GO:2001303}; lipoxin B4 biosynthetic process {GO:2001306}; lipoxygenase pathway {GO:0019372}; negative regulation of apoptotic process {GO:0043066}; negative regulation of muscle cell apoptotic process {GO:0010656}; negative regulation of platelet aggregation {GO:0090331}; positive regulation of apoptotic process {GO:0043065}; positive regulation of blood vessel endothelial cell migration {GO:0043536}; positive regulation of cell death {GO:0010942}; positive regulation of cysteine-type endopeptidase activity involved in apoptotic process {GO:0043280}; positive regulation of endothelial tube morphogenesis {GO:1905956}; positive regulation of gene expression {GO:0010628}; positive regulation of mitochondrial depolarization {GO:0051901}; positive regulation of smooth muscle cell proliferation {GO:0048661}; unsaturated fatty acid metabolic process {GO:0033559}</t>
  </si>
  <si>
    <t>cytoplasm {GO:0005737}; cytosol {GO:0005829}; membrane {GO:0016020}; plasma membrane {GO:0005886}; sarcolemma {GO:0042383}</t>
  </si>
  <si>
    <t>arachidonate 12(S)-lipoxygenase activity {GO:0004052}; arachidonate 15-lipoxygenase activity {GO:0050473}; hepoxilin-epoxide hydrolase activity {GO:0047977}; iron ion binding {GO:0005506}; linoleate 13S-lipoxygenase activity {GO:0016165}; oxidoreductase activity, acting on single donors with incorporation of molecular oxygen, incorporation of two atoms of oxygen {GO:0016702}</t>
  </si>
  <si>
    <t>Lipid metabolism; hydroperoxy eicosatetraenoic acid biosynthesis.</t>
  </si>
  <si>
    <t>Synthesis of Hepoxilins (HX) and Trioxilins (TrX) {R-MMU-2142696}; Synthesis of Lipoxins (LX) {R-MMU-2142700}; Synthesis of 12-eicosatetraenoic acid derivatives {R-MMU-2142712}; Biosynthesis of DHA-derived SPMs {R-MMU-9018677}; Biosynthesis of DPAn-6 SPMs {R-MMU-9025106}; Biosynthesis of DPAn-3-derived maresins {R-MMU-9026290}</t>
  </si>
  <si>
    <t>sp|Q9Z0P5|TWF2_MOUSE</t>
  </si>
  <si>
    <t>Twinfilin-2</t>
  </si>
  <si>
    <t>A6-related protein (mA6RP); Twinfilin-1-like protein</t>
  </si>
  <si>
    <t>TWF2_MOUSE</t>
  </si>
  <si>
    <t>Q9Z0P5</t>
  </si>
  <si>
    <t>Q3TD06; Q3TZG2; Q8BN77; Q9DCK8</t>
  </si>
  <si>
    <t>Ptk9l</t>
  </si>
  <si>
    <t>MGI:1346078</t>
  </si>
  <si>
    <t>3D-structure; Acetylation; Actin-binding; Alternative promoter usage; Cell projection; Cilium biogenesis/degradation; Cytoplasm; Cytoskeleton; Developmental protein; Phosphoprotein; Repeat</t>
  </si>
  <si>
    <t>actin filament depolymerization {GO:0030042}; barbed-end actin filament capping {GO:0051016}; cell projection organization {GO:0030030}; cellular response to growth factor stimulus {GO:0071363}; cellular response to retinoic acid {GO:0071300}; intracellular signal transduction {GO:0035556}; negative regulation of actin filament polymerization {GO:0030837}; positive regulation of axon extension {GO:0045773}; positive regulation of lamellipodium assembly {GO:0010592}; positive regulation of neuron projection development {GO:0010976}; regulation of actin cytoskeleton organization {GO:0032956}; regulation of lamellipodium assembly {GO:0010591}; regulation of microvillus length {GO:0032532}; sequestering of actin monomers {GO:0042989}</t>
  </si>
  <si>
    <t>actin filament {GO:0005884}; cytoplasm {GO:0005737}; cytosol {GO:0005829}; filopodium {GO:0030175}; growth cone {GO:0030426}; lamellipodium {GO:0030027}; myofibril {GO:0030016}; perinuclear region of cytoplasm {GO:0048471}; stereocilium {GO:0032420}</t>
  </si>
  <si>
    <t>actin filament binding {GO:0051015}; actin monomer binding {GO:0003785}; ATP binding {GO:0005524}; phosphatidylinositol-4,5-bisphosphate binding {GO:0005546}; protein kinase C binding {GO:0005080}</t>
  </si>
  <si>
    <t>sp|P17879|HS71B_MOUSE</t>
  </si>
  <si>
    <t>Heat shock 70 kDa protein 1B</t>
  </si>
  <si>
    <t>Heat shock 70 kDa protein 1 (HSP70.1)</t>
  </si>
  <si>
    <t>HS71B_MOUSE</t>
  </si>
  <si>
    <t>P17879</t>
  </si>
  <si>
    <t>Q61689; Q925V6</t>
  </si>
  <si>
    <t>Hcp70.1; Hsp70-1; Hsp70a1; Hspa1</t>
  </si>
  <si>
    <t>MGI:99517</t>
  </si>
  <si>
    <t>Acetylation; ATP-binding; Chaperone; Cytoplasm; Cytoskeleton; Methylation; Nucleotide-binding; Phosphoprotein; Stress response</t>
  </si>
  <si>
    <t>binding of sperm to zona pellucida {GO:0007339}; cellular response to unfolded protein {GO:0034620}; chaperone cofactor-dependent protein refolding {GO:0051085}; negative regulation of apoptotic process {GO:0043066}; negative regulation of cysteine-type endopeptidase activity involved in apoptotic process {GO:0043154}; positive regulation of microtubule nucleation {GO:0090063}; positive regulation of proteasomal ubiquitin-dependent protein catabolic process {GO:0032436}; protein folding {GO:0006457}; protein refolding {GO:0042026}; regulation of mitotic spindle assembly {GO:1901673}; response to heat {GO:0009408}; vesicle-mediated transport {GO:0016192}</t>
  </si>
  <si>
    <t>aggresome {GO:0016235}; apical plasma membrane {GO:0016324}; basolateral plasma membrane {GO:0016323}; cell body {GO:0044297}; centriole {GO:0005814}; centrosome {GO:0005813}; cytoplasm {GO:0005737}; cytosol {GO:0005829}; inclusion body {GO:0016234}; membrane raft {GO:0045121}; mitochondrial matrix {GO:0005759}; mitochondrion {GO:0005739}; nuclear speck {GO:0016607}; nucleus {GO:0005634}; perinuclear region of cytoplasm {GO:0048471}; plasma membrane {GO:0005886}; protein-containing complex {GO:0032991}; ribonucleoprotein complex {GO:1990904}; zona pellucida receptor complex {GO:0002199}</t>
  </si>
  <si>
    <t>ATP binding {GO:0005524}; ATP hydrolysis activity {GO:0016887}; ATP-dependent protein disaggregase activity {GO:0140545}; ATP-dependent protein folding chaperone {GO:0140662}; C3HC4-type RING finger domain binding {GO:0055131}; enzyme binding {GO:0019899}; G protein-coupled receptor binding {GO:0001664}; heat shock protein binding {GO:0031072}; histone deacetylase binding {GO:0042826}; misfolded protein binding {GO:0051787}; NF-kappaB binding {GO:0051059}; protease binding {GO:0002020}; protein folding chaperone {GO:0044183}; protein N-terminus binding {GO:0047485}; signaling receptor binding {GO:0005102}; ubiquitin protein ligase binding {GO:0031625}; unfolded protein binding {GO:0051082}</t>
  </si>
  <si>
    <t>Regulation of HSF1-mediated heat shock response {R-MMU-3371453}; HSP90 chaperone cycle for steroid hormone receptors (SHR) in the presence of ligand {R-MMU-3371497}; Attenuation phase {R-MMU-3371568}; HSF1-dependent transactivation {R-MMU-3371571}; AUF1 (hnRNP D0) binds and destabilizes mRNA {R-MMU-450408}; Neutrophil degranulation {R-MMU-6798695}</t>
  </si>
  <si>
    <t>sp|Q7TNP2|2AAB_MOUSE</t>
  </si>
  <si>
    <t>Serine/threonine-protein phosphatase 2A 65 kDa regulatory subunit A beta isoform</t>
  </si>
  <si>
    <t>PP2A subunit A isoform PR65-beta; PP2A subunit A isoform R1-beta</t>
  </si>
  <si>
    <t>2AAB_MOUSE</t>
  </si>
  <si>
    <t>Q7TNP2</t>
  </si>
  <si>
    <t>E9QNJ1</t>
  </si>
  <si>
    <t>MGI:1920949</t>
  </si>
  <si>
    <t>apoptotic process involved in morphogenesis {GO:0060561}; positive regulation of extrinsic apoptotic signaling pathway in absence of ligand {GO:2001241}; protein dephosphorylation {GO:0006470}</t>
  </si>
  <si>
    <t>cytoplasm {GO:0005737}; glutamatergic synapse {GO:0098978}; membrane raft {GO:0045121}; protein phosphatase type 2A complex {GO:0000159}; synapse {GO:0045202}</t>
  </si>
  <si>
    <t>Inhibition of replication initiation of damaged DNA by RB1/E2F1 {R-MMU-113501}; Amplification of signal from unattached kinetochores via a MAD2 inhibitory signal {R-MMU-141444}; DARPP-32 events {R-MMU-180024}; Degradation of beta-catenin by the destruction complex {R-MMU-195253}; Beta-catenin phosphorylation cascade {R-MMU-196299}; ERK/MAPK targets {R-MMU-198753}; ERKs are inactivated {R-MMU-202670}; Separation of Sister Chromatids {R-MMU-2467813}; Resolution of Sister Chromatid Cohesion {R-MMU-2500257}; CTLA4 inhibitory signaling {R-MMU-389513}; Platelet sensitization by LDL {R-MMU-432142}; Disassembly of the destruction complex and recruitment of AXIN to the membrane {R-MMU-4641262}; RHO GTPases Activate Formins {R-MMU-5663220}; RAF activation {R-MMU-5673000}; Negative regulation of MAPK pathway {R-MMU-5675221}; Regulation of TP53 Degradation {R-MMU-6804757}; PI5P, PP2A and IER3 Regulate PI3K/AKT Signaling {R-MMU-6811558}; Mitotic Prometaphase {R-MMU-68877}; Cyclin D associated events in G1 {R-MMU-69231}; Cyclin A/B1/B2 associated events during G2/M transition {R-MMU-69273}; EML4 and NUDC in mitotic spindle formation {R-MMU-9648025}</t>
  </si>
  <si>
    <t>sp|Q8BWF0|SSDH_MOUSE</t>
  </si>
  <si>
    <t>Succinate-semialdehyde dehydrogenase, mitochondrial</t>
  </si>
  <si>
    <t>Aldehyde dehydrogenase family 5 member A1; NAD(+)-dependent succinic semialdehyde dehydrogenase</t>
  </si>
  <si>
    <t>SSDH_MOUSE</t>
  </si>
  <si>
    <t>Q8BWF0</t>
  </si>
  <si>
    <t>Q5SZW1</t>
  </si>
  <si>
    <t>MGI:2441982</t>
  </si>
  <si>
    <t>Acetylation; Disulfide bond; Mitochondrion; NAD; Oxidoreductase; Phosphoprotein; Transit peptide</t>
  </si>
  <si>
    <t>central nervous system development {GO:0007417}; gamma-aminobutyric acid catabolic process {GO:0009450}; gamma-aminobutyric acid metabolic process {GO:0009448}; glutamate metabolic process {GO:0006536}; neurotransmitter catabolic process {GO:0042135}; nitrogen compound metabolic process {GO:0006807}; post-embryonic development {GO:0009791}; succinate metabolic process {GO:0006105}</t>
  </si>
  <si>
    <t>carboxylic acid binding {GO:0031406}; identical protein binding {GO:0042802}; NAD binding {GO:0051287}; succinate-semialdehyde dehydrogenase (NAD+) activity {GO:0004777}</t>
  </si>
  <si>
    <t>Amino-acid degradation; 4-aminobutanoate degradation.</t>
  </si>
  <si>
    <t>sp|Q9JIQ3|DBLOH_MOUSE</t>
  </si>
  <si>
    <t>Diablo IAP-binding mitochondrial protein</t>
  </si>
  <si>
    <t>Diablo homolog, mitochondrial; Direct IAP-binding protein with low pI; Second mitochondria-derived activator of caspase (Smac)</t>
  </si>
  <si>
    <t>DBLOH_MOUSE</t>
  </si>
  <si>
    <t>Q9JIQ3</t>
  </si>
  <si>
    <t>Q542V8; Q9CZD1; Q9DCD3</t>
  </si>
  <si>
    <t>MGI:1913843</t>
  </si>
  <si>
    <t>Apoptosis; Mitochondrion; Phosphoprotein; Transit peptide; Ubl conjugation</t>
  </si>
  <si>
    <t>activation of cysteine-type endopeptidase activity involved in apoptotic process {GO:0006919}; activation of cysteine-type endopeptidase activity involved in apoptotic process by cytochrome c {GO:0008635}; intrinsic apoptotic signaling pathway {GO:0097193}; intrinsic apoptotic signaling pathway in response to oxidative stress {GO:0008631}; neuron apoptotic process {GO:0051402}; positive regulation of apoptotic process {GO:0043065}</t>
  </si>
  <si>
    <t>CD40 receptor complex {GO:0035631}; cytoplasm {GO:0005737}; cytoplasmic side of plasma membrane {GO:0009898}; cytosol {GO:0005829}; mitochondrial intermembrane space {GO:0005758}; mitochondrion {GO:0005739}</t>
  </si>
  <si>
    <t>Release of apoptotic factors from the mitochondria {R-MMU-111457}; SMAC (DIABLO) binds to IAPs {R-MMU-111463}; SMAC(DIABLO)-mediated dissociation of IAP:caspase complexes {R-MMU-111464}; SMAC, XIAP-regulated apoptotic response {R-MMU-111469}; Regulation of the apoptosome activity {R-MMU-9627069}</t>
  </si>
  <si>
    <t>sp|Q3TZM9|ALG11_MOUSE</t>
  </si>
  <si>
    <t>GDP-Man:Man(3)GlcNAc(2)-PP-Dol alpha-1,2-mannosyltransferase</t>
  </si>
  <si>
    <t>Asparagine-linked glycosylation protein 11 homolog; Glycolipid 2-alpha-mannosyltransferase</t>
  </si>
  <si>
    <t>ALG11_MOUSE</t>
  </si>
  <si>
    <t>Q3TZM9</t>
  </si>
  <si>
    <t>Q6P7W8; Q8BL38</t>
  </si>
  <si>
    <t>MGI:2142632</t>
  </si>
  <si>
    <t>Alternative splicing; Endoplasmic reticulum; Glycosyltransferase; Membrane; Transferase; Transmembrane; Transmembrane helix</t>
  </si>
  <si>
    <t>oligosaccharide-lipid intermediate biosynthetic process {GO:0006490}; protein N-linked glycosylation {GO:0006487}</t>
  </si>
  <si>
    <t>GDP-Man:Man3GlcNAc2-PP-Dol alpha-1,2-mannosyltransferase activity {GO:0004377}</t>
  </si>
  <si>
    <t>sp|Q810V0|MPP10_MOUSE</t>
  </si>
  <si>
    <t>U3 small nucleolar ribonucleoprotein protein MPP10</t>
  </si>
  <si>
    <t>M phase phosphoprotein 10</t>
  </si>
  <si>
    <t>MPP10_MOUSE</t>
  </si>
  <si>
    <t>Q810V0</t>
  </si>
  <si>
    <t>E9QM78</t>
  </si>
  <si>
    <t>MGI:1915223</t>
  </si>
  <si>
    <t>Acetylation; Chromosome; Coiled coil; Isopeptide bond; Nucleus; Phosphoprotein; Ribonucleoprotein; Ribosome biogenesis; rRNA processing; Ubl conjugation</t>
  </si>
  <si>
    <t>chromosome {GO:0005694}; Mpp10 complex {GO:0034457}; nucleolus {GO:0005730}; small-subunit processome {GO:0032040}; sno(s)RNA-containing ribonucleoprotein complex {GO:0005732}</t>
  </si>
  <si>
    <t>sp|Q9DD16|NUD22_MOUSE</t>
  </si>
  <si>
    <t>Uridine diphosphate glucose pyrophosphatase NUDT22 (UDPG pyrophosphatase; UGPPase)</t>
  </si>
  <si>
    <t>Nucleoside diphosphate-linked moiety X motif 22 (Nudix motif 22)</t>
  </si>
  <si>
    <t>NUD22_MOUSE</t>
  </si>
  <si>
    <t>Q9DD16</t>
  </si>
  <si>
    <t>Q8VCI4</t>
  </si>
  <si>
    <t>MGI:1915573</t>
  </si>
  <si>
    <t>GDP-mannose hydrolase activity {GO:0052751}; metal ion binding {GO:0046872}; UDP-sugar diphosphatase activity {GO:0008768}</t>
  </si>
  <si>
    <t>sp|Q61072|ADAM9_MOUSE</t>
  </si>
  <si>
    <t>Disintegrin and metalloproteinase domain-containing protein 9 (ADAM 9)</t>
  </si>
  <si>
    <t>Meltrin-gamma; Metalloprotease/disintegrin/cysteine-rich protein 9; Myeloma cell metalloproteinase</t>
  </si>
  <si>
    <t>ADAM9_MOUSE</t>
  </si>
  <si>
    <t>Q61072</t>
  </si>
  <si>
    <t>E9QPP2; Q60618; Q61853; Q80U94</t>
  </si>
  <si>
    <t>MGI:105376</t>
  </si>
  <si>
    <t>Cell membrane; Disulfide bond; EGF-like domain; Glycoprotein; Hydrolase; Membrane; Metal-binding; Metalloprotease; Phosphoprotein; Protease; Signal; Transmembrane; Transmembrane helix; Zinc; Zymogen</t>
  </si>
  <si>
    <t>EGF-like domain; Signal; Transmembrane; Transmembrane helix</t>
  </si>
  <si>
    <t>Disulfide bond; Glycoprotein; Phosphoprotein; Zymogen</t>
  </si>
  <si>
    <t>amyloid precursor protein catabolic process {GO:0042987}; cell adhesion {GO:0007155}; cell adhesion mediated by integrin {GO:0033627}; cell migration {GO:0016477}; cell-cell adhesion mediated by integrin {GO:0033631}; cell-matrix adhesion {GO:0007160}; cellular response to lipopolysaccharide {GO:0071222}; membrane protein ectodomain proteolysis {GO:0006509}; membrane protein intracellular domain proteolysis {GO:0031293}; monocyte activation {GO:0042117}; positive regulation of cell adhesion mediated by integrin {GO:0033630}; positive regulation of cell migration {GO:0030335}; positive regulation of keratinocyte migration {GO:0051549}; positive regulation of macrophage fusion {GO:0034241}; positive regulation of MAP kinase activity {GO:0043406}; positive regulation of membrane protein ectodomain proteolysis {GO:0051044}; positive regulation of protein secretion {GO:0050714}; protein processing {GO:0016485}; response to calcium ion {GO:0051592}; response to glucocorticoid {GO:0051384}; response to hydrogen peroxide {GO:0042542}; response to manganese ion {GO:0010042}; response to tumor necrosis factor {GO:0034612}; transforming growth factor beta receptor signaling pathway {GO:0007179}</t>
  </si>
  <si>
    <t>basolateral plasma membrane {GO:0016323}; cell surface {GO:0009986}; cytoplasm {GO:0005737}; extracellular space {GO:0005615}; integral component of membrane {GO:0016021}; intrinsic component of external side of plasma membrane {GO:0031233}; plasma membrane {GO:0005886}</t>
  </si>
  <si>
    <t>collagen binding {GO:0005518}; integrin binding {GO:0005178}; laminin binding {GO:0043236}; metal ion binding {GO:0046872}; metalloendopeptidase activity {GO:0004222}; metalloendopeptidase activity involved in amyloid precursor protein catabolic process {GO:1902945}; metallopeptidase activity {GO:0008237}; protein kinase C binding {GO:0005080}; SH3 domain binding {GO:0017124}</t>
  </si>
  <si>
    <t>sp|Q8R332|NUP58_MOUSE</t>
  </si>
  <si>
    <t>Nucleoporin p58/p45</t>
  </si>
  <si>
    <t>58 kDa nucleoporin; Nucleoporin-like protein 1</t>
  </si>
  <si>
    <t>NUP58_MOUSE</t>
  </si>
  <si>
    <t>Q8R332</t>
  </si>
  <si>
    <t>Q3UJF4; Q8BUA7; Q8BVG7; Q8C0W3</t>
  </si>
  <si>
    <t>Nupl1</t>
  </si>
  <si>
    <t>MGI:1919094</t>
  </si>
  <si>
    <t>Alternative splicing; Coiled coil; Glycoprotein; Membrane; mRNA transport; Nuclear pore complex; Nucleus; Phosphoprotein; Protein transport; Repeat; Translocation; Transport</t>
  </si>
  <si>
    <t>mRNA transport {GO:0051028}; nucleocytoplasmic transport {GO:0006913}; protein transport {GO:0015031}; regulation of protein import into nucleus {GO:0042306}</t>
  </si>
  <si>
    <t>nuclear envelope {GO:0005635}; nuclear membrane {GO:0031965}; nuclear pore {GO:0005643}; protein-containing complex {GO:0032991}</t>
  </si>
  <si>
    <t>identical protein binding {GO:0042802}; nuclear localization sequence binding {GO:0008139}; protein-containing complex binding {GO:0044877}; structural constituent of nuclear pore {GO:0017056}</t>
  </si>
  <si>
    <t>sp|Q60710|SAMH1_MOUSE</t>
  </si>
  <si>
    <t>Deoxynucleoside triphosphate triphosphohydrolase SAMHD1 (dNTPase)</t>
  </si>
  <si>
    <t>Interferon-gamma-inducible protein Mg11; SAM domain and HD domain-containing protein 1 (mSAMHD1)</t>
  </si>
  <si>
    <t>SAMH1_MOUSE</t>
  </si>
  <si>
    <t>Q60710</t>
  </si>
  <si>
    <t>E9Q0K6; F8WJE0; Q3U5X2; Q543A4; Q91VK8</t>
  </si>
  <si>
    <t>MGI:1927468</t>
  </si>
  <si>
    <t>3D-structure; Allosteric enzyme; Alternative splicing; Antiviral defense; Chromosome; DNA damage; DNA repair; DNA replication; GTP-binding; Hydrolase; Immunity; Innate immunity; Isopeptide bond; Metal-binding; Nucleotide-binding; Nucleus; Phosphoprotein; Ubl conjugation; Zinc</t>
  </si>
  <si>
    <t>Antiviral defense; DNA damage; DNA repair; DNA replication; Immunity; Innate immunity</t>
  </si>
  <si>
    <t>GTP-binding; Metal-binding; Nucleotide-binding; Zinc</t>
  </si>
  <si>
    <t>Allosteric enzyme; Hydrolase</t>
  </si>
  <si>
    <t>cellular response to DNA damage stimulus {GO:0006974}; dATP catabolic process {GO:0046061}; defense response to virus {GO:0051607}; deoxyribonucleotide catabolic process {GO:0009264}; dGTP catabolic process {GO:0006203}; DNA strand resection involved in replication fork processing {GO:0110025}; double-strand break repair via homologous recombination {GO:0000724}; innate immune response {GO:0045087}; negative regulation of type I interferon-mediated signaling pathway {GO:0060339}; protein homotetramerization {GO:0051289}; regulation of innate immune response {GO:0045088}; somatic hypermutation of immunoglobulin genes {GO:0016446}</t>
  </si>
  <si>
    <t>nucleoplasm {GO:0005654}; nucleus {GO:0005634}; plasma membrane {GO:0005886}; site of double-strand break {GO:0035861}; tetraspanin-enriched microdomain {GO:0097197}</t>
  </si>
  <si>
    <t>deoxynucleoside triphosphate hydrolase activity {GO:0106375}; dGTP binding {GO:0032567}; dGTPase activity {GO:0008832}; GTP binding {GO:0005525}; identical protein binding {GO:0042802}; nucleic acid binding {GO:0003676}; ribonuclease activity {GO:0004540}; RNA binding {GO:0003723}; single-stranded DNA binding {GO:0003697}; triphosphoric monoester hydrolase activity {GO:0016793}; zinc ion binding {GO:0008270}</t>
  </si>
  <si>
    <t>Nucleotide catabolism {R-MMU-8956319}</t>
  </si>
  <si>
    <t>sp|O08808|DIAP1_MOUSE</t>
  </si>
  <si>
    <t>Protein diaphanous homolog 1</t>
  </si>
  <si>
    <t>Diaphanous-related formin-1 (DRF1); p140mDIA (mDIA1)</t>
  </si>
  <si>
    <t>DIAP1_MOUSE</t>
  </si>
  <si>
    <t>O08808</t>
  </si>
  <si>
    <t>Diap1</t>
  </si>
  <si>
    <t>MGI:1194490</t>
  </si>
  <si>
    <t>3D-structure; Acetylation; Actin-binding; Cell membrane; Cell projection; Coiled coil; Cytoplasm; Cytoskeleton; Hearing; Membrane; Nucleus; Phosphoprotein; Repeat</t>
  </si>
  <si>
    <t>actin cytoskeleton organization {GO:0030036}; actin filament polymerization {GO:0030041}; brain development {GO:0007420}; cellular response to histamine {GO:0071420}; cytoskeleton organization {GO:0007010}; neuron projection development {GO:0031175}; positive regulation of cell migration {GO:0030335}; protein localization to microtubule {GO:0035372}; regulation of cell shape {GO:0008360}; regulation of cytoskeleton organization {GO:0051493}; regulation of microtubule-based process {GO:0032886}; regulation of release of sequestered calcium ion into cytosol {GO:0051279}; sensory perception of sound {GO:0007605}</t>
  </si>
  <si>
    <t>actin filament {GO:0005884}; brush border {GO:0005903}; cytoplasm {GO:0005737}; microtubule organizing center {GO:0005815}; mitotic spindle {GO:0072686}; neuron projection {GO:0043005}; nucleus {GO:0005634}; ruffle membrane {GO:0032587}</t>
  </si>
  <si>
    <t>actin binding {GO:0003779}; identical protein binding {GO:0042802}; profilin binding {GO:0005522}; small GTPase binding {GO:0031267}; transmembrane transporter binding {GO:0044325}</t>
  </si>
  <si>
    <t>RHO GTPases Activate Formins {R-MMU-5663220}; ERBB2 Regulates Cell Motility {R-MMU-6785631}; Neutrophil degranulation {R-MMU-6798695}; RHOA GTPase cycle {R-MMU-8980692}; RHOB GTPase cycle {R-MMU-9013026}; RHOC GTPase cycle {R-MMU-9013106}; RHOD GTPase cycle {R-MMU-9013405}; RHOF GTPase cycle {R-MMU-9035034}</t>
  </si>
  <si>
    <t>sp|Q8K2L8|TPC12_MOUSE</t>
  </si>
  <si>
    <t>Trafficking protein particle complex subunit 12</t>
  </si>
  <si>
    <t>Tetratricopeptide repeat protein 15 (TPR repeat protein 15)</t>
  </si>
  <si>
    <t>TPC12_MOUSE</t>
  </si>
  <si>
    <t>Q8K2L8</t>
  </si>
  <si>
    <t>E9QLQ6; Q8BX27</t>
  </si>
  <si>
    <t>MGI:2445089</t>
  </si>
  <si>
    <t>ER-Golgi transport; Nucleus; Phosphoprotein; Repeat; TPR repeat; Transport</t>
  </si>
  <si>
    <t>COPII vesicle coating {GO:0048208}; endoplasmic reticulum to Golgi vesicle-mediated transport {GO:0006888}; Golgi organization {GO:0007030}; metaphase plate congression {GO:0051310}; positive regulation of protein localization to kinetochore {GO:1905342}; regulation of kinetochore assembly {GO:0090234}; vesicle tethering {GO:0099022}</t>
  </si>
  <si>
    <t>cytoplasm {GO:0005737}; endoplasmic reticulum-Golgi intermediate compartment {GO:0005793}; Golgi apparatus {GO:0005794}; kinetochore {GO:0000776}; nucleoplasm {GO:0005654}; nucleus {GO:0005634}; perinuclear region of cytoplasm {GO:0048471}; TRAPP complex {GO:0030008}; TRAPPIII protein complex {GO:1990072}</t>
  </si>
  <si>
    <t>sp|Q9CWK3|CD2B2_MOUSE</t>
  </si>
  <si>
    <t>CD2 antigen cytoplasmic tail-binding protein 2 (CD2 cytoplasmic domain-binding protein 2; CD2 tail-binding protein 2)</t>
  </si>
  <si>
    <t>CD2B2_MOUSE</t>
  </si>
  <si>
    <t>Q9CWK3</t>
  </si>
  <si>
    <t>Q3TJX5</t>
  </si>
  <si>
    <t>MGI:1917483</t>
  </si>
  <si>
    <t>Acetylation; Cytoplasm; Isopeptide bond; mRNA processing; mRNA splicing; Nucleus; Phosphoprotein; Ubl conjugation</t>
  </si>
  <si>
    <t>cytosol {GO:0005829}; fibrillar center {GO:0001650}; nuclear speck {GO:0016607}; nucleoplasm {GO:0005654}; nucleus {GO:0005634}; U5 snRNP {GO:0005682}</t>
  </si>
  <si>
    <t>sp|Q9R0M6|RAB9A_MOUSE</t>
  </si>
  <si>
    <t>Ras-related protein Rab-9A</t>
  </si>
  <si>
    <t>Sid 99</t>
  </si>
  <si>
    <t>RAB9A_MOUSE</t>
  </si>
  <si>
    <t>Q9R0M6</t>
  </si>
  <si>
    <t>Rab9; Sid99</t>
  </si>
  <si>
    <t>MGI:1890695</t>
  </si>
  <si>
    <t>3D-structure; Acetylation; Cell membrane; Cytoplasmic vesicle; Endoplasmic reticulum; Endosome; Golgi apparatus; GTP-binding; Lipoprotein; Membrane; Nucleotide-binding; Phosphoprotein; Prenylation; Protein transport; Transport</t>
  </si>
  <si>
    <t>Cell membrane; Cytoplasmic vesicle; Endoplasmic reticulum; Endosome; Golgi apparatus; Membrane</t>
  </si>
  <si>
    <t>negative regulation by host of symbiont catalytic activity {GO:0052403}; positive regulation of exocytosis {GO:0045921}; protein transport {GO:0015031}; Rab protein signal transduction {GO:0032482}; regulation of protein localization {GO:0032880}; retrograde transport, endosome to Golgi {GO:0042147}</t>
  </si>
  <si>
    <t>cytoplasmic vesicle membrane {GO:0030659}; cytosol {GO:0005829}; endoplasmic reticulum membrane {GO:0005789}; Golgi membrane {GO:0000139}; late endosome {GO:0005770}; lysosome {GO:0005764}; melanosome {GO:0042470}; phagocytic vesicle {GO:0045335}; phagocytic vesicle membrane {GO:0030670}; plasma membrane {GO:0005886}</t>
  </si>
  <si>
    <t>GDP binding {GO:0019003}; GTP binding {GO:0005525}; GTPase activity {GO:0003924}; identical protein binding {GO:0042802}</t>
  </si>
  <si>
    <t>Retrograde transport at the Trans-Golgi-Network {R-MMU-6811440}; RAB geranylgeranylation {R-MMU-8873719}; RAB GEFs exchange GTP for GDP on RABs {R-MMU-8876198}; RHOBTB3 ATPase cycle {R-MMU-9706019}</t>
  </si>
  <si>
    <t>sp|Q9CZX9|EMC4_MOUSE</t>
  </si>
  <si>
    <t>ER membrane protein complex subunit 4</t>
  </si>
  <si>
    <t>Transmembrane protein 85</t>
  </si>
  <si>
    <t>EMC4_MOUSE</t>
  </si>
  <si>
    <t>Q9CZX9</t>
  </si>
  <si>
    <t>A2AGJ7; Q9D1D9</t>
  </si>
  <si>
    <t>Tmem85</t>
  </si>
  <si>
    <t>MGI:1915282</t>
  </si>
  <si>
    <t>Acetylation; Apoptosis; Endoplasmic reticulum; Membrane; Phosphoprotein; Transmembrane; Transmembrane helix</t>
  </si>
  <si>
    <t>apoptotic process {GO:0006915}; protein insertion into ER membrane by stop-transfer membrane-anchor sequence {GO:0045050}; tail-anchored membrane protein insertion into ER membrane {GO:0071816}</t>
  </si>
  <si>
    <t>sp|Q922B1|MACD1_MOUSE</t>
  </si>
  <si>
    <t>ADP-ribose glycohydrolase MACROD1</t>
  </si>
  <si>
    <t>MACRO domain-containing protein 1; O-acetyl-ADP-ribose deacetylase MACROD1; Protein LRP16; [Protein ADP-ribosylaspartate] hydrolase MACROD1; [Protein ADP-ribosylglutamate] hydrolase MACROD1</t>
  </si>
  <si>
    <t>MACD1_MOUSE</t>
  </si>
  <si>
    <t>Q922B1</t>
  </si>
  <si>
    <t>Lrp16</t>
  </si>
  <si>
    <t>MGI:2147583</t>
  </si>
  <si>
    <t>Acetylation; DNA damage; Hydrolase; Isopeptide bond; Nucleus; Ubl conjugation</t>
  </si>
  <si>
    <t>cellular response to DNA damage stimulus {GO:0006974}; peptidyl-glutamate ADP-deribosylation {GO:0140291}; protein de-ADP-ribosylation {GO:0051725}; purine nucleoside metabolic process {GO:0042278}</t>
  </si>
  <si>
    <t>mitochondrion {GO:0005739}; nucleoplasm {GO:0005654}; nucleus {GO:0005634}</t>
  </si>
  <si>
    <t>ADP-ribosylglutamate hydrolase activity {GO:0140293}; deacetylase activity {GO:0019213}; hydrolase activity, acting on glycosyl bonds {GO:0016798}</t>
  </si>
  <si>
    <t>sp|Q9EP53|TSC1_MOUSE</t>
  </si>
  <si>
    <t>Hamartin</t>
  </si>
  <si>
    <t>Tuberous sclerosis 1 protein homolog</t>
  </si>
  <si>
    <t>TSC1_MOUSE</t>
  </si>
  <si>
    <t>Q9EP53</t>
  </si>
  <si>
    <t>A2AHW1; Q3UHF2; Q7TS92; Q80U55; Q924U7</t>
  </si>
  <si>
    <t>Kiaa0243</t>
  </si>
  <si>
    <t>MGI:1929183</t>
  </si>
  <si>
    <t>Alternative splicing; Chaperone; Coiled coil; Cytoplasm; Membrane; Phosphoprotein; Tumor suppressor</t>
  </si>
  <si>
    <t>activation of GTPase activity {GO:0090630}; adaptive immune response {GO:0002250}; adult locomotory behavior {GO:0008344}; associative learning {GO:0008306}; cardiac muscle cell differentiation {GO:0055007}; cell population proliferation {GO:0008283}; cell projection organization {GO:0030030}; cell-matrix adhesion {GO:0007160}; cellular response to oxygen-glucose deprivation {GO:0090650}; cerebral cortex development {GO:0021987}; glucose import {GO:0046323}; hippocampus development {GO:0021766}; kidney development {GO:0001822}; memory T cell differentiation {GO:0043379}; myelination {GO:0042552}; negative regulation of ATP-dependent activity {GO:0032780}; negative regulation of cell population proliferation {GO:0008285}; negative regulation of cell size {GO:0045792}; negative regulation of GTPase activity {GO:0034260}; negative regulation of macroautophagy {GO:0016242}; negative regulation of neuron projection development {GO:0010977}; negative regulation of oxidative stress-induced neuron death {GO:1903204}; negative regulation of TOR signaling {GO:0032007}; negative regulation of translation {GO:0017148}; nervous system development {GO:0007399}; neural tube closure {GO:0001843}; positive regulation of focal adhesion assembly {GO:0051894}; positive regulation of macroautophagy {GO:0016239}; positive regulation of stress fiber assembly {GO:0051496}; potassium ion transport {GO:0006813}; protein stabilization {GO:0050821}; regulation of cell cycle {GO:0051726}; regulation of cell-matrix adhesion {GO:0001952}; regulation of focal adhesion assembly {GO:0051893}; regulation of neuron death {GO:1901214}; regulation of phosphoprotein phosphatase activity {GO:0043666}; regulation of protein kinase activity {GO:0045859}; regulation of stress fiber assembly {GO:0051492}; regulation of translation {GO:0006417}; response to insulin {GO:0032868}; rRNA export from nucleus {GO:0006407}; synapse organization {GO:0050808}</t>
  </si>
  <si>
    <t>actin filament {GO:0005884}; cell cortex {GO:0005938}; cell projection {GO:0042995}; chaperone complex {GO:0101031}; cytoplasm {GO:0005737}; cytoskeleton {GO:0005856}; cytosol {GO:0005829}; growth cone {GO:0030426}; intracellular membrane-bounded organelle {GO:0043231}; lamellipodium {GO:0030027}; lipid droplet {GO:0005811}; membrane {GO:0016020}; nucleus {GO:0005634}; perinuclear region of cytoplasm {GO:0048471}; postsynaptic density {GO:0014069}; protein-containing complex {GO:0032991}; TSC1-TSC2 complex {GO:0033596}</t>
  </si>
  <si>
    <t>ATPase inhibitor activity {GO:0042030}; chaperone binding {GO:0051087}; GTPase activating protein binding {GO:0032794}; Hsp70 protein binding {GO:0030544}; Hsp90 protein binding {GO:0051879}; protein N-terminus binding {GO:0047485}; protein-containing complex binding {GO:0044877}</t>
  </si>
  <si>
    <t>Macroautophagy {R-MMU-1632852}; Inhibition of TSC complex formation by PKB {R-MMU-165181}; Energy dependent regulation of mTOR by LKB1-AMPK {R-MMU-380972}; TP53 Regulates Metabolic Genes {R-MMU-5628897}; TBC/RABGAPs {R-MMU-8854214}</t>
  </si>
  <si>
    <t>sp|Q8R1U1|COG4_MOUSE</t>
  </si>
  <si>
    <t>Conserved oligomeric Golgi complex subunit 4 (COG complex subunit 4)</t>
  </si>
  <si>
    <t>Component of oligomeric Golgi complex 4</t>
  </si>
  <si>
    <t>COG4_MOUSE</t>
  </si>
  <si>
    <t>Q8R1U1</t>
  </si>
  <si>
    <t>Q3T9K1</t>
  </si>
  <si>
    <t>MGI:2142808</t>
  </si>
  <si>
    <t>Acetylation; Cytoplasm; Golgi apparatus; Membrane; Phosphoprotein; Protein transport; Transport</t>
  </si>
  <si>
    <t>glycosylation {GO:0070085}; Golgi organization {GO:0007030}; Golgi vesicle prefusion complex stabilization {GO:0048213}; protein transport {GO:0015031}; retrograde transport, vesicle recycling within Golgi {GO:0000301}; retrograde vesicle-mediated transport, Golgi to endoplasmic reticulum {GO:0006890}</t>
  </si>
  <si>
    <t>cytosol {GO:0005829}; Golgi membrane {GO:0000139}; Golgi transport complex {GO:0017119}</t>
  </si>
  <si>
    <t>sp|Q8K2I1|FNTB_MOUSE</t>
  </si>
  <si>
    <t>Protein farnesyltransferase subunit beta (FTase-beta)</t>
  </si>
  <si>
    <t>CAAX farnesyltransferase subunit beta; Ras proteins prenyltransferase subunit beta</t>
  </si>
  <si>
    <t>FNTB_MOUSE</t>
  </si>
  <si>
    <t>Q8K2I1</t>
  </si>
  <si>
    <t>MGI:1861305</t>
  </si>
  <si>
    <t>3D-structure; Lipid metabolism; Metal-binding; Phosphoprotein; Prenyltransferase; Repeat; Transferase; Zinc</t>
  </si>
  <si>
    <t>cell population proliferation {GO:0008283}; fibroblast proliferation {GO:0048144}; lipid metabolic process {GO:0006629}; negative regulation of cell population proliferation {GO:0008285}; positive regulation of cell cycle {GO:0045787}; positive regulation of cell population proliferation {GO:0008284}; positive regulation of fibroblast proliferation {GO:0048146}; positive regulation of nitric-oxide synthase biosynthetic process {GO:0051770}; protein farnesylation {GO:0018343}; protein prenylation {GO:0018342}; regulation of fibroblast proliferation {GO:0048145}; response to cytokine {GO:0034097}; response to inorganic substance {GO:0010035}; response to organic cyclic compound {GO:0014070}; wound healing {GO:0042060}</t>
  </si>
  <si>
    <t>microtubule associated complex {GO:0005875}; protein farnesyltransferase complex {GO:0005965}</t>
  </si>
  <si>
    <t>farnesyltranstransferase activity {GO:0004311}; peptide binding {GO:0042277}; protein farnesyltransferase activity {GO:0004660}; zinc ion binding {GO:0008270}</t>
  </si>
  <si>
    <t>Inactivation, recovery and regulation of the phototransduction cascade {R-MMU-2514859}; RAS processing {R-MMU-9648002}</t>
  </si>
  <si>
    <t>sp|Q3TC93|H1BP3_MOUSE</t>
  </si>
  <si>
    <t>HCLS1-binding protein 3</t>
  </si>
  <si>
    <t>HS1-binding protein 3 (HSP1BP-3)</t>
  </si>
  <si>
    <t>H1BP3_MOUSE</t>
  </si>
  <si>
    <t>Q3TC93</t>
  </si>
  <si>
    <t>E9QLQ4; Q9Z1K1</t>
  </si>
  <si>
    <t>MGI:1913224</t>
  </si>
  <si>
    <t>cell surface receptor signaling pathway {GO:0007166}; regulation of apoptotic process {GO:0042981}; T cell differentiation {GO:0030217}</t>
  </si>
  <si>
    <t>phosphatidylinositol binding {GO:0035091}</t>
  </si>
  <si>
    <t>sp|Q80U95|UBE3C_MOUSE</t>
  </si>
  <si>
    <t>Ubiquitin-protein ligase E3C</t>
  </si>
  <si>
    <t>HECT-type ubiquitin transferase E3C; RTA-associated ubiquitin ligase (RAUL)</t>
  </si>
  <si>
    <t>UBE3C_MOUSE</t>
  </si>
  <si>
    <t>Q80U95</t>
  </si>
  <si>
    <t>Q0VB95; Q8BQZ6; Q8C7W6; Q8CDJ1; Q8VDL5</t>
  </si>
  <si>
    <t>MGI:2140998</t>
  </si>
  <si>
    <t>Isopeptide bond; Transferase; Ubl conjugation; Ubl conjugation pathway</t>
  </si>
  <si>
    <t>protein K29-linked ubiquitination {GO:0035519}; protein K48-linked ubiquitination {GO:0070936}; protein polyubiquitination {GO:0000209}; ubiquitin-dependent protein catabolic process {GO:0006511}</t>
  </si>
  <si>
    <t>ubiquitin protein ligase activity {GO:0061630}</t>
  </si>
  <si>
    <t>sp|Q9D2N4|DTNA_MOUSE</t>
  </si>
  <si>
    <t>Dystrobrevin alpha (DTN-A)</t>
  </si>
  <si>
    <t>Alpha-dystrobrevin</t>
  </si>
  <si>
    <t>DTNA_MOUSE</t>
  </si>
  <si>
    <t>Q9D2N4</t>
  </si>
  <si>
    <t>P97319; Q61498; Q61499; Q9QZZ5; Q9WUL9; Q9WUM0</t>
  </si>
  <si>
    <t>Dtn</t>
  </si>
  <si>
    <t>MGI:106039</t>
  </si>
  <si>
    <t>Alternative splicing; Cell membrane; Coiled coil; Cytoplasm; Membrane; Metal-binding; Phosphoprotein; Synapse; Zinc; Zinc-finger</t>
  </si>
  <si>
    <t>Cell membrane; Cytoplasm; Membrane; Synapse</t>
  </si>
  <si>
    <t>synaptic signaling {GO:0099536}</t>
  </si>
  <si>
    <t>anchoring junction {GO:0070161}; axon {GO:0030424}; cell junction {GO:0030054}; cell projection {GO:0042995}; cytoplasm {GO:0005737}; dystrobrevin complex {GO:0016014}; extrinsic component of cytoplasmic side of plasma membrane {GO:0031234}; intermediate filament cytoskeleton {GO:0045111}; nucleoplasm {GO:0005654}; plasma membrane {GO:0005886}; protein-containing complex {GO:0032991}; sarcolemma {GO:0042383}; synapse {GO:0045202}</t>
  </si>
  <si>
    <t>PDZ domain binding {GO:0030165}; phosphatase binding {GO:0019902}; zinc ion binding {GO:0008270}</t>
  </si>
  <si>
    <t>sp|Q9JHP7|PLGT2_MOUSE</t>
  </si>
  <si>
    <t>Protein O-glucosyltransferase 2</t>
  </si>
  <si>
    <t>Endoplasmic reticulum resident protein 58 (ER protein 58; ERp58); KDEL motif-containing protein 1; Protein O-xylosyltransferase POGLUT2</t>
  </si>
  <si>
    <t>PLGT2_MOUSE</t>
  </si>
  <si>
    <t>Q9JHP7</t>
  </si>
  <si>
    <t>Q8BPU6; Q8C528; Q8R591; Q9D8P1</t>
  </si>
  <si>
    <t>Ep58; Kdelc1</t>
  </si>
  <si>
    <t>MGI:1919300</t>
  </si>
  <si>
    <t>Alternative splicing; Endoplasmic reticulum; Glycoprotein; Glycosyltransferase; Signal; Transferase</t>
  </si>
  <si>
    <t>protein O-linked glycosylation via serine {GO:0018242}</t>
  </si>
  <si>
    <t>cytosol {GO:0005829}; endomembrane system {GO:0012505}; endoplasmic reticulum lumen {GO:0005788}; nucleoplasm {GO:0005654}</t>
  </si>
  <si>
    <t>sp|Q9WUQ2|PREB_MOUSE</t>
  </si>
  <si>
    <t>Prolactin regulatory element-binding protein</t>
  </si>
  <si>
    <t>Mammalian guanine nucleotide exchange factor mSec12</t>
  </si>
  <si>
    <t>PREB_MOUSE</t>
  </si>
  <si>
    <t>Q9WUQ2</t>
  </si>
  <si>
    <t>Q9QZ99</t>
  </si>
  <si>
    <t>Sec12</t>
  </si>
  <si>
    <t>MGI:1355326</t>
  </si>
  <si>
    <t>Activator; DNA-binding; Endoplasmic reticulum; ER-Golgi transport; Membrane; Nitration; Nucleus; Protein transport; Repeat; Transcription; Transcription regulation; Transmembrane; Transmembrane helix; Transport; WD repeat</t>
  </si>
  <si>
    <t>ER-Golgi transport; Protein transport; Transcription; Transcription regulation; Transport</t>
  </si>
  <si>
    <t>Repeat; Transmembrane; Transmembrane helix; WD repeat</t>
  </si>
  <si>
    <t>COPII vesicle coating {GO:0048208}; endoplasmic reticulum to Golgi vesicle-mediated transport {GO:0006888}; positive regulation of transcription by RNA polymerase II {GO:0045944}; protein exit from endoplasmic reticulum {GO:0032527}; protein secretion {GO:0009306}; regulation of COPII vesicle coating {GO:0003400}</t>
  </si>
  <si>
    <t>endoplasmic reticulum exit site {GO:0070971}; integral component of endoplasmic reticulum membrane {GO:0030176}; nucleus {GO:0005634}</t>
  </si>
  <si>
    <t>DNA-binding transcription factor activity {GO:0003700}; GTPase activator activity {GO:0005096}; GTPase binding {GO:0051020}; guanyl-nucleotide exchange factor activity {GO:0005085}; RNA polymerase II cis-regulatory region sequence-specific DNA binding {GO:0000978}</t>
  </si>
  <si>
    <t>sp|P97493|THIOM_MOUSE</t>
  </si>
  <si>
    <t>Thioredoxin, mitochondrial (MTRX; Mt-Trx)</t>
  </si>
  <si>
    <t>Thioredoxin-2</t>
  </si>
  <si>
    <t>THIOM_MOUSE</t>
  </si>
  <si>
    <t>P97493</t>
  </si>
  <si>
    <t>A2A440; Q545D5</t>
  </si>
  <si>
    <t>MGI:1929468</t>
  </si>
  <si>
    <t>Acetylation; Disulfide bond; Electron transport; Mitochondrion; Redox-active center; Transit peptide; Transport</t>
  </si>
  <si>
    <t>cell redox homeostasis {GO:0045454}; cellular response to nutrient levels {GO:0031669}; response to axon injury {GO:0048678}; response to glucose {GO:0009749}; response to hormone {GO:0009725}; response to hypoxia {GO:0001666}; response to organic cyclic compound {GO:0014070}; response to oxidative stress {GO:0006979}; response to xenobiotic stimulus {GO:0009410}</t>
  </si>
  <si>
    <t>dendrite {GO:0030425}; mitochondrion {GO:0005739}; neuronal cell body {GO:0043025}; nucleolus {GO:0005730}</t>
  </si>
  <si>
    <t>peptide-methionine (R)-S-oxide reductase activity {GO:0033743}; peptide-methionine (S)-S-oxide reductase activity {GO:0008113}; protein-containing complex binding {GO:0044877}; protein-disulfide reductase activity {GO:0015035}</t>
  </si>
  <si>
    <t>Degradation of cysteine and homocysteine {R-MMU-1614558}; Detoxification of Reactive Oxygen Species {R-MMU-3299685}</t>
  </si>
  <si>
    <t>sp|Q5I012|S38AA_MOUSE</t>
  </si>
  <si>
    <t>Putative sodium-coupled neutral amino acid transporter 10</t>
  </si>
  <si>
    <t>Solute carrier family 38 member 10</t>
  </si>
  <si>
    <t>S38AA_MOUSE</t>
  </si>
  <si>
    <t>Q5I012</t>
  </si>
  <si>
    <t>A2AMZ5; Q3TVW4; Q641M1; Q80ZZ4; Q8C1Y0; Q8CCR5; Q9D8J3</t>
  </si>
  <si>
    <t>MGI:1919305</t>
  </si>
  <si>
    <t>Alternative splicing; Amino-acid transport; Ion transport; Membrane; Phosphoprotein; Sodium; Sodium transport; Transmembrane; Transmembrane helix; Transport</t>
  </si>
  <si>
    <t>Amino-acid transport; Ion transport; Sodium transport; Transport</t>
  </si>
  <si>
    <t>amino acid transmembrane transport {GO:0003333}; bone development {GO:0060348}; sodium ion transport {GO:0006814}</t>
  </si>
  <si>
    <t>L-amino acid transmembrane transporter activity {GO:0015179}</t>
  </si>
  <si>
    <t>sp|Q6ZPZ3|ZC3H4_MOUSE</t>
  </si>
  <si>
    <t>Zinc finger CCCH domain-containing protein 4</t>
  </si>
  <si>
    <t>ZC3H4_MOUSE</t>
  </si>
  <si>
    <t>Q6ZPZ3</t>
  </si>
  <si>
    <t>MGI:2682314</t>
  </si>
  <si>
    <t>Alternative splicing; Chromosome; Coiled coil; Metal-binding; Methylation; Phosphoprotein; Repeat; RNA-binding; Transcription; Transcription regulation; Transcription termination; Zinc; Zinc-finger</t>
  </si>
  <si>
    <t>DNA-templated transcription termination {GO:0006353}; lncRNA catabolic process {GO:0110064}; negative regulation of DNA-templated transcription, elongation {GO:0032785}; negative regulation of lncRNA transcription {GO:0140744}; nuclear RNA surveillance {GO:0071027}</t>
  </si>
  <si>
    <t>chromatin binding {GO:0003682}; metal ion binding {GO:0046872}; promoter-specific chromatin binding {GO:1990841}; RNA binding {GO:0003723}</t>
  </si>
  <si>
    <t>sp|Q9D6K8|FUND2_MOUSE</t>
  </si>
  <si>
    <t>FUN14 domain-containing protein 2</t>
  </si>
  <si>
    <t>Hepatitis C virus core-binding protein 6</t>
  </si>
  <si>
    <t>FUND2_MOUSE</t>
  </si>
  <si>
    <t>Q9D6K8</t>
  </si>
  <si>
    <t>Q80VT2; Q80YD9; Q8BSM8; Q9D617</t>
  </si>
  <si>
    <t>Hcbp6</t>
  </si>
  <si>
    <t>MGI:1914641</t>
  </si>
  <si>
    <t>Membrane; Mitochondrion; Mitochondrion outer membrane; Nucleus; Phosphoprotein; Transcription; Transcription regulation; Transmembrane; Transmembrane helix</t>
  </si>
  <si>
    <t>Membrane; Mitochondrion; Mitochondrion outer membrane; Nucleus</t>
  </si>
  <si>
    <t>autophagy of mitochondrion {GO:0000422}; cellular triglyceride homeostasis {GO:0035356}; regulation of platelet activation {GO:0010543}</t>
  </si>
  <si>
    <t>integral component of mitochondrial outer membrane {GO:0031307}; mitochondrion {GO:0005739}; nucleus {GO:0005634}</t>
  </si>
  <si>
    <t>phosphatidylinositol-3,4,5-trisphosphate binding {GO:0005547}</t>
  </si>
  <si>
    <t>sp|Q99LG0|UBP16_MOUSE</t>
  </si>
  <si>
    <t>Ubiquitin carboxyl-terminal hydrolase 16</t>
  </si>
  <si>
    <t>Deubiquitinating enzyme 16; Ubiquitin thioesterase 16; Ubiquitin-specific-processing protease 16</t>
  </si>
  <si>
    <t>UBP16_MOUSE</t>
  </si>
  <si>
    <t>Q99LG0</t>
  </si>
  <si>
    <t>G5E860; Q99KM0</t>
  </si>
  <si>
    <t>MGI:1921362</t>
  </si>
  <si>
    <t>Activator; Cell cycle; Cell division; Chromatin regulator; Hydrolase; Isopeptide bond; Metal-binding; Mitosis; Nucleus; Phosphoprotein; Protease; Thiol protease; Transcription; Transcription regulation; Ubl conjugation; Ubl conjugation pathway; Zinc; Zinc-finger</t>
  </si>
  <si>
    <t>Cell cycle; Cell division; Mitosis; Transcription; Transcription regulation; Ubl conjugation pathway</t>
  </si>
  <si>
    <t>Activator; Chromatin regulator; Hydrolase; Protease; Thiol protease</t>
  </si>
  <si>
    <t>cell division {GO:0051301}; cellular response to DNA damage stimulus {GO:0006974}; chromatin organization {GO:0006325}; histone deubiquitination {GO:0016578}; histone H2A K63-linked deubiquitination {GO:0070537}; mitotic cell cycle {GO:0000278}; mitotic nuclear division {GO:0140014}; monoubiquitinated histone H2A deubiquitination {GO:0035522}; positive regulation of DNA-templated transcription {GO:0045893}; positive regulation of transcription by RNA polymerase II {GO:0045944}; positive regulation of translational elongation {GO:0045901}; protein homotetramerization {GO:0051289}; regulation of cell cycle {GO:0051726}; regulation of transcription by RNA polymerase II {GO:0006357}; ubiquitin-dependent protein catabolic process {GO:0006511}</t>
  </si>
  <si>
    <t>cysteine-type deubiquitinase activity {GO:0004843}; cysteine-type endopeptidase activity {GO:0004197}; histone binding {GO:0042393}; transcription coactivator activity {GO:0003713}; ubiquitin binding {GO:0043130}; zinc ion binding {GO:0008270}</t>
  </si>
  <si>
    <t>sp|Q9WUZ7|SH3BG_MOUSE</t>
  </si>
  <si>
    <t>SH3 domain-binding glutamic acid-rich protein (SH3BGR protein)</t>
  </si>
  <si>
    <t>SH3BG_MOUSE</t>
  </si>
  <si>
    <t>Q9WUZ7</t>
  </si>
  <si>
    <t>MGI:1354740</t>
  </si>
  <si>
    <t>sp|P58854|GCP3_MOUSE</t>
  </si>
  <si>
    <t>Gamma-tubulin complex component 3 (GCP-3)</t>
  </si>
  <si>
    <t>GCP3_MOUSE</t>
  </si>
  <si>
    <t>P58854</t>
  </si>
  <si>
    <t>Q6PDQ9</t>
  </si>
  <si>
    <t>Gcp3</t>
  </si>
  <si>
    <t>MGI:2183752</t>
  </si>
  <si>
    <t>Acetylation; Cytoplasm; Cytoskeleton; Microtubule; Phosphoprotein</t>
  </si>
  <si>
    <t>cytoplasmic microtubule organization {GO:0031122}; meiotic cell cycle {GO:0051321}; microtubule nucleation {GO:0007020}; mitotic cell cycle {GO:0000278}; spindle assembly {GO:0051225}</t>
  </si>
  <si>
    <t>centriole {GO:0005814}; centrosome {GO:0005813}; cytoplasm {GO:0005737}; cytosol {GO:0005829}; equatorial microtubule organizing center {GO:0000923}; gamma-tubulin complex {GO:0000930}; gamma-tubulin small complex {GO:0008275}; polar microtubule {GO:0005827}</t>
  </si>
  <si>
    <t>sp|O89001|CBPD_MOUSE</t>
  </si>
  <si>
    <t>Carboxypeptidase D</t>
  </si>
  <si>
    <t>Metallocarboxypeptidase D; gp180</t>
  </si>
  <si>
    <t>CBPD_MOUSE</t>
  </si>
  <si>
    <t>O89001</t>
  </si>
  <si>
    <t>Q5SVH8</t>
  </si>
  <si>
    <t>MGI:107265</t>
  </si>
  <si>
    <t>Carboxypeptidase; Cell membrane; Glycoprotein; Hydrolase; Lipoprotein; Membrane; Metal-binding; Metalloprotease; Palmitate; Phosphoprotein; Protease; Repeat; Signal; Transmembrane; Transmembrane helix; Zinc</t>
  </si>
  <si>
    <t>Glycoprotein; Lipoprotein; Palmitate; Phosphoprotein</t>
  </si>
  <si>
    <t>peptide metabolic process {GO:0006518}; protein processing {GO:0016485}</t>
  </si>
  <si>
    <t>extracellular space {GO:0005615}; integral component of membrane {GO:0016021}; intracellular membrane-bounded organelle {GO:0043231}; nucleus {GO:0005634}; perinuclear region of cytoplasm {GO:0048471}; plasma membrane {GO:0005886}; trans-Golgi network {GO:0005802}</t>
  </si>
  <si>
    <t>metallocarboxypeptidase activity {GO:0004181}; protein phosphatase 2A binding {GO:0051721}; protein-containing complex binding {GO:0044877}; zinc ion binding {GO:0008270}</t>
  </si>
  <si>
    <t>Golgi Associated Vesicle Biogenesis {R-MMU-432722}; RND3 GTPase cycle {R-MMU-9696264}; RND1 GTPase cycle {R-MMU-9696273}</t>
  </si>
  <si>
    <t>sp|Q9R112|SQOR_MOUSE</t>
  </si>
  <si>
    <t>Sulfide:quinone oxidoreductase, mitochondrial (SQOR)</t>
  </si>
  <si>
    <t>Sulfide quinone oxidoreductase</t>
  </si>
  <si>
    <t>SQOR_MOUSE</t>
  </si>
  <si>
    <t>Q9R112</t>
  </si>
  <si>
    <t>Q8BW20; Q91XA1; Q9D891</t>
  </si>
  <si>
    <t>MGI:1929899</t>
  </si>
  <si>
    <t>Acetylation; Disulfide bond; FAD; Flavoprotein; Mitochondrion; Oxidoreductase; Phosphoprotein; Quinone; Transit peptide</t>
  </si>
  <si>
    <t>Acetylation; Disulfide bond; Phosphoprotein; Quinone</t>
  </si>
  <si>
    <t>hydrogen sulfide metabolic process {GO:0070813}; sulfide oxidation, using sulfide:quinone oxidoreductase {GO:0070221}</t>
  </si>
  <si>
    <t>mitochondrial inner membrane {GO:0005743}; mitochondrion {GO:0005739}</t>
  </si>
  <si>
    <t>FAD binding {GO:0071949}; quinone binding {GO:0048038}; sulfide:quinone oxidoreductase activity {GO:0070224}</t>
  </si>
  <si>
    <t>Sulfide oxidation to sulfate {R-MMU-1614517}</t>
  </si>
  <si>
    <t>sp|Q8BUY5|TIDC1_MOUSE</t>
  </si>
  <si>
    <t>Complex I assembly factor TIMMDC1, mitochondrial</t>
  </si>
  <si>
    <t>Translocase of inner mitochondrial membrane domain-containing protein 1 (TIMM domain containing-protein 1)</t>
  </si>
  <si>
    <t>TIDC1_MOUSE</t>
  </si>
  <si>
    <t>Q8BUY5</t>
  </si>
  <si>
    <t>Q99LS9; Q9CSI1</t>
  </si>
  <si>
    <t>MGI:1922139</t>
  </si>
  <si>
    <t>Chaperone; Membrane; Mitochondrion; Phosphoprotein; Transmembrane; Transmembrane helix</t>
  </si>
  <si>
    <t>integral component of membrane {GO:0016021}; mitochondrial membrane {GO:0031966}; mitochondrion {GO:0005739}; nucleoplasm {GO:0005654}</t>
  </si>
  <si>
    <t>sp|Q62470|ITA3_MOUSE</t>
  </si>
  <si>
    <t>Integrin alpha-3 light chain</t>
  </si>
  <si>
    <t>CD49 antigen-like family member C; Galactoprotein B3 (GAPB3); VLA-3 subunit alpha; CD_antigen=CD49c</t>
  </si>
  <si>
    <t>ITA3_MOUSE</t>
  </si>
  <si>
    <t>Q62470</t>
  </si>
  <si>
    <t>Q08441; Q08442; Q5SWA8; Q5SWB9; Q6P6I1</t>
  </si>
  <si>
    <t>MGI:96602</t>
  </si>
  <si>
    <t>Alternative splicing; Cell adhesion; Cell junction; Cell membrane; Cell projection; Cleavage on pair of basic residues; Disulfide bond; Glycoprotein; Integrin; Lipoprotein; Membrane; Palmitate; Receptor; Repeat; Signal; Transmembrane; Transmembrane helix</t>
  </si>
  <si>
    <t>Cleavage on pair of basic residues; Disulfide bond; Glycoprotein; Lipoprotein; Palmitate</t>
  </si>
  <si>
    <t>cell adhesion {GO:0007155}; cell adhesion mediated by integrin {GO:0033627}; cell-cell adhesion {GO:0098609}; cell-matrix adhesion {GO:0007160}; dendritic spine maintenance {GO:0097062}; exploration behavior {GO:0035640}; heart development {GO:0007507}; integrin-mediated signaling pathway {GO:0007229}; leukocyte migration {GO:0050900}; lung development {GO:0030324}; maternal process involved in female pregnancy {GO:0060135}; memory {GO:0007613}; mesodermal cell differentiation {GO:0048333}; negative regulation of cell projection organization {GO:0031345}; negative regulation of Rho protein signal transduction {GO:0035024}; nephron development {GO:0072006}; neuron migration {GO:0001764}; positive regulation of cell-substrate adhesion {GO:0010811}; positive regulation of epithelial cell migration {GO:0010634}; positive regulation of gene expression {GO:0010628}; positive regulation of neuron projection development {GO:0010976}; positive regulation of protein localization to plasma membrane {GO:1903078}; regulation of BMP signaling pathway {GO:0030510}; regulation of transforming growth factor beta receptor signaling pathway {GO:0017015}; regulation of Wnt signaling pathway {GO:0030111}; renal filtration {GO:0097205}; response to gonadotropin {GO:0034698}; response to xenobiotic stimulus {GO:0009410}; Rho protein signal transduction {GO:0007266}; skin development {GO:0043588}</t>
  </si>
  <si>
    <t>anchoring junction {GO:0070161}; basolateral plasma membrane {GO:0016323}; cell periphery {GO:0071944}; cell surface {GO:0009986}; excitatory synapse {GO:0060076}; external side of plasma membrane {GO:0009897}; filopodium membrane {GO:0031527}; growth cone {GO:0030426}; growth cone filopodium {GO:1990812}; integrin alpha3-beta1 complex {GO:0034667}; integrin complex {GO:0008305}; perinuclear region of cytoplasm {GO:0048471}; plasma membrane {GO:0005886}; receptor complex {GO:0043235}; synapse {GO:0045202}; synaptic membrane {GO:0097060}</t>
  </si>
  <si>
    <t>collagen binding {GO:0005518}; fibronectin binding {GO:0001968}; integrin binding {GO:0005178}; laminin binding {GO:0043236}; protease binding {GO:0002020}; protein domain specific binding {GO:0019904}; protein heterodimerization activity {GO:0046982}; protein-containing complex binding {GO:0044877}</t>
  </si>
  <si>
    <t>Integrin cell surface interactions {R-MMU-216083}; MET activates PTK2 signaling {R-MMU-8874081}</t>
  </si>
  <si>
    <t>sp|Q9Z2F7|BNI3L_MOUSE</t>
  </si>
  <si>
    <t>BCL2/adenovirus E1B 19 kDa protein-interacting protein 3-like</t>
  </si>
  <si>
    <t>NIP3-like protein X (NIP3L)</t>
  </si>
  <si>
    <t>BNI3L_MOUSE</t>
  </si>
  <si>
    <t>Q9Z2F7</t>
  </si>
  <si>
    <t>Q545J6</t>
  </si>
  <si>
    <t>Nix</t>
  </si>
  <si>
    <t>MGI:1332659</t>
  </si>
  <si>
    <t>Apoptosis; Endoplasmic reticulum; Membrane; Mitochondrion; Mitochondrion outer membrane; Nucleus; Phosphoprotein; Transmembrane; Transmembrane helix</t>
  </si>
  <si>
    <t>Endoplasmic reticulum; Membrane; Mitochondrion; Mitochondrion outer membrane; Nucleus</t>
  </si>
  <si>
    <t>cellular response to hypoxia {GO:0071456}; defense response to virus {GO:0051607}; mitochondrial outer membrane permeabilization {GO:0097345}; mitochondrial protein catabolic process {GO:0035694}; negative regulation of apoptotic process {GO:0043066}; negative regulation of cell death {GO:0060548}; negative regulation of mitochondrial membrane potential {GO:0010917}; positive regulation of apoptotic process {GO:0043065}; positive regulation of macroautophagy {GO:0016239}; positive regulation of mitochondrial membrane permeability {GO:0035794}; regulation of autophagy of mitochondrion {GO:1903146}; regulation of programmed cell death {GO:0043067}; regulation of protein targeting to mitochondrion {GO:1903214}</t>
  </si>
  <si>
    <t>cytosol {GO:0005829}; endoplasmic reticulum {GO:0005783}; integral component of membrane {GO:0016021}; mitochondrial outer membrane {GO:0005741}; mitochondrion {GO:0005739}; nuclear envelope {GO:0005635}; nuclear speck {GO:0016607}; nucleus {GO:0005634}</t>
  </si>
  <si>
    <t>identical protein binding {GO:0042802}; lamin binding {GO:0005521}; protein homodimerization activity {GO:0042803}</t>
  </si>
  <si>
    <t>sp|Q8VBX6|MPDZ_MOUSE</t>
  </si>
  <si>
    <t>Multiple PDZ domain protein</t>
  </si>
  <si>
    <t>Multi-PDZ domain protein 1</t>
  </si>
  <si>
    <t>MPDZ_MOUSE</t>
  </si>
  <si>
    <t>Q8VBX6</t>
  </si>
  <si>
    <t>B7ZNA1; O08783; Q6P7U4; Q80ZY8; Q8BKJ1; Q8C0H8; Q8VBV5; Q8VBY0; Q9Z1K3</t>
  </si>
  <si>
    <t>Mupp1</t>
  </si>
  <si>
    <t>MGI:1343489</t>
  </si>
  <si>
    <t>3D-structure; Alternative splicing; Cell junction; Cell membrane; Cell projection; Membrane; Methylation; Phosphoprotein; Repeat; Synapse; Synaptosome; Tight junction</t>
  </si>
  <si>
    <t>Cell junction; Cell membrane; Cell projection; Membrane; Synapse; Synaptosome; Tight junction</t>
  </si>
  <si>
    <t>cell adhesion {GO:0007155}; dendrite development {GO:0016358}; intracellular protein transport {GO:0006886}; myelination {GO:0042552}</t>
  </si>
  <si>
    <t>apical plasma membrane {GO:0016324}; apicolateral plasma membrane {GO:0016327}; bicellular tight junction {GO:0005923}; cytoplasm {GO:0005737}; cytoplasmic vesicle {GO:0031410}; dendrite {GO:0030425}; postsynaptic density {GO:0014069}; Schmidt-Lanterman incisure {GO:0043220}; subapical complex {GO:0035003}; synapse {GO:0045202}</t>
  </si>
  <si>
    <t>sp|Q9D711|PIR_MOUSE</t>
  </si>
  <si>
    <t>Pirin</t>
  </si>
  <si>
    <t>Probable quercetin 2,3-dioxygenase PIR (Probable quercetinase)</t>
  </si>
  <si>
    <t>PIR_MOUSE</t>
  </si>
  <si>
    <t>Q9D711</t>
  </si>
  <si>
    <t>A2AIH9; Q3UAN0; Q8CIE9</t>
  </si>
  <si>
    <t>MGI:1916906</t>
  </si>
  <si>
    <t>Cytoplasm; Dioxygenase; Iron; Metal-binding; Nucleus; Oxidoreductase; Transcription; Transcription regulation</t>
  </si>
  <si>
    <t>monocyte differentiation {GO:0030224}; myeloid cell differentiation {GO:0030099}</t>
  </si>
  <si>
    <t>metal ion binding {GO:0046872}; quercetin 2,3-dioxygenase activity {GO:0008127}; transcription coregulator activity {GO:0003712}</t>
  </si>
  <si>
    <t>Flavonoid metabolism; quercetin degradation.</t>
  </si>
  <si>
    <t>Digestion {R-MMU-8935690}</t>
  </si>
  <si>
    <t>sp|Q99NH2|PARD3_MOUSE</t>
  </si>
  <si>
    <t>Partitioning defective 3 homolog (PAR-3; PARD-3)</t>
  </si>
  <si>
    <t>Atypical PKC isotype-specific-interacting protein (ASIP); Ephrin-interacting protein (PHIP)</t>
  </si>
  <si>
    <t>PARD3_MOUSE</t>
  </si>
  <si>
    <t>Q99NH2</t>
  </si>
  <si>
    <t>Q58T10; Q58T11; Q8CB21</t>
  </si>
  <si>
    <t>Par3</t>
  </si>
  <si>
    <t>MGI:2135608</t>
  </si>
  <si>
    <t>3D-structure; Acetylation; Alternative splicing; Cell cycle; Cell division; Cell junction; Cell membrane; Coiled coil; Cytoplasm; Cytoskeleton; Differentiation; Lipid-binding; Membrane; Phosphoprotein; Repeat; Tight junction</t>
  </si>
  <si>
    <t>Cell cycle; Cell division; Differentiation</t>
  </si>
  <si>
    <t>apical constriction {GO:0003383}; bicellular tight junction assembly {GO:0070830}; cell adhesion {GO:0007155}; cell cycle {GO:0007049}; cell division {GO:0051301}; cell-cell adhesion {GO:0098609}; centrosome localization {GO:0051642}; establishment of cell polarity {GO:0030010}; establishment of centrosome localization {GO:0051660}; establishment of epithelial cell polarity {GO:0090162}; establishment or maintenance of cell polarity {GO:0007163}; establishment or maintenance of epithelial cell apical/basal polarity {GO:0045197}; microtubule cytoskeleton organization {GO:0000226}; myelination in peripheral nervous system {GO:0022011}; negative regulation of peptidyl-threonine phosphorylation {GO:0010801}; positive regulation of myelination {GO:0031643}; positive regulation of receptor internalization {GO:0002092}; protein localization {GO:0008104}; protein targeting to membrane {GO:0006612}; regulation of actin filament-based process {GO:0032970}; regulation of cellular localization {GO:0060341}; wound healing, spreading of cells {GO:0044319}</t>
  </si>
  <si>
    <t>adherens junction {GO:0005912}; apical junction complex {GO:0043296}; apical plasma membrane {GO:0016324}; axonal growth cone {GO:0044295}; bicellular tight junction {GO:0005923}; cell cortex {GO:0005938}; cell junction {GO:0030054}; cell-cell junction {GO:0005911}; cytoplasm {GO:0005737}; endomembrane system {GO:0012505}; internode region of axon {GO:0033269}; lateral loop {GO:0043219}; neuronal cell body {GO:0043025}; PAR polarity complex {GO:0120157}; plasma membrane {GO:0005886}; protein-containing complex {GO:0032991}; Schmidt-Lanterman incisure {GO:0043220}; spindle {GO:0005819}</t>
  </si>
  <si>
    <t>identical protein binding {GO:0042802}; phosphatidylinositol binding {GO:0035091}; phosphatidylinositol-3,4,5-trisphosphate binding {GO:0005547}; phosphatidylinositol-3-phosphate binding {GO:0032266}; phosphatidylinositol-4,5-bisphosphate binding {GO:0005546}; protein phosphatase binding {GO:0019903}</t>
  </si>
  <si>
    <t>TGF-beta receptor signaling in EMT (epithelial to mesenchymal transition) {R-MMU-2173791}; Tight junction interactions {R-MMU-420029}</t>
  </si>
  <si>
    <t>sp|Q9EQG9|CERT_MOUSE</t>
  </si>
  <si>
    <t>Ceramide transfer protein (CERT)</t>
  </si>
  <si>
    <t>Collagen type IV alpha-3-binding protein; Goodpasture antigen-binding protein (GPBP); START domain-containing protein 11 (StARD11); StAR-related lipid transfer protein 11</t>
  </si>
  <si>
    <t>CERT_MOUSE</t>
  </si>
  <si>
    <t>Q9EQG9</t>
  </si>
  <si>
    <t>Q3TQF6; Q8BNN8; Q8C8H3; Q8CAR3; Q91WB1; Q9CU52; Q9EQG8</t>
  </si>
  <si>
    <t>Cert; Col4a3bp; Stard11</t>
  </si>
  <si>
    <t>MGI:1915268</t>
  </si>
  <si>
    <t>Alternative splicing; Coiled coil; Cytoplasm; Endoplasmic reticulum; Golgi apparatus; Lipid transport; Lipid-binding; Phosphoprotein; Transport</t>
  </si>
  <si>
    <t>cell morphogenesis {GO:0000902}; cell population proliferation {GO:0008283}; ceramide metabolic process {GO:0006672}; ceramide transport {GO:0035627}; endoplasmic reticulum organization {GO:0007029}; ER to Golgi ceramide transport {GO:0035621}; heart morphogenesis {GO:0003007}; in utero embryonic development {GO:0001701}; intermembrane lipid transfer {GO:0120009}; intermembrane sphingolipid transfer {GO:0120012}; lipid homeostasis {GO:0055088}; mitochondrion morphogenesis {GO:0070584}; muscle contraction {GO:0006936}; response to endoplasmic reticulum stress {GO:0034976}; signal transduction {GO:0007165}</t>
  </si>
  <si>
    <t>cytosol {GO:0005829}; endoplasmic reticulum {GO:0005783}; Golgi apparatus {GO:0005794}; mitochondrion {GO:0005739}; nucleoplasm {GO:0005654}; perinuclear region of cytoplasm {GO:0048471}</t>
  </si>
  <si>
    <t>ceramide 1-phosphate binding {GO:1902387}; ceramide 1-phosphate transfer activity {GO:1902388}; ceramide binding {GO:0097001}; ceramide transfer activity {GO:0120017}; identical protein binding {GO:0042802}; kinase activity {GO:0016301}; phosphatidylinositol-4-phosphate binding {GO:0070273}</t>
  </si>
  <si>
    <t>tr|E9PZM7|E9PZM7_MOUSE</t>
  </si>
  <si>
    <t>sp|Q8CII2|CD123_MOUSE</t>
  </si>
  <si>
    <t>Cell division cycle protein 123 homolog</t>
  </si>
  <si>
    <t>CD123_MOUSE</t>
  </si>
  <si>
    <t>Q8CII2</t>
  </si>
  <si>
    <t>Q3TTR0; Q8VE51</t>
  </si>
  <si>
    <t>MGI:2138811</t>
  </si>
  <si>
    <t>Alternative splicing; Cell cycle; Cell division; Cytoplasm; Phosphoprotein</t>
  </si>
  <si>
    <t>cell cycle {GO:0007049}; cell division {GO:0051301}</t>
  </si>
  <si>
    <t>sp|P53612|PGTB2_MOUSE</t>
  </si>
  <si>
    <t>Geranylgeranyl transferase type-2 subunit beta</t>
  </si>
  <si>
    <t>Geranylgeranyl transferase type II subunit beta (GGTase-II-beta); Rab geranyl-geranyltransferase subunit beta (Rab GG transferase beta; Rab GGTase beta); Rab geranylgeranyltransferase subunit beta; Type II protein geranyl-geranyltransferase subunit beta</t>
  </si>
  <si>
    <t>PGTB2_MOUSE</t>
  </si>
  <si>
    <t>P53612</t>
  </si>
  <si>
    <t>A2RTE6</t>
  </si>
  <si>
    <t>MGI:99537</t>
  </si>
  <si>
    <t>3D-structure; Metal-binding; Phosphoprotein; Prenyltransferase; Repeat; Transferase; Zinc</t>
  </si>
  <si>
    <t>protein geranylgeranylation {GO:0018344}; protein prenylation {GO:0018342}</t>
  </si>
  <si>
    <t>Rab-protein geranylgeranyltransferase complex {GO:0005968}</t>
  </si>
  <si>
    <t>isoprenoid binding {GO:0019840}; Rab geranylgeranyltransferase activity {GO:0004663}; small GTPase binding {GO:0031267}; zinc ion binding {GO:0008270}</t>
  </si>
  <si>
    <t>sp|Q9WVM3|APC7_MOUSE</t>
  </si>
  <si>
    <t>Anaphase-promoting complex subunit 7 (APC7)</t>
  </si>
  <si>
    <t>Cyclosome subunit 7; Prediabetic NOD sera-reactive autoantigen</t>
  </si>
  <si>
    <t>APC7_MOUSE</t>
  </si>
  <si>
    <t>Q9WVM3</t>
  </si>
  <si>
    <t>Q3UBM7; Q8BSR2; Q91W13</t>
  </si>
  <si>
    <t>Apc7</t>
  </si>
  <si>
    <t>MGI:1929711</t>
  </si>
  <si>
    <t>Acetylation; Cell cycle; Cell division; Cytoplasm; Cytoskeleton; Mitosis; Nucleus; Repeat; TPR repeat; Ubl conjugation pathway</t>
  </si>
  <si>
    <t>anaphase-promoting complex {GO:0005680}; cytoplasm {GO:0005737}; microtubule cytoskeleton {GO:0015630}; nucleus {GO:0005634}; spindle {GO:0005819}</t>
  </si>
  <si>
    <t>sp|P97366|EVI5_MOUSE</t>
  </si>
  <si>
    <t>Ecotropic viral integration site 5 protein (EVI-5)</t>
  </si>
  <si>
    <t>EVI5_MOUSE</t>
  </si>
  <si>
    <t>P97366</t>
  </si>
  <si>
    <t>Q3TPQ1</t>
  </si>
  <si>
    <t>MGI:104736</t>
  </si>
  <si>
    <t>Cell cycle; Cell division; Coiled coil; Cytoplasm; Cytoskeleton; Nucleus; Phosphoprotein; Ubl conjugation</t>
  </si>
  <si>
    <t>activation of GTPase activity {GO:0090630}; cell cycle {GO:0007049}; cell division {GO:0051301}; positive regulation of GTPase activity {GO:0043547}; retrograde transport, endosome to Golgi {GO:0042147}</t>
  </si>
  <si>
    <t>cytosol {GO:0005829}; microtubule organizing center {GO:0005815}; nucleus {GO:0005634}; spindle {GO:0005819}</t>
  </si>
  <si>
    <t>sp|Q9R1C0|TAF7_MOUSE</t>
  </si>
  <si>
    <t>Transcription initiation factor TFIID subunit 7</t>
  </si>
  <si>
    <t>RNA polymerase II TBP-associated factor subunit F; Transcription initiation factor TFIID 55 kDa subunit (TAF(II)55; TAFII-55; TAFII55)</t>
  </si>
  <si>
    <t>TAF7_MOUSE</t>
  </si>
  <si>
    <t>Q9R1C0</t>
  </si>
  <si>
    <t>Taf2f</t>
  </si>
  <si>
    <t>MGI:1346348</t>
  </si>
  <si>
    <t>DNA-templated transcription initiation {GO:0006352}; histone H3 acetylation {GO:0043966}; intracellular estrogen receptor signaling pathway {GO:0030520}; monoubiquitinated histone deubiquitination {GO:0035521}; monoubiquitinated histone H2A deubiquitination {GO:0035522}; mRNA transcription by RNA polymerase II {GO:0042789}; negative regulation of DNA-templated transcription {GO:0045892}; negative regulation of histone acetylation {GO:0035067}; negative regulation of histone H4 acetylation {GO:0090241}; negative regulation of MHC class I biosynthetic process {GO:0045344}; negative regulation of MHC class II biosynthetic process {GO:0045347}; negative regulation of protein kinase activity {GO:0006469}; negative regulation of transcription by RNA polymerase II {GO:0000122}; positive regulation of DNA-templated transcription {GO:0045893}; positive regulation of transcription by RNA polymerase II {GO:0045944}; positive regulation of transcription initiation by RNA polymerase II {GO:0060261}; protein phosphorylation {GO:0006468}; regulation of DNA repair {GO:0006282}; regulation of transcription by RNA polymerase II {GO:0006357}; RNA polymerase II preinitiation complex assembly {GO:0051123}; transcription by RNA polymerase II {GO:0006366}; transcription initiation at RNA polymerase II promoter {GO:0006367}</t>
  </si>
  <si>
    <t>cytoplasm {GO:0005737}; male germ cell nucleus {GO:0001673}; MLL1 complex {GO:0071339}; nucleus {GO:0005634}; transcription factor TFIID complex {GO:0005669}; transcription factor TFTC complex {GO:0033276}; transcription regulator complex {GO:0005667}</t>
  </si>
  <si>
    <t>DNA-binding transcription factor binding {GO:0140297}; H3K27me3 modified histone binding {GO:0061628}; histone acetyltransferase binding {GO:0035035}; nuclear thyroid hormone receptor binding {GO:0046966}; nuclear vitamin D receptor binding {GO:0042809}; P-TEFb complex binding {GO:0106140}; protein heterodimerization activity {GO:0046982}; RNA polymerase II general transcription initiation factor activity {GO:0016251}; TFIIH-class transcription factor complex binding {GO:0001097}; transcription cis-regulatory region binding {GO:0000976}</t>
  </si>
  <si>
    <t>RNA Polymerase II Pre-transcription Events {R-MMU-674695}; Regulation of TP53 Activity through Phosphorylation {R-MMU-6804756}; RNA Polymerase II Promoter Escape {R-MMU-73776}; RNA Polymerase II Transcription Pre-Initiation And Promoter Opening {R-MMU-73779}; RNA Polymerase II Transcription Initiation {R-MMU-75953}; RNA Polymerase II Transcription Initiation And Promoter Clearance {R-MMU-76042}</t>
  </si>
  <si>
    <t>sp|Q8CF89|TAB1_MOUSE</t>
  </si>
  <si>
    <t>TGF-beta-activated kinase 1 and MAP3K7-binding protein 1</t>
  </si>
  <si>
    <t>Mitogen-activated protein kinase kinase kinase 7-interacting protein 1; TGF-beta-activated kinase 1-binding protein 1 (TAK1-binding protein 1)</t>
  </si>
  <si>
    <t>TAB1_MOUSE</t>
  </si>
  <si>
    <t>Q8CF89</t>
  </si>
  <si>
    <t>Q7TQJ5; Q80V65; Q8R0D1</t>
  </si>
  <si>
    <t>Map3k7ip1</t>
  </si>
  <si>
    <t>MGI:1913763</t>
  </si>
  <si>
    <t>3D-structure; Phosphoprotein; Ubl conjugation</t>
  </si>
  <si>
    <t>aorta development {GO:0035904}; cardiac septum development {GO:0003279}; coronary vasculature development {GO:0060976}; heart morphogenesis {GO:0003007}; in utero embryonic development {GO:0001701}; lung development {GO:0030324}; positive regulation of MAP kinase activity {GO:0043406}; positive regulation of MAPK cascade {GO:0043410}; positive regulation of protein serine/threonine kinase activity {GO:0071902}; transforming growth factor beta receptor signaling pathway {GO:0007179}</t>
  </si>
  <si>
    <t>cytosol {GO:0005829}; nuclear speck {GO:0016607}; nucleus {GO:0005634}; protein-containing complex {GO:0032991}</t>
  </si>
  <si>
    <t>kinase activator activity {GO:0019209}; mitogen-activated protein kinase p38 binding {GO:0048273}; protein serine/threonine phosphatase activity {GO:0004722}; protein-containing complex binding {GO:0044877}</t>
  </si>
  <si>
    <t>NOD1/2 Signaling Pathway {R-MMU-168638}; FCERI mediated NF-kB activation {R-MMU-2871837}; TAK1-dependent IKK and NF-kappa-B activation {R-MMU-445989}; activated TAK1 mediates p38 MAPK activation {R-MMU-450302}; JNK (c-Jun kinases) phosphorylation and activation mediated by activated human TAK1 {R-MMU-450321}; TNFR1-induced NFkappaB signaling pathway {R-MMU-5357956}; CLEC7A (Dectin-1) signaling {R-MMU-5607764}; Ub-specific processing proteases {R-MMU-5689880}; Interleukin-1 signaling {R-MMU-9020702}; IRAK2 mediated activation of TAK1 complex {R-MMU-937042}; TRAF6-mediated induction of TAK1 complex within TLR4 complex {R-MMU-937072}; Alpha-protein kinase 1 signaling pathway {R-MMU-9645460}; IRAK2 mediated activation of TAK1 complex upon TLR7/8 or 9 stimulation {R-MMU-975163}</t>
  </si>
  <si>
    <t>sp|P59016|VP33B_MOUSE</t>
  </si>
  <si>
    <t>Vacuolar protein sorting-associated protein 33B</t>
  </si>
  <si>
    <t>VP33B_MOUSE</t>
  </si>
  <si>
    <t>P59016</t>
  </si>
  <si>
    <t>MGI:2446237</t>
  </si>
  <si>
    <t>Acetylation; Cytoplasmic vesicle; Endosome; Lysosome; Membrane; Phosphoprotein; Protein transport; Transport</t>
  </si>
  <si>
    <t>collagen fibril organization {GO:0030199}; collagen metabolic process {GO:0032963}; endosome organization {GO:0007032}; intracellular protein transport {GO:0006886}; lysosome localization {GO:0032418}; megakaryocyte development {GO:0035855}; melanosome localization {GO:0032400}; membrane fusion {GO:0061025}; peptidyl-lysine hydroxylation {GO:0017185}; platelet alpha granule organization {GO:0070889}; protein transport {GO:0015031}; regulation of platelet aggregation {GO:0090330}; vesicle-mediated transport {GO:0016192}</t>
  </si>
  <si>
    <t>clathrin-coated vesicle {GO:0030136}; CORVET complex {GO:0033263}; cytoplasm {GO:0005737}; early endosome membrane {GO:0031901}; endosome {GO:0005768}; Golgi apparatus {GO:0005794}; HOPS complex {GO:0030897}; late endosome {GO:0005770}; late endosome membrane {GO:0031902}; lysosomal membrane {GO:0005765}; lysosome {GO:0005764}; perinuclear region of cytoplasm {GO:0048471}; platelet alpha granule {GO:0031091}; recycling endosome {GO:0055037}; synaptic vesicle {GO:0008021}; vacuole {GO:0005773}; vesicle tethering complex {GO:0099023}</t>
  </si>
  <si>
    <t>sp|P97783|AF1Q_MOUSE</t>
  </si>
  <si>
    <t>Protein AF1q</t>
  </si>
  <si>
    <t>AF1Q_MOUSE</t>
  </si>
  <si>
    <t>P97783</t>
  </si>
  <si>
    <t>Af1q</t>
  </si>
  <si>
    <t>MGI:1929671</t>
  </si>
  <si>
    <t>Cytoplasm; Cytoskeleton; Nucleus; Phosphoprotein; Ubl conjugation</t>
  </si>
  <si>
    <t>extrinsic apoptotic signaling pathway {GO:0097191}; intrinsic apoptotic signaling pathway {GO:0097193}; positive regulation of apoptotic process {GO:0043065}; positive regulation of DNA-templated transcription {GO:0045893}; positive regulation of mitochondrial depolarization {GO:0051901}; positive regulation of release of cytochrome c from mitochondria {GO:0090200}</t>
  </si>
  <si>
    <t>cytoplasm {GO:0005737}; cytosol {GO:0005829}; microtubule organizing center {GO:0005815}; nucleoplasm {GO:0005654}</t>
  </si>
  <si>
    <t>sp|Q01339|APOH_MOUSE</t>
  </si>
  <si>
    <t>Beta-2-glycoprotein 1</t>
  </si>
  <si>
    <t>APC inhibitor; Activated protein C-binding protein; Apolipoprotein H (Apo-H); Beta-2-glycoprotein I (B2GPI; Beta(2)GPI)</t>
  </si>
  <si>
    <t>APOH_MOUSE</t>
  </si>
  <si>
    <t>Q01339</t>
  </si>
  <si>
    <t>B2gp1</t>
  </si>
  <si>
    <t>MGI:88058</t>
  </si>
  <si>
    <t>Disulfide bond; Glycoprotein; Heparin-binding; Repeat; Secreted; Signal; Sushi</t>
  </si>
  <si>
    <t>Repeat; Signal; Sushi</t>
  </si>
  <si>
    <t>animal organ regeneration {GO:0031100}; blood coagulation {GO:0007596}; blood coagulation, intrinsic pathway {GO:0007597}; negative regulation of angiogenesis {GO:0016525}; negative regulation of blood coagulation {GO:0030195}; negative regulation of endothelial cell migration {GO:0010596}; negative regulation of endothelial cell proliferation {GO:0001937}; negative regulation of fibrinolysis {GO:0051918}; negative regulation of myeloid cell apoptotic process {GO:0033033}; negative regulation of respiratory burst {GO:0060268}; negative regulation of smooth muscle cell apoptotic process {GO:0034392}; plasminogen activation {GO:0031639}; positive regulation of lipoprotein lipase activity {GO:0051006}; positive regulation of triglyceride catabolic process {GO:0010898}; regulation of blood coagulation {GO:0030193}; regulation of fibrinolysis {GO:0051917}; triglyceride metabolic process {GO:0006641}; triglyceride transport {GO:0034197}</t>
  </si>
  <si>
    <t>cell surface {GO:0009986}; chylomicron {GO:0042627}; cytoplasm {GO:0005737}; extracellular space {GO:0005615}; high-density lipoprotein particle {GO:0034364}; plasma membrane {GO:0005886}; very-low-density lipoprotein particle {GO:0034361}</t>
  </si>
  <si>
    <t>heparin binding {GO:0008201}; identical protein binding {GO:0042802}; lipid binding {GO:0008289}; lipoprotein lipase activator activity {GO:0060230}; phospholipid binding {GO:0005543}</t>
  </si>
  <si>
    <t>sp|Q8BXC6|COMD2_MOUSE</t>
  </si>
  <si>
    <t>COMM domain-containing protein 2</t>
  </si>
  <si>
    <t>COMD2_MOUSE</t>
  </si>
  <si>
    <t>Q8BXC6</t>
  </si>
  <si>
    <t>Q8BJI3</t>
  </si>
  <si>
    <t>MGI:1098806</t>
  </si>
  <si>
    <t>Cytoplasm; Transcription; Transcription regulation; Ubl conjugation pathway</t>
  </si>
  <si>
    <t>sp|Q8VCA8|SCRN2_MOUSE</t>
  </si>
  <si>
    <t>Secernin-2</t>
  </si>
  <si>
    <t>SCRN2_MOUSE</t>
  </si>
  <si>
    <t>Q8VCA8</t>
  </si>
  <si>
    <t>MGI:1343092</t>
  </si>
  <si>
    <t>sp|O54790|MAFG_MOUSE</t>
  </si>
  <si>
    <t>Transcription factor MafG</t>
  </si>
  <si>
    <t>V-maf musculoaponeurotic fibrosarcoma oncogene homolog G</t>
  </si>
  <si>
    <t>MAFG_MOUSE</t>
  </si>
  <si>
    <t>O54790</t>
  </si>
  <si>
    <t>MGI:96911</t>
  </si>
  <si>
    <t>3D-structure; Acetylation; DNA-binding; Isopeptide bond; Nucleus; Phosphoprotein; Repressor; Transcription; Transcription regulation; Ubl conjugation</t>
  </si>
  <si>
    <t>adult behavior {GO:0030534}; in utero embryonic development {GO:0001701}; positive regulation of gene expression {GO:0010628}; positive regulation of transcription by RNA polymerase II {GO:0045944}; regulation of cell population proliferation {GO:0042127}; regulation of cellular pH {GO:0030641}; regulation of epidermal cell differentiation {GO:0045604}; regulation of transcription by RNA polymerase II {GO:0006357}</t>
  </si>
  <si>
    <t>nucleus {GO:0005634}; RNA polymerase II transcription regulator complex {GO:0090575}; transcription regulator complex {GO:0005667}</t>
  </si>
  <si>
    <t>DNA binding {GO:0003677}; DNA-binding transcription activator activity, RNA polymerase II-specific {GO:0001228}; DNA-binding transcription factor activity, RNA polymerase II-specific {GO:0000981}; identical protein binding {GO:0042802}; protein heterodimerization activity {GO:0046982}; RNA polymerase II cis-regulatory region sequence-specific DNA binding {GO:0000978}; sequence-specific double-stranded DNA binding {GO:1990837}</t>
  </si>
  <si>
    <t>sp|Q61334|BAP29_MOUSE</t>
  </si>
  <si>
    <t>B-cell receptor-associated protein 29 (BCR-associated protein 29; Bap29)</t>
  </si>
  <si>
    <t>BAP29_MOUSE</t>
  </si>
  <si>
    <t>Q61334</t>
  </si>
  <si>
    <t>Bap29</t>
  </si>
  <si>
    <t>MGI:101917</t>
  </si>
  <si>
    <t>apoptotic process {GO:0006915}; endoplasmic reticulum to Golgi vesicle-mediated transport {GO:0006888}; intracellular protein transport {GO:0006886}; protein localization to endoplasmic reticulum exit site {GO:0070973}</t>
  </si>
  <si>
    <t>sp|P81117|NUCB2_MOUSE</t>
  </si>
  <si>
    <t>Nesfatin-1</t>
  </si>
  <si>
    <t>DNA-binding protein NEFA; Prepronesfatin</t>
  </si>
  <si>
    <t>NUCB2_MOUSE</t>
  </si>
  <si>
    <t>P81117</t>
  </si>
  <si>
    <t>Nefa</t>
  </si>
  <si>
    <t>MGI:1858179</t>
  </si>
  <si>
    <t>Calcium; Cleavage on pair of basic residues; Cytoplasm; DNA-binding; Endoplasmic reticulum; Golgi apparatus; Guanine-nucleotide releasing factor; Membrane; Metal-binding; Nucleus; Phosphoprotein; Repeat; Secreted; Signal</t>
  </si>
  <si>
    <t>Cytoplasm; Endoplasmic reticulum; Golgi apparatus; Membrane; Nucleus; Secreted</t>
  </si>
  <si>
    <t>Cleavage on pair of basic residues; Phosphoprotein</t>
  </si>
  <si>
    <t>cellular calcium ion homeostasis {GO:0006874}; insulin metabolic process {GO:1901142}; negative regulation of appetite {GO:0032099}; negative regulation of cAMP-mediated signaling {GO:0043951}; negative regulation of fat cell differentiation {GO:0045599}; negative regulation of glucagon secretion {GO:0070093}; negative regulation of insulin receptor signaling pathway {GO:0046627}; positive regulation of fatty acid oxidation {GO:0046321}; positive regulation of testosterone secretion {GO:2000845}; small GTPase mediated signal transduction {GO:0007264}</t>
  </si>
  <si>
    <t>cytoplasm {GO:0005737}; endoplasmic reticulum {GO:0005783}; endoplasmic reticulum-Golgi intermediate compartment {GO:0005793}; extracellular space {GO:0005615}; Golgi apparatus {GO:0005794}; Golgi medial cisterna {GO:0005797}; nuclear outer membrane {GO:0005640}; nucleus {GO:0005634}; perikaryon {GO:0043204}</t>
  </si>
  <si>
    <t>calcium ion binding {GO:0005509}; DNA binding {GO:0003677}; G-protein alpha-subunit binding {GO:0001965}; guanyl-nucleotide exchange factor activity {GO:0005085}; tumor necrosis factor receptor binding {GO:0005164}</t>
  </si>
  <si>
    <t>sp|Q9R1Q9|VAS1_MOUSE</t>
  </si>
  <si>
    <t>V-type proton ATPase subunit S1 (V-ATPase subunit S1)</t>
  </si>
  <si>
    <t>Protein C7-1; V-ATPase Ac45 subunit; V-ATPase S1 accessory protein; Vacuolar proton pump subunit S1</t>
  </si>
  <si>
    <t>VAS1_MOUSE</t>
  </si>
  <si>
    <t>Q9R1Q9</t>
  </si>
  <si>
    <t>Atp6ip1; Atp6s1</t>
  </si>
  <si>
    <t>MGI:109629</t>
  </si>
  <si>
    <t>Cytoplasmic vesicle; Disulfide bond; Endoplasmic reticulum; Glycoprotein; Hydrogen ion transport; Ion transport; Membrane; Signal; Synapse; Transmembrane; Transmembrane helix; Transport</t>
  </si>
  <si>
    <t>Cytoplasmic vesicle; Endoplasmic reticulum; Membrane; Synapse</t>
  </si>
  <si>
    <t>cell death {GO:0008219}; cellular iron ion homeostasis {GO:0006879}; cellular response to increased oxygen levels {GO:0036295}; endosome to plasma membrane protein transport {GO:0099638}; osteoclast development {GO:0036035}; proton transmembrane transport {GO:1902600}; regulation of cellular pH {GO:0030641}</t>
  </si>
  <si>
    <t>anchoring junction {GO:0070161}; clathrin-coated vesicle membrane {GO:0030665}; endoplasmic reticulum membrane {GO:0005789}; endoplasmic reticulum-Golgi intermediate compartment membrane {GO:0033116}; integral component of membrane {GO:0016021}; membrane {GO:0016020}; proton-transporting V-type ATPase complex {GO:0033176}; synaptic vesicle membrane {GO:0030672}</t>
  </si>
  <si>
    <t>Insulin receptor recycling {R-MMU-77387}; RHOA GTPase cycle {R-MMU-8980692}; Transferrin endocytosis and recycling {R-MMU-917977}; Ion channel transport {R-MMU-983712}</t>
  </si>
  <si>
    <t>sp|Q9QXE0|HACL1_MOUSE</t>
  </si>
  <si>
    <t>2-hydroxyacyl-CoA lyase 1</t>
  </si>
  <si>
    <t>2-hydroxyphytanoyl-CoA lyase (2-HPCL); Phytanoyl-CoA 2-hydroxylase 2</t>
  </si>
  <si>
    <t>HACL1_MOUSE</t>
  </si>
  <si>
    <t>Q9QXE0</t>
  </si>
  <si>
    <t>Q543K1; Q9DAV1</t>
  </si>
  <si>
    <t>Hpcl; Phyh2</t>
  </si>
  <si>
    <t>MGI:1929657</t>
  </si>
  <si>
    <t>Fatty acid metabolism; Lipid metabolism; Lyase; Magnesium; Metal-binding; Peroxisome; Phosphoprotein; Thiamine pyrophosphate</t>
  </si>
  <si>
    <t>Magnesium; Metal-binding; Thiamine pyrophosphate</t>
  </si>
  <si>
    <t>fatty acid alpha-oxidation {GO:0001561}; fatty acid metabolic process {GO:0006631}; lipid metabolic process {GO:0006629}; methyl-branched fatty acid metabolic process {GO:0097089}; phytanic acid metabolic process {GO:1903512}; protein targeting to peroxisome {GO:0006625}</t>
  </si>
  <si>
    <t>intracellular membrane-bounded organelle {GO:0043231}; nucleoplasm {GO:0005654}; peroxisome {GO:0005777}</t>
  </si>
  <si>
    <t>2-hydroxy-3-methylhexadecanoyl-CoA lyase activity {GO:0106360}; 2-hydroxyphytanoyl-CoA lyase activity {GO:0106376}; ATP binding {GO:0005524}; carbon-carbon lyase activity {GO:0016830}; identical protein binding {GO:0042802}; lyase activity {GO:0016829}; magnesium ion binding {GO:0000287}; thiamine pyrophosphate binding {GO:0030976}</t>
  </si>
  <si>
    <t>Alpha-oxidation of phytanate {R-MMU-389599}; Peroxisomal protein import {R-MMU-9033241}</t>
  </si>
  <si>
    <t>sp|Q8R2T8|TF3C5_MOUSE</t>
  </si>
  <si>
    <t>General transcription factor 3C polypeptide 5</t>
  </si>
  <si>
    <t>TF3C-epsilon; Transcription factor IIIC 63 kDa subunit (TFIIIC 63 kDa subunit; TFIIIC63); Transcription factor IIIC subunit epsilon</t>
  </si>
  <si>
    <t>TF3C5_MOUSE</t>
  </si>
  <si>
    <t>Q8R2T8</t>
  </si>
  <si>
    <t>Q8BLE3; Q8R0D0</t>
  </si>
  <si>
    <t>MGI:1917489</t>
  </si>
  <si>
    <t>Acetylation; Alternative splicing; DNA-binding; Nucleus; Transcription</t>
  </si>
  <si>
    <t>skeletal muscle cell differentiation {GO:0035914}; transcription initiation at RNA polymerase III promoter {GO:0006384}</t>
  </si>
  <si>
    <t>sp|P09926|SURF2_MOUSE</t>
  </si>
  <si>
    <t>Surfeit locus protein 2 (Surf-2)</t>
  </si>
  <si>
    <t>SURF2_MOUSE</t>
  </si>
  <si>
    <t>P09926</t>
  </si>
  <si>
    <t>Surf-2</t>
  </si>
  <si>
    <t>MGI:98444</t>
  </si>
  <si>
    <t>nuclear speck {GO:0016607}; nucleolus {GO:0005730}; nucleoplasm {GO:0005654}; plasma membrane {GO:0005886}</t>
  </si>
  <si>
    <t>sp|Q8BG51|MIRO1_MOUSE</t>
  </si>
  <si>
    <t>Mitochondrial Rho GTPase 1 (MIRO-1)</t>
  </si>
  <si>
    <t>Ras homolog gene family member T1</t>
  </si>
  <si>
    <t>MIRO1_MOUSE</t>
  </si>
  <si>
    <t>Q8BG51</t>
  </si>
  <si>
    <t>Q3TJB7; Q3UGU4; Q5SYC3; Q5SYC6; Q8BLW3; Q8BMH1; Q922N0; Q9D2R1; Q9JKB9</t>
  </si>
  <si>
    <t>Arht1</t>
  </si>
  <si>
    <t>MGI:1926078</t>
  </si>
  <si>
    <t>Alternative splicing; Calcium; GTP-binding; Hydrolase; Membrane; Metal-binding; Mitochondrion; Mitochondrion outer membrane; Nucleotide-binding; Repeat; Transmembrane; Transmembrane helix; Ubl conjugation</t>
  </si>
  <si>
    <t>Calcium; GTP-binding; Metal-binding; Nucleotide-binding</t>
  </si>
  <si>
    <t>cellular homeostasis {GO:0019725}; establishment of mitochondrion localization by microtubule attachment {GO:0034640}; mitochondrial outer membrane permeabilization {GO:0097345}; mitochondrion organization {GO:0007005}; mitochondrion transport along microtubule {GO:0047497}; regulation of mitochondrion organization {GO:0010821}; regulation of neurotransmitter secretion {GO:0046928}; regulation of organelle transport along microtubule {GO:1902513}; small GTPase mediated signal transduction {GO:0007264}</t>
  </si>
  <si>
    <t>integral component of mitochondrial outer membrane {GO:0031307}; mitochondrion {GO:0005739}</t>
  </si>
  <si>
    <t>calcium ion binding {GO:0005509}; GTP binding {GO:0005525}; GTPase activity {GO:0003924}</t>
  </si>
  <si>
    <t>Ub-specific processing proteases {R-MMU-5689880}; RHOT1 GTPase cycle {R-MMU-9013425}</t>
  </si>
  <si>
    <t>sp|Q80Y17|L2GL1_MOUSE</t>
  </si>
  <si>
    <t>Lethal(2) giant larvae protein homolog 1 (LLGL)</t>
  </si>
  <si>
    <t>Mgl-1; Mlgl</t>
  </si>
  <si>
    <t>L2GL1_MOUSE</t>
  </si>
  <si>
    <t>Q80Y17</t>
  </si>
  <si>
    <t>Q61856; Q7TNV3; Q8BN92</t>
  </si>
  <si>
    <t>Llglh</t>
  </si>
  <si>
    <t>MGI:102682</t>
  </si>
  <si>
    <t>Cell projection; Cytoplasm; Cytoskeleton; Endosome; Exocytosis; Golgi apparatus; Membrane; Phosphoprotein; Repeat; WD repeat</t>
  </si>
  <si>
    <t>Cell projection; Cytoplasm; Cytoskeleton; Endosome; Golgi apparatus; Membrane</t>
  </si>
  <si>
    <t>axonogenesis {GO:0007409}; brain development {GO:0007420}; cortical actin cytoskeleton organization {GO:0030866}; establishment of spindle orientation {GO:0051294}; exocytosis {GO:0006887}; Golgi to plasma membrane transport {GO:0006893}; maintenance of apical/basal cell polarity {GO:0035090}; protein-containing complex assembly {GO:0065003}; regulation of establishment or maintenance of cell polarity {GO:0032878}; regulation of Notch signaling pathway {GO:0008593}; regulation of protein secretion {GO:0050708}</t>
  </si>
  <si>
    <t>axon {GO:0030424}; basolateral plasma membrane {GO:0016323}; cortical actin cytoskeleton {GO:0030864}; cytoplasm {GO:0005737}; cytoskeleton {GO:0005856}; early endosome membrane {GO:0031901}; Golgi cis cisterna {GO:0000137}; Golgi membrane {GO:0000139}; myelin sheath abaxonal region {GO:0035748}; plasma membrane {GO:0005886}; trans-Golgi network membrane {GO:0032588}</t>
  </si>
  <si>
    <t>GTPase activator activity {GO:0005096}; myosin II binding {GO:0045159}; protein kinase binding {GO:0019901}; small GTPase binding {GO:0031267}</t>
  </si>
  <si>
    <t>sp|P20918|PLMN_MOUSE</t>
  </si>
  <si>
    <t>Plasmin light chain B</t>
  </si>
  <si>
    <t>PLMN_MOUSE</t>
  </si>
  <si>
    <t>P20918</t>
  </si>
  <si>
    <t>Q8CIS2; Q91WJ5</t>
  </si>
  <si>
    <t>MGI:97620</t>
  </si>
  <si>
    <t>Blood coagulation; Cleavage on pair of basic residues; Disulfide bond; Fibrinolysis; Hemostasis; Hydrolase; Kringle; Phosphoprotein; Protease; Repeat; Secreted; Serine protease; Signal; Tissue remodeling; Zymogen</t>
  </si>
  <si>
    <t>Blood coagulation; Fibrinolysis; Hemostasis; Tissue remodeling</t>
  </si>
  <si>
    <t>Kringle; Repeat; Signal</t>
  </si>
  <si>
    <t>Cleavage on pair of basic residues; Disulfide bond; Phosphoprotein; Zymogen</t>
  </si>
  <si>
    <t>biological process involved in interaction with symbiont {GO:0051702}; blood coagulation {GO:0007596}; extracellular matrix disassembly {GO:0022617}; fibrinolysis {GO:0042730}; labyrinthine layer blood vessel development {GO:0060716}; mononuclear cell migration {GO:0071674}; muscle cell cellular homeostasis {GO:0046716}; myoblast differentiation {GO:0045445}; negative regulation of angiogenesis {GO:0016525}; negative regulation of cell-substrate adhesion {GO:0010812}; negative regulation of fibrinolysis {GO:0051918}; positive regulation of blood vessel endothelial cell migration {GO:0043536}; positive regulation of fibrinolysis {GO:0051919}; proteolysis {GO:0006508}; proteolysis involved in protein catabolic process {GO:0051603}; tissue regeneration {GO:0042246}; tissue remodeling {GO:0048771}; trans-synaptic signaling by BDNF, modulating synaptic transmission {GO:0099183}; trophoblast giant cell differentiation {GO:0060707}</t>
  </si>
  <si>
    <t>cell surface {GO:0009986}; collagen-containing extracellular matrix {GO:0062023}; extracellular region {GO:0005576}; extracellular space {GO:0005615}; extrinsic component of external side of plasma membrane {GO:0031232}; extrinsic component of plasma membrane {GO:0019897}; glutamatergic synapse {GO:0098978}; intracellular membrane-bounded organelle {GO:0043231}; plasma membrane {GO:0005886}; Schaffer collateral - CA1 synapse {GO:0098685}</t>
  </si>
  <si>
    <t>apolipoprotein binding {GO:0034185}; chaperone binding {GO:0051087}; endopeptidase activity {GO:0004175}; enzyme binding {GO:0019899}; kinase binding {GO:0019900}; protein antigen binding {GO:1990405}; protein domain specific binding {GO:0019904}; serine-type endopeptidase activity {GO:0004252}; signaling receptor binding {GO:0005102}</t>
  </si>
  <si>
    <t>Platelet degranulation {R-MMU-114608}; Activation of Matrix Metalloproteinases {R-MMU-1592389}; Signaling by PDGF {R-MMU-186797}; Dissolution of Fibrin Clot {R-MMU-75205}; LDL remodeling {R-MMU-8964041}</t>
  </si>
  <si>
    <t>sp|P12025|MK_MOUSE</t>
  </si>
  <si>
    <t>Midkine (MK)</t>
  </si>
  <si>
    <t>Retanoic acid-responsive protein; Retinoic acid-induced differentiation factor</t>
  </si>
  <si>
    <t>MK_MOUSE</t>
  </si>
  <si>
    <t>P12025</t>
  </si>
  <si>
    <t>Mk</t>
  </si>
  <si>
    <t>MGI:96949</t>
  </si>
  <si>
    <t>Developmental protein; Differentiation; Disulfide bond; Growth factor; Heparin-binding; Mitogen; Secreted; Signal</t>
  </si>
  <si>
    <t>Developmental protein; Growth factor; Heparin-binding; Mitogen</t>
  </si>
  <si>
    <t>adrenal gland development {GO:0030325}; behavioral fear response {GO:0001662}; cell migration {GO:0016477}; cerebellar granular layer development {GO:0021681}; cerebral cortex development {GO:0021987}; cytoskeleton organization {GO:0007010}; defecation {GO:0030421}; dentate gyrus development {GO:0021542}; estrous cycle {GO:0044849}; glial cell projection elongation {GO:0106091}; hippocampus development {GO:0021766}; leukocyte chemotaxis involved in inflammatory response {GO:0002232}; negative regulation of canonical Wnt signaling pathway {GO:0090090}; negative regulation of cardiac muscle cell apoptotic process {GO:0010667}; negative regulation of cell adhesion {GO:0007162}; negative regulation of epithelial cell apoptotic process {GO:1904036}; negative regulation of inflammatory response to wounding {GO:0106015}; negative regulation of neuron apoptotic process {GO:0043524}; negative regulation of neuron death {GO:1901215}; negative regulation of ossification {GO:0030279}; negative regulation of regulatory T cell differentiation {GO:0045590}; oogenesis {GO:0048477}; positive regulation of artery morphogenesis {GO:1905653}; positive regulation of blood vessel branching {GO:1905555}; positive regulation of cartilage development {GO:0061036}; positive regulation of cell adhesion {GO:0045785}; positive regulation of cell division {GO:0051781}; positive regulation of cell migration {GO:0030335}; positive regulation of DNA-templated transcription {GO:0045893}; positive regulation of epithelial to mesenchymal transition {GO:0010718}; positive regulation of hepatocyte proliferation {GO:2000347}; positive regulation of inflammatory response {GO:0050729}; positive regulation of inflammatory response to wounding {GO:0106016}; positive regulation of interleukin-12 production {GO:0032735}; positive regulation of keratinocyte proliferation {GO:0010838}; positive regulation of leukocyte adhesion to vascular endothelial cell {GO:1904996}; positive regulation of leukocyte cell-cell adhesion {GO:1903039}; positive regulation of leukocyte chemotaxis {GO:0002690}; positive regulation of macrophage chemotaxis {GO:0010759}; positive regulation of neural precursor cell proliferation {GO:2000179}; positive regulation of neuron migration {GO:2001224}; positive regulation of neuron projection development {GO:0010976}; positive regulation of neutrophil chemotaxis {GO:0090023}; positive regulation of neutrophil extravasation {GO:2000391}; positive regulation of oligodendrocyte differentiation {GO:0048714}; positive regulation of smooth muscle cell chemotaxis {GO:0071673}; positive regulation of substrate adhesion-dependent cell spreading {GO:1900026}; positive regulation of T cell differentiation {GO:0045582}; positive regulation of vascular endothelial cell proliferation {GO:1905564}; regulation of actin cytoskeleton reorganization {GO:2000249}; regulation of behavior {GO:0050795}; regulation of bone remodeling {GO:0046850}; regulation of chondrocyte differentiation {GO:0032330}; response to auditory stimulus {GO:0010996}; response to glucocorticoid {GO:0051384}; response to wounding {GO:0009611}; response to xenobiotic stimulus {GO:0009410}; short-term memory {GO:0007614}; T cell activation involved in immune response {GO:0002286}; tissue regeneration {GO:0042246}</t>
  </si>
  <si>
    <t>cell projection {GO:0042995}; cytoplasm {GO:0005737}; extracellular region {GO:0005576}</t>
  </si>
  <si>
    <t>chondroitin sulfate binding {GO:0035374}; growth factor activity {GO:0008083}; heparan sulfate binding {GO:1904399}; heparin binding {GO:0008201}</t>
  </si>
  <si>
    <t>sp|P62700|YPEL5_MOUSE</t>
  </si>
  <si>
    <t>Protein yippee-like 5</t>
  </si>
  <si>
    <t>YPEL5_MOUSE</t>
  </si>
  <si>
    <t>P62700</t>
  </si>
  <si>
    <t>Q543T4; Q8R174; Q9D6M1; Q9UMX7; Q9Y3C9</t>
  </si>
  <si>
    <t>MGI:1916937</t>
  </si>
  <si>
    <t>Cytoplasm; Cytoskeleton; Metal-binding; Nucleus; Phosphoprotein; Zinc</t>
  </si>
  <si>
    <t>cell population proliferation {GO:0008283}</t>
  </si>
  <si>
    <t>cytoplasm {GO:0005737}; microtubule organizing center {GO:0005815}; midbody {GO:0030496}; mitotic spindle pole {GO:0097431}; nucleus {GO:0005634}; ubiquitin ligase complex {GO:0000151}</t>
  </si>
  <si>
    <t>sp|Q9D1H7|GET4_MOUSE</t>
  </si>
  <si>
    <t>Golgi to ER traffic protein 4 homolog</t>
  </si>
  <si>
    <t>GET4_MOUSE</t>
  </si>
  <si>
    <t>Q9D1H7</t>
  </si>
  <si>
    <t>Q78J86</t>
  </si>
  <si>
    <t>MGI:1914854</t>
  </si>
  <si>
    <t>Acetylation; Alternative splicing; Cytoplasm; Transport; Ubl conjugation</t>
  </si>
  <si>
    <t>cytoplasmic sequestering of protein {GO:0051220}; maintenance of unfolded protein involved in ERAD pathway {GO:1904378}; post-translational protein targeting to endoplasmic reticulum membrane {GO:0006620}; protein insertion into ER membrane {GO:0045048}; regulation of protein stability {GO:0031647}; tail-anchored membrane protein insertion into ER membrane {GO:0071816}; ubiquitin-dependent protein catabolic process {GO:0006511}</t>
  </si>
  <si>
    <t>BAT3 complex {GO:0071818}; chromosome {GO:0005694}; cytoplasm {GO:0005737}; cytosol {GO:0005829}; nucleolus {GO:0005730}; nucleoplasm {GO:0005654}</t>
  </si>
  <si>
    <t>sp|Q91YJ3|THYN1_MOUSE</t>
  </si>
  <si>
    <t>Thymocyte nuclear protein 1</t>
  </si>
  <si>
    <t>Thymocyte protein Thy28 (mThy28)</t>
  </si>
  <si>
    <t>THYN1_MOUSE</t>
  </si>
  <si>
    <t>Q91YJ3</t>
  </si>
  <si>
    <t>Thy28</t>
  </si>
  <si>
    <t>MGI:1925112</t>
  </si>
  <si>
    <t>Nucleus; Phosphoprotein</t>
  </si>
  <si>
    <t>sp|P61600|NAA20_MOUSE</t>
  </si>
  <si>
    <t>N-alpha-acetyltransferase 20</t>
  </si>
  <si>
    <t>Methionine N-acetyltransferase; N-acetyltransferase 5; N-terminal acetyltransferase B complex catalytic subunit NAA20; N-terminal acetyltransferase B complex catalytic subunit NAT5 (NatB complex subunit NAT5); NatB catalytic subunit</t>
  </si>
  <si>
    <t>NAA20_MOUSE</t>
  </si>
  <si>
    <t>P61600</t>
  </si>
  <si>
    <t>Q14B28; Q4VAC3; Q9D7H8; Q9H0Y4; Q9NQH6; Q9Y6D2</t>
  </si>
  <si>
    <t>Nat5</t>
  </si>
  <si>
    <t>MGI:1915127</t>
  </si>
  <si>
    <t>Acyltransferase; Cytoplasm; Nucleus; Transferase</t>
  </si>
  <si>
    <t>N-terminal peptidyl-aspartic acid acetylation {GO:0017190}; N-terminal peptidyl-glutamic acid acetylation {GO:0018002}; N-terminal peptidyl-glutamine acetylation {GO:0017192}; N-terminal peptidyl-methionine acetylation {GO:0017196}; N-terminal protein amino acid acetylation {GO:0006474}</t>
  </si>
  <si>
    <t>cytoplasm {GO:0005737}; cytosol {GO:0005829}; NatB complex {GO:0031416}; nucleus {GO:0005634}</t>
  </si>
  <si>
    <t>peptide alpha-N-acetyltransferase activity {GO:0004596}</t>
  </si>
  <si>
    <t>sp|P58064|RT06_MOUSE</t>
  </si>
  <si>
    <t>28S ribosomal protein S6, mitochondrial (MRP-S6; S6mt)</t>
  </si>
  <si>
    <t>RT06_MOUSE</t>
  </si>
  <si>
    <t>P58064</t>
  </si>
  <si>
    <t>Rpms6</t>
  </si>
  <si>
    <t>MGI:2153111</t>
  </si>
  <si>
    <t>small ribosomal subunit rRNA binding {GO:0070181}; structural constituent of ribosome {GO:0003735}</t>
  </si>
  <si>
    <t>sp|Q9Z2Q6|SEPT5_MOUSE</t>
  </si>
  <si>
    <t>Septin-5</t>
  </si>
  <si>
    <t>Cell division control-related protein 1 (CDCrel-1); Peanut-like protein 1</t>
  </si>
  <si>
    <t>SEPT5_MOUSE</t>
  </si>
  <si>
    <t>Q9Z2Q6</t>
  </si>
  <si>
    <t>B2RUC5; Q3UYG4; Q6PB74</t>
  </si>
  <si>
    <t>MGI:1195461</t>
  </si>
  <si>
    <t>Cell cycle; Cell division; Coiled coil; Cytoplasm; Cytoskeleton; GTP-binding; Methylation; Nucleotide-binding; Phosphoprotein</t>
  </si>
  <si>
    <t>adult behavior {GO:0030534}; cytoskeleton-dependent cytokinesis {GO:0061640}; positive regulation of exocytosis {GO:0045921}; protein localization {GO:0008104}; regulation of exocytosis {GO:0017157}; regulation of synaptic vesicle docking {GO:0099148}; social behavior {GO:0035176}</t>
  </si>
  <si>
    <t>axon terminus {GO:0043679}; calyx of Held {GO:0044305}; cell cortex {GO:0005938}; cell division site {GO:0032153}; cleavage furrow {GO:0032154}; microtubule cytoskeleton {GO:0015630}; plasma membrane {GO:0005886}; presynapse {GO:0098793}; septin complex {GO:0031105}; septin ring {GO:0005940}; stress fiber {GO:0001725}; synapse {GO:0045202}; synaptic vesicle {GO:0008021}; terminal bouton {GO:0043195}</t>
  </si>
  <si>
    <t>GDP binding {GO:0019003}; GTP binding {GO:0005525}; GTPase activity {GO:0003924}; identical protein binding {GO:0042802}; molecular adaptor activity {GO:0060090}; phosphatidylinositol binding {GO:0035091}; protein homodimerization activity {GO:0042803}; syntaxin binding {GO:0019905}</t>
  </si>
  <si>
    <t>sp|P21271|MYO5B_MOUSE</t>
  </si>
  <si>
    <t>Unconventional myosin-Vb</t>
  </si>
  <si>
    <t>MYO5B_MOUSE</t>
  </si>
  <si>
    <t>P21271</t>
  </si>
  <si>
    <t>Q148A3; Q69ZR6; Q811F6; Q91X59</t>
  </si>
  <si>
    <t>Kiaa1119</t>
  </si>
  <si>
    <t>MGI:106598</t>
  </si>
  <si>
    <t>Actin-binding; Alternative splicing; ATP-binding; Calmodulin-binding; Coiled coil; Cytoplasm; Motor protein; Myosin; Nucleotide-binding; Phosphoprotein; Protein transport; Repeat; Transport</t>
  </si>
  <si>
    <t>actin filament organization {GO:0007015}; dendritic spine morphogenesis {GO:0060997}; endosomal transport {GO:0016197}; modulation of chemical synaptic transmission {GO:0050804}; neurotransmitter receptor transport, endosome to plasma membrane {GO:0099639}; positive regulation of axon extension {GO:0045773}; positive regulation of dendrite morphogenesis {GO:0050775}; positive regulation of exosomal secretion {GO:1903543}; positive regulation of protein localization to plasma membrane {GO:1903078}; protein transport {GO:0015031}; regulation of modification of postsynaptic structure {GO:0099159}; regulation of protein localization {GO:0032880}; vesicle transport along actin filament {GO:0030050}; vesicle-mediated transport {GO:0016192}; vesicle-mediated transport in synapse {GO:0099003}</t>
  </si>
  <si>
    <t>actin cytoskeleton {GO:0015629}; apical cortex {GO:0045179}; brush border {GO:0005903}; dendritic spine {GO:0043197}; glutamatergic synapse {GO:0098978}; myosin complex {GO:0016459}; neuron projection {GO:0043005}; neuronal cell body {GO:0043025}; perinuclear region of cytoplasm {GO:0048471}; postsynaptic actin cytoskeleton {GO:0098871}; postsynaptic recycling endosome membrane {GO:0098944}; protein-containing complex {GO:0032991}; recycling endosome {GO:0055037}; Schaffer collateral - CA1 synapse {GO:0098685}</t>
  </si>
  <si>
    <t>actin filament binding {GO:0051015}; ATP binding {GO:0005524}; ATP hydrolysis activity {GO:0016887}; calmodulin binding {GO:0005516}; ionotropic glutamate receptor binding {GO:0035255}; microfilament motor activity {GO:0000146}; small GTPase binding {GO:0031267}</t>
  </si>
  <si>
    <t>Vasopressin regulates renal water homeostasis via Aquaporins {R-MMU-432040}</t>
  </si>
  <si>
    <t>sp|Q9D735|TRIR_MOUSE</t>
  </si>
  <si>
    <t>Telomerase RNA component interacting RNase</t>
  </si>
  <si>
    <t>Exoribonuclease Trir</t>
  </si>
  <si>
    <t>TRIR_MOUSE</t>
  </si>
  <si>
    <t>Q9D735</t>
  </si>
  <si>
    <t>Q9D1N3</t>
  </si>
  <si>
    <t>MGI:1922833</t>
  </si>
  <si>
    <t>Acetylation; Exonuclease; Hydrolase; Nuclease; RNA-binding</t>
  </si>
  <si>
    <t>RNA phosphodiester bond hydrolysis, exonucleolytic {GO:0090503}; rRNA catabolic process {GO:0016075}</t>
  </si>
  <si>
    <t>3'-5' exonuclease activity {GO:0008408}; 5'-3' exonuclease activity {GO:0008409}; RNA binding {GO:0003723}</t>
  </si>
  <si>
    <t>sp|Q9D7N6|RM30_MOUSE</t>
  </si>
  <si>
    <t>39S ribosomal protein L30, mitochondrial (L30mt; MRP-L30)</t>
  </si>
  <si>
    <t>RM30_MOUSE</t>
  </si>
  <si>
    <t>Q9D7N6</t>
  </si>
  <si>
    <t>Q99KJ7</t>
  </si>
  <si>
    <t>MGI:1333820</t>
  </si>
  <si>
    <t>sp|Q8BLU0|FLRT2_MOUSE</t>
  </si>
  <si>
    <t>Leucine-rich repeat transmembrane protein FLRT2</t>
  </si>
  <si>
    <t>Fibronectin leucine rich transmembrane protein 2</t>
  </si>
  <si>
    <t>FLRT2_MOUSE</t>
  </si>
  <si>
    <t>Q8BLU0</t>
  </si>
  <si>
    <t>Q6A073</t>
  </si>
  <si>
    <t>MGI:3603594</t>
  </si>
  <si>
    <t>3D-structure; Cell adhesion; Cell junction; Cell membrane; Developmental protein; Disulfide bond; Endoplasmic reticulum; Extracellular matrix; Glycoprotein; Leucine-rich repeat; Membrane; Microsome; Repeat; Secreted; Signal; Synapse; Synaptosome; Transmembrane; Transmembrane helix</t>
  </si>
  <si>
    <t>Cell junction; Cell membrane; Endoplasmic reticulum; Extracellular matrix; Membrane; Microsome; Secreted; Synapse; Synaptosome</t>
  </si>
  <si>
    <t>Leucine-rich repeat; Repeat; Signal; Transmembrane; Transmembrane helix</t>
  </si>
  <si>
    <t>axon guidance {GO:0007411}; basement membrane organization {GO:0071711}; cell adhesion involved in heart morphogenesis {GO:0061343}; fibroblast growth factor receptor signaling pathway {GO:0008543}; heart morphogenesis {GO:0003007}; positive regulation of synapse assembly {GO:0051965}; regulation of neuron migration {GO:2001222}</t>
  </si>
  <si>
    <t>cell-cell junction {GO:0005911}; endoplasmic reticulum membrane {GO:0005789}; extracellular space {GO:0005615}; focal adhesion {GO:0005925}; integral component of plasma membrane {GO:0005887}; neuron projection {GO:0043005}; synapse {GO:0045202}</t>
  </si>
  <si>
    <t>chemorepellent activity {GO:0045499}; fibroblast growth factor receptor binding {GO:0005104}</t>
  </si>
  <si>
    <t>Downstream signaling of activated FGFR1 {R-MMU-5654687}</t>
  </si>
  <si>
    <t>sp|Q3V1V3|ESF1_MOUSE</t>
  </si>
  <si>
    <t>ESF1 homolog</t>
  </si>
  <si>
    <t>ABT1-associated protein</t>
  </si>
  <si>
    <t>ESF1_MOUSE</t>
  </si>
  <si>
    <t>Q3V1V3</t>
  </si>
  <si>
    <t>Abtap</t>
  </si>
  <si>
    <t>MGI:1913830</t>
  </si>
  <si>
    <t>Acetylation; Coiled coil; Nucleus; Phosphoprotein; Transcription; Transcription regulation</t>
  </si>
  <si>
    <t>nucleolus {GO:0005730}; nucleoplasm {GO:0005654}</t>
  </si>
  <si>
    <t>sp|Q69ZH9|RHG23_MOUSE</t>
  </si>
  <si>
    <t>Rho GTPase-activating protein 23</t>
  </si>
  <si>
    <t>Rho-type GTPase-activating protein 23</t>
  </si>
  <si>
    <t>RHG23_MOUSE</t>
  </si>
  <si>
    <t>Q69ZH9</t>
  </si>
  <si>
    <t>Q8BNY7; Q9JJD6</t>
  </si>
  <si>
    <t>Kiaa1501</t>
  </si>
  <si>
    <t>MGI:3697726</t>
  </si>
  <si>
    <t>Alternative splicing; GTPase activation; Isopeptide bond; Phosphoprotein; Ubl conjugation</t>
  </si>
  <si>
    <t>RHOA GTPase cycle {R-MMU-8980692}; RAC1 GTPase cycle {R-MMU-9013149}</t>
  </si>
  <si>
    <t>sp|P70677|CASP3_MOUSE</t>
  </si>
  <si>
    <t>Caspase-3 subunit p12</t>
  </si>
  <si>
    <t>Apopain; Cysteine protease CPP32 (CPP-32); LICE; Protein Yama; SREBP cleavage activity 1 (SCA-1)</t>
  </si>
  <si>
    <t>CASP3_MOUSE</t>
  </si>
  <si>
    <t>P70677</t>
  </si>
  <si>
    <t>O08668; Q8CHV5; Q9QWI4</t>
  </si>
  <si>
    <t>Cpp32</t>
  </si>
  <si>
    <t>MGI:107739</t>
  </si>
  <si>
    <t>Acetylation; Apoptosis; Cytoplasm; Hydrolase; Phosphoprotein; Protease; S-nitrosylation; Thiol protease; Zymogen</t>
  </si>
  <si>
    <t>Acetylation; Phosphoprotein; S-nitrosylation; Zymogen</t>
  </si>
  <si>
    <t>anterior neural tube closure {GO:0061713}; apoptotic process {GO:0006915}; axonal fasciculation {GO:0007413}; B cell homeostasis {GO:0001782}; cell fate commitment {GO:0045165}; cellular response to DNA damage stimulus {GO:0006974}; cellular response to organic substance {GO:0071310}; cellular response to staurosporine {GO:0072734}; epithelial cell apoptotic process {GO:1904019}; erythrocyte differentiation {GO:0030218}; execution phase of apoptosis {GO:0097194}; extrinsic apoptotic signaling pathway {GO:0097191}; fibroblast apoptotic process {GO:0044346}; glial cell apoptotic process {GO:0034349}; heart development {GO:0007507}; hippocampus development {GO:0021766}; intracellular signal transduction {GO:0035556}; intrinsic apoptotic signaling pathway {GO:0097193}; intrinsic apoptotic signaling pathway in response to endoplasmic reticulum stress {GO:0070059}; intrinsic apoptotic signaling pathway in response to osmotic stress {GO:0008627}; keratinocyte differentiation {GO:0030216}; learning or memory {GO:0007611}; leukocyte apoptotic process {GO:0071887}; luteolysis {GO:0001554}; negative regulation of activated T cell proliferation {GO:0046007}; negative regulation of apoptotic process {GO:0043066}; negative regulation of B cell proliferation {GO:0030889}; negative regulation of cell cycle {GO:0045786}; negative regulation of cyclin-dependent protein serine/threonine kinase activity {GO:0045736}; neuron apoptotic process {GO:0051402}; neuron differentiation {GO:0030182}; neurotrophin TRK receptor signaling pathway {GO:0048011}; positive regulation of amyloid-beta formation {GO:1902004}; positive regulation of apoptotic DNA fragmentation {GO:1902512}; positive regulation of apoptotic process {GO:0043065}; positive regulation of neuron apoptotic process {GO:0043525}; protein catabolic process {GO:0030163}; protein processing {GO:0016485}; proteolysis {GO:0006508}; regulation of protein stability {GO:0031647}; response to amino acid {GO:0043200}; response to antibiotic {GO:0046677}; response to cobalt ion {GO:0032025}; response to estradiol {GO:0032355}; response to glucocorticoid {GO:0051384}; response to glucose {GO:0009749}; response to hydrogen peroxide {GO:0042542}; response to hypoxia {GO:0001666}; response to lipopolysaccharide {GO:0032496}; response to nicotine {GO:0035094}; response to organic substance {GO:0010033}; response to UV {GO:0009411}; response to wounding {GO:0009611}; response to X-ray {GO:0010165}; response to xenobiotic stimulus {GO:0009410}; sensory perception of sound {GO:0007605}; striated muscle cell differentiation {GO:0051146}; T cell homeostasis {GO:0043029}; wound healing {GO:0042060}</t>
  </si>
  <si>
    <t>caspase complex {GO:0008303}; cytoplasm {GO:0005737}; cytosol {GO:0005829}; death-inducing signaling complex {GO:0031264}; membrane raft {GO:0045121}; neuronal cell body {GO:0043025}; nucleus {GO:0005634}</t>
  </si>
  <si>
    <t>aspartic-type endopeptidase activity {GO:0004190}; cyclin-dependent protein serine/threonine kinase inhibitor activity {GO:0004861}; cysteine-type endopeptidase activity {GO:0004197}; cysteine-type endopeptidase activity involved in apoptotic process {GO:0097153}; cysteine-type endopeptidase activity involved in apoptotic signaling pathway {GO:0097199}; cysteine-type endopeptidase activity involved in execution phase of apoptosis {GO:0097200}; cysteine-type peptidase activity {GO:0008234}; death receptor binding {GO:0005123}; endopeptidase activity {GO:0004175}; peptidase activity {GO:0008233}; phospholipase A2 activator activity {GO:0016005}; protease binding {GO:0002020}; protein-containing complex binding {GO:0044877}</t>
  </si>
  <si>
    <t>Activation of caspases through apoptosome-mediated cleavage {R-MMU-111459}; Apoptotic cleavage of cellular proteins {R-MMU-111465}; SMAC, XIAP-regulated apoptotic response {R-MMU-111469}; Apoptosis induced DNA fragmentation {R-MMU-140342}; Signaling by Hippo {R-MMU-2028269}; NADE modulates death signalling {R-MMU-205025}; Caspase-mediated cleavage of cytoskeletal proteins {R-MMU-264870}; Apoptotic cleavage of cell adhesion proteins {R-MMU-351906}; Caspase activation via Dependence Receptors in the absence of ligand {R-MMU-418889}; Other interleukin signaling {R-MMU-449836}; Pyroptosis {R-MMU-5620971}</t>
  </si>
  <si>
    <t>sp|Q9R0I7|YLPM1_MOUSE</t>
  </si>
  <si>
    <t>YLP motif-containing protein 1</t>
  </si>
  <si>
    <t>Nuclear protein ZAP3</t>
  </si>
  <si>
    <t>YLPM1_MOUSE</t>
  </si>
  <si>
    <t>Q9R0I7</t>
  </si>
  <si>
    <t>E9QKY3; Q7TMM4</t>
  </si>
  <si>
    <t>Zap; Zap3</t>
  </si>
  <si>
    <t>MGI:1926195</t>
  </si>
  <si>
    <t>Isopeptide bond; Methylation; Nucleus; Repressor; Transcription; Transcription regulation; Ubl conjugation</t>
  </si>
  <si>
    <t>negative regulation of transcription by RNA polymerase II {GO:0000122}; regulation of telomere maintenance {GO:0032204}</t>
  </si>
  <si>
    <t>cytosol {GO:0005829}; nuclear speck {GO:0016607}; nucleoplasm {GO:0005654}; nucleus {GO:0005634}</t>
  </si>
  <si>
    <t>DNA-binding transcription repressor activity, RNA polymerase II-specific {GO:0001227}</t>
  </si>
  <si>
    <t>sp|B2RXC1|TPC11_MOUSE</t>
  </si>
  <si>
    <t>Trafficking protein particle complex subunit 11</t>
  </si>
  <si>
    <t>TPC11_MOUSE</t>
  </si>
  <si>
    <t>B2RXC1</t>
  </si>
  <si>
    <t>B9EJS1; Q52KP8; Q8BXY8</t>
  </si>
  <si>
    <t>MGI:2444585</t>
  </si>
  <si>
    <t>Acetylation; Alternative splicing; ER-Golgi transport; Golgi apparatus; Transport</t>
  </si>
  <si>
    <t>constitutive secretory pathway {GO:0045054}; COPII vesicle coating {GO:0048208}; endoplasmic reticulum to Golgi vesicle-mediated transport {GO:0006888}; Golgi organization {GO:0007030}; regulation of protein complex stability {GO:0061635}; vesicle tethering {GO:0099022}</t>
  </si>
  <si>
    <t>cytoplasm {GO:0005737}; Golgi apparatus {GO:0005794}; TRAPP complex {GO:0030008}; TRAPPIII protein complex {GO:1990072}</t>
  </si>
  <si>
    <t>sp|Q3URD3|SLMAP_MOUSE</t>
  </si>
  <si>
    <t>Sarcolemmal membrane-associated protein (Sarcolemmal-associated protein)</t>
  </si>
  <si>
    <t>SLMAP_MOUSE</t>
  </si>
  <si>
    <t>Q3URD3</t>
  </si>
  <si>
    <t>Q3TLP0; Q3UIZ6; Q6ZPL8; Q8VC86; Q9EQ03</t>
  </si>
  <si>
    <t>Kiaa1601; Slap</t>
  </si>
  <si>
    <t>MGI:1933549</t>
  </si>
  <si>
    <t>Alternative splicing; Cell membrane; Coiled coil; Cytoplasm; Cytoskeleton; Membrane; Phosphoprotein; Transmembrane; Transmembrane helix</t>
  </si>
  <si>
    <t>muscle contraction {GO:0006936}; protein localization to plasma membrane {GO:0072659}; regulation of membrane depolarization during cardiac muscle cell action potential {GO:1900825}; regulation of sodium ion transmembrane transport {GO:1902305}; regulation of voltage-gated sodium channel activity {GO:1905150}</t>
  </si>
  <si>
    <t>extracellular space {GO:0005615}; integral component of membrane {GO:0016021}; M band {GO:0031430}; microtubule organizing center {GO:0005815}; sarcolemma {GO:0042383}; Z disc {GO:0030018}</t>
  </si>
  <si>
    <t>sp|Q3UD01|A7L3B_MOUSE</t>
  </si>
  <si>
    <t>Ataxin-7-like protein 3B</t>
  </si>
  <si>
    <t>A7L3B_MOUSE</t>
  </si>
  <si>
    <t>Q3UD01</t>
  </si>
  <si>
    <t>MGI:1914971</t>
  </si>
  <si>
    <t>regulation of gene expression {GO:0010468}</t>
  </si>
  <si>
    <t>sp|Q9Z321|TOP3B_MOUSE</t>
  </si>
  <si>
    <t>DNA topoisomerase 3-beta-1</t>
  </si>
  <si>
    <t>DNA topoisomerase III beta-1</t>
  </si>
  <si>
    <t>TOP3B_MOUSE</t>
  </si>
  <si>
    <t>Q9Z321</t>
  </si>
  <si>
    <t>Top3b1</t>
  </si>
  <si>
    <t>MGI:1333803</t>
  </si>
  <si>
    <t>chromosome segregation {GO:0007059}; DNA topological change {GO:0006265}</t>
  </si>
  <si>
    <t>condensed chromosome {GO:0000793}; DNA topoisomerase III-beta-TDRD3 complex {GO:0140225}; nucleus {GO:0005634}</t>
  </si>
  <si>
    <t>DNA binding {GO:0003677}; DNA topoisomerase activity {GO:0003916}; DNA topoisomerase type I (single strand cut, ATP-independent) activity {GO:0003917}</t>
  </si>
  <si>
    <t>sp|Q9JHL1|NHRF2_MOUSE</t>
  </si>
  <si>
    <t>Na(+)/H(+) exchange regulatory cofactor NHE-RF2 (NHERF-2)</t>
  </si>
  <si>
    <t>NHE3 kinase A regulatory protein E3KARP; Octs2; SRY-interacting protein 1 (SIP-1); Sodium-hydrogen exchanger regulatory factor 2; Solute carrier family 9 isoform A3 regulatory factor 2; Tyrosine kinase activator protein 1 (TKA-1)</t>
  </si>
  <si>
    <t>NHRF2_MOUSE</t>
  </si>
  <si>
    <t>Q9JHL1</t>
  </si>
  <si>
    <t>Q3TDR3; Q6P074; Q8BGL9; Q8BW05; Q9DCR6</t>
  </si>
  <si>
    <t>Nherf2</t>
  </si>
  <si>
    <t>MGI:1890662</t>
  </si>
  <si>
    <t>Alternative splicing; Cell membrane; Membrane; Nucleus; Phosphoprotein; Repeat</t>
  </si>
  <si>
    <t>negative regulation of phosphatidylinositol 3-kinase signaling {GO:0014067}; phosphatidylinositol 3-kinase signaling {GO:0014065}; positive regulation of ion transmembrane transport {GO:0034767}; protein localization to plasma membrane {GO:0072659}; sensory perception of sound {GO:0007605}</t>
  </si>
  <si>
    <t>apical plasma membrane {GO:0016324}; cytoplasm {GO:0005737}; endomembrane system {GO:0012505}; nucleus {GO:0005634}; plasma membrane {GO:0005886}; protein-containing complex {GO:0032991}; stereocilium {GO:0032420}; stereocilium bundle {GO:0032421}</t>
  </si>
  <si>
    <t>beta-catenin binding {GO:0008013}; identical protein binding {GO:0042802}; low-density lipoprotein particle receptor binding {GO:0050750}; molecular adaptor activity {GO:0060090}; phosphatase binding {GO:0019902}; protein C-terminus binding {GO:0008022}; protein N-terminus binding {GO:0047485}; protein-membrane adaptor activity {GO:0043495}; signaling receptor binding {GO:0005102}</t>
  </si>
  <si>
    <t>sp|Q8R1H0|HOP_MOUSE</t>
  </si>
  <si>
    <t>Homeodomain-only protein</t>
  </si>
  <si>
    <t>Homeobox-only protein; Odd homeobox protein 1 (mOB1)</t>
  </si>
  <si>
    <t>HOP_MOUSE</t>
  </si>
  <si>
    <t>Q8R1H0</t>
  </si>
  <si>
    <t>Q8C1N5; Q8CJ22</t>
  </si>
  <si>
    <t>Hod; Hop; Ob1</t>
  </si>
  <si>
    <t>MGI:1916782</t>
  </si>
  <si>
    <t>3D-structure; Cytoplasm; Developmental protein; Homeobox; Nucleus; Repressor; Transcription; Transcription regulation</t>
  </si>
  <si>
    <t>chaperone-mediated protein complex assembly {GO:0051131}; heart development {GO:0007507}; histone deacetylation {GO:0016575}; lung alveolus development {GO:0048286}; negative regulation of cell differentiation {GO:0045596}; negative regulation of transcription by RNA polymerase II {GO:0000122}; positive regulation of gap junction assembly {GO:1903598}; positive regulation of skeletal muscle tissue regeneration {GO:0043415}; positive regulation of striated muscle cell differentiation {GO:0051155}; regulation of heart contraction {GO:0008016}; regulation of protein binding {GO:0043393}; regulation of transcription by RNA polymerase II {GO:0006357}; trophectodermal cell differentiation {GO:0001829}</t>
  </si>
  <si>
    <t>sp|Q60875|ARHG2_MOUSE</t>
  </si>
  <si>
    <t>Rho guanine nucleotide exchange factor 2</t>
  </si>
  <si>
    <t>Guanine nucleotide exchange factor H1 (GEF-H1); LBC'S first cousin; Lymphoid blast crisis-like 1; Oncogene LFC; Rhobin</t>
  </si>
  <si>
    <t>ARHG2_MOUSE</t>
  </si>
  <si>
    <t>Q60875</t>
  </si>
  <si>
    <t>E9QNW9; O09115; Q3TBI4; Q3TJ16; Q8CHE1; Q923E0; Q9ESG7</t>
  </si>
  <si>
    <t>Kiaa0651; Lbcl1; Lfc</t>
  </si>
  <si>
    <t>MGI:103264</t>
  </si>
  <si>
    <t>3D-structure; Acetylation; Alternative splicing; Cell cycle; Cell division; Cell junction; Coiled coil; Cytoplasm; Cytoplasmic vesicle; Cytoskeleton; Developmental protein; Differentiation; Golgi apparatus; Guanine-nucleotide releasing factor; Immunity; Innate immunity; Metal-binding; Microtubule; Mitosis; Neurogenesis; Phosphoprotein; Proto-oncogene; Tight junction; Zinc; Zinc-finger</t>
  </si>
  <si>
    <t>Cell cycle; Cell division; Differentiation; Immunity; Innate immunity; Mitosis; Neurogenesis</t>
  </si>
  <si>
    <t>Cell junction; Cytoplasm; Cytoplasmic vesicle; Cytoskeleton; Golgi apparatus; Microtubule; Tight junction</t>
  </si>
  <si>
    <t>actin filament organization {GO:0007015}; asymmetric neuroblast division {GO:0055059}; cell morphogenesis {GO:0000902}; cellular response to muramyl dipeptide {GO:0071225}; establishment of mitotic spindle orientation {GO:0000132}; innate immune response {GO:0045087}; negative regulation of microtubule depolymerization {GO:0007026}; negative regulation of neurogenesis {GO:0050768}; negative regulation of podosome assembly {GO:0071802}; positive regulation of interleukin-6 production {GO:0032755}; positive regulation of neuron differentiation {GO:0045666}; positive regulation of neuron migration {GO:2001224}; positive regulation of NF-kappaB transcription factor activity {GO:0051092}; positive regulation of peptidyl-tyrosine phosphorylation {GO:0050731}; positive regulation of transcription by RNA polymerase II {GO:0045944}; positive regulation of tumor necrosis factor production {GO:0032760}; regulation of Rho protein signal transduction {GO:0035023}</t>
  </si>
  <si>
    <t>bicellular tight junction {GO:0005923}; cytoplasm {GO:0005737}; cytoplasmic vesicle {GO:0031410}; cytoskeleton {GO:0005856}; dendritic shaft {GO:0043198}; glutamatergic synapse {GO:0098978}; Golgi apparatus {GO:0005794}; microtubule {GO:0005874}; neuronal cell body {GO:0043025}; podosome {GO:0002102}; postsynaptic density {GO:0014069}; postsynaptic density, intracellular component {GO:0099092}; protein-containing complex {GO:0032991}; ruffle membrane {GO:0032587}; spindle {GO:0005819}; vesicle {GO:0031982}</t>
  </si>
  <si>
    <t>guanyl-nucleotide exchange factor activity {GO:0005085}; metal ion binding {GO:0046872}; microtubule binding {GO:0008017}; small GTPase binding {GO:0031267}</t>
  </si>
  <si>
    <t>NRAGE signals death through JNK {R-MMU-193648}; G alpha (12/13) signalling events {R-MMU-416482}; RHOA GTPase cycle {R-MMU-8980692}; RHOB GTPase cycle {R-MMU-9013026}</t>
  </si>
  <si>
    <t>sp|Q3THK3|T2FA_MOUSE</t>
  </si>
  <si>
    <t>General transcription factor IIF subunit 1</t>
  </si>
  <si>
    <t>Transcription initiation factor IIF subunit alpha (TFIIF-alpha)</t>
  </si>
  <si>
    <t>T2FA_MOUSE</t>
  </si>
  <si>
    <t>Q3THK3</t>
  </si>
  <si>
    <t>Q8R5B7</t>
  </si>
  <si>
    <t>MGI:1923848</t>
  </si>
  <si>
    <t>negative regulation of protein binding {GO:0032091}; positive regulation of transcription by RNA polymerase II {GO:0045944}; positive regulation of transcription elongation by RNA polymerase II {GO:0032968}; response to virus {GO:0009615}; transcription elongation by RNA polymerase II promoter {GO:0006368}; transcription initiation at RNA polymerase II promoter {GO:0006367}</t>
  </si>
  <si>
    <t>cell junction {GO:0030054}; intracellular membrane-bounded organelle {GO:0043231}; nucleoplasm {GO:0005654}; nucleus {GO:0005634}; protein-containing complex {GO:0032991}; transcription factor TFIID complex {GO:0005669}; transcription factor TFIIF complex {GO:0005674}</t>
  </si>
  <si>
    <t>DNA binding {GO:0003677}; phosphatase activator activity {GO:0019211}; promoter-specific chromatin binding {GO:1990841}; protein domain specific binding {GO:0019904}; protein phosphatase binding {GO:0019903}; RNA polymerase II general transcription initiation factor activity {GO:0016251}; RNA polymerase II general transcription initiation factor binding {GO:0001091}; TFIIF-class transcription factor complex binding {GO:0001096}</t>
  </si>
  <si>
    <t>sp|Q8C9S4|CC186_MOUSE</t>
  </si>
  <si>
    <t>Coiled-coil domain-containing protein 186</t>
  </si>
  <si>
    <t>Oocyte-testis gene 1 protein</t>
  </si>
  <si>
    <t>CC186_MOUSE</t>
  </si>
  <si>
    <t>Q8C9S4</t>
  </si>
  <si>
    <t>Q6P3D6; Q8CJC0</t>
  </si>
  <si>
    <t>Otg1</t>
  </si>
  <si>
    <t>MGI:2445022</t>
  </si>
  <si>
    <t>Coiled coil; Phosphoprotein</t>
  </si>
  <si>
    <t>glucose homeostasis {GO:0042593}; insulin secretion involved in cellular response to glucose stimulus {GO:0035773}; response to bacterium {GO:0009617}; vesicle cytoskeletal trafficking {GO:0099518}</t>
  </si>
  <si>
    <t>Golgi apparatus {GO:0005794}; trans-Golgi network {GO:0005802}</t>
  </si>
  <si>
    <t>sp|Q3UU96|MRCKA_MOUSE</t>
  </si>
  <si>
    <t>Serine/threonine-protein kinase MRCK alpha</t>
  </si>
  <si>
    <t>CDC42-binding protein kinase alpha</t>
  </si>
  <si>
    <t>MRCKA_MOUSE</t>
  </si>
  <si>
    <t>Q3UU96</t>
  </si>
  <si>
    <t>B2RY49; Q4V9U7; Q6ZQA9; Q8R495</t>
  </si>
  <si>
    <t>Kiaa0451</t>
  </si>
  <si>
    <t>MGI:2441841</t>
  </si>
  <si>
    <t>Alternative splicing; ATP-binding; Cell projection; Coiled coil; Cytoplasm; Kinase; Metal-binding; Nucleotide-binding; Phosphoprotein; Serine/threonine-protein kinase; Transferase; Zinc; Zinc-finger</t>
  </si>
  <si>
    <t>actin cytoskeleton reorganization {GO:0031532}; actomyosin structure organization {GO:0031032}; cell migration {GO:0016477}; cytoskeleton organization {GO:0007010}; microtubule cytoskeleton organization {GO:0000226}; nuclear migration {GO:0007097}; peptidyl-threonine phosphorylation {GO:0018107}; protein phosphorylation {GO:0006468}; regulation of small GTPase mediated signal transduction {GO:0051056}</t>
  </si>
  <si>
    <t>actomyosin {GO:0042641}; cell leading edge {GO:0031252}; cell-cell junction {GO:0005911}; cytoplasm {GO:0005737}; cytoskeleton {GO:0005856}; lamellipodium {GO:0030027}</t>
  </si>
  <si>
    <t>ATP binding {GO:0005524}; identical protein binding {GO:0042802}; magnesium ion binding {GO:0000287}; protein serine kinase activity {GO:0106310}; protein serine/threonine kinase activity {GO:0004674}</t>
  </si>
  <si>
    <t>RAC1 GTPase cycle {R-MMU-9013149}; RHOQ GTPase cycle {R-MMU-9013406}</t>
  </si>
  <si>
    <t>sp|G3X9K3|BIG1_MOUSE</t>
  </si>
  <si>
    <t>Brefeldin A-inhibited guanine nucleotide-exchange protein 1 (BIG1; Brefeldin A-inhibited GEP 1)</t>
  </si>
  <si>
    <t>ADP-ribosylation factor guanine nucleotide-exchange factor 1</t>
  </si>
  <si>
    <t>BIG1_MOUSE</t>
  </si>
  <si>
    <t>G3X9K3</t>
  </si>
  <si>
    <t>Q8BKL2</t>
  </si>
  <si>
    <t>MGI:2442988</t>
  </si>
  <si>
    <t>Cytoplasm; Golgi apparatus; Guanine-nucleotide releasing factor; Membrane; Nucleus; Phosphoprotein; Protein transport; Transport</t>
  </si>
  <si>
    <t>Cytoplasm; Golgi apparatus; Membrane; Nucleus</t>
  </si>
  <si>
    <t>endomembrane system organization {GO:0010256}; Golgi organization {GO:0007030}; negative regulation of actin filament polymerization {GO:0030837}; negative regulation of GTPase activity {GO:0034260}; neuron projection development {GO:0031175}; positive regulation of protein kinase B signaling {GO:0051897}; positive regulation of wound healing {GO:0090303}; protein glycosylation {GO:0006486}; protein transport {GO:0015031}; regulation of ARF protein signal transduction {GO:0032012}; regulation of establishment of cell polarity {GO:2000114}</t>
  </si>
  <si>
    <t>cytosol {GO:0005829}; Golgi apparatus {GO:0005794}; Golgi membrane {GO:0000139}; nuclear matrix {GO:0016363}; nucleolus {GO:0005730}; nucleoplasm {GO:0005654}; perinuclear region of cytoplasm {GO:0048471}; small nuclear ribonucleoprotein complex {GO:0030532}; trans-Golgi network {GO:0005802}</t>
  </si>
  <si>
    <t>guanyl-nucleotide exchange factor activity {GO:0005085}; myosin binding {GO:0017022}; protein kinase A regulatory subunit binding {GO:0034237}</t>
  </si>
  <si>
    <t>sp|Q9DB75|CDIP1_MOUSE</t>
  </si>
  <si>
    <t>Cell death-inducing p53-target protein 1</t>
  </si>
  <si>
    <t>LITAF-like protein</t>
  </si>
  <si>
    <t>CDIP1_MOUSE</t>
  </si>
  <si>
    <t>Q9DB75</t>
  </si>
  <si>
    <t>Q3UD73; Q9CYP1</t>
  </si>
  <si>
    <t>MGI:1913876</t>
  </si>
  <si>
    <t>Alternative splicing; Apoptosis; Endosome; Lysosome; Membrane; Metal-binding; Zinc</t>
  </si>
  <si>
    <t>apoptotic process {GO:0006915}; intrinsic apoptotic signaling pathway in response to DNA damage by p53 class mediator {GO:0042771}; tumor necrosis factor-mediated signaling pathway {GO:0033209}</t>
  </si>
  <si>
    <t>cytoplasmic side of late endosome membrane {GO:0098560}; cytoplasmic side of lysosomal membrane {GO:0098574}; nucleus {GO:0005634}</t>
  </si>
  <si>
    <t>sp|Q9WUK4|RFC2_MOUSE</t>
  </si>
  <si>
    <t>Replication factor C subunit 2</t>
  </si>
  <si>
    <t>Activator 1 40 kDa subunit (A1 40 kDa subunit); Activator 1 subunit 2; Replication factor C 40 kDa subunit (RF-C 40 kDa subunit; RFC40)</t>
  </si>
  <si>
    <t>RFC2_MOUSE</t>
  </si>
  <si>
    <t>Q9WUK4</t>
  </si>
  <si>
    <t>MGI:1341868</t>
  </si>
  <si>
    <t>Acetylation; ATP-binding; DNA replication; Nucleotide-binding; Nucleus</t>
  </si>
  <si>
    <t>DNA repair {GO:0006281}; DNA-templated DNA replication {GO:0006261}; positive regulation of DNA-directed DNA polymerase activity {GO:1900264}</t>
  </si>
  <si>
    <t>Ctf18 RFC-like complex {GO:0031390}; DNA replication factor C complex {GO:0005663}; nucleus {GO:0005634}</t>
  </si>
  <si>
    <t>ATP binding {GO:0005524}; ATP hydrolysis activity {GO:0016887}; DNA binding {GO:0003677}; DNA clamp loader activity {GO:0003689}; enzyme binding {GO:0019899}; single-stranded DNA helicase activity {GO:0017116}</t>
  </si>
  <si>
    <t>Translesion synthesis by REV1 {R-MMU-110312}; Recognition of DNA damage by PCNA-containing replication complex {R-MMU-110314}; Translesion Synthesis by POLH {R-MMU-110320}; Polymerase switching on the C-strand of the telomere {R-MMU-174411}; Activation of ATR in response to replication stress {R-MMU-176187}; PCNA-Dependent Long Patch Base Excision Repair {R-MMU-5651801}; Translesion synthesis by POLK {R-MMU-5655862}; Translesion synthesis by POLI {R-MMU-5656121}; Termination of translesion DNA synthesis {R-MMU-5656169}; HDR through Single Strand Annealing (SSA) {R-MMU-5685938}; HDR through Homologous Recombination (HRR) {R-MMU-5685942}; Processing of DNA double-strand break ends {R-MMU-5693607}; Gap-filling DNA repair synthesis and ligation in GG-NER {R-MMU-5696397}; Dual Incision in GG-NER {R-MMU-5696400}; Dual incision in TC-NER {R-MMU-6782135}; Gap-filling DNA repair synthesis and ligation in TC-NER {R-MMU-6782210}; Regulation of TP53 Activity through Phosphorylation {R-MMU-6804756}; Polymerase switching {R-MMU-69091}; G2/M DNA damage checkpoint {R-MMU-69473}</t>
  </si>
  <si>
    <t>sp|Q8BKS9|PUM3_MOUSE</t>
  </si>
  <si>
    <t>Pumilio homolog 3</t>
  </si>
  <si>
    <t>PUM3_MOUSE</t>
  </si>
  <si>
    <t>Q8BKS9</t>
  </si>
  <si>
    <t>Q6A0E6; Q8BU15</t>
  </si>
  <si>
    <t>MGI:106253</t>
  </si>
  <si>
    <t>Acetylation; Chromosome; DNA-binding; Nucleus; Repeat; RNA-binding</t>
  </si>
  <si>
    <t>regulation of protein ADP-ribosylation {GO:0010835}; regulation of translation {GO:0006417}</t>
  </si>
  <si>
    <t>chromosome {GO:0005694}; endoplasmic reticulum {GO:0005783}; nucleolus {GO:0005730}; nucleoplasm {GO:0005654}</t>
  </si>
  <si>
    <t>sp|Q80VA0|GALT7_MOUSE</t>
  </si>
  <si>
    <t>N-acetylgalactosaminyltransferase 7</t>
  </si>
  <si>
    <t>Polypeptide GalNAc transferase 7 (GalNAc-T7; pp-GaNTase 7); Protein-UDP acetylgalactosaminyltransferase 7; UDP-GalNAc:polypeptide N-acetylgalactosaminyltransferase 7</t>
  </si>
  <si>
    <t>GALT7_MOUSE</t>
  </si>
  <si>
    <t>Q80VA0</t>
  </si>
  <si>
    <t>Q8BY62; Q8BZ70; Q8BZW0; Q91VW6; Q99MD7</t>
  </si>
  <si>
    <t>MGI:1349449</t>
  </si>
  <si>
    <t>Alternative splicing; Disulfide bond; Glycosyltransferase; Golgi apparatus; Lectin; Manganese; Membrane; Metal-binding; Signal-anchor; Transferase; Transmembrane; Transmembrane helix</t>
  </si>
  <si>
    <t>protein O-linked glycosylation {GO:0006493}</t>
  </si>
  <si>
    <t>Golgi apparatus {GO:0005794}; Golgi membrane {GO:0000139}; integral component of membrane {GO:0016021}</t>
  </si>
  <si>
    <t>carbohydrate binding {GO:0030246}; metal ion binding {GO:0046872}; polypeptide N-acetylgalactosaminyltransferase activity {GO:0004653}</t>
  </si>
  <si>
    <t>O-linked glycosylation of mucins {R-MMU-913709}</t>
  </si>
  <si>
    <t>sp|P04186|CFAB_MOUSE</t>
  </si>
  <si>
    <t>Complement factor B Bb fragment</t>
  </si>
  <si>
    <t>C3/C5 convertase</t>
  </si>
  <si>
    <t>CFAB_MOUSE</t>
  </si>
  <si>
    <t>P04186</t>
  </si>
  <si>
    <t>Bf; H2-Bf</t>
  </si>
  <si>
    <t>MGI:105975</t>
  </si>
  <si>
    <t>Cleavage on pair of basic residues; Complement alternate pathway; Disulfide bond; Glycoprotein; Hydrolase; Immunity; Innate immunity; Protease; Repeat; Secreted; Serine protease; Signal; Sushi; Zymogen</t>
  </si>
  <si>
    <t>Complement alternate pathway; Immunity; Innate immunity</t>
  </si>
  <si>
    <t>Cleavage on pair of basic residues; Disulfide bond; Glycoprotein; Zymogen</t>
  </si>
  <si>
    <t>B cell proliferation {GO:0042100}; complement activation {GO:0006956}; complement activation, alternative pathway {GO:0006957}; positive regulation of immune response {GO:0050778}; positive regulation of opsonization {GO:1903028}; proteolysis {GO:0006508}; response to bacterium {GO:0009617}</t>
  </si>
  <si>
    <t>classical-complement-pathway C3/C5 convertase complex {GO:0005601}; extracellular space {GO:0005615}; plasma membrane {GO:0005886}</t>
  </si>
  <si>
    <t>serine-type endopeptidase activity {GO:0004252}</t>
  </si>
  <si>
    <t>Alternative complement activation {R-MMU-173736}; Activation of C3 and C5 {R-MMU-174577}; Regulation of Complement cascade {R-MMU-977606}</t>
  </si>
  <si>
    <t>sp|O88983|STX8_MOUSE</t>
  </si>
  <si>
    <t>Syntaxin-8</t>
  </si>
  <si>
    <t>Syntaxin-like protein 3I35</t>
  </si>
  <si>
    <t>STX8_MOUSE</t>
  </si>
  <si>
    <t>O88983</t>
  </si>
  <si>
    <t>MGI:1890156</t>
  </si>
  <si>
    <t>Coiled coil; Membrane; Phosphoprotein; Transmembrane; Transmembrane helix; Transport; Ubl conjugation</t>
  </si>
  <si>
    <t>cellular response to interferon-gamma {GO:0071346}; early endosome to late endosome transport {GO:0045022}; endosome to lysosome transport {GO:0008333}; intracellular protein transport {GO:0006886}; regulation of protein localization to plasma membrane {GO:1903076}; vesicle docking {GO:0048278}; vesicle fusion {GO:0006906}; vesicle-mediated transport {GO:0016192}</t>
  </si>
  <si>
    <t>cytosol {GO:0005829}; early endosome {GO:0005769}; endomembrane system {GO:0012505}; endosome {GO:0005768}; integral component of membrane {GO:0016021}; late endosome {GO:0005770}; late endosome membrane {GO:0031902}; lysosomal membrane {GO:0005765}; perinuclear region of cytoplasm {GO:0048471}; phagocytic vesicle {GO:0045335}; recycling endosome {GO:0055037}; SNARE complex {GO:0031201}; trans-Golgi network {GO:0005802}; vesicle {GO:0031982}</t>
  </si>
  <si>
    <t>chloride channel inhibitor activity {GO:0019869}; SNAP receptor activity {GO:0005484}; SNARE binding {GO:0000149}; syntaxin binding {GO:0019905}; ubiquitin protein ligase binding {GO:0031625}</t>
  </si>
  <si>
    <t>sp|Q91WR3|ASCC2_MOUSE</t>
  </si>
  <si>
    <t>Activating signal cointegrator 1 complex subunit 2</t>
  </si>
  <si>
    <t>ASC-1 complex subunit p100; Trip4 complex subunit p100</t>
  </si>
  <si>
    <t>ASCC2_MOUSE</t>
  </si>
  <si>
    <t>Q91WR3</t>
  </si>
  <si>
    <t>Q5NCK1; Q8BKM9; Q8BX60; Q8R1B9</t>
  </si>
  <si>
    <t>Asc1p100</t>
  </si>
  <si>
    <t>MGI:1922702</t>
  </si>
  <si>
    <t>Alternative splicing; DNA damage; DNA repair; Nucleus; Phosphoprotein; Transcription; Transcription regulation</t>
  </si>
  <si>
    <t>DNA repair {GO:0006281}; regulation of DNA-templated transcription {GO:0006355}; rescue of stalled ribosome {GO:0072344}; ribosome-associated ubiquitin-dependent protein catabolic process {GO:1990116}</t>
  </si>
  <si>
    <t>activating signal cointegrator 1 complex {GO:0099053}; DNA repair complex {GO:1990391}; nuclear speck {GO:0016607}; nucleus {GO:0005634}</t>
  </si>
  <si>
    <t>sp|Q9CWR1|WDR73_MOUSE</t>
  </si>
  <si>
    <t>WD repeat-containing protein 73</t>
  </si>
  <si>
    <t>WDR73_MOUSE</t>
  </si>
  <si>
    <t>Q9CWR1</t>
  </si>
  <si>
    <t>Q05C70; Q3TEN7; Q571I2; Q8BSB9; Q8CF62</t>
  </si>
  <si>
    <t>MGI:1919218</t>
  </si>
  <si>
    <t>Alternative splicing; Cytoplasm; Cytoskeleton; Repeat; WD repeat</t>
  </si>
  <si>
    <t>cytoplasmic microtubule organization {GO:0031122}; negative regulation of apoptotic process {GO:0043066}; nucleus organization {GO:0006997}</t>
  </si>
  <si>
    <t>cleavage furrow {GO:0032154}; cytosol {GO:0005829}; spindle pole {GO:0000922}</t>
  </si>
  <si>
    <t>sp|B9EJA2|CTTB2_MOUSE</t>
  </si>
  <si>
    <t>Cortactin-binding protein 2 (CortBP2)</t>
  </si>
  <si>
    <t>CTTB2_MOUSE</t>
  </si>
  <si>
    <t>B9EJA2</t>
  </si>
  <si>
    <t>G3X9L7; Q69ZB2; Q8BVG1; Q8C044</t>
  </si>
  <si>
    <t>Kiaa1758</t>
  </si>
  <si>
    <t>MGI:1353467</t>
  </si>
  <si>
    <t>Alternative splicing; ANK repeat; Cell projection; Coiled coil; Cytoplasm; Methylation; Phosphoprotein; Repeat; Synapse</t>
  </si>
  <si>
    <t>brain development {GO:0007420}; regulation of modification of postsynaptic actin cytoskeleton {GO:1905274}; regulation of synapse organization {GO:0050807}</t>
  </si>
  <si>
    <t>anchoring junction {GO:0070161}; cell cortex {GO:0005938}; dendritic spine {GO:0043197}; glutamatergic synapse {GO:0098978}; postsynaptic actin cytoskeleton {GO:0098871}; synaptic vesicle {GO:0008021}</t>
  </si>
  <si>
    <t>sp|P97377|CDK2_MOUSE</t>
  </si>
  <si>
    <t>Cyclin-dependent kinase 2</t>
  </si>
  <si>
    <t>Cell division protein kinase 2</t>
  </si>
  <si>
    <t>CDK2_MOUSE</t>
  </si>
  <si>
    <t>P97377</t>
  </si>
  <si>
    <t>O55105</t>
  </si>
  <si>
    <t>Cdkn2</t>
  </si>
  <si>
    <t>MGI:104772</t>
  </si>
  <si>
    <t>Acetylation; Alternative splicing; ATP-binding; Cell cycle; Cell division; Cytoplasm; Cytoskeleton; DNA damage; DNA repair; Endosome; Kinase; Magnesium; Meiosis; Metal-binding; Mitosis; Nucleotide-binding; Nucleus; Phosphoprotein; Serine/threonine-protein kinase; Transferase</t>
  </si>
  <si>
    <t>Cytoplasm; Cytoskeleton; Endosome; Nucleus</t>
  </si>
  <si>
    <t>cell division {GO:0051301}; cellular response to insulin stimulus {GO:0032869}; centriole replication {GO:0007099}; DNA repair {GO:0006281}; DNA-templated transcription {GO:0006351}; G1/S transition of mitotic cell cycle {GO:0000082}; meiotic cell cycle {GO:0051321}; negative regulation of transcription by RNA polymerase II {GO:0000122}; peptidyl-serine phosphorylation {GO:0018105}; positive regulation of cell population proliferation {GO:0008284}; positive regulation of DNA-templated DNA replication initiation {GO:0032298}; positive regulation of DNA-templated transcription {GO:0045893}; positive regulation of heterochromatin assembly {GO:0031453}; potassium ion transport {GO:0006813}; protein phosphorylation {GO:0006468}; Ras protein signal transduction {GO:0007265}; regulation of G2/M transition of mitotic cell cycle {GO:0010389}; regulation of gene expression {GO:0010468}; response to cAMP {GO:0051591}; response to electrical stimulus {GO:0051602}; signal transduction {GO:0007165}</t>
  </si>
  <si>
    <t>Cajal body {GO:0015030}; centrosome {GO:0005813}; chromosome, telomeric region {GO:0000781}; condensed chromosome {GO:0000793}; cyclin A1-CDK2 complex {GO:0097123}; cyclin A2-CDK2 complex {GO:0097124}; cyclin E1-CDK2 complex {GO:0097134}; cyclin E2-CDK2 complex {GO:0097135}; cyclin-dependent protein kinase holoenzyme complex {GO:0000307}; cytoplasm {GO:0005737}; cytosol {GO:0005829}; endosome {GO:0005768}; intracellular membrane-bounded organelle {GO:0043231}; male germ cell nucleus {GO:0001673}; nucleoplasm {GO:0005654}; nucleus {GO:0005634}; transcription regulator complex {GO:0005667}; X chromosome {GO:0000805}; Y chromosome {GO:0000806}</t>
  </si>
  <si>
    <t>ATP binding {GO:0005524}; cyclin binding {GO:0030332}; cyclin-dependent protein kinase activity {GO:0097472}; cyclin-dependent protein serine/threonine kinase activity {GO:0004693}; histone kinase activity {GO:0035173}; kinase activity {GO:0016301}; magnesium ion binding {GO:0000287}; protein domain specific binding {GO:0019904}; protein kinase activity {GO:0004672}; protein serine kinase activity {GO:0106310}; protein serine/threonine kinase activity {GO:0004674}; protein-containing complex binding {GO:0044877}</t>
  </si>
  <si>
    <t>G0 and Early G1 {R-MMU-1538133}; Telomere Extension By Telomerase {R-MMU-171319}; Activation of ATR in response to replication stress {R-MMU-176187}; Regulation of APC/C activators between G1/S and early anaphase {R-MMU-176408}; SCF(Skp2)-mediated degradation of p27/p21 {R-MMU-187577}; Senescence-Associated Secretory Phenotype (SASP) {R-MMU-2559582}; DNA Damage/Telomere Stress Induced Senescence {R-MMU-2559586}; Processing of DNA double-strand break ends {R-MMU-5693607}; TP53 Regulates Transcription of Genes Involved in G1 Cell Cycle Arrest {R-MMU-6804116}; Regulation of TP53 Activity through Phosphorylation {R-MMU-6804756}; Regulation of TP53 Degradation {R-MMU-6804757}; G2 Phase {R-MMU-68911}; Orc1 removal from chromatin {R-MMU-68949}; Activation of the pre-replicative complex {R-MMU-68962}; CDK-mediated phosphorylation and removal of Cdc6 {R-MMU-69017}; Phosphorylation of proteins involved in G1/S transition by active Cyclin E:Cdk2 complexes {R-MMU-69200}; Cyclin E associated events during G1/S transition {R-MMU-69202}; Cyclin D associated events in G1 {R-MMU-69231}; Cyclin A/B1/B2 associated events during G2/M transition {R-MMU-69273}; p53-Dependent G1 DNA Damage Response {R-MMU-69563}; Cyclin A:Cdk2-associated events at S phase entry {R-MMU-69656}; PTK6 Regulates Cell Cycle {R-MMU-8849470}; Transcriptional regulation of granulopoiesis {R-MMU-9616222}</t>
  </si>
  <si>
    <t>sp|Q8BMJ3|IF1AX_MOUSE</t>
  </si>
  <si>
    <t>Eukaryotic translation initiation factor 1A, X-chromosomal (eIF-1A X isoform)</t>
  </si>
  <si>
    <t>Eukaryotic translation initiation factor 4C (eIF-4C)</t>
  </si>
  <si>
    <t>IF1AX_MOUSE</t>
  </si>
  <si>
    <t>Q8BMJ3</t>
  </si>
  <si>
    <t>Q3UY50; Q6ZWL8; Q8BJZ2; Q8BMH8; Q9CSL9</t>
  </si>
  <si>
    <t>Eif1ay</t>
  </si>
  <si>
    <t>MGI:1913485</t>
  </si>
  <si>
    <t>translational initiation {GO:0006413}</t>
  </si>
  <si>
    <t>sp|Q8VE22|RT23_MOUSE</t>
  </si>
  <si>
    <t>28S ribosomal protein S23, mitochondrial (MRP-S23; S23mt)</t>
  </si>
  <si>
    <t>RT23_MOUSE</t>
  </si>
  <si>
    <t>Q8VE22</t>
  </si>
  <si>
    <t>Q9CXH1</t>
  </si>
  <si>
    <t>MGI:1928138</t>
  </si>
  <si>
    <t>mitochondrial inner membrane {GO:0005743}; mitochondrial small ribosomal subunit {GO:0005763}; mitochondrion {GO:0005739}; nuclear membrane {GO:0031965}</t>
  </si>
  <si>
    <t>sp|Q9CQJ4|RING2_MOUSE</t>
  </si>
  <si>
    <t>E3 ubiquitin-protein ligase RING2</t>
  </si>
  <si>
    <t>RING finger protein 1B (RING1b); RING finger protein 2; RING-type E3 ubiquitin transferase RING2</t>
  </si>
  <si>
    <t>RING2_MOUSE</t>
  </si>
  <si>
    <t>Q9CQJ4</t>
  </si>
  <si>
    <t>O35699; O35729; Q4FJV5; Q8C1X8</t>
  </si>
  <si>
    <t>DinG; Ring1b</t>
  </si>
  <si>
    <t>MGI:1101759</t>
  </si>
  <si>
    <t>3D-structure; Acetylation; Chromosome; Cytoplasm; Isopeptide bond; Metal-binding; Nucleus; Phosphoprotein; Repressor; Transcription; Transcription regulation; Transferase; Ubl conjugation; Ubl conjugation pathway; Zinc; Zinc-finger</t>
  </si>
  <si>
    <t>anterior/posterior axis specification {GO:0009948}; gastrulation with mouth forming second {GO:0001702}; gene expression {GO:0010467}; germ cell development {GO:0007281}; histone H2A monoubiquitination {GO:0035518}; histone H2A-K119 monoubiquitination {GO:0036353}; histone ubiquitination {GO:0016574}; mitotic cell cycle {GO:0000278}; negative regulation of DNA-binding transcription factor activity {GO:0043433}; negative regulation of transcription by RNA polymerase II {GO:0000122}</t>
  </si>
  <si>
    <t>cytoplasm {GO:0005737}; euchromatin {GO:0000791}; heterochromatin {GO:0000792}; MLL1 complex {GO:0071339}; nuclear body {GO:0016604}; nucleoplasm {GO:0005654}; nucleus {GO:0005634}; PcG protein complex {GO:0031519}; PRC1 complex {GO:0035102}; sex chromatin {GO:0001739}; ubiquitin ligase complex {GO:0000151}</t>
  </si>
  <si>
    <t>chromatin binding {GO:0003682}; RING-like zinc finger domain binding {GO:0071535}; ubiquitin protein ligase activity {GO:0061630}; ubiquitin-protein transferase activity {GO:0004842}; zinc ion binding {GO:0008270}</t>
  </si>
  <si>
    <t xml:space="preserve">Protein modification; protein ubiquitination. </t>
  </si>
  <si>
    <t>SUMOylation of DNA damage response and repair proteins {R-MMU-3108214}; SUMOylation of transcription cofactors {R-MMU-3899300}; SUMOylation of chromatin organization proteins {R-MMU-4551638}; SUMOylation of RNA binding proteins {R-MMU-4570464}; RUNX1 interacts with co-factors whose precise effect on RUNX1 targets is not known {R-MMU-8939243}; Regulation of PTEN gene transcription {R-MMU-8943724}; Transcriptional Regulation by E2F6 {R-MMU-8953750}</t>
  </si>
  <si>
    <t>sp|Q3UHQ6|DOP2_MOUSE</t>
  </si>
  <si>
    <t>Protein dopey-2</t>
  </si>
  <si>
    <t>DOP2_MOUSE</t>
  </si>
  <si>
    <t>Q3UHQ6</t>
  </si>
  <si>
    <t>E9QLV2; Q3UH78; Q80TN8</t>
  </si>
  <si>
    <t>Dopey2; Kiaa0933</t>
  </si>
  <si>
    <t>MGI:1917278</t>
  </si>
  <si>
    <t>Alternative splicing; Endosome; Golgi apparatus; Membrane; Phosphoprotein; Protein transport; Transport</t>
  </si>
  <si>
    <t>cognition {GO:0050890}; embryonic pattern specification {GO:0009880}; Golgi to endosome transport {GO:0006895}; protein transport {GO:0015031}</t>
  </si>
  <si>
    <t>cytosol {GO:0005829}; early endosome membrane {GO:0031901}; endosome {GO:0005768}; Golgi membrane {GO:0000139}; trans-Golgi network {GO:0005802}</t>
  </si>
  <si>
    <t>sp|Q6NWV3|IF122_MOUSE</t>
  </si>
  <si>
    <t>Intraflagellar transport protein 122 homolog</t>
  </si>
  <si>
    <t>WD repeat-containing protein 10</t>
  </si>
  <si>
    <t>IF122_MOUSE</t>
  </si>
  <si>
    <t>Q6NWV3</t>
  </si>
  <si>
    <t>Q6KAU2; Q8C8U5; Q8CD77</t>
  </si>
  <si>
    <t>MGI:1932386</t>
  </si>
  <si>
    <t>Alternative splicing; Cell projection; Cilium; Cilium biogenesis/degradation; Cytoplasm; Cytoskeleton; Developmental protein; Repeat; WD repeat</t>
  </si>
  <si>
    <t>camera-type eye morphogenesis {GO:0048593}; ciliary receptor clustering involved in smoothened signaling pathway {GO:0060830}; cilium assembly {GO:0060271}; dorsal/ventral pattern formation {GO:0009953}; embryonic body morphogenesis {GO:0010172}; embryonic camera-type eye morphogenesis {GO:0048596}; embryonic digit morphogenesis {GO:0042733}; embryonic forelimb morphogenesis {GO:0035115}; embryonic heart tube development {GO:0035050}; embryonic heart tube left/right pattern formation {GO:0060971}; establishment of protein localization to organelle {GO:0072594}; intraciliary anterograde transport {GO:0035720}; intraciliary retrograde transport {GO:0035721}; intraciliary transport {GO:0042073}; keratinocyte proliferation {GO:0043616}; limb development {GO:0060173}; negative regulation of keratinocyte proliferation {GO:0010839}; negative regulation of smoothened signaling pathway {GO:0045879}; negative regulation of smoothened signaling pathway involved in ventral spinal cord patterning {GO:0021914}; neural tube closure {GO:0001843}; non-motile cilium assembly {GO:1905515}; protein localization to cilium {GO:0061512}; signal transduction downstream of smoothened {GO:0007227}; smoothened signaling pathway involved in dorsal/ventral neural tube patterning {GO:0060831}</t>
  </si>
  <si>
    <t>ciliary basal body {GO:0036064}; ciliary base {GO:0097546}; cilium {GO:0005929}; cytoplasm {GO:0005737}; intraciliary transport particle A {GO:0030991}; non-motile cilium {GO:0097730}; photoreceptor connecting cilium {GO:0032391}</t>
  </si>
  <si>
    <t>sp|Q6PA06|ATLA2_MOUSE</t>
  </si>
  <si>
    <t>Atlastin-2</t>
  </si>
  <si>
    <t>ADP-ribosylation factor-like protein 6-interacting protein 2 (ARL-6-interacting protein 2; Aip-2)</t>
  </si>
  <si>
    <t>ATLA2_MOUSE</t>
  </si>
  <si>
    <t>Q6PA06</t>
  </si>
  <si>
    <t>Q3UX01; Q7TMM3</t>
  </si>
  <si>
    <t>Arl6ip2</t>
  </si>
  <si>
    <t>MGI:1929492</t>
  </si>
  <si>
    <t>Alternative splicing; Coiled coil; Endoplasmic reticulum; GTP-binding; Hydrolase; Membrane; Methylation; Nucleotide-binding; Phosphoprotein; Transmembrane; Transmembrane helix</t>
  </si>
  <si>
    <t>endoplasmic reticulum organization {GO:0007029}; endoplasmic reticulum tubular network membrane organization {GO:1990809}; Golgi organization {GO:0007030}; protein homooligomerization {GO:0051260}</t>
  </si>
  <si>
    <t>endoplasmic reticulum {GO:0005783}; endoplasmic reticulum tubular network membrane {GO:0098826}; integral component of membrane {GO:0016021}</t>
  </si>
  <si>
    <t>sp|Q9CQA5|MED4_MOUSE</t>
  </si>
  <si>
    <t>Mediator of RNA polymerase II transcription subunit 4</t>
  </si>
  <si>
    <t>Mediator complex subunit 4</t>
  </si>
  <si>
    <t>MED4_MOUSE</t>
  </si>
  <si>
    <t>Q9CQA5</t>
  </si>
  <si>
    <t>Q3UL96; Q8BVG6</t>
  </si>
  <si>
    <t>Vdrip</t>
  </si>
  <si>
    <t>MGI:1914631</t>
  </si>
  <si>
    <t>3D-structure; Acetylation; Activator; Alternative splicing; Coiled coil; Nucleus; Phosphoprotein; Transcription; Transcription regulation</t>
  </si>
  <si>
    <t>positive regulation of DNA-templated transcription {GO:0045893}; positive regulation of transcription elongation by RNA polymerase II {GO:0032968}; positive regulation of transcription initiation by RNA polymerase II {GO:0060261}; regulation of transcription by RNA polymerase II {GO:0006357}; RNA polymerase II preinitiation complex assembly {GO:0051123}; transcription by RNA polymerase II {GO:0006366}</t>
  </si>
  <si>
    <t>core mediator complex {GO:0070847}; mediator complex {GO:0016592}; nucleoplasm {GO:0005654}; nucleus {GO:0005634}</t>
  </si>
  <si>
    <t>nuclear thyroid hormone receptor binding {GO:0046966}; transcription coactivator activity {GO:0003713}; transcription coregulator activity {GO:0003712}</t>
  </si>
  <si>
    <t>sp|Q01147|CREB1_MOUSE</t>
  </si>
  <si>
    <t>Cyclic AMP-responsive element-binding protein 1 (CREB-1; cAMP-responsive element-binding protein 1)</t>
  </si>
  <si>
    <t>CREB1_MOUSE</t>
  </si>
  <si>
    <t>Q01147</t>
  </si>
  <si>
    <t>Creb-1</t>
  </si>
  <si>
    <t>MGI:88494</t>
  </si>
  <si>
    <t>3D-structure; Activator; Alternative splicing; Biological rhythms; Differentiation; DNA-binding; Isopeptide bond; Nucleus; Phosphoprotein; Transcription; Transcription regulation; Ubl conjugation</t>
  </si>
  <si>
    <t>Biological rhythms; Differentiation; Transcription; Transcription regulation</t>
  </si>
  <si>
    <t>axonogenesis {GO:0007409}; biomineralization {GO:0110148}; cAMP-mediated signaling {GO:0019933}; cellular response to forskolin {GO:1904322}; cellular response to growth factor stimulus {GO:0071363}; cellular response to hepatocyte growth factor stimulus {GO:0035729}; cellular response to leukemia inhibitory factor {GO:1990830}; cellular response to retinoic acid {GO:0071300}; cellular response to zinc ion {GO:0071294}; chemotaxis to arachidonic acid {GO:0034670}; circadian rhythm {GO:0007623}; hormone secretion {GO:0046879}; lactation {GO:0007595}; lung epithelium development {GO:0060428}; lung saccule development {GO:0060430}; mammary gland development {GO:0030879}; memory {GO:0007613}; mRNA transcription by RNA polymerase II {GO:0042789}; negative regulation of gene expression {GO:0010629}; negative regulation of neuron death {GO:1901215}; negative regulation of transcription by competitive promoter binding {GO:0010944}; osteoclast differentiation {GO:0030316}; pituitary gland development {GO:0021983}; positive regulation of apoptotic process {GO:0043065}; positive regulation of cardiac muscle tissue development {GO:0055025}; positive regulation of DNA-templated transcription {GO:0045893}; positive regulation of fat cell differentiation {GO:0045600}; positive regulation of hormone secretion {GO:0046887}; positive regulation of lipid biosynthetic process {GO:0046889}; positive regulation of long-term synaptic potentiation {GO:1900273}; positive regulation of multicellular organism growth {GO:0040018}; positive regulation of osteoclast differentiation {GO:0045672}; positive regulation of RNA polymerase II transcription preinitiation complex assembly {GO:0045899}; positive regulation of transcription by RNA polymerase II {GO:0045944}; positive regulation of transforming growth factor beta3 production {GO:0032916}; protein phosphorylation {GO:0006468}; protein stabilization {GO:0050821}; regulation of apoptotic process {GO:0042981}; regulation of cell size {GO:0008361}; regulation of circadian rhythm {GO:0042752}; regulation of DNA-templated transcription {GO:0006355}; regulation of fibroblast proliferation {GO:0048145}; regulation of glial cell proliferation {GO:0060251}; regulation of transcription by RNA polymerase II {GO:0006357}; response to glucagon {GO:0033762}; response to inorganic substance {GO:0010035}; response to organic substance {GO:0010033}; response to purine-containing compound {GO:0014074}; response to xenobiotic stimulus {GO:0009410}; secretory granule organization {GO:0033363}; transcription by RNA polymerase II {GO:0006366}; transforming growth factor beta receptor signaling pathway {GO:0007179}; type I pneumocyte differentiation {GO:0060509}; visual learning {GO:0008542}</t>
  </si>
  <si>
    <t>ATF4-CREB1 transcription factor complex {GO:1990589}; axon {GO:0030424}; chromatin {GO:0000785}; euchromatin {GO:0000791}; mitochondrial matrix {GO:0005759}; mitochondrion {GO:0005739}; nucleoplasm {GO:0005654}; nucleus {GO:0005634}; RNA polymerase II transcription regulator complex {GO:0090575}; transcription regulator complex {GO:0005667}</t>
  </si>
  <si>
    <t>arrestin family protein binding {GO:1990763}; cAMP response element binding {GO:0035497}; DNA binding {GO:0003677}; DNA-binding transcription activator activity, RNA polymerase II-specific {GO:0001228}; DNA-binding transcription factor activity {GO:0003700}; DNA-binding transcription factor activity, RNA polymerase II-specific {GO:0000981}; double-stranded DNA binding {GO:0003690}; enzyme binding {GO:0019899}; histone acetyltransferase binding {GO:0035035}; Hsp70 protein binding {GO:0030544}; identical protein binding {GO:0042802}; RNA polymerase II cis-regulatory region sequence-specific DNA binding {GO:0000978}; RNA polymerase II transcription regulatory region sequence-specific DNA binding {GO:0000977}; RNA polymerase II-specific DNA-binding transcription factor binding {GO:0061629}; sequence-specific DNA binding {GO:0043565}; sequence-specific double-stranded DNA binding {GO:1990837}; transcription cis-regulatory region binding {GO:0000976}; transcription coactivator binding {GO:0001223}</t>
  </si>
  <si>
    <t>AKT phosphorylates targets in the nucleus {R-MMU-198693}; CREB phosphorylation {R-MMU-199920}; NCAM signaling for neurite out-growth {R-MMU-375165}; CREB1 phosphorylation through NMDA receptor-mediated activation of RAS signaling {R-MMU-442742}; Gastrin-CREB signalling pathway via PKC and MAPK {R-MMU-881907}; NGF-stimulated transcription {R-MMU-9031628}; Estrogen-dependent nuclear events downstream of ESR-membrane signaling {R-MMU-9634638}</t>
  </si>
  <si>
    <t>tr|E9Q2E4|E9Q2E4_MOUSE</t>
  </si>
  <si>
    <t>sp|Q9WV69|DEMA_MOUSE</t>
  </si>
  <si>
    <t>Dematin</t>
  </si>
  <si>
    <t>Dematin actin-binding protein; Erythrocyte membrane protein band 4.9</t>
  </si>
  <si>
    <t>DEMA_MOUSE</t>
  </si>
  <si>
    <t>Q9WV69</t>
  </si>
  <si>
    <t>F8WIF9; Q3TYC5; Q8JZV5; Q9WVM2</t>
  </si>
  <si>
    <t>Epb4.9; Epb49</t>
  </si>
  <si>
    <t>MGI:99670</t>
  </si>
  <si>
    <t>Actin capping; Actin-binding; Alternative splicing; Cell membrane; Cell projection; Cytoplasm; Cytoskeleton; Disulfide bond; Membrane; Phosphoprotein; Repeat; Tumor suppressor</t>
  </si>
  <si>
    <t>actin cytoskeleton organization {GO:0030036}; actin filament bundle assembly {GO:0051017}; actin filament capping {GO:0051693}; actin filament reorganization {GO:0090527}; calcium-mediated signaling using extracellular calcium source {GO:0035585}; calcium-mediated signaling using intracellular calcium source {GO:0035584}; cellular response to calcium ion {GO:0071277}; cellular response to cAMP {GO:0071320}; erythrocyte development {GO:0048821}; lamellipodium assembly {GO:0030032}; negative regulation of cell-substrate adhesion {GO:0010812}; negative regulation of focal adhesion assembly {GO:0051895}; negative regulation of peptidyl-serine phosphorylation {GO:0033137}; negative regulation of peptidyl-threonine phosphorylation {GO:0010801}; negative regulation of peptidyl-tyrosine phosphorylation {GO:0050732}; negative regulation of protein targeting to membrane {GO:0090315}; negative regulation of substrate adhesion-dependent cell spreading {GO:1900025}; positive regulation of blood coagulation {GO:0030194}; positive regulation of fibroblast migration {GO:0010763}; positive regulation of integrin-mediated signaling pathway {GO:2001046}; positive regulation of platelet aggregation {GO:1901731}; positive regulation of substrate adhesion-dependent cell spreading {GO:1900026}; positive regulation of wound healing {GO:0090303}; protein secretion by platelet {GO:0070560}; protein-containing complex assembly {GO:0065003}; regulation of actin cytoskeleton organization {GO:0032956}; regulation of cell shape {GO:0008360}; regulation of filopodium assembly {GO:0051489}; regulation of lamellipodium assembly {GO:0010591}</t>
  </si>
  <si>
    <t>actin cytoskeleton {GO:0015629}; actin filament {GO:0005884}; cell projection membrane {GO:0031253}; cortical cytoskeleton {GO:0030863}; cytoplasmic vesicle {GO:0031410}; cytosol {GO:0005829}; endomembrane system {GO:0012505}; membrane {GO:0016020}; perinuclear region of cytoplasm {GO:0048471}; plasma membrane {GO:0005886}; platelet dense tubular network membrane {GO:0031095}; postsynaptic density {GO:0014069}; spectrin-associated cytoskeleton {GO:0014731}</t>
  </si>
  <si>
    <t>actin binding {GO:0003779}; actin filament binding {GO:0051015}; protein self-association {GO:0043621}; signaling receptor binding {GO:0005102}; spectrin binding {GO:0030507}</t>
  </si>
  <si>
    <t>sp|P62835|RAP1A_MOUSE</t>
  </si>
  <si>
    <t>Ras-related protein Rap-1A</t>
  </si>
  <si>
    <t>Ras-related protein Krev-1</t>
  </si>
  <si>
    <t>RAP1A_MOUSE</t>
  </si>
  <si>
    <t>P62835</t>
  </si>
  <si>
    <t>P10113</t>
  </si>
  <si>
    <t>Krev-1</t>
  </si>
  <si>
    <t>MGI:97852</t>
  </si>
  <si>
    <t>Cell junction; Cell membrane; Cytoplasm; Endosome; GTP-binding; Hydrolase; Lipoprotein; Membrane; Methylation; Neurogenesis; Nucleotide-binding; Prenylation; Tumor suppressor</t>
  </si>
  <si>
    <t>Cell junction; Cell membrane; Cytoplasm; Endosome; Membrane</t>
  </si>
  <si>
    <t>cellular response to cAMP {GO:0071320}; cellular response to nerve growth factor stimulus {GO:1990090}; cellular response to organic cyclic compound {GO:0071407}; cellular response to xenobiotic stimulus {GO:0071466}; establishment of endothelial barrier {GO:0061028}; negative regulation of collagen biosynthetic process {GO:0032966}; negative regulation of synaptic vesicle exocytosis {GO:2000301}; nerve growth factor signaling pathway {GO:0038180}; nervous system development {GO:0007399}; positive regulation of ERK1 and ERK2 cascade {GO:0070374}; positive regulation of Fc-gamma receptor signaling pathway involved in phagocytosis {GO:1905451}; positive regulation of glucose import {GO:0046326}; positive regulation of GTPase activity {GO:0043547}; positive regulation of neuron projection development {GO:0010976}; positive regulation of protein kinase activity {GO:0045860}; positive regulation of vasculogenesis {GO:2001214}; protein localization to plasma membrane {GO:0072659}; Rap protein signal transduction {GO:0032486}; regulation of cell junction assembly {GO:1901888}; regulation of neurotransmitter receptor localization to postsynaptic specialization membrane {GO:0098696}; response to antineoplastic agent {GO:0097327}; small GTPase mediated signal transduction {GO:0007264}; synaptic vesicle exocytosis {GO:0016079}</t>
  </si>
  <si>
    <t>anchoring junction {GO:0070161}; cell junction {GO:0030054}; cytoplasm {GO:0005737}; early endosome {GO:0005769}; glutamatergic synapse {GO:0098978}; guanyl-nucleotide exchange factor complex {GO:0032045}; late endosome {GO:0005770}; myelin sheath {GO:0043209}; neuron projection {GO:0043005}; perinuclear region of cytoplasm {GO:0048471}; phagocytic vesicle {GO:0045335}; plasma membrane {GO:0005886}; presynapse {GO:0098793}; sperm midpiece {GO:0097225}</t>
  </si>
  <si>
    <t>G protein activity {GO:0003925}; GDP binding {GO:0019003}; GTP binding {GO:0005525}; GTPase activity {GO:0003924}; guanyl-nucleotide exchange factor activity {GO:0005085}; protein-containing complex binding {GO:0044877}; small GTPase binding {GO:0031267}</t>
  </si>
  <si>
    <t>Frs2-mediated activation {R-MMU-170968}; ARMS-mediated activation {R-MMU-170984}; Integrin signaling {R-MMU-354192}; GRB2:SOS provides linkage to MAPK signaling for Integrins {R-MMU-354194}; p130Cas linkage to MAPK signaling for integrins {R-MMU-372708}; Glucagon-like Peptide-1 (GLP1) regulates insulin secretion {R-MMU-381676}; Rap1 signalling {R-MMU-392517}; MAP2K and MAPK activation {R-MMU-5674135}; Neutrophil degranulation {R-MMU-6798695}; MET activates RAP1 and RAC1 {R-MMU-8875555}</t>
  </si>
  <si>
    <t>sp|Q9DC71|RT15_MOUSE</t>
  </si>
  <si>
    <t>28S ribosomal protein S15, mitochondrial (MRP-S15; S15mt)</t>
  </si>
  <si>
    <t>RT15_MOUSE</t>
  </si>
  <si>
    <t>Q9DC71</t>
  </si>
  <si>
    <t>Q7TMG9; Q8C7F1; Q9CVE0; Q9CWX1</t>
  </si>
  <si>
    <t>Rpms15</t>
  </si>
  <si>
    <t>MGI:1913657</t>
  </si>
  <si>
    <t>mitochondrial inner membrane {GO:0005743}; mitochondrial ribosome {GO:0005761}; mitochondrial small ribosomal subunit {GO:0005763}; mitochondrion {GO:0005739}; nucleolus {GO:0005730}; nucleoplasm {GO:0005654}</t>
  </si>
  <si>
    <t>sp|Q8CHP5|PYM1_MOUSE</t>
  </si>
  <si>
    <t>Partner of Y14 and mago</t>
  </si>
  <si>
    <t>PYM homolog 1 exon junction complex-associated factor; Protein wibg homolog</t>
  </si>
  <si>
    <t>PYM1_MOUSE</t>
  </si>
  <si>
    <t>Q8CHP5</t>
  </si>
  <si>
    <t>Q80YD2</t>
  </si>
  <si>
    <t>Pym; Wibg</t>
  </si>
  <si>
    <t>MGI:1925678</t>
  </si>
  <si>
    <t>Acetylation; Alternative splicing; Coiled coil; Cytoplasm; Nonsense-mediated mRNA decay; Nucleus; Phosphoprotein; Translation regulation</t>
  </si>
  <si>
    <t>Nonsense-mediated mRNA decay; Translation regulation</t>
  </si>
  <si>
    <t>exon-exon junction complex disassembly {GO:1903259}; nuclear-transcribed mRNA catabolic process, nonsense-mediated decay {GO:0000184}; positive regulation of translation {GO:0045727}</t>
  </si>
  <si>
    <t>cell junction {GO:0030054}; cytoplasm {GO:0005737}; cytosol {GO:0005829}; exon-exon junction complex {GO:0035145}; nucleolus {GO:0005730}; nucleoplasm {GO:0005654}</t>
  </si>
  <si>
    <t>ribosome binding {GO:0043022}; RNA binding {GO:0003723}</t>
  </si>
  <si>
    <t>tr|S4R1W5|S4R1W5_MOUSE</t>
  </si>
  <si>
    <t>sp|Q8BYU6|TOIP2_MOUSE</t>
  </si>
  <si>
    <t>Torsin-1A-interacting protein 2</t>
  </si>
  <si>
    <t>TOIP2_MOUSE</t>
  </si>
  <si>
    <t>Q8BYU6</t>
  </si>
  <si>
    <t>Q6NY10; Q8BJP0</t>
  </si>
  <si>
    <t>Ifrg15; Lull1</t>
  </si>
  <si>
    <t>MGI:3582695</t>
  </si>
  <si>
    <t>Alternative splicing; Endoplasmic reticulum; Glycoprotein; Membrane; Nucleus; Phosphoprotein; Transmembrane; Transmembrane helix</t>
  </si>
  <si>
    <t>endoplasmic reticulum organization {GO:0007029}; membrane organization {GO:0061024}; positive regulation of ATP-dependent activity {GO:0032781}; protein localization to nuclear envelope {GO:0090435}</t>
  </si>
  <si>
    <t>endoplasmic reticulum {GO:0005783}; endoplasmic reticulum membrane {GO:0005789}; integral component of membrane {GO:0016021}; membrane {GO:0016020}; nuclear envelope {GO:0005635}</t>
  </si>
  <si>
    <t>ATPase activator activity {GO:0001671}; ATPase binding {GO:0051117}</t>
  </si>
  <si>
    <t>sp|Q64704|STX3_MOUSE</t>
  </si>
  <si>
    <t>Syntaxin-3</t>
  </si>
  <si>
    <t>STX3_MOUSE</t>
  </si>
  <si>
    <t>Q64704</t>
  </si>
  <si>
    <t>Q3TBP0; Q8R1B7</t>
  </si>
  <si>
    <t>Stx3a</t>
  </si>
  <si>
    <t>MGI:103077</t>
  </si>
  <si>
    <t>Alternative splicing; Cell projection; Coiled coil; Membrane; Neurotransmitter transport; Transmembrane; Transmembrane helix; Transport</t>
  </si>
  <si>
    <t>Neurotransmitter transport; Transport</t>
  </si>
  <si>
    <t>exocytic insertion of neurotransmitter receptor to postsynaptic membrane {GO:0098967}; exocytosis {GO:0006887}; intracellular protein transport {GO:0006886}; long-term synaptic potentiation {GO:0060291}; membrane fusion {GO:0061025}; neuron projection development {GO:0031175}; organelle membrane fusion {GO:0090174}; positive regulation of cell adhesion {GO:0045785}; positive regulation of cell population proliferation {GO:0008284}; positive regulation of chemotaxis {GO:0050921}; positive regulation of protein localization to cell surface {GO:2000010}; positive regulation of protein localization to plasma membrane {GO:1903078}; regulation of gene expression {GO:0010468}; synaptic vesicle fusion to presynaptic active zone membrane {GO:0031629}; vesicle docking {GO:0048278}; vesicle fusion {GO:0006906}; vesicle-mediated transport in synapse {GO:0099003}</t>
  </si>
  <si>
    <t>apical plasma membrane {GO:0016324}; azurophil granule {GO:0042582}; cell-cell junction {GO:0005911}; dendrite {GO:0030425}; endomembrane system {GO:0012505}; glutamatergic synapse {GO:0098978}; growth cone {GO:0030426}; integral component of membrane {GO:0016021}; lamellipodium {GO:0030027}; melanosome {GO:0042470}; membrane {GO:0016020}; neuron projection {GO:0043005}; photoreceptor inner segment {GO:0001917}; photoreceptor outer segment {GO:0001750}; plasma membrane {GO:0005886}; postsynapse {GO:0098794}; presynaptic active zone membrane {GO:0048787}; Schaffer collateral - CA1 synapse {GO:0098685}; secretory granule {GO:0030141}; SNARE complex {GO:0031201}; specific granule {GO:0042581}; synaptic vesicle {GO:0008021}; zymogen granule membrane {GO:0042589}</t>
  </si>
  <si>
    <t>arachidonic acid binding {GO:0050544}; SNAP receptor activity {GO:0005484}; SNARE binding {GO:0000149}</t>
  </si>
  <si>
    <t>sp|Q9CRC9|GNPI2_MOUSE</t>
  </si>
  <si>
    <t>Glucosamine-6-phosphate isomerase 2</t>
  </si>
  <si>
    <t>Glucosamine-6-phosphate deaminase 2 (GNPDA 2; GlcN6P deaminase 2)</t>
  </si>
  <si>
    <t>GNPI2_MOUSE</t>
  </si>
  <si>
    <t>Q9CRC9</t>
  </si>
  <si>
    <t>Q3TH02; Q9D457</t>
  </si>
  <si>
    <t>Kiaa4008</t>
  </si>
  <si>
    <t>MGI:1915230</t>
  </si>
  <si>
    <t>Alternative splicing; Carbohydrate metabolism; Coiled coil; Cytoplasm; Hydrolase; Isomerase; Phosphoprotein</t>
  </si>
  <si>
    <t>carbohydrate metabolic process {GO:0005975}; glucosamine catabolic process {GO:0006043}; N-acetylglucosamine catabolic process {GO:0006046}; N-acetylneuraminate catabolic process {GO:0019262}; UDP-N-acetylglucosamine biosynthetic process {GO:0006048}</t>
  </si>
  <si>
    <t>glucosamine-6-phosphate deaminase activity {GO:0004342}; identical protein binding {GO:0042802}</t>
  </si>
  <si>
    <t>sp|Q9CQ40|RM49_MOUSE</t>
  </si>
  <si>
    <t>39S ribosomal protein L49, mitochondrial (L49mt; MRP-L49)</t>
  </si>
  <si>
    <t>RM49_MOUSE</t>
  </si>
  <si>
    <t>Q9CQ40</t>
  </si>
  <si>
    <t>Q3UC21; Q8C5R0; Q8C7P3</t>
  </si>
  <si>
    <t>MGI:108180</t>
  </si>
  <si>
    <t>sp|Q8BZR9|NCBP3_MOUSE</t>
  </si>
  <si>
    <t>Nuclear cap-binding protein subunit 3</t>
  </si>
  <si>
    <t>NCBP3_MOUSE</t>
  </si>
  <si>
    <t>Q8BZR9</t>
  </si>
  <si>
    <t>Q3TNF4; Q3TQ96; Q4G0C3; Q8BMB1; Q9CRM6; Q9CS93; Q9D0G9; Q9DBT0</t>
  </si>
  <si>
    <t>MGI:1914124</t>
  </si>
  <si>
    <t>Alternative splicing; Antiviral defense; Cytoplasm; Isopeptide bond; mRNA capping; mRNA processing; mRNA transport; Nucleus; Phosphoprotein; RNA-binding; Transport; Ubl conjugation</t>
  </si>
  <si>
    <t>Antiviral defense; Transport; mRNA capping; mRNA processing; mRNA transport</t>
  </si>
  <si>
    <t>7-methylguanosine mRNA capping {GO:0006370}; defense response to virus {GO:0051607}; mRNA export from nucleus {GO:0006406}; mRNA transcription by RNA polymerase II {GO:0042789}; snRNA export from nucleus {GO:0006408}</t>
  </si>
  <si>
    <t>cytoplasm {GO:0005737}; mRNA cap binding complex {GO:0005845}; nuclear cap binding complex {GO:0005846}; nuclear speck {GO:0016607}; nucleus {GO:0005634}</t>
  </si>
  <si>
    <t>sp|Q78IS1|TMED3_MOUSE</t>
  </si>
  <si>
    <t>Transmembrane emp24 domain-containing protein 3</t>
  </si>
  <si>
    <t>p24 family protein gamma-4 (p24gamma4)</t>
  </si>
  <si>
    <t>TMED3_MOUSE</t>
  </si>
  <si>
    <t>Q78IS1</t>
  </si>
  <si>
    <t>Q9DC62; Q9DCK9</t>
  </si>
  <si>
    <t>MGI:1913361</t>
  </si>
  <si>
    <t>Cytoplasmic vesicle; Endoplasmic reticulum; Golgi apparatus; Membrane; Methylation; Protein transport; Signal; Transmembrane; Transmembrane helix; Transport</t>
  </si>
  <si>
    <t>endoplasmic reticulum to Golgi vesicle-mediated transport {GO:0006888}; Golgi organization {GO:0007030}; intracellular protein transport {GO:0006886}</t>
  </si>
  <si>
    <t>COPI vesicle coat {GO:0030126}; 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Golgi apparatus {GO:0005794}; Golgi cisterna membrane {GO:0032580}; integral component of membrane {GO:0016021}</t>
  </si>
  <si>
    <t>sp|P14094|AT1B1_MOUSE</t>
  </si>
  <si>
    <t>Sodium/potassium-transporting ATPase subunit beta-1</t>
  </si>
  <si>
    <t>Sodium/potassium-dependent ATPase subunit beta-1</t>
  </si>
  <si>
    <t>AT1B1_MOUSE</t>
  </si>
  <si>
    <t>P14094</t>
  </si>
  <si>
    <t>Atp4b</t>
  </si>
  <si>
    <t>MGI:88108</t>
  </si>
  <si>
    <t>Cell adhesion; Cell membrane; Disulfide bond; Glutathionylation; Glycoprotein; Ion transport; Membrane; Phosphoprotein; Potassium; Potassium transport; Signal-anchor; Sodium; Sodium transport; Sodium/potassium transport; Transmembrane; Transmembrane helix; Transport</t>
  </si>
  <si>
    <t>Cell adhesion; Ion transport; Potassium transport; Sodium transport; Sodium/potassium transport; Transport</t>
  </si>
  <si>
    <t>Disulfide bond; Glutathionylation; Glycoprotein; Phosphoprotein</t>
  </si>
  <si>
    <t>ATP metabolic process {GO:0046034}; cardiac muscle contraction {GO:0060048}; cation transmembrane transport {GO:0098655}; cell adhesion {GO:0007155}; cellular calcium ion homeostasis {GO:0006874}; cellular potassium ion homeostasis {GO:0030007}; cellular sodium ion homeostasis {GO:0006883}; establishment or maintenance of transmembrane electrochemical gradient {GO:0010248}; membrane repolarization {GO:0086009}; metal ion transport {GO:0030001}; positive regulation of ATP-dependent activity {GO:0032781}; positive regulation of calcium:sodium antiporter activity {GO:1903281}; positive regulation of P-type sodium:potassium-exchanging transporter activity {GO:1903408}; positive regulation of potassium ion import across plasma membrane {GO:1903288}; positive regulation of potassium ion transmembrane transporter activity {GO:1901018}; positive regulation of sodium ion export across plasma membrane {GO:1903278}; potassium ion import across plasma membrane {GO:1990573}; potassium ion transport {GO:0006813}; protein localization to plasma membrane {GO:0072659}; protein stabilization {GO:0050821}; proton transmembrane transport {GO:1902600}; regulation of calcium ion transmembrane transport {GO:1903169}; regulation of cardiac muscle contraction by calcium ion signaling {GO:0010882}; regulation of gene expression {GO:0010468}; relaxation of cardiac muscle {GO:0055119}; response to hypoxia {GO:0001666}; sodium ion export across plasma membrane {GO:0036376}; sodium ion transmembrane transport {GO:0035725}; sodium ion transport {GO:0006814}</t>
  </si>
  <si>
    <t>apical plasma membrane {GO:0016324}; basolateral plasma membrane {GO:0016323}; caveola {GO:0005901}; intercalated disc {GO:0014704}; lateral plasma membrane {GO:0016328}; membrane {GO:0016020}; myelin sheath {GO:0043209}; organelle membrane {GO:0031090}; plasma membrane {GO:0005886}; sarcolemma {GO:0042383}; sodium:potassium-exchanging ATPase complex {GO:0005890}; sperm flagellum {GO:0036126}; T-tubule {GO:0030315}</t>
  </si>
  <si>
    <t>ATPase activator activity {GO:0001671}; ATPase binding {GO:0051117}; P-type sodium:potassium-exchanging transporter activity {GO:0005391}; protein C-terminus binding {GO:0008022}; protein heterodimerization activity {GO:0046982}; protein kinase binding {GO:0019901}; protein-macromolecule adaptor activity {GO:0030674}</t>
  </si>
  <si>
    <t>sp|D3Z2R5|SELN_MOUSE</t>
  </si>
  <si>
    <t>Selenoprotein N (SelN)</t>
  </si>
  <si>
    <t>SELN_MOUSE</t>
  </si>
  <si>
    <t>D3Z2R5</t>
  </si>
  <si>
    <t>MGI:2151208</t>
  </si>
  <si>
    <t>Endoplasmic reticulum; Glycoprotein; Membrane; Oxidoreductase; Repeat; Selenocysteine; Signal</t>
  </si>
  <si>
    <t>calcium ion homeostasis {GO:0055074}; cellular response to caffeine {GO:0071313}; cellular response to oxidative stress {GO:0034599}; lung alveolus development {GO:0048286}; mitochondrion organization {GO:0007005}; multicellular organismal response to stress {GO:0033555}; positive regulation of response to oxidative stress {GO:1902884}; positive regulation of skeletal muscle cell proliferation {GO:0014858}; regulation of ryanodine-sensitive calcium-release channel activity {GO:0060314}; respiratory system process {GO:0003016}; response to muscle activity involved in regulation of muscle adaptation {GO:0014873}; skeletal muscle fiber development {GO:0048741}; skeletal muscle satellite cell differentiation {GO:0014816}; skeletal muscle satellite cell maintenance involved in skeletal muscle regeneration {GO:0014834}; skeletal muscle tissue regeneration {GO:0043403}</t>
  </si>
  <si>
    <t>endoplasmic reticulum membrane {GO:0005789}</t>
  </si>
  <si>
    <t>calcium ion binding {GO:0005509}; oxidoreductase activity {GO:0016491}</t>
  </si>
  <si>
    <t>sp|Q91YE7|RBM5_MOUSE</t>
  </si>
  <si>
    <t>RNA-binding protein 5</t>
  </si>
  <si>
    <t>Putative tumor suppressor LUCA15; RNA-binding motif protein 5</t>
  </si>
  <si>
    <t>RBM5_MOUSE</t>
  </si>
  <si>
    <t>Q91YE7</t>
  </si>
  <si>
    <t>Q3UZ19; Q99KV9</t>
  </si>
  <si>
    <t>Luca15</t>
  </si>
  <si>
    <t>MGI:1933204</t>
  </si>
  <si>
    <t>3D-structure; Alternative splicing; Apoptosis; Metal-binding; mRNA processing; mRNA splicing; Nucleus; Phosphoprotein; Repeat; RNA-binding; Spliceosome; Zinc; Zinc-finger</t>
  </si>
  <si>
    <t>apoptotic process {GO:0006915}; mRNA splicing, via spliceosome {GO:0000398}; positive regulation of apoptotic process {GO:0043065}; regulation of alternative mRNA splicing, via spliceosome {GO:0000381}; spliceosomal complex assembly {GO:0000245}</t>
  </si>
  <si>
    <t>nucleoplasm {GO:0005654}; nucleus {GO:0005634}; spliceosomal complex {GO:0005681}</t>
  </si>
  <si>
    <t>metal ion binding {GO:0046872}; mRNA binding {GO:0003729}; RNA binding {GO:0003723}</t>
  </si>
  <si>
    <t>sp|Q8BMK1|METL2_MOUSE</t>
  </si>
  <si>
    <t>tRNA N(3)-methylcytidine methyltransferase METTL2</t>
  </si>
  <si>
    <t>Methyltransferase-like protein 2</t>
  </si>
  <si>
    <t>METL2_MOUSE</t>
  </si>
  <si>
    <t>Q8BMK1</t>
  </si>
  <si>
    <t>Q3U5T7; Q5EBH8; Q8BXC2</t>
  </si>
  <si>
    <t>MGI:1289171</t>
  </si>
  <si>
    <t>Alternative splicing; Cytoplasm; Methyltransferase; S-adenosyl-L-methionine; Transferase; tRNA processing</t>
  </si>
  <si>
    <t>tRNA methylation {GO:0030488}</t>
  </si>
  <si>
    <t>tRNA (cytosine) methyltransferase activity {GO:0016427}; tRNA (cytosine-3-)-methyltransferase activity {GO:0052735}</t>
  </si>
  <si>
    <t>sp|P18608|HMGN1_MOUSE</t>
  </si>
  <si>
    <t>Non-histone chromosomal protein HMG-14</t>
  </si>
  <si>
    <t>High mobility group nucleosome-binding domain-containing protein 1</t>
  </si>
  <si>
    <t>HMGN1_MOUSE</t>
  </si>
  <si>
    <t>P18608</t>
  </si>
  <si>
    <t>Q5HZY9</t>
  </si>
  <si>
    <t>Hmg-14; Hmg14</t>
  </si>
  <si>
    <t>MGI:96120</t>
  </si>
  <si>
    <t>Acetylation; ADP-ribosylation; Cytoplasm; DNA-binding; Nucleus; Phosphoprotein</t>
  </si>
  <si>
    <t>chromatin organization {GO:0006325}; positive regulation of NAD+ ADP-ribosyltransferase activity {GO:1901666}; post-embryonic camera-type eye morphogenesis {GO:0048597}; pyrimidine dimer repair by nucleotide-excision repair {GO:0000720}; regulation of development, heterochronic {GO:0040034}; regulation of epithelial cell proliferation {GO:0050678}; regulation of transcription by RNA polymerase II {GO:0006357}; response to UV-B {GO:0010224}; response to UV-C {GO:0010225}; transcription-coupled nucleotide-excision repair {GO:0006283}</t>
  </si>
  <si>
    <t>chromatin {GO:0000785}; cytoplasm {GO:0005737}; female germ cell nucleus {GO:0001674}; nucleoplasm {GO:0005654}; nucleus {GO:0005634}</t>
  </si>
  <si>
    <t>Formation of TC-NER Pre-Incision Complex {R-MMU-6781823}; Dual incision in TC-NER {R-MMU-6782135}; Gap-filling DNA repair synthesis and ligation in TC-NER {R-MMU-6782210}</t>
  </si>
  <si>
    <t>sp|A2AQ19|RTF1_MOUSE</t>
  </si>
  <si>
    <t>RNA polymerase-associated protein RTF1 homolog</t>
  </si>
  <si>
    <t>RTF1_MOUSE</t>
  </si>
  <si>
    <t>A2AQ19</t>
  </si>
  <si>
    <t>Q08EC5</t>
  </si>
  <si>
    <t>MGI:1309480</t>
  </si>
  <si>
    <t>Activator; Coiled coil; DNA-binding; Nucleus; Phosphoprotein; Transcription; Transcription regulation; Wnt signaling pathway</t>
  </si>
  <si>
    <t>blastocyst growth {GO:0001832}; endodermal cell fate commitment {GO:0001711}; histone H3-K4 trimethylation {GO:0080182}; negative regulation of transcription by RNA polymerase II {GO:0000122}; positive regulation of histone H3-K4 methylation {GO:0051571}; stem cell population maintenance {GO:0019827}; transcription elongation by RNA polymerase II promoter {GO:0006368}; Wnt signaling pathway {GO:0016055}</t>
  </si>
  <si>
    <t>Cdc73/Paf1 complex {GO:0016593}; nucleolus {GO:0005730}</t>
  </si>
  <si>
    <t>RNA polymerase II C-terminal domain phosphoserine binding {GO:1990269}; single-stranded DNA binding {GO:0003697}</t>
  </si>
  <si>
    <t>sp|P50136|ODBA_MOUSE</t>
  </si>
  <si>
    <t>2-oxoisovalerate dehydrogenase subunit alpha, mitochondrial</t>
  </si>
  <si>
    <t>Branched-chain alpha-keto acid dehydrogenase E1 component alpha chain (BCKDE1A; BCKDH E1-alpha)</t>
  </si>
  <si>
    <t>ODBA_MOUSE</t>
  </si>
  <si>
    <t>P50136</t>
  </si>
  <si>
    <t>MGI:107701</t>
  </si>
  <si>
    <t>Acetylation; Metal-binding; Mitochondrion; Oxidoreductase; Phosphoprotein; Potassium; Thiamine pyrophosphate; Transit peptide</t>
  </si>
  <si>
    <t>Metal-binding; Potassium; Thiamine pyrophosphate</t>
  </si>
  <si>
    <t>branched-chain amino acid catabolic process {GO:0009083}</t>
  </si>
  <si>
    <t>mitochondrial alpha-ketoglutarate dehydrogenase complex {GO:0005947}; mitochondrion {GO:0005739}</t>
  </si>
  <si>
    <t>3-methyl-2-oxobutanoate dehydrogenase (2-methylpropanoyl-transferring) activity {GO:0003863}; metal ion binding {GO:0046872}; protein-containing complex binding {GO:0044877}</t>
  </si>
  <si>
    <t>sp|Q8CBW3|ABI1_MOUSE</t>
  </si>
  <si>
    <t>Abl interactor 1</t>
  </si>
  <si>
    <t>Abelson interactor 1 (Abi-1); Ablphilin-1; Eps8 SH3 domain-binding protein (Eps8-binding protein); Spectrin SH3 domain-binding protein 1; e3B1</t>
  </si>
  <si>
    <t>ABI1_MOUSE</t>
  </si>
  <si>
    <t>Q8CBW3</t>
  </si>
  <si>
    <t>Q3U8V0; Q60747; Q91ZM5; Q923I9; Q99KH4</t>
  </si>
  <si>
    <t>Ssh3bp1</t>
  </si>
  <si>
    <t>MGI:104913</t>
  </si>
  <si>
    <t>Acetylation; Alternative splicing; Cell projection; Coiled coil; Cytoplasm; Cytoskeleton; Nucleus; Phosphoprotein; SH3 domain; Synapse</t>
  </si>
  <si>
    <t>Cell projection; Cytoplasm; Cytoskeleton; Nucleus; Synapse</t>
  </si>
  <si>
    <t>actin polymerization or depolymerization {GO:0008154}; dendrite morphogenesis {GO:0048813}; lamellipodium morphogenesis {GO:0072673}; megakaryocyte development {GO:0035855}; peptidyl-tyrosine phosphorylation {GO:0018108}; positive regulation of protein tyrosine kinase activity {GO:0061098}; postsynapse to nucleus signaling pathway {GO:0099527}; somitogenesis {GO:0001756}</t>
  </si>
  <si>
    <t>anchoring junction {GO:0070161}; cell leading edge {GO:0031252}; cytoskeleton {GO:0005856}; filopodium tip {GO:0032433}; glutamatergic synapse {GO:0098978}; growth cone {GO:0030426}; lamellipodium {GO:0030027}; neuron projection {GO:0043005}; nucleus {GO:0005634}; postsynaptic density {GO:0014069}; SCAR complex {GO:0031209}</t>
  </si>
  <si>
    <t>protein tyrosine kinase activator activity {GO:0030296}; SH3 domain binding {GO:0017124}; signaling adaptor activity {GO:0035591}</t>
  </si>
  <si>
    <t>sp|Q9CR50|ZN363_MOUSE</t>
  </si>
  <si>
    <t>RING finger and CHY zinc finger domain-containing protein 1</t>
  </si>
  <si>
    <t>Androgen receptor N-terminal-interacting protein; CH-rich-interacting match with PLAG1; E3 ubiquitin-protein ligase Pirh2; RING-type E3 ubiquitin transferase RCHY1; Zinc finger protein 363</t>
  </si>
  <si>
    <t>ZN363_MOUSE</t>
  </si>
  <si>
    <t>Q9CR50</t>
  </si>
  <si>
    <t>Q920H0</t>
  </si>
  <si>
    <t>Arnip; Chimp; Zfp363; Znf363</t>
  </si>
  <si>
    <t>MGI:1915348</t>
  </si>
  <si>
    <t>3D-structure; Cytoplasm; Metal-binding; Nucleus; Transferase; Ubl conjugation; Ubl conjugation pathway; Zinc; Zinc-finger</t>
  </si>
  <si>
    <t>positive regulation of proteasomal ubiquitin-dependent protein catabolic process {GO:0032436}; positive regulation of protein ubiquitination {GO:0031398}; protein autoubiquitination {GO:0051865}; protein ubiquitination {GO:0016567}; ubiquitin-dependent protein catabolic process {GO:0006511}</t>
  </si>
  <si>
    <t>cytoplasm {GO:0005737}; cytosol {GO:0005829}; intracellular membrane-bounded organelle {GO:0043231}; nuclear speck {GO:0016607}; nucleoplasm {GO:0005654}; nucleus {GO:0005634}; ubiquitin ligase complex {GO:0000151}</t>
  </si>
  <si>
    <t>p53 binding {GO:0002039}; protein homodimerization activity {GO:0042803}; signaling receptor binding {GO:0005102}; ubiquitin protein ligase activity {GO:0061630}; zinc ion binding {GO:0008270}</t>
  </si>
  <si>
    <t>Translesion Synthesis by POLH {R-MMU-110320}; Antigen processing: Ubiquitination &amp; Proteasome degradation {R-MMU-983168}</t>
  </si>
  <si>
    <t>sp|P41216|ACSL1_MOUSE</t>
  </si>
  <si>
    <t>Long-chain-fatty-acid--CoA ligase 1</t>
  </si>
  <si>
    <t>Arachidonate--CoA ligase; Long-chain acyl-CoA synthetase 1 (LACS 1); Phytanate--CoA ligase</t>
  </si>
  <si>
    <t>ACSL1_MOUSE</t>
  </si>
  <si>
    <t>P41216</t>
  </si>
  <si>
    <t>Q6GTG6; Q9DBK5</t>
  </si>
  <si>
    <t>Acsl2; Facl2</t>
  </si>
  <si>
    <t>MGI:102797</t>
  </si>
  <si>
    <t>Acetylation; ATP-binding; Endoplasmic reticulum; Fatty acid metabolism; Glycoprotein; Ligase; Lipid metabolism; Magnesium; Membrane; Microsome; Mitochondrion; Mitochondrion outer membrane; Nitration; Nucleotide-binding; Peroxisome; Phosphoprotein; Signal-anchor; Transmembrane; Transmembrane helix</t>
  </si>
  <si>
    <t>Acetylation; Glycoprotein; Nitration; Phosphoprotein</t>
  </si>
  <si>
    <t>adiponectin-activated signaling pathway {GO:0033211}; fatty acid metabolic process {GO:0006631}; fatty acid transport {GO:0015908}; lipid biosynthetic process {GO:0008610}; long-chain fatty acid import into cell {GO:0044539}; long-chain fatty acid metabolic process {GO:0001676}; long-chain fatty-acyl-CoA biosynthetic process {GO:0035338}; positive regulation of cold-induced thermogenesis {GO:0120162}; positive regulation of long-chain fatty acid import across plasma membrane {GO:0010747}; positive regulation of protein serine/threonine kinase activity {GO:0071902}; response to nutrient {GO:0007584}; response to oleic acid {GO:0034201}; response to organic cyclic compound {GO:0014070}; response to organic substance {GO:0010033}; triglyceride biosynthetic process {GO:0019432}; very long-chain fatty acid metabolic process {GO:0000038}; xenobiotic catabolic process {GO:0042178}</t>
  </si>
  <si>
    <t>endoplasmic reticulum {GO:0005783}; endoplasmic reticulum membrane {GO:0005789}; integral component of membrane {GO:0016021}; membrane {GO:0016020}; mitochondrial outer membrane {GO:0005741}; mitochondrion {GO:0005739}; peroxisomal membrane {GO:0005778}; plasma membrane {GO:0005886}</t>
  </si>
  <si>
    <t>arachidonate-CoA ligase activity {GO:0047676}; ATP binding {GO:0005524}; long-chain fatty acid-CoA ligase activity {GO:0004467}; oleoyl-CoA ligase activity {GO:0090434}; phytanate-CoA ligase activity {GO:0050197}; pristanate-CoA ligase activity {GO:0070251}</t>
  </si>
  <si>
    <t>Linoleic acid (LA) metabolism {R-MMU-2046105}; alpha-linolenic acid (ALA) metabolism {R-MMU-2046106}; Synthesis of very long-chain fatty acyl-CoAs {R-MMU-75876}</t>
  </si>
  <si>
    <t>tr|Q6PHP4|Q6PHP4_MOUSE</t>
  </si>
  <si>
    <t>sp|Q8BI72|CARF_MOUSE</t>
  </si>
  <si>
    <t>CDKN2A-interacting protein</t>
  </si>
  <si>
    <t>Collaborator of ARF</t>
  </si>
  <si>
    <t>CARF_MOUSE</t>
  </si>
  <si>
    <t>Q8BI72</t>
  </si>
  <si>
    <t>Carf</t>
  </si>
  <si>
    <t>MGI:1918175</t>
  </si>
  <si>
    <t>Acetylation; Isopeptide bond; Nucleus; Phosphoprotein; RNA-binding; Ubl conjugation</t>
  </si>
  <si>
    <t>cellular response to DNA damage stimulus {GO:0006974}; negative regulation of cell growth {GO:0030308}; positive regulation of cell growth {GO:0030307}; positive regulation of signal transduction {GO:0009967}; regulation of protein stability {GO:0031647}</t>
  </si>
  <si>
    <t>granular component {GO:0001652}; nucleolus {GO:0005730}; nucleoplasm {GO:0005654}; nucleus {GO:0005634}</t>
  </si>
  <si>
    <t>p53 binding {GO:0002039}; RNA binding {GO:0003723}</t>
  </si>
  <si>
    <t>sp|Q9DC11|PXDC2_MOUSE</t>
  </si>
  <si>
    <t>Plexin domain-containing protein 2</t>
  </si>
  <si>
    <t>Tumor endothelial marker 7-related protein</t>
  </si>
  <si>
    <t>PXDC2_MOUSE</t>
  </si>
  <si>
    <t>Q9DC11</t>
  </si>
  <si>
    <t>Q6PET5; Q91ZV6</t>
  </si>
  <si>
    <t>Tem7r</t>
  </si>
  <si>
    <t>MGI:1914698</t>
  </si>
  <si>
    <t>Glycoprotein; Membrane; Phosphoprotein; Signal; Transmembrane; Transmembrane helix</t>
  </si>
  <si>
    <t>collagen-containing extracellular matrix {GO:0062023}; integral component of membrane {GO:0016021}; plasma membrane {GO:0005886}</t>
  </si>
  <si>
    <t>sp|Q68FH4|GALK2_MOUSE</t>
  </si>
  <si>
    <t>N-acetylgalactosamine kinase</t>
  </si>
  <si>
    <t>GalNAc kinase; Galactokinase 2</t>
  </si>
  <si>
    <t>GALK2_MOUSE</t>
  </si>
  <si>
    <t>Q68FH4</t>
  </si>
  <si>
    <t>MGI:1917226</t>
  </si>
  <si>
    <t>ATP-binding; Kinase; Nucleotide-binding; Transferase</t>
  </si>
  <si>
    <t>galactose metabolic process {GO:0006012}</t>
  </si>
  <si>
    <t>ATP binding {GO:0005524}; galactokinase activity {GO:0004335}; N-acetylgalactosamine kinase activity {GO:0033858}</t>
  </si>
  <si>
    <t>sp|Q922H4|GMPPA_MOUSE</t>
  </si>
  <si>
    <t>Mannose-1-phosphate guanyltransferase alpha</t>
  </si>
  <si>
    <t>GDP-mannose pyrophosphorylase A; GTP-mannose-1-phosphate guanylyltransferase alpha</t>
  </si>
  <si>
    <t>GMPPA_MOUSE</t>
  </si>
  <si>
    <t>Q922H4</t>
  </si>
  <si>
    <t>Q3UCM2</t>
  </si>
  <si>
    <t>MGI:1916330</t>
  </si>
  <si>
    <t>nucleotidyltransferase activity {GO:0016779}</t>
  </si>
  <si>
    <t>sp|Q8BGR6|ARL15_MOUSE</t>
  </si>
  <si>
    <t>ADP-ribosylation factor-like protein 15</t>
  </si>
  <si>
    <t>ADP-ribosylation factor-related protein 2 (ARF-related protein 2)</t>
  </si>
  <si>
    <t>ARL15_MOUSE</t>
  </si>
  <si>
    <t>Q8BGR6</t>
  </si>
  <si>
    <t>Arfrp2</t>
  </si>
  <si>
    <t>MGI:2442308</t>
  </si>
  <si>
    <t>sp|Q8K012|FBP1L_MOUSE</t>
  </si>
  <si>
    <t>Formin-binding protein 1-like</t>
  </si>
  <si>
    <t>Transducer of Cdc42-dependent actin assembly protein 1 (Toca-1)</t>
  </si>
  <si>
    <t>FBP1L_MOUSE</t>
  </si>
  <si>
    <t>Q8K012</t>
  </si>
  <si>
    <t>Q3U901</t>
  </si>
  <si>
    <t>Toca1</t>
  </si>
  <si>
    <t>MGI:1925642</t>
  </si>
  <si>
    <t>Alternative splicing; Autophagy; Cell membrane; Coiled coil; Cytoplasm; Cytoplasmic vesicle; Cytoskeleton; Endocytosis; Lipid-binding; Membrane; Phosphoprotein; SH3 domain</t>
  </si>
  <si>
    <t>Autophagy; Endocytosis</t>
  </si>
  <si>
    <t>Cell membrane; Cytoplasm; Cytoplasmic vesicle; Cytoskeleton; Membrane</t>
  </si>
  <si>
    <t>autophagy {GO:0006914}; cilium assembly {GO:0060271}; clathrin-dependent endocytosis {GO:0072583}; membrane invagination {GO:0010324}; plasma membrane tubulation {GO:0097320}; positive regulation of filopodium assembly {GO:0051491}; signal transduction {GO:0007165}; vesicle budding from membrane {GO:0006900}; vesicle organization {GO:0016050}; vesicle transport along actin filament {GO:0030050}</t>
  </si>
  <si>
    <t>cell cortex {GO:0005938}; cytoplasm {GO:0005737}; cytoplasmic vesicle {GO:0031410}; cytoskeleton {GO:0005856}; cytosol {GO:0005829}; plasma membrane {GO:0005886}</t>
  </si>
  <si>
    <t>GTPase binding {GO:0051020}; lipid binding {GO:0008289}</t>
  </si>
  <si>
    <t>sp|Q9D020|5NT3A_MOUSE</t>
  </si>
  <si>
    <t>Cytosolic 5'-nucleotidase 3A</t>
  </si>
  <si>
    <t>7-methylguanosine phosphate-specific 5'-nucleotidase (7-methylguanosine nucleotidase); Cytosolic 5'-nucleotidase 3; Cytosolic 5'-nucleotidase III (cN-III); Lupin; Pyrimidine 5'-nucleotidase 1 (P5'N-1; P5N-1; PN-I)</t>
  </si>
  <si>
    <t>5NT3A_MOUSE</t>
  </si>
  <si>
    <t>Q9D020</t>
  </si>
  <si>
    <t>Q8CI05; Q9D0D9</t>
  </si>
  <si>
    <t>Nt5c3</t>
  </si>
  <si>
    <t>MGI:1927186</t>
  </si>
  <si>
    <t>3D-structure; Alternative splicing; Cytoplasm; Hydrolase; Magnesium; Metal-binding; Nucleotide metabolism; Nucleotide-binding; Phosphoprotein; Transferase</t>
  </si>
  <si>
    <t>adenosine metabolic process {GO:0046085}; CMP catabolic process {GO:0006248}; dCMP catabolic process {GO:0006249}; defense response to virus {GO:0051607}; dTMP catabolic process {GO:0046074}; dUMP catabolic process {GO:0046079}; UMP catabolic process {GO:0046050}</t>
  </si>
  <si>
    <t>cytoplasm {GO:0005737}; cytosol {GO:0005829}; endoplasmic reticulum {GO:0005783}; mitochondrion {GO:0005739}; nuclear body {GO:0016604}; nucleoplasm {GO:0005654}</t>
  </si>
  <si>
    <t>5'-nucleotidase activity {GO:0008253}; magnesium ion binding {GO:0000287}; nucleotide binding {GO:0000166}; transferase activity {GO:0016740}; XMP 5'-nucleosidase activity {GO:0106411}</t>
  </si>
  <si>
    <t>Pyrimidine catabolism {R-MMU-73621}</t>
  </si>
  <si>
    <t>sp|O88351|IKKB_MOUSE</t>
  </si>
  <si>
    <t>Inhibitor of nuclear factor kappa-B kinase subunit beta (I-kappa-B-kinase beta; IKK-B; IKK-beta; IkBKB)</t>
  </si>
  <si>
    <t>I-kappa-B kinase 2 (IKK2); Nuclear factor NF-kappa-B inhibitor kinase beta (NFKBIKB); Serine/threonine protein kinase IKBKB</t>
  </si>
  <si>
    <t>IKKB_MOUSE</t>
  </si>
  <si>
    <t>O88351</t>
  </si>
  <si>
    <t>Q9R1J6</t>
  </si>
  <si>
    <t>Ikkb</t>
  </si>
  <si>
    <t>MGI:1338071</t>
  </si>
  <si>
    <t>ATP-binding; Cytoplasm; Hydroxylation; Isopeptide bond; Kinase; Membrane; Nucleotide-binding; Nucleus; Phosphoprotein; S-nitrosylation; Serine/threonine-protein kinase; Transferase; Ubl conjugation</t>
  </si>
  <si>
    <t>Hydroxylation; Isopeptide bond; Phosphoprotein; S-nitrosylation; Ubl conjugation</t>
  </si>
  <si>
    <t>B cell homeostasis {GO:0001782}; cellular response to tumor necrosis factor {GO:0071356}; cortical actin cytoskeleton organization {GO:0030866}; I-kappaB kinase/NF-kappaB signaling {GO:0007249}; I-kappaB phosphorylation {GO:0007252}; interleukin-1-mediated signaling pathway {GO:0070498}; negative regulation of bicellular tight junction assembly {GO:1903347}; negative regulation of myosin-light-chain-phosphatase activity {GO:0035509}; neuron projection development {GO:0031175}; peptidyl-serine phosphorylation {GO:0018105}; positive regulation of cation channel activity {GO:2001259}; positive regulation of cell population proliferation {GO:0008284}; positive regulation of I-kappaB kinase/NF-kappaB signaling {GO:0043123}; positive regulation of neuron death {GO:1901216}; positive regulation of neuron projection development {GO:0010976}; positive regulation of NF-kappaB transcription factor activity {GO:0051092}; positive regulation of sodium ion transport {GO:0010765}; positive regulation of transcription by RNA polymerase II {GO:0045944}; protein localization to plasma membrane {GO:0072659}; protein phosphorylation {GO:0006468}; regulation of establishment of endothelial barrier {GO:1903140}; regulation of phosphorylation {GO:0042325}; response to cholecystokinin {GO:0061847}; tumor necrosis factor-mediated signaling pathway {GO:0033209}</t>
  </si>
  <si>
    <t>CD40 receptor complex {GO:0035631}; cytoplasm {GO:0005737}; cytoplasmic side of plasma membrane {GO:0009898}; cytosol {GO:0005829}; IkappaB kinase complex {GO:0008385}; intracellular membrane-bounded organelle {GO:0043231}; membrane raft {GO:0045121}; nucleus {GO:0005634}</t>
  </si>
  <si>
    <t>ATP binding {GO:0005524}; identical protein binding {GO:0042802}; IkappaB kinase activity {GO:0008384}; protein heterodimerization activity {GO:0046982}; protein homodimerization activity {GO:0042803}; protein kinase activity {GO:0004672}; protein kinase binding {GO:0019901}; protein phosphatase binding {GO:0019903}; protein serine kinase activity {GO:0106310}; protein serine/threonine kinase activity {GO:0004674}; protein-containing complex binding {GO:0044877}; scaffold protein binding {GO:0097110}; transferrin receptor binding {GO:1990459}</t>
  </si>
  <si>
    <t>Activation of NF-kappaB in B cells {R-MMU-1169091}; RIP-mediated NFkB activation via ZBP1 {R-MMU-1810476}; Downstream TCR signaling {R-MMU-202424}; p75NTR recruits signalling complexes {R-MMU-209543}; NF-kB is activated and signals survival {R-MMU-209560}; FCERI mediated NF-kB activation {R-MMU-2871837}; TAK1-dependent IKK and NF-kappa-B activation {R-MMU-445989}; Regulation of TNFR1 signaling {R-MMU-5357905}; TNFR1-induced NFkappaB signaling pathway {R-MMU-5357956}; CLEC7A (Dectin-1) signaling {R-MMU-5607764}; MAP3K8 (TPL2)-dependent MAPK1/3 activation {R-MMU-5684264}; Interleukin-1 signaling {R-MMU-9020702}; TRAF6 mediated NF-kB activation {R-MMU-933542}; IRAK1 recruits IKK complex {R-MMU-937039}; IKK complex recruitment mediated by RIP1 {R-MMU-937041}; IRAK1 recruits IKK complex upon TLR7/8 or 9 stimulation {R-MMU-975144}; Regulation of NF-kappa B signaling {R-MMU-9758274}</t>
  </si>
  <si>
    <t>sp|P0C7N9|PSMG4_MOUSE</t>
  </si>
  <si>
    <t>Proteasome assembly chaperone 4 (PAC-4; mPAC4)</t>
  </si>
  <si>
    <t>PSMG4_MOUSE</t>
  </si>
  <si>
    <t>P0C7N9</t>
  </si>
  <si>
    <t>Pac4</t>
  </si>
  <si>
    <t>MGI:1916916</t>
  </si>
  <si>
    <t>proteasome assembly {GO:0043248}</t>
  </si>
  <si>
    <t>protein-containing complex {GO:0032991}</t>
  </si>
  <si>
    <t>sp|Q8R0J7|VP37B_MOUSE</t>
  </si>
  <si>
    <t>Vacuolar protein sorting-associated protein 37B (Vps37B)</t>
  </si>
  <si>
    <t>ESCRT-I complex subunit VPS37B</t>
  </si>
  <si>
    <t>VP37B_MOUSE</t>
  </si>
  <si>
    <t>Q8R0J7</t>
  </si>
  <si>
    <t>Q3TLR2; Q3UDW1</t>
  </si>
  <si>
    <t>MGI:1916724</t>
  </si>
  <si>
    <t>Endosome; Membrane; Protein transport; Transport</t>
  </si>
  <si>
    <t>positive regulation of viral budding via host ESCRT complex {GO:1903774}; protein targeting to membrane {GO:0006612}; protein targeting to vacuole {GO:0006623}; ubiquitin-dependent protein catabolic process via the multivesicular body sorting pathway {GO:0043162}; viral release from host cell {GO:0019076}</t>
  </si>
  <si>
    <t>cytoplasm {GO:0005737}; endosome {GO:0005768}; endosome membrane {GO:0010008}; ESCRT I complex {GO:0000813}; late endosome membrane {GO:0031902}; midbody {GO:0030496}; plasma membrane {GO:0005886}</t>
  </si>
  <si>
    <t>calcium-dependent protein binding {GO:0048306}</t>
  </si>
  <si>
    <t>sp|P56387|DYLT3_MOUSE</t>
  </si>
  <si>
    <t>Dynein light chain Tctex-type 3</t>
  </si>
  <si>
    <t>Protein 91/23; T-complex-associated testis-expressed 1-like</t>
  </si>
  <si>
    <t>DYLT3_MOUSE</t>
  </si>
  <si>
    <t>P56387</t>
  </si>
  <si>
    <t>Tcte1l</t>
  </si>
  <si>
    <t>MGI:1914367</t>
  </si>
  <si>
    <t>Cell cycle; Cell division; Centromere; Chromosome; Cytoplasm; Cytoskeleton; Dynein; Kinetochore; Microtubule; Mitosis; Motor protein; Nitration; Nucleus; Transport</t>
  </si>
  <si>
    <t>Centromere; Chromosome; Cytoplasm; Cytoskeleton; Dynein; Kinetochore; Microtubule; Nucleus</t>
  </si>
  <si>
    <t>cell cycle {GO:0007049}; cell division {GO:0051301}; microtubule-based movement {GO:0007018}; positive regulation of mitotic cell cycle {GO:0045931}; regulation of mitotic cell cycle {GO:0007346}</t>
  </si>
  <si>
    <t>cytoplasm {GO:0005737}; cytoplasmic dynein complex {GO:0005868}; kinetochore {GO:0000776}; mitotic spindle astral microtubule {GO:0061673}; nucleus {GO:0005634}</t>
  </si>
  <si>
    <t>sp|P35441|TSP1_MOUSE</t>
  </si>
  <si>
    <t>Thrombospondin-1</t>
  </si>
  <si>
    <t>Glycoprotein G</t>
  </si>
  <si>
    <t>TSP1_MOUSE</t>
  </si>
  <si>
    <t>P35441</t>
  </si>
  <si>
    <t>Tsp1</t>
  </si>
  <si>
    <t>MGI:98737</t>
  </si>
  <si>
    <t>Calcium; Cell adhesion; Disulfide bond; EGF-like domain; Endoplasmic reticulum; Extracellular matrix; Glycoprotein; Heparin-binding; Repeat; Sarcoplasmic reticulum; Secreted; Signal; Unfolded protein response</t>
  </si>
  <si>
    <t>Cell adhesion; Unfolded protein response</t>
  </si>
  <si>
    <t>Endoplasmic reticulum; Extracellular matrix; Sarcoplasmic reticulum; Secreted</t>
  </si>
  <si>
    <t>behavioral response to pain {GO:0048266}; blood vessel morphogenesis {GO:0048514}; cell migration {GO:0016477}; cellular response to nitric oxide {GO:0071732}; endocardial cushion development {GO:0003197}; engulfment of apoptotic cell {GO:0043652}; growth plate cartilage development {GO:0003417}; inflammatory response {GO:0006954}; monocyte aggregation {GO:0070487}; negative regulation of angiogenesis {GO:0016525}; negative regulation of antigen processing and presentation of peptide or polysaccharide antigen via MHC class II {GO:0002581}; negative regulation of apoptotic process {GO:0043066}; negative regulation of blood vessel endothelial cell migration {GO:0043537}; negative regulation of blood vessel endothelial cell proliferation involved in sprouting angiogenesis {GO:1903588}; negative regulation of cell migration involved in sprouting angiogenesis {GO:0090051}; negative regulation of cell population proliferation {GO:0008285}; negative regulation of cell-matrix adhesion {GO:0001953}; negative regulation of cGMP-mediated signaling {GO:0010754}; negative regulation of cysteine-type endopeptidase activity involved in apoptotic process {GO:0043154}; negative regulation of dendritic cell antigen processing and presentation {GO:0002605}; negative regulation of endothelial cell chemotaxis {GO:2001027}; negative regulation of endothelial cell migration {GO:0010596}; negative regulation of endothelial cell proliferation {GO:0001937}; negative regulation of fibrinolysis {GO:0051918}; negative regulation of fibroblast growth factor receptor signaling pathway {GO:0040037}; negative regulation of interleukin-12 production {GO:0032695}; negative regulation of long-chain fatty acid import across plasma membrane {GO:0010748}; negative regulation of nitric oxide mediated signal transduction {GO:0010751}; negative regulation of plasminogen activation {GO:0010757}; negative regulation of sprouting angiogenesis {GO:1903671}; outflow tract morphogenesis {GO:0003151}; peptide cross-linking {GO:0018149}; positive regulation of angiogenesis {GO:0045766}; positive regulation of blood coagulation {GO:0030194}; positive regulation of blood vessel endothelial cell migration {GO:0043536}; positive regulation of cell migration {GO:0030335}; positive regulation of cell population proliferation {GO:0008284}; positive regulation of cell-substrate adhesion {GO:0010811}; positive regulation of chemotaxis {GO:0050921}; positive regulation of endothelial cell apoptotic process {GO:2000353}; positive regulation of endothelial cell migration {GO:0010595}; positive regulation of extrinsic apoptotic signaling pathway via death domain receptors {GO:1902043}; positive regulation of fibroblast migration {GO:0010763}; positive regulation of macrophage activation {GO:0043032}; positive regulation of macrophage chemotaxis {GO:0010759}; positive regulation of MAP kinase activity {GO:0043406}; positive regulation of phosphorylation {GO:0042327}; positive regulation of protein kinase B signaling {GO:0051897}; positive regulation of reactive oxygen species metabolic process {GO:2000379}; positive regulation of smooth muscle cell proliferation {GO:0048661}; positive regulation of transforming growth factor beta production {GO:0071636}; positive regulation of transforming growth factor beta receptor signaling pathway {GO:0030511}; positive regulation of translation {GO:0045727}; positive regulation of tumor necrosis factor production {GO:0032760}; response to calcium ion {GO:0051592}; response to endoplasmic reticulum stress {GO:0034976}; response to glucose {GO:0009749}; response to magnesium ion {GO:0032026}; response to mechanical stimulus {GO:0009612}; response to unfolded protein {GO:0006986}; sprouting angiogenesis {GO:0002040}</t>
  </si>
  <si>
    <t>cell surface {GO:0009986}; collagen-containing extracellular matrix {GO:0062023}; cytoplasm {GO:0005737}; endoplasmic reticulum {GO:0005783}; external side of plasma membrane {GO:0009897}; extracellular matrix {GO:0031012}; extracellular space {GO:0005615}; fibrinogen complex {GO:0005577}; platelet alpha granule {GO:0031091}; sarcoplasmic reticulum {GO:0016529}; secretory granule {GO:0030141}</t>
  </si>
  <si>
    <t>calcium ion binding {GO:0005509}; collagen V binding {GO:0070052}; extracellular matrix binding {GO:0050840}; fibrinogen binding {GO:0070051}; fibroblast growth factor binding {GO:0017134}; fibronectin binding {GO:0001968}; heparin binding {GO:0008201}; integrin binding {GO:0005178}; laminin binding {GO:0043236}; low-density lipoprotein particle binding {GO:0030169}; phosphatidylserine binding {GO:0001786}; transforming growth factor beta binding {GO:0050431}</t>
  </si>
  <si>
    <t>Platelet degranulation {R-MMU-114608}; Signaling by PDGF {R-MMU-186797}; Integrin cell surface interactions {R-MMU-216083}; O-glycosylation of TSR domain-containing proteins {R-MMU-5173214}</t>
  </si>
  <si>
    <t>sp|P52800|EFNB2_MOUSE</t>
  </si>
  <si>
    <t>Ephrin-B2</t>
  </si>
  <si>
    <t>ELF-2; EPH-related receptor tyrosine kinase ligand 5 (LERK-5); HTK ligand (HTK-L)</t>
  </si>
  <si>
    <t>EFNB2_MOUSE</t>
  </si>
  <si>
    <t>P52800</t>
  </si>
  <si>
    <t>Elf2; Epl5; Eplg5; Htkl; Lerk5</t>
  </si>
  <si>
    <t>MGI:105097</t>
  </si>
  <si>
    <t>3D-structure; Angiogenesis; Cell junction; Cell membrane; Developmental protein; Differentiation; Disulfide bond; Glycoprotein; Membrane; Methylation; Neurogenesis; Phosphoprotein; Signal; Transmembrane; Transmembrane helix</t>
  </si>
  <si>
    <t>Angiogenesis; Differentiation; Neurogenesis</t>
  </si>
  <si>
    <t>adherens junction organization {GO:0034332}; animal organ morphogenesis {GO:0009887}; axon guidance {GO:0007411}; blood vessel morphogenesis {GO:0048514}; cell adhesion {GO:0007155}; cell migration involved in sprouting angiogenesis {GO:0002042}; cellular response to lipopolysaccharide {GO:0071222}; ephrin receptor signaling pathway {GO:0048013}; keratinocyte proliferation {GO:0043616}; lymph vessel development {GO:0001945}; negative regulation of keratinocyte proliferation {GO:0010839}; negative regulation of neuron projection development {GO:0010977}; nephric duct morphogenesis {GO:0072178}; positive regulation of aorta morphogenesis {GO:1903849}; positive regulation of cardiac muscle cell differentiation {GO:2000727}; positive regulation of cell population proliferation {GO:0008284}; positive regulation of neuron death {GO:1901216}; presynapse assembly {GO:0099054}; regulation of chemotaxis {GO:0050920}; regulation of postsynaptic membrane neurotransmitter receptor levels {GO:0099072}; regulation of postsynaptic neurotransmitter receptor internalization {GO:0099149}; T cell costimulation {GO:0031295}; venous blood vessel morphogenesis {GO:0048845}</t>
  </si>
  <si>
    <t>adherens junction {GO:0005912}; glutamatergic synapse {GO:0098978}; integral component of postsynaptic density membrane {GO:0099061}; integral component of presynaptic membrane {GO:0099056}; plasma membrane {GO:0005886}; Schaffer collateral - CA1 synapse {GO:0098685}</t>
  </si>
  <si>
    <t>ephrin receptor binding {GO:0046875}; signaling receptor binding {GO:0005102}</t>
  </si>
  <si>
    <t>EPH-Ephrin signaling {R-MMU-2682334}; EPHB-mediated forward signaling {R-MMU-3928662}; Ephrin signaling {R-MMU-3928664}; EPH-ephrin mediated repulsion of cells {R-MMU-3928665}</t>
  </si>
  <si>
    <t>sp|Q3UIU2|NDUB6_MOUSE</t>
  </si>
  <si>
    <t>NADH dehydrogenase [ubiquinone] 1 beta subcomplex subunit 6</t>
  </si>
  <si>
    <t>Complex I-B17 (CI-B17); NADH-ubiquinone oxidoreductase B17 subunit</t>
  </si>
  <si>
    <t>NDUB6_MOUSE</t>
  </si>
  <si>
    <t>Q3UIU2</t>
  </si>
  <si>
    <t>Gm137</t>
  </si>
  <si>
    <t>MGI:2684983</t>
  </si>
  <si>
    <t>3D-structure; Acetylation; Electron transport; Membrane; Mitochondrion; Mitochondrion inner membrane; Respiratory chain; Transmembrane; Transmembrane helix; Transport</t>
  </si>
  <si>
    <t>aerobic respiration {GO:0009060}; mitochondrial ATP synthesis coupled electron transport {GO:0042775}; mitochondrial electron transport, NADH to ubiquinone {GO:0006120}; mitochondrial respiratory chain complex I assembly {GO:0032981}; proton motive force-driven mitochondrial ATP synthesis {GO:0042776}</t>
  </si>
  <si>
    <t>mitochondrial inner membrane {GO:0005743}; mitochondrial membrane {GO:0031966}; mitochondrial respiratory chain complex I {GO:0005747}; mitochondrion {GO:0005739}; nucleoplasm {GO:0005654}</t>
  </si>
  <si>
    <t>sp|P09803|CADH1_MOUSE</t>
  </si>
  <si>
    <t>E-Cad/CTF3</t>
  </si>
  <si>
    <t>ARC-1; Epithelial cadherin (E-cadherin); Uvomorulin; CD_antigen=CD324</t>
  </si>
  <si>
    <t>CADH1_MOUSE</t>
  </si>
  <si>
    <t>P09803</t>
  </si>
  <si>
    <t>Q61377</t>
  </si>
  <si>
    <t>MGI:88354</t>
  </si>
  <si>
    <t>3D-structure; Calcium; Cell adhesion; Cell junction; Cell membrane; Cleavage on pair of basic residues; Disulfide bond; Endosome; Glycoprotein; Golgi apparatus; Membrane; Metal-binding; Phosphoprotein; Repeat; Signal; Transmembrane; Transmembrane helix; Ubl conjugation</t>
  </si>
  <si>
    <t>Cell junction; Cell membrane; Endosome; Golgi apparatus; Membrane</t>
  </si>
  <si>
    <t>Cleavage on pair of basic residues; Disulfide bond; Glycoprotein; Phosphoprotein; Ubl conjugation</t>
  </si>
  <si>
    <t>actin cytoskeleton reorganization {GO:0031532}; adherens junction organization {GO:0034332}; bicellular tight junction assembly {GO:0070830}; calcium-dependent cell-cell adhesion via plasma membrane cell adhesion molecules {GO:0016339}; canonical Wnt signaling pathway {GO:0060070}; cell-cell adhesion {GO:0098609}; cell-cell adhesion mediated by cadherin {GO:0044331}; cell-cell adhesion via plasma-membrane adhesion molecules {GO:0098742}; cellular response to amino acid stimulus {GO:0071230}; cellular response to indole-3-methanol {GO:0071681}; cellular response to lithium ion {GO:0071285}; cochlea development {GO:0090102}; decidualization {GO:0046697}; embryo implantation {GO:0007566}; epithelial cell morphogenesis {GO:0003382}; homophilic cell adhesion via plasma membrane adhesion molecules {GO:0007156}; in utero embryonic development {GO:0001701}; intestinal epithelial cell development {GO:0060576}; negative regulation of axon extension {GO:0030517}; negative regulation of canonical Wnt signaling pathway {GO:0090090}; negative regulation of cell migration {GO:0030336}; negative regulation of cell-cell adhesion {GO:0022408}; negative regulation of epithelial cell proliferation {GO:0050680}; negative regulation of protein localization to plasma membrane {GO:1903077}; negative regulation of protein processing {GO:0010955}; positive regulation of cell-cell adhesion {GO:0022409}; positive regulation of DNA-templated transcription {GO:0045893}; positive regulation of protein import into nucleus {GO:0042307}; protein localization to plasma membrane {GO:0072659}; protein metabolic process {GO:0019538}; regulation of branching involved in salivary gland morphogenesis {GO:0060693}; regulation of cysteine-type endopeptidase activity involved in apoptotic process {GO:0043281}; regulation of gene expression {GO:0010468}; regulation of neuron migration {GO:2001222}; regulation of protein catabolic process at postsynapse, modulating synaptic transmission {GO:0099576}; regulation of protein localization {GO:0032880}; regulation of protein localization to cell surface {GO:2000008}; regulation of water loss via skin {GO:0033561}; salivary gland cavitation {GO:0060662}; sensory perception of sound {GO:0007605}; synapse assembly {GO:0007416}; trophectodermal cell differentiation {GO:0001829}; uterine epithelium development {GO:0035847}</t>
  </si>
  <si>
    <t>actin cytoskeleton {GO:0015629}; adherens junction {GO:0005912}; apical junction complex {GO:0043296}; apical part of cell {GO:0045177}; axon {GO:0030424}; axon terminus {GO:0043679}; basolateral plasma membrane {GO:0016323}; catenin complex {GO:0016342}; cell junction {GO:0030054}; cell periphery {GO:0071944}; cell surface {GO:0009986}; cell-cell junction {GO:0005911}; cortical actin cytoskeleton {GO:0030864}; cytoplasm {GO:0005737}; cytoplasmic side of plasma membrane {GO:0009898}; endosome {GO:0005768}; flotillin complex {GO:0016600}; glutamatergic synapse {GO:0098978}; integral component of membrane {GO:0016021}; lamellipodium {GO:0030027}; lateral loop {GO:0043219}; lateral plasma membrane {GO:0016328}; node of Ranvier {GO:0033268}; perinuclear region of cytoplasm {GO:0048471}; plasma membrane {GO:0005886}; postsynapse {GO:0098794}; Schmidt-Lanterman incisure {GO:0043220}; trans-Golgi network {GO:0005802}</t>
  </si>
  <si>
    <t>alpha-catenin binding {GO:0045294}; ankyrin binding {GO:0030506}; beta-catenin binding {GO:0008013}; cadherin binding {GO:0045296}; calcium ion binding {GO:0005509}; cell adhesion molecule binding {GO:0050839}; cytoskeletal protein binding {GO:0008092}; gamma-catenin binding {GO:0045295}; GTPase activating protein binding {GO:0032794}; identical protein binding {GO:0042802}; molecular adaptor activity {GO:0060090}; protein domain specific binding {GO:0019904}; protein phosphatase binding {GO:0019903}; protein tyrosine kinase binding {GO:1990782}</t>
  </si>
  <si>
    <t>Degradation of the extracellular matrix {R-MMU-1474228}; Integrin cell surface interactions {R-MMU-216083}; Apoptotic cleavage of cell adhesion proteins {R-MMU-351906}; Adherens junctions interactions {R-MMU-418990}; RHO GTPases activate IQGAPs {R-MMU-5626467}</t>
  </si>
  <si>
    <t>sp|Q9QXG2|RAE1_MOUSE</t>
  </si>
  <si>
    <t>Rab proteins geranylgeranyltransferase component A 1</t>
  </si>
  <si>
    <t>Choroideremia protein homolog; Rab escort protein 1 (REP-1)</t>
  </si>
  <si>
    <t>RAE1_MOUSE</t>
  </si>
  <si>
    <t>Q9QXG2</t>
  </si>
  <si>
    <t>Q80UV8</t>
  </si>
  <si>
    <t>Rep1</t>
  </si>
  <si>
    <t>MGI:892979</t>
  </si>
  <si>
    <t>Cytoplasm; GTPase activation</t>
  </si>
  <si>
    <t>blood vessel development {GO:0001568}; protein geranylgeranylation {GO:0018344}; protein targeting to membrane {GO:0006612}; small GTPase mediated signal transduction {GO:0007264}; vesicle-mediated transport {GO:0016192}</t>
  </si>
  <si>
    <t>cytoplasm {GO:0005737}; cytosol {GO:0005829}; nucleus {GO:0005634}; Rab-protein geranylgeranyltransferase complex {GO:0005968}</t>
  </si>
  <si>
    <t>GDP-dissociation inhibitor activity {GO:0005092}; GTPase activator activity {GO:0005096}; protein-containing complex binding {GO:0044877}; small GTPase binding {GO:0031267}</t>
  </si>
  <si>
    <t>TP53 regulates transcription of several additional cell death genes whose specific roles in p53-dependent apoptosis remain uncertain {R-MMU-6803205}; RAB geranylgeranylation {R-MMU-8873719}; RAB GEFs exchange GTP for GDP on RABs {R-MMU-8876198}</t>
  </si>
  <si>
    <t>sp|O88697|STK16_MOUSE</t>
  </si>
  <si>
    <t>Serine/threonine-protein kinase 16</t>
  </si>
  <si>
    <t>Embryo-derived protein kinase (Edpk); Myristoylated and palmitoylated serine/threonine-protein kinase (MPSK); Protein kinase Krct; Protein kinase PKL12; TGF-beta-stimulated factor 1 (TSF-1); Tyrosine-protein kinase STK16</t>
  </si>
  <si>
    <t>STK16_MOUSE</t>
  </si>
  <si>
    <t>O88697</t>
  </si>
  <si>
    <t>Q3UEG5; Q9JMJ0; Q9JMJ1; Q9QX00</t>
  </si>
  <si>
    <t>Edpk; Krct; Mpsk1; Pkl12; Tsf1</t>
  </si>
  <si>
    <t>MGI:1313271</t>
  </si>
  <si>
    <t>ATP-binding; Cytoplasm; Kinase; Lipoprotein; Membrane; Myristate; Nucleotide-binding; Palmitate; Phosphoprotein; Serine/threonine-protein kinase; Transferase</t>
  </si>
  <si>
    <t>cellular response to transforming growth factor beta stimulus {GO:0071560}; positive regulation of transcription by RNA polymerase II {GO:0045944}; protein autophosphorylation {GO:0046777}; protein phosphorylation {GO:0006468}</t>
  </si>
  <si>
    <t>cytoplasm {GO:0005737}; cytosol {GO:0005829}; Golgi apparatus {GO:0005794}; Golgi-associated vesicle {GO:0005798}; nucleoplasm {GO:0005654}; perinuclear region of cytoplasm {GO:0048471}; plasma membrane {GO:0005886}</t>
  </si>
  <si>
    <t>ATP binding {GO:0005524}; non-membrane spanning protein tyrosine kinase activity {GO:0004715}; protein kinase activity {GO:0004672}; protein serine kinase activity {GO:0106310}; protein serine/threonine kinase activity {GO:0004674}; RNA polymerase II cis-regulatory region sequence-specific DNA binding {GO:0000978}</t>
  </si>
  <si>
    <t>sp|Q9WV02|RBMX_MOUSE</t>
  </si>
  <si>
    <t>RNA-binding motif protein, X chromosome, N-terminally processed</t>
  </si>
  <si>
    <t>Heterogeneous nuclear ribonucleoprotein G (hnRNP G)</t>
  </si>
  <si>
    <t>RBMX_MOUSE</t>
  </si>
  <si>
    <t>Q9WV02</t>
  </si>
  <si>
    <t>Q8C2U6; Q9R0Y0</t>
  </si>
  <si>
    <t>Hnrnpg; Hnrpg; Rbmxp1; Rbmxrt</t>
  </si>
  <si>
    <t>MGI:1343044</t>
  </si>
  <si>
    <t>Acetylation; Activator; Alternative splicing; Glycoprotein; Isopeptide bond; Methylation; mRNA processing; mRNA splicing; Nucleus; Phosphoprotein; Repressor; Ribonucleoprotein; RNA-binding; Spliceosome; Transcription; Tumor suppressor; Ubl conjugation</t>
  </si>
  <si>
    <t>Transcription; mRNA processing; mRNA splicing</t>
  </si>
  <si>
    <t>cellular response to interleukin-1 {GO:0071347}; membrane protein ectodomain proteolysis {GO:0006509}; mRNA splice site selection {GO:0006376}; positive regulation of DNA-templated transcription {GO:0045893}; positive regulation of mRNA splicing, via spliceosome {GO:0048026}; positive regulation of transcription by RNA polymerase II {GO:0045944}; regulation of alternative mRNA splicing, via spliceosome {GO:0000381}; transcription by RNA polymerase II {GO:0006366}</t>
  </si>
  <si>
    <t>catalytic step 2 spliceosome {GO:0071013}; euchromatin {GO:0000791}; extracellular exosome {GO:0070062}; nucleus {GO:0005634}; protein-containing complex {GO:0032991}; spliceosomal complex {GO:0005681}; supraspliceosomal complex {GO:0044530}</t>
  </si>
  <si>
    <t>chromatin binding {GO:0003682}; identical protein binding {GO:0042802}; mRNA binding {GO:0003729}; protein domain specific binding {GO:0019904}; RNA binding {GO:0003723}; RNA polymerase II cis-regulatory region sequence-specific DNA binding {GO:0000978}; single-stranded RNA binding {GO:0003727}</t>
  </si>
  <si>
    <t>mRNA Splicing - Major Pathway {R-MMU-72163}; RHOBTB2 GTPase cycle {R-MMU-9013418}; RHOBTB1 GTPase cycle {R-MMU-9013422}; RND3 GTPase cycle {R-MMU-9696264}; RND2 GTPase cycle {R-MMU-9696270}; RND1 GTPase cycle {R-MMU-9696273}</t>
  </si>
  <si>
    <t>sp|Q99LG4|TTC5_MOUSE</t>
  </si>
  <si>
    <t>Tetratricopeptide repeat protein 5 (TPR repeat protein 5)</t>
  </si>
  <si>
    <t>Stress-responsive activator of p300 (Protein Strap)</t>
  </si>
  <si>
    <t>TTC5_MOUSE</t>
  </si>
  <si>
    <t>Q99LG4</t>
  </si>
  <si>
    <t>Q3TTN5; Q3TZL6</t>
  </si>
  <si>
    <t>MGI:2683584</t>
  </si>
  <si>
    <t>3D-structure; Cytoplasm; Cytoplasmic vesicle; DNA damage; DNA repair; Mitochondrion; Nucleus; Phosphoprotein; Repeat; TPR repeat</t>
  </si>
  <si>
    <t>Cytoplasm; Cytoplasmic vesicle; Mitochondrion; Nucleus</t>
  </si>
  <si>
    <t>cellular response to DNA damage stimulus {GO:0006974}; cellular response to starvation {GO:0009267}; DNA repair {GO:0006281}; positive regulation of mRNA catabolic process {GO:0061014}; positive regulation of transcription by RNA polymerase II {GO:0045944}</t>
  </si>
  <si>
    <t>cytoplasm {GO:0005737}; cytoplasmic vesicle {GO:0031410}; cytosol {GO:0005829}; mitochondrial matrix {GO:0005759}; mitochondrion {GO:0005739}; nucleoplasm {GO:0005654}; nucleus {GO:0005634}</t>
  </si>
  <si>
    <t>chromatin binding {GO:0003682}; DNA binding {GO:0003677}; ribosome binding {GO:0043022}</t>
  </si>
  <si>
    <t>sp|Q8R3L2|TCF25_MOUSE</t>
  </si>
  <si>
    <t>Transcription factor 25 (TCF-25)</t>
  </si>
  <si>
    <t>Nuclear localized protein 1</t>
  </si>
  <si>
    <t>TCF25_MOUSE</t>
  </si>
  <si>
    <t>Q8R3L2</t>
  </si>
  <si>
    <t>Q3THR8; Q3UBI7; Q3UD64; Q3UG75; Q80ZX3; Q8BR80; Q8C200; Q8C2M3; Q8C6B4; Q9CUW0; Q9ER19</t>
  </si>
  <si>
    <t>D8Ertd325e; Nulp1</t>
  </si>
  <si>
    <t>MGI:1914105</t>
  </si>
  <si>
    <t>Alternative splicing; DNA-binding; Nucleus; Phosphoprotein; Repressor; Transcription; Transcription regulation</t>
  </si>
  <si>
    <t>nucleus {GO:0005634}; RQC complex {GO:1990112}</t>
  </si>
  <si>
    <t>DNA binding {GO:0003677}; transcription corepressor activity {GO:0003714}</t>
  </si>
  <si>
    <t>sp|Q6PAJ1|BCR_MOUSE</t>
  </si>
  <si>
    <t>Breakpoint cluster region protein</t>
  </si>
  <si>
    <t>BCR_MOUSE</t>
  </si>
  <si>
    <t>Q6PAJ1</t>
  </si>
  <si>
    <t>E9PZL3; Q61339; Q6ZPE5; Q99LW5</t>
  </si>
  <si>
    <t>Kiaa3017</t>
  </si>
  <si>
    <t>MGI:88141</t>
  </si>
  <si>
    <t>Acetylation; ATP-binding; Cell projection; Coiled coil; GTPase activation; Guanine-nucleotide releasing factor; Kinase; Methylation; Nucleotide-binding; Phosphoprotein; Proto-oncogene; Serine/threonine-protein kinase; Synapse; Transferase</t>
  </si>
  <si>
    <t>Cell projection; Synapse</t>
  </si>
  <si>
    <t>GTPase activation; Guanine-nucleotide releasing factor; Kinase; Serine/threonine-protein kinase; Transferase</t>
  </si>
  <si>
    <t>actin cytoskeleton organization {GO:0030036}; activation of GTPase activity {GO:0090630}; brain development {GO:0007420}; cell migration {GO:0016477}; cellular response to lipopolysaccharide {GO:0071222}; definitive hemopoiesis {GO:0060216}; establishment of localization in cell {GO:0051649}; focal adhesion assembly {GO:0048041}; homeostasis of number of cells {GO:0048872}; inner ear morphogenesis {GO:0042472}; intracellular protein transmembrane transport {GO:0065002}; keratinocyte differentiation {GO:0030216}; macrophage migration {GO:1905517}; modulation of chemical synaptic transmission {GO:0050804}; negative regulation of blood vessel remodeling {GO:0060313}; negative regulation of cellular extravasation {GO:0002692}; negative regulation of inflammatory response {GO:0050728}; negative regulation of macrophage migration {GO:1905522}; negative regulation of neutrophil degranulation {GO:0043314}; negative regulation of reactive oxygen species metabolic process {GO:2000378}; negative regulation of respiratory burst {GO:0060268}; neuromuscular process controlling balance {GO:0050885}; neutrophil degranulation {GO:0043312}; phagocytosis {GO:0006909}; platelet-derived growth factor receptor signaling pathway {GO:0048008}; positive regulation of phagocytosis {GO:0050766}; protein autophosphorylation {GO:0046777}; regulation of cell cycle {GO:0051726}; regulation of nitrogen compound metabolic process {GO:0051171}; regulation of Rho protein signal transduction {GO:0035023}; regulation of vascular permeability {GO:0043114}; renal system process {GO:0003014}; response to lipopolysaccharide {GO:0032496}; small GTPase mediated signal transduction {GO:0007264}</t>
  </si>
  <si>
    <t>anchoring junction {GO:0070161}; axon {GO:0030424}; cytoplasm {GO:0005737}; cytosol {GO:0005829}; dendritic spine {GO:0043197}; glutamatergic synapse {GO:0098978}; membrane {GO:0016020}; plasma membrane {GO:0005886}; postsynaptic density {GO:0014069}; postsynaptic density, intracellular component {GO:0099092}; protein-containing complex {GO:0032991}; Schaffer collateral - CA1 synapse {GO:0098685}</t>
  </si>
  <si>
    <t>ATP binding {GO:0005524}; enzyme binding {GO:0019899}; GTPase activator activity {GO:0005096}; guanyl-nucleotide exchange factor activity {GO:0005085}; protein serine kinase activity {GO:0106310}; protein serine/threonine kinase activity {GO:0004674}</t>
  </si>
  <si>
    <t>RHOA GTPase cycle {R-MMU-8980692}; RHOB GTPase cycle {R-MMU-9013026}; RHOC GTPase cycle {R-MMU-9013106}; CDC42 GTPase cycle {R-MMU-9013148}; RAC1 GTPase cycle {R-MMU-9013149}; RAC2 GTPase cycle {R-MMU-9013404}; RAC3 GTPase cycle {R-MMU-9013423}</t>
  </si>
  <si>
    <t>sp|Q8BYL4|SYYM_MOUSE</t>
  </si>
  <si>
    <t>Tyrosine--tRNA ligase, mitochondrial</t>
  </si>
  <si>
    <t>SYYM_MOUSE</t>
  </si>
  <si>
    <t>Q8BYL4</t>
  </si>
  <si>
    <t>Q6PAH7</t>
  </si>
  <si>
    <t>MGI:1917370</t>
  </si>
  <si>
    <t>mitochondrial tyrosyl-tRNA aminoacylation {GO:0070184}; tRNA aminoacylation {GO:0043039}</t>
  </si>
  <si>
    <t>cytosol {GO:0005829}; mitochondrial matrix {GO:0005759}; mitochondrion {GO:0005739}; nuclear body {GO:0016604}</t>
  </si>
  <si>
    <t>ATP binding {GO:0005524}; protein homodimerization activity {GO:0042803}; tRNA binding {GO:0000049}; tyrosine binding {GO:0072545}; tyrosine-tRNA ligase activity {GO:0004831}</t>
  </si>
  <si>
    <t>sp|Q8BGR9|UBCP1_MOUSE</t>
  </si>
  <si>
    <t>Ubiquitin-like domain-containing CTD phosphatase 1</t>
  </si>
  <si>
    <t>Nuclear proteasome inhibitor UBLCP1</t>
  </si>
  <si>
    <t>UBCP1_MOUSE</t>
  </si>
  <si>
    <t>Q8BGR9</t>
  </si>
  <si>
    <t>A2ACX3; Q52L62; Q5XJH1; Q6PH96; Q99LT3</t>
  </si>
  <si>
    <t>MGI:1933105</t>
  </si>
  <si>
    <t>3D-structure; Acetylation; Alternative splicing; Hydrolase; Nucleus; Protein phosphatase</t>
  </si>
  <si>
    <t>nucleolus {GO:0005730}; nucleoplasm {GO:0005654}; nucleus {GO:0005634}</t>
  </si>
  <si>
    <t>myosin phosphatase activity {GO:0017018}; protein serine/threonine phosphatase activity {GO:0004722}</t>
  </si>
  <si>
    <t>sp|O70551|SRPK1_MOUSE</t>
  </si>
  <si>
    <t>SRSF protein kinase 1</t>
  </si>
  <si>
    <t>SFRS protein kinase 1; Serine/arginine-rich protein-specific kinase 1 (SR-protein-specific kinase 1)</t>
  </si>
  <si>
    <t>SRPK1_MOUSE</t>
  </si>
  <si>
    <t>O70551</t>
  </si>
  <si>
    <t>O70193; Q99JT3</t>
  </si>
  <si>
    <t>MGI:106908</t>
  </si>
  <si>
    <t>ATP-binding; Chromosome; Chromosome partition; Cytoplasm; Differentiation; Endoplasmic reticulum; Kinase; Microsome; mRNA processing; mRNA splicing; Nucleotide-binding; Nucleus; Phosphoprotein; Serine/threonine-protein kinase; Transferase</t>
  </si>
  <si>
    <t>Chromosome partition; Differentiation; mRNA processing; mRNA splicing</t>
  </si>
  <si>
    <t>Chromosome; Cytoplasm; Endoplasmic reticulum; Microsome; Nucleus</t>
  </si>
  <si>
    <t>cell differentiation {GO:0030154}; chromosome segregation {GO:0007059}; intracellular signal transduction {GO:0035556}; negative regulation of viral genome replication {GO:0045071}; positive regulation of viral genome replication {GO:0045070}; protein phosphorylation {GO:0006468}; regulation of mRNA processing {GO:0050684}; spliceosomal complex assembly {GO:0000245}</t>
  </si>
  <si>
    <t>chromatin {GO:0000785}; cytoplasm {GO:0005737}; cytosol {GO:0005829}; endoplasmic reticulum {GO:0005783}; nuclear matrix {GO:0016363}; nuclear speck {GO:0016607}; nucleoplasm {GO:0005654}; nucleus {GO:0005634}; plasma membrane {GO:0005886}</t>
  </si>
  <si>
    <t>ATP binding {GO:0005524}; magnesium ion binding {GO:0000287}; protein serine kinase activity {GO:0106310}; protein serine/threonine kinase activity {GO:0004674}</t>
  </si>
  <si>
    <t>sp|Q7TSG2|CTDP1_MOUSE</t>
  </si>
  <si>
    <t>RNA polymerase II subunit A C-terminal domain phosphatase</t>
  </si>
  <si>
    <t>TFIIF-associating CTD phosphatase</t>
  </si>
  <si>
    <t>CTDP1_MOUSE</t>
  </si>
  <si>
    <t>Q7TSG2</t>
  </si>
  <si>
    <t>Q7TSS7; Q9D4S8</t>
  </si>
  <si>
    <t>Fcp1</t>
  </si>
  <si>
    <t>MGI:1926953</t>
  </si>
  <si>
    <t>Acetylation; Alternative splicing; Cell cycle; Cell division; Cytoplasm; Cytoskeleton; Hydrolase; Mitosis; Nucleus; Phosphoprotein; Protein phosphatase</t>
  </si>
  <si>
    <t>cell division {GO:0051301}; dephosphorylation of RNA polymerase II C-terminal domain {GO:0070940}; exit from mitosis {GO:0010458}; negative regulation of cell growth involved in cardiac muscle cell development {GO:0061052}; positive regulation by host of viral transcription {GO:0043923}; protein dephosphorylation {GO:0006470}</t>
  </si>
  <si>
    <t>centrosome {GO:0005813}; cytoplasm {GO:0005737}; intracellular membrane-bounded organelle {GO:0043231}; midbody {GO:0030496}; nucleoplasm {GO:0005654}; nucleus {GO:0005634}; protein-containing complex {GO:0032991}; spindle {GO:0005819}; spindle midzone {GO:0051233}; spindle pole {GO:0000922}</t>
  </si>
  <si>
    <t>myosin phosphatase activity {GO:0017018}; RNA polymerase II CTD heptapeptide repeat phosphatase activity {GO:0008420}; Tat protein binding {GO:0030957}; TFIIF-class transcription factor complex binding {GO:0001096}</t>
  </si>
  <si>
    <t>sp|O70274|TP4A2_MOUSE</t>
  </si>
  <si>
    <t>Protein tyrosine phosphatase type IVA 2</t>
  </si>
  <si>
    <t>Protein-tyrosine phosphatase 4a2; Protein-tyrosine phosphatase of regenerating liver 2 (PRL-2)</t>
  </si>
  <si>
    <t>TP4A2_MOUSE</t>
  </si>
  <si>
    <t>O70274</t>
  </si>
  <si>
    <t>Q3U1K7</t>
  </si>
  <si>
    <t>Prl2</t>
  </si>
  <si>
    <t>MGI:1277117</t>
  </si>
  <si>
    <t>3D-structure; Cell membrane; Cytoplasm; Disulfide bond; Endosome; Hydrolase; Lipoprotein; Membrane; Methylation; Prenylation; Protein phosphatase</t>
  </si>
  <si>
    <t>Disulfide bond; Lipoprotein; Methylation; Prenylation</t>
  </si>
  <si>
    <t>cytoplasm {GO:0005737}; early endosome {GO:0005769}; nucleus {GO:0005634}; plasma membrane {GO:0005886}</t>
  </si>
  <si>
    <t>protein tyrosine phosphatase activity {GO:0004725}; protein tyrosine/serine/threonine phosphatase activity {GO:0008138}</t>
  </si>
  <si>
    <t>sp|P60762|MO4L1_MOUSE</t>
  </si>
  <si>
    <t>Mortality factor 4-like protein 1</t>
  </si>
  <si>
    <t>MORF-related gene 15 protein; Testis-expressed gene 189 protein; Transcription factor-like protein MRG15</t>
  </si>
  <si>
    <t>MO4L1_MOUSE</t>
  </si>
  <si>
    <t>P60762</t>
  </si>
  <si>
    <t>Q8BNY9; Q99MQ0</t>
  </si>
  <si>
    <t>Mrg15; Tex189</t>
  </si>
  <si>
    <t>MGI:1096551</t>
  </si>
  <si>
    <t>Acetylation; Alternative splicing; Chromatin regulator; DNA damage; DNA recombination; DNA repair; Growth regulation; Nucleus; Transcription; Transcription regulation</t>
  </si>
  <si>
    <t>DNA damage; DNA recombination; DNA repair; Growth regulation; Transcription; Transcription regulation</t>
  </si>
  <si>
    <t>cell population proliferation {GO:0008283}; chromatin remodeling {GO:0006338}; double-strand break repair via homologous recombination {GO:0000724}; fibroblast proliferation {GO:0048144}; histone acetylation {GO:0016573}; histone deacetylation {GO:0016575}; histone H2A acetylation {GO:0043968}; histone H4 acetylation {GO:0043967}; positive regulation of DNA-templated transcription {GO:0045893}; positive regulation of double-strand break repair via homologous recombination {GO:1905168}; regulation of apoptotic process {GO:0042981}; regulation of cell cycle {GO:0051726}; regulation of double-strand break repair {GO:2000779}</t>
  </si>
  <si>
    <t>histone acetyltransferase complex {GO:0000123}; NuA4 histone acetyltransferase complex {GO:0035267}; nuclear speck {GO:0016607}; nucleosome {GO:0000786}; Sin3 complex {GO:0016580}</t>
  </si>
  <si>
    <t>chromatin binding {GO:0003682}; protein N-terminus binding {GO:0047485}</t>
  </si>
  <si>
    <t>sp|O70439|STX7_MOUSE</t>
  </si>
  <si>
    <t>Syntaxin-7</t>
  </si>
  <si>
    <t>STX7_MOUSE</t>
  </si>
  <si>
    <t>O70439</t>
  </si>
  <si>
    <t>Syn7</t>
  </si>
  <si>
    <t>MGI:1858210</t>
  </si>
  <si>
    <t>3D-structure; Acetylation; Coiled coil; Endosome; Iron; Membrane; Phosphoprotein; Transmembrane; Transmembrane helix</t>
  </si>
  <si>
    <t>Iron</t>
  </si>
  <si>
    <t>endosome to lysosome transport {GO:0008333}; intracellular protein transport {GO:0006886}; organelle assembly {GO:0070925}; organelle localization {GO:0051640}; positive regulation of receptor localization to synapse {GO:1902685}; positive regulation of T cell mediated cytotoxicity {GO:0001916}; regulation of protein localization to plasma membrane {GO:1903076}; vesicle docking {GO:0048278}; vesicle fusion {GO:0006906}; vesicle-mediated transport {GO:0016192}</t>
  </si>
  <si>
    <t>azurophil granule {GO:0042582}; early endosome {GO:0005769}; early endosome membrane {GO:0031901}; endocytic vesicle {GO:0030139}; endomembrane system {GO:0012505}; endosome {GO:0005768}; immunological synapse {GO:0001772}; integral component of membrane {GO:0016021}; integral component of synaptic vesicle membrane {GO:0030285}; late endosome {GO:0005770}; late endosome membrane {GO:0031902}; lysosomal membrane {GO:0005765}; lysosome {GO:0005764}; perinuclear region of cytoplasm {GO:0048471}; plasma membrane {GO:0005886}; recycling endosome {GO:0055037}; SNARE complex {GO:0031201}; synaptic vesicle {GO:0008021}; tertiary granule {GO:0070820}; vesicle {GO:0031982}</t>
  </si>
  <si>
    <t>chloride channel inhibitor activity {GO:0019869}; protein-containing complex binding {GO:0044877}; SNAP receptor activity {GO:0005484}; SNARE binding {GO:0000149}; syntaxin binding {GO:0019905}</t>
  </si>
  <si>
    <t>sp|Q80SW1|SAHH2_MOUSE</t>
  </si>
  <si>
    <t>S-adenosylhomocysteine hydrolase-like protein 1</t>
  </si>
  <si>
    <t>IP3R-binding protein released with inositol 1,4,5-trisphosphate; Putative adenosylhomocysteinase 2; S-adenosyl-L-homocysteine hydrolase 2 (AdoHcyase 2)</t>
  </si>
  <si>
    <t>SAHH2_MOUSE</t>
  </si>
  <si>
    <t>Q80SW1</t>
  </si>
  <si>
    <t>Irbit</t>
  </si>
  <si>
    <t>MGI:2385184</t>
  </si>
  <si>
    <t>Acetylation; Cell membrane; Cytoplasm; Endoplasmic reticulum; Membrane; Microsome; NAD; One-carbon metabolism; Phosphoprotein; RNA-binding</t>
  </si>
  <si>
    <t>Cell membrane; Cytoplasm; Endoplasmic reticulum; Membrane; Microsome</t>
  </si>
  <si>
    <t>angiotensin-activated signaling pathway {GO:0038166}; apoptotic process {GO:0006915}; epithelial fluid transport {GO:0042045}; mitochondrion-endoplasmic reticulum membrane tethering {GO:1990456}; mRNA polyadenylation {GO:0006378}; one-carbon metabolic process {GO:0006730}; positive regulation of sodium ion transport {GO:0010765}; protein export from nucleus {GO:0006611}; regulation of anion transport {GO:0044070}; regulation of ion transmembrane transporter activity {GO:0032412}; regulation of mRNA 3'-end processing {GO:0031440}; response to calcium ion {GO:0051592}; S-adenosylmethionine cycle {GO:0033353}</t>
  </si>
  <si>
    <t>apical plasma membrane {GO:0016324}; cytoplasm {GO:0005737}; cytosol {GO:0005829}; endoplasmic reticulum {GO:0005783}; intracellular membrane-bounded organelle {GO:0043231}; mitochondria-associated endoplasmic reticulum membrane {GO:0044233}</t>
  </si>
  <si>
    <t>Ion homeostasis {R-MMU-5578775}</t>
  </si>
  <si>
    <t>sp|Q9CYH6|RRS1_MOUSE</t>
  </si>
  <si>
    <t>Ribosome biogenesis regulatory protein homolog</t>
  </si>
  <si>
    <t>RRS1_MOUSE</t>
  </si>
  <si>
    <t>Q9CYH6</t>
  </si>
  <si>
    <t>Q3UQW6; Q9CS27; Q9D2B2; Q9D6M6; Q9JJC1</t>
  </si>
  <si>
    <t>Rrr</t>
  </si>
  <si>
    <t>MGI:1929721</t>
  </si>
  <si>
    <t>Acetylation; Citrullination; Isopeptide bond; Nucleus; Ribosome biogenesis; Ubl conjugation</t>
  </si>
  <si>
    <t>Acetylation; Citrullination; Isopeptide bond; Ubl conjugation</t>
  </si>
  <si>
    <t>endonucleolytic cleavage in ITS1 to separate SSU-rRNA from 5.8S rRNA and LSU-rRNA from tricistronic rRNA transcript (SSU-rRNA, 5.8S rRNA, LSU-rRNA) {GO:0000447}; hematopoietic progenitor cell differentiation {GO:0002244}; mitotic metaphase plate congression {GO:0007080}; protein localization to nucleolus {GO:1902570}; regulation of signal transduction by p53 class mediator {GO:1901796}; ribosomal large subunit assembly {GO:0000027}; ribosomal large subunit biogenesis {GO:0042273}; ribosomal large subunit export from nucleus {GO:0000055}</t>
  </si>
  <si>
    <t>condensed nuclear chromosome {GO:0000794}; endoplasmic reticulum {GO:0005783}; nucleolus {GO:0005730}; nucleoplasm {GO:0005654}; preribosome, large subunit precursor {GO:0030687}</t>
  </si>
  <si>
    <t>5S rRNA binding {GO:0008097}</t>
  </si>
  <si>
    <t>tr|E9PWG6|E9PWG6_MOUSE</t>
  </si>
  <si>
    <t>sp|Q8K010|OPLA_MOUSE</t>
  </si>
  <si>
    <t>5-oxoprolinase</t>
  </si>
  <si>
    <t>5-oxo-L-prolinase (5-OPase); Pyroglutamase</t>
  </si>
  <si>
    <t>OPLA_MOUSE</t>
  </si>
  <si>
    <t>Q8K010</t>
  </si>
  <si>
    <t>Q8R3K2</t>
  </si>
  <si>
    <t>MGI:1922725</t>
  </si>
  <si>
    <t>ATP-binding; Hydrolase; Nucleotide-binding; Phosphoprotein</t>
  </si>
  <si>
    <t>5-oxoprolinase (ATP-hydrolyzing) activity {GO:0017168}; ATP binding {GO:0005524}; identical protein binding {GO:0042802}</t>
  </si>
  <si>
    <t>sp|P43346|DCK_MOUSE</t>
  </si>
  <si>
    <t>Deoxycytidine kinase (dCK)</t>
  </si>
  <si>
    <t>Deoxyadenosine kinase; Deoxyguanosine kinase</t>
  </si>
  <si>
    <t>DCK_MOUSE</t>
  </si>
  <si>
    <t>P43346</t>
  </si>
  <si>
    <t>MGI:102726</t>
  </si>
  <si>
    <t>ATP-binding; Kinase; Nucleotide-binding; Nucleus; Phosphoprotein; Transferase</t>
  </si>
  <si>
    <t>dAMP salvage {GO:0106383}; deoxycytidine metabolic process {GO:0046092}; dGMP salvage {GO:0106384}; nucleoside phosphate biosynthetic process {GO:1901293}; nucleotide phosphorylation {GO:0046939}; pyrimidine nucleotide metabolic process {GO:0006220}</t>
  </si>
  <si>
    <t>cytoplasm {GO:0005737}; cytosol {GO:0005829}; mitochondrion {GO:0005739}; nucleoplasm {GO:0005654}</t>
  </si>
  <si>
    <t>ATP binding {GO:0005524}; cytidine kinase activity {GO:0043771}; deoxyadenosine kinase activity {GO:0004136}; deoxycytidine kinase activity {GO:0004137}; deoxyguanosine kinase activity {GO:0004138}; deoxynucleoside kinase activity {GO:0019136}; deoxyribonucleoside binding {GO:0032546}; magnesium ion binding {GO:0000287}; protein homodimerization activity {GO:0042803}; pyrimidine deoxyribonucleoside binding {GO:0032548}</t>
  </si>
  <si>
    <t>Pyrimidine salvage {R-MMU-73614}; Purine salvage {R-MMU-74217}</t>
  </si>
  <si>
    <t>sp|Q6ZPR5|NSMA3_MOUSE</t>
  </si>
  <si>
    <t>Sphingomyelin phosphodiesterase 4</t>
  </si>
  <si>
    <t>Neutral sphingomyelinase 3 (nSMase-3; nSMase3); Neutral sphingomyelinase III</t>
  </si>
  <si>
    <t>NSMA3_MOUSE</t>
  </si>
  <si>
    <t>Q6ZPR5</t>
  </si>
  <si>
    <t>Q3TPE0; Q3TPP1; Q8CBJ5; Q8CD12; Q8CD83; Q8R0J3; Q9CX74</t>
  </si>
  <si>
    <t>Kiaa1418</t>
  </si>
  <si>
    <t>MGI:1924876</t>
  </si>
  <si>
    <t>Alternative splicing; Cell membrane; Endoplasmic reticulum; Golgi apparatus; Hydrolase; Lipid metabolism; Magnesium; Membrane; Metal-binding; Nucleus; Phosphoprotein; Transmembrane; Transmembrane helix</t>
  </si>
  <si>
    <t>Cell membrane; Endoplasmic reticulum; Golgi apparatus; Membrane; Nucleus</t>
  </si>
  <si>
    <t>cellular response to tumor necrosis factor {GO:0071356}; ceramide biosynthetic process {GO:0046513}; endoplasmic reticulum organization {GO:0007029}; glycerophospholipid catabolic process {GO:0046475}; in utero embryonic development {GO:0001701}; sphingomyelin catabolic process {GO:0006685}</t>
  </si>
  <si>
    <t>endoplasmic reticulum {GO:0005783}; endoplasmic reticulum membrane {GO:0005789}; Golgi apparatus {GO:0005794}; Golgi membrane {GO:0000139}; integral component of membrane {GO:0016021}; nuclear envelope {GO:0005635}; nuclear outer membrane {GO:0005640}; sarcolemma {GO:0042383}; trans-Golgi network {GO:0005802}</t>
  </si>
  <si>
    <t>metal ion binding {GO:0046872}; sphingomyelin phosphodiesterase activity {GO:0004767}; sphingomyelin phosphodiesterase D activity {GO:0050290}</t>
  </si>
  <si>
    <t>sp|Q9D289|TPC6B_MOUSE</t>
  </si>
  <si>
    <t>Trafficking protein particle complex subunit 6B (TRAPP complex subunit 6B)</t>
  </si>
  <si>
    <t>TPC6B_MOUSE</t>
  </si>
  <si>
    <t>Q9D289</t>
  </si>
  <si>
    <t>MGI:1925482</t>
  </si>
  <si>
    <t>Endoplasmic reticulum; Golgi apparatus; Neurogenesis</t>
  </si>
  <si>
    <t>endoplasmic reticulum to Golgi vesicle-mediated transport {GO:0006888}; nervous system development {GO:0007399}; regulation of GTPase activity {GO:0043087}; vesicle coating {GO:0006901}; vesicle tethering {GO:0099022}</t>
  </si>
  <si>
    <t>cis-Golgi network {GO:0005801}; cytoplasm {GO:0005737}; endoplasmic reticulum {GO:0005783}; trans-Golgi network {GO:0005802}; TRAPP complex {GO:0030008}; TRAPPII protein complex {GO:1990071}</t>
  </si>
  <si>
    <t>sp|Q9D4H1|EXOC2_MOUSE</t>
  </si>
  <si>
    <t>Exocyst complex component 2</t>
  </si>
  <si>
    <t>Exocyst complex component Sec5</t>
  </si>
  <si>
    <t>EXOC2_MOUSE</t>
  </si>
  <si>
    <t>Q9D4H1</t>
  </si>
  <si>
    <t>Sec5; Sec5l1</t>
  </si>
  <si>
    <t>MGI:1913732</t>
  </si>
  <si>
    <t>3D-structure; Acetylation; Coiled coil; Exocytosis; Phosphoprotein; Protein transport; Transport</t>
  </si>
  <si>
    <t>exocytosis {GO:0006887}; Golgi to plasma membrane transport {GO:0006893}; membrane fission {GO:0090148}; mitotic cytokinesis {GO:0000281}; positive regulation of exocytosis {GO:0045921}; protein transport {GO:0015031}; regulation of entry of bacterium into host cell {GO:2000535}; vesicle docking involved in exocytosis {GO:0006904}; vesicle tethering involved in exocytosis {GO:0090522}</t>
  </si>
  <si>
    <t>exocyst {GO:0000145}; Flemming body {GO:0090543}; plasma membrane {GO:0005886}</t>
  </si>
  <si>
    <t>protein kinase binding {GO:0019901}; protein N-terminus binding {GO:0047485}; small GTPase binding {GO:0031267}</t>
  </si>
  <si>
    <t>sp|Q80VJ3|DNPH1_MOUSE</t>
  </si>
  <si>
    <t>2'-deoxynucleoside 5'-phosphate N-hydrolase 1</t>
  </si>
  <si>
    <t>c-Myc-responsive protein Rcl</t>
  </si>
  <si>
    <t>DNPH1_MOUSE</t>
  </si>
  <si>
    <t>Q80VJ3</t>
  </si>
  <si>
    <t>Q3U9Y7</t>
  </si>
  <si>
    <t>Rcl</t>
  </si>
  <si>
    <t>MGI:3039376</t>
  </si>
  <si>
    <t>Acetylation; Cytoplasm; Glycosidase; Hydrolase; Nucleotide metabolism; Nucleus; Phosphoprotein</t>
  </si>
  <si>
    <t>allantoin metabolic process {GO:0000255}; deoxyribonucleoside monophosphate catabolic process {GO:0009159}; dGMP catabolic process {GO:0046055}; epithelial cell differentiation {GO:0030855}; nucleoside metabolic process {GO:0009116}; positive regulation of cell growth {GO:0030307}</t>
  </si>
  <si>
    <t>deoxyribonucleoside 5'-monophosphate N-glycosidase activity {GO:0070694}; identical protein binding {GO:0042802}; protein homodimerization activity {GO:0042803}</t>
  </si>
  <si>
    <t>sp|Q5DTZ0|NYNRI_MOUSE</t>
  </si>
  <si>
    <t>Protein NYNRIN</t>
  </si>
  <si>
    <t>NYN domain and retroviral integrase catalytic domain-containing protein; Pol-like protein</t>
  </si>
  <si>
    <t>NYNRI_MOUSE</t>
  </si>
  <si>
    <t>Q5DTZ0</t>
  </si>
  <si>
    <t>B9EKP9; Q32KG8; Q3V1I3</t>
  </si>
  <si>
    <t>Kiaa1305</t>
  </si>
  <si>
    <t>MGI:2652872</t>
  </si>
  <si>
    <t>Membrane; Transmembrane; Transmembrane helix</t>
  </si>
  <si>
    <t>DNA integration {GO:0015074}; RNA phosphodiester bond hydrolysis, endonucleolytic {GO:0090502}</t>
  </si>
  <si>
    <t>cytoplasmic ribonucleoprotein granule {GO:0036464}; integral component of membrane {GO:0016021}; nucleus {GO:0005634}</t>
  </si>
  <si>
    <t>endoribonuclease activity {GO:0004521}; mRNA binding {GO:0003729}; RNA-DNA hybrid ribonuclease activity {GO:0004523}</t>
  </si>
  <si>
    <t>sp|Q8CDJ8|STON1_MOUSE</t>
  </si>
  <si>
    <t>Stonin-1</t>
  </si>
  <si>
    <t>Stoned B-like factor</t>
  </si>
  <si>
    <t>STON1_MOUSE</t>
  </si>
  <si>
    <t>Q8CDJ8</t>
  </si>
  <si>
    <t>Q8CDL8; Q9D5T3</t>
  </si>
  <si>
    <t>Salf; Sblf; Stn1</t>
  </si>
  <si>
    <t>MGI:1924307</t>
  </si>
  <si>
    <t>Cytoplasm; Endocytosis; Membrane</t>
  </si>
  <si>
    <t>endocytosis {GO:0006897}; focal adhesion assembly {GO:0048041}; focal adhesion disassembly {GO:0120181}; platelet-derived growth factor receptor signaling pathway {GO:0048008}; regulation of endocytosis {GO:0030100}; ruffle assembly {GO:0097178}; substrate-dependent cell migration {GO:0006929}; synaptic vesicle endocytosis {GO:0048488}; vesicle-mediated transport {GO:0016192}</t>
  </si>
  <si>
    <t>cell leading edge {GO:0031252}; cell projection {GO:0042995}; clathrin-coated pit {GO:0005905}; clathrin-coated vesicle {GO:0030136}; cytoplasmic vesicle {GO:0031410}; synaptic vesicle {GO:0008021}</t>
  </si>
  <si>
    <t>cargo adaptor activity {GO:0140312}; clathrin adaptor activity {GO:0035615}</t>
  </si>
  <si>
    <t>sp|Q7TQI7|ABTB2_MOUSE</t>
  </si>
  <si>
    <t>Ankyrin repeat and BTB/POZ domain-containing protein 2</t>
  </si>
  <si>
    <t>ABTB2_MOUSE</t>
  </si>
  <si>
    <t>Q7TQI7</t>
  </si>
  <si>
    <t>MGI:2139365</t>
  </si>
  <si>
    <t>cellular response to toxic substance {GO:0097237}</t>
  </si>
  <si>
    <t>protein heterodimerization activity {GO:0046982}</t>
  </si>
  <si>
    <t>sp|P52963|E41LA_MOUSE</t>
  </si>
  <si>
    <t>Band 4.1-like protein 4A</t>
  </si>
  <si>
    <t>Erythrocyte membrane protein band 4.1-like 4A; Protein NBL4</t>
  </si>
  <si>
    <t>E41LA_MOUSE</t>
  </si>
  <si>
    <t>P52963</t>
  </si>
  <si>
    <t>Q91VX6</t>
  </si>
  <si>
    <t>MGI:103007</t>
  </si>
  <si>
    <t>Cytoplasm; Cytoskeleton; Phosphoprotein</t>
  </si>
  <si>
    <t>actomyosin structure organization {GO:0031032}</t>
  </si>
  <si>
    <t>cytoskeletal protein binding {GO:0008092}</t>
  </si>
  <si>
    <t>sp|O35874|SATT_MOUSE</t>
  </si>
  <si>
    <t>Neutral amino acid transporter A</t>
  </si>
  <si>
    <t>Alanine/serine/cysteine/threonine transporter 1 (ASCT-1); Solute carrier family 1 member 4</t>
  </si>
  <si>
    <t>SATT_MOUSE</t>
  </si>
  <si>
    <t>O35874</t>
  </si>
  <si>
    <t>Asct1; Satt</t>
  </si>
  <si>
    <t>MGI:2135601</t>
  </si>
  <si>
    <t>Acetylation; Glycoprotein; Membrane; Phosphoprotein; Symport; Transmembrane; Transmembrane helix; Transport</t>
  </si>
  <si>
    <t>cognition {GO:0050890}; hydroxyproline transport {GO:0034589}; L-alanine import across plasma membrane {GO:1904273}; L-alanine transport {GO:0015808}; L-aspartate import across plasma membrane {GO:0140009}; L-glutamate transmembrane transport {GO:0015813}; L-serine import across plasma membrane {GO:1903812}; L-serine transport {GO:0015825}; proline transport {GO:0015824}; serine import across plasma membrane {GO:0098718}; threonine transport {GO:0015826}</t>
  </si>
  <si>
    <t>centrosome {GO:0005813}; dendrite {GO:0030425}; integral component of membrane {GO:0016021}; intermediate filament {GO:0005882}; melanosome {GO:0042470}; membrane {GO:0016020}; neuronal cell body {GO:0043025}; plasma membrane {GO:0005886}</t>
  </si>
  <si>
    <t>chloride channel activity {GO:0005254}; L-alanine transmembrane transporter activity {GO:0015180}; L-aspartate transmembrane transporter activity {GO:0015183}; L-cystine transmembrane transporter activity {GO:0015184}; L-hydroxyproline transmembrane transporter activity {GO:0034590}; L-proline transmembrane transporter activity {GO:0015193}; L-serine transmembrane transporter activity {GO:0015194}; L-threonine transmembrane transporter activity {GO:0015195}; neutral amino acid transmembrane transporter activity {GO:0015175}; symporter activity {GO:0015293}</t>
  </si>
  <si>
    <t>sp|Q9CQX2|CYB5B_MOUSE</t>
  </si>
  <si>
    <t>Cytochrome b5 type B</t>
  </si>
  <si>
    <t>Cytochrome b5 outer mitochondrial membrane isoform</t>
  </si>
  <si>
    <t>CYB5B_MOUSE</t>
  </si>
  <si>
    <t>Q9CQX2</t>
  </si>
  <si>
    <t>Q9D1M6; Q9D8R3</t>
  </si>
  <si>
    <t>Cyb5m</t>
  </si>
  <si>
    <t>MGI:1913677</t>
  </si>
  <si>
    <t>Acetylation; Electron transport; Heme; Iron; Membrane; Metal-binding; Mitochondrion; Mitochondrion outer membrane; Phosphoprotein; Transmembrane; Transmembrane helix; Transport</t>
  </si>
  <si>
    <t>nitric oxide biosynthetic process {GO:0006809}</t>
  </si>
  <si>
    <t>integral component of membrane {GO:0016021}; intracellular membrane-bounded organelle {GO:0043231}; membrane {GO:0016020}; mitochondrial inner membrane {GO:0005743}; mitochondrial outer membrane {GO:0005741}; mitochondrion {GO:0005739}; nitric-oxide synthase complex {GO:1903958}</t>
  </si>
  <si>
    <t>enzyme activator activity {GO:0008047}; heme binding {GO:0020037}; metal ion binding {GO:0046872}; nitrite reductase (NO-forming) activity {GO:0050421}</t>
  </si>
  <si>
    <t>sp|Q8R307|VPS18_MOUSE</t>
  </si>
  <si>
    <t>Vacuolar protein sorting-associated protein 18 homolog</t>
  </si>
  <si>
    <t>VPS18_MOUSE</t>
  </si>
  <si>
    <t>Q8R307</t>
  </si>
  <si>
    <t>Q8BGV6; Q8BZX6; Q8C126</t>
  </si>
  <si>
    <t>MGI:2443626</t>
  </si>
  <si>
    <t>Acetylation; Autophagy; Coiled coil; Cytoplasmic vesicle; Endosome; Lysosome; Membrane; Metal-binding; Phosphoprotein; Protein transport; Transport; Zinc; Zinc-finger</t>
  </si>
  <si>
    <t>autophagy {GO:0006914}; endosome organization {GO:0007032}; endosome to lysosome transport {GO:0008333}; intracellular protein transport {GO:0006886}; lysosome organization {GO:0007040}; negative regulation of intracellular estrogen receptor signaling pathway {GO:0033147}; organelle fusion {GO:0048284}; protein ubiquitination {GO:0016567}; regulation of synaptic vesicle exocytosis {GO:2000300}; vacuole organization {GO:0007033}; vesicle docking involved in exocytosis {GO:0006904}; viral entry into host cell {GO:0046718}</t>
  </si>
  <si>
    <t>actin filament {GO:0005884}; autophagosome {GO:0005776}; clathrin-coated vesicle {GO:0030136}; CORVET complex {GO:0033263}; early endosome {GO:0005769}; endosome {GO:0005768}; glutamatergic synapse {GO:0098978}; HOPS complex {GO:0030897}; late endosome {GO:0005770}; late endosome membrane {GO:0031902}; lysosomal membrane {GO:0005765}; lysosome {GO:0005764}; presynapse {GO:0098793}</t>
  </si>
  <si>
    <t>actin binding {GO:0003779}; metal ion binding {GO:0046872}; protein-macromolecule adaptor activity {GO:0030674}; syntaxin binding {GO:0019905}; ubiquitin protein ligase activity {GO:0061630}</t>
  </si>
  <si>
    <t>sp|P97789|XRN1_MOUSE</t>
  </si>
  <si>
    <t>5'-3' exoribonuclease 1 (mXRN1)</t>
  </si>
  <si>
    <t>Protein Dhm2; Strand-exchange protein 1 homolog</t>
  </si>
  <si>
    <t>XRN1_MOUSE</t>
  </si>
  <si>
    <t>P97789</t>
  </si>
  <si>
    <t>O35651; P97790; Q3TE44; Q3TRE9; Q3UQL5</t>
  </si>
  <si>
    <t>MGI:891964</t>
  </si>
  <si>
    <t>Alternative splicing; Cytoplasm; DNA-binding; Exonuclease; Hydrolase; Nuclease; Phosphoprotein; RNA-binding</t>
  </si>
  <si>
    <t>DNA-binding; Exonuclease; Hydrolase; Nuclease; RNA-binding</t>
  </si>
  <si>
    <t>histone mRNA catabolic process {GO:0071044}; meiotic cell cycle {GO:0051321}; negative regulation of translation {GO:0017148}; nuclear mRNA surveillance {GO:0071028}; nuclear-transcribed mRNA catabolic process {GO:0000956}; RNA phosphodiester bond hydrolysis, exonucleolytic {GO:0090503}; RNA processing {GO:0006396}; rRNA catabolic process {GO:0016075}; telomere maintenance {GO:0000723}</t>
  </si>
  <si>
    <t>cytoplasm {GO:0005737}; cytosol {GO:0005829}; dendrite {GO:0030425}; neuronal cell body {GO:0043025}; nucleus {GO:0005634}; P-body {GO:0000932}; plasma membrane {GO:0005886}; synapse {GO:0045202}</t>
  </si>
  <si>
    <t>5'-3' exoribonuclease activity {GO:0004534}; G-quadruplex DNA binding {GO:0051880}; G-quadruplex RNA binding {GO:0002151}; RNA binding {GO:0003723}</t>
  </si>
  <si>
    <t>Butyrate Response Factor 1 (BRF1) binds and destabilizes mRNA {R-MMU-450385}; Tristetraprolin (TTP, ZFP36) binds and destabilizes mRNA {R-MMU-450513}</t>
  </si>
  <si>
    <t>sp|P55258|RAB8A_MOUSE</t>
  </si>
  <si>
    <t>Ras-related protein Rab-8A</t>
  </si>
  <si>
    <t>Oncogene c-mel</t>
  </si>
  <si>
    <t>RAB8A_MOUSE</t>
  </si>
  <si>
    <t>P55258</t>
  </si>
  <si>
    <t>Q8VCF6</t>
  </si>
  <si>
    <t>Mel; Rab8</t>
  </si>
  <si>
    <t>MGI:96960</t>
  </si>
  <si>
    <t>3D-structure; Autophagy; Cell membrane; Cell projection; Cilium; Cilium biogenesis/degradation; Cytoplasm; Cytoplasmic vesicle; Cytoskeleton; Endosome; Golgi apparatus; GTP-binding; Hydrolase; Lipoprotein; Membrane; Methylation; Nucleotide-binding; Phosphoprotein; Prenylation; Protein transport; Proto-oncogene; Transport</t>
  </si>
  <si>
    <t>Cell membrane; Cell projection; Cilium; Cytoplasm; Cytoplasmic vesicle; Cytoskeleton; Endosome; Golgi apparatus; Membrane</t>
  </si>
  <si>
    <t>autophagy {GO:0006914}; axonogenesis {GO:0007409}; cellular response to insulin stimulus {GO:0032869}; cilium assembly {GO:0060271}; endocytic recycling {GO:0032456}; Golgi organization {GO:0007030}; Golgi vesicle fusion to target membrane {GO:0048210}; neurotransmitter receptor transport to postsynaptic membrane {GO:0098969}; neurotransmitter receptor transport, endosome to postsynaptic membrane {GO:0098887}; protein localization to cilium {GO:0061512}; protein localization to plasma membrane {GO:0072659}; protein secretion {GO:0009306}; regulation of autophagy {GO:0010506}; regulation of exocytosis {GO:0017157}; regulation of long-term neuronal synaptic plasticity {GO:0048169}; regulation of protein localization {GO:0032880}; regulation of protein transport {GO:0051223}; vesicle docking involved in exocytosis {GO:0006904}; vesicle-mediated transport in synapse {GO:0099003}</t>
  </si>
  <si>
    <t>centriole {GO:0005814}; centrosome {GO:0005813}; ciliary basal body {GO:0036064}; ciliary base {GO:0097546}; ciliary membrane {GO:0060170}; cilium {GO:0005929}; cytoplasmic vesicle {GO:0031410}; cytoplasmic vesicle membrane {GO:0030659}; dendrite {GO:0030425}; dendritic spine {GO:0043197}; endosome {GO:0005768}; glutamatergic synapse {GO:0098978}; Golgi apparatus {GO:0005794}; intracellular membrane-bounded organelle {GO:0043231}; midbody {GO:0030496}; neuron projection {GO:0043005}; neuronal cell body {GO:0043025}; non-motile cilium {GO:0097730}; phagocytic vesicle {GO:0045335}; phagocytic vesicle membrane {GO:0030670}; plasma membrane {GO:0005886}; postsynaptic density {GO:0014069}; recycling endosome {GO:0055037}; recycling endosome membrane {GO:0055038}; synapse {GO:0045202}; synaptic vesicle {GO:0008021}; trans-Golgi network transport vesicle {GO:0030140}</t>
  </si>
  <si>
    <t>GDP binding {GO:0019003}; GTP binding {GO:0005525}; GTPase activity {GO:0003924}; myosin V binding {GO:0031489}; protein kinase binding {GO:0019901}; protein tyrosine kinase binding {GO:1990782}; small GTPase binding {GO:0031267}</t>
  </si>
  <si>
    <t>Regulation of PLK1 Activity at G2/M Transition {R-MMU-2565942}; Anchoring of the basal body to the plasma membrane {R-MMU-5620912}; VxPx cargo-targeting to cilium {R-MMU-5620916}; TBC/RABGAPs {R-MMU-8854214}; RAB geranylgeranylation {R-MMU-8873719}; RAB GEFs exchange GTP for GDP on RABs {R-MMU-8876198}</t>
  </si>
  <si>
    <t>sp|Q91WV0|NC2B_MOUSE</t>
  </si>
  <si>
    <t>Protein Dr1</t>
  </si>
  <si>
    <t>Down-regulator of transcription 1; Negative cofactor 2-beta (NC2-beta); TATA-binding protein-associated phosphoprotein</t>
  </si>
  <si>
    <t>NC2B_MOUSE</t>
  </si>
  <si>
    <t>Q91WV0</t>
  </si>
  <si>
    <t>Q3UT14</t>
  </si>
  <si>
    <t>MGI:1100515</t>
  </si>
  <si>
    <t>Acetylation; DNA-binding; Nucleus; Phosphoprotein; Repressor; Transcription; Transcription regulation</t>
  </si>
  <si>
    <t>chromatin remodeling {GO:0006338}; histone H3 acetylation {GO:0043966}; histone H3-K14 acetylation {GO:0044154}; negative regulation of transcription by RNA polymerase II {GO:0000122}; positive regulation of transcription by RNA polymerase II {GO:0045944}; regulation of cell cycle {GO:0051726}; regulation of cell division {GO:0051302}; regulation of DNA-templated transcription {GO:0006355}; regulation of embryonic development {GO:0045995}; regulation of histone deacetylation {GO:0031063}; regulation of transcription by RNA polymerase II {GO:0006357}; regulation of tubulin deacetylation {GO:0090043}; RNA polymerase II preinitiation complex assembly {GO:0051123}</t>
  </si>
  <si>
    <t>ATAC complex {GO:0140672}; mitotic spindle {GO:0072686}; negative cofactor 2 complex {GO:0017054}; nucleoplasm {GO:0005654}; nucleus {GO:0005634}; RNA polymerase II transcription regulator complex {GO:0090575}</t>
  </si>
  <si>
    <t>core promoter sequence-specific DNA binding {GO:0001046}; protein heterodimerization activity {GO:0046982}; RNA polymerase II general transcription initiation factor activity {GO:0016251}; TBP-class protein binding {GO:0017025}</t>
  </si>
  <si>
    <t>sp|P97300|NPTN_MOUSE</t>
  </si>
  <si>
    <t>Neuroplastin</t>
  </si>
  <si>
    <t>Stromal cell-derived receptor 1 (SDR-1)</t>
  </si>
  <si>
    <t>NPTN_MOUSE</t>
  </si>
  <si>
    <t>P97300</t>
  </si>
  <si>
    <t>Q3U519; Q8C637; Q8C6H8</t>
  </si>
  <si>
    <t>Sdfr1; Sdr1</t>
  </si>
  <si>
    <t>MGI:108077</t>
  </si>
  <si>
    <t>Alternative splicing; Cell adhesion; Cell membrane; Disulfide bond; Glycoprotein; Immunoglobulin domain; Membrane; Neurogenesis; Repeat; Signal; Synapse; Transmembrane; Transmembrane helix</t>
  </si>
  <si>
    <t>Cell adhesion; Neurogenesis</t>
  </si>
  <si>
    <t>axon guidance {GO:0007411}; cellular calcium ion homeostasis {GO:0006874}; dendrite self-avoidance {GO:0070593}; excitatory synapse assembly {GO:1904861}; homophilic cell adhesion via plasma membrane adhesion molecules {GO:0007156}; long-term synaptic potentiation {GO:0060291}; modulation of chemical synaptic transmission {GO:0050804}; negative regulation of cytokine production {GO:0001818}; positive regulation of cytosolic calcium ion concentration {GO:0007204}; positive regulation of ERK1 and ERK2 cascade {GO:0070374}; positive regulation of fibroblast growth factor receptor signaling pathway {GO:0045743}; positive regulation of long-term neuronal synaptic plasticity {GO:0048170}; positive regulation of long-term synaptic potentiation {GO:1900273}; positive regulation of neuron projection development {GO:0010976}; positive regulation of protein localization {GO:1903829}; positive regulation of protein phosphorylation {GO:0001934}; regulation of receptor localization to synapse {GO:1902683}; synapse organization {GO:0050808}; trans-synaptic signaling by trans-synaptic complex, modulating synaptic transmission {GO:0099557}; visual learning {GO:0008542}</t>
  </si>
  <si>
    <t>anchoring junction {GO:0070161}; axon {GO:0030424}; cell surface {GO:0009986}; dendrite {GO:0030425}; GABA-ergic synapse {GO:0098982}; glutamatergic synapse {GO:0098978}; immunological synapse {GO:0001772}; inhibitory synapse {GO:0060077}; integral component of postsynaptic density membrane {GO:0099061}; integral component of presynaptic active zone membrane {GO:0099059}; plasma membrane {GO:0005886}; postsynaptic density {GO:0014069}; presynaptic membrane {GO:0042734}; Schaffer collateral - CA1 synapse {GO:0098685}; synaptic membrane {GO:0097060}</t>
  </si>
  <si>
    <t>cell adhesion molecule binding {GO:0050839}; cell-cell adhesion mediator activity {GO:0098632}; transmembrane transporter binding {GO:0044325}; type 1 fibroblast growth factor receptor binding {GO:0005105}</t>
  </si>
  <si>
    <t>sp|Q8VC57|KCTD5_MOUSE</t>
  </si>
  <si>
    <t>BTB/POZ domain-containing protein KCTD5</t>
  </si>
  <si>
    <t>KCTD5_MOUSE</t>
  </si>
  <si>
    <t>Q8VC57</t>
  </si>
  <si>
    <t>Q3UPC0</t>
  </si>
  <si>
    <t>MGI:1916509</t>
  </si>
  <si>
    <t>proteasome-mediated ubiquitin-dependent protein catabolic process {GO:0043161}; protein homooligomerization {GO:0051260}</t>
  </si>
  <si>
    <t>Cul3-RING ubiquitin ligase complex {GO:0031463}; cytoplasm {GO:0005737}; cytosol {GO:0005829}; nucleus {GO:0005634}</t>
  </si>
  <si>
    <t>cullin family protein binding {GO:0097602}; identical protein binding {GO:0042802}; protein-containing complex binding {GO:0044877}</t>
  </si>
  <si>
    <t>sp|Q8BPA8|DPCD_MOUSE</t>
  </si>
  <si>
    <t>Protein DPCD</t>
  </si>
  <si>
    <t>DPCD_MOUSE</t>
  </si>
  <si>
    <t>Q8BPA8</t>
  </si>
  <si>
    <t>Q8K1L8</t>
  </si>
  <si>
    <t>MGI:1924407</t>
  </si>
  <si>
    <t>determination of left/right symmetry {GO:0007368}; epithelial cilium movement involved in extracellular fluid movement {GO:0003351}; establishment of localization in cell {GO:0051649}; flagellated sperm motility {GO:0030317}; lateral ventricle development {GO:0021670}; left/right pattern formation {GO:0060972}; spermatogenesis {GO:0007283}; third ventricle development {GO:0021678}; ventricular system development {GO:0021591}</t>
  </si>
  <si>
    <t>sp|Q9WVA2|TIM8A_MOUSE</t>
  </si>
  <si>
    <t>Mitochondrial import inner membrane translocase subunit Tim8 A</t>
  </si>
  <si>
    <t>Deafness dystonia protein 1 homolog</t>
  </si>
  <si>
    <t>TIM8A_MOUSE</t>
  </si>
  <si>
    <t>Q9WVA2</t>
  </si>
  <si>
    <t>Q542E5</t>
  </si>
  <si>
    <t>Ddp1; Tim8a; Timm8a</t>
  </si>
  <si>
    <t>MGI:1353433</t>
  </si>
  <si>
    <t>Chaperone; Disulfide bond; Membrane; Metal-binding; Mitochondrion; Mitochondrion inner membrane; Phosphoprotein; Protein transport; Translocation; Transport; Zinc</t>
  </si>
  <si>
    <t>mitochondrial inner membrane {GO:0005743}; mitochondrial intermembrane space {GO:0005758}; mitochondrial intermembrane space protein transporter complex {GO:0042719}; mitochondrion {GO:0005739}</t>
  </si>
  <si>
    <t>identical protein binding {GO:0042802}; zinc ion binding {GO:0008270}</t>
  </si>
  <si>
    <t>sp|Q810U5|CCD50_MOUSE</t>
  </si>
  <si>
    <t>Coiled-coil domain-containing protein 50</t>
  </si>
  <si>
    <t>Protein Ymer</t>
  </si>
  <si>
    <t>CCD50_MOUSE</t>
  </si>
  <si>
    <t>Q810U5</t>
  </si>
  <si>
    <t>A6X929; Q3TRW1; Q8BP82; Q9CZT1; Q9D436</t>
  </si>
  <si>
    <t>MGI:1914751</t>
  </si>
  <si>
    <t>Acetylation; Alternative splicing; Coiled coil; Cytoplasm; Phosphoprotein</t>
  </si>
  <si>
    <t>sensory perception of sound {GO:0007605}</t>
  </si>
  <si>
    <t>cytoplasm {GO:0005737}; cytosol {GO:0005829}; microtubule cytoskeleton {GO:0015630}</t>
  </si>
  <si>
    <t>sp|Q9WV32|ARC1B_MOUSE</t>
  </si>
  <si>
    <t>Actin-related protein 2/3 complex subunit 1B</t>
  </si>
  <si>
    <t>Arp2/3 complex 41 kDa subunit; p41-ARC</t>
  </si>
  <si>
    <t>ARC1B_MOUSE</t>
  </si>
  <si>
    <t>Q9WV32</t>
  </si>
  <si>
    <t>Q9CRC4</t>
  </si>
  <si>
    <t>MGI:1343142</t>
  </si>
  <si>
    <t>3D-structure; Actin-binding; Cytoplasm; Cytoskeleton; Nucleus; Repeat; WD repeat</t>
  </si>
  <si>
    <t>Arp2/3 protein complex {GO:0005885}; cytoplasm {GO:0005737}; nucleus {GO:0005634}; tubulobulbar complex {GO:0036284}</t>
  </si>
  <si>
    <t>actin filament binding {GO:0051015}; protein-containing complex binding {GO:0044877}; structural constituent of cytoskeleton {GO:0005200}</t>
  </si>
  <si>
    <t>Regulation of actin dynamics for phagocytic cup formation {R-MMU-2029482}; EPHB-mediated forward signaling {R-MMU-3928662}; RHO GTPases Activate WASPs and WAVEs {R-MMU-5663213}</t>
  </si>
  <si>
    <t>sp|Q9JI78|NGLY1_MOUSE</t>
  </si>
  <si>
    <t>Peptide-N(4)-(N-acetyl-beta-glucosaminyl)asparagine amidase (PNGase; mPNGase)</t>
  </si>
  <si>
    <t>N-glycanase 1; Peptide:N-glycanase</t>
  </si>
  <si>
    <t>NGLY1_MOUSE</t>
  </si>
  <si>
    <t>Q9JI78</t>
  </si>
  <si>
    <t>Q8K113; Q9CTK3</t>
  </si>
  <si>
    <t>MGI:1913276</t>
  </si>
  <si>
    <t>3D-structure; Acetylation; Cytoplasm; Hydrolase; Metal-binding; Zinc</t>
  </si>
  <si>
    <t>ER-associated misfolded protein catabolic process {GO:0071712}; glycoprotein catabolic process {GO:0006516}; protein deglycosylation {GO:0006517}; protein quality control for misfolded or incompletely synthesized proteins {GO:0006515}</t>
  </si>
  <si>
    <t>collagen-containing extracellular matrix {GO:0062023}; cytoplasm {GO:0005737}; cytosol {GO:0005829}; nucleus {GO:0005634}</t>
  </si>
  <si>
    <t>metal ion binding {GO:0046872}; peptide-N4-(N-acetyl-beta-glucosaminyl)asparagine amidase activity {GO:0000224}</t>
  </si>
  <si>
    <t>N-glycan trimming in the ER and Calnexin/Calreticulin cycle {R-MMU-532668}</t>
  </si>
  <si>
    <t>sp|P97429|ANXA4_MOUSE</t>
  </si>
  <si>
    <t>Annexin A4</t>
  </si>
  <si>
    <t>Annexin IV; Annexin-4</t>
  </si>
  <si>
    <t>ANXA4_MOUSE</t>
  </si>
  <si>
    <t>P97429</t>
  </si>
  <si>
    <t>Q3UCL0</t>
  </si>
  <si>
    <t>Anx4</t>
  </si>
  <si>
    <t>MGI:88030</t>
  </si>
  <si>
    <t>Acetylation; Annexin; Calcium; Calcium/phospholipid-binding; Cytoplasmic vesicle; Membrane; Phosphoprotein; Repeat</t>
  </si>
  <si>
    <t>epithelial cell differentiation {GO:0030855}; kidney development {GO:0001822}; negative regulation of interleukin-8 production {GO:0032717}; negative regulation of NF-kappaB transcription factor activity {GO:0032088}; Notch signaling pathway {GO:0007219}; regulation of transcription by RNA polymerase II {GO:0006357}</t>
  </si>
  <si>
    <t>apical plasma membrane {GO:0016324}; cell surface {GO:0009986}; collagen-containing extracellular matrix {GO:0062023}; cytoplasm {GO:0005737}; cytoplasmic vesicle {GO:0031410}; nuclear membrane {GO:0031965}; nucleus {GO:0005634}; perinuclear region of cytoplasm {GO:0048471}; plasma membrane {GO:0005886}; vesicle membrane {GO:0012506}</t>
  </si>
  <si>
    <t>calcium ion binding {GO:0005509}; calcium-dependent phospholipid binding {GO:0005544}; calcium-dependent protein binding {GO:0048306}; identical protein binding {GO:0042802}; NF-kappaB binding {GO:0051059}</t>
  </si>
  <si>
    <t>sp|Q62077|PLCG1_MOUSE</t>
  </si>
  <si>
    <t>1-phosphatidylinositol 4,5-bisphosphate phosphodiesterase gamma-1</t>
  </si>
  <si>
    <t>Phosphoinositide phospholipase C-gamma-1; Phospholipase C-gamma-1 (PLC-gamma-1)</t>
  </si>
  <si>
    <t>PLCG1_MOUSE</t>
  </si>
  <si>
    <t>Q62077</t>
  </si>
  <si>
    <t>Q6P1G1</t>
  </si>
  <si>
    <t>Plcg-1</t>
  </si>
  <si>
    <t>MGI:97615</t>
  </si>
  <si>
    <t>Acetylation; Calcium; Cell projection; Hydrolase; Lipid degradation; Lipid metabolism; Metal-binding; Phosphoprotein; Repeat; SH2 domain; SH3 domain; Transducer; Ubl conjugation</t>
  </si>
  <si>
    <t>calcium ion transport {GO:0006816}; calcium-mediated signaling {GO:0019722}; cell migration {GO:0016477}; cellular response to epidermal growth factor stimulus {GO:0071364}; epidermal growth factor receptor signaling pathway {GO:0007173}; in utero embryonic development {GO:0001701}; inositol trisphosphate biosynthetic process {GO:0032959}; inositol trisphosphate metabolic process {GO:0032957}; modulation of chemical synaptic transmission {GO:0050804}; phosphatidylinositol catabolic process {GO:0031161}; phosphatidylinositol metabolic process {GO:0046488}; positive regulation of angiogenesis {GO:0045766}; positive regulation of blood vessel endothelial cell migration {GO:0043536}; positive regulation of endothelial cell apoptotic process {GO:2000353}; positive regulation of epithelial cell migration {GO:0010634}; positive regulation of release of sequestered calcium ion into cytosol {GO:0051281}; positive regulation of vascular endothelial cell proliferation {GO:1905564}; protein secretion {GO:0009306}; regulation of store-operated calcium channel activity {GO:1901339}; response to curcumin {GO:1904643}; response to organonitrogen compound {GO:0010243}; T cell receptor signaling pathway {GO:0050852}</t>
  </si>
  <si>
    <t>cell projection {GO:0042995}; cell-cell junction {GO:0005911}; clathrin-coated vesicle {GO:0030136}; COP9 signalosome {GO:0008180}; cytoplasm {GO:0005737}; cytosol {GO:0005829}; glutamatergic synapse {GO:0098978}; lamellipodium {GO:0030027}; membrane {GO:0016020}; neuron projection {GO:0043005}; plasma membrane {GO:0005886}; ruffle {GO:0001726}; ruffle membrane {GO:0032587}; Schaffer collateral - CA1 synapse {GO:0098685}</t>
  </si>
  <si>
    <t>calcium ion binding {GO:0005509}; calcium-dependent phospholipase C activity {GO:0050429}; glutamate receptor binding {GO:0035254}; insulin receptor binding {GO:0005158}; neurotrophin TRKA receptor binding {GO:0005168}; phosphatidylinositol phospholipase C activity {GO:0004435}; phospholipase C activity {GO:0004629}; phosphoprotein binding {GO:0051219}; protein kinase binding {GO:0019901}; receptor tyrosine kinase binding {GO:0030971}</t>
  </si>
  <si>
    <t>ISG15 antiviral mechanism {R-MMU-1169408}; Synthesis of IP3 and IP4 in the cytosol {R-MMU-1855204}; Downstream signal transduction {R-MMU-186763}; Signaling by ALK {R-MMU-201556}; Generation of second messenger molecules {R-MMU-202433}; Role of phospholipids in phagocytosis {R-MMU-2029485}; PECAM1 interactions {R-MMU-210990}; EGFR interacts with phospholipase C-gamma {R-MMU-212718}; DAP12 signaling {R-MMU-2424491}; FCERI mediated MAPK activation {R-MMU-2871796}; FCERI mediated Ca+2 mobilization {R-MMU-2871809}; VEGFR2 mediated cell proliferation {R-MMU-5218921}; Phospholipase C-mediated cascade: FGFR1 {R-MMU-5654219}; Phospholipase C-mediated cascade, FGFR2 {R-MMU-5654221}; Phospholipase C-mediated cascade, FGFR3 {R-MMU-5654227}; Phospholipase C-mediated cascade, FGFR4 {R-MMU-5654228}; RET signaling {R-MMU-8853659}; Activated NTRK2 signals through PLCG1 {R-MMU-9026527}; Activated NTRK3 signals through PLCG1 {R-MMU-9034793}</t>
  </si>
  <si>
    <t>sp|Q8BK72|RT27_MOUSE</t>
  </si>
  <si>
    <t>28S ribosomal protein S27, mitochondrial (MRP-S27; S27mt)</t>
  </si>
  <si>
    <t>Mitochondrial ribosomal protein S27</t>
  </si>
  <si>
    <t>RT27_MOUSE</t>
  </si>
  <si>
    <t>Q8BK72</t>
  </si>
  <si>
    <t>E9QKZ5</t>
  </si>
  <si>
    <t>MGI:1919064</t>
  </si>
  <si>
    <t>Coiled coil; Cytoplasm; Mitochondrion; Repeat; Ribonucleoprotein; Ribosomal protein; RNA-binding; rRNA-binding; Transit peptide; Translation regulation; tRNA-binding</t>
  </si>
  <si>
    <t>Coiled coil; Repeat; Transit peptide</t>
  </si>
  <si>
    <t>RNA-binding; Ribonucleoprotein; Ribosomal protein; rRNA-binding; tRNA-binding</t>
  </si>
  <si>
    <t>cell population proliferation {GO:0008283}; mitochondrial translation {GO:0032543}; positive regulation of mitochondrial translation {GO:0070131}</t>
  </si>
  <si>
    <t>cytoplasm {GO:0005737}; mitochondrial inner membrane {GO:0005743}; mitochondrial small ribosomal subunit {GO:0005763}; mitochondrion {GO:0005739}; nucleolus {GO:0005730}</t>
  </si>
  <si>
    <t>mitochondrial ribosome binding {GO:0097177}; rRNA binding {GO:0019843}; tRNA binding {GO:0000049}</t>
  </si>
  <si>
    <t>sp|P61211|ARL1_MOUSE</t>
  </si>
  <si>
    <t>ADP-ribosylation factor-like protein 1</t>
  </si>
  <si>
    <t>ARL1_MOUSE</t>
  </si>
  <si>
    <t>P61211</t>
  </si>
  <si>
    <t>P41276</t>
  </si>
  <si>
    <t>MGI:99436</t>
  </si>
  <si>
    <t>Golgi apparatus; GTP-binding; Lipoprotein; Magnesium; Membrane; Metal-binding; Myristate; Nucleotide-binding</t>
  </si>
  <si>
    <t>activation of phospholipase D activity {GO:0031584}; Golgi organization {GO:0007030}; Golgi vesicle transport {GO:0048193}; intracellular protein transport {GO:0006886}; protein localization to Golgi apparatus {GO:0034067}; retrograde transport, endosome to Golgi {GO:0042147}; toxin metabolic process {GO:0009404}; vesicle-mediated transport {GO:0016192}</t>
  </si>
  <si>
    <t>cytoplasm {GO:0005737}; cytosol {GO:0005829}; Golgi apparatus {GO:0005794}; Golgi membrane {GO:0000139}; trans-Golgi network {GO:0005802}</t>
  </si>
  <si>
    <t>enzyme activator activity {GO:0008047}; GTP binding {GO:0005525}; GTPase activity {GO:0003924}; metal ion binding {GO:0046872}; protein domain specific binding {GO:0019904}</t>
  </si>
  <si>
    <t>sp|Q923B1|DBR1_MOUSE</t>
  </si>
  <si>
    <t>Lariat debranching enzyme</t>
  </si>
  <si>
    <t>DBR1_MOUSE</t>
  </si>
  <si>
    <t>Q923B1</t>
  </si>
  <si>
    <t>Q8C1T9; Q8C7J7; Q99MT1</t>
  </si>
  <si>
    <t>MGI:1931520</t>
  </si>
  <si>
    <t>Acetylation; Hydrolase; Metal-binding; mRNA processing; Nucleus; Phosphoprotein</t>
  </si>
  <si>
    <t>mRNA splicing, via spliceosome {GO:0000398}; RNA splicing, via transesterification reactions {GO:0000375}</t>
  </si>
  <si>
    <t>metal ion binding {GO:0046872}; RNA lariat debranching enzyme activity {GO:0008419}</t>
  </si>
  <si>
    <t>sp|Q9DCB8|ISCA2_MOUSE</t>
  </si>
  <si>
    <t>Iron-sulfur cluster assembly 2 homolog, mitochondrial</t>
  </si>
  <si>
    <t>HESB-like domain-containing protein 1</t>
  </si>
  <si>
    <t>ISCA2_MOUSE</t>
  </si>
  <si>
    <t>Q9DCB8</t>
  </si>
  <si>
    <t>Hbld1</t>
  </si>
  <si>
    <t>MGI:1921566</t>
  </si>
  <si>
    <t>Iron; Iron-sulfur; Metal-binding; Mitochondrion; Transit peptide</t>
  </si>
  <si>
    <t>iron-sulfur cluster assembly {GO:0016226}; protein maturation by [4Fe-4S] cluster transfer {GO:0106035}</t>
  </si>
  <si>
    <t>2 iron, 2 sulfur cluster binding {GO:0051537}; 4 iron, 4 sulfur cluster binding {GO:0051539}; iron ion binding {GO:0005506}</t>
  </si>
  <si>
    <t>sp|Q91X78|ERLN1_MOUSE</t>
  </si>
  <si>
    <t>Erlin-1</t>
  </si>
  <si>
    <t>Endoplasmic reticulum lipid raft-associated protein 1; Protein KE04 homolog; Stomatin-prohibitin-flotillin-HflC/K domain-containing protein 1 (SPFH domain-containing protein 1)</t>
  </si>
  <si>
    <t>ERLN1_MOUSE</t>
  </si>
  <si>
    <t>Q91X78</t>
  </si>
  <si>
    <t>A0A0R4J1G5; Q3UKI9; Q8CIH7</t>
  </si>
  <si>
    <t>MGI:2387613</t>
  </si>
  <si>
    <t>Acetylation; Cholesterol metabolism; Endoplasmic reticulum; Glycoprotein; Lipid metabolism; Lipid-binding; Membrane; Signal-anchor; Steroid metabolism; Sterol metabolism; Transmembrane; Transmembrane helix</t>
  </si>
  <si>
    <t>endoplasmic reticulum {GO:0005783}; endoplasmic reticulum membrane {GO:0005789}; integral component of membrane {GO:0016021}; protein-containing complex {GO:0032991}</t>
  </si>
  <si>
    <t>sp|O55057|PDE6D_MOUSE</t>
  </si>
  <si>
    <t>Retinal rod rhodopsin-sensitive cGMP 3',5'-cyclic phosphodiesterase subunit delta (GMP-PDE delta)</t>
  </si>
  <si>
    <t>PDE6D_MOUSE</t>
  </si>
  <si>
    <t>O55057</t>
  </si>
  <si>
    <t>MGI:1270843</t>
  </si>
  <si>
    <t>3D-structure; Cell projection; cGMP; Cytoplasm; Cytoplasmic vesicle; Cytoskeleton; Membrane; Sensory transduction; Vision</t>
  </si>
  <si>
    <t>Cell projection; Cytoplasm; Cytoplasmic vesicle; Cytoskeleton; Membrane</t>
  </si>
  <si>
    <t>cGMP</t>
  </si>
  <si>
    <t>phototransduction {GO:0007602}; visual perception {GO:0007601}</t>
  </si>
  <si>
    <t>cell projection {GO:0042995}; cytoplasm {GO:0005737}; cytoplasmic vesicle {GO:0031410}; cytoplasmic vesicle membrane {GO:0030659}; cytoskeleton {GO:0005856}; cytosol {GO:0005829}</t>
  </si>
  <si>
    <t>3',5'-cyclic-GMP phosphodiesterase activity {GO:0047555}; GTPase inhibitor activity {GO:0005095}; small GTPase binding {GO:0031267}</t>
  </si>
  <si>
    <t>ARL13B-mediated ciliary trafficking of INPP5E {R-MMU-5624958}; RAS processing {R-MMU-9648002}</t>
  </si>
  <si>
    <t>sp|Q9DC33|HM20A_MOUSE</t>
  </si>
  <si>
    <t>High mobility group protein 20A</t>
  </si>
  <si>
    <t>HMG box-containing protein 20A; HMG domain-containing protein HMGX1; Inhibitor of BRAF35 (iBRAF)</t>
  </si>
  <si>
    <t>HM20A_MOUSE</t>
  </si>
  <si>
    <t>Q9DC33</t>
  </si>
  <si>
    <t>Q3LSF9; Q6NV87; Q8BSK1; Q8C3C1; Q8CAA0; Q9CYG2</t>
  </si>
  <si>
    <t>Ibraf</t>
  </si>
  <si>
    <t>MGI:1914117</t>
  </si>
  <si>
    <t>Alternative splicing; Chromatin regulator; Coiled coil; DNA-binding; Nucleus; Phosphoprotein; Transcription; Transcription regulation</t>
  </si>
  <si>
    <t>chromatin organization {GO:0006325}; negative regulation of neuron differentiation {GO:0045665}; negative regulation of protein sumoylation {GO:0033234}; negative regulation of transcription by RNA polymerase II {GO:0000122}; regulation of gene expression {GO:0010468}</t>
  </si>
  <si>
    <t>sp|Q3USZ8|DIK2A_MOUSE</t>
  </si>
  <si>
    <t>Divergent protein kinase domain 2A</t>
  </si>
  <si>
    <t>Deleted in autism protein 1 homolog; Golgi Protein of 49 kDa (GoPro49); Hypoxia and AKT-induced stem cell factor (HASF)</t>
  </si>
  <si>
    <t>DIK2A_MOUSE</t>
  </si>
  <si>
    <t>Q3USZ8</t>
  </si>
  <si>
    <t>E9Q9E9</t>
  </si>
  <si>
    <t>MGI:1916111</t>
  </si>
  <si>
    <t>Cytoplasmic vesicle; Golgi apparatus; Secreted; Signal</t>
  </si>
  <si>
    <t>Cytoplasmic vesicle; Golgi apparatus; Secreted</t>
  </si>
  <si>
    <t>cardiac muscle cell proliferation {GO:0060038}; negative regulation of smooth muscle cell apoptotic process {GO:0034392}; positive regulation of protein kinase C activity {GO:1900020}; regulation of phosphatidylinositol 3-kinase signaling {GO:0014066}; vesicle targeting, to, from or within Golgi {GO:0048199}</t>
  </si>
  <si>
    <t>COPI vesicle coat {GO:0030126}; COPI-coated vesicle {GO:0030137}; extracellular region {GO:0005576}; extracellular space {GO:0005615}; Golgi membrane {GO:0000139}</t>
  </si>
  <si>
    <t>sp|Q921L5|COG2_MOUSE</t>
  </si>
  <si>
    <t>Conserved oligomeric Golgi complex subunit 2 (COG complex subunit 2)</t>
  </si>
  <si>
    <t>Component of oligomeric Golgi complex 2; Low density lipoprotein receptor defect C-complementing protein</t>
  </si>
  <si>
    <t>COG2_MOUSE</t>
  </si>
  <si>
    <t>Q921L5</t>
  </si>
  <si>
    <t>Q3TF44; Q9CSQ1</t>
  </si>
  <si>
    <t>Ldlc</t>
  </si>
  <si>
    <t>MGI:1923582</t>
  </si>
  <si>
    <t>cytosol {GO:0005829}; Golgi membrane {GO:0000139}; Golgi stack {GO:0005795}; Golgi transport complex {GO:0017119}</t>
  </si>
  <si>
    <t>sp|Q505D1|ANR28_MOUSE</t>
  </si>
  <si>
    <t>Serine/threonine-protein phosphatase 6 regulatory ankyrin repeat subunit A (PP6-ARS-A; Serine/threonine-protein phosphatase 6 regulatory subunit ARS-A)</t>
  </si>
  <si>
    <t>Ankyrin repeat domain-containing protein 28; Phosphatase interactor targeting protein hnRNP K (PITK)</t>
  </si>
  <si>
    <t>ANR28_MOUSE</t>
  </si>
  <si>
    <t>Q505D1</t>
  </si>
  <si>
    <t>MGI:2145661</t>
  </si>
  <si>
    <t>ANK repeat; Nucleus; Phosphoprotein; Repeat</t>
  </si>
  <si>
    <t>sp|Q80Y56|RBNS5_MOUSE</t>
  </si>
  <si>
    <t>Rabenosyn-5</t>
  </si>
  <si>
    <t>FYVE finger-containing Rab5 effector protein rabenosyn-5; RAB effector RBSN; Zinc finger FYVE domain-containing protein 20</t>
  </si>
  <si>
    <t>RBNS5_MOUSE</t>
  </si>
  <si>
    <t>Q80Y56</t>
  </si>
  <si>
    <t>Q8K0L6; Q9CTW0</t>
  </si>
  <si>
    <t>MGI:1925537</t>
  </si>
  <si>
    <t>Acetylation; Cell membrane; Coiled coil; Endosome; Lipoprotein; Membrane; Metal-binding; Phosphoprotein; Protein transport; Transport; Zinc; Zinc-finger</t>
  </si>
  <si>
    <t>early endosome to Golgi transport {GO:0034498}; Golgi to lysosome transport {GO:0090160}; protein transport {GO:0015031}; regulation of Golgi organization {GO:1903358}</t>
  </si>
  <si>
    <t>cytosol {GO:0005829}; early endosome membrane {GO:0031901}; intracellular membrane-bounded organelle {GO:0043231}; plasma membrane {GO:0005886}</t>
  </si>
  <si>
    <t>metal ion binding {GO:0046872}; small GTPase binding {GO:0031267}</t>
  </si>
  <si>
    <t>Toll Like Receptor 9 (TLR9) Cascade {R-MMU-168138}; Factors involved in megakaryocyte development and platelet production {R-MMU-983231}</t>
  </si>
  <si>
    <t>sp|Q8K0Q5|RHG18_MOUSE</t>
  </si>
  <si>
    <t>Rho GTPase-activating protein 18</t>
  </si>
  <si>
    <t>Rho-type GTPase-activating protein 18</t>
  </si>
  <si>
    <t>RHG18_MOUSE</t>
  </si>
  <si>
    <t>Q8K0Q5</t>
  </si>
  <si>
    <t>Q8BP03; Q8R196</t>
  </si>
  <si>
    <t>MGI:1921160</t>
  </si>
  <si>
    <t>regulation of actin cytoskeleton organization {GO:0032956}; regulation of actin filament polymerization {GO:0030833}; regulation of cell motility {GO:2000145}; regulation of cell shape {GO:0008360}; regulation of small GTPase mediated signal transduction {GO:0051056}; small GTPase mediated signal transduction {GO:0007264}</t>
  </si>
  <si>
    <t>cytoplasm {GO:0005737}; cytoplasmic microtubule {GO:0005881}; cytosol {GO:0005829}; nuclear speck {GO:0016607}; plasma membrane {GO:0005886}; ruffle {GO:0001726}</t>
  </si>
  <si>
    <t>RHOA GTPase cycle {R-MMU-8980692}; RHOC GTPase cycle {R-MMU-9013106}</t>
  </si>
  <si>
    <t>tr|E9PX68|E9PX68_MOUSE</t>
  </si>
  <si>
    <t>sp|Q9CYW4|HDHD3_MOUSE</t>
  </si>
  <si>
    <t>Haloacid dehalogenase-like hydrolase domain-containing protein 3</t>
  </si>
  <si>
    <t>HDHD3_MOUSE</t>
  </si>
  <si>
    <t>Q9CYW4</t>
  </si>
  <si>
    <t>MGI:1919998</t>
  </si>
  <si>
    <t>intracellular membrane-bounded organelle {GO:0043231}; mitochondrion {GO:0005739}; nucleolus {GO:0005730}; nucleus {GO:0005634}</t>
  </si>
  <si>
    <t>sp|Q9CZP7|CD37L_MOUSE</t>
  </si>
  <si>
    <t>Hsp90 co-chaperone Cdc37-like 1</t>
  </si>
  <si>
    <t>CD37L_MOUSE</t>
  </si>
  <si>
    <t>Q9CZP7</t>
  </si>
  <si>
    <t>Q3TNC7; Q8BP15; Q8C892; Q8C8X2; Q9CU15</t>
  </si>
  <si>
    <t>MGI:1914322</t>
  </si>
  <si>
    <t>Alternative splicing; Chaperone; Coiled coil; Cytoplasm; Phosphoprotein</t>
  </si>
  <si>
    <t>protein folding {GO:0006457}; protein stabilization {GO:0050821}</t>
  </si>
  <si>
    <t>chaperone binding {GO:0051087}; heat shock protein binding {GO:0031072}; unfolded protein binding {GO:0051082}</t>
  </si>
  <si>
    <t>sp|Q9JI11|STK4_MOUSE</t>
  </si>
  <si>
    <t>Serine/threonine-protein kinase 4 18kDa subunit</t>
  </si>
  <si>
    <t>Mammalian STE20-like protein kinase 1 (MST-1); STE20-like kinase MST1 (MST1/N; MST1/C)</t>
  </si>
  <si>
    <t>STK4_MOUSE</t>
  </si>
  <si>
    <t>Q9JI11</t>
  </si>
  <si>
    <t>Mst1</t>
  </si>
  <si>
    <t>MGI:1929004</t>
  </si>
  <si>
    <t>Acetylation; Apoptosis; ATP-binding; Coiled coil; Cytoplasm; Kinase; Magnesium; Metal-binding; Nucleotide-binding; Nucleus; Phosphoprotein; Serine/threonine-protein kinase; Transferase</t>
  </si>
  <si>
    <t>apoptotic process {GO:0006915}; branching involved in blood vessel morphogenesis {GO:0001569}; canonical Wnt signaling pathway {GO:0060070}; cell differentiation involved in embryonic placenta development {GO:0060706}; cell morphogenesis {GO:0000902}; cell population proliferation {GO:0008283}; central nervous system development {GO:0007417}; endocardium development {GO:0003157}; epithelial cell proliferation {GO:0050673}; extrinsic apoptotic signaling pathway via death domain receptors {GO:0008625}; hepatocyte apoptotic process {GO:0097284}; hippo signaling {GO:0035329}; intracellular signal transduction {GO:0035556}; keratinocyte differentiation {GO:0030216}; negative regulation of canonical Wnt signaling pathway {GO:0090090}; negative regulation of cell population proliferation {GO:0008285}; negative regulation of epithelial cell proliferation {GO:0050680}; negative regulation of organ growth {GO:0046621}; neural tube formation {GO:0001841}; organ growth {GO:0035265}; peptidyl-serine phosphorylation {GO:0018105}; positive regulation of apoptotic process {GO:0043065}; positive regulation of extrinsic apoptotic signaling pathway via death domain receptors {GO:1902043}; positive regulation of fat cell differentiation {GO:0045600}; positive regulation of hepatocyte apoptotic process {GO:1903945}; positive regulation of peptidyl-serine phosphorylation {GO:0033138}; positive regulation of protein binding {GO:0032092}; positive regulation of protein phosphorylation {GO:0001934}; positive regulation of substrate-dependent cell migration, cell attachment to substrate {GO:1904237}; positive regulation of vascular associated smooth muscle cell apoptotic process {GO:1905461}; primitive hemopoiesis {GO:0060215}; protein autophosphorylation {GO:0046777}; protein import into nucleus {GO:0006606}; protein phosphorylation {GO:0006468}; protein stabilization {GO:0050821}; protein tetramerization {GO:0051262}; regulation of cell differentiation involved in embryonic placenta development {GO:0060800}; regulation of MAPK cascade {GO:0043408}</t>
  </si>
  <si>
    <t>cytoplasm {GO:0005737}; cytosol {GO:0005829}; nuclear body {GO:0016604}; nucleoplasm {GO:0005654}; nucleus {GO:0005634}; protein-containing complex {GO:0032991}</t>
  </si>
  <si>
    <t>ATP binding {GO:0005524}; identical protein binding {GO:0042802}; magnesium ion binding {GO:0000287}; protein homodimerization activity {GO:0042803}; protein kinase activity {GO:0004672}; protein serine kinase activity {GO:0106310}; protein serine/threonine kinase activity {GO:0004674}; RNA polymerase II-specific DNA-binding transcription factor binding {GO:0061629}</t>
  </si>
  <si>
    <t>sp|Q920Q4|VPS16_MOUSE</t>
  </si>
  <si>
    <t>Vacuolar protein sorting-associated protein 16 homolog (mVPS16)</t>
  </si>
  <si>
    <t>VPS16_MOUSE</t>
  </si>
  <si>
    <t>Q920Q4</t>
  </si>
  <si>
    <t>A2BI91; Q8R3C3; Q99KZ4</t>
  </si>
  <si>
    <t>MGI:2136772</t>
  </si>
  <si>
    <t>Alternative splicing; Autophagy; Cytoplasmic vesicle; Endosome; Lysosome; Membrane; Nitration; Protein transport; Transport</t>
  </si>
  <si>
    <t>autophagosome maturation {GO:0097352}; endosomal transport {GO:0016197}; endosome to lysosome transport {GO:0008333}; intracellular protein transport {GO:0006886}; vacuole fusion, non-autophagic {GO:0042144}; viral entry into host cell {GO:0046718}</t>
  </si>
  <si>
    <t>actin filament {GO:0005884}; autophagosome {GO:0005776}; axon {GO:0030424}; clathrin-coated vesicle {GO:0030136}; CORVET complex {GO:0033263}; early endosome {GO:0005769}; early endosome membrane {GO:0031901}; endosome {GO:0005768}; HOPS complex {GO:0030897}; late endosome {GO:0005770}; late endosome membrane {GO:0031902}; lysosomal membrane {GO:0005765}; lysosome {GO:0005764}; neuronal cell body {GO:0043025}; recycling endosome {GO:0055037}</t>
  </si>
  <si>
    <t>sp|Q8BVU5|NUDT9_MOUSE</t>
  </si>
  <si>
    <t>ADP-ribose pyrophosphatase, mitochondrial</t>
  </si>
  <si>
    <t>ADP-ribose diphosphatase; ADP-ribose phosphohydrolase; Adenosine diphosphoribose pyrophosphatase (ADPR-PPase); Nucleoside diphosphate-linked moiety X motif 9 (Nudix motif 9)</t>
  </si>
  <si>
    <t>NUDT9_MOUSE</t>
  </si>
  <si>
    <t>Q8BVU5</t>
  </si>
  <si>
    <t>A2AH31; Q3TZ68; Q8K1J4</t>
  </si>
  <si>
    <t>MGI:1921417</t>
  </si>
  <si>
    <t>Hydrolase; Magnesium; Manganese; Mitochondrion; Phosphoprotein; Transit peptide</t>
  </si>
  <si>
    <t>Magnesium; Manganese</t>
  </si>
  <si>
    <t>ADP catabolic process {GO:0046032}; IDP catabolic process {GO:0046709}</t>
  </si>
  <si>
    <t>cell junction {GO:0030054}; mitochondrion {GO:0005739}; nuclear body {GO:0016604}; nuclear membrane {GO:0031965}</t>
  </si>
  <si>
    <t>ADP-ribose diphosphatase activity {GO:0047631}</t>
  </si>
  <si>
    <t>sp|Q14C51|PTCD3_MOUSE</t>
  </si>
  <si>
    <t>Pentatricopeptide repeat domain-containing protein 3, mitochondrial</t>
  </si>
  <si>
    <t>28S ribosomal protein S39, mitochondrial (MRP-S39)</t>
  </si>
  <si>
    <t>PTCD3_MOUSE</t>
  </si>
  <si>
    <t>Q14C51</t>
  </si>
  <si>
    <t>Q3UKH5; Q5XG65; Q6P9N5; Q9CZ12</t>
  </si>
  <si>
    <t>Mrps39</t>
  </si>
  <si>
    <t>MGI:1917206</t>
  </si>
  <si>
    <t>Acetylation; Mitochondrion; Repeat; Ribonucleoprotein; Ribosomal protein; RNA-binding; rRNA-binding; Transit peptide; Translation regulation</t>
  </si>
  <si>
    <t>mitochondrial translation {GO:0032543}; regulation of translation {GO:0006417}</t>
  </si>
  <si>
    <t>cytosol {GO:0005829}; mitochondrial inner membrane {GO:0005743}; mitochondrial small ribosomal subunit {GO:0005763}; mitochondrion {GO:0005739}; nucleoplasm {GO:0005654}; plasma membrane {GO:0005886}</t>
  </si>
  <si>
    <t>ribosomal small subunit binding {GO:0043024}; rRNA binding {GO:0019843}</t>
  </si>
  <si>
    <t>sp|A0A1W2P872|NOVA2_MOUSE</t>
  </si>
  <si>
    <t>RNA-binding protein Nova-2</t>
  </si>
  <si>
    <t>NOVA2_MOUSE</t>
  </si>
  <si>
    <t>A0A1W2P872</t>
  </si>
  <si>
    <t>D3YVV7</t>
  </si>
  <si>
    <t>MGI:104296</t>
  </si>
  <si>
    <t>Alternative splicing; Isopeptide bond; mRNA processing; mRNA splicing; Neurogenesis; Nucleus; Repeat; RNA-binding; Ubl conjugation</t>
  </si>
  <si>
    <t>Neurogenesis; mRNA processing; mRNA splicing</t>
  </si>
  <si>
    <t>central nervous system neuron development {GO:0021954}; mRNA splicing, via spliceosome {GO:0000398}; negative regulation of cold-induced thermogenesis {GO:0120163}; neuron differentiation {GO:0030182}; regulation of alternative mRNA splicing, via spliceosome {GO:0000381}; regulation of axon guidance {GO:1902667}; regulation of RNA metabolic process {GO:0051252}</t>
  </si>
  <si>
    <t>sp|Q80UU9|PGRC2_MOUSE</t>
  </si>
  <si>
    <t>Membrane-associated progesterone receptor component 2</t>
  </si>
  <si>
    <t>PGRC2_MOUSE</t>
  </si>
  <si>
    <t>Q80UU9</t>
  </si>
  <si>
    <t>MGI:1918054</t>
  </si>
  <si>
    <t>Endoplasmic reticulum; Lipid-binding; Membrane; Nucleus; Phosphoprotein; Receptor; Steroid-binding; Transmembrane; Transmembrane helix</t>
  </si>
  <si>
    <t>adipose tissue development {GO:0060612}; heme transport {GO:0015886}</t>
  </si>
  <si>
    <t>endomembrane system {GO:0012505}; endoplasmic reticulum {GO:0005783}; integral component of membrane {GO:0016021}; membrane {GO:0016020}; nuclear envelope {GO:0005635}</t>
  </si>
  <si>
    <t>heme binding {GO:0020037}; heme transmembrane transporter activity {GO:0015232}; steroid binding {GO:0005496}</t>
  </si>
  <si>
    <t>RHOA GTPase cycle {R-MMU-8980692}; RAC2 GTPase cycle {R-MMU-9013404}; RHOD GTPase cycle {R-MMU-9013405}; RHOG GTPase cycle {R-MMU-9013408}; RAC3 GTPase cycle {R-MMU-9013423}</t>
  </si>
  <si>
    <t>tr|E9Q6R7|E9Q6R7_MOUSE</t>
  </si>
  <si>
    <t>sp|P70188|KIFA3_MOUSE</t>
  </si>
  <si>
    <t>Kinesin-associated protein 3 (KAP-3; KAP3)</t>
  </si>
  <si>
    <t>KIFA3_MOUSE</t>
  </si>
  <si>
    <t>P70188</t>
  </si>
  <si>
    <t>P70189; Q6GTS3</t>
  </si>
  <si>
    <t>MGI:107566</t>
  </si>
  <si>
    <t>apoptotic process {GO:0006915}; cardiac muscle cell apoptotic process {GO:0010659}; cell population proliferation {GO:0008283}; cilium organization {GO:0044782}; microtubule-based movement {GO:0007018}; microtubule-based process {GO:0007017}; negative regulation of apoptotic process {GO:0043066}; negative regulation of cardiac muscle cell apoptotic process {GO:0010667}; negative regulation of neuroblast proliferation {GO:0007406}; negative regulation of thymocyte apoptotic process {GO:0070244}; neuroblast proliferation {GO:0007405}; positive regulation of calcium-dependent cell-cell adhesion {GO:0046587}; protein localization {GO:0008104}; thymocyte apoptotic process {GO:0070242}</t>
  </si>
  <si>
    <t>axoneme {GO:0005930}; centrosome {GO:0005813}; ciliary basal body {GO:0036064}; ciliary transition zone {GO:0035869}; condensed nuclear chromosome {GO:0000794}; cytosol {GO:0005829}; endoplasmic reticulum {GO:0005783}; Golgi apparatus {GO:0005794}; kinesin II complex {GO:0016939}; microtubule cytoskeleton {GO:0015630}; periciliary membrane compartment {GO:1990075}; photoreceptor connecting cilium {GO:0032391}; photoreceptor inner segment {GO:0001917}; photoreceptor outer segment {GO:0001750}; spindle microtubule {GO:0005876}</t>
  </si>
  <si>
    <t>intraciliary transport particle B binding {GO:0120170}; kinesin binding {GO:0019894}; protein phosphatase binding {GO:0019903}</t>
  </si>
  <si>
    <t>sp|Q8K4R4|PITC1_MOUSE</t>
  </si>
  <si>
    <t>Cytoplasmic phosphatidylinositol transfer protein 1</t>
  </si>
  <si>
    <t>Mammalian rdgB homolog beta (M-rdgB beta; MrdgBbeta; mM-rdgBbeta); Retinal degeneration B homolog beta (RdgBbeta)</t>
  </si>
  <si>
    <t>PITC1_MOUSE</t>
  </si>
  <si>
    <t>Q8K4R4</t>
  </si>
  <si>
    <t>A2A650; A2A651; Q3TBB3; Q3U5F5; Q8K4R5</t>
  </si>
  <si>
    <t>MGI:1919045</t>
  </si>
  <si>
    <t>Alternative splicing; Cytoplasm; Lipid transport; Lipid-binding; Nucleus; Phosphoprotein; Transport</t>
  </si>
  <si>
    <t>phosphatidylinositol metabolic process {GO:0046488}; phospholipid transport {GO:0015914}; signal transduction {GO:0007165}</t>
  </si>
  <si>
    <t>phosphatidic acid binding {GO:0070300}; phosphatidic acid transfer activity {GO:1990050}; phosphatidylglycerol binding {GO:1901611}; phosphatidylinositol binding {GO:0035091}; phosphatidylinositol transfer activity {GO:0008526}</t>
  </si>
  <si>
    <t>sp|Q640M1|UT14A_MOUSE</t>
  </si>
  <si>
    <t>U3 small nucleolar RNA-associated protein 14 homolog A</t>
  </si>
  <si>
    <t>Juvenile spermatogonial depletion-like X-linked protein (Jsd-like X-linked protein)</t>
  </si>
  <si>
    <t>UT14A_MOUSE</t>
  </si>
  <si>
    <t>Q640M1</t>
  </si>
  <si>
    <t>A2AFX7; Q6A094; Q6EJB4; Q6P6L1; Q9CZK8</t>
  </si>
  <si>
    <t>JsdX; Kiaa0266</t>
  </si>
  <si>
    <t>MGI:1919804</t>
  </si>
  <si>
    <t>Alternative splicing; Citrullination; Coiled coil; Isopeptide bond; Nucleus; Phosphoprotein; Ribosome biogenesis; Ubl conjugation</t>
  </si>
  <si>
    <t>cytosol {GO:0005829}; nucleolus {GO:0005730}; small-subunit processome {GO:0032040}</t>
  </si>
  <si>
    <t>sp|Q6RHR9|MAGI1_MOUSE</t>
  </si>
  <si>
    <t>Membrane-associated guanylate kinase, WW and PDZ domain-containing protein 1</t>
  </si>
  <si>
    <t>BAI1-associated protein 1 (BAP-1); Membrane-associated guanylate kinase inverted 1 (MAGI-1)</t>
  </si>
  <si>
    <t>MAGI1_MOUSE</t>
  </si>
  <si>
    <t>Q6RHR9</t>
  </si>
  <si>
    <t>O54893; O54894; O54895</t>
  </si>
  <si>
    <t>Baiap1; Bap1</t>
  </si>
  <si>
    <t>MGI:1203522</t>
  </si>
  <si>
    <t>3D-structure; Alternative splicing; ATP-binding; Cell junction; Cell membrane; Cytoplasm; Membrane; Nucleotide-binding; Nucleus; Phosphoprotein; Repeat; Tight junction</t>
  </si>
  <si>
    <t>Cell junction; Cell membrane; Cytoplasm; Membrane; Nucleus; Tight junction</t>
  </si>
  <si>
    <t>positive regulation of cell-cell adhesion {GO:0022409}; signal transduction {GO:0007165}</t>
  </si>
  <si>
    <t>adherens junction {GO:0005912}; bicellular tight junction {GO:0005923}; cell junction {GO:0030054}; cell periphery {GO:0071944}; cell projection {GO:0042995}; cell-cell junction {GO:0005911}; cytoplasm {GO:0005737}; membrane {GO:0016020}; nucleolus {GO:0005730}; nucleoplasm {GO:0005654}; nucleus {GO:0005634}; plasma membrane {GO:0005886}</t>
  </si>
  <si>
    <t>alpha-actinin binding {GO:0051393}; ATP binding {GO:0005524}; molecular adaptor activity {GO:0060090}</t>
  </si>
  <si>
    <t>sp|Q60596|XRCC1_MOUSE</t>
  </si>
  <si>
    <t>DNA repair protein XRCC1</t>
  </si>
  <si>
    <t>X-ray repair cross-complementing protein 1</t>
  </si>
  <si>
    <t>XRCC1_MOUSE</t>
  </si>
  <si>
    <t>Q60596</t>
  </si>
  <si>
    <t>Q3THC5; Q5U435; Q7TNQ5</t>
  </si>
  <si>
    <t>Xrcc-1</t>
  </si>
  <si>
    <t>MGI:99137</t>
  </si>
  <si>
    <t>3D-structure; Chromosome; DNA damage; DNA repair; Isopeptide bond; Nucleus; Phosphoprotein; Repeat; Ubl conjugation</t>
  </si>
  <si>
    <t>base-excision repair {GO:0006284}; cerebellum morphogenesis {GO:0021587}; DNA repair {GO:0006281}; double-strand break repair via nonhomologous end joining {GO:0006303}; hippocampus development {GO:0021766}; negative regulation of protection from non-homologous end joining at telomere {GO:1905765}; negative regulation of protein ADP-ribosylation {GO:0010836}; positive regulation of DNA ligase activity {GO:1904877}; positive regulation of single strand break repair {GO:1903518}; replication-born double-strand break repair via sister chromatid exchange {GO:1990414}; response to hydroperoxide {GO:0033194}; response to hypoxia {GO:0001666}; response to organic substance {GO:0010033}; response to xenobiotic stimulus {GO:0009410}; single strand break repair {GO:0000012}; telomeric DNA-containing double minutes formation {GO:0061819}; voluntary musculoskeletal movement {GO:0050882}</t>
  </si>
  <si>
    <t>chromatin {GO:0000785}; chromosome, telomeric region {GO:0000781}; ERCC4-ERCC1 complex {GO:0070522}; nucleolus {GO:0005730}; nucleoplasm {GO:0005654}; nucleus {GO:0005634}; site of DNA damage {GO:0090734}</t>
  </si>
  <si>
    <t>enzyme binding {GO:0019899}; oxidized DNA binding {GO:0032356}; poly-ADP-D-ribose binding {GO:0072572}</t>
  </si>
  <si>
    <t>sp|Q9D0Q7|RM45_MOUSE</t>
  </si>
  <si>
    <t>39S ribosomal protein L45, mitochondrial (L45mt; MRP-L45)</t>
  </si>
  <si>
    <t>RM45_MOUSE</t>
  </si>
  <si>
    <t>Q9D0Q7</t>
  </si>
  <si>
    <t>Q3TZL8; Q8VDW2</t>
  </si>
  <si>
    <t>MGI:1914286</t>
  </si>
  <si>
    <t>sp|B2RRE7|OTUD4_MOUSE</t>
  </si>
  <si>
    <t>OTU domain-containing protein 4</t>
  </si>
  <si>
    <t>OTUD4_MOUSE</t>
  </si>
  <si>
    <t>B2RRE7</t>
  </si>
  <si>
    <t>B7ZNI5; Q80TL3; Q9CUN2</t>
  </si>
  <si>
    <t>MGI:1098801</t>
  </si>
  <si>
    <t>Acetylation; Cytoplasm; Hydrolase; Immunity; Innate immunity; Nucleus; Phosphoprotein; Protease; Thiol protease; Ubl conjugation pathway</t>
  </si>
  <si>
    <t>innate immune response {GO:0045087}; negative regulation of interleukin-1-mediated signaling pathway {GO:2000660}; negative regulation of toll-like receptor signaling pathway {GO:0034122}; positive regulation of DNA demethylation {GO:1901537}; protein deubiquitination {GO:0016579}; protein K48-linked deubiquitination {GO:0071108}; protein K63-linked deubiquitination {GO:0070536}; regulation of protein K48-linked deubiquitination {GO:1903093}</t>
  </si>
  <si>
    <t>cysteine-type deubiquitinase activity {GO:0004843}; Lys63-specific deubiquitinase activity {GO:0061578}; molecular adaptor activity {GO:0060090}</t>
  </si>
  <si>
    <t>sp|O08992|SDCB1_MOUSE</t>
  </si>
  <si>
    <t>Syntenin-1</t>
  </si>
  <si>
    <t>Scaffold protein Pbp1; Syndecan-binding protein 1</t>
  </si>
  <si>
    <t>SDCB1_MOUSE</t>
  </si>
  <si>
    <t>O08992</t>
  </si>
  <si>
    <t>A2AKJ7; Q544P5</t>
  </si>
  <si>
    <t>MGI:1337026</t>
  </si>
  <si>
    <t>Acetylation; Cell junction; Cell membrane; Cytoplasm; Cytoskeleton; Endoplasmic reticulum; Lipid-binding; Membrane; Nucleus; Phosphoprotein; Repeat; Secreted</t>
  </si>
  <si>
    <t>Cell junction; Cell membrane; Cytoplasm; Cytoskeleton; Endoplasmic reticulum; Membrane; Nucleus; Secreted</t>
  </si>
  <si>
    <t>actin cytoskeleton organization {GO:0030036}; chemical synaptic transmission {GO:0007268}; negative regulation of proteasomal ubiquitin-dependent protein catabolic process {GO:0032435}; negative regulation of receptor internalization {GO:0002091}; negative regulation of transcription by RNA polymerase II {GO:0000122}; positive regulation of cell growth {GO:0030307}; positive regulation of cell migration {GO:0030335}; positive regulation of cell population proliferation {GO:0008284}; positive regulation of epithelial to mesenchymal transition {GO:0010718}; positive regulation of exosomal secretion {GO:1903543}; positive regulation of extracellular exosome assembly {GO:1903553}; positive regulation of pathway-restricted SMAD protein phosphorylation {GO:0010862}; positive regulation of phosphorylation {GO:0042327}; positive regulation of transforming growth factor beta receptor signaling pathway {GO:0030511}; presynapse assembly {GO:0099054}; Ras protein signal transduction {GO:0007265}; regulation of mitotic cell cycle {GO:0007346}</t>
  </si>
  <si>
    <t>adherens junction {GO:0005912}; cytoplasm {GO:0005737}; cytoskeleton {GO:0005856}; cytosol {GO:0005829}; endoplasmic reticulum membrane {GO:0005789}; extracellular exosome {GO:0070062}; focal adhesion {GO:0005925}; interleukin-5 receptor complex {GO:0005895}; melanosome {GO:0042470}; membrane raft {GO:0045121}; nuclear membrane {GO:0031965}; nucleoplasm {GO:0005654}; plasma membrane {GO:0005886}; synapse {GO:0045202}</t>
  </si>
  <si>
    <t>cell adhesion molecule binding {GO:0050839}; ephrin receptor binding {GO:0046875}; frizzled binding {GO:0005109}; growth factor binding {GO:0019838}; identical protein binding {GO:0042802}; interleukin-5 receptor binding {GO:0005137}; neurexin family protein binding {GO:0042043}; phosphatidylinositol-4,5-bisphosphate binding {GO:0005546}; protein C-terminus binding {GO:0008022}; protein heterodimerization activity {GO:0046982}; protein N-terminus binding {GO:0047485}; protein-containing complex binding {GO:0044877}; syndecan binding {GO:0045545}</t>
  </si>
  <si>
    <t>Ephrin signaling {R-MMU-3928664}; Neurofascin interactions {R-MMU-447043}; RIPK1-mediated regulated necrosis {R-MMU-5213460}; Regulation of necroptotic cell death {R-MMU-5675482}; Neutrophil degranulation {R-MMU-6798695}</t>
  </si>
  <si>
    <t>sp|Q9R0L1|HSF4_MOUSE</t>
  </si>
  <si>
    <t>Heat shock factor protein 4 (HSF 4; mHSF4)</t>
  </si>
  <si>
    <t>Heat shock transcription factor 4 (HSTF 4)</t>
  </si>
  <si>
    <t>HSF4_MOUSE</t>
  </si>
  <si>
    <t>Q9R0L1</t>
  </si>
  <si>
    <t>Q9R0L2</t>
  </si>
  <si>
    <t>MGI:1347058</t>
  </si>
  <si>
    <t>Activator; Alternative splicing; DNA-binding; Isopeptide bond; Nucleus; Phosphoprotein; Repressor; Stress response; Transcription; Transcription regulation; Ubl conjugation</t>
  </si>
  <si>
    <t>Stress response; Transcription; Transcription regulation</t>
  </si>
  <si>
    <t>camera-type eye development {GO:0043010}; cell development {GO:0048468}; cell differentiation {GO:0030154}; cell population proliferation {GO:0008283}; epithelial cell proliferation {GO:0050673}; eye development {GO:0001654}; histone H3-K9 demethylation {GO:0033169}; lens fiber cell differentiation {GO:0070306}; negative regulation of DNA-templated transcription {GO:0045892}; negative regulation of transcription by RNA polymerase II {GO:0000122}; positive regulation of cell differentiation {GO:0045597}; positive regulation of epithelial cell proliferation {GO:0050679}; positive regulation of transcription by RNA polymerase II {GO:0045944}; regulation of transcription by RNA polymerase II {GO:0006357}; transcription by RNA polymerase II {GO:0006366}; visual perception {GO:0007601}</t>
  </si>
  <si>
    <t>chromatin {GO:0000785}; nuclear speck {GO:0016607}; nucleus {GO:0005634}</t>
  </si>
  <si>
    <t>DNA-binding transcription factor activity {GO:0003700}; DNA-binding transcription factor activity, RNA polymerase II-specific {GO:0000981}; identical protein binding {GO:0042802}; protein phosphatase binding {GO:0019903}; RNA polymerase II cis-regulatory region sequence-specific DNA binding {GO:0000978}; sequence-specific DNA binding {GO:0043565}; sequence-specific double-stranded DNA binding {GO:1990837}</t>
  </si>
  <si>
    <t>sp|Q99J83|ATG5_MOUSE</t>
  </si>
  <si>
    <t>Autophagy protein 5</t>
  </si>
  <si>
    <t>APG5-like</t>
  </si>
  <si>
    <t>ATG5_MOUSE</t>
  </si>
  <si>
    <t>Q99J83</t>
  </si>
  <si>
    <t>Apg5l</t>
  </si>
  <si>
    <t>MGI:1277186</t>
  </si>
  <si>
    <t>Acetylation; Apoptosis; Autophagy; Cytoplasm; Immunity; Isopeptide bond; Membrane; Ubl conjugation</t>
  </si>
  <si>
    <t>Apoptosis; Autophagy; Immunity</t>
  </si>
  <si>
    <t>aggrephagy {GO:0035973}; antigen processing and presentation of endogenous antigen {GO:0019883}; apoptotic process {GO:0006915}; autophagosome assembly {GO:0000045}; autophagy {GO:0006914}; autophagy of mitochondrion {GO:0000422}; autophagy of nucleus {GO:0044804}; blood vessel remodeling {GO:0001974}; C-terminal protein lipidation {GO:0006501}; cardiac muscle cell apoptotic process {GO:0010659}; cellular response to nitrogen starvation {GO:0006995}; cellular response to nitrosative stress {GO:0071500}; cellular response to starvation {GO:0009267}; chaperone-mediated autophagy {GO:0061684}; establishment of localization in cell {GO:0051649}; heart contraction {GO:0060047}; macroautophagy {GO:0016236}; mucus secretion {GO:0070254}; negative regulation of apoptotic process {GO:0043066}; negative regulation of cardiac muscle cell apoptotic process {GO:0010667}; negative regulation of cell death {GO:0060548}; negative regulation of defense response to virus {GO:0050687}; negative regulation of histone H4-K16 acetylation {GO:2000619}; negative regulation of innate immune response {GO:0045824}; negative regulation of phagocytosis {GO:0050765}; negative regulation of protein ubiquitination {GO:0031397}; negative regulation of reactive oxygen species metabolic process {GO:2000378}; negative regulation of type I interferon production {GO:0032480}; negative stranded viral RNA replication {GO:0039689}; negative thymic T cell selection {GO:0045060}; otolith development {GO:0048840}; positive regulation of mucus secretion {GO:0070257}; positive regulation of viral translation {GO:1904973}; post-translational protein modification {GO:0043687}; protein lipidation {GO:0006497}; protein lipidation involved in autophagosome assembly {GO:0061739}; protein ubiquitination {GO:0016567}; regulation of autophagosome maturation {GO:1901096}; regulation of cilium assembly {GO:1902017}; regulation of cytokine production involved in immune response {GO:0002718}; regulation of reactive oxygen species metabolic process {GO:2000377}; regulation of release of sequestered calcium ion into cytosol {GO:0051279}; response to fluoride {GO:1902617}; response to fungus {GO:0009620}; response to iron(II) ion {GO:0010040}; response to xenobiotic stimulus {GO:0009410}; vasodilation {GO:0042311}; ventricular cardiac muscle cell development {GO:0055015}</t>
  </si>
  <si>
    <t>Atg12-Atg5-Atg16 complex {GO:0034274}; autophagosome {GO:0005776}; axon {GO:0030424}; axoneme {GO:0005930}; cytoplasm {GO:0005737}; cytosol {GO:0005829}; membrane {GO:0016020}; mitochondria-associated endoplasmic reticulum membrane {GO:0044233}; phagophore assembly site membrane {GO:0034045}; protein-containing complex {GO:0032991}; transferase complex {GO:1990234}</t>
  </si>
  <si>
    <t>sp|Q8BGT7|SPF30_MOUSE</t>
  </si>
  <si>
    <t>Survival of motor neuron-related-splicing factor 30</t>
  </si>
  <si>
    <t>30 kDa splicing factor SMNrp; SMN-related protein; Survival motor neuron domain-containing protein 1</t>
  </si>
  <si>
    <t>SPF30_MOUSE</t>
  </si>
  <si>
    <t>Q8BGT7</t>
  </si>
  <si>
    <t>Q4QQL0</t>
  </si>
  <si>
    <t>Smnr; Spf30</t>
  </si>
  <si>
    <t>MGI:1923729</t>
  </si>
  <si>
    <t>Acetylation; Apoptosis; mRNA processing; mRNA splicing; Nucleus; Phosphoprotein; Spliceosome</t>
  </si>
  <si>
    <t>apoptotic process {GO:0006915}; mRNA processing {GO:0006397}; RNA splicing {GO:0008380}</t>
  </si>
  <si>
    <t>Cajal body {GO:0015030}; cytoplasm {GO:0005737}; nuclear speck {GO:0016607}; nucleus {GO:0005634}; spliceosomal complex {GO:0005681}</t>
  </si>
  <si>
    <t>sp|Q9JI13|SAS10_MOUSE</t>
  </si>
  <si>
    <t>Something about silencing protein 10</t>
  </si>
  <si>
    <t>Charged amino acid-rich leucine zipper 1 (Crl-1); Disrupter of silencing SAS10; UTP3 homolog</t>
  </si>
  <si>
    <t>SAS10_MOUSE</t>
  </si>
  <si>
    <t>Q9JI13</t>
  </si>
  <si>
    <t>Q3UL95; Q8R5C6; Q9JJ12</t>
  </si>
  <si>
    <t>Crl1; Crlz1; Sas10</t>
  </si>
  <si>
    <t>MGI:1919230</t>
  </si>
  <si>
    <t>Acetylation; Alternative splicing; Chromatin regulator; Citrullination; Developmental protein; Isopeptide bond; Methylation; Nucleus; Phosphoprotein; Ubl conjugation</t>
  </si>
  <si>
    <t>Chromatin regulator; Developmental protein</t>
  </si>
  <si>
    <t>brain development {GO:0007420}; chromatin organization {GO:0006325}; maturation of SSU-rRNA from tricistronic rRNA transcript (SSU-rRNA, 5.8S rRNA, LSU-rRNA) {GO:0000462}</t>
  </si>
  <si>
    <t>nucleolus {GO:0005730}; nucleus {GO:0005634}; small-subunit processome {GO:0032040}</t>
  </si>
  <si>
    <t>sp|Q9CS42|PRPS2_MOUSE</t>
  </si>
  <si>
    <t>Ribose-phosphate pyrophosphokinase 2</t>
  </si>
  <si>
    <t>Phosphoribosyl pyrophosphate synthase II (PRS-II)</t>
  </si>
  <si>
    <t>PRPS2_MOUSE</t>
  </si>
  <si>
    <t>Q9CS42</t>
  </si>
  <si>
    <t>Q9CZA9</t>
  </si>
  <si>
    <t>MGI:97776</t>
  </si>
  <si>
    <t>5-phosphoribose 1-diphosphate biosynthetic process {GO:0006015}; AMP biosynthetic process {GO:0006167}; animal organ regeneration {GO:0031100}; nucleotide biosynthetic process {GO:0009165}; pentose-phosphate shunt {GO:0006098}; phosphorylation {GO:0016310}; purine nucleotide biosynthetic process {GO:0006164}; ribose phosphate metabolic process {GO:0019693}</t>
  </si>
  <si>
    <t>sp|Q9D845|TEX9_MOUSE</t>
  </si>
  <si>
    <t>Testis-expressed protein 9</t>
  </si>
  <si>
    <t>Testis-specifically expressed protein 1 (Tsec-1)</t>
  </si>
  <si>
    <t>TEX9_MOUSE</t>
  </si>
  <si>
    <t>Q9D845</t>
  </si>
  <si>
    <t>B2RUA2; O54764</t>
  </si>
  <si>
    <t>MGI:1201610</t>
  </si>
  <si>
    <t>sp|Q61292|LAMB2_MOUSE</t>
  </si>
  <si>
    <t>Laminin subunit beta-2</t>
  </si>
  <si>
    <t>Laminin-11 subunit beta; Laminin-14 subunit beta; Laminin-15 subunit beta; Laminin-3 subunit beta; Laminin-4 subunit beta; Laminin-7 subunit beta; Laminin-9 subunit beta; S-laminin subunit beta (S-LAM beta)</t>
  </si>
  <si>
    <t>LAMB2_MOUSE</t>
  </si>
  <si>
    <t>Q61292</t>
  </si>
  <si>
    <t>Q62182; Q8R0Y0</t>
  </si>
  <si>
    <t>Lams</t>
  </si>
  <si>
    <t>MGI:99916</t>
  </si>
  <si>
    <t>Basement membrane; Cell adhesion; Coiled coil; Disulfide bond; Extracellular matrix; Glycoprotein; Laminin EGF-like domain; Phosphoprotein; Repeat; Secreted; Signal</t>
  </si>
  <si>
    <t>animal organ morphogenesis {GO:0009887}; astrocyte development {GO:0014002}; axon extension involved in regeneration {GO:0048677}; axon guidance {GO:0007411}; basement membrane assembly {GO:0070831}; cell migration {GO:0016477}; cell morphogenesis involved in differentiation {GO:0000904}; metanephric glomerular basement membrane development {GO:0072274}; metanephric podocyte development {GO:0072249}; neuromuscular junction development {GO:0007528}; neuron projection development {GO:0031175}; positive regulation of cell adhesion {GO:0045785}; positive regulation of integrin-mediated signaling pathway {GO:2001046}; positive regulation of muscle cell differentiation {GO:0051149}; regulation of basement membrane organization {GO:0110011}; retina development in camera-type eye {GO:0060041}; Schwann cell development {GO:0014044}; substrate adhesion-dependent cell spreading {GO:0034446}; synapse organization {GO:0050808}; tissue development {GO:0009888}; visual perception {GO:0007601}</t>
  </si>
  <si>
    <t>basement membrane {GO:0005604}; collagen-containing extracellular matrix {GO:0062023}; extracellular region {GO:0005576}; laminin complex {GO:0043256}; laminin-3 complex {GO:0005608}; neuromuscular junction {GO:0031594}; protein complex involved in cell-matrix adhesion {GO:0098637}; synapse {GO:0045202}; synaptic cleft {GO:0043083}</t>
  </si>
  <si>
    <t>sp|Q8BWR2|PITH1_MOUSE</t>
  </si>
  <si>
    <t>PITH domain-containing protein 1</t>
  </si>
  <si>
    <t>PITH1_MOUSE</t>
  </si>
  <si>
    <t>Q8BWR2</t>
  </si>
  <si>
    <t>Q8BMZ1</t>
  </si>
  <si>
    <t>Trp26</t>
  </si>
  <si>
    <t>MGI:1913443</t>
  </si>
  <si>
    <t>Activator; Alternative splicing; Cytoplasm; Phosphoprotein; Transcription; Transcription regulation</t>
  </si>
  <si>
    <t>penetration of cumulus oophorus {GO:0061956}; penetration of zona pellucida {GO:0007341}; positive regulation of DNA-templated transcription {GO:0045893}; positive regulation of megakaryocyte differentiation {GO:0045654}; regulation of proteasomal protein catabolic process {GO:0061136}; spermatid development {GO:0007286}</t>
  </si>
  <si>
    <t>cytoplasm {GO:0005737}; nucleus {GO:0005634}; sperm cytoplasmic droplet {GO:0097598}</t>
  </si>
  <si>
    <t>sp|Q9CQ49|NCBP2_MOUSE</t>
  </si>
  <si>
    <t>Nuclear cap-binding protein subunit 2</t>
  </si>
  <si>
    <t>20 kDa nuclear cap-binding protein; NCBP 20 kDa subunit (CBP20)</t>
  </si>
  <si>
    <t>NCBP2_MOUSE</t>
  </si>
  <si>
    <t>Q9CQ49</t>
  </si>
  <si>
    <t>Q0VF93; Q3UI86</t>
  </si>
  <si>
    <t>Cbp20</t>
  </si>
  <si>
    <t>MGI:1915342</t>
  </si>
  <si>
    <t>Acetylation; Cytoplasm; Methylation; mRNA processing; mRNA splicing; mRNA transport; Nonsense-mediated mRNA decay; Nucleus; Phosphoprotein; RNA-binding; RNA-mediated gene silencing; Translation regulation; Transport</t>
  </si>
  <si>
    <t>Nonsense-mediated mRNA decay; RNA-mediated gene silencing; Translation regulation; Transport; mRNA processing; mRNA splicing; mRNA transport</t>
  </si>
  <si>
    <t>alternative mRNA splicing, via spliceosome {GO:0000380}; cap-dependent translational initiation {GO:0002191}; histone mRNA metabolic process {GO:0008334}; miRNA-mediated gene silencing {GO:0035195}; mRNA 3'-end processing {GO:0031124}; mRNA cis splicing, via spliceosome {GO:0045292}; mRNA splicing, via spliceosome {GO:0000398}; mRNA transport {GO:0051028}; nuclear-transcribed mRNA catabolic process, nonsense-mediated decay {GO:0000184}; positive regulation of phosphorylation of RNA polymerase II C-terminal domain {GO:1901409}; positive regulation of RNA export from nucleus {GO:0046833}; positive regulation of transcription elongation by RNA polymerase II {GO:0032968}; primary miRNA processing {GO:0031053}; regulation of translational initiation {GO:0006446}; RNA splicing {GO:0008380}; snRNA export from nucleus {GO:0006408}</t>
  </si>
  <si>
    <t>cytoplasm {GO:0005737}; mRNA cap binding complex {GO:0005845}; nuclear cap binding complex {GO:0005846}; nucleoplasm {GO:0005654}; nucleus {GO:0005634}; RNA cap binding complex {GO:0034518}</t>
  </si>
  <si>
    <t>mRNA binding {GO:0003729}; RNA 7-methylguanosine cap binding {GO:0000340}; RNA cap binding {GO:0000339}; snRNA binding {GO:0017069}</t>
  </si>
  <si>
    <t>sp|Q8R0S2|IQEC1_MOUSE</t>
  </si>
  <si>
    <t>IQ motif and SEC7 domain-containing protein 1</t>
  </si>
  <si>
    <t>IQEC1_MOUSE</t>
  </si>
  <si>
    <t>Q8R0S2</t>
  </si>
  <si>
    <t>Q3TZC3; Q5DU15</t>
  </si>
  <si>
    <t>Kiaa0763</t>
  </si>
  <si>
    <t>MGI:1196356</t>
  </si>
  <si>
    <t>Alternative splicing; Coiled coil; Cytoplasm; Cytoplasmic vesicle; Guanine-nucleotide releasing factor; Lipid-binding; Nucleus; Phosphoprotein; Synapse</t>
  </si>
  <si>
    <t>Cytoplasm; Cytoplasmic vesicle; Nucleus; Synapse</t>
  </si>
  <si>
    <t>actin cytoskeleton organization {GO:0030036}; dendritic spine development {GO:0060996}; positive regulation of focal adhesion disassembly {GO:0120183}; positive regulation of GTPase activity {GO:0043547}; positive regulation of keratinocyte migration {GO:0051549}; regulation of ARF protein signal transduction {GO:0032012}; regulation of postsynaptic neurotransmitter receptor internalization {GO:0099149}</t>
  </si>
  <si>
    <t>anchoring junction {GO:0070161}; glutamatergic synapse {GO:0098978}; intracellular membrane-bounded organelle {GO:0043231}; nucleolus {GO:0005730}; postsynaptic density, intracellular component {GO:0099092}; Schaffer collateral - CA1 synapse {GO:0098685}; synaptic vesicle {GO:0008021}</t>
  </si>
  <si>
    <t>guanyl-nucleotide exchange factor activity {GO:0005085}; lipid binding {GO:0008289}; protein kinase binding {GO:0019901}</t>
  </si>
  <si>
    <t>sp|Q9DCV4|RMD1_MOUSE</t>
  </si>
  <si>
    <t>Regulator of microtubule dynamics protein 1 (RMD-1; mRMD-1)</t>
  </si>
  <si>
    <t>Microtubule-associated protein; Protein FAM82B</t>
  </si>
  <si>
    <t>RMD1_MOUSE</t>
  </si>
  <si>
    <t>Q9DCV4</t>
  </si>
  <si>
    <t>A2AGJ3; A9UN01; Q8C0Y9; Q8R166; Q9CWS6</t>
  </si>
  <si>
    <t>Fam82b</t>
  </si>
  <si>
    <t>MGI:1913552</t>
  </si>
  <si>
    <t>Cytoplasm; Cytoskeleton; Microtubule; Repeat; TPR repeat</t>
  </si>
  <si>
    <t>cytoplasm {GO:0005737}; mitochondrion {GO:0005739}; mitotic spindle pole {GO:0097431}; spindle microtubule {GO:0005876}</t>
  </si>
  <si>
    <t>sp|Q9QY93|DCTP1_MOUSE</t>
  </si>
  <si>
    <t>dCTP pyrophosphatase 1</t>
  </si>
  <si>
    <t>Deoxycytidine-triphosphatase 1 (dCTPase 1); RS21-C6</t>
  </si>
  <si>
    <t>DCTP1_MOUSE</t>
  </si>
  <si>
    <t>Q9QY93</t>
  </si>
  <si>
    <t>MGI:1913672</t>
  </si>
  <si>
    <t>3D-structure; Acetylation; Cytoplasm; Hydrolase; Magnesium; Metal-binding; Nucleotide-binding; Phosphoprotein</t>
  </si>
  <si>
    <t>dCTP catabolic process {GO:0006253}; DNA protection {GO:0042262}; nucleoside triphosphate catabolic process {GO:0009143}</t>
  </si>
  <si>
    <t>dCTP diphosphatase activity {GO:0047840}; identical protein binding {GO:0042802}; magnesium ion binding {GO:0000287}; nucleoside triphosphate diphosphatase activity {GO:0047429}; pyrimidine deoxyribonucleotide binding {GO:0032556}; pyrophosphatase activity {GO:0016462}</t>
  </si>
  <si>
    <t>sp|P59913|PCMD1_MOUSE</t>
  </si>
  <si>
    <t>Protein-L-isoaspartate O-methyltransferase domain-containing protein 1</t>
  </si>
  <si>
    <t>PCMD1_MOUSE</t>
  </si>
  <si>
    <t>P59913</t>
  </si>
  <si>
    <t>MGI:2441773</t>
  </si>
  <si>
    <t>Cytoplasm; Lipoprotein; Membrane; Myristate</t>
  </si>
  <si>
    <t>protein-L-isoaspartate (D-aspartate) O-methyltransferase activity {GO:0004719}</t>
  </si>
  <si>
    <t>sp|Q923Z0|GPC5B_MOUSE</t>
  </si>
  <si>
    <t>G-protein coupled receptor family C group 5 member B</t>
  </si>
  <si>
    <t>Retinoic acid-induced gene 2 protein (RAIG-2)</t>
  </si>
  <si>
    <t>GPC5B_MOUSE</t>
  </si>
  <si>
    <t>Q923Z0</t>
  </si>
  <si>
    <t>Q8CCV3</t>
  </si>
  <si>
    <t>Raig2</t>
  </si>
  <si>
    <t>MGI:1927596</t>
  </si>
  <si>
    <t>Cell membrane; G-protein coupled receptor; Glycoprotein; Membrane; Phosphoprotein; Receptor; Signal; Transducer; Transmembrane; Transmembrane helix</t>
  </si>
  <si>
    <t>G-protein coupled receptor; Receptor; Transducer</t>
  </si>
  <si>
    <t>glucose homeostasis {GO:0042593}; I-kappaB kinase/NF-kappaB signaling {GO:0007249}; locomotory behavior {GO:0007626}; positive regulation of canonical Wnt signaling pathway {GO:0090263}; positive regulation of I-kappaB kinase/NF-kappaB signaling {GO:0043123}; positive regulation of inflammatory response {GO:0050729}; positive regulation of macrophage cytokine production {GO:0060907}; positive regulation of neuron differentiation {GO:0045666}; positive regulation of neuron projection development {GO:0010976}; positive regulation of protein kinase activity {GO:0045860}; positive regulation of protein phosphorylation {GO:0001934}; positive regulation of protein tyrosine kinase activity {GO:0061098}; protein phosphorylation {GO:0006468}</t>
  </si>
  <si>
    <t>cell surface {GO:0009986}; cytosol {GO:0005829}; extracellular exosome {GO:0070062}; integral component of membrane {GO:0016021}; intracellular membrane-bounded organelle {GO:0043231}; membrane raft {GO:0045121}; nucleolus {GO:0005730}; nucleoplasm {GO:0005654}; plasma membrane {GO:0005886}; receptor complex {GO:0043235}</t>
  </si>
  <si>
    <t>G protein-coupled receptor activity {GO:0004930}; protein kinase activator activity {GO:0030295}; protein kinase binding {GO:0019901}</t>
  </si>
  <si>
    <t>sp|O09159|MA2B1_MOUSE</t>
  </si>
  <si>
    <t>Lysosomal alpha-mannosidase (Laman)</t>
  </si>
  <si>
    <t>Lysosomal acid alpha-mannosidase; Mannosidase alpha class 2B member 1; Mannosidase alpha-B</t>
  </si>
  <si>
    <t>MA2B1_MOUSE</t>
  </si>
  <si>
    <t>O09159</t>
  </si>
  <si>
    <t>O55037; Q3UGH3; Q64443; Q9DBQ1</t>
  </si>
  <si>
    <t>Laman; Man2b; Manb</t>
  </si>
  <si>
    <t>MGI:107286</t>
  </si>
  <si>
    <t>Disulfide bond; Glycoprotein; Glycosidase; Hydrolase; Lysosome; Metal-binding; Signal; Zinc</t>
  </si>
  <si>
    <t>learning or memory {GO:0007611}; mannose metabolic process {GO:0006013}; oligosaccharide catabolic process {GO:0009313}; protein modification process {GO:0036211}</t>
  </si>
  <si>
    <t>extracellular space {GO:0005615}; intracellular membrane-bounded organelle {GO:0043231}; lysosomal lumen {GO:0043202}; lysosome {GO:0005764}; nucleoplasm {GO:0005654}</t>
  </si>
  <si>
    <t>alpha-mannosidase activity {GO:0004559}; mannose binding {GO:0005537}; metal ion binding {GO:0046872}</t>
  </si>
  <si>
    <t>Neutrophil degranulation {R-MMU-6798695}; Lysosomal oligosaccharide catabolism {R-MMU-8853383}</t>
  </si>
  <si>
    <t>sp|Q9CVD2|ATX3_MOUSE</t>
  </si>
  <si>
    <t>Ataxin-3</t>
  </si>
  <si>
    <t>Machado-Joseph disease protein 1 homolog</t>
  </si>
  <si>
    <t>ATX3_MOUSE</t>
  </si>
  <si>
    <t>Q9CVD2</t>
  </si>
  <si>
    <t>Mjd</t>
  </si>
  <si>
    <t>MGI:1099442</t>
  </si>
  <si>
    <t>Hydrolase; Isopeptide bond; Nucleus; Phosphoprotein; Protease; Repeat; Thiol protease; Transcription; Transcription regulation; Ubl conjugation; Ubl conjugation pathway</t>
  </si>
  <si>
    <t>actin cytoskeleton organization {GO:0030036}; cellular response to heat {GO:0034605}; cellular response to misfolded protein {GO:0071218}; exploration behavior {GO:0035640}; intermediate filament cytoskeleton organization {GO:0045104}; microtubule cytoskeleton organization {GO:0000226}; monoubiquitinated protein deubiquitination {GO:0035520}; positive regulation of ERAD pathway {GO:1904294}; proteasome-mediated ubiquitin-dependent protein catabolic process {GO:0043161}; protein deubiquitination {GO:0016579}; protein K48-linked deubiquitination {GO:0071108}; protein K63-linked deubiquitination {GO:0070536}; protein localization to cytosolic proteasome complex involved in ERAD pathway {GO:1904379}; protein quality control for misfolded or incompletely synthesized proteins {GO:0006515}; regulation of cell-substrate adhesion {GO:0010810}; ubiquitin-dependent protein catabolic process {GO:0006511}</t>
  </si>
  <si>
    <t>cytoplasm {GO:0005737}; cytosol {GO:0005829}; endoplasmic reticulum membrane {GO:0005789}; mitochondrial matrix {GO:0005759}; mitochondrial membrane {GO:0031966}; nuclear inclusion body {GO:0042405}; nucleolus {GO:0005730}; nucleoplasm {GO:0005654}; nucleus {GO:0005634}; plasma membrane {GO:0005886}</t>
  </si>
  <si>
    <t>ATPase binding {GO:0051117}; cysteine-type deubiquitinase activity {GO:0004843}; histone deacetylase activity {GO:0004407}; identical protein binding {GO:0042802}; Lys48-specific deubiquitinase activity {GO:1990380}; Lys63-specific deubiquitinase activity {GO:0061578}; RNA polymerase II transcription regulatory region sequence-specific DNA binding {GO:0000977}; ubiquitin protein ligase binding {GO:0031625}</t>
  </si>
  <si>
    <t>Josephin domain DUBs {R-MMU-5689877}; FOXO-mediated transcription of oxidative stress, metabolic and neuronal genes {R-MMU-9615017}</t>
  </si>
  <si>
    <t>sp|Q8K409|DPOLB_MOUSE</t>
  </si>
  <si>
    <t>sp|O35638|STAG2_MOUSE</t>
  </si>
  <si>
    <t>Cohesin subunit SA-2</t>
  </si>
  <si>
    <t>SCC3 homolog 2; Stromal antigen 2</t>
  </si>
  <si>
    <t>STAG2_MOUSE</t>
  </si>
  <si>
    <t>O35638</t>
  </si>
  <si>
    <t>A2AFF5; Q6NZN7</t>
  </si>
  <si>
    <t>Sa2; Sap2</t>
  </si>
  <si>
    <t>MGI:1098583</t>
  </si>
  <si>
    <t>Acetylation; Cell cycle; Cell division; Centromere; Chromosome; Chromosome partition; Meiosis; Mitosis; Nucleus; Phosphoprotein</t>
  </si>
  <si>
    <t>cell division {GO:0051301}; meiotic cell cycle {GO:0051321}; mitotic spindle assembly {GO:0090307}; sister chromatid cohesion {GO:0007062}; stem cell population maintenance {GO:0019827}</t>
  </si>
  <si>
    <t>chromatin {GO:0000785}; chromosome, centromeric region {GO:0000775}; cohesin complex {GO:0008278}; fibrillar center {GO:0001650}; mitotic spindle pole {GO:0097431}; nuclear matrix {GO:0016363}; nucleolus {GO:0005730}; nucleoplasm {GO:0005654}; nucleus {GO:0005634}</t>
  </si>
  <si>
    <t>sp|Q3UA06|PCH2_MOUSE</t>
  </si>
  <si>
    <t>Pachytene checkpoint protein 2 homolog</t>
  </si>
  <si>
    <t>Thyroid hormone receptor interactor 13; Thyroid receptor-interacting protein 13 (TR-interacting protein 13; TRIP-13)</t>
  </si>
  <si>
    <t>PCH2_MOUSE</t>
  </si>
  <si>
    <t>Q3UA06</t>
  </si>
  <si>
    <t>A0JNT8; Q05CL4; Q3UQG6; Q9CWW8</t>
  </si>
  <si>
    <t>Pch2</t>
  </si>
  <si>
    <t>MGI:1916966</t>
  </si>
  <si>
    <t>Acetylation; Alternative splicing; ATP-binding; Differentiation; Meiosis; Nucleotide-binding; Oogenesis; Spermatogenesis</t>
  </si>
  <si>
    <t>Differentiation; Meiosis; Oogenesis; Spermatogenesis</t>
  </si>
  <si>
    <t>double-strand break repair {GO:0006302}; female meiosis I {GO:0007144}; male meiosis I {GO:0007141}; meiotic recombination checkpoint signaling {GO:0051598}; mitotic spindle assembly checkpoint signaling {GO:0007094}; oocyte maturation {GO:0001556}; oogenesis {GO:0048477}; reciprocal meiotic recombination {GO:0007131}; spermatid development {GO:0007286}; spermatogenesis {GO:0007283}; synaptonemal complex assembly {GO:0007130}</t>
  </si>
  <si>
    <t>chromosome {GO:0005694}; male germ cell nucleus {GO:0001673}; nucleus {GO:0005634}</t>
  </si>
  <si>
    <t>sp|Q9D6S7|RRFM_MOUSE</t>
  </si>
  <si>
    <t>Ribosome-recycling factor, mitochondrial (RRF)</t>
  </si>
  <si>
    <t>Ribosome-releasing factor, mitochondrial</t>
  </si>
  <si>
    <t>RRFM_MOUSE</t>
  </si>
  <si>
    <t>Q9D6S7</t>
  </si>
  <si>
    <t>B1B055</t>
  </si>
  <si>
    <t>MGI:1915121</t>
  </si>
  <si>
    <t>3D-structure; Mitochondrion; Protein biosynthesis; Transit peptide</t>
  </si>
  <si>
    <t>ribosome disassembly {GO:0032790}; translation {GO:0006412}</t>
  </si>
  <si>
    <t>ribosomal large subunit binding {GO:0043023}</t>
  </si>
  <si>
    <t>Mitochondrial translation termination {R-MMU-5419276}</t>
  </si>
  <si>
    <t>sp|Q3UJU9|RMD3_MOUSE</t>
  </si>
  <si>
    <t>Regulator of microtubule dynamics protein 3 (RMD-3; mRMD-3)</t>
  </si>
  <si>
    <t>Protein FAM82A2; Protein FAM82C</t>
  </si>
  <si>
    <t>RMD3_MOUSE</t>
  </si>
  <si>
    <t>Q3UJU9</t>
  </si>
  <si>
    <t>A9UN03; Q3U5Y8; Q3UB61; Q6P8M2; Q7TNF2</t>
  </si>
  <si>
    <t>Fam82a2; Fam82c</t>
  </si>
  <si>
    <t>MGI:1915059</t>
  </si>
  <si>
    <t>Apoptosis; Coiled coil; Cytoplasm; Cytoskeleton; Differentiation; Membrane; Microtubule; Mitochondrion; Mitochondrion outer membrane; Nucleus; Phosphoprotein; Transmembrane; Transmembrane helix</t>
  </si>
  <si>
    <t>Apoptosis; Differentiation</t>
  </si>
  <si>
    <t>Cytoplasm; Cytoskeleton; Membrane; Microtubule; Mitochondrion; Mitochondrion outer membrane; Nucleus</t>
  </si>
  <si>
    <t>apoptotic process {GO:0006915}; cell differentiation {GO:0030154}; cellular calcium ion homeostasis {GO:0006874}</t>
  </si>
  <si>
    <t>cytoplasm {GO:0005737}; integral component of membrane {GO:0016021}; intercellular bridge {GO:0045171}; mitochondrial outer membrane {GO:0005741}; mitochondrion {GO:0005739}; mitotic spindle pole {GO:0097431}; nucleus {GO:0005634}; organelle membrane contact site {GO:0044232}; spindle microtubule {GO:0005876}</t>
  </si>
  <si>
    <t>sp|Q3UUJ4|STRAA_MOUSE</t>
  </si>
  <si>
    <t>STE20-related kinase adapter protein alpha (STRAD alpha)</t>
  </si>
  <si>
    <t>STE20-related adapter protein</t>
  </si>
  <si>
    <t>STRAA_MOUSE</t>
  </si>
  <si>
    <t>Q3UUJ4</t>
  </si>
  <si>
    <t>Q6VEU7; Q9D0G8</t>
  </si>
  <si>
    <t>Lyk5; Strad</t>
  </si>
  <si>
    <t>MGI:1919399</t>
  </si>
  <si>
    <t>Alternative splicing; Cell cycle; Cytoplasm; Nucleus; Phosphoprotein</t>
  </si>
  <si>
    <t>activation of protein kinase activity {GO:0032147}; G1 to G0 transition {GO:0070314}; protein export from nucleus {GO:0006611}; protein phosphorylation {GO:0006468}</t>
  </si>
  <si>
    <t>cytoplasm {GO:0005737}; cytosol {GO:0005829}; intracellular protein-containing complex {GO:0140535}; nucleoplasm {GO:0005654}; nucleus {GO:0005634}; protein-containing complex {GO:0032991}; serine/threonine protein kinase complex {GO:1902554}</t>
  </si>
  <si>
    <t>ATP binding {GO:0005524}; kinase binding {GO:0019900}; protein kinase activator activity {GO:0030295}; protein serine/threonine kinase activator activity {GO:0043539}; protein serine/threonine kinase activity {GO:0004674}; protein-containing complex binding {GO:0044877}</t>
  </si>
  <si>
    <t>Energy dependent regulation of mTOR by LKB1-AMPK {R-MMU-380972}</t>
  </si>
  <si>
    <t>sp|Q80U63|MFN2_MOUSE</t>
  </si>
  <si>
    <t>Mitofusin-2</t>
  </si>
  <si>
    <t>Hypertension-related protein 1; Mitochondrial assembly regulatory factor (HSG protein); Transmembrane GTPase MFN2</t>
  </si>
  <si>
    <t>MFN2_MOUSE</t>
  </si>
  <si>
    <t>Q80U63</t>
  </si>
  <si>
    <t>A2A7Y7; A8Y5E4; Q3V3B8; Q80WP4; Q80XK3; Q8BHF0; Q8BKV5; Q8R535; Q923X2</t>
  </si>
  <si>
    <t>Kiaa0214; Marf</t>
  </si>
  <si>
    <t>MGI:2442230</t>
  </si>
  <si>
    <t>Alternative splicing; Apoptosis; Autophagy; Coiled coil; Developmental protein; GTP-binding; Hydrolase; Membrane; Mitochondrion; Mitochondrion outer membrane; Nucleotide-binding; Phosphoprotein; Transmembrane; Transmembrane helix; Ubl conjugation; Unfolded protein response</t>
  </si>
  <si>
    <t>Apoptosis; Autophagy; Unfolded protein response</t>
  </si>
  <si>
    <t>Developmental protein; Hydrolase</t>
  </si>
  <si>
    <t>apoptotic process {GO:0006915}; blastocyst formation {GO:0001825}; camera-type eye morphogenesis {GO:0048593}; intracellular distribution of mitochondria {GO:0048312}; mitochondrial calcium ion homeostasis {GO:0051560}; mitochondrial fusion {GO:0008053}; mitochondrial membrane organization {GO:0007006}; mitochondrion localization {GO:0051646}; mitochondrion morphogenesis {GO:0070584}; mitochondrion organization {GO:0007005}; negative regulation of cardiac muscle cell apoptotic process {GO:0010667}; negative regulation of cell cycle {GO:0045786}; negative regulation of cell death {GO:0060548}; negative regulation of cell population proliferation {GO:0008285}; negative regulation of cell size {GO:0045792}; negative regulation of glial cell proliferation {GO:0060253}; negative regulation of mitochondrial fission {GO:0090258}; negative regulation of neuron death {GO:1901215}; negative regulation of Ras protein signal transduction {GO:0046580}; negative regulation of reactive oxygen species biosynthetic process {GO:1903427}; negative regulation of release of cytochrome c from mitochondria {GO:0090201}; negative regulation of sarcomere organization {GO:0060299}; negative regulation of smooth muscle cell proliferation {GO:0048662}; negative regulation of vascular associated smooth muscle cell proliferation {GO:1904706}; parkin-mediated stimulation of mitophagy in response to mitochondrial depolarization {GO:0061734}; positive regulation of cellular respiration {GO:1901857}; positive regulation of chromatin binding {GO:0035563}; positive regulation of cold-induced thermogenesis {GO:0120162}; positive regulation of dendritic spine morphogenesis {GO:0061003}; positive regulation of estradiol secretion {GO:2000866}; positive regulation of gene expression {GO:0010628}; positive regulation of glucose import {GO:0046326}; positive regulation of hydrogen peroxide biosynthetic process {GO:0010729}; positive regulation of insulin receptor signaling pathway {GO:0046628}; positive regulation of mitochondrial membrane potential {GO:0010918}; positive regulation of ovarian follicle development {GO:2000386}; positive regulation of progesterone secretion {GO:2000872}; positive regulation of reactive oxygen species biosynthetic process {GO:1903428}; positive regulation of vascular associated smooth muscle cell apoptotic process {GO:1905461}; positive regulation of vascular associated smooth muscle cell proliferation {GO:1904707}; protein localization to phagophore assembly site {GO:0034497}; protein targeting to mitochondrion {GO:0006626}; response to unfolded protein {GO:0006986}</t>
  </si>
  <si>
    <t>cytoplasm {GO:0005737}; cytosol {GO:0005829}; integral component of membrane {GO:0016021}; intrinsic component of mitochondrial outer membrane {GO:0031306}; microtubule cytoskeleton {GO:0015630}; mitochondrial outer membrane {GO:0005741}; mitochondrion {GO:0005739}</t>
  </si>
  <si>
    <t>GTP binding {GO:0005525}; GTPase activity {GO:0003924}; GTPase binding {GO:0051020}; identical protein binding {GO:0042802}; proteoglycan binding {GO:0043394}; small GTPase binding {GO:0031267}; ubiquitin protein ligase binding {GO:0031625}</t>
  </si>
  <si>
    <t>PINK1-PRKN Mediated Mitophagy {R-MMU-5205685}; RHOT2 GTPase cycle {R-MMU-9013419}; Factors involved in megakaryocyte development and platelet production {R-MMU-983231}</t>
  </si>
  <si>
    <t>sp|Q07646|MEST_MOUSE</t>
  </si>
  <si>
    <t>Mesoderm-specific transcript protein</t>
  </si>
  <si>
    <t>Paternally-expressed gene 1 protein</t>
  </si>
  <si>
    <t>MEST_MOUSE</t>
  </si>
  <si>
    <t>Q07646</t>
  </si>
  <si>
    <t>Q792T8; Q8BS88; Q8K463; Q99KT5</t>
  </si>
  <si>
    <t>Peg1</t>
  </si>
  <si>
    <t>MGI:96968</t>
  </si>
  <si>
    <t>Alternative splicing; Endoplasmic reticulum; Glycoprotein; Hydrolase; Membrane; Transmembrane; Transmembrane helix</t>
  </si>
  <si>
    <t>regulation of lipid storage {GO:0010883}; response to retinoic acid {GO:0032526}</t>
  </si>
  <si>
    <t>sp|Q9WUA6|AKT3_MOUSE</t>
  </si>
  <si>
    <t>RAC-gamma serine/threonine-protein kinase</t>
  </si>
  <si>
    <t>Protein kinase Akt-3; Protein kinase B gamma (PKB gamma); RAC-PK-gamma</t>
  </si>
  <si>
    <t>AKT3_MOUSE</t>
  </si>
  <si>
    <t>Q9WUA6</t>
  </si>
  <si>
    <t>MGI:1345147</t>
  </si>
  <si>
    <t>Acetylation; Alternative splicing; ATP-binding; Cytoplasm; Disulfide bond; Glycoprotein; Kinase; Membrane; Nucleotide-binding; Nucleus; Phosphoprotein; Serine/threonine-protein kinase; Transferase; Ubl conjugation</t>
  </si>
  <si>
    <t>brain morphogenesis {GO:0048854}; cellular response to insulin stimulus {GO:0032869}; homeostasis of number of cells within a tissue {GO:0048873}; intracellular signal transduction {GO:0035556}; mitochondrial genome maintenance {GO:0000002}; negative regulation of cellular senescence {GO:2000773}; peptidyl-serine phosphorylation {GO:0018105}; peptidyl-threonine phosphorylation {GO:0018107}; positive regulation of angiogenesis {GO:0045766}; positive regulation of artery morphogenesis {GO:1905653}; positive regulation of blood vessel endothelial cell migration {GO:0043536}; positive regulation of cell migration involved in sprouting angiogenesis {GO:0090050}; positive regulation of cell size {GO:0045793}; positive regulation of endothelial cell proliferation {GO:0001938}; positive regulation of sodium ion transport {GO:0010765}; positive regulation of TOR signaling {GO:0032008}; positive regulation of vascular endothelial cell proliferation {GO:1905564}; protein phosphorylation {GO:0006468}; signal transduction {GO:0007165}</t>
  </si>
  <si>
    <t>ATP binding {GO:0005524}; protein kinase activity {GO:0004672}; protein kinase C binding {GO:0005080}; protein serine kinase activity {GO:0106310}; protein serine/threonine kinase activity {GO:0004674}</t>
  </si>
  <si>
    <t>PIP3 activates AKT signaling {R-MMU-1257604}; Downregulation of ERBB2:ERBB3 signaling {R-MMU-1358803}; AKT phosphorylates targets in the cytosol {R-MMU-198323}; AKT phosphorylates targets in the nucleus {R-MMU-198693}; Negative regulation of the PI3K/AKT network {R-MMU-199418}; AKT-mediated inactivation of FOXO1A {R-MMU-211163}; CD28 dependent PI3K/Akt signaling {R-MMU-389357}; CTLA4 inhibitory signaling {R-MMU-389513}; G beta:gamma signalling through PI3Kgamma {R-MMU-392451}; VEGFR2 mediated vascular permeability {R-MMU-5218920}; TP53 Regulates Metabolic Genes {R-MMU-5628897}; Regulation of TP53 Degradation {R-MMU-6804757}; Regulation of TP53 Activity through Acetylation {R-MMU-6804758}; Regulation of TP53 Activity through Association with Co-factors {R-MMU-6804759}; Cyclin E associated events during G1/S transition {R-MMU-69202}; Cyclin A:Cdk2-associated events at S phase entry {R-MMU-69656}; RAB GEFs exchange GTP for GDP on RABs {R-MMU-8876198}; Regulation of PTEN stability and activity {R-MMU-8948751}; FLT3 Signaling {R-MMU-9607240}; Regulation of localization of FOXO transcription factors {R-MMU-9614399}; Estrogen-dependent nuclear events downstream of ESR-membrane signaling {R-MMU-9634638}; KEAP1-NFE2L2 pathway {R-MMU-9755511}</t>
  </si>
  <si>
    <t>sp|Q9CY73|RM44_MOUSE</t>
  </si>
  <si>
    <t>39S ribosomal protein L44, mitochondrial (L44mt; MRP-L44)</t>
  </si>
  <si>
    <t>RM44_MOUSE</t>
  </si>
  <si>
    <t>Q9CY73</t>
  </si>
  <si>
    <t>Q3U0J0; Q8VE61</t>
  </si>
  <si>
    <t>MGI:1916413</t>
  </si>
  <si>
    <t>Alternative splicing; Endonuclease; Hydrolase; Mitochondrion; Nuclease; Ribonucleoprotein; Ribosomal protein; RNA-binding; Transit peptide</t>
  </si>
  <si>
    <t>Endonuclease; Hydrolase; Nuclease; RNA-binding; Ribonucleoprotein; Ribosomal protein</t>
  </si>
  <si>
    <t>mitochondrial translation {GO:0032543}; mitochondrial translational elongation {GO:0070125}; rRNA processing {GO:0006364}</t>
  </si>
  <si>
    <t>mitochondrial inner membrane {GO:0005743}; mitochondrial large ribosomal subunit {GO:0005762}; mitochondrion {GO:0005739}; nuclear body {GO:0016604}; nucleoplasm {GO:0005654}; plasma membrane {GO:0005886}</t>
  </si>
  <si>
    <t>double-stranded RNA binding {GO:0003725}; ribonuclease III activity {GO:0004525}; structural constituent of ribosome {GO:0003735}</t>
  </si>
  <si>
    <t>sp|Q9CU65|ZMYM2_MOUSE</t>
  </si>
  <si>
    <t>Zinc finger MYM-type protein 2</t>
  </si>
  <si>
    <t>Zinc finger protein 198</t>
  </si>
  <si>
    <t>ZMYM2_MOUSE</t>
  </si>
  <si>
    <t>Q9CU65</t>
  </si>
  <si>
    <t>B2RUS2; Q3UUZ8; Q3UXK7; Q80XP0</t>
  </si>
  <si>
    <t>Zfp198; Znf198</t>
  </si>
  <si>
    <t>MGI:1923257</t>
  </si>
  <si>
    <t>Isopeptide bond; Metal-binding; Nucleus; Phosphoprotein; Repeat; Transcription; Transcription regulation; Ubl conjugation; Zinc; Zinc-finger</t>
  </si>
  <si>
    <t>negative regulation of DNA-templated transcription {GO:0045892}</t>
  </si>
  <si>
    <t>nucleus {GO:0005634}; PML body {GO:0016605}</t>
  </si>
  <si>
    <t>ubiquitin conjugating enzyme binding {GO:0031624}; zinc ion binding {GO:0008270}</t>
  </si>
  <si>
    <t>sp|Q91WE4|CR032_MOUSE</t>
  </si>
  <si>
    <t>UPF0729 protein C18orf32 homolog</t>
  </si>
  <si>
    <t>CR032_MOUSE</t>
  </si>
  <si>
    <t>Q91WE4</t>
  </si>
  <si>
    <t>Q3V3U8</t>
  </si>
  <si>
    <t>MGI:3039614</t>
  </si>
  <si>
    <t>sp|A2AJK6|CHD7_MOUSE</t>
  </si>
  <si>
    <t>Chromodomain-helicase-DNA-binding protein 7 (CHD-7)</t>
  </si>
  <si>
    <t>ATP-dependent helicase CHD7</t>
  </si>
  <si>
    <t>CHD7_MOUSE</t>
  </si>
  <si>
    <t>A2AJK6</t>
  </si>
  <si>
    <t>Q3TA86; Q3TAG7; Q3TBU4; Q8C986; Q8K244</t>
  </si>
  <si>
    <t>MGI:2444748</t>
  </si>
  <si>
    <t>Alternative splicing; ATP-binding; Chromatin regulator; Coiled coil; DNA-binding; Helicase; Hydrolase; Methylation; Nucleotide-binding; Nucleus; Phosphoprotein; Repeat; rRNA processing; Transcription; Transcription regulation</t>
  </si>
  <si>
    <t>Transcription; Transcription regulation; rRNA processing</t>
  </si>
  <si>
    <t>adult heart development {GO:0007512}; adult walking behavior {GO:0007628}; aorta development {GO:0035904}; aorta morphogenesis {GO:0035909}; artery morphogenesis {GO:0048844}; atrioventricular canal development {GO:0036302}; blood circulation {GO:0008015}; blood vessel development {GO:0001568}; blood vessel remodeling {GO:0001974}; camera-type eye development {GO:0043010}; cardiac septum morphogenesis {GO:0060411}; central nervous system development {GO:0007417}; chordate embryonic development {GO:0043009}; chromatin remodeling {GO:0006338}; cognition {GO:0050890}; cranial nerve development {GO:0021545}; ear morphogenesis {GO:0042471}; embryonic hindlimb morphogenesis {GO:0035116}; epithelium development {GO:0060429}; face development {GO:0060324}; female genitalia development {GO:0030540}; genitalia development {GO:0048806}; heart morphogenesis {GO:0003007}; in utero embryonic development {GO:0001701}; inner ear morphogenesis {GO:0042472}; innervation {GO:0060384}; limb development {GO:0060173}; locomotory behavior {GO:0007626}; nose development {GO:0043584}; olfactory behavior {GO:0042048}; olfactory bulb development {GO:0021772}; olfactory nerve development {GO:0021553}; positive regulation of multicellular organism growth {GO:0040018}; positive regulation of transcription by RNA polymerase II {GO:0045944}; regulation of gene expression {GO:0010468}; regulation of growth hormone secretion {GO:0060123}; regulation of neurogenesis {GO:0050767}; regulation of release of sequestered calcium ion into cytosol by sarcoplasmic reticulum {GO:0010880}; response to bacterium {GO:0009617}; retina development in camera-type eye {GO:0060041}; right ventricular compact myocardium morphogenesis {GO:0003226}; roof of mouth development {GO:0060021}; rRNA processing {GO:0006364}; secondary palate development {GO:0062009}; semicircular canal morphogenesis {GO:0048752}; sensory perception of sound {GO:0007605}; skeletal system development {GO:0001501}; T cell differentiation {GO:0030217}; tissue remodeling {GO:0048771}; transcription by RNA polymerase II {GO:0006366}; ventricular trabecula myocardium morphogenesis {GO:0003222}</t>
  </si>
  <si>
    <t>chromatin {GO:0000785}; nucleolus {GO:0005730}; nucleoplasm {GO:0005654}; nucleus {GO:0005634}</t>
  </si>
  <si>
    <t>ATP binding {GO:0005524}; ATP hydrolysis activity {GO:0016887}; ATP-dependent chromatin remodeler activity {GO:0140658}; chromatin binding {GO:0003682}; DNA binding {GO:0003677}; DNA helicase activity {GO:0003678}; histone binding {GO:0042393}; promoter-specific chromatin binding {GO:1990841}; RNA polymerase II cis-regulatory region sequence-specific DNA binding {GO:0000978}</t>
  </si>
  <si>
    <t>sp|Q9Z1N9|UN13B_MOUSE</t>
  </si>
  <si>
    <t>Protein unc-13 homolog B</t>
  </si>
  <si>
    <t>Munc13-2 (munc13)</t>
  </si>
  <si>
    <t>UN13B_MOUSE</t>
  </si>
  <si>
    <t>Q9Z1N9</t>
  </si>
  <si>
    <t>A2AG43; B2RXT0; B2RXY6; Q6BCX2</t>
  </si>
  <si>
    <t>Unc13a</t>
  </si>
  <si>
    <t>MGI:1342278</t>
  </si>
  <si>
    <t>Alternative splicing; Calcium; Coiled coil; Cytoplasm; Exocytosis; Golgi apparatus; Membrane; Metal-binding; Phosphoprotein; Repeat; Synapse; Zinc; Zinc-finger</t>
  </si>
  <si>
    <t>Cytoplasm; Golgi apparatus; Membrane; Synapse</t>
  </si>
  <si>
    <t>acrosomal vesicle exocytosis {GO:0060478}; cellular response to glucose stimulus {GO:0071333}; chemical synaptic transmission {GO:0007268}; dense core granule priming {GO:0061789}; innervation {GO:0060384}; negative regulation of synaptic plasticity {GO:0031914}; neuromuscular junction development {GO:0007528}; neuronal dense core vesicle exocytosis {GO:0099011}; phagosome maturation {GO:0090382}; positive regulation of apoptotic process {GO:0043065}; positive regulation of defense response to bacterium {GO:1900426}; positive regulation of exocytosis {GO:0045921}; positive regulation of inhibitory postsynaptic potential {GO:0097151}; positive regulation of protein secretion {GO:0050714}; positive regulation of synaptic vesicle priming {GO:0010808}; presynaptic dense core vesicle exocytosis {GO:0099525}; regulation of short-term neuronal synaptic plasticity {GO:0048172}; spontaneous neurotransmitter secretion {GO:0061669}; synaptic transmission, glutamatergic {GO:0035249}; synaptic vesicle docking {GO:0016081}; synaptic vesicle exocytosis {GO:0016079}; synaptic vesicle maturation {GO:0016188}; synaptic vesicle priming {GO:0016082}</t>
  </si>
  <si>
    <t>anchoring junction {GO:0070161}; calyx of Held {GO:0044305}; cytosol {GO:0005829}; early phagosome {GO:0032009}; glutamatergic synapse {GO:0098978}; Golgi apparatus {GO:0005794}; hippocampal mossy fiber to CA3 synapse {GO:0098686}; membrane {GO:0016020}; neuromuscular junction {GO:0031594}; plasma membrane {GO:0005886}; presynapse {GO:0098793}; presynaptic active zone {GO:0048786}; presynaptic active zone cytoplasmic component {GO:0098831}; presynaptic membrane {GO:0042734}; ribbon synapse {GO:0097470}; synaptic membrane {GO:0097060}; synaptic vesicle membrane {GO:0030672}; terminal bouton {GO:0043195}</t>
  </si>
  <si>
    <t>calcium ion binding {GO:0005509}; calmodulin binding {GO:0005516}; diacylglycerol binding {GO:0019992}; GTP-dependent protein binding {GO:0030742}; non-kinase phorbol ester receptor activity {GO:0001566}; phospholipid binding {GO:0005543}; syntaxin binding {GO:0019905}; syntaxin-1 binding {GO:0017075}</t>
  </si>
  <si>
    <t>Serotonin Neurotransmitter Release Cycle {R-MMU-181429}; Norepinephrine Neurotransmitter Release Cycle {R-MMU-181430}; Glutamate Neurotransmitter Release Cycle {R-MMU-210500}; Dopamine Neurotransmitter Release Cycle {R-MMU-212676}; Acetylcholine Neurotransmitter Release Cycle {R-MMU-264642}</t>
  </si>
  <si>
    <t>sp|Q5SUQ9|CTC1_MOUSE</t>
  </si>
  <si>
    <t>CST complex subunit CTC1</t>
  </si>
  <si>
    <t>Alpha-accessory factor of 132 kDa (AAF-132; AAF132); Conserved telomere maintenance component 1</t>
  </si>
  <si>
    <t>CTC1_MOUSE</t>
  </si>
  <si>
    <t>Q5SUQ9</t>
  </si>
  <si>
    <t>B2RW14; Q3UKQ1; Q6P9S2; Q8BRK2; Q91WN0; Q9CW32</t>
  </si>
  <si>
    <t>MGI:1916214</t>
  </si>
  <si>
    <t>Alternative splicing; Chromosome; DNA-binding; Nucleus; Telomere</t>
  </si>
  <si>
    <t>aging {GO:0007568}; bone marrow development {GO:0048539}; cellular response to DNA damage stimulus {GO:0006974}; chromosome organization {GO:0051276}; hematopoietic stem cell proliferation {GO:0071425}; multicellular organism growth {GO:0035264}; negative regulation of telomere maintenance via telomerase {GO:0032211}; positive regulation of DNA replication {GO:0045740}; positive regulation of fibroblast proliferation {GO:0048146}; regulation of G2/M transition of mitotic cell cycle {GO:0010389}; replicative senescence {GO:0090399}; spleen development {GO:0048536}; telomere maintenance {GO:0000723}; telomere maintenance via telomere lengthening {GO:0010833}; thymus development {GO:0048538}</t>
  </si>
  <si>
    <t>chromosome, telomeric region {GO:0000781}; CST complex {GO:1990879}; cytosol {GO:0005829}; nucleoplasm {GO:0005654}; nucleus {GO:0005634}</t>
  </si>
  <si>
    <t>G-rich strand telomeric DNA binding {GO:0098505}; single-stranded DNA binding {GO:0003697}; telomeric DNA binding {GO:0042162}</t>
  </si>
  <si>
    <t>sp|Q61830|MRC1_MOUSE</t>
  </si>
  <si>
    <t>Macrophage mannose receptor 1 (MMR)</t>
  </si>
  <si>
    <t>CD_antigen=CD206</t>
  </si>
  <si>
    <t>MRC1_MOUSE</t>
  </si>
  <si>
    <t>Q61830</t>
  </si>
  <si>
    <t>Q8C502</t>
  </si>
  <si>
    <t>MGI:97142</t>
  </si>
  <si>
    <t>3D-structure; Calcium; Cell membrane; Disulfide bond; Endocytosis; Endosome; Glycoprotein; Lectin; Membrane; Receptor; Repeat; Signal; Transmembrane; Transmembrane helix</t>
  </si>
  <si>
    <t>Calcium; Lectin</t>
  </si>
  <si>
    <t>cellular response to interferon-gamma {GO:0071346}; cellular response to interleukin-4 {GO:0071353}; cellular response to lipopolysaccharide {GO:0071222}; receptor-mediated endocytosis {GO:0006898}</t>
  </si>
  <si>
    <t>cell surface {GO:0009986}; endosome membrane {GO:0010008}; integral component of membrane {GO:0016021}; plasma membrane {GO:0005886}</t>
  </si>
  <si>
    <t>cargo receptor activity {GO:0038024}; mannose binding {GO:0005537}; signaling receptor activity {GO:0038023}; transmembrane signaling receptor activity {GO:0004888}</t>
  </si>
  <si>
    <t>Cross-presentation of soluble exogenous antigens (endosomes) {R-MMU-1236978}</t>
  </si>
  <si>
    <t>sp|P16627|HS71L_MOUSE</t>
  </si>
  <si>
    <t>Heat shock 70 kDa protein 1-like (Heat shock 70 kDa protein 1L)</t>
  </si>
  <si>
    <t>Heat shock 70 kDa-like protein 1; Spermatid-specific heat shock protein 70</t>
  </si>
  <si>
    <t>HS71L_MOUSE</t>
  </si>
  <si>
    <t>P16627</t>
  </si>
  <si>
    <t>O88686; Q61693</t>
  </si>
  <si>
    <t>Hsc70t</t>
  </si>
  <si>
    <t>MGI:96231</t>
  </si>
  <si>
    <t>ATP-binding; Developmental protein; Differentiation; Nucleotide-binding; Spermatogenesis; Stress response</t>
  </si>
  <si>
    <t>binding of sperm to zona pellucida {GO:0007339}; cell differentiation {GO:0030154}; cellular response to unfolded protein {GO:0034620}; chaperone cofactor-dependent protein refolding {GO:0051085}; positive regulation of protein targeting to mitochondrion {GO:1903955}; protein refolding {GO:0042026}; spermatogenesis {GO:0007283}; vesicle-mediated transport {GO:0016192}</t>
  </si>
  <si>
    <t>cell body {GO:0044297}; COP9 signalosome {GO:0008180}; cytoplasm {GO:0005737}; cytosol {GO:0005829}; mitochondrial matrix {GO:0005759}; nucleus {GO:0005634}; plasma membrane {GO:0005886}; zona pellucida receptor complex {GO:0002199}</t>
  </si>
  <si>
    <t>ATP binding {GO:0005524}; ATP hydrolysis activity {GO:0016887}; ATP-dependent protein folding chaperone {GO:0140662}; heat shock protein binding {GO:0031072}; misfolded protein binding {GO:0051787}; protein folding chaperone {GO:0044183}; ubiquitin protein ligase binding {GO:0031625}; unfolded protein binding {GO:0051082}</t>
  </si>
  <si>
    <t>Regulation of HSF1-mediated heat shock response {R-MMU-3371453}; HSP90 chaperone cycle for steroid hormone receptors (SHR) in the presence of ligand {R-MMU-3371497}; Attenuation phase {R-MMU-3371568}; HSF1-dependent transactivation {R-MMU-3371571}</t>
  </si>
  <si>
    <t>sp|O35405|PLD3_MOUSE</t>
  </si>
  <si>
    <t>5'-3' exonuclease PLD3</t>
  </si>
  <si>
    <t>Choline phosphatase 3; Phosphatidylcholine-hydrolyzing phospholipase D3; Phospholipase D3 (PLD 3); Schwannoma-associated protein 9 (SAM-9)</t>
  </si>
  <si>
    <t>PLD3_MOUSE</t>
  </si>
  <si>
    <t>O35405</t>
  </si>
  <si>
    <t>Q3U5M5</t>
  </si>
  <si>
    <t>Sam9</t>
  </si>
  <si>
    <t>MGI:1333782</t>
  </si>
  <si>
    <t>Endoplasmic reticulum; Endosome; Exonuclease; Glycoprotein; Golgi apparatus; Hydrolase; Immunity; Inflammatory response; Innate immunity; Lysosome; Membrane; Nuclease; Repeat; Signal-anchor; Transmembrane; Transmembrane helix; Ubl conjugation</t>
  </si>
  <si>
    <t>Endoplasmic reticulum; Endosome; Golgi apparatus; Lysosome; Membrane</t>
  </si>
  <si>
    <t>Glycoprotein; Ubl conjugation</t>
  </si>
  <si>
    <t>inflammatory response {GO:0006954}; innate immune response {GO:0045087}; myotube differentiation {GO:0014902}; regulation of cytokine production involved in inflammatory response {GO:1900015}</t>
  </si>
  <si>
    <t>early endosome membrane {GO:0031901}; endoplasmic reticulum membrane {GO:0005789}; Golgi membrane {GO:0000139}; integral component of membrane {GO:0016021}; late endosome membrane {GO:0031902}; lysosomal lumen {GO:0043202}; lysosomal membrane {GO:0005765}</t>
  </si>
  <si>
    <t>phospholipase D activity {GO:0004630}; single-stranded DNA 5'-3' exodeoxyribonuclease activity {GO:0045145}</t>
  </si>
  <si>
    <t>Role of phospholipids in phagocytosis {R-MMU-2029485}</t>
  </si>
  <si>
    <t>sp|P68181|KAPCB_MOUSE</t>
  </si>
  <si>
    <t>cAMP-dependent protein kinase catalytic subunit beta (PKA C-beta)</t>
  </si>
  <si>
    <t>KAPCB_MOUSE</t>
  </si>
  <si>
    <t>P68181</t>
  </si>
  <si>
    <t>P05206; Q3TQH5; Q3UDD0; Q3UTH5</t>
  </si>
  <si>
    <t>Pkacb</t>
  </si>
  <si>
    <t>MGI:97594</t>
  </si>
  <si>
    <t>Alternative splicing; ATP-binding; cAMP; Cell membrane; Cytoplasm; Kinase; Lipoprotein; Membrane; Myristate; Nucleotide-binding; Nucleus; Phosphoprotein; Serine/threonine-protein kinase; Transferase</t>
  </si>
  <si>
    <t>adenylate cyclase-modulating G protein-coupled receptor signaling pathway {GO:0007188}; negative regulation of meiotic cell cycle {GO:0051447}; negative regulation of smoothened signaling pathway involved in dorsal/ventral neural tube patterning {GO:1901621}; neural tube closure {GO:0001843}; protein kinase A signaling {GO:0010737}; protein phosphorylation {GO:0006468}; regulation of protein processing {GO:0070613}</t>
  </si>
  <si>
    <t>cAMP-dependent protein kinase complex {GO:0005952}; centrosome {GO:0005813}; ciliary base {GO:0097546}; cytoplasm {GO:0005737}; cytosol {GO:0005829}; nucleus {GO:0005634}; perinuclear region of cytoplasm {GO:0048471}; plasma membrane {GO:0005886}</t>
  </si>
  <si>
    <t>AMP-activated protein kinase activity {GO:0004679}; ATP binding {GO:0005524}; cAMP-dependent protein kinase activity {GO:0004691}; magnesium ion binding {GO:0000287}; protein serine kinase activity {GO:0106310}; protein serine/threonine kinase activity {GO:0004674}; ubiquitin protein ligase binding {GO:0031625}</t>
  </si>
  <si>
    <t>PKA activation {R-MMU-163615}; PKA activation in glucagon signalling {R-MMU-164378}; DARPP-32 events {R-MMU-180024}; Glucagon-like Peptide-1 (GLP1) regulates insulin secretion {R-MMU-381676}; Rap1 signalling {R-MMU-392517}; Regulation of insulin secretion {R-MMU-422356}; Vasopressin regulates renal water homeostasis via Aquaporins {R-MMU-432040}; VEGFA-VEGFR2 Pathway {R-MMU-4420097}; CREB1 phosphorylation through the activation of Adenylate Cyclase {R-MMU-442720}; GLI3 is processed to GLI3R by the proteasome {R-MMU-5610785}; Hedgehog 'off' state {R-MMU-5610787}; CD209 (DC-SIGN) signaling {R-MMU-5621575}; MAPK6/MAPK4 signaling {R-MMU-5687128}; RET signaling {R-MMU-8853659}; HDL assembly {R-MMU-8963896}; GPER1 signaling {R-MMU-9634597}; Factors involved in megakaryocyte development and platelet production {R-MMU-983231}</t>
  </si>
  <si>
    <t>sp|Q921C5|BICD2_MOUSE</t>
  </si>
  <si>
    <t>Protein bicaudal D homolog 2 (Bic-D 2)</t>
  </si>
  <si>
    <t>BICD2_MOUSE</t>
  </si>
  <si>
    <t>Q921C5</t>
  </si>
  <si>
    <t>Q80TU1; Q8BTE3; Q9DCL3</t>
  </si>
  <si>
    <t>Kiaa0699</t>
  </si>
  <si>
    <t>MGI:1924145</t>
  </si>
  <si>
    <t>Acetylation; Alternative splicing; Coiled coil; Cytoplasm; Cytoskeleton; Golgi apparatus; mRNA transport; Nuclear pore complex; Nucleus; Phosphoprotein; Protein transport; Translocation; Transport</t>
  </si>
  <si>
    <t>Cytoplasm; Cytoskeleton; Golgi apparatus; Nuclear pore complex; Nucleus</t>
  </si>
  <si>
    <t>centrosome localization {GO:0051642}; microtubule anchoring at microtubule organizing center {GO:0072393}; microtubule-based movement {GO:0007018}; minus-end-directed organelle transport along microtubule {GO:0072385}; mRNA transport {GO:0051028}; protein localization to Golgi apparatus {GO:0034067}; protein localization to organelle {GO:0033365}; protein transport {GO:0015031}; regulation of microtubule cytoskeleton organization {GO:0070507}; retrograde vesicle-mediated transport, Golgi to endoplasmic reticulum {GO:0006890}</t>
  </si>
  <si>
    <t>annulate lamellae {GO:0005642}; centrosome {GO:0005813}; cytoplasm {GO:0005737}; cytoplasmic vesicle {GO:0031410}; cytosol {GO:0005829}; Golgi apparatus {GO:0005794}; nuclear envelope {GO:0005635}; nuclear pore {GO:0005643}; plasma membrane {GO:0005886}</t>
  </si>
  <si>
    <t>cytoskeletal anchor activity {GO:0008093}; dynactin binding {GO:0034452}; dynein complex binding {GO:0070840}; dynein light intermediate chain binding {GO:0051959}; small GTPase binding {GO:0031267}</t>
  </si>
  <si>
    <t>sp|Q9CWY3|SETD6_MOUSE</t>
  </si>
  <si>
    <t>N-lysine methyltransferase SETD6</t>
  </si>
  <si>
    <t>SET domain-containing protein 6</t>
  </si>
  <si>
    <t>SETD6_MOUSE</t>
  </si>
  <si>
    <t>Q9CWY3</t>
  </si>
  <si>
    <t>B2RTA7; Q8C6I1</t>
  </si>
  <si>
    <t>MGI:1913333</t>
  </si>
  <si>
    <t>Methylation; Methyltransferase; Nucleus; Phosphoprotein; S-adenosyl-L-methionine; Transferase</t>
  </si>
  <si>
    <t>histone lysine methylation {GO:0034968}; negative regulation of NF-kappaB transcription factor activity {GO:0032088}; peptidyl-lysine monomethylation {GO:0018026}; regulation of inflammatory response {GO:0050727}; stem cell differentiation {GO:0048863}; stem cell population maintenance {GO:0019827}</t>
  </si>
  <si>
    <t>NF-kappaB binding {GO:0051059}; protein-lysine N-methyltransferase activity {GO:0016279}; S-adenosyl-L-methionine binding {GO:1904047}</t>
  </si>
  <si>
    <t>sp|Q8BVE8|NSD2_MOUSE</t>
  </si>
  <si>
    <t>Histone-lysine N-methyltransferase NSD2</t>
  </si>
  <si>
    <t>Multiple myeloma SET domain-containing protein (MMSET); Nuclear SET domain-containing protein 2; Wolf-Hirschhorn syndrome candidate 1 protein homolog</t>
  </si>
  <si>
    <t>NSD2_MOUSE</t>
  </si>
  <si>
    <t>Q8BVE8</t>
  </si>
  <si>
    <t>B3VCH6; Q6ZPY1; Q7TSF5; Q811F0</t>
  </si>
  <si>
    <t>Kiaa1090; Whsc1</t>
  </si>
  <si>
    <t>MGI:1276574</t>
  </si>
  <si>
    <t>Alternative splicing; Chromatin regulator; Chromosome; DNA-binding; Metal-binding; Methyltransferase; Nucleus; Phosphoprotein; Repeat; S-adenosyl-L-methionine; Transcription; Transcription regulation; Transferase; Zinc; Zinc-finger</t>
  </si>
  <si>
    <t>Chromatin regulator; DNA-binding; Methyltransferase; Transferase</t>
  </si>
  <si>
    <t>atrial septum primum morphogenesis {GO:0003289}; atrial septum secundum morphogenesis {GO:0003290}; bone development {GO:0060348}; chromatin organization {GO:0006325}; histone H3-K36 methylation {GO:0010452}; histone H4-K20 methylation {GO:0034770}; membranous septum morphogenesis {GO:0003149}; negative regulation of transcription by RNA polymerase II {GO:0000122}; positive regulation of isotype switching to IgA isotypes {GO:0048298}; regulation of DNA-templated transcription {GO:0006355}; regulation of double-strand break repair via nonhomologous end joining {GO:2001032}; regulation of establishment of protein localization {GO:0070201}</t>
  </si>
  <si>
    <t>chromatin binding {GO:0003682}; histone methyltransferase activity (H3-K36 specific) {GO:0046975}; histone-lysine N-methyltransferase activity {GO:0018024}; metal ion binding {GO:0046872}; sequence-specific DNA binding {GO:0043565}</t>
  </si>
  <si>
    <t>PKMTs methylate histone lysines {R-MMU-3214841}; Recruitment and ATM-mediated phosphorylation of repair and signaling proteins at DNA double strand breaks {R-MMU-5693565}; Nonhomologous End-Joining (NHEJ) {R-MMU-5693571}; Processing of DNA double-strand break ends {R-MMU-5693607}; G2/M DNA damage checkpoint {R-MMU-69473}</t>
  </si>
  <si>
    <t>sp|Q8K1E6|ALKB3_MOUSE</t>
  </si>
  <si>
    <t>Alpha-ketoglutarate-dependent dioxygenase alkB homolog 3</t>
  </si>
  <si>
    <t>Alkylated DNA repair protein alkB homolog 3 (mAbh3)</t>
  </si>
  <si>
    <t>ALKB3_MOUSE</t>
  </si>
  <si>
    <t>Q8K1E6</t>
  </si>
  <si>
    <t>MGI:1916363</t>
  </si>
  <si>
    <t>Cytoplasm; Dioxygenase; DNA damage; DNA repair; Hydroxylation; Iron; Metal-binding; Nucleus; Oxidation; Oxidoreductase; Ubl conjugation</t>
  </si>
  <si>
    <t>Hydroxylation; Oxidation; Ubl conjugation</t>
  </si>
  <si>
    <t>cell population proliferation {GO:0008283}; DNA dealkylation involved in DNA repair {GO:0006307}; DNA repair {GO:0006281}; oxidative single-stranded DNA demethylation {GO:0035552}; oxidative single-stranded RNA demethylation {GO:0035553}</t>
  </si>
  <si>
    <t>2-oxoglutarate-dependent dioxygenase activity {GO:0016706}; cytosine C-5 DNA demethylase activity {GO:0051747}; DNA-N1-methyladenine dioxygenase activity {GO:0043734}; ferrous iron binding {GO:0008198}; mRNA N1-methyladenosine dioxygenase activity {GO:1990930}; oxidative DNA demethylase activity {GO:0035516}; oxidative RNA demethylase activity {GO:0035515}</t>
  </si>
  <si>
    <t>sp|Q8VD04|GRAP1_MOUSE</t>
  </si>
  <si>
    <t>GRASP-1 C-terminal chain</t>
  </si>
  <si>
    <t>HCMV-interacting protein; 30kDa C-terminus form</t>
  </si>
  <si>
    <t>GRAP1_MOUSE</t>
  </si>
  <si>
    <t>Q8VD04</t>
  </si>
  <si>
    <t>A2AEW7; O35693; Q3T9C3; Q69ZP9</t>
  </si>
  <si>
    <t>DXImx47e; Kiaa1167</t>
  </si>
  <si>
    <t>MGI:1859616</t>
  </si>
  <si>
    <t>Acetylation; Cell projection; Coiled coil; Endosome; Membrane; Phosphoprotein; Protein transport; Synapse; Transport</t>
  </si>
  <si>
    <t>Cell projection; Endosome; Membrane; Synapse</t>
  </si>
  <si>
    <t>neurotransmitter receptor transport, endosome to postsynaptic membrane {GO:0098887}; regulation of modification of synaptic structure {GO:1905244}; regulation of neurotransmitter receptor transport, endosome to postsynaptic membrane {GO:0099152}; regulation of recycling endosome localization within postsynapse {GO:0099158}</t>
  </si>
  <si>
    <t>anchoring junction {GO:0070161}; axon {GO:0030424}; cytosol {GO:0005829}; dendrite {GO:0030425}; extrinsic component of postsynaptic early endosome membrane {GO:0098998}; glutamatergic synapse {GO:0098978}; intracellular membrane-bounded organelle {GO:0043231}; nucleoplasm {GO:0005654}; postsynaptic recycling endosome {GO:0098837}; recycling endosome membrane {GO:0055038}</t>
  </si>
  <si>
    <t>sp|Q9JM13|RABX5_MOUSE</t>
  </si>
  <si>
    <t>Rab5 GDP/GTP exchange factor</t>
  </si>
  <si>
    <t>Rabex-5</t>
  </si>
  <si>
    <t>RABX5_MOUSE</t>
  </si>
  <si>
    <t>Q9JM13</t>
  </si>
  <si>
    <t>Q3UIW0</t>
  </si>
  <si>
    <t>Rabex5</t>
  </si>
  <si>
    <t>MGI:1929459</t>
  </si>
  <si>
    <t>Acetylation; Coiled coil; Cytoplasm; Endocytosis; Endosome; Metal-binding; Phosphoprotein; Protein transport; Transport; Ubl conjugation; Ubl conjugation pathway; Zinc; Zinc-finger</t>
  </si>
  <si>
    <t>Endocytosis; Protein transport; Transport; Ubl conjugation pathway</t>
  </si>
  <si>
    <t>establishment of localization in cell {GO:0051649}; Kit signaling pathway {GO:0038109}; mast cell degranulation {GO:0043303}; mast cell migration {GO:0097531}; negative regulation of inflammatory response {GO:0050728}; negative regulation of interleukin-6 production {GO:0032715}; negative regulation of Kit signaling pathway {GO:1900235}; negative regulation of leukocyte migration {GO:0002686}; negative regulation of mast cell activation {GO:0033004}; negative regulation of mast cell cytokine production {GO:0032764}; negative regulation of mast cell degranulation {GO:0043305}; negative regulation of protein phosphorylation {GO:0001933}; negative regulation of Ras protein signal transduction {GO:0046580}; negative regulation of receptor-mediated endocytosis {GO:0048261}; protein phosphorylation {GO:0006468}; protein targeting to membrane {GO:0006612}; Ras protein signal transduction {GO:0007265}; receptor-mediated endocytosis {GO:0006898}; regulation of Fc receptor mediated stimulatory signaling pathway {GO:0060368}</t>
  </si>
  <si>
    <t>cytosol {GO:0005829}; early endosome {GO:0005769}; endocytic vesicle {GO:0030139}; nucleolus {GO:0005730}; recycling endosome {GO:0055037}; vesicle {GO:0031982}</t>
  </si>
  <si>
    <t>DNA binding {GO:0003677}; guanyl-nucleotide exchange factor activity {GO:0005085}; small GTPase binding {GO:0031267}; ubiquitin protein ligase activity {GO:0061630}; zinc ion binding {GO:0008270}</t>
  </si>
  <si>
    <t>sp|Q9D7I5|LHPP_MOUSE</t>
  </si>
  <si>
    <t>Phospholysine phosphohistidine inorganic pyrophosphate phosphatase</t>
  </si>
  <si>
    <t>LHPP_MOUSE</t>
  </si>
  <si>
    <t>Q9D7I5</t>
  </si>
  <si>
    <t>Q3USP1; Q6P070</t>
  </si>
  <si>
    <t>MGI:1923679</t>
  </si>
  <si>
    <t>Alternative splicing; Cytoplasm; Hydrolase; Magnesium; Metal-binding; Nucleus</t>
  </si>
  <si>
    <t>dephosphorylation {GO:0016311}; phosphate-containing compound metabolic process {GO:0006796}</t>
  </si>
  <si>
    <t>cytosol {GO:0005829}; nuclear speck {GO:0016607}; nucleus {GO:0005634}</t>
  </si>
  <si>
    <t>inorganic diphosphate phosphatase activity {GO:0004427}; metal ion binding {GO:0046872}; phosphatase activity {GO:0016791}; protein homodimerization activity {GO:0042803}</t>
  </si>
  <si>
    <t>Pyrophosphate hydrolysis {R-MMU-71737}</t>
  </si>
  <si>
    <t>sp|Q3TIU4|PDE12_MOUSE</t>
  </si>
  <si>
    <t>2',5'-phosphodiesterase 12 (2'-PDE; 2-PDE)</t>
  </si>
  <si>
    <t>Mitochondrial deadenylase</t>
  </si>
  <si>
    <t>PDE12_MOUSE</t>
  </si>
  <si>
    <t>Q3TIU4</t>
  </si>
  <si>
    <t>Q3TTY4; Q6P2L5; Q8BKH8; Q8BTS8; Q8BUQ5</t>
  </si>
  <si>
    <t>MGI:2443226</t>
  </si>
  <si>
    <t>Exonuclease; Hydrolase; Magnesium; Metal-binding; Mitochondrion; mRNA processing; Nuclease; Phosphoprotein; Transit peptide</t>
  </si>
  <si>
    <t>cellular response to dsRNA {GO:0071359}; cellular response to interferon-alpha {GO:0035457}; cellular response to interferon-gamma {GO:0071346}; mitochondrial mRNA catabolic process {GO:0000958}; mRNA processing {GO:0006397}; negative regulation of cell death {GO:0060548}; negative regulation of oxidative phosphorylation {GO:0090324}; nuclear-transcribed mRNA catabolic process, deadenylation-dependent decay {GO:0000288}; nucleic acid phosphodiester bond hydrolysis {GO:0090305}; positive regulation of viral genome replication {GO:0045070}; regulation of mitochondrial mRNA stability {GO:0044528}; RNA phosphodiester bond hydrolysis, exonucleolytic {GO:0090503}</t>
  </si>
  <si>
    <t>3'-5'-exoribonuclease activity {GO:0000175}; exonuclease activity {GO:0004527}; metal ion binding {GO:0046872}; poly(A)-specific ribonuclease activity {GO:0004535}</t>
  </si>
  <si>
    <t>OAS antiviral response {R-MMU-8983711}</t>
  </si>
  <si>
    <t>sp|Q6PGF7|EXOC8_MOUSE</t>
  </si>
  <si>
    <t>Exocyst complex component 8</t>
  </si>
  <si>
    <t>Exocyst complex 84 kDa subunit</t>
  </si>
  <si>
    <t>EXOC8_MOUSE</t>
  </si>
  <si>
    <t>Q6PGF7</t>
  </si>
  <si>
    <t>MGI:2142527</t>
  </si>
  <si>
    <t>Cell projection; Cytoplasm; Exocytosis; Phosphoprotein; Protein transport; Transport</t>
  </si>
  <si>
    <t>endosome organization {GO:0007032}; exocytosis {GO:0006887}; extracellular matrix disassembly {GO:0022617}; Golgi to plasma membrane transport {GO:0006893}; membrane fission {GO:0090148}; mitotic cytokinesis {GO:0000281}; protein localization {GO:0008104}; protein transport {GO:0015031}; vesicle docking involved in exocytosis {GO:0006904}; vesicle tethering involved in exocytosis {GO:0090522}</t>
  </si>
  <si>
    <t>cell leading edge {GO:0031252}; exocyst {GO:0000145}; growth cone {GO:0030426}; late endosome {GO:0005770}; perinuclear region of cytoplasm {GO:0048471}; plasma membrane {GO:0005886}</t>
  </si>
  <si>
    <t>phosphatidylinositol binding {GO:0035091}; small GTPase binding {GO:0031267}</t>
  </si>
  <si>
    <t>sp|P47740|AL3A2_MOUSE</t>
  </si>
  <si>
    <t>Aldehyde dehydrogenase family 3 member A2</t>
  </si>
  <si>
    <t>Aldehyde dehydrogenase 3; Fatty aldehyde dehydrogenase</t>
  </si>
  <si>
    <t>AL3A2_MOUSE</t>
  </si>
  <si>
    <t>P47740</t>
  </si>
  <si>
    <t>Q99L64</t>
  </si>
  <si>
    <t>Ahd-3; Ahd3; Aldh3; Aldh4</t>
  </si>
  <si>
    <t>MGI:1353452</t>
  </si>
  <si>
    <t>Endoplasmic reticulum; Fatty acid metabolism; Lipid metabolism; Membrane; Microsome; NAD; Oxidoreductase; Phosphoprotein; Transmembrane; Transmembrane helix</t>
  </si>
  <si>
    <t>cellular aldehyde metabolic process {GO:0006081}; central nervous system development {GO:0007417}; epidermis development {GO:0008544}; fatty acid metabolic process {GO:0006631}; formaldehyde metabolic process {GO:0046292}; hexadecanal metabolic process {GO:0046458}; peripheral nervous system development {GO:0007422}; phytol metabolic process {GO:0033306}; response to reactive oxygen species {GO:0000302}; sesquiterpenoid metabolic process {GO:0006714}</t>
  </si>
  <si>
    <t>cytoplasm {GO:0005737}; cytosol {GO:0005829}; endoplasmic reticulum {GO:0005783}; extrinsic component of endoplasmic reticulum membrane {GO:0042406}; integral component of membrane {GO:0016021}; intracellular membrane-bounded organelle {GO:0043231}; mitochondrial inner membrane {GO:0005743}; mitochondrion {GO:0005739}; nucleus {GO:0005634}; peroxisome {GO:0005777}</t>
  </si>
  <si>
    <t>3-chloroallyl aldehyde dehydrogenase activity {GO:0004028}; aldehyde dehydrogenase (NAD+) activity {GO:0004029}; glyceraldehyde-3-phosphate dehydrogenase (NAD+) (non-phosphorylating) activity {GO:0043878}; long-chain-alcohol oxidase activity {GO:0046577}; long-chain-aldehyde dehydrogenase activity {GO:0050061}; medium-chain-aldehyde dehydrogenase activity {GO:0052814}; protein homodimerization activity {GO:0042803}</t>
  </si>
  <si>
    <t>Sphingolipid de novo biosynthesis {R-MMU-1660661}; Alpha-oxidation of phytanate {R-MMU-389599}; Class I peroxisomal membrane protein import {R-MMU-9603798}; Insertion of tail-anchored proteins into the endoplasmic reticulum membrane {R-MMU-9609523}; RND2 GTPase cycle {R-MMU-9696270}; RND1 GTPase cycle {R-MMU-9696273}</t>
  </si>
  <si>
    <t>sp|Q8C754|VPS52_MOUSE</t>
  </si>
  <si>
    <t>Vacuolar protein sorting-associated protein 52 homolog</t>
  </si>
  <si>
    <t>VPS52_MOUSE</t>
  </si>
  <si>
    <t>Q8C754</t>
  </si>
  <si>
    <t>Q6P4N7; Q8BQ15; Q9QWT6; Q9QWV2</t>
  </si>
  <si>
    <t>MGI:1330304</t>
  </si>
  <si>
    <t>ectodermal cell differentiation {GO:0010668}; embryonic ectodermal digestive tract development {GO:0048611}; endocytic recycling {GO:0032456}; Golgi to vacuole transport {GO:0006896}; lysosomal transport {GO:0007041}; protein transport {GO:0015031}; retrograde transport, endosome to Golgi {GO:0042147}</t>
  </si>
  <si>
    <t>cytosol {GO:0005829}; EARP complex {GO:1990745}; endosome membrane {GO:0010008}; GARP complex {GO:0000938}; Golgi apparatus {GO:0005794}; membrane {GO:0016020}; perinuclear region of cytoplasm {GO:0048471}; recycling endosome {GO:0055037}</t>
  </si>
  <si>
    <t>sp|Q91VU7|PUS7_MOUSE</t>
  </si>
  <si>
    <t>Pseudouridylate synthase 7 homolog</t>
  </si>
  <si>
    <t>PUS7_MOUSE</t>
  </si>
  <si>
    <t>Q91VU7</t>
  </si>
  <si>
    <t>B7ZNL8; F7AC41; Q3TUC7; Q3UQN6; Q69Z76</t>
  </si>
  <si>
    <t>MGI:1925947</t>
  </si>
  <si>
    <t>Alternative splicing; Isomerase; mRNA processing; mRNA splicing; Nucleus; Phosphoprotein; tRNA processing</t>
  </si>
  <si>
    <t>mRNA processing; mRNA splicing; tRNA processing</t>
  </si>
  <si>
    <t>mRNA processing {GO:0006397}; mRNA pseudouridine synthesis {GO:1990481}; negative regulation of translation {GO:0017148}; pseudouridine synthesis {GO:0001522}; regulation of hematopoietic stem cell differentiation {GO:1902036}; regulation of mesoderm development {GO:2000380}; RNA splicing {GO:0008380}; tRNA pseudouridine synthesis {GO:0031119}</t>
  </si>
  <si>
    <t>enzyme binding {GO:0019899}; pseudouridine synthase activity {GO:0009982}; RNA binding {GO:0003723}</t>
  </si>
  <si>
    <t>sp|Q8QZV7|INT13_MOUSE</t>
  </si>
  <si>
    <t>Integrator complex subunit 13</t>
  </si>
  <si>
    <t>Cell cycle regulator Mat89Bb homolog; Protein asunder homolog; Spermatogenesis-associated protein 30</t>
  </si>
  <si>
    <t>INT13_MOUSE</t>
  </si>
  <si>
    <t>Q8QZV7</t>
  </si>
  <si>
    <t>E9QLV7; Q99JT8</t>
  </si>
  <si>
    <t>Asun; Spata30</t>
  </si>
  <si>
    <t>MGI:1918427</t>
  </si>
  <si>
    <t>Cell cycle; Cell division; Cytoplasm; Isopeptide bond; Mitosis; Nucleus; Phosphoprotein; Ubl conjugation</t>
  </si>
  <si>
    <t>cell division {GO:0051301}; centrosome localization {GO:0051642}; flagellated sperm motility {GO:0030317}; mitotic spindle organization {GO:0007052}; protein localization to nuclear envelope {GO:0090435}; regulation of fertilization {GO:0080154}; regulation of mitotic cell cycle {GO:0007346}</t>
  </si>
  <si>
    <t>cytoplasm {GO:0005737}; integrator complex {GO:0032039}; intracellular membrane-bounded organelle {GO:0043231}; nuclear body {GO:0016604}; nucleoplasm {GO:0005654}; nucleus {GO:0005634}</t>
  </si>
  <si>
    <t>sp|Q501J2|ANKMT_MOUSE</t>
  </si>
  <si>
    <t>Adenine nucleotide translocase lysine N-methyltransferase (ANT-KMT)</t>
  </si>
  <si>
    <t>ANKMT_MOUSE</t>
  </si>
  <si>
    <t>Q501J2</t>
  </si>
  <si>
    <t>MGI:2384888</t>
  </si>
  <si>
    <t>Membrane; Methyltransferase; Mitochondrion; S-adenosyl-L-methionine; Transferase; Transmembrane; Transmembrane helix</t>
  </si>
  <si>
    <t>peptidyl-lysine trimethylation {GO:0018023}; positive regulation of proton-transporting ATP synthase activity, rotational mechanism {GO:1905273}; regulation of mitochondrial ATP synthesis coupled proton transport {GO:1905706}</t>
  </si>
  <si>
    <t>protein-lysine N-methyltransferase activity {GO:0016279}</t>
  </si>
  <si>
    <t>sp|Q5SSL4|ABR_MOUSE</t>
  </si>
  <si>
    <t>Active breakpoint cluster region-related protein</t>
  </si>
  <si>
    <t>ABR_MOUSE</t>
  </si>
  <si>
    <t>Q5SSL4</t>
  </si>
  <si>
    <t>Q3U5G0; Q3UQJ6; Q3UY38; Q5SYJ5; Q5SYJ7; Q5SYJ8; Q5SYJ9; Q6PCY1; Q6PDH3</t>
  </si>
  <si>
    <t>MGI:107771</t>
  </si>
  <si>
    <t>Alternative splicing; Cell projection; GTPase activation; Guanine-nucleotide releasing factor; Phosphoprotein; Synapse</t>
  </si>
  <si>
    <t>actin cytoskeleton organization {GO:0030036}; activation of GTPase activity {GO:0090630}; brain development {GO:0007420}; cell migration {GO:0016477}; establishment of localization in cell {GO:0051649}; inner ear morphogenesis {GO:0042472}; intracellular signal transduction {GO:0035556}; macrophage migration {GO:1905517}; modulation of chemical synaptic transmission {GO:0050804}; negative regulation of blood vessel remodeling {GO:0060313}; negative regulation of cellular extravasation {GO:0002692}; negative regulation of inflammatory response {GO:0050728}; negative regulation of macrophage migration {GO:1905522}; negative regulation of neutrophil degranulation {GO:0043314}; neuromuscular process controlling balance {GO:0050885}; neutrophil degranulation {GO:0043312}; phagocytosis {GO:0006909}; positive regulation of phagocytosis {GO:0050766}; regulation of vascular permeability {GO:0043114}; response to lipopolysaccharide {GO:0032496}</t>
  </si>
  <si>
    <t>anchoring junction {GO:0070161}; axon {GO:0030424}; cytosol {GO:0005829}; dendritic spine {GO:0043197}; glutamatergic synapse {GO:0098978}; membrane {GO:0016020}; plasma membrane {GO:0005886}; postsynaptic density, intracellular component {GO:0099092}; Schaffer collateral - CA1 synapse {GO:0098685}</t>
  </si>
  <si>
    <t>GTPase activator activity {GO:0005096}; guanyl-nucleotide exchange factor activity {GO:0005085}</t>
  </si>
  <si>
    <t>NRAGE signals death through JNK {R-MMU-193648}; G alpha (12/13) signalling events {R-MMU-416482}; RHOA GTPase cycle {R-MMU-8980692}; RHOB GTPase cycle {R-MMU-9013026}; RHOC GTPase cycle {R-MMU-9013106}; CDC42 GTPase cycle {R-MMU-9013148}; RAC1 GTPase cycle {R-MMU-9013149}; RAC2 GTPase cycle {R-MMU-9013404}; RAC3 GTPase cycle {R-MMU-9013423}</t>
  </si>
  <si>
    <t>sp|Q3U821|WDR75_MOUSE</t>
  </si>
  <si>
    <t>WD repeat-containing protein 75</t>
  </si>
  <si>
    <t>U3 small nucleolar RNA-associated protein 17 homolog</t>
  </si>
  <si>
    <t>WDR75_MOUSE</t>
  </si>
  <si>
    <t>Q3U821</t>
  </si>
  <si>
    <t>Q08EC1</t>
  </si>
  <si>
    <t>Utp17</t>
  </si>
  <si>
    <t>MGI:1920924</t>
  </si>
  <si>
    <t>Isopeptide bond; Nucleus; Phosphoprotein; Repeat; Ribosome biogenesis; rRNA processing; Transcription; Transcription regulation; Ubl conjugation; WD repeat</t>
  </si>
  <si>
    <t>Ribosome biogenesis; Transcription; Transcription regulation; rRNA processing</t>
  </si>
  <si>
    <t>positive regulation of rRNA processing {GO:2000234}; positive regulation of transcription by RNA polymerase I {GO:0045943}; rRNA processing {GO:0006364}</t>
  </si>
  <si>
    <t>sp|Q8BIJ7|RUFY1_MOUSE</t>
  </si>
  <si>
    <t>RUN and FYVE domain-containing protein 1</t>
  </si>
  <si>
    <t>Rab4-interacting protein</t>
  </si>
  <si>
    <t>RUFY1_MOUSE</t>
  </si>
  <si>
    <t>Q8BIJ7</t>
  </si>
  <si>
    <t>Q8BKQ4; Q8BL21; Q9EPM6</t>
  </si>
  <si>
    <t>Rabip4</t>
  </si>
  <si>
    <t>MGI:2429762</t>
  </si>
  <si>
    <t>Coiled coil; Cytoplasm; Endocytosis; Endosome; Lipid-binding; Membrane; Metal-binding; Phosphoprotein; Protein transport; Transport; Zinc; Zinc-finger</t>
  </si>
  <si>
    <t>Lipid-binding; Metal-binding; Zinc</t>
  </si>
  <si>
    <t>endocytosis {GO:0006897}; protein transport {GO:0015031}; regulation of endocytosis {GO:0030100}; small GTPase mediated signal transduction {GO:0007264}</t>
  </si>
  <si>
    <t>cytoplasm {GO:0005737}; early endosome membrane {GO:0031901}; endosome {GO:0005768}; intracellular membrane-bounded organelle {GO:0043231}; nuclear speck {GO:0016607}</t>
  </si>
  <si>
    <t>identical protein binding {GO:0042802}; lipid binding {GO:0008289}; metal ion binding {GO:0046872}; SH2 domain binding {GO:0042169}; SH3 domain binding {GO:0017124}</t>
  </si>
  <si>
    <t>sp|Q9R099|TBL2_MOUSE</t>
  </si>
  <si>
    <t>Transducin beta-like protein 2</t>
  </si>
  <si>
    <t>TBL2_MOUSE</t>
  </si>
  <si>
    <t>Q9R099</t>
  </si>
  <si>
    <t>Q8CFY0</t>
  </si>
  <si>
    <t>MGI:1351652</t>
  </si>
  <si>
    <t>Isopeptide bond; Phosphoprotein; Repeat; Ubl conjugation; WD repeat</t>
  </si>
  <si>
    <t>cellular response to glucose starvation {GO:0042149}; cellular response to hypoxia {GO:0071456}; endoplasmic reticulum unfolded protein response {GO:0030968}</t>
  </si>
  <si>
    <t>phosphoprotein binding {GO:0051219}; protein kinase binding {GO:0019901}; translation initiation factor binding {GO:0031369}</t>
  </si>
  <si>
    <t>sp|Q9CQE2|TM223_MOUSE</t>
  </si>
  <si>
    <t>Transmembrane protein 223</t>
  </si>
  <si>
    <t>TM223_MOUSE</t>
  </si>
  <si>
    <t>Q9CQE2</t>
  </si>
  <si>
    <t>MGI:1914086</t>
  </si>
  <si>
    <t>mitochondrial cytochrome c oxidase assembly {GO:0033617}; nervous system development {GO:0007399}</t>
  </si>
  <si>
    <t>integral component of mitochondrial inner membrane {GO:0031305}; mitochondrion {GO:0005739}</t>
  </si>
  <si>
    <t>mitochondrial ribosome binding {GO:0097177}</t>
  </si>
  <si>
    <t>sp|P59672|ANS1A_MOUSE</t>
  </si>
  <si>
    <t>Ankyrin repeat and SAM domain-containing protein 1A</t>
  </si>
  <si>
    <t>Odin</t>
  </si>
  <si>
    <t>ANS1A_MOUSE</t>
  </si>
  <si>
    <t>P59672</t>
  </si>
  <si>
    <t>Q6ZQG0</t>
  </si>
  <si>
    <t>Anks1; Kiaa0229; Odin</t>
  </si>
  <si>
    <t>MGI:2446180</t>
  </si>
  <si>
    <t>3D-structure; Acetylation; Alternative splicing; ANK repeat; Cell projection; Cytoplasm; Phosphoprotein; Repeat</t>
  </si>
  <si>
    <t>ephrin receptor signaling pathway {GO:0048013}; negative regulation of ubiquitin-dependent protein catabolic process {GO:2000059}; neuron remodeling {GO:0016322}; regulation of ephrin receptor signaling pathway {GO:1901187}; substrate-dependent cell migration {GO:0006929}</t>
  </si>
  <si>
    <t>cytosol {GO:0005829}; neuron projection {GO:0043005}; nucleoplasm {GO:0005654}</t>
  </si>
  <si>
    <t>ephrin receptor binding {GO:0046875}</t>
  </si>
  <si>
    <t>sp|Q99LH1|NOG2_MOUSE</t>
  </si>
  <si>
    <t>Nucleolar GTP-binding protein 2</t>
  </si>
  <si>
    <t>NOG2_MOUSE</t>
  </si>
  <si>
    <t>Q99LH1</t>
  </si>
  <si>
    <t>B1ASC3; Q8BIF8</t>
  </si>
  <si>
    <t>MGI:2385207</t>
  </si>
  <si>
    <t>Acetylation; GTP-binding; Nucleotide-binding; Nucleus; Phosphoprotein; Ribosome biogenesis</t>
  </si>
  <si>
    <t>sp|Q920L1|FADS1_MOUSE</t>
  </si>
  <si>
    <t>Acyl-CoA (8-3)-desaturase</t>
  </si>
  <si>
    <t>Delta(5) fatty acid desaturase (D5D; Delta(5) desaturase; Delta-5 desaturase); Fatty acid desaturase 1</t>
  </si>
  <si>
    <t>FADS1_MOUSE</t>
  </si>
  <si>
    <t>Q920L1</t>
  </si>
  <si>
    <t>Q3U494; Q8BZX7; Q8R0G8; Q8VC07</t>
  </si>
  <si>
    <t>MGI:1923517</t>
  </si>
  <si>
    <t>Acetylation; Electron transport; Endoplasmic reticulum; Fatty acid biosynthesis; Fatty acid metabolism; Lipid biosynthesis; Lipid metabolism; Membrane; Mitochondrion; Oxidoreductase; Transmembrane; Transmembrane helix; Transport</t>
  </si>
  <si>
    <t>Electron transport; Fatty acid biosynthesis; Fatty acid metabolism; Lipid biosynthesis; Lipid metabolism; Transport</t>
  </si>
  <si>
    <t>arachidonic acid metabolic process {GO:0019369}; cellular response to starvation {GO:0009267}; lipid metabolic process {GO:0006629}; long-chain fatty acid biosynthetic process {GO:0042759}; unsaturated fatty acid biosynthetic process {GO:0006636}</t>
  </si>
  <si>
    <t>endoplasmic reticulum membrane {GO:0005789}; integral component of membrane {GO:0016021}; intracellular membrane-bounded organelle {GO:0043231}; mitochondrion {GO:0005739}; nucleus {GO:0005634}</t>
  </si>
  <si>
    <t>acyl-CoA delta5-desaturase activity {GO:0062076}; linoleoyl-CoA desaturase activity {GO:0016213}; oxidoreductase activity {GO:0016491}; oxidoreductase activity, acting on paired donors, with oxidation of a pair of donors resulting in the reduction of molecular oxygen to two molecules of water {GO:0016717}</t>
  </si>
  <si>
    <t>Lipid metabolism; polyunsaturated fatty acid biosynthesis.</t>
  </si>
  <si>
    <t>Linoleic acid (LA) metabolism {R-MMU-2046105}; alpha-linolenic acid (ALA) metabolism {R-MMU-2046106}</t>
  </si>
  <si>
    <t>sp|Q9D1J1|NECP2_MOUSE</t>
  </si>
  <si>
    <t>Adaptin ear-binding coat-associated protein 2</t>
  </si>
  <si>
    <t>NECAP endocytosis-associated protein 2 (NECAP-2)</t>
  </si>
  <si>
    <t>NECP2_MOUSE</t>
  </si>
  <si>
    <t>Q9D1J1</t>
  </si>
  <si>
    <t>Q3U1M1; Q9CV41</t>
  </si>
  <si>
    <t>MGI:1913397</t>
  </si>
  <si>
    <t>clathrin vesicle coat {GO:0030125}; plasma membrane {GO:0005886}</t>
  </si>
  <si>
    <t>sp|Q3TYS2|CYBC1_MOUSE</t>
  </si>
  <si>
    <t>Cytochrome b-245 chaperone 1</t>
  </si>
  <si>
    <t>Essential for reactive oxygen species protein (Eros)</t>
  </si>
  <si>
    <t>CYBC1_MOUSE</t>
  </si>
  <si>
    <t>Q3TYS2</t>
  </si>
  <si>
    <t>A2AN24; A2AN25; Q8VD13</t>
  </si>
  <si>
    <t>MGI:2384959</t>
  </si>
  <si>
    <t>Chaperone; Endoplasmic reticulum; Immunity; Innate immunity; Membrane; Phosphoprotein; Transmembrane; Transmembrane helix</t>
  </si>
  <si>
    <t>innate immune response {GO:0045087}; respiratory burst after phagocytosis {GO:0045728}</t>
  </si>
  <si>
    <t>sp|Q31125|S39A7_MOUSE</t>
  </si>
  <si>
    <t>Zinc transporter SLC39A7</t>
  </si>
  <si>
    <t>Histidine-rich membrane protein Ke4; Solute carrier family 39 member 7; Zrt-, Irt-like protein 7 (ZIP7)</t>
  </si>
  <si>
    <t>S39A7_MOUSE</t>
  </si>
  <si>
    <t>Q31125</t>
  </si>
  <si>
    <t>Q3TVU6; Q9Z1W1</t>
  </si>
  <si>
    <t>H2-Ke4; Hke4</t>
  </si>
  <si>
    <t>MGI:95909</t>
  </si>
  <si>
    <t>Endoplasmic reticulum; Golgi apparatus; Ion transport; Membrane; Methylation; Phosphoprotein; Transmembrane; Transmembrane helix; Transport; Zinc; Zinc transport</t>
  </si>
  <si>
    <t>B cell differentiation {GO:0030183}; cellular zinc ion homeostasis {GO:0006882}; zinc ion transmembrane transport {GO:0071577}</t>
  </si>
  <si>
    <t>endoplasmic reticulum {GO:0005783}; endoplasmic reticulum membrane {GO:0005789}; Golgi apparatus {GO:0005794}; integral component of membrane {GO:0016021}; nucleoplasm {GO:0005654}</t>
  </si>
  <si>
    <t>Zinc influx into cells by the SLC39 gene family {R-MMU-442380}</t>
  </si>
  <si>
    <t>sp|Q9D7J4|COX20_MOUSE</t>
  </si>
  <si>
    <t>Cytochrome c oxidase assembly protein COX20, mitochondrial</t>
  </si>
  <si>
    <t>COX20_MOUSE</t>
  </si>
  <si>
    <t>Q9D7J4</t>
  </si>
  <si>
    <t>Q8BT52</t>
  </si>
  <si>
    <t>Fam36a</t>
  </si>
  <si>
    <t>MGI:1913609</t>
  </si>
  <si>
    <t>Acetylation; Membrane; Mitochondrion; Mitochondrion inner membrane; Transmembrane; Transmembrane helix</t>
  </si>
  <si>
    <t>mitochondrial cytochrome c oxidase assembly {GO:0033617}</t>
  </si>
  <si>
    <t>sp|Q8K4M5|COMD1_MOUSE</t>
  </si>
  <si>
    <t>COMM domain-containing protein 1</t>
  </si>
  <si>
    <t>Protein Murr1</t>
  </si>
  <si>
    <t>COMD1_MOUSE</t>
  </si>
  <si>
    <t>Q8K4M5</t>
  </si>
  <si>
    <t>Q3V012; Q80WG2; Q80Z41; Q8BNL9; Q8K2S9</t>
  </si>
  <si>
    <t>Murr1</t>
  </si>
  <si>
    <t>MGI:109474</t>
  </si>
  <si>
    <t>Copper; Cytoplasm; Cytoplasmic vesicle; Endosome; Membrane; Metal-binding; Nucleus; Protein transport; Transcription; Transcription regulation; Transport; Ubl conjugation; Ubl conjugation pathway</t>
  </si>
  <si>
    <t>Protein transport; Transcription; Transcription regulation; Transport; Ubl conjugation pathway</t>
  </si>
  <si>
    <t>cellular copper ion homeostasis {GO:0006878}; cholesterol homeostasis {GO:0042632}; copper ion homeostasis {GO:0055070}; Golgi to plasma membrane transport {GO:0006893}; low-density lipoprotein particle clearance {GO:0034383}; negative regulation of hypoxia-inducible factor-1alpha signaling pathway {GO:1902072}; negative regulation of NF-kappaB transcription factor activity {GO:0032088}; negative regulation of protein localization to cell surface {GO:2000009}; negative regulation of sodium ion transmembrane transport {GO:1902306}; nucleotide-excision repair {GO:0006289}; plasma membrane to endosome transport {GO:0048227}; positive regulation of cholesterol import {GO:1904109}; positive regulation of endosome to plasma membrane protein transport {GO:1905751}; positive regulation of protein localization to cell surface {GO:2000010}; positive regulation of protein ubiquitination {GO:0031398}; protein destabilization {GO:0031648}; protein localization to cell surface {GO:0034394}; protein transport {GO:0015031}; regulation of plasma lipoprotein particle levels {GO:0097006}; regulation of proteasomal ubiquitin-dependent protein catabolic process {GO:0032434}</t>
  </si>
  <si>
    <t>Cul2-RING ubiquitin ligase complex {GO:0031462}; cytoplasm {GO:0005737}; cytosol {GO:0005829}; early endosome {GO:0005769}; endosome {GO:0005768}; endosome membrane {GO:0010008}; nucleoplasm {GO:0005654}; nucleus {GO:0005634}; recycling endosome {GO:0055037}</t>
  </si>
  <si>
    <t>copper ion binding {GO:0005507}; identical protein binding {GO:0042802}; low-density lipoprotein particle receptor binding {GO:0050750}; phosphatidic acid binding {GO:0070300}; phosphatidylinositol-3,4,5-trisphosphate binding {GO:0005547}; phosphatidylinositol-3,4-bisphosphate binding {GO:0043325}; phosphatidylinositol-3,5-bisphosphate binding {GO:0080025}; phosphatidylinositol-4,5-bisphosphate binding {GO:0005546}; protein homodimerization activity {GO:0042803}; sodium channel inhibitor activity {GO:0019871}</t>
  </si>
  <si>
    <t>sp|Q8BTZ5|ANR46_MOUSE</t>
  </si>
  <si>
    <t>Ankyrin repeat domain-containing protein 46</t>
  </si>
  <si>
    <t>Ankyrin repeat small protein (ANK-S)</t>
  </si>
  <si>
    <t>ANR46_MOUSE</t>
  </si>
  <si>
    <t>Q8BTZ5</t>
  </si>
  <si>
    <t>Q1LZK9; Q8BV97</t>
  </si>
  <si>
    <t>MGI:1916089</t>
  </si>
  <si>
    <t>ANK repeat; Membrane; Repeat; Transmembrane; Transmembrane helix</t>
  </si>
  <si>
    <t>ANK repeat; Repeat; Transmembrane; Transmembrane helix</t>
  </si>
  <si>
    <t>sp|Q8BGE6|ATG4B_MOUSE</t>
  </si>
  <si>
    <t>Cysteine protease ATG4B</t>
  </si>
  <si>
    <t>AUT-like 1 cysteine endopeptidase; Autophagy-related cysteine endopeptidase 1 (Autophagin-1); Autophagy-related protein 4 homolog B (MmAPG4B)</t>
  </si>
  <si>
    <t>ATG4B_MOUSE</t>
  </si>
  <si>
    <t>Q8BGE6</t>
  </si>
  <si>
    <t>Q6ZQ22; Q8R098</t>
  </si>
  <si>
    <t>MGI:1913865</t>
  </si>
  <si>
    <t>Acetylation; Autophagy; Cytoplasm; Cytoplasmic vesicle; Disulfide bond; Endoplasmic reticulum; Glycoprotein; Hydrolase; Isopeptide bond; Mitochondrion; Phosphoprotein; Protease; Protein transport; S-nitrosylation; Thiol protease; Transport; Ubl conjugation; Ubl conjugation pathway</t>
  </si>
  <si>
    <t>Cytoplasm; Cytoplasmic vesicle; Endoplasmic reticulum; Mitochondrion</t>
  </si>
  <si>
    <t>Acetylation; Disulfide bond; Glycoprotein; Isopeptide bond; Phosphoprotein; S-nitrosylation; Ubl conjugation</t>
  </si>
  <si>
    <t>autophagosome assembly {GO:0000045}; autophagy {GO:0006914}; cellular response to starvation {GO:0009267}; lysosomal microautophagy {GO:0016237}; mitophagy {GO:0000423}; otolith mineralization completed early in development {GO:0031173}; positive regulation of protein catabolic process {GO:0045732}; protein delipidation {GO:0051697}; protein localization to phagophore assembly site {GO:0034497}; protein transport {GO:0015031}; proteolysis {GO:0006508}</t>
  </si>
  <si>
    <t>autophagosome {GO:0005776}; cytoplasm {GO:0005737}; cytoplasmic vesicle {GO:0031410}; cytosol {GO:0005829}; endoplasmic reticulum {GO:0005783}; mitochondrion {GO:0005739}</t>
  </si>
  <si>
    <t>Atg8-specific peptidase activity {GO:0019786}; cysteine-type endopeptidase activity {GO:0004197}; cysteine-type peptidase activity {GO:0008234}; endopeptidase activity {GO:0004175}; peptidase activity {GO:0008233}; scaffold protein binding {GO:0097110}</t>
  </si>
  <si>
    <t>sp|Q05A62|DNAL1_MOUSE</t>
  </si>
  <si>
    <t>Dynein axonemal light chain 1</t>
  </si>
  <si>
    <t>DNAL1_MOUSE</t>
  </si>
  <si>
    <t>Q05A62</t>
  </si>
  <si>
    <t>A0JLX1; Q9DAH9</t>
  </si>
  <si>
    <t>Dnalc1</t>
  </si>
  <si>
    <t>MGI:1921462</t>
  </si>
  <si>
    <t>Acetylation; Alternative splicing; Cell projection; Cytoplasm; Cytoskeleton; Dynein; Leucine-rich repeat; Microtubule; Motor protein; Phosphoprotein; Repeat</t>
  </si>
  <si>
    <t>Cell projection; Cytoplasm; Cytoskeleton; Dynein; Microtubule</t>
  </si>
  <si>
    <t>outer dynein arm assembly {GO:0036158}</t>
  </si>
  <si>
    <t>cytoplasm {GO:0005737}; microtubule {GO:0005874}; outer dynein arm {GO:0036157}</t>
  </si>
  <si>
    <t>alpha-tubulin binding {GO:0043014}; dynein heavy chain binding {GO:0045504}</t>
  </si>
  <si>
    <t>sp|P53657|KPYR_MOUSE</t>
  </si>
  <si>
    <t>Pyruvate kinase PKLR</t>
  </si>
  <si>
    <t>L-PK; Pyruvate kinase isozymes L/R</t>
  </si>
  <si>
    <t>KPYR_MOUSE</t>
  </si>
  <si>
    <t>P53657</t>
  </si>
  <si>
    <t>MGI:97604</t>
  </si>
  <si>
    <t>Allosteric enzyme; Alternative splicing; ATP-binding; Glycolysis; Kinase; Magnesium; Manganese; Metal-binding; Nucleotide-binding; Phosphoprotein; Potassium; Pyruvate; Transferase</t>
  </si>
  <si>
    <t>ATP-binding; Magnesium; Manganese; Metal-binding; Nucleotide-binding; Potassium; Pyruvate</t>
  </si>
  <si>
    <t>ATP biosynthetic process {GO:0006754}; carbohydrate metabolic process {GO:0005975}; cellular response to insulin stimulus {GO:0032869}; glycolytic process {GO:0006096}; pyruvate biosynthetic process {GO:0042866}; response to ATP {GO:0033198}; response to cAMP {GO:0051591}; response to heat {GO:0009408}; response to lithium ion {GO:0010226}; response to other organism {GO:0051707}</t>
  </si>
  <si>
    <t>ATP binding {GO:0005524}; kinase activity {GO:0016301}; magnesium ion binding {GO:0000287}; monosaccharide binding {GO:0048029}; potassium ion binding {GO:0030955}; pyruvate kinase activity {GO:0004743}</t>
  </si>
  <si>
    <t>Glycolysis. [P53657-1] {R-MMU-70171}</t>
  </si>
  <si>
    <t>sp|Q63918|CAVN2_MOUSE</t>
  </si>
  <si>
    <t>Caveolae-associated protein 2</t>
  </si>
  <si>
    <t>Cavin-2; Phosphatidylserine-binding protein; Serum deprivation-response protein</t>
  </si>
  <si>
    <t>CAVN2_MOUSE</t>
  </si>
  <si>
    <t>Q63918</t>
  </si>
  <si>
    <t>Q3V1P6; Q78EC3; Q8CBT4</t>
  </si>
  <si>
    <t>MGI:99513</t>
  </si>
  <si>
    <t>Acetylation; Coiled coil; Cytoplasm; Lipid-binding; Membrane; Phosphoprotein</t>
  </si>
  <si>
    <t>plasma membrane tubulation {GO:0097320}; positive regulation of transcription by RNA polymerase II {GO:0045944}</t>
  </si>
  <si>
    <t>caveola {GO:0005901}; cytoplasm {GO:0005737}; cytosol {GO:0005829}; membrane raft {GO:0045121}; nucleoplasm {GO:0005654}; plasma membrane {GO:0005886}</t>
  </si>
  <si>
    <t>phosphatidylserine binding {GO:0001786}; protein kinase C binding {GO:0005080}</t>
  </si>
  <si>
    <t>sp|Q8BHJ9|SLU7_MOUSE</t>
  </si>
  <si>
    <t>Pre-mRNA-splicing factor SLU7</t>
  </si>
  <si>
    <t>SLU7_MOUSE</t>
  </si>
  <si>
    <t>Q8BHJ9</t>
  </si>
  <si>
    <t>Q3KQQ3; Q5SRU1; Q63ZX3; Q6P923; Q8BL59; Q8BXD5; Q8R5C1; Q91YV6</t>
  </si>
  <si>
    <t>D11Ertd730e</t>
  </si>
  <si>
    <t>MGI:2385598</t>
  </si>
  <si>
    <t>Acetylation; Cytoplasm; Isopeptide bond; Metal-binding; mRNA processing; mRNA splicing; Nucleus; Phosphoprotein; Spliceosome; Ubl conjugation; Zinc; Zinc-finger</t>
  </si>
  <si>
    <t>alternative mRNA splicing, via spliceosome {GO:0000380}; cellular response to heat {GO:0034605}; intracellular protein transport {GO:0006886}; mRNA 3'-splice site recognition {GO:0000389}; RNA splicing {GO:0008380}; RNA splicing, via transesterification reactions {GO:0000375}</t>
  </si>
  <si>
    <t>catalytic step 2 spliceosome {GO:0071013}; cytoplasm {GO:0005737}; cytosol {GO:0005829}; intracellular membrane-bounded organelle {GO:0043231}; nuclear speck {GO:0016607}; nucleoplasm {GO:0005654}; nucleus {GO:0005634}; small nuclear ribonucleoprotein complex {GO:0030532}; spliceosomal complex {GO:0005681}</t>
  </si>
  <si>
    <t>pre-mRNA 3'-splice site binding {GO:0030628}; second spliceosomal transesterification activity {GO:0000386}; zinc ion binding {GO:0008270}</t>
  </si>
  <si>
    <t>sp|E9Q5K9|YTDC1_MOUSE</t>
  </si>
  <si>
    <t>YTH domain-containing protein 1</t>
  </si>
  <si>
    <t>YTDC1_MOUSE</t>
  </si>
  <si>
    <t>E9Q5K9</t>
  </si>
  <si>
    <t>E9PW44; E9Q7Z8; Q69Z54; Q80V25; Q8R5E6</t>
  </si>
  <si>
    <t>MGI:2443713</t>
  </si>
  <si>
    <t>Alternative splicing; Isopeptide bond; mRNA processing; mRNA splicing; Nucleus; Phosphoprotein; RNA-binding; Ubl conjugation</t>
  </si>
  <si>
    <t>dosage compensation by inactivation of X chromosome {GO:0009048}; in utero embryonic development {GO:0001701}; mRNA alternative polyadenylation {GO:0110104}; mRNA export from nucleus {GO:0006406}; mRNA splice site selection {GO:0006376}; mRNA splicing, via spliceosome {GO:0000398}; post-transcriptional regulation of gene expression {GO:0010608}; primary follicle stage {GO:0048160}; regulation of alternative mRNA splicing, via spliceosome {GO:0000381}; regulation of mRNA splicing, via spliceosome {GO:0048024}; spermatogenesis {GO:0007283}</t>
  </si>
  <si>
    <t>nuclear body {GO:0016604}; nuclear speck {GO:0016607}; nucleoplasm {GO:0005654}; nucleus {GO:0005634}; plasma membrane {GO:0005886}</t>
  </si>
  <si>
    <t>mRNA binding {GO:0003729}; N6-methyladenosine-containing RNA binding {GO:1990247}; RNA binding {GO:0003723}</t>
  </si>
  <si>
    <t>sp|Q6KCD5|NIPBL_MOUSE</t>
  </si>
  <si>
    <t>Nipped-B-like protein</t>
  </si>
  <si>
    <t>Delangin homolog; SCC2 homolog</t>
  </si>
  <si>
    <t>NIPBL_MOUSE</t>
  </si>
  <si>
    <t>Q6KCD5</t>
  </si>
  <si>
    <t>Q6KC78; Q7TNS4; Q8BKV4; Q8CES9; Q9CUC6</t>
  </si>
  <si>
    <t>Scc2</t>
  </si>
  <si>
    <t>MGI:1913976</t>
  </si>
  <si>
    <t>Acetylation; Activator; Alternative splicing; Cell cycle; Chromosome; Developmental protein; Nucleus; Phosphoprotein; Repeat; Transcription; Transcription regulation</t>
  </si>
  <si>
    <t>Cell cycle; Transcription; Transcription regulation</t>
  </si>
  <si>
    <t>Activator; Developmental protein</t>
  </si>
  <si>
    <t>brain development {GO:0007420}; cellular response to DNA damage stimulus {GO:0006974}; cellular response to X-ray {GO:0071481}; cognition {GO:0050890}; cohesin loading {GO:0071921}; developmental growth {GO:0048589}; digestive tract development {GO:0048565}; ear morphogenesis {GO:0042471}; embryonic cranial skeleton morphogenesis {GO:0048701}; embryonic digestive tract morphogenesis {GO:0048557}; embryonic forelimb morphogenesis {GO:0035115}; embryonic viscerocranium morphogenesis {GO:0048703}; establishment of mitotic sister chromatid cohesion {GO:0034087}; establishment of protein localization to chromatin {GO:0071169}; external genitalia morphogenesis {GO:0035261}; eye morphogenesis {GO:0048592}; face morphogenesis {GO:0060325}; fat cell differentiation {GO:0045444}; forelimb morphogenesis {GO:0035136}; gall bladder development {GO:0061010}; heart development {GO:0007507}; heart morphogenesis {GO:0003007}; maintenance of mitotic sister chromatid cohesion {GO:0034088}; mitotic cohesin loading {GO:0061780}; mitotic sister chromatid cohesion {GO:0007064}; negative regulation of DNA-templated transcription {GO:0045892}; negative regulation of transcription by RNA polymerase II {GO:0000122}; outflow tract morphogenesis {GO:0003151}; positive regulation of histone deacetylation {GO:0031065}; positive regulation of multicellular organism growth {GO:0040018}; positive regulation of neuron migration {GO:2001224}; positive regulation of ossification {GO:0045778}; positive regulation of transcription by RNA polymerase II {GO:0045944}; protein localization {GO:0008104}; regulation of developmental growth {GO:0048638}; regulation of embryonic development {GO:0045995}; regulation of hair cycle {GO:0042634}; regulation of transcription by RNA polymerase II {GO:0006357}; replication-born double-strand break repair via sister chromatid exchange {GO:1990414}; sensory perception of sound {GO:0007605}; somatic stem cell population maintenance {GO:0035019}; uterus morphogenesis {GO:0061038}</t>
  </si>
  <si>
    <t>chromatin {GO:0000785}; cytosol {GO:0005829}; integrator complex {GO:0032039}; intracellular membrane-bounded organelle {GO:0043231}; nucleoplasm {GO:0005654}; nucleus {GO:0005634}; Scc2-Scc4 cohesin loading complex {GO:0090694}; SMC loading complex {GO:0032116}</t>
  </si>
  <si>
    <t>chromatin binding {GO:0003682}; chromo shadow domain binding {GO:0070087}; histone deacetylase binding {GO:0042826}; mediator complex binding {GO:0036033}; promoter-specific chromatin binding {GO:1990841}; protein C-terminus binding {GO:0008022}; protein N-terminus binding {GO:0047485}</t>
  </si>
  <si>
    <t>Cohesin Loading onto Chromatin {R-MMU-2470946}</t>
  </si>
  <si>
    <t>sp|Q8CHC4|SYNJ1_MOUSE</t>
  </si>
  <si>
    <t>Synaptojanin-1</t>
  </si>
  <si>
    <t>Synaptic inositol 1,4,5-trisphosphate 5-phosphatase 1</t>
  </si>
  <si>
    <t>SYNJ1_MOUSE</t>
  </si>
  <si>
    <t>Q8CHC4</t>
  </si>
  <si>
    <t>Kiaa0910</t>
  </si>
  <si>
    <t>MGI:1354961</t>
  </si>
  <si>
    <t>Cytoplasm; Endocytosis; Hydrolase; Lipid metabolism; Methylation; Phosphoprotein; Repeat; RNA-binding</t>
  </si>
  <si>
    <t>Endocytosis; Lipid metabolism</t>
  </si>
  <si>
    <t>brain development {GO:0007420}; inositol phosphate dephosphorylation {GO:0046855}; learning {GO:0007612}; neurotransmitter transport {GO:0006836}; phosphatidylinositol dephosphorylation {GO:0046856}; phosphatidylinositol metabolic process {GO:0046488}; phosphatidylinositol-mediated signaling {GO:0048015}; positive regulation of endosome organization {GO:1904980}; positive regulation of gliogenesis {GO:0014015}; positive regulation of receptor-mediated endocytosis {GO:0048260}; positive regulation of synaptic vesicle recycling {GO:1903423}; postsynaptic neurotransmitter receptor internalization {GO:0098884}; regulation of postsynaptic neurotransmitter receptor internalization {GO:0099149}; response to cytokine {GO:0034097}; response to retinoic acid {GO:0032526}; synaptic vesicle endocytosis {GO:0048488}; synaptic vesicle priming {GO:0016082}; synaptic vesicle transport {GO:0048489}; synaptic vesicle uncoating {GO:0016191}</t>
  </si>
  <si>
    <t>clathrin coat {GO:0030118}; clathrin coat of coated pit {GO:0030132}; cytoplasm {GO:0005737}; glutamatergic synapse {GO:0098978}; membrane coat {GO:0030117}; microtubule {GO:0005874}; neuron projection {GO:0043005}; parallel fiber to Purkinje cell synapse {GO:0098688}; perinuclear region of cytoplasm {GO:0048471}; postsynapse {GO:0098794}; presynapse {GO:0098793}; protein-containing complex {GO:0032991}; Schaffer collateral - CA1 synapse {GO:0098685}; synaptic membrane {GO:0097060}; terminal bouton {GO:0043195}; vesicle membrane {GO:0012506}</t>
  </si>
  <si>
    <t>EH domain binding {GO:1990175}; inositol-1,4,5-trisphosphate 5-phosphatase activity {GO:0052658}; phosphatidylinositol phosphate 5-phosphatase activity {GO:0034595}; phosphatidylinositol-3-phosphatase activity {GO:0004438}; phosphatidylinositol-4,5-bisphosphate 5-phosphatase activity {GO:0004439}; phosphatidylinositol-4-phosphate phosphatase activity {GO:0043812}; protein C-terminus binding {GO:0008022}; protein-containing complex binding {GO:0044877}; RNA binding {GO:0003723}; SH3 domain binding {GO:0017124}</t>
  </si>
  <si>
    <t>Synthesis of PIPs at the plasma membrane {R-MMU-1660499}; Synthesis of IP2, IP, and Ins in the cytosol {R-MMU-1855183}; Synthesis of IP3 and IP4 in the cytosol {R-MMU-1855204}; Clathrin-mediated endocytosis {R-MMU-8856828}</t>
  </si>
  <si>
    <t>sp|P84096|RHOG_MOUSE</t>
  </si>
  <si>
    <t>Rho-related GTP-binding protein RhoG</t>
  </si>
  <si>
    <t>Sid 10750</t>
  </si>
  <si>
    <t>RHOG_MOUSE</t>
  </si>
  <si>
    <t>P84096</t>
  </si>
  <si>
    <t>P35238; Q8NI04</t>
  </si>
  <si>
    <t>Arhg; Sid10750</t>
  </si>
  <si>
    <t>MGI:1928370</t>
  </si>
  <si>
    <t>Cell membrane; GTP-binding; Lipoprotein; Membrane; Methylation; Nucleotide-binding; Phosphoprotein; Prenylation</t>
  </si>
  <si>
    <t>actin cytoskeleton organization {GO:0030036}; actin filament organization {GO:0007015}; activation of GTPase activity {GO:0090630}; cell chemotaxis {GO:0060326}; cell projection assembly {GO:0030031}; cortical cytoskeleton organization {GO:0030865}; engulfment of apoptotic cell {GO:0043652}; establishment or maintenance of cell polarity {GO:0007163}; motor neuron axon guidance {GO:0008045}; positive regulation of DNA-templated transcription {GO:0045893}; positive regulation of protein localization to plasma membrane {GO:1903078}; Rac protein signal transduction {GO:0016601}; regulation of actin cytoskeleton organization {GO:0032956}; regulation of cell shape {GO:0008360}; regulation of neutrophil migration {GO:1902622}; regulation of ruffle assembly {GO:1900027}; Rho protein signal transduction {GO:0007266}</t>
  </si>
  <si>
    <t>cell cortex {GO:0005938}; cell projection {GO:0042995}; cytoplasmic vesicle {GO:0031410}; cytoskeleton {GO:0005856}; plasma membrane {GO:0005886}</t>
  </si>
  <si>
    <t>GTP binding {GO:0005525}; GTPase activity {GO:0003924}; protein kinase binding {GO:0019901}</t>
  </si>
  <si>
    <t>GPVI-mediated activation cascade {R-MMU-114604}; PIP3 activates AKT signaling {R-MMU-1257604}; RHO GTPases activate KTN1 {R-MMU-5625970}; Neutrophil degranulation {R-MMU-6798695}; PI5P, PP2A and IER3 Regulate PI3K/AKT Signaling {R-MMU-6811558}; RHOG GTPase cycle {R-MMU-9013408}</t>
  </si>
  <si>
    <t>sp|P48725|PCNT_MOUSE</t>
  </si>
  <si>
    <t>Pericentrin</t>
  </si>
  <si>
    <t>PCNT_MOUSE</t>
  </si>
  <si>
    <t>P48725</t>
  </si>
  <si>
    <t>A0JBT0; A0JBT1</t>
  </si>
  <si>
    <t>Pcnt2</t>
  </si>
  <si>
    <t>MGI:102722</t>
  </si>
  <si>
    <t>Alternative splicing; Calmodulin-binding; Coiled coil; Cytoplasm; Cytoskeleton; Microtubule; Phosphoprotein</t>
  </si>
  <si>
    <t>brain morphogenesis {GO:0048854}; camera-type eye development {GO:0043010}; cerebellar cortex morphogenesis {GO:0021696}; cilium assembly {GO:0060271}; embryonic brain development {GO:1990403}; embryonic heart tube development {GO:0035050}; head development {GO:0060322}; in utero embryonic development {GO:0001701}; kidney development {GO:0001822}; limb morphogenesis {GO:0035108}; microtubule cytoskeleton organization {GO:0000226}; mitotic spindle organization {GO:0007052}; multicellular organism growth {GO:0035264}; negative regulation of apoptotic process {GO:0043066}; neural precursor cell proliferation {GO:0061351}; neuron migration {GO:0001764}; olfactory bulb development {GO:0021772}; positive regulation of intracellular protein transport {GO:0090316}; signal transduction {GO:0007165}; spindle organization {GO:0007051}; vasculature development {GO:0001944}</t>
  </si>
  <si>
    <t>centriolar satellite {GO:0034451}; centriole {GO:0005814}; centrosome {GO:0005813}; ciliary basal body {GO:0036064}; cilium {GO:0005929}; cis-Golgi network {GO:0005801}; cytosol {GO:0005829}; intercellular bridge {GO:0045171}; microtubule {GO:0005874}; microtubule organizing center {GO:0005815}; motile cilium {GO:0031514}; pericentriolar material {GO:0000242}</t>
  </si>
  <si>
    <t>calmodulin binding {GO:0005516}; molecular adaptor activity {GO:0060090}</t>
  </si>
  <si>
    <t>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AURKA Activation by TPX2 {R-MMU-8854518}; Aggrephagy {R-MMU-9646399}</t>
  </si>
  <si>
    <t>sp|Q8BP56|PGGHG_MOUSE</t>
  </si>
  <si>
    <t>Protein-glucosylgalactosylhydroxylysine glucosidase</t>
  </si>
  <si>
    <t>Acid trehalase-like protein 1</t>
  </si>
  <si>
    <t>PGGHG_MOUSE</t>
  </si>
  <si>
    <t>Q8BP56</t>
  </si>
  <si>
    <t>Q571E9; Q8R585</t>
  </si>
  <si>
    <t>MGI:2444047</t>
  </si>
  <si>
    <t>Alternative splicing; Glycosidase; Hydrolase</t>
  </si>
  <si>
    <t>carbohydrate metabolic process {GO:0005975}</t>
  </si>
  <si>
    <t>hydrolase activity, hydrolyzing O-glycosyl compounds {GO:0004553}; protein-glucosylgalactosylhydroxylysine glucosidase activity {GO:0047402}</t>
  </si>
  <si>
    <t>sp|Q6A065|CE170_MOUSE</t>
  </si>
  <si>
    <t>Centrosomal protein of 170 kDa (Cep170)</t>
  </si>
  <si>
    <t>CE170_MOUSE</t>
  </si>
  <si>
    <t>Q6A065</t>
  </si>
  <si>
    <t>Q7TQD9; Q8BJW2; Q9D3Z0</t>
  </si>
  <si>
    <t>Kiaa0470</t>
  </si>
  <si>
    <t>MGI:1918348</t>
  </si>
  <si>
    <t>Alternative splicing; Coiled coil; Cytoplasm; Cytoskeleton; Microtubule; Phosphoprotein</t>
  </si>
  <si>
    <t>centriolar subdistal appendage {GO:0120103}; centriole {GO:0005814}; centrosome {GO:0005813}; cytosol {GO:0005829}; microtubule {GO:0005874}; spindle {GO:0005819}</t>
  </si>
  <si>
    <t>sp|Q99PN3|TRI26_MOUSE</t>
  </si>
  <si>
    <t>Tripartite motif-containing protein 26</t>
  </si>
  <si>
    <t>Zinc finger protein 173</t>
  </si>
  <si>
    <t>TRI26_MOUSE</t>
  </si>
  <si>
    <t>Q99PN3</t>
  </si>
  <si>
    <t>B8JJ55; Q8C9E9; Q8JZT7; Q99PN2</t>
  </si>
  <si>
    <t>Znf173</t>
  </si>
  <si>
    <t>MGI:1337056</t>
  </si>
  <si>
    <t>Alternative splicing; Coiled coil; Cytoplasm; Immunity; Innate immunity; Metal-binding; Nucleus; Transferase; Ubl conjugation; Zinc; Zinc-finger</t>
  </si>
  <si>
    <t>innate immune response {GO:0045087}; negative regulation of viral entry into host cell {GO:0046597}; positive regulation of DNA-binding transcription factor activity {GO:0051091}; protein ubiquitination {GO:0016567}; regulation of gene expression {GO:0010468}; suppression of viral release by host {GO:0044790}</t>
  </si>
  <si>
    <t>sp|Q9WU40|MAN1_MOUSE</t>
  </si>
  <si>
    <t>Inner nuclear membrane protein Man1</t>
  </si>
  <si>
    <t>LEM domain-containing protein 3</t>
  </si>
  <si>
    <t>MAN1_MOUSE</t>
  </si>
  <si>
    <t>Q9WU40</t>
  </si>
  <si>
    <t>Q0VGU6; Q3USB5</t>
  </si>
  <si>
    <t>Man1</t>
  </si>
  <si>
    <t>MGI:3580376</t>
  </si>
  <si>
    <t>Alternative splicing; DNA-binding; Membrane; Nucleus; Phosphoprotein; Transmembrane; Transmembrane helix</t>
  </si>
  <si>
    <t>angiogenesis {GO:0001525}; blood vessel endothelial cell migration involved in intussusceptive angiogenesis {GO:0002044}; negative regulation of activin receptor signaling pathway {GO:0032926}; negative regulation of BMP signaling pathway {GO:0030514}; negative regulation of transforming growth factor beta receptor signaling pathway {GO:0030512}; nuclear envelope organization {GO:0006998}; nucleus organization {GO:0006997}; regulation of cell cycle {GO:0051726}; regulation of extracellular matrix organization {GO:1903053}; regulation of intracellular signal transduction {GO:1902531}; skeletal muscle cell differentiation {GO:0035914}</t>
  </si>
  <si>
    <t>integral component of membrane {GO:0016021}; integral component of nuclear inner membrane {GO:0005639}; nuclear envelope {GO:0005635}; nuclear inner membrane {GO:0005637}; nuclear membrane {GO:0031965}</t>
  </si>
  <si>
    <t>sp|Q8C8T8|TSR2_MOUSE</t>
  </si>
  <si>
    <t>Pre-rRNA-processing protein TSR2 homolog</t>
  </si>
  <si>
    <t>TSR2_MOUSE</t>
  </si>
  <si>
    <t>Q8C8T8</t>
  </si>
  <si>
    <t>A2ALP6; Q8R3M9</t>
  </si>
  <si>
    <t>MGI:1916749</t>
  </si>
  <si>
    <t>maturation of SSU-rRNA from tricistronic rRNA transcript (SSU-rRNA, 5.8S rRNA, LSU-rRNA) {GO:0000462}</t>
  </si>
  <si>
    <t>sp|Q9WU42|NCOR2_MOUSE</t>
  </si>
  <si>
    <t>Nuclear receptor corepressor 2 (N-CoR2)</t>
  </si>
  <si>
    <t>Silencing mediator of retinoic acid and thyroid hormone receptor (SMRT; SMRTe); T3 receptor-associating factor (TRAC); Thyroid-, retinoic-acid-receptor-associated corepressor</t>
  </si>
  <si>
    <t>NCOR2_MOUSE</t>
  </si>
  <si>
    <t>Q9WU42</t>
  </si>
  <si>
    <t>E9Q9V0; Q9WU43; Q9WUC1</t>
  </si>
  <si>
    <t>Smrt</t>
  </si>
  <si>
    <t>MGI:1337080</t>
  </si>
  <si>
    <t>Acetylation; Alternative splicing; Coiled coil; DNA-binding; Methylation; Nucleus; Phosphoprotein; Repeat; Repressor; Transcription; Transcription regulation</t>
  </si>
  <si>
    <t>cell proliferation in forebrain {GO:0021846}; epidermis development {GO:0008544}; establishment of skin barrier {GO:0061436}; forebrain development {GO:0030900}; gene expression {GO:0010467}; glucose homeostasis {GO:0042593}; heart morphogenesis {GO:0003007}; in utero embryonic development {GO:0001701}; negative regulation of androgen receptor signaling pathway {GO:0060766}; negative regulation of DNA-templated transcription {GO:0045892}; negative regulation of fat cell differentiation {GO:0045599}; negative regulation of miRNA maturation {GO:1903799}; negative regulation of transcription by RNA polymerase II {GO:0000122}; positive regulation of protein deacetylation {GO:0090312}; protein deacetylation {GO:0006476}; protein stabilization {GO:0050821}; regulation of cellular ketone metabolic process {GO:0010565}; regulation of histone deacetylase activity {GO:1901725}; regulation of transcription by RNA polymerase II {GO:0006357}; telencephalon development {GO:0021537}; type I pneumocyte differentiation {GO:0060509}; white fat cell differentiation {GO:0050872}</t>
  </si>
  <si>
    <t>chromatin {GO:0000785}; histone deacetylase complex {GO:0000118}; nuclear body {GO:0016604}; nuclear matrix {GO:0016363}; nucleoplasm {GO:0005654}; nucleus {GO:0005634}; transcription repressor complex {GO:0017053}</t>
  </si>
  <si>
    <t>chromatin binding {GO:0003682}; DNA binding {GO:0003677}; histone deacetylase binding {GO:0042826}; Notch binding {GO:0005112}; nuclear glucocorticoid receptor binding {GO:0035259}; nuclear receptor binding {GO:0016922}; nuclear retinoic acid receptor binding {GO:0042974}; nuclear retinoid X receptor binding {GO:0046965}; protein N-terminus binding {GO:0047485}; protein-containing complex binding {GO:0044877}; sequence-specific DNA binding {GO:0043565}; transcription corepressor activity {GO:0003714}</t>
  </si>
  <si>
    <t>sp|P58006|SESN1_MOUSE</t>
  </si>
  <si>
    <t>Sestrin-1</t>
  </si>
  <si>
    <t>SESN1_MOUSE</t>
  </si>
  <si>
    <t>P58006</t>
  </si>
  <si>
    <t>E9QPK0; Q7TNF3</t>
  </si>
  <si>
    <t>MGI:2155278</t>
  </si>
  <si>
    <t>Cytoplasm; Nucleus; Oxidoreductase; Phosphoprotein</t>
  </si>
  <si>
    <t>cellular oxidant detoxification {GO:0098869}; cellular response to amino acid starvation {GO:0034198}; cellular response to amino acid stimulus {GO:0071230}; cellular response to glucose starvation {GO:0042149}; cellular response to leucine {GO:0071233}; cellular response to leucine starvation {GO:1990253}; negative regulation of cell growth {GO:0030308}; negative regulation of TORC1 signaling {GO:1904262}; positive regulation of macroautophagy {GO:0016239}; reactive oxygen species metabolic process {GO:0072593}; regulation of protein kinase B signaling {GO:0051896}; regulation of response to reactive oxygen species {GO:1901031}</t>
  </si>
  <si>
    <t>cytoplasm {GO:0005737}; fibrillar center {GO:0001650}; GATOR2 complex {GO:0061700}; nucleoplasm {GO:0005654}; nucleus {GO:0005634}</t>
  </si>
  <si>
    <t>TP53 Regulates Metabolic Genes {R-MMU-5628897}; Amino acids regulate mTORC1 {R-MMU-9639288}; KEAP1-NFE2L2 pathway {R-MMU-9755511}</t>
  </si>
  <si>
    <t>sp|P70445|4EBP2_MOUSE</t>
  </si>
  <si>
    <t>Eukaryotic translation initiation factor 4E-binding protein 2 (4E-BP2; eIF4E-binding protein 2)</t>
  </si>
  <si>
    <t>Phosphorylated heat- and acid-stable protein regulated by insulin 2 (PHAS-II)</t>
  </si>
  <si>
    <t>4EBP2_MOUSE</t>
  </si>
  <si>
    <t>P70445</t>
  </si>
  <si>
    <t>MGI:109198</t>
  </si>
  <si>
    <t>Phosphoprotein; Protein synthesis inhibitor; Translation regulation</t>
  </si>
  <si>
    <t>Protein synthesis inhibitor</t>
  </si>
  <si>
    <t>insulin receptor signaling pathway {GO:0008286}; memory {GO:0007613}; modulation of chemical synaptic transmission {GO:0050804}; negative regulation of translational initiation {GO:0045947}; regulation of synaptic plasticity {GO:0048167}; regulation of translational initiation {GO:0006446}; social behavior {GO:0035176}; TOR signaling {GO:0031929}</t>
  </si>
  <si>
    <t>cytoplasm {GO:0005737}; postsynapse {GO:0098794}</t>
  </si>
  <si>
    <t>eukaryotic initiation factor 4E binding {GO:0008190}; translation repressor activity {GO:0030371}</t>
  </si>
  <si>
    <t>sp|Q7TSS2|UB2Q1_MOUSE</t>
  </si>
  <si>
    <t>Ubiquitin-conjugating enzyme E2 Q1</t>
  </si>
  <si>
    <t>E2 ubiquitin-conjugating enzyme Q1; Galactosyl transferase-associated protein (GTAP); Ubiquitin carrier protein Q1; Ubiquitin-protein ligase Q1</t>
  </si>
  <si>
    <t>UB2Q1_MOUSE</t>
  </si>
  <si>
    <t>Q7TSS2</t>
  </si>
  <si>
    <t>Q29ST1; Q3UIY3; Q6P913; Q80UT5; Q8K2T0; Q9D7E1</t>
  </si>
  <si>
    <t>Ube2q</t>
  </si>
  <si>
    <t>MGI:1917343</t>
  </si>
  <si>
    <t>Acetylation; Alternative splicing; ATP-binding; Cell projection; Cytoplasm; Nucleotide-binding; Nucleus; Transferase; Ubl conjugation; Ubl conjugation pathway</t>
  </si>
  <si>
    <t>embryo implantation {GO:0007566}; fertilization {GO:0009566}; mating behavior {GO:0007617}; prolactin secretion {GO:0070459}; protein polyubiquitination {GO:0000209}; reproductive system development {GO:0061458}; suckling behavior {GO:0001967}</t>
  </si>
  <si>
    <t>cytosol {GO:0005829}; filopodium {GO:0030175}; nucleus {GO:0005634}</t>
  </si>
  <si>
    <t>ATP binding {GO:0005524}; ubiquitin conjugating enzyme activity {GO:0061631}</t>
  </si>
  <si>
    <t>sp|Q9R1S8|CAN7_MOUSE</t>
  </si>
  <si>
    <t>Calpain-7</t>
  </si>
  <si>
    <t>PalB homolog (PalBH)</t>
  </si>
  <si>
    <t>CAN7_MOUSE</t>
  </si>
  <si>
    <t>Q9R1S8</t>
  </si>
  <si>
    <t>Q9Z0P9</t>
  </si>
  <si>
    <t>Palbh</t>
  </si>
  <si>
    <t>MGI:1338030</t>
  </si>
  <si>
    <t>Acetylation; Hydrolase; Nucleus; Phosphoprotein; Protease; Repeat; Thiol protease</t>
  </si>
  <si>
    <t>positive regulation of epithelial cell migration {GO:0010634}; proteolysis {GO:0006508}; self proteolysis {GO:0097264}</t>
  </si>
  <si>
    <t>centrosome {GO:0005813}; cytosol {GO:0005829}; nucleus {GO:0005634}</t>
  </si>
  <si>
    <t>calcium-dependent cysteine-type endopeptidase activity {GO:0004198}; cysteine-type endopeptidase activity {GO:0004197}; endopeptidase activity {GO:0004175}; MIT domain binding {GO:0090541}</t>
  </si>
  <si>
    <t>sp|Q9D162|CC167_MOUSE</t>
  </si>
  <si>
    <t>Coiled-coil domain-containing protein 167</t>
  </si>
  <si>
    <t>CC167_MOUSE</t>
  </si>
  <si>
    <t>Q9D162</t>
  </si>
  <si>
    <t>Q8BQL8; Q8C3L9; Q8R1Y8</t>
  </si>
  <si>
    <t>MGI:1915847</t>
  </si>
  <si>
    <t>Alternative splicing; Coiled coil; Membrane; Transmembrane; Transmembrane helix</t>
  </si>
  <si>
    <t>sp|Q80XR2|AT2C1_MOUSE</t>
  </si>
  <si>
    <t>Calcium-transporting ATPase type 2C member 1 (ATPase 2C1)</t>
  </si>
  <si>
    <t>ATP-dependent Ca(2+) pump PMR1; Ca(2+)/Mn(2+)-ATPase 2C1; Secretory pathway Ca(2+)-transporting ATPase type 1 (SPCA1)</t>
  </si>
  <si>
    <t>AT2C1_MOUSE</t>
  </si>
  <si>
    <t>Q80XR2</t>
  </si>
  <si>
    <t>E9QMB9; Q80YZ2</t>
  </si>
  <si>
    <t>MGI:1889008</t>
  </si>
  <si>
    <t>ATP-binding; Calcium; Calcium transport; Golgi apparatus; Ion transport; Magnesium; Membrane; Metal-binding; Nucleotide-binding; Translocase; Transmembrane; Transmembrane helix; Transport</t>
  </si>
  <si>
    <t>actin cytoskeleton reorganization {GO:0031532}; calcium ion transmembrane transport {GO:0070588}; calcium ion transport {GO:0006816}; calcium-dependent cell-cell adhesion via plasma membrane cell adhesion molecules {GO:0016339}; cellular calcium ion homeostasis {GO:0006874}; cellular manganese ion homeostasis {GO:0030026}; epidermis development {GO:0008544}; Golgi calcium ion homeostasis {GO:0032468}; Golgi calcium ion transport {GO:0032472}; ion transmembrane transport {GO:0034220}; manganese ion transport {GO:0006828}; positive regulation of Golgi to plasma membrane protein transport {GO:0042998}; positive regulation of I-kappaB kinase/NF-kappaB signaling {GO:0043123}; trans-Golgi network membrane organization {GO:0098629}</t>
  </si>
  <si>
    <t>cis-Golgi network membrane {GO:0033106}; endoplasmic reticulum {GO:0005783}; Golgi apparatus {GO:0005794}; Golgi cisterna membrane {GO:0032580}; Golgi membrane {GO:0000139}; integral component of Golgi membrane {GO:0030173}; integral component of membrane {GO:0016021}; intracellular membrane-bounded organelle {GO:0043231}; membrane {GO:0016020}; plasma membrane {GO:0005886}; secretory granule {GO:0030141}; trans-Golgi network {GO:0005802}; transport vesicle {GO:0030133}</t>
  </si>
  <si>
    <t>ATP binding {GO:0005524}; ATP hydrolysis activity {GO:0016887}; calcium ion binding {GO:0005509}; manganese ion binding {GO:0030145}; P-type calcium transporter activity {GO:0005388}; P-type ion transporter activity {GO:0015662}; P-type manganese transporter activity {GO:0140613}</t>
  </si>
  <si>
    <t>sp|Q6NVD0|FREM2_MOUSE</t>
  </si>
  <si>
    <t>FRAS1-related extracellular matrix protein 2</t>
  </si>
  <si>
    <t>ECM3 homolog; NV domain-containing protein 1</t>
  </si>
  <si>
    <t>FREM2_MOUSE</t>
  </si>
  <si>
    <t>Q6NVD0</t>
  </si>
  <si>
    <t>Q4W2Q5; Q5H8C0; Q811G9; Q8C4G5; Q8CD46</t>
  </si>
  <si>
    <t>Nv1</t>
  </si>
  <si>
    <t>MGI:2444465</t>
  </si>
  <si>
    <t>Alternative splicing; Calcium; Cell adhesion; Cell membrane; Developmental protein; Glycoprotein; Membrane; Metal-binding; Repeat; Signal; Transmembrane; Transmembrane helix</t>
  </si>
  <si>
    <t>anatomical structure morphogenesis {GO:0009653}; cell adhesion {GO:0007155}; cell communication {GO:0007154}; embryonic digit morphogenesis {GO:0042733}; eye development {GO:0001654}; heart development {GO:0007507}; inner ear development {GO:0048839}; kidney development {GO:0001822}; morphogenesis of an epithelium {GO:0002009}</t>
  </si>
  <si>
    <t>basement membrane {GO:0005604}; collagen-containing extracellular matrix {GO:0062023}; integral component of membrane {GO:0016021}; plasma membrane {GO:0005886}</t>
  </si>
  <si>
    <t>sp|Q8K2Q0|COMD9_MOUSE</t>
  </si>
  <si>
    <t>COMM domain-containing protein 9</t>
  </si>
  <si>
    <t>COMD9_MOUSE</t>
  </si>
  <si>
    <t>Q8K2Q0</t>
  </si>
  <si>
    <t>Q3U3J2; Q7TNP5; Q811K2; Q9D8V8</t>
  </si>
  <si>
    <t>MGI:1923751</t>
  </si>
  <si>
    <t>Acetylation; Cytoplasmic vesicle; Ion transport; Nucleus; Sodium; Sodium transport; Transcription; Transcription regulation; Transport; Ubl conjugation pathway</t>
  </si>
  <si>
    <t>cholesterol homeostasis {GO:0042632}; sodium ion transport {GO:0006814}</t>
  </si>
  <si>
    <t>cytoplasmic vesicle {GO:0031410}; cytosol {GO:0005829}; Golgi apparatus {GO:0005794}; nucleoplasm {GO:0005654}</t>
  </si>
  <si>
    <t>sp|Q60809|CNOT7_MOUSE</t>
  </si>
  <si>
    <t>CCR4-NOT transcription complex subunit 7</t>
  </si>
  <si>
    <t>CCR4-associated factor 1 (CAF-1)</t>
  </si>
  <si>
    <t>CNOT7_MOUSE</t>
  </si>
  <si>
    <t>Q60809</t>
  </si>
  <si>
    <t>Caf1</t>
  </si>
  <si>
    <t>MGI:1298230</t>
  </si>
  <si>
    <t>Cytoplasm; Exonuclease; Hydrolase; Magnesium; Metal-binding; Nuclease; Nucleus; Repressor; RNA-binding; RNA-mediated gene silencing; Transcription; Transcription regulation; Translation regulation</t>
  </si>
  <si>
    <t>Exonuclease; Hydrolase; Nuclease; RNA-binding; Repressor</t>
  </si>
  <si>
    <t>deadenylation-dependent decapping of nuclear-transcribed mRNA {GO:0000290}; defense response to virus {GO:0051607}; exonucleolytic catabolism of deadenylated mRNA {GO:0043928}; gene silencing by RNA {GO:0031047}; negative regulation of cell population proliferation {GO:0008285}; negative regulation of DNA-templated transcription {GO:0045892}; negative regulation of gene expression {GO:0010629}; negative regulation of type I interferon-mediated signaling pathway {GO:0060339}; nuclear-transcribed mRNA poly(A) tail shortening {GO:0000289}; P-body assembly {GO:0033962}; positive regulation of cell population proliferation {GO:0008284}; positive regulation of mRNA catabolic process {GO:0061014}; positive regulation of nuclear-transcribed mRNA catabolic process, deadenylation-dependent decay {GO:1900153}; positive regulation of nuclear-transcribed mRNA poly(A) tail shortening {GO:0060213}; positive regulation of transcription by RNA polymerase II {GO:0045944}; positive regulation of viral genome replication {GO:0045070}; regulation of tyrosine phosphorylation of STAT protein {GO:0042509}</t>
  </si>
  <si>
    <t>CCR4-NOT complex {GO:0030014}; CCR4-NOT core complex {GO:0030015}; cytoplasm {GO:0005737}; nuclear body {GO:0016604}; nuclear speck {GO:0016607}; nucleus {GO:0005634}; P-body {GO:0000932}</t>
  </si>
  <si>
    <t>3'-5'-exoribonuclease activity {GO:0000175}; DNA-binding transcription factor binding {GO:0140297}; exoribonuclease activity {GO:0004532}; metal ion binding {GO:0046872}; poly(A)-specific ribonuclease activity {GO:0004535}; RNA binding {GO:0003723}; transcription corepressor activity {GO:0003714}</t>
  </si>
  <si>
    <t>sp|Q6NSQ7|LTV1_MOUSE</t>
  </si>
  <si>
    <t>Protein LTV1 homolog</t>
  </si>
  <si>
    <t>LTV1_MOUSE</t>
  </si>
  <si>
    <t>Q6NSQ7</t>
  </si>
  <si>
    <t>Q9D0F5</t>
  </si>
  <si>
    <t>MGI:2447810</t>
  </si>
  <si>
    <t>ribosomal small subunit biogenesis {GO:0042274}; ribosomal small subunit export from nucleus {GO:0000056}</t>
  </si>
  <si>
    <t>cytosol {GO:0005829}; nucleoplasm {GO:0005654}; nucleus {GO:0005634}; preribosome, small subunit precursor {GO:0030688}</t>
  </si>
  <si>
    <t>sp|Q8CE96|TRM6_MOUSE</t>
  </si>
  <si>
    <t>tRNA (adenine(58)-N(1))-methyltransferase non-catalytic subunit TRM6</t>
  </si>
  <si>
    <t>mRNA methyladenosine-N(1)-methyltransferase non-catalytic subunit TRM6; tRNA(m1A58)-methyltransferase subunit TRM6 (tRNA(m1A58)MTase subunit TRM6)</t>
  </si>
  <si>
    <t>TRM6_MOUSE</t>
  </si>
  <si>
    <t>Q8CE96</t>
  </si>
  <si>
    <t>Q3TJZ8; Q3TME7; Q6ZPW8; Q80Y59; Q8CEU0</t>
  </si>
  <si>
    <t>Kiaa1153; Trm6</t>
  </si>
  <si>
    <t>MGI:1914176</t>
  </si>
  <si>
    <t>Alternative splicing; Nucleus; Phosphoprotein; tRNA processing</t>
  </si>
  <si>
    <t>mRNA methylation {GO:0080009}; tRNA methylation {GO:0030488}</t>
  </si>
  <si>
    <t>nucleus {GO:0005634}; tRNA (m1A) methyltransferase complex {GO:0031515}</t>
  </si>
  <si>
    <t>sp|Q3UM29|COG7_MOUSE</t>
  </si>
  <si>
    <t>Conserved oligomeric Golgi complex subunit 7 (COG complex subunit 7)</t>
  </si>
  <si>
    <t>Component of oligomeric Golgi complex 7</t>
  </si>
  <si>
    <t>COG7_MOUSE</t>
  </si>
  <si>
    <t>Q3UM29</t>
  </si>
  <si>
    <t>Q3U3L7</t>
  </si>
  <si>
    <t>MGI:2685013</t>
  </si>
  <si>
    <t>glycosylation {GO:0070085}; Golgi organization {GO:0007030}; intracellular protein transport {GO:0006886}; protein glycosylation {GO:0006486}; protein localization to Golgi apparatus {GO:0034067}; protein localization to organelle {GO:0033365}; protein stabilization {GO:0050821}; retrograde transport, vesicle recycling within Golgi {GO:0000301}; retrograde vesicle-mediated transport, Golgi to endoplasmic reticulum {GO:0006890}</t>
  </si>
  <si>
    <t>Golgi apparatus {GO:0005794}; Golgi membrane {GO:0000139}; Golgi transport complex {GO:0017119}; intracellular membrane-bounded organelle {GO:0043231}; nucleolus {GO:0005730}</t>
  </si>
  <si>
    <t>sp|Q9CY57|CHTOP_MOUSE</t>
  </si>
  <si>
    <t>Chromatin target of PRMT1 protein</t>
  </si>
  <si>
    <t>Friend of PRMT1 protein; Small arginine- and glycine-rich protein (SRAG)</t>
  </si>
  <si>
    <t>CHTOP_MOUSE</t>
  </si>
  <si>
    <t>Q9CY57</t>
  </si>
  <si>
    <t>Q0VBG3; Q3U7V6; Q3UF43; Q3V105; Q5XJG9; Q8C5N4; Q9D7T3; Q9DB03; Q9DC54; Q9JJ95</t>
  </si>
  <si>
    <t>Fop</t>
  </si>
  <si>
    <t>MGI:1913761</t>
  </si>
  <si>
    <t>Acetylation; Alternative splicing; Isopeptide bond; Methylation; Nucleus; Phosphoprotein; RNA-binding; Transcription; Transcription regulation; Ubl conjugation</t>
  </si>
  <si>
    <t>in utero embryonic development {GO:0001701}; mRNA export from nucleus {GO:0006406}; positive regulation of ATP-dependent activity {GO:0032781}; positive regulation of cell population proliferation {GO:0008284}; positive regulation of helicase activity {GO:0051096}; positive regulation of histone methylation {GO:0031062}</t>
  </si>
  <si>
    <t>cytoplasmic ribonucleoprotein granule {GO:0036464}; nuclear speck {GO:0016607}; nucleolus {GO:0005730}; nucleus {GO:0005634}; transcription export complex {GO:0000346}</t>
  </si>
  <si>
    <t>methyl-CpG binding {GO:0008327}; mRNA binding {GO:0003729}</t>
  </si>
  <si>
    <t>sp|Q9WTS6|TEN3_MOUSE</t>
  </si>
  <si>
    <t>Teneurin-3 (Ten-3)</t>
  </si>
  <si>
    <t>Protein Odd Oz/ten-m homolog 3; Tenascin-M3 (Ten-m3); Teneurin transmembrane protein 3</t>
  </si>
  <si>
    <t>TEN3_MOUSE</t>
  </si>
  <si>
    <t>Q9WTS6</t>
  </si>
  <si>
    <t>A0A2K9QKY6; A0A2K9QKZ0; A0A2K9QL01; A0A2K9QL03; A0A2K9QL04; A0A2K9QL11; A0A2K9QL36; A0A2K9QL87; Q3UVR9; Q3UX72; Q80TD2; Q8BSL5; Q9CSV2; Q9JLC1</t>
  </si>
  <si>
    <t>MGI:1345183</t>
  </si>
  <si>
    <t>3D-structure; Alternative splicing; Cell adhesion; Cell membrane; Cell projection; Differentiation; Disulfide bond; EGF-like domain; Glycoprotein; Membrane; Repeat; Transmembrane; Transmembrane helix</t>
  </si>
  <si>
    <t>EGF-like domain; Repeat; Transmembrane; Transmembrane helix</t>
  </si>
  <si>
    <t>camera-type eye morphogenesis {GO:0048593}; heterophilic cell-cell adhesion via plasma membrane cell adhesion molecules {GO:0007157}; homophilic cell adhesion via plasma membrane adhesion molecules {GO:0007156}; neuron development {GO:0048666}; positive regulation of neuron projection development {GO:0010976}; regulation of homophilic cell adhesion {GO:1903385}; signal transduction {GO:0007165}</t>
  </si>
  <si>
    <t>axon {GO:0030424}; integral component of plasma membrane {GO:0005887}; membrane {GO:0016020}; neuron projection {GO:0043005}</t>
  </si>
  <si>
    <t>cell adhesion molecule binding {GO:0050839}; identical protein binding {GO:0042802}; protein heterodimerization activity {GO:0046982}; protein homodimerization activity {GO:0042803}</t>
  </si>
  <si>
    <t>sp|Q9CRA4|MSMO1_MOUSE</t>
  </si>
  <si>
    <t>Methylsterol monooxygenase 1</t>
  </si>
  <si>
    <t>C-4 methylsterol oxidase; Sterol-C4-methyl oxidase</t>
  </si>
  <si>
    <t>MSMO1_MOUSE</t>
  </si>
  <si>
    <t>Q9CRA4</t>
  </si>
  <si>
    <t>Q543V8</t>
  </si>
  <si>
    <t>Sc4mol</t>
  </si>
  <si>
    <t>MGI:1913484</t>
  </si>
  <si>
    <t>Cholesterol biosynthesis; Cholesterol metabolism; Endoplasmic reticulum; Iron; Lipid biosynthesis; Lipid metabolism; Membrane; NAD; Oxidoreductase; Steroid biosynthesis; Steroid metabolism; Sterol biosynthesis; Sterol metabolism; Transmembrane; Transmembrane helix</t>
  </si>
  <si>
    <t>Iron; NAD</t>
  </si>
  <si>
    <t>cholesterol biosynthetic process {GO:0006695}; sterol biosynthetic process {GO:0016126}</t>
  </si>
  <si>
    <t>C-4 methylsterol oxidase activity {GO:0000254}; iron ion binding {GO:0005506}; oxidoreductase activity {GO:0016491}</t>
  </si>
  <si>
    <t>sp|Q8JZN7|MIRO2_MOUSE</t>
  </si>
  <si>
    <t>Mitochondrial Rho GTPase 2 (MIRO-2)</t>
  </si>
  <si>
    <t>Ras homolog gene family member T2</t>
  </si>
  <si>
    <t>MIRO2_MOUSE</t>
  </si>
  <si>
    <t>Q8JZN7</t>
  </si>
  <si>
    <t>Arht2</t>
  </si>
  <si>
    <t>MGI:2384892</t>
  </si>
  <si>
    <t>Calcium; GTP-binding; Hydrolase; Membrane; Metal-binding; Mitochondrion; Mitochondrion outer membrane; Nucleotide-binding; Repeat; Transmembrane; Transmembrane helix; Ubl conjugation</t>
  </si>
  <si>
    <t>cellular homeostasis {GO:0019725}; mitochondrial outer membrane permeabilization {GO:0097345}; mitochondrion organization {GO:0007005}; mitochondrion transport along microtubule {GO:0047497}; regulation of mitochondrion organization {GO:0010821}; small GTPase mediated signal transduction {GO:0007264}</t>
  </si>
  <si>
    <t>integral component of mitochondrial outer membrane {GO:0031307}; mitochondrial inner membrane {GO:0005743}; mitochondrion {GO:0005739}</t>
  </si>
  <si>
    <t>RHOT2 GTPase cycle {R-MMU-9013419}</t>
  </si>
  <si>
    <t>sp|Q6DID3|SCAF8_MOUSE</t>
  </si>
  <si>
    <t>SR-related and CTD-associated factor 8</t>
  </si>
  <si>
    <t>RNA-binding motif protein 16</t>
  </si>
  <si>
    <t>SCAF8_MOUSE</t>
  </si>
  <si>
    <t>Q6DID3</t>
  </si>
  <si>
    <t>Q3TTX6; Q5U5V8; Q80TJ3; Q8C037</t>
  </si>
  <si>
    <t>MGI:1925212</t>
  </si>
  <si>
    <t>Isopeptide bond; Methylation; Nucleus; Phosphoprotein; RNA-binding; Transcription; Transcription regulation; Ubl conjugation</t>
  </si>
  <si>
    <t>mRNA polyadenylation {GO:0006378}; mRNA processing {GO:0006397}; negative regulation of termination of RNA polymerase II transcription, poly(A)-coupled {GO:2000805}; positive regulation of DNA-templated transcription, elongation {GO:0032786}; termination of RNA polymerase II transcription {GO:0006369}; transcription by RNA polymerase II {GO:0006366}</t>
  </si>
  <si>
    <t>cytoplasm {GO:0005737}; mRNA cleavage factor complex {GO:0005849}; nuclear matrix {GO:0016363}; nucleoplasm {GO:0005654}; nucleus {GO:0005634}</t>
  </si>
  <si>
    <t>mRNA binding {GO:0003729}; protein domain specific binding {GO:0019904}; RNA binding {GO:0003723}; RNA polymerase binding {GO:0070063}; RNA polymerase core enzyme binding {GO:0043175}; RNA polymerase II C-terminal domain phosphoserine binding {GO:1990269}; RNA polymerase II complex binding {GO:0000993}</t>
  </si>
  <si>
    <t>sp|Q9JI10|STK3_MOUSE</t>
  </si>
  <si>
    <t>Serine/threonine-protein kinase 3 20kDa subunit</t>
  </si>
  <si>
    <t>Mammalian STE20-like protein kinase 2 (MST-2); STE20-like kinase MST2 (MST2/N; MST2/C)</t>
  </si>
  <si>
    <t>STK3_MOUSE</t>
  </si>
  <si>
    <t>Q9JI10</t>
  </si>
  <si>
    <t>Q60877; Q80UG4; Q8CI58</t>
  </si>
  <si>
    <t>Mess1; Mst2</t>
  </si>
  <si>
    <t>MGI:1928487</t>
  </si>
  <si>
    <t>Acetylation; Alternative splicing; Apoptosis; ATP-binding; Coiled coil; Cytoplasm; Kinase; Magnesium; Metal-binding; Nucleotide-binding; Nucleus; Phosphoprotein; Serine/threonine-protein kinase; Transferase</t>
  </si>
  <si>
    <t>apoptotic process {GO:0006915}; canonical Wnt signaling pathway {GO:0060070}; cell differentiation involved in embryonic placenta development {GO:0060706}; cell population proliferation {GO:0008283}; central nervous system development {GO:0007417}; endocardium development {GO:0003157}; epithelial cell proliferation {GO:0050673}; extrinsic apoptotic signaling pathway via death domain receptors {GO:0008625}; hepatocyte apoptotic process {GO:0097284}; hippo signaling {GO:0035329}; intracellular signal transduction {GO:0035556}; JNK cascade {GO:0007254}; negative regulation of canonical Wnt signaling pathway {GO:0090090}; negative regulation of cell population proliferation {GO:0008285}; negative regulation of epithelial cell proliferation {GO:0050680}; negative regulation of organ growth {GO:0046621}; neural tube formation {GO:0001841}; organ growth {GO:0035265}; positive regulation of apoptotic process {GO:0043065}; positive regulation of DNA-binding transcription factor activity {GO:0051091}; positive regulation of extrinsic apoptotic signaling pathway via death domain receptors {GO:1902043}; positive regulation of fat cell differentiation {GO:0045600}; positive regulation of JNK cascade {GO:0046330}; positive regulation of protein binding {GO:0032092}; positive regulation of protein kinase B signaling {GO:0051897}; primitive hemopoiesis {GO:0060215}; protein import into nucleus {GO:0006606}; protein kinase B signaling {GO:0043491}; protein phosphorylation {GO:0006468}; protein stabilization {GO:0050821}; protein tetramerization {GO:0051262}; regulation of cell differentiation involved in embryonic placenta development {GO:0060800}; regulation of MAPK cascade {GO:0043408}</t>
  </si>
  <si>
    <t>ATP binding {GO:0005524}; identical protein binding {GO:0042802}; magnesium ion binding {GO:0000287}; protein kinase activity {GO:0004672}; protein serine kinase activity {GO:0106310}; protein serine/threonine kinase activity {GO:0004674}</t>
  </si>
  <si>
    <t>sp|Q9D1P2|KAT8_MOUSE</t>
  </si>
  <si>
    <t>Histone acetyltransferase KAT8</t>
  </si>
  <si>
    <t>Lysine acetyltransferase 8; MOZ, YBF2/SAS3, SAS2 and TIP60 protein 1 (MYST-1)</t>
  </si>
  <si>
    <t>KAT8_MOUSE</t>
  </si>
  <si>
    <t>Q9D1P2</t>
  </si>
  <si>
    <t>Q3UIY0; Q8BJ69; Q8BJ76; Q8CI73</t>
  </si>
  <si>
    <t>Mof; Myst1</t>
  </si>
  <si>
    <t>MGI:1915023</t>
  </si>
  <si>
    <t>3D-structure; Acetylation; Activator; Acyltransferase; Alternative splicing; Chromatin regulator; Chromosome; Metal-binding; Nucleus; Phosphoprotein; Transcription; Transcription regulation; Transferase; Zinc; Zinc-finger</t>
  </si>
  <si>
    <t>Activator; Acyltransferase; Chromatin regulator; Transferase</t>
  </si>
  <si>
    <t>chromatin organization {GO:0006325}; histone acetylation {GO:0016573}; histone H4-K16 acetylation {GO:0043984}; histone H4-K5 acetylation {GO:0043981}; histone H4-K8 acetylation {GO:0043982}; myeloid cell differentiation {GO:0030099}; negative regulation of DNA-templated transcription {GO:0045892}; positive regulation of DNA-templated transcription {GO:0045893}; positive regulation of histone H3-K4 methylation {GO:0051571}; positive regulation of transcription by RNA polymerase II {GO:0045944}; regulation of autophagy {GO:0010506}; regulation of dosage compensation by inactivation of X chromosome {GO:1900095}</t>
  </si>
  <si>
    <t>histone acetyltransferase complex {GO:0000123}; kinetochore {GO:0000776}; MLL1 complex {GO:0071339}; MSL complex {GO:0072487}; NSL complex {GO:0044545}; nuclear matrix {GO:0016363}; nucleoplasm {GO:0005654}; nucleus {GO:0005634}</t>
  </si>
  <si>
    <t>acetyltransferase activity {GO:0016407}; enzyme binding {GO:0019899}; H3 histone acetyltransferase activity {GO:0010484}; H4 histone acetyltransferase activity {GO:0010485}; histone acetyltransferase activity (H4-K16 specific) {GO:0046972}; histone acetyltransferase activity (H4-K5 specific) {GO:0043995}; histone acetyltransferase activity (H4-K8 specific) {GO:0043996}; histone binding {GO:0042393}; metal ion binding {GO:0046872}; methylated histone binding {GO:0035064}; RNA polymerase II-specific DNA-binding transcription factor binding {GO:0061629}; transcription coactivator activity {GO:0003713}; transcription coregulator activity {GO:0003712}</t>
  </si>
  <si>
    <t>sp|Q9ESW4|AGK_MOUSE</t>
  </si>
  <si>
    <t>Acylglycerol kinase, mitochondrial</t>
  </si>
  <si>
    <t>Multiple substrate lipid kinase (MuLK; Multi-substrate lipid kinase)</t>
  </si>
  <si>
    <t>AGK_MOUSE</t>
  </si>
  <si>
    <t>Q9ESW4</t>
  </si>
  <si>
    <t>Q9D087</t>
  </si>
  <si>
    <t>MGI:1917173</t>
  </si>
  <si>
    <t>Acetylation; Alternative splicing; ATP-binding; Kinase; Lipid metabolism; Membrane; Mitochondrion; Mitochondrion inner membrane; Nucleotide-binding; Transferase</t>
  </si>
  <si>
    <t>ceramide biosynthetic process {GO:0046513}; glycerolipid metabolic process {GO:0046486}; lipid phosphorylation {GO:0046834}; phosphorylation {GO:0016310}; protein insertion into mitochondrial inner membrane {GO:0045039}; sphingolipid metabolic process {GO:0006665}</t>
  </si>
  <si>
    <t>cytoplasm {GO:0005737}; integral component of mitochondrial inner membrane {GO:0031305}; intracellular membrane-bounded organelle {GO:0043231}; membrane {GO:0016020}; mitochondrial inner membrane {GO:0005743}; mitochondrial intermembrane space {GO:0005758}; mitochondrial membrane {GO:0031966}; mitochondrion {GO:0005739}; TIM22 mitochondrial import inner membrane insertion complex {GO:0042721}</t>
  </si>
  <si>
    <t>acylglycerol kinase activity {GO:0047620}; ATP binding {GO:0005524}; ceramide kinase activity {GO:0001729}; diacylglycerol kinase activity {GO:0004143}; dihydroceramide kinase activity {GO:0102773}; lipid kinase activity {GO:0001727}</t>
  </si>
  <si>
    <t>Lipid metabolism; glycerolipid metabolism.</t>
  </si>
  <si>
    <t>Glycerophospholipid biosynthesis {R-MMU-1483206}</t>
  </si>
  <si>
    <t>sp|P11157|RIR2_MOUSE</t>
  </si>
  <si>
    <t>Ribonucleoside-diphosphate reductase subunit M2</t>
  </si>
  <si>
    <t>Ribonucleotide reductase small chain; Ribonucleotide reductase small subunit</t>
  </si>
  <si>
    <t>RIR2_MOUSE</t>
  </si>
  <si>
    <t>P11157</t>
  </si>
  <si>
    <t>Q3UI23; Q542E2</t>
  </si>
  <si>
    <t>MGI:98181</t>
  </si>
  <si>
    <t>3D-structure; Cytoplasm; Deoxyribonucleotide synthesis; Iron; Metal-binding; Nucleus; Oxidoreductase; Phosphoprotein; Ubl conjugation</t>
  </si>
  <si>
    <t>2'-deoxyribonucleotide biosynthetic process {GO:0009265}; blastocyst development {GO:0001824}; deoxyribonucleotide biosynthetic process {GO:0009263}; deoxyribonucleotide metabolic process {GO:0009262}; DNA replication {GO:0006260}; mitotic cell cycle {GO:0000278}; positive regulation of cell population proliferation {GO:0008284}; positive regulation of G1/S transition of mitotic cell cycle {GO:1900087}; protein heterotetramerization {GO:0051290}; pyrimidine nucleobase metabolic process {GO:0006206}; ribonucleoside diphosphate metabolic process {GO:0009185}</t>
  </si>
  <si>
    <t>cytosol {GO:0005829}; nuclear envelope {GO:0005635}; ribonucleoside-diphosphate reductase complex {GO:0005971}</t>
  </si>
  <si>
    <t>ferric iron binding {GO:0008199}; identical protein binding {GO:0042802}; protein homodimerization activity {GO:0042803}; ribonucleoside-diphosphate reductase activity, thioredoxin disulfide as acceptor {GO:0004748}</t>
  </si>
  <si>
    <t>sp|O88822|SC5D_MOUSE</t>
  </si>
  <si>
    <t>Lathosterol oxidase</t>
  </si>
  <si>
    <t>C-5 sterol desaturase; Delta(7)-sterol 5-desaturase; Delta(7)-sterol C5(6)-desaturase; Lathosterol 5-desaturase; Sterol-C5-desaturase</t>
  </si>
  <si>
    <t>SC5D_MOUSE</t>
  </si>
  <si>
    <t>O88822</t>
  </si>
  <si>
    <t>Q8BGI0</t>
  </si>
  <si>
    <t>Sc5dl</t>
  </si>
  <si>
    <t>MGI:1353611</t>
  </si>
  <si>
    <t>Endoplasmic reticulum; Iron; Lipid biosynthesis; Lipid metabolism; Membrane; Oxidoreductase; Phosphoprotein; Steroid biosynthesis; Steroid metabolism; Sterol biosynthesis; Sterol metabolism; Transmembrane; Transmembrane helix</t>
  </si>
  <si>
    <t>cholesterol biosynthetic process via lathosterol {GO:0033490}; sterol biosynthetic process {GO:0016126}</t>
  </si>
  <si>
    <t>endoplasmic reticulum membrane {GO:0005789}; integral component of membrane {GO:0016021}; intracellular membrane-bounded organelle {GO:0043231}; membrane {GO:0016020}</t>
  </si>
  <si>
    <t>C-5 sterol desaturase activity {GO:0000248}; delta7-sterol 5(6)-desaturase activity {GO:0050046}; iron ion binding {GO:0005506}; oxidoreductase activity {GO:0016491}</t>
  </si>
  <si>
    <t>Cholesterol biosynthesis via desmosterol {R-MMU-6807047}; Cholesterol biosynthesis via lathosterol {R-MMU-6807062}</t>
  </si>
  <si>
    <t>sp|Q8BZ98|DYN3_MOUSE</t>
  </si>
  <si>
    <t>Dynamin-3</t>
  </si>
  <si>
    <t>DYN3_MOUSE</t>
  </si>
  <si>
    <t>Q8BZ98</t>
  </si>
  <si>
    <t>B2RUH0; Q3UGY9; Q80TR2; Q8BWW6</t>
  </si>
  <si>
    <t>Kiaa0820</t>
  </si>
  <si>
    <t>MGI:1341299</t>
  </si>
  <si>
    <t>Acetylation; Alternative splicing; Cytoplasm; Cytoskeleton; Endocytosis; GTP-binding; Hydrolase; Microtubule; Motor protein; Nucleotide-binding; Phosphoprotein</t>
  </si>
  <si>
    <t>endocytosis {GO:0006897}; filopodium assembly {GO:0046847}; negative regulation of dendritic spine morphogenesis {GO:0061002}; positive regulation of filopodium assembly {GO:0051491}; positive regulation of synaptic vesicle recycling {GO:1903423}; postsynaptic neurotransmitter receptor internalization {GO:0098884}; receptor internalization {GO:0031623}; regulation of dendritic spine morphogenesis {GO:0061001}; synapse assembly {GO:0007416}; synaptic vesicle budding from presynaptic endocytic zone membrane {GO:0016185}; synaptic vesicle endocytosis {GO:0048488}</t>
  </si>
  <si>
    <t>apical tubulobulbar complex {GO:0061828}; axon {GO:0030424}; basal tubulobulbar complex {GO:0061829}; cytoplasm {GO:0005737}; dendritic spine {GO:0043197}; dendritic spine head {GO:0044327}; glutamatergic synapse {GO:0098978}; Golgi apparatus {GO:0005794}; membrane {GO:0016020}; microtubule {GO:0005874}; mitochondrion {GO:0005739}; perinuclear region of cytoplasm {GO:0048471}; photoreceptor inner segment {GO:0001917}; plasma membrane {GO:0005886}; postsynaptic density {GO:0014069}; postsynaptic endocytic zone membrane {GO:0098844}; presynapse {GO:0098793}; synapse {GO:0045202}; synaptic cleft {GO:0043083}</t>
  </si>
  <si>
    <t>GTP binding {GO:0005525}; GTPase activity {GO:0003924}; identical protein binding {GO:0042802}; microtubule binding {GO:0008017}; nitric-oxide synthase binding {GO:0050998}; structural constituent of postsynapse {GO:0099186}; type 1 metabotropic glutamate receptor binding {GO:0031798}; type 5 metabotropic glutamate receptor binding {GO:0031802}</t>
  </si>
  <si>
    <t>Toll Like Receptor 4 (TLR4) Cascade {R-MMU-166016}; MHC class II antigen presentation {R-MMU-2132295}; Recycling pathway of L1 {R-MMU-437239}; Clathrin-mediated endocytosis {R-MMU-8856828}</t>
  </si>
  <si>
    <t>sp|E9Q6B2|CC85C_MOUSE</t>
  </si>
  <si>
    <t>Coiled-coil domain-containing protein 85C</t>
  </si>
  <si>
    <t>CC85C_MOUSE</t>
  </si>
  <si>
    <t>E9Q6B2</t>
  </si>
  <si>
    <t>MGI:3644008</t>
  </si>
  <si>
    <t>Acetylation; Cell junction; Coiled coil; Developmental protein; Phosphoprotein; Tight junction</t>
  </si>
  <si>
    <t>cerebral cortex development {GO:0021987}</t>
  </si>
  <si>
    <t>adherens junction {GO:0005912}; apical junction complex {GO:0043296}; bicellular tight junction {GO:0005923}</t>
  </si>
  <si>
    <t>sp|Q9DC48|PRP17_MOUSE</t>
  </si>
  <si>
    <t>Pre-mRNA-processing factor 17</t>
  </si>
  <si>
    <t>Cell division cycle 40 homolog; PRP17 homolog</t>
  </si>
  <si>
    <t>PRP17_MOUSE</t>
  </si>
  <si>
    <t>Q9DC48</t>
  </si>
  <si>
    <t>B2RY33</t>
  </si>
  <si>
    <t>Prp17; Prpf17</t>
  </si>
  <si>
    <t>MGI:1918963</t>
  </si>
  <si>
    <t>mRNA processing; mRNA splicing; Nucleus; Repeat; Spliceosome; WD repeat</t>
  </si>
  <si>
    <t>embryonic brain development {GO:1990403}; mRNA splicing, via spliceosome {GO:0000398}</t>
  </si>
  <si>
    <t>catalytic step 2 spliceosome {GO:0071013}; nuclear speck {GO:0016607}; nucleoplasm {GO:0005654}; U2-type catalytic step 2 spliceosome {GO:0071007}</t>
  </si>
  <si>
    <t>sp|P39654|LOX15_MOUSE</t>
  </si>
  <si>
    <t>Polyunsaturated fatty acid lipoxygenase ALOX15</t>
  </si>
  <si>
    <t>12/15-lipoxygenase (12/15-LO); Arachidonate 12-lipoxygenase, leukocyte-type (12-LOX; L-12LO); Arachidonate 15-lipoxygenase (15-LOX); Arachidonate omega-6 lipoxygenase; Hepoxilin A3 synthase Alox15; Linoleate 13S-lipoxygenase</t>
  </si>
  <si>
    <t>LOX15_MOUSE</t>
  </si>
  <si>
    <t>P39654</t>
  </si>
  <si>
    <t>Q4FJY9; Q5F2E3; Q6PHB2</t>
  </si>
  <si>
    <t>Alox12l</t>
  </si>
  <si>
    <t>MGI:87997</t>
  </si>
  <si>
    <t>Calcium; Cell membrane; Cytoplasm; Dioxygenase; Fatty acid metabolism; Iron; Lipid droplet; Lipid metabolism; Lipid-binding; Membrane; Metal-binding; Oxidoreductase</t>
  </si>
  <si>
    <t>Cell membrane; Cytoplasm; Lipid droplet; Membrane</t>
  </si>
  <si>
    <t>Calcium; Iron; Lipid-binding; Metal-binding</t>
  </si>
  <si>
    <t>apoptotic cell clearance {GO:0043277}; arachidonic acid metabolic process {GO:0019369}; bone mineralization {GO:0030282}; cellular response to calcium ion {GO:0071277}; cellular response to interleukin-13 {GO:0035963}; fatty acid oxidation {GO:0019395}; hepoxilin biosynthetic process {GO:0051122}; linoleic acid metabolic process {GO:0043651}; lipid metabolic process {GO:0006629}; lipid oxidation {GO:0034440}; lipoxin A4 biosynthetic process {GO:2001303}; lipoxygenase pathway {GO:0019372}; negative regulation of adaptive immune response {GO:0002820}; ossification {GO:0001503}; phosphatidylethanolamine biosynthetic process {GO:0006646}; positive regulation of actin filament polymerization {GO:0030838}; positive regulation of cell-substrate adhesion {GO:0010811}; positive regulation of ERK1 and ERK2 cascade {GO:0070374}; positive regulation of heterotypic cell-cell adhesion {GO:0034116}; regulation of engulfment of apoptotic cell {GO:1901074}; regulation of inflammatory response {GO:0050727}; regulation of peroxisome proliferator activated receptor signaling pathway {GO:0035358}; response to endoplasmic reticulum stress {GO:0034976}; wound healing {GO:0042060}</t>
  </si>
  <si>
    <t>cytoplasm {GO:0005737}; cytosol {GO:0005829}; extrinsic component of cytoplasmic side of plasma membrane {GO:0031234}; lipid droplet {GO:0005811}; membrane {GO:0016020}; plasma membrane {GO:0005886}</t>
  </si>
  <si>
    <t>arachidonate 12(S)-lipoxygenase activity {GO:0004052}; arachidonate 15-lipoxygenase activity {GO:0050473}; hepoxilin A3 synthase activity {GO:0051120}; hepoxilin-epoxide hydrolase activity {GO:0047977}; iron ion binding {GO:0005506}; linoleate 13S-lipoxygenase activity {GO:0016165}; oxidoreductase activity, acting on single donors with incorporation of molecular oxygen, incorporation of two atoms of oxygen {GO:0016702}; phosphatidylinositol-4,5-bisphosphate binding {GO:0005546}</t>
  </si>
  <si>
    <t>Lipid metabolism; hydroperoxy eicosatetraenoic acid biosynthesis..</t>
  </si>
  <si>
    <t>Synthesis of Leukotrienes (LT) and Eoxins (EX) {R-MMU-2142691}; Synthesis of 12-eicosatetraenoic acid derivatives {R-MMU-2142712}; Synthesis of 15-eicosatetraenoic acid derivatives {R-MMU-2142770}; Biosynthesis of DHA-derived SPMs {R-MMU-9018677}; Biosynthesis of protectins {R-MMU-9018681}; Biosynthesis of E-series 18(S)-resolvins {R-MMU-9018896}; Biosynthesis of E-series 18(R)-resolvins {R-MMU-9023661}; Biosynthesis of DPAn-6 SPMs {R-MMU-9025106}; Biosynthesis of DPAn-3-derived protectins and resolvins {R-MMU-9026286}</t>
  </si>
  <si>
    <t>sp|Q8CD10|MICU2_MOUSE</t>
  </si>
  <si>
    <t>Calcium uptake protein 2, mitochondrial</t>
  </si>
  <si>
    <t>EF-hand domain-containing family member A1</t>
  </si>
  <si>
    <t>MICU2_MOUSE</t>
  </si>
  <si>
    <t>Q8CD10</t>
  </si>
  <si>
    <t>Q3TJU4; Q8K0K2; Q9CUR8</t>
  </si>
  <si>
    <t>Efha1</t>
  </si>
  <si>
    <t>MGI:1915764</t>
  </si>
  <si>
    <t>3D-structure; Disulfide bond; Mitochondrion; Phosphoprotein; Repeat; Transit peptide</t>
  </si>
  <si>
    <t>calcium import into the mitochondrion {GO:0036444}; mitochondrial calcium ion homeostasis {GO:0051560}; mitochondrial calcium ion transmembrane transport {GO:0006851}; negative regulation of mitochondrial calcium ion concentration {GO:0051562}; positive regulation of mitochondrial calcium ion concentration {GO:0051561}</t>
  </si>
  <si>
    <t>calcium channel complex {GO:0034704}; mitochondrial inner membrane {GO:0005743}; mitochondrial intermembrane space {GO:0005758}; mitochondrion {GO:0005739}; uniplex complex {GO:1990246}</t>
  </si>
  <si>
    <t>calcium ion binding {GO:0005509}; protein heterodimerization activity {GO:0046982}</t>
  </si>
  <si>
    <t>sp|B1AZI6|THOC2_MOUSE</t>
  </si>
  <si>
    <t>THO complex subunit 2 (Tho2)</t>
  </si>
  <si>
    <t>THOC2_MOUSE</t>
  </si>
  <si>
    <t>B1AZI6</t>
  </si>
  <si>
    <t>MGI:2442413</t>
  </si>
  <si>
    <t>Coiled coil; mRNA processing; mRNA splicing; mRNA transport; Nucleus; Phosphoprotein; RNA-binding; Transport</t>
  </si>
  <si>
    <t>blastocyst development {GO:0001824}; cell morphogenesis {GO:0000902}; generation of neurons {GO:0048699}; mRNA export from nucleus {GO:0006406}; mRNA processing {GO:0006397}; negative regulation of neuron projection development {GO:0010977}; neuron development {GO:0048666}; poly(A)+ mRNA export from nucleus {GO:0016973}; regulation of gene expression {GO:0010468}; regulation of mRNA export from nucleus {GO:0010793}; RNA splicing {GO:0008380}; stem cell division {GO:0017145}; viral mRNA export from host cell nucleus {GO:0046784}</t>
  </si>
  <si>
    <t>chromosome, telomeric region {GO:0000781}; nuclear speck {GO:0016607}; nucleus {GO:0005634}; THO complex {GO:0000347}; THO complex part of transcription export complex {GO:0000445}; transcription export complex {GO:0000346}</t>
  </si>
  <si>
    <t>sp|Q5U4D9|THOC6_MOUSE</t>
  </si>
  <si>
    <t>THO complex subunit 6 homolog</t>
  </si>
  <si>
    <t>WD repeat-containing protein 58</t>
  </si>
  <si>
    <t>THOC6_MOUSE</t>
  </si>
  <si>
    <t>Q5U4D9</t>
  </si>
  <si>
    <t>Wdr58</t>
  </si>
  <si>
    <t>MGI:2677480</t>
  </si>
  <si>
    <t>Apoptosis; Developmental protein; mRNA processing; mRNA splicing; mRNA transport; Nucleus; Phosphoprotein; Repeat; RNA-binding; Transport; WD repeat</t>
  </si>
  <si>
    <t>Apoptosis; Transport; mRNA processing; mRNA splicing; mRNA transport</t>
  </si>
  <si>
    <t>apoptotic process {GO:0006915}; central nervous system development {GO:0007417}; mRNA export from nucleus {GO:0006406}; mRNA processing {GO:0006397}; negative regulation of apoptotic process {GO:0043066}; RNA splicing {GO:0008380}; viral mRNA export from host cell nucleus {GO:0046784}</t>
  </si>
  <si>
    <t>chromosome, telomeric region {GO:0000781}; nuclear body {GO:0016604}; nuclear speck {GO:0016607}; nucleoplasm {GO:0005654}; nucleus {GO:0005634}; THO complex {GO:0000347}; THO complex part of transcription export complex {GO:0000445}; transcription export complex {GO:0000346}</t>
  </si>
  <si>
    <t>sp|Q9CWQ0|DPH5_MOUSE</t>
  </si>
  <si>
    <t>Diphthine methyl ester synthase</t>
  </si>
  <si>
    <t>Diphthamide biosynthesis methyltransferase</t>
  </si>
  <si>
    <t>DPH5_MOUSE</t>
  </si>
  <si>
    <t>Q9CWQ0</t>
  </si>
  <si>
    <t>Q6PAC5</t>
  </si>
  <si>
    <t>MGI:1916990</t>
  </si>
  <si>
    <t>Methyltransferase; Phosphoprotein; S-adenosyl-L-methionine; Transferase</t>
  </si>
  <si>
    <t>methylation {GO:0032259}; peptidyl-diphthamide biosynthetic process from peptidyl-histidine {GO:0017183}</t>
  </si>
  <si>
    <t>diphthine synthase activity {GO:0004164}</t>
  </si>
  <si>
    <t>Protein modification; peptidyl-diphthamide biosynthesis.</t>
  </si>
  <si>
    <t>Synthesis of diphthamide-EEF2 {R-MMU-5358493}</t>
  </si>
  <si>
    <t>sp|Q6PCP5|MFF_MOUSE</t>
  </si>
  <si>
    <t>Mitochondrial fission factor</t>
  </si>
  <si>
    <t>MFF_MOUSE</t>
  </si>
  <si>
    <t>Q6PCP5</t>
  </si>
  <si>
    <t>Q3UT87; Q91VG0; Q9D3P5</t>
  </si>
  <si>
    <t>MGI:1922984</t>
  </si>
  <si>
    <t>Alternative splicing; Coiled coil; Cytoplasmic vesicle; Membrane; Mitochondrion; Mitochondrion outer membrane; Peroxisome; Phosphoprotein; Synapse; Transmembrane; Transmembrane helix</t>
  </si>
  <si>
    <t>Cytoplasmic vesicle; Membrane; Mitochondrion; Mitochondrion outer membrane; Peroxisome; Synapse</t>
  </si>
  <si>
    <t>mitochondrial fission {GO:0000266}; mitochondrial fragmentation involved in apoptotic process {GO:0043653}; mitochondrial fusion {GO:0008053}; mitochondrion morphogenesis {GO:0070584}; peroxisome fission {GO:0016559}; positive regulation of cardiac muscle cell apoptotic process {GO:0010666}; positive regulation of mitochondrial fission {GO:0090141}; positive regulation of protein targeting to membrane {GO:0090314}; positive regulation of release of cytochrome c from mitochondria {GO:0090200}; positive regulation of synaptic vesicle endocytosis {GO:1900244}; protein targeting to mitochondrion {GO:0006626}; regulation of mitochondrion organization {GO:0010821}; regulation of peroxisome organization {GO:1900063}; release of cytochrome c from mitochondria {GO:0001836}</t>
  </si>
  <si>
    <t>anchoring junction {GO:0070161}; integral component of mitochondrial membrane {GO:0032592}; integral component of mitochondrial outer membrane {GO:0031307}; mitochondrial membrane {GO:0031966}; mitochondrial outer membrane {GO:0005741}; mitochondrion {GO:0005739}; peroxisome {GO:0005777}; protein-containing complex {GO:0032991}; synaptic vesicle {GO:0008021}; synaptic vesicle membrane {GO:0030672}</t>
  </si>
  <si>
    <t>GTPase binding {GO:0051020}; identical protein binding {GO:0042802}; protein homodimerization activity {GO:0042803}; protein-containing complex binding {GO:0044877}</t>
  </si>
  <si>
    <t>sp|Q9D328|NACHO_MOUSE</t>
  </si>
  <si>
    <t>Novel acetylcholine receptor chaperone</t>
  </si>
  <si>
    <t>Peroxisomal membrane protein 52 (PMP52); Transmembrane protein 35A</t>
  </si>
  <si>
    <t>NACHO_MOUSE</t>
  </si>
  <si>
    <t>Q9D328</t>
  </si>
  <si>
    <t>Q9DB64</t>
  </si>
  <si>
    <t>MGI:1914814</t>
  </si>
  <si>
    <t>Chaperone; Cytoplasmic vesicle; Endoplasmic reticulum; Membrane; Peroxisome; Transmembrane; Transmembrane helix</t>
  </si>
  <si>
    <t>Cytoplasmic vesicle; Endoplasmic reticulum; Membrane; Peroxisome</t>
  </si>
  <si>
    <t>chaperone-mediated protein complex assembly {GO:0051131}; positive regulation of protein localization to cell surface {GO:2000010}</t>
  </si>
  <si>
    <t>cytoplasmic vesicle {GO:0031410}; endoplasmic reticulum {GO:0005783}; endoplasmic reticulum membrane {GO:0005789}; integral component of membrane {GO:0016021}; peroxisomal membrane {GO:0005778}</t>
  </si>
  <si>
    <t>acetylcholine receptor regulator activity {GO:0030548}</t>
  </si>
  <si>
    <t>sp|Q61011|GBB3_MOUSE</t>
  </si>
  <si>
    <t>Guanine nucleotide-binding protein G(I)/G(S)/G(T) subunit beta-3</t>
  </si>
  <si>
    <t>Transducin beta chain 3</t>
  </si>
  <si>
    <t>GBB3_MOUSE</t>
  </si>
  <si>
    <t>Q61011</t>
  </si>
  <si>
    <t>MGI:95785</t>
  </si>
  <si>
    <t>Repeat; Transducer; WD repeat</t>
  </si>
  <si>
    <t>cell volume homeostasis {GO:0006884}; G protein-coupled receptor signaling pathway {GO:0007186}; regulation of cholesterol metabolic process {GO:0090181}; regulation of fat cell differentiation {GO:0045598}; regulation of gene expression {GO:0010468}; regulation of glucose metabolic process {GO:0010906}; regulation of hormone metabolic process {GO:0032350}; regulation of phospholipid metabolic process {GO:1903725}; regulation of triglyceride metabolic process {GO:0090207}</t>
  </si>
  <si>
    <t>cell body {GO:0044297}; cytoplasm {GO:0005737}; dendrite {GO:0030425}; heterotrimeric G-protein complex {GO:0005834}; neuron projection {GO:0043005}</t>
  </si>
  <si>
    <t>GTPase activity {GO:0003924}; GTPase binding {GO:0051020}; signaling receptor complex adaptor activity {GO:0030159}; spectrin binding {GO:0030507}</t>
  </si>
  <si>
    <t>Activation of G protein gated Potassium channels {R-MMU-1296041}; G-protein activation {R-MMU-202040}; Glucagon-like Peptide-1 (GLP1) regulates insulin secretion {R-MMU-381676}; Synthesis, secretion, and inactivation of Glucagon-like Peptide-1 (GLP-1) {R-MMU-381771}; ADP signalling through P2Y purinoceptor 12 {R-MMU-392170}; G beta:gamma signalling through PI3Kgamma {R-MMU-392451}; Prostacyclin signalling through prostacyclin receptor {R-MMU-392851}; Adrenaline,noradrenaline inhibits insulin secretion {R-MMU-400042}; Ca2+ pathway {R-MMU-4086398}; G alpha (q) signalling events {R-MMU-416476}; G alpha (12/13) signalling events {R-MMU-416482}; G beta:gamma signalling through PLC beta {R-MMU-418217}; G alpha (s) signalling events {R-MMU-418555}; ADP signalling through P2Y purinoceptor 1 {R-MMU-418592}; G alpha (i) signalling events {R-MMU-418594}; G alpha (z) signalling events {R-MMU-418597}; Glucagon-type ligand receptors {R-MMU-420092}; Thromboxane signalling through TP receptor {R-MMU-428930}; Vasopressin regulates renal water homeostasis via Aquaporins {R-MMU-432040}; Thrombin signalling through proteinase activated receptors (PARs) {R-MMU-456926}; Presynaptic function of Kainate receptors {R-MMU-500657}; Cooperation of PDCL (PhLP1) and TRiC/CCT in G-protein beta folding {R-MMU-6814122}; G beta:gamma signalling through BTK {R-MMU-8964315}; G beta:gamma signalling through CDC42 {R-MMU-8964616}; Extra-nuclear estrogen signaling {R-MMU-9009391}; GPER1 signaling {R-MMU-9634597}; Sensory perception of sweet, bitter, and umami (glutamate) taste {R-MMU-9717207}; Inhibition of voltage gated Ca2+ channels via Gbeta/gamma subunits {R-MMU-997272}</t>
  </si>
  <si>
    <t>sp|Q9CRA8|EXOS5_MOUSE</t>
  </si>
  <si>
    <t>Exosome complex component RRP46</t>
  </si>
  <si>
    <t>Exosome component 5; Ribosomal RNA-processing protein 46</t>
  </si>
  <si>
    <t>EXOS5_MOUSE</t>
  </si>
  <si>
    <t>Q9CRA8</t>
  </si>
  <si>
    <t>Q8K1J2</t>
  </si>
  <si>
    <t>D7Wsu180e; Rrp46</t>
  </si>
  <si>
    <t>MGI:107889</t>
  </si>
  <si>
    <t>Cytoplasm; Exosome; Nucleus; Phosphoprotein; RNA-binding; rRNA processing</t>
  </si>
  <si>
    <t>defense response to virus {GO:0051607}; DNA deamination {GO:0045006}; exonucleolytic catabolism of deadenylated mRNA {GO:0043928}; nuclear mRNA surveillance {GO:0071028}; nuclear-transcribed mRNA catabolic process, exonucleolytic, 3'-5' {GO:0034427}; polyadenylation-dependent snoRNA 3'-end processing {GO:0071051}; RNA catabolic process {GO:0006401}; RNA processing {GO:0006396}; rRNA catabolic process {GO:0016075}; rRNA processing {GO:0006364}; U4 snRNA 3'-end processing {GO:0034475}</t>
  </si>
  <si>
    <t>cytoplasmic exosome (RNase complex) {GO:0000177}; cytosol {GO:0005829}; euchromatin {GO:0000791}; exosome (RNase complex) {GO:0000178}; nuclear exosome (RNase complex) {GO:0000176}; nucleolar exosome (RNase complex) {GO:0101019}; nucleolus {GO:0005730}; nucleoplasm {GO:0005654}; nucleus {GO:0005634}</t>
  </si>
  <si>
    <t>sp|Q9D4H9|PHF14_MOUSE</t>
  </si>
  <si>
    <t>PHD finger protein 14</t>
  </si>
  <si>
    <t>PHF14_MOUSE</t>
  </si>
  <si>
    <t>Q9D4H9</t>
  </si>
  <si>
    <t>Q810Z6; Q8C284; Q8CGF8; Q9D1Q8</t>
  </si>
  <si>
    <t>MGI:1923539</t>
  </si>
  <si>
    <t>Alternative splicing; Chromosome; Coiled coil; Cytoplasm; Metal-binding; Nucleus; Phosphoprotein; Repeat; Repressor; Transcription; Transcription regulation; Zinc; Zinc-finger</t>
  </si>
  <si>
    <t>germinal center B cell differentiation {GO:0002314}; lung alveolus development {GO:0048286}; mesenchymal cell proliferation {GO:0010463}; mesenchymal cell proliferation involved in lung development {GO:0060916}; negative regulation of cell population proliferation {GO:0008285}; negative regulation of mesenchymal cell proliferation {GO:0072201}; negative regulation of mesenchymal cell proliferation involved in lung development {GO:2000791}; negative regulation of platelet-derived growth factor receptor-alpha signaling pathway {GO:2000584}; negative regulation of transcription by RNA polymerase II {GO:0000122}; regulation of transcription by RNA polymerase II {GO:0006357}</t>
  </si>
  <si>
    <t>MOZ/MORF histone acetyltransferase complex {GO:0070776}; nucleus {GO:0005634}</t>
  </si>
  <si>
    <t>histone binding {GO:0042393}; histone reader activity {GO:0140566}; zinc ion binding {GO:0008270}</t>
  </si>
  <si>
    <t>sp|Q9D0I8|MRT4_MOUSE</t>
  </si>
  <si>
    <t>mRNA turnover protein 4 homolog</t>
  </si>
  <si>
    <t>Ribosome assembly factor Mrto4</t>
  </si>
  <si>
    <t>MRT4_MOUSE</t>
  </si>
  <si>
    <t>Q9D0I8</t>
  </si>
  <si>
    <t>Q99JR7</t>
  </si>
  <si>
    <t>Mrt4</t>
  </si>
  <si>
    <t>MGI:1917152</t>
  </si>
  <si>
    <t>Cytoplasm; Nucleus; Phosphoprotein; Ribosome biogenesis</t>
  </si>
  <si>
    <t>nuclear-transcribed mRNA catabolic process {GO:0000956}; ribosomal large subunit assembly {GO:0000027}; ribosomal large subunit biogenesis {GO:0042273}; rRNA processing {GO:0006364}</t>
  </si>
  <si>
    <t>cytoplasm {GO:0005737}; nucleolus {GO:0005730}; preribosome, large subunit precursor {GO:0030687}</t>
  </si>
  <si>
    <t>sp|P59242|CING_MOUSE</t>
  </si>
  <si>
    <t>Cingulin</t>
  </si>
  <si>
    <t>CING_MOUSE</t>
  </si>
  <si>
    <t>P59242</t>
  </si>
  <si>
    <t>Q05BC4; Q69ZM0; Q6P2K0</t>
  </si>
  <si>
    <t>Kiaa1319</t>
  </si>
  <si>
    <t>MGI:1927237</t>
  </si>
  <si>
    <t>Acetylation; Alternative splicing; Cell junction; Coiled coil; Phosphoprotein; Tight junction</t>
  </si>
  <si>
    <t>bicellular tight junction assembly {GO:0070830}; epithelial cell morphogenesis {GO:0003382}; microtubule cytoskeleton organization {GO:0000226}</t>
  </si>
  <si>
    <t>apical junction complex {GO:0043296}; bicellular tight junction {GO:0005923}; brush border {GO:0005903}; cell junction {GO:0030054}; myosin complex {GO:0016459}; plasma membrane {GO:0005886}</t>
  </si>
  <si>
    <t>actin binding {GO:0003779}; microtubule binding {GO:0008017}</t>
  </si>
  <si>
    <t>TGF-beta receptor signaling in EMT (epithelial to mesenchymal transition) {R-MMU-2173791}</t>
  </si>
  <si>
    <t>sp|P53564|CUX1_MOUSE</t>
  </si>
  <si>
    <t>CDP/Cux p110</t>
  </si>
  <si>
    <t>CCAAT displacement protein (CDP); Homeobox protein cux-1</t>
  </si>
  <si>
    <t>CUX1_MOUSE</t>
  </si>
  <si>
    <t>P53564</t>
  </si>
  <si>
    <t>O08994; P70301; Q571L6; Q91ZD2</t>
  </si>
  <si>
    <t>Cutl1; Cux; Kiaa4047</t>
  </si>
  <si>
    <t>MGI:88568</t>
  </si>
  <si>
    <t>Alternative splicing; Coiled coil; Developmental protein; DNA-binding; Homeobox; Isopeptide bond; Nucleus; Phosphoprotein; Repeat; Repressor; Transcription; Transcription regulation; Ubl conjugation</t>
  </si>
  <si>
    <t>Coiled coil; Homeobox; Repeat</t>
  </si>
  <si>
    <t>inner ear auditory receptor cell differentiation {GO:0042491}; kidney development {GO:0001822}; lung development {GO:0030324}; negative regulation of transcription by RNA polymerase II {GO:0000122}; positive regulation of dendrite morphogenesis {GO:0050775}; regulation of transcription by RNA polymerase II {GO:0006357}; retrograde transport, vesicle recycling within Golgi {GO:0000301}</t>
  </si>
  <si>
    <t>cytoplasm {GO:0005737}; Golgi apparatus {GO:0005794}; Golgi membrane {GO:0000139}; neuron projection {GO:0043005}; nucleoplasm {GO:0005654}; nucleus {GO:0005634}</t>
  </si>
  <si>
    <t>chromatin binding {GO:0003682}; DNA binding {GO:0003677}; DNA-binding transcription factor activity, RNA polymerase II-specific {GO:0000981}; protein-macromolecule adaptor activity {GO:0030674}; RNA polymerase II cis-regulatory region sequence-specific DNA binding {GO:0000978}; RNA polymerase II transcription regulatory region sequence-specific DNA binding {GO:0000977}; sequence-specific DNA binding {GO:0043565}; sequence-specific double-stranded DNA binding {GO:1990837}</t>
  </si>
  <si>
    <t>sp|Q9WV84|NDKM_MOUSE</t>
  </si>
  <si>
    <t>Nucleoside diphosphate kinase, mitochondrial (NDK; NDP kinase, mitochondrial)</t>
  </si>
  <si>
    <t>Nucleoside diphosphate kinase D (NDPKD); nm23-M4</t>
  </si>
  <si>
    <t>NDKM_MOUSE</t>
  </si>
  <si>
    <t>Q9WV84</t>
  </si>
  <si>
    <t>MGI:1931148</t>
  </si>
  <si>
    <t>ATP-binding; Kinase; Lipid-binding; Magnesium; Membrane; Metal-binding; Mitochondrion; Nucleotide metabolism; Nucleotide-binding; Transferase; Transit peptide</t>
  </si>
  <si>
    <t>ATP-binding; Lipid-binding; Magnesium; Metal-binding; Nucleotide-binding</t>
  </si>
  <si>
    <t>CTP biosynthetic process {GO:0006241}; GTP biosynthetic process {GO:0006183}; lipid transport {GO:0006869}; nucleoside diphosphate phosphorylation {GO:0006165}; UTP biosynthetic process {GO:0006228}</t>
  </si>
  <si>
    <t>membrane {GO:0016020}; mitochondrial intermembrane space {GO:0005758}; mitochondrial matrix {GO:0005759}; mitochondrion {GO:0005739}</t>
  </si>
  <si>
    <t>ATP binding {GO:0005524}; cardiolipin binding {GO:1901612}; metal ion binding {GO:0046872}; nucleoside diphosphate kinase activity {GO:0004550}</t>
  </si>
  <si>
    <t>sp|Q3UQA7|SELH_MOUSE</t>
  </si>
  <si>
    <t>Selenoprotein H (SelH)</t>
  </si>
  <si>
    <t>SELH_MOUSE</t>
  </si>
  <si>
    <t>Q3UQA7</t>
  </si>
  <si>
    <t>Q7TNQ0</t>
  </si>
  <si>
    <t>MGI:1919907</t>
  </si>
  <si>
    <t>Acetylation; Redox-active center; Selenocysteine</t>
  </si>
  <si>
    <t>tr|B2RXQ2|B2RXQ2_MOUSE</t>
  </si>
  <si>
    <t>sp|Q61102|ABCB7_MOUSE</t>
  </si>
  <si>
    <t>Iron-sulfur clusters transporter ABCB7, mitochondrial</t>
  </si>
  <si>
    <t>ATP-binding cassette sub-family B member 7, mitochondrial; ATP-binding cassette transporter 7 (ABC transporter 7 protein)</t>
  </si>
  <si>
    <t>ABCB7_MOUSE</t>
  </si>
  <si>
    <t>Q61102</t>
  </si>
  <si>
    <t>A2AC46; Q3U7S8</t>
  </si>
  <si>
    <t>Abc7</t>
  </si>
  <si>
    <t>MGI:109533</t>
  </si>
  <si>
    <t>Acetylation; ATP-binding; Membrane; Mitochondrion; Mitochondrion inner membrane; Nucleotide-binding; Phosphoprotein; Transit peptide; Transmembrane; Transmembrane helix; Transport</t>
  </si>
  <si>
    <t>cellular iron ion homeostasis {GO:0006879}; iron ion homeostasis {GO:0055072}; iron ion transmembrane transport {GO:0034755}; iron-sulfur cluster assembly {GO:0016226}; iron-sulfur cluster export from the mitochondrion {GO:0140466}; negative regulation of reactive oxygen species biosynthetic process {GO:1903427}; positive regulation of heme biosynthetic process {GO:0070455}; positive regulation of iron-sulfur cluster assembly {GO:1903331}; transmembrane transport {GO:0055085}</t>
  </si>
  <si>
    <t>ABC-type iron-sulfur cluster transporter activity {GO:0140481}; ATP binding {GO:0005524}; ATPase-coupled transmembrane transporter activity {GO:0042626}; protein homodimerization activity {GO:0042803}</t>
  </si>
  <si>
    <t>Mitochondrial ABC transporters {R-MMU-1369007}</t>
  </si>
  <si>
    <t>sp|Q9CR27|WASC3_MOUSE</t>
  </si>
  <si>
    <t>WASH complex subunit 3</t>
  </si>
  <si>
    <t>Coiled-coil domain-containing protein 53</t>
  </si>
  <si>
    <t>WASC3_MOUSE</t>
  </si>
  <si>
    <t>Q9CR27</t>
  </si>
  <si>
    <t>Q8K2X5; Q9D0Y7</t>
  </si>
  <si>
    <t>Ccdc53</t>
  </si>
  <si>
    <t>MGI:1914532</t>
  </si>
  <si>
    <t>Acetylation; Coiled coil; Endosome; Protein transport; Transport</t>
  </si>
  <si>
    <t>actin filament polymerization {GO:0030041}; endosomal transport {GO:0016197}; exocytosis {GO:0006887}; protein transport {GO:0015031}; regulation of Arp2/3 complex-mediated actin nucleation {GO:0034315}</t>
  </si>
  <si>
    <t>early endosome membrane {GO:0031901}; WASH complex {GO:0071203}</t>
  </si>
  <si>
    <t>sp|Q3UMR5|MCU_MOUSE</t>
  </si>
  <si>
    <t>Calcium uniporter protein, mitochondrial</t>
  </si>
  <si>
    <t>MCU_MOUSE</t>
  </si>
  <si>
    <t>Q3UMR5</t>
  </si>
  <si>
    <t>B2RTD1; Q3TTK3</t>
  </si>
  <si>
    <t>MGI:3026965</t>
  </si>
  <si>
    <t>Acetylation; Alternative splicing; Calcium; Calcium channel; Calcium transport; Coiled coil; Ion channel; Ion transport; Membrane; Mitochondrion; Mitochondrion inner membrane; Phosphoprotein; Transit peptide; Transmembrane; Transmembrane helix; Transport</t>
  </si>
  <si>
    <t>Calcium channel; Ion channel</t>
  </si>
  <si>
    <t>actin filament reorganization {GO:0090527}; calcium import into the mitochondrion {GO:0036444}; calcium-mediated signaling {GO:0019722}; glucose homeostasis {GO:0042593}; mitochondrial calcium ion homeostasis {GO:0051560}; mitochondrial calcium ion transmembrane transport {GO:0006851}; positive regulation of insulin secretion {GO:0032024}; positive regulation of mitochondrial calcium ion concentration {GO:0051561}; positive regulation of mitochondrial fission {GO:0090141}; positive regulation of neutrophil chemotaxis {GO:0090023}; protein complex oligomerization {GO:0051259}</t>
  </si>
  <si>
    <t>calcium channel complex {GO:0034704}; integral component of mitochondrial inner membrane {GO:0031305}; mitochondrial inner membrane {GO:0005743}; mitochondrion {GO:0005739}; uniplex complex {GO:1990246}</t>
  </si>
  <si>
    <t>calcium channel activity {GO:0005262}; identical protein binding {GO:0042802}; uniporter activity {GO:0015292}</t>
  </si>
  <si>
    <t>sp|Q6PAR5|GAPD1_MOUSE</t>
  </si>
  <si>
    <t>GTPase-activating protein and VPS9 domain-containing protein 1</t>
  </si>
  <si>
    <t>GAPex-5; Rab5-activating protein 6</t>
  </si>
  <si>
    <t>GAPD1_MOUSE</t>
  </si>
  <si>
    <t>Q6PAR5</t>
  </si>
  <si>
    <t>A0PJI8; A2AR09; A2AR10; A2AR17; A2AR18; Q3TNS1; Q3UDL0; Q3UYD5; Q6ZPP0; Q80V37; Q80ZK4; Q8BTS5; Q9CRS2; Q9CTI1</t>
  </si>
  <si>
    <t>Gapex5; Kiaa1521</t>
  </si>
  <si>
    <t>MGI:1913941</t>
  </si>
  <si>
    <t>Alternative splicing; Endocytosis; Endosome; GTPase activation; Guanine-nucleotide releasing factor; Membrane; Phosphoprotein</t>
  </si>
  <si>
    <t>endocytosis {GO:0006897}; regulation of GTPase activity {GO:0043087}; regulation of protein transport {GO:0051223}; signal transduction {GO:0007165}</t>
  </si>
  <si>
    <t>cytosol {GO:0005829}; endocytic vesicle {GO:0030139}; endosome {GO:0005768}; plasma membrane {GO:0005886}</t>
  </si>
  <si>
    <t>GTPase activating protein binding {GO:0032794}; GTPase activator activity {GO:0005096}; guanyl-nucleotide exchange factor activity {GO:0005085}; small GTPase binding {GO:0031267}</t>
  </si>
  <si>
    <t>Clathrin-mediated endocytosis {R-MMU-8856828}; RAB GEFs exchange GTP for GDP on RABs {R-MMU-8876198}</t>
  </si>
  <si>
    <t>sp|Q8CJF7|ELYS_MOUSE</t>
  </si>
  <si>
    <t>Protein ELYS</t>
  </si>
  <si>
    <t>Embryonic large molecule derived from yolk sac; Protein MEL-28; Putative AT-hook-containing transcription factor 1</t>
  </si>
  <si>
    <t>ELYS_MOUSE</t>
  </si>
  <si>
    <t>Q8CJF7</t>
  </si>
  <si>
    <t>B2RRC8; Q8BVJ5; Q8VD55</t>
  </si>
  <si>
    <t>Elys</t>
  </si>
  <si>
    <t>MGI:1915033</t>
  </si>
  <si>
    <t>3D-structure; Acetylation; Cell cycle; Cell division; Centromere; Chromosome; Cytoplasm; Developmental protein; DNA-binding; Kinetochore; Mitosis; mRNA transport; Nuclear pore complex; Nucleus; Phosphoprotein; Protein transport; Transcription; Translocation; Transport</t>
  </si>
  <si>
    <t>Cell cycle; Cell division; Mitosis; Protein transport; Transcription; Translocation; Transport; mRNA transport</t>
  </si>
  <si>
    <t>Centromere; Chromosome; Cytoplasm; Kinetochore; Nuclear pore complex; Nucleus</t>
  </si>
  <si>
    <t>cell cycle {GO:0007049}; cell division {GO:0051301}; hemopoiesis {GO:0030097}; mRNA transport {GO:0051028}; nuclear pore complex assembly {GO:0051292}; nucleocytoplasmic transport {GO:0006913}; protein transport {GO:0015031}; regulation of cytokinesis {GO:0032465}</t>
  </si>
  <si>
    <t>chromatin {GO:0000785}; cytoplasm {GO:0005737}; kinetochore {GO:0000776}; nuclear envelope {GO:0005635}; nuclear matrix {GO:0016363}; nuclear membrane {GO:0031965}; nuclear pore {GO:0005643}; nuclear pore outer ring {GO:0031080}; nucleoplasm {GO:0005654}; nucleus {GO:0005634}</t>
  </si>
  <si>
    <t>Amplification of signal from unattached kinetochores via a MAD2 inhibitory signal {R-MMU-141444}; Separation of Sister Chromatids {R-MMU-2467813}; Resolution of Sister Chromatid Cohesion {R-MMU-2500257}; RHO GTPases Activate Formins {R-MMU-5663220}; Mitotic Prometaphase {R-MMU-68877}; Postmitotic nuclear pore complex (NPC) reformation {R-MMU-9615933}; EML4 and NUDC in mitotic spindle formation {R-MMU-9648025}</t>
  </si>
  <si>
    <t>sp|Q3TCJ1|ABRX2_MOUSE</t>
  </si>
  <si>
    <t>BRISC complex subunit Abraxas 2</t>
  </si>
  <si>
    <t>Abraxas brother protein 1; Protein FAM175B</t>
  </si>
  <si>
    <t>ABRX2_MOUSE</t>
  </si>
  <si>
    <t>Q3TCJ1</t>
  </si>
  <si>
    <t>Q3TB08; Q8K0R4</t>
  </si>
  <si>
    <t>MGI:1926116</t>
  </si>
  <si>
    <t>Cell cycle; Cell division; Coiled coil; Cytoplasm; Cytoskeleton; Microtubule; Mitosis; Nucleus; Phosphoprotein; Ubl conjugation pathway</t>
  </si>
  <si>
    <t>attachment of spindle microtubules to kinetochore {GO:0008608}; cell division {GO:0051301}; cellular response to freezing {GO:0071497}; chromosome segregation {GO:0007059}; mitotic cell cycle {GO:0000278}; mitotic spindle assembly {GO:0090307}; negative regulation of apoptotic process {GO:0043066}; protein K63-linked deubiquitination {GO:0070536}; response to ischemia {GO:0002931}</t>
  </si>
  <si>
    <t>BRISC complex {GO:0070552}; centrosome {GO:0005813}; cytoplasm {GO:0005737}; microtubule minus-end {GO:0036449}; midbody {GO:0030496}; nucleus {GO:0005634}; spindle pole centrosome {GO:0031616}</t>
  </si>
  <si>
    <t>microtubule binding {GO:0008017}; polyubiquitin modification-dependent protein binding {GO:0031593}</t>
  </si>
  <si>
    <t>Metalloprotease DUBs {R-MMU-5689901}</t>
  </si>
  <si>
    <t>sp|Q9D7N3|RT09_MOUSE</t>
  </si>
  <si>
    <t>28S ribosomal protein S9, mitochondrial (MRP-S9; S9mt)</t>
  </si>
  <si>
    <t>RT09_MOUSE</t>
  </si>
  <si>
    <t>Q9D7N3</t>
  </si>
  <si>
    <t>Q14AZ3; Q6IS29; Q80W17</t>
  </si>
  <si>
    <t>MGI:1916777</t>
  </si>
  <si>
    <t>mitochondrial inner membrane {GO:0005743}; mitochondrial small ribosomal subunit {GO:0005763}; mitochondrion {GO:0005739}; nucleolus {GO:0005730}; small ribosomal subunit {GO:0015935}</t>
  </si>
  <si>
    <t>sp|Q8VDP3|MICA1_MOUSE</t>
  </si>
  <si>
    <t>[F-actin]-monooxygenase MICAL1</t>
  </si>
  <si>
    <t>Molecule interacting with CasL protein 1 (MICAL-1; mMical1); NEDD9-interacting protein with calponin homology and LIM domains</t>
  </si>
  <si>
    <t>MICA1_MOUSE</t>
  </si>
  <si>
    <t>Q8VDP3</t>
  </si>
  <si>
    <t>D3Z4C6; E9PXR1; Q3TB77; Q3TBH9; Q3TX89</t>
  </si>
  <si>
    <t>Mical; Nical</t>
  </si>
  <si>
    <t>MGI:2385847</t>
  </si>
  <si>
    <t>3D-structure; Actin-binding; Alternative splicing; Coiled coil; Cytoplasm; Cytoskeleton; FAD; Flavoprotein; LIM domain; Metal-binding; Monooxygenase; NADP; Oxidoreductase; Phosphoprotein; Zinc</t>
  </si>
  <si>
    <t>Coiled coil; LIM domain</t>
  </si>
  <si>
    <t>FAD; Flavoprotein; Metal-binding; NADP; Zinc</t>
  </si>
  <si>
    <t>Actin-binding; Monooxygenase; Oxidoreductase</t>
  </si>
  <si>
    <t>actin filament depolymerization {GO:0030042}; negative regulation of apoptotic process {GO:0043066}; negative regulation of cysteine-type endopeptidase activity involved in apoptotic process {GO:0043154}; negative regulation of protein phosphorylation {GO:0001933}; regulation of regulated secretory pathway {GO:1903305}; sulfur oxidation {GO:0019417}</t>
  </si>
  <si>
    <t>cytoplasm {GO:0005737}; cytoskeleton {GO:0005856}; hippocampal mossy fiber expansion {GO:1990026}; intercellular bridge {GO:0045171}; midbody {GO:0030496}</t>
  </si>
  <si>
    <t>actin binding {GO:0003779}; FAD binding {GO:0071949}; metal ion binding {GO:0046872}; monooxygenase activity {GO:0004497}; NAD(P)H oxidase H2O2-forming activity {GO:0016174}; NADPH oxidase H202-forming activity {GO:0106294}; oxidoreductase activity, acting on paired donors, with incorporation or reduction of molecular oxygen, NAD(P)H as one donor, and incorporation of one atom of oxygen {GO:0016709}; protein kinase binding {GO:0019901}; SH3 domain binding {GO:0017124}; small GTPase binding {GO:0031267}</t>
  </si>
  <si>
    <t>sp|Q80T85|DCAF5_MOUSE</t>
  </si>
  <si>
    <t>DDB1- and CUL4-associated factor 5</t>
  </si>
  <si>
    <t>WD repeat-containing protein 22</t>
  </si>
  <si>
    <t>DCAF5_MOUSE</t>
  </si>
  <si>
    <t>Q80T85</t>
  </si>
  <si>
    <t>Q80VT3; Q80ZW6; Q8BIP8; Q8BVK5; Q8K0Q6</t>
  </si>
  <si>
    <t>Kiaa1824; Wdr22</t>
  </si>
  <si>
    <t>MGI:2444785</t>
  </si>
  <si>
    <t>Phosphoprotein; Repeat; Ubl conjugation pathway; WD repeat</t>
  </si>
  <si>
    <t>Cul4-RING E3 ubiquitin ligase complex {GO:0080008}; cytoplasm {GO:0005737}; mitochondrion {GO:0005739}</t>
  </si>
  <si>
    <t>sp|Q8VDV3|R3GEF_MOUSE</t>
  </si>
  <si>
    <t>Guanine nucleotide exchange factor for Rab-3A</t>
  </si>
  <si>
    <t>Rab-3A-interacting-like protein 1 (Rab3A-interacting-like protein 1); Rabin3-like 1</t>
  </si>
  <si>
    <t>R3GEF_MOUSE</t>
  </si>
  <si>
    <t>Q8VDV3</t>
  </si>
  <si>
    <t>Q3TTM0</t>
  </si>
  <si>
    <t>MGI:1922010</t>
  </si>
  <si>
    <t>Alternative splicing; Coiled coil; Guanine-nucleotide releasing factor; Phosphoprotein; Protein transport; Transport</t>
  </si>
  <si>
    <t>exocytosis {GO:0006887}; protein transport {GO:0015031}</t>
  </si>
  <si>
    <t>Golgi to plasma membrane transport vesicle {GO:0070319}</t>
  </si>
  <si>
    <t>guanyl-nucleotide exchange factor activity {GO:0005085}; identical protein binding {GO:0042802}; kinase binding {GO:0019900}</t>
  </si>
  <si>
    <t>sp|O35114|SCRB2_MOUSE</t>
  </si>
  <si>
    <t>Lysosome membrane protein 2</t>
  </si>
  <si>
    <t>85 kDa lysosomal membrane sialoglycoprotein (LGP85); Lysosome membrane protein II (LIMP II); Scavenger receptor class B member 2</t>
  </si>
  <si>
    <t>SCRB2_MOUSE</t>
  </si>
  <si>
    <t>O35114</t>
  </si>
  <si>
    <t>Q3UNF8</t>
  </si>
  <si>
    <t>MGI:1196458</t>
  </si>
  <si>
    <t>Disulfide bond; Glycoprotein; Lipoprotein; Lysosome; Membrane; Palmitate; Receptor; Transmembrane; Transmembrane helix</t>
  </si>
  <si>
    <t>aminophospholipid transport {GO:0015917}; gene expression {GO:0010467}; positive regulation of neuron projection development {GO:0010976}; protein targeting to lysosome {GO:0006622}; receptor-mediated endocytosis {GO:0006898}; regulation of cellular carbohydrate catabolic process {GO:0043471}; regulation of glucosylceramidase activity {GO:1905123}; sensory perception of sound {GO:0007605}</t>
  </si>
  <si>
    <t>cytoplasm {GO:0005737}; endocytic vesicle membrane {GO:0030666}; integral component of membrane {GO:0016021}; lysosomal lumen {GO:0043202}; lysosomal membrane {GO:0005765}; plasma membrane {GO:0005886}</t>
  </si>
  <si>
    <t>cargo receptor activity {GO:0038024}; chaperone binding {GO:0051087}; cholesterol binding {GO:0015485}; enzyme binding {GO:0019899}; phosphatidylcholine binding {GO:0031210}; phosphatidylserine binding {GO:0001786}; protein homodimerization activity {GO:0042803}; scavenger receptor activity {GO:0005044}</t>
  </si>
  <si>
    <t>sp|Q5SRX1|TM1L2_MOUSE</t>
  </si>
  <si>
    <t>TOM1-like protein 2</t>
  </si>
  <si>
    <t>Target of Myb-like protein 2</t>
  </si>
  <si>
    <t>TM1L2_MOUSE</t>
  </si>
  <si>
    <t>Q5SRX1</t>
  </si>
  <si>
    <t>A0JP66; Q5SRX7; Q5SRY0; Q6P5D7; Q8C6J0; Q8C935; Q8CB51; Q8R4H1</t>
  </si>
  <si>
    <t>MGI:2443306</t>
  </si>
  <si>
    <t>Alternative splicing; Phosphoprotein; Protein transport; Transport</t>
  </si>
  <si>
    <t>negative regulation of mitotic nuclear division {GO:0045839}; protein transport {GO:0015031}; signal transduction {GO:0007165}</t>
  </si>
  <si>
    <t>endosome {GO:0005768}; membrane {GO:0016020}</t>
  </si>
  <si>
    <t>clathrin binding {GO:0030276}; phosphatidylinositol binding {GO:0035091}; protein kinase binding {GO:0019901}; ubiquitin binding {GO:0043130}</t>
  </si>
  <si>
    <t>sp|P58742|AAAS_MOUSE</t>
  </si>
  <si>
    <t>Aladin</t>
  </si>
  <si>
    <t>Adracalin</t>
  </si>
  <si>
    <t>AAAS_MOUSE</t>
  </si>
  <si>
    <t>P58742</t>
  </si>
  <si>
    <t>Q544M6</t>
  </si>
  <si>
    <t>MGI:2443767</t>
  </si>
  <si>
    <t>Acetylation; Cytoplasm; Cytoskeleton; mRNA transport; Nuclear pore complex; Nucleus; Phosphoprotein; Protein transport; Repeat; Translocation; Transport; WD repeat</t>
  </si>
  <si>
    <t>fertilization {GO:0009566}; learning {GO:0007612}; microtubule bundle formation {GO:0001578}; mitotic spindle assembly {GO:0090307}; mRNA transport {GO:0051028}; nucleocytoplasmic transport {GO:0006913}; protein transport {GO:0015031}</t>
  </si>
  <si>
    <t>centrosome {GO:0005813}; cytosol {GO:0005829}; mitotic spindle {GO:0072686}; nuclear envelope {GO:0005635}; nuclear membrane {GO:0031965}; nuclear pore {GO:0005643}; nucleoplasm {GO:0005654}; spindle pole {GO:0000922}</t>
  </si>
  <si>
    <t>Transport of the SLBP independent Mature mRNA {R-MMU-159227}; Transport of the SLBP Dependant Mature mRNA {R-MMU-159230}; Transport of Mature mRNA Derived from an Intronless Transcript {R-MMU-159231}; Transport of Mature mRNA derived from an Intron-Containing Transcript {R-MMU-159236}; Regulation of Glucokinase by Glucokinase Regulatory Protein {R-MMU-170822}; snRNP Assembly {R-MMU-191859}; SUMOylation of DNA damage response and repair proteins {R-MMU-3108214}; SUMOylation of ubiquitinylation proteins {R-MMU-3232142}; Nuclear Pore Complex (NPC) Disassembly {R-MMU-3301854}; Regulation of HSF1-mediated heat shock response {R-MMU-3371453}; SUMOylation of SUMOylation proteins {R-MMU-4085377}; SUMOylation of chromatin organization proteins {R-MMU-4551638}; SUMOylation of RNA binding proteins {R-MMU-4570464}; SUMOylation of DNA replication proteins {R-MMU-4615885}; Transcriptional regulation by small RNAs {R-MMU-5578749}; RHOA GTPase cycle {R-MMU-8980692}</t>
  </si>
  <si>
    <t>sp|P49586|PCY1A_MOUSE</t>
  </si>
  <si>
    <t>Choline-phosphate cytidylyltransferase A</t>
  </si>
  <si>
    <t>CCT-alpha; CTP:phosphocholine cytidylyltransferase A (CCT A; CT A); Phosphorylcholine transferase A</t>
  </si>
  <si>
    <t>PCY1A_MOUSE</t>
  </si>
  <si>
    <t>P49586</t>
  </si>
  <si>
    <t>Q542W4</t>
  </si>
  <si>
    <t>Ctpct; Pcyt1</t>
  </si>
  <si>
    <t>MGI:88557</t>
  </si>
  <si>
    <t>Acetylation; Cytoplasm; Endoplasmic reticulum; Lipid biosynthesis; Lipid metabolism; Membrane; Nucleotidyltransferase; Nucleus; Phospholipid biosynthesis; Phospholipid metabolism; Phosphoprotein; Repeat; Transferase; Ubl conjugation</t>
  </si>
  <si>
    <t>CDP-choline pathway {GO:0006657}; phosphatidylcholine biosynthetic process {GO:0006656}</t>
  </si>
  <si>
    <t>cytoplasm {GO:0005737}; cytosol {GO:0005829}; endoplasmic reticulum {GO:0005783}; endoplasmic reticulum membrane {GO:0005789}; glycogen granule {GO:0042587}; nuclear envelope {GO:0005635}; nucleus {GO:0005634}; plasma membrane {GO:0005886}</t>
  </si>
  <si>
    <t>calmodulin binding {GO:0005516}; choline-phosphate cytidylyltransferase activity {GO:0004105}; identical protein binding {GO:0042802}; lipid binding {GO:0008289}; molecular function inhibitor activity {GO:0140678}; phosphatidylcholine binding {GO:0031210}; protein homodimerization activity {GO:0042803}</t>
  </si>
  <si>
    <t>Phospholipid metabolism; phosphatidylcholine biosynthesis; phosphatidylcholine from phosphocholine: step 1/2.</t>
  </si>
  <si>
    <t>Synthesis of PC {R-MMU-1483191}</t>
  </si>
  <si>
    <t>sp|Q9JLQ2|GIT2_MOUSE</t>
  </si>
  <si>
    <t>ARF GTPase-activating protein GIT2 (ARF GAP GIT2)</t>
  </si>
  <si>
    <t>Cool-interacting tyrosine-phosphorylated protein 2 (CAT-2; CAT2); G protein-coupled receptor kinase-interactor 2; GRK-interacting protein 2</t>
  </si>
  <si>
    <t>GIT2_MOUSE</t>
  </si>
  <si>
    <t>Q9JLQ2</t>
  </si>
  <si>
    <t>E9QPU7</t>
  </si>
  <si>
    <t>MGI:1347053</t>
  </si>
  <si>
    <t>3D-structure; ANK repeat; GTPase activation; Metal-binding; Phosphoprotein; Repeat; Zinc; Zinc-finger</t>
  </si>
  <si>
    <t>behavioral response to pain {GO:0048266}; brain development {GO:0007420}; presynaptic modulation of chemical synaptic transmission {GO:0099171}; regulation of ARF protein signal transduction {GO:0032012}; regulation of G protein-coupled receptor signaling pathway {GO:0008277}; regulation of synaptic vesicle exocytosis {GO:2000300}; synaptic vesicle recycling {GO:0036465}</t>
  </si>
  <si>
    <t>calyx of Held {GO:0044305}; nucleoplasm {GO:0005654}; synapse {GO:0045202}</t>
  </si>
  <si>
    <t>GTPase activator activity {GO:0005096}; metal ion binding {GO:0046872}; protein-containing complex binding {GO:0044877}; small GTPase binding {GO:0031267}</t>
  </si>
  <si>
    <t>RAC1 GTPase cycle {R-MMU-9013149}; RAC2 GTPase cycle {R-MMU-9013404}; RHOQ GTPase cycle {R-MMU-9013406}; RHOU GTPase cycle {R-MMU-9013420}; RAC3 GTPase cycle {R-MMU-9013423}; RHOV GTPase cycle {R-MMU-9013424}</t>
  </si>
  <si>
    <t>sp|Q8K0F1|TBC23_MOUSE</t>
  </si>
  <si>
    <t>TBC1 domain family member 23</t>
  </si>
  <si>
    <t>TBC23_MOUSE</t>
  </si>
  <si>
    <t>Q8K0F1</t>
  </si>
  <si>
    <t>Q3TAW9; Q8VE48</t>
  </si>
  <si>
    <t>MGI:1914831</t>
  </si>
  <si>
    <t>Alternative splicing; Cytoplasmic vesicle; Developmental protein; Golgi apparatus; Phosphoprotein</t>
  </si>
  <si>
    <t>brain development {GO:0007420}; embryonic brain development {GO:1990403}; neuron projection development {GO:0031175}; positive regulation of interleukin-6 production {GO:0032755}; regulation of inflammatory response {GO:0050727}; regulation of tumor necrosis factor production {GO:0032680}; retrograde transport, endosome to Golgi {GO:0042147}; vesicle tethering to Golgi {GO:0099041}; vesicle-mediated transport {GO:0016192}</t>
  </si>
  <si>
    <t>cytoplasmic vesicle {GO:0031410}; cytosol {GO:0005829}; Golgi apparatus {GO:0005794}; trans-Golgi network {GO:0005802}; WASH complex {GO:0071203}</t>
  </si>
  <si>
    <t>sp|Q8R0P4|AAMDC_MOUSE</t>
  </si>
  <si>
    <t>Mth938 domain-containing protein</t>
  </si>
  <si>
    <t>LI2</t>
  </si>
  <si>
    <t>AAMDC_MOUSE</t>
  </si>
  <si>
    <t>Q8R0P4</t>
  </si>
  <si>
    <t>Q8BH71</t>
  </si>
  <si>
    <t>MGI:1913523</t>
  </si>
  <si>
    <t>Alternative splicing; Cytoplasm</t>
  </si>
  <si>
    <t>negative regulation of apoptotic process {GO:0043066}; positive regulation of fat cell differentiation {GO:0045600}; positive regulation of transcription by RNA polymerase II {GO:0045944}; transcription by RNA polymerase II {GO:0006366}</t>
  </si>
  <si>
    <t>sp|Q8BUY9|PGTB1_MOUSE</t>
  </si>
  <si>
    <t>Geranylgeranyl transferase type-1 subunit beta</t>
  </si>
  <si>
    <t>Geranylgeranyl transferase type I subunit beta (GGTase-I-beta); Type I protein geranyl-geranyltransferase subunit beta</t>
  </si>
  <si>
    <t>PGTB1_MOUSE</t>
  </si>
  <si>
    <t>Q8BUY9</t>
  </si>
  <si>
    <t>MGI:1917514</t>
  </si>
  <si>
    <t>Magnesium; Metal-binding; Prenyltransferase; Repeat; Transferase; Zinc</t>
  </si>
  <si>
    <t>negative regulation of nitric-oxide synthase biosynthetic process {GO:0051771}; positive regulation of cell cycle {GO:0045787}; positive regulation of cell population proliferation {GO:0008284}; protein geranylgeranylation {GO:0018344}; protein prenylation {GO:0018342}; response to cytokine {GO:0034097}</t>
  </si>
  <si>
    <t>CAAX-protein geranylgeranyltransferase complex {GO:0005953}</t>
  </si>
  <si>
    <t>CAAX-protein geranylgeranyltransferase activity {GO:0004662}; heterocyclic compound binding {GO:1901363}; peptide binding {GO:0042277}; protein geranylgeranyltransferase activity {GO:0004661}; small molecule binding {GO:0036094}; zinc ion binding {GO:0008270}</t>
  </si>
  <si>
    <t>sp|P63087|PP1G_MOUSE</t>
  </si>
  <si>
    <t>Serine/threonine-protein phosphatase PP1-gamma catalytic subunit (PP-1G)</t>
  </si>
  <si>
    <t>Protein phosphatase 1C catalytic subunit</t>
  </si>
  <si>
    <t>PP1G_MOUSE</t>
  </si>
  <si>
    <t>P63087</t>
  </si>
  <si>
    <t>O09186; O09189; P37139; Q64679</t>
  </si>
  <si>
    <t>MGI:104872</t>
  </si>
  <si>
    <t>3D-structure; Acetylation; Alternative splicing; Biological rhythms; Carbohydrate metabolism; Cell cycle; Cell division; Centromere; Chromosome; Cytoplasm; Cytoskeleton; Glycogen metabolism; Hydrolase; Kinetochore; Manganese; Metal-binding; Mitochondrion; Nucleus; Phosphoprotein; Protein phosphatase</t>
  </si>
  <si>
    <t>Centromere; Chromosome; Cytoplasm; Cytoskeleton; Kinetochore; Mitochondrion; Nucleus</t>
  </si>
  <si>
    <t>cell cycle {GO:0007049}; cell division {GO:0051301}; circadian regulation of gene expression {GO:0032922}; entrainment of circadian clock by photoperiod {GO:0043153}; glycogen metabolic process {GO:0005977}; neuron differentiation {GO:0030182}; positive regulation of glial cell proliferation {GO:0060252}; protein dephosphorylation {GO:0006470}; regulation of circadian rhythm {GO:0042752}; regulation of nucleocytoplasmic transport {GO:0046822}</t>
  </si>
  <si>
    <t>chromosome, telomeric region {GO:0000781}; cleavage furrow {GO:0032154}; cytoplasm {GO:0005737}; cytoskeleton {GO:0005856}; dendritic spine {GO:0043197}; glutamatergic synapse {GO:0098978}; kinetochore {GO:0000776}; midbody {GO:0030496}; mitochondrial outer membrane {GO:0005741}; mitochondrion {GO:0005739}; nuclear speck {GO:0016607}; nucleolus {GO:0005730}; nucleus {GO:0005634}; postsynapse {GO:0098794}; presynapse {GO:0098793}; protein phosphatase type 1 complex {GO:0000164}; protein-containing complex {GO:0032991}; PTW/PP1 phosphatase complex {GO:0072357}</t>
  </si>
  <si>
    <t>lamin binding {GO:0005521}; metal ion binding {GO:0046872}; myosin phosphatase activity {GO:0017018}; phosphatase activity {GO:0016791}; protein C-terminus binding {GO:0008022}; protein domain specific binding {GO:0019904}; protein kinase binding {GO:0019901}; protein N-terminus binding {GO:0047485}; protein phosphatase 1 binding {GO:0008157}; protein phosphatase binding {GO:0019903}; protein serine/threonine phosphatase activity {GO:0004722}; protein-containing complex binding {GO:0044877}</t>
  </si>
  <si>
    <t>Amplification of signal from unattached kinetochores via a MAD2 inhibitory signal {R-MMU-141444}; Separation of Sister Chromatids {R-MMU-2467813}; Resolution of Sister Chromatid Cohesion {R-MMU-2500257}; RHO GTPases Activate Formins {R-MMU-5663220}; RAF activation {R-MMU-5673000}; Mitotic Prometaphase {R-MMU-68877}; EML4 and NUDC in mitotic spindle formation {R-MMU-9648025}</t>
  </si>
  <si>
    <t>sp|Q8CG71|P3H2_MOUSE</t>
  </si>
  <si>
    <t>Prolyl 3-hydroxylase 2</t>
  </si>
  <si>
    <t>Leprecan-like protein 1</t>
  </si>
  <si>
    <t>P3H2_MOUSE</t>
  </si>
  <si>
    <t>Q8CG71</t>
  </si>
  <si>
    <t>Q8C673</t>
  </si>
  <si>
    <t>MGI:2146663</t>
  </si>
  <si>
    <t>Dioxygenase; Endoplasmic reticulum; Glycoprotein; Golgi apparatus; Iron; Metal-binding; Oxidoreductase; Repeat; Sarcoplasmic reticulum; Signal; TPR repeat; Vitamin C</t>
  </si>
  <si>
    <t>Endoplasmic reticulum; Golgi apparatus; Sarcoplasmic reticulum</t>
  </si>
  <si>
    <t>collagen metabolic process {GO:0032963}; negative regulation of cell population proliferation {GO:0008285}; peptidyl-proline hydroxylation {GO:0019511}</t>
  </si>
  <si>
    <t>basement membrane {GO:0005604}; cytosol {GO:0005829}; endoplasmic reticulum {GO:0005783}; Golgi apparatus {GO:0005794}; intracellular membrane-bounded organelle {GO:0043231}; nucleoplasm {GO:0005654}; sarcoplasmic reticulum {GO:0016529}</t>
  </si>
  <si>
    <t>sp|Q01149|CO1A2_MOUSE</t>
  </si>
  <si>
    <t>Collagen alpha-2(I) chain</t>
  </si>
  <si>
    <t>Alpha-2 type I collagen</t>
  </si>
  <si>
    <t>CO1A2_MOUSE</t>
  </si>
  <si>
    <t>Q01149</t>
  </si>
  <si>
    <t>Q8CGA5</t>
  </si>
  <si>
    <t>Cola2</t>
  </si>
  <si>
    <t>MGI:88468</t>
  </si>
  <si>
    <t>Calcium; Collagen; Disulfide bond; Extracellular matrix; Glycoprotein; Hydroxylation; Metal-binding; Pyrrolidone carboxylic acid; Repeat; Secreted; Signal</t>
  </si>
  <si>
    <t>Disulfide bond; Glycoprotein; Hydroxylation; Pyrrolidone carboxylic acid</t>
  </si>
  <si>
    <t>blood vessel development {GO:0001568}; bone mineralization {GO:0030282}; cellular response to amino acid stimulus {GO:0071230}; collagen fibril organization {GO:0030199}; collagen metabolic process {GO:0032963}; extracellular matrix assembly {GO:0085029}; extracellular matrix organization {GO:0030198}; protein heterotrimerization {GO:0070208}; regulation of blood pressure {GO:0008217}; Rho protein signal transduction {GO:0007266}; skeletal system development {GO:0001501}; skin morphogenesis {GO:0043589}; transforming growth factor beta receptor signaling pathway {GO:0007179}</t>
  </si>
  <si>
    <t>collagen trimer {GO:0005581}; collagen type I trimer {GO:0005584}; collagen-containing extracellular matrix {GO:0062023}; endoplasmic reticulum {GO:0005783}; extracellular matrix {GO:0031012}; extracellular space {GO:0005615}</t>
  </si>
  <si>
    <t>extracellular matrix structural constituent {GO:0005201}; identical protein binding {GO:0042802}; metal ion binding {GO:0046872}; platelet-derived growth factor binding {GO:0048407}; protease binding {GO:0002020}; protein-macromolecule adaptor activity {GO:0030674}; SMAD binding {GO:0046332}</t>
  </si>
  <si>
    <t>GPVI-mediated activation cascade {R-MMU-114604}; Collagen degradation {R-MMU-1442490}; Extracellular matrix organization {R-MMU-1474244}; Collagen biosynthesis and modifying enzymes {R-MMU-1650814}; Immunoregulatory interactions between a Lymphoid and a non-Lymphoid cell {R-MMU-198933}; Assembly of collagen fibrils and other multimeric structures {R-MMU-2022090}; Cell surface interactions at the vascular wall {R-MMU-202733}; Integrin cell surface interactions {R-MMU-216083}; Crosslinking of collagen fibrils {R-MMU-2243919}; Non-integrin membrane-ECM interactions {R-MMU-3000171}; ECM proteoglycans {R-MMU-3000178}; GP1b-IX-V activation signalling {R-MMU-430116}; Platelet Adhesion to exposed collagen {R-MMU-75892}; Platelet Aggregation (Plug Formation) {R-MMU-76009}; MET activates PTK2 signaling {R-MMU-8874081}; Collagen chain trimerization {R-MMU-8948216}</t>
  </si>
  <si>
    <t>sp|Q80Y81|RNZ2_MOUSE</t>
  </si>
  <si>
    <t>Zinc phosphodiesterase ELAC protein 2</t>
  </si>
  <si>
    <t>ElaC homolog protein 2; Ribonuclease Z 2 (RNase Z 2); tRNA 3 endonuclease 2; tRNase Z 2</t>
  </si>
  <si>
    <t>RNZ2_MOUSE</t>
  </si>
  <si>
    <t>Q80Y81</t>
  </si>
  <si>
    <t>B1ATP6; Q99MF0; Q99MF1; Q9CTA2; Q9D1A8; Q9EPZ2</t>
  </si>
  <si>
    <t>MGI:1890496</t>
  </si>
  <si>
    <t>Alternative splicing; Endonuclease; Hydrolase; Metal-binding; Mitochondrion; Mitochondrion nucleoid; Nuclease; Nucleus; Phosphoprotein; Transit peptide; tRNA processing; Zinc</t>
  </si>
  <si>
    <t>mitochondrial tRNA 3'-trailer cleavage, endonucleolytic {GO:0072684}</t>
  </si>
  <si>
    <t>mitochondrial nucleoid {GO:0042645}; mitochondrion {GO:0005739}; nucleoplasm {GO:0005654}; nucleus {GO:0005634}</t>
  </si>
  <si>
    <t>3'-tRNA processing endoribonuclease activity {GO:0042781}; metal ion binding {GO:0046872}; tRNA-specific ribonuclease activity {GO:0004549}</t>
  </si>
  <si>
    <t>sp|Q9CQ06|RM24_MOUSE</t>
  </si>
  <si>
    <t>39S ribosomal protein L24, mitochondrial (L24mt; MRP-L24)</t>
  </si>
  <si>
    <t>RM24_MOUSE</t>
  </si>
  <si>
    <t>Q9CQ06</t>
  </si>
  <si>
    <t>Q9CX51; Q9D1L7; Q9D7R6</t>
  </si>
  <si>
    <t>MGI:1914957</t>
  </si>
  <si>
    <t>mitochondrial translation {GO:0032543}; translation {GO:0006412}</t>
  </si>
  <si>
    <t>sp|B2RR83|YTDC2_MOUSE</t>
  </si>
  <si>
    <t>3'-5' RNA helicase YTHDC2</t>
  </si>
  <si>
    <t>Keen to exit meiosis leaving testes under-populated protein (Ketu); YTH domain-containing protein C2 (mYTHDC2)</t>
  </si>
  <si>
    <t>YTDC2_MOUSE</t>
  </si>
  <si>
    <t>B2RR83</t>
  </si>
  <si>
    <t>MGI:2448561</t>
  </si>
  <si>
    <t>ANK repeat; ATP-binding; Cytoplasm; Differentiation; Helicase; Hydrolase; Meiosis; Nucleotide-binding; Oogenesis; Phosphoprotein; Repeat; RNA-binding; Spermatogenesis</t>
  </si>
  <si>
    <t>germline cell cycle switching, mitotic to meiotic cell cycle {GO:0051729}; meiotic cell cycle {GO:0051321}; oocyte development {GO:0048599}; positive regulation by host of viral genome replication {GO:0044829}; response to interleukin-1 {GO:0070555}; response to tumor necrosis factor {GO:0034612}; spermatid development {GO:0007286}</t>
  </si>
  <si>
    <t>cytoplasm {GO:0005737}; endoplasmic reticulum {GO:0005783}; nucleus {GO:0005634}; perinuclear region of cytoplasm {GO:0048471}; ribonucleoprotein granule {GO:0035770}</t>
  </si>
  <si>
    <t>3'-5' RNA helicase activity {GO:0034458}; ATP binding {GO:0005524}; ATP hydrolysis activity {GO:0016887}; ATP-dependent activity, acting on RNA {GO:0008186}; N6-methyladenosine-containing RNA binding {GO:1990247}; RNA binding {GO:0003723}; RNA polymerase binding {GO:0070063}</t>
  </si>
  <si>
    <t>sp|Q61550|RAD21_MOUSE</t>
  </si>
  <si>
    <t>64-kDa C-terminal product</t>
  </si>
  <si>
    <t>Pokeweed agglutinin-binding protein 29 (PW29); SCC1 homolog; 64-kDa carboxy-terminal product</t>
  </si>
  <si>
    <t>RAD21_MOUSE</t>
  </si>
  <si>
    <t>Q61550</t>
  </si>
  <si>
    <t>P70219; Q3TQ09; Q810A8; Q91VB9; Q9DBU4</t>
  </si>
  <si>
    <t>MGI:108016</t>
  </si>
  <si>
    <t>Activator; Apoptosis; Cell cycle; Cell division; Centromere; Chromosome; Chromosome partition; Cytoplasm; Developmental protein; DNA damage; DNA repair; Isopeptide bond; Mitosis; Nucleus; Phosphoprotein; Transcription; Transcription regulation; Ubl conjugation</t>
  </si>
  <si>
    <t>Apoptosis; Cell cycle; Cell division; Chromosome partition; DNA damage; DNA repair; Mitosis; Transcription; Transcription regulation</t>
  </si>
  <si>
    <t>Centromere; Chromosome; Cytoplasm; Nucleus</t>
  </si>
  <si>
    <t>apoptotic process {GO:0006915}; cell division {GO:0051301}; negative regulation of G2/M transition of mitotic cell cycle {GO:0010972}; negative regulation of mitotic metaphase/anaphase transition {GO:0045841}; positive regulation of sister chromatid cohesion {GO:0045876}; protein localization to chromatin {GO:0071168}; regulation of transcription by RNA polymerase II {GO:0006357}; replication-born double-strand break repair via sister chromatid exchange {GO:1990414}; sister chromatid cohesion {GO:0007062}</t>
  </si>
  <si>
    <t>chromatin {GO:0000785}; chromosome, centromeric region {GO:0000775}; cohesin complex {GO:0008278}; condensed nuclear chromosome {GO:0000794}; cytosol {GO:0005829}; midbody {GO:0030496}; nuclear matrix {GO:0016363}; nucleoplasm {GO:0005654}; nucleus {GO:0005634}</t>
  </si>
  <si>
    <t>sp|Q8BGA9|OXA1L_MOUSE</t>
  </si>
  <si>
    <t>Mitochondrial inner membrane protein OXA1L</t>
  </si>
  <si>
    <t>Oxidase assembly 1-like protein (OXA1-like protein)</t>
  </si>
  <si>
    <t>OXA1L_MOUSE</t>
  </si>
  <si>
    <t>Q8BGA9</t>
  </si>
  <si>
    <t>Q8BK01; Q8R091; Q9D8X7</t>
  </si>
  <si>
    <t>MGI:1916339</t>
  </si>
  <si>
    <t>aerobic respiration {GO:0009060}; mitochondrial proton-transporting ATP synthase complex assembly {GO:0033615}; mitochondrial respiratory chain complex I assembly {GO:0032981}; negative regulation of ATP-dependent activity {GO:0032780}; negative regulation of oxidoreductase activity {GO:0051354}; protein insertion into membrane {GO:0051205}; protein insertion into mitochondrial inner membrane from matrix {GO:0032979}; protein tetramerization {GO:0051262}</t>
  </si>
  <si>
    <t>integral component of mitochondrial inner membrane {GO:0031305}; integral component of mitochondrial membrane {GO:0032592}; mitochondrial inner membrane {GO:0005743}; mitochondrial membrane {GO:0031966}; mitochondrion {GO:0005739}; protein-containing complex {GO:0032991}</t>
  </si>
  <si>
    <t>membrane insertase activity {GO:0032977}; mitochondrial ribosome binding {GO:0097177}; protein homodimerization activity {GO:0042803}</t>
  </si>
  <si>
    <t>sp|P53986|MOT1_MOUSE</t>
  </si>
  <si>
    <t>Monocarboxylate transporter 1 (MCT 1)</t>
  </si>
  <si>
    <t>Solute carrier family 16 member 1</t>
  </si>
  <si>
    <t>MOT1_MOUSE</t>
  </si>
  <si>
    <t>P53986</t>
  </si>
  <si>
    <t>Mct1</t>
  </si>
  <si>
    <t>MGI:106013</t>
  </si>
  <si>
    <t>behavioral response to nutrient {GO:0051780}; carboxylic acid transmembrane transport {GO:1905039}; cellular response to organic cyclic compound {GO:0071407}; centrosome cycle {GO:0007098}; glucose homeostasis {GO:0042593}; lactate transmembrane transport {GO:0035873}; lipid metabolic process {GO:0006629}; monocarboxylic acid transport {GO:0015718}; plasma membrane lactate transport {GO:0035879}; regulation of insulin secretion {GO:0050796}; response to food {GO:0032094}</t>
  </si>
  <si>
    <t>apical plasma membrane {GO:0016324}; basal plasma membrane {GO:0009925}; basolateral plasma membrane {GO:0016323}; cell junction {GO:0030054}; centrosome {GO:0005813}; integral component of membrane {GO:0016021}; integral component of plasma membrane {GO:0005887}; intracellular membrane-bounded organelle {GO:0043231}; lateral plasma membrane {GO:0016328}; mitochondrion {GO:0005739}; plasma membrane {GO:0005886}; synapse {GO:0045202}</t>
  </si>
  <si>
    <t>carboxylic acid transmembrane transporter activity {GO:0046943}; identical protein binding {GO:0042802}; lactate transmembrane transporter activity {GO:0015129}; monocarboxylic acid transmembrane transporter activity {GO:0008028}; organic cyclic compound binding {GO:0097159}; symporter activity {GO:0015293}</t>
  </si>
  <si>
    <t>sp|O88974|SETB1_MOUSE</t>
  </si>
  <si>
    <t>Histone-lysine N-methyltransferase SETDB1</t>
  </si>
  <si>
    <t>ERG-associated protein with SET domain (ESET); SET domain bifurcated 1</t>
  </si>
  <si>
    <t>SETB1_MOUSE</t>
  </si>
  <si>
    <t>O88974</t>
  </si>
  <si>
    <t>Q6AXH8; Q78N64; Q78N65; Q80U84; Q8BTV6; Q8CIX7; Q922K1</t>
  </si>
  <si>
    <t>MGI:1934229</t>
  </si>
  <si>
    <t>Alternative splicing; Chromatin regulator; Chromosome; Coiled coil; Isopeptide bond; Metal-binding; Methylation; Methyltransferase; Nucleus; Phosphoprotein; Repeat; Repressor; S-adenosyl-L-methionine; Transcription; Transcription regulation; Transferase; Ubl conjugation; Zinc</t>
  </si>
  <si>
    <t>bone development {GO:0060348}; heterochromatin organization {GO:0070828}; histone H3-K9 methylation {GO:0051567}; histone H3-K9 trimethylation {GO:0036124}; inner cell mass cell proliferation {GO:0001833}; negative regulation of gene expression {GO:0010629}; negative regulation of single stranded viral RNA replication via double stranded DNA intermediate {GO:0045869}; negative regulation of transcription by RNA polymerase II {GO:0000122}; positive regulation of DNA methylation-dependent heterochromatin assembly {GO:0090309}; Ras protein signal transduction {GO:0007265}</t>
  </si>
  <si>
    <t>chromosome {GO:0005694}; cytoplasm {GO:0005737}; intracellular membrane-bounded organelle {GO:0043231}; nucleoplasm {GO:0005654}; nucleus {GO:0005634}</t>
  </si>
  <si>
    <t>chromatin binding {GO:0003682}; DNA binding {GO:0003677}; histone methyltransferase activity (H3-K9 specific) {GO:0046974}; histone-lysine N-methyltransferase activity {GO:0018024}; promoter-specific chromatin binding {GO:1990841}; zinc ion binding {GO:0008270}</t>
  </si>
  <si>
    <t>sp|Q8VEA4|MIA40_MOUSE</t>
  </si>
  <si>
    <t>Mitochondrial intermembrane space import and assembly protein 40</t>
  </si>
  <si>
    <t>Coiled-coil-helix-coiled-coil-helix domain-containing protein 4</t>
  </si>
  <si>
    <t>MIA40_MOUSE</t>
  </si>
  <si>
    <t>Q8VEA4</t>
  </si>
  <si>
    <t>Mia40</t>
  </si>
  <si>
    <t>MGI:1919420</t>
  </si>
  <si>
    <t>Disulfide bond; Mitochondrion; Oxidoreductase; Protein transport; Redox-active center; Translocation; Transport</t>
  </si>
  <si>
    <t>'de novo' post-translational protein folding {GO:0051084}; cellular response to leukemia inhibitory factor {GO:1990830}; cellular response to oxidative stress {GO:0034599}; establishment of protein localization to mitochondrion {GO:0072655}; mitochondrial DNA repair {GO:0043504}; mitochondrial respiratory chain complex assembly {GO:0033108}; peptidyl-cysteine oxidation {GO:0018171}; positive regulation of cellular respiration {GO:1901857}; protein import into mitochondrial intermembrane space {GO:0045041}; protein maturation by protein folding {GO:0022417}; regulation of protein export from nucleus {GO:0046825}</t>
  </si>
  <si>
    <t>protein-disulfide reductase activity {GO:0015035}</t>
  </si>
  <si>
    <t>sp|P97376|FRG1_MOUSE</t>
  </si>
  <si>
    <t>Protein FRG1</t>
  </si>
  <si>
    <t>FSHD region gene 1 protein</t>
  </si>
  <si>
    <t>FRG1_MOUSE</t>
  </si>
  <si>
    <t>P97376</t>
  </si>
  <si>
    <t>Q99M42</t>
  </si>
  <si>
    <t>MGI:893597</t>
  </si>
  <si>
    <t>3D-structure; Actin-binding; Cytoplasm; mRNA processing; mRNA splicing; Myogenesis; Nucleus; Ribosome biogenesis; RNA-binding; rRNA processing; Spliceosome</t>
  </si>
  <si>
    <t>Myogenesis; Ribosome biogenesis; mRNA processing; mRNA splicing; rRNA processing</t>
  </si>
  <si>
    <t>Actin-binding; RNA-binding</t>
  </si>
  <si>
    <t>mRNA processing {GO:0006397}; muscle organ development {GO:0007517}; RNA splicing {GO:0008380}; rRNA processing {GO:0006364}</t>
  </si>
  <si>
    <t>Cajal body {GO:0015030}; catalytic step 2 spliceosome {GO:0071013}; nucleolus {GO:0005730}; striated muscle dense body {GO:0055120}; Z disc {GO:0030018}</t>
  </si>
  <si>
    <t>actin filament binding {GO:0051015}; RNA binding {GO:0003723}</t>
  </si>
  <si>
    <t>sp|Q6ZPE2|MTMR5_MOUSE</t>
  </si>
  <si>
    <t>Myotubularin-related protein 5</t>
  </si>
  <si>
    <t>Inactive phosphatidylinositol 3-phosphatase 5; SET-binding factor 1 (Sbf1)</t>
  </si>
  <si>
    <t>MTMR5_MOUSE</t>
  </si>
  <si>
    <t>Q6ZPE2</t>
  </si>
  <si>
    <t>B2RXQ1; B2RXX4; B7ZWK2; Q4QQM2; Q8BK68; Q8K2Z0</t>
  </si>
  <si>
    <t>Kiaa3020; Mtmr5</t>
  </si>
  <si>
    <t>MGI:1925230</t>
  </si>
  <si>
    <t>3D-structure; Alternative splicing; Cytoplasm; Guanine-nucleotide releasing factor; Methylation; Phosphoprotein</t>
  </si>
  <si>
    <t>regulation of cell growth {GO:0001558}; regulation of GTPase activity {GO:0043087}; spermatid development {GO:0007286}; spermatogenesis {GO:0007283}</t>
  </si>
  <si>
    <t>cytoplasm {GO:0005737}; nuclear body {GO:0016604}; perinuclear region of cytoplasm {GO:0048471}</t>
  </si>
  <si>
    <t>guanyl-nucleotide exchange factor activity {GO:0005085}; pseudophosphatase activity {GO:0001691}</t>
  </si>
  <si>
    <t>Synthesis of PIPs at the ER membrane {R-MMU-1483248}; RAB GEFs exchange GTP for GDP on RABs {R-MMU-8876198}</t>
  </si>
  <si>
    <t>sp|Q8C5N5|PDD2L_MOUSE</t>
  </si>
  <si>
    <t>Programmed cell death protein 2-like</t>
  </si>
  <si>
    <t>PDD2L_MOUSE</t>
  </si>
  <si>
    <t>Q8C5N5</t>
  </si>
  <si>
    <t>Q8R185; Q9D1M3</t>
  </si>
  <si>
    <t>MGI:1915329</t>
  </si>
  <si>
    <t>Acetylation; Cell cycle</t>
  </si>
  <si>
    <t>apoptotic process {GO:0006915}; cell cycle {GO:0007049}</t>
  </si>
  <si>
    <t>sp|Q9Z2W1|STK25_MOUSE</t>
  </si>
  <si>
    <t>Serine/threonine-protein kinase 25</t>
  </si>
  <si>
    <t>Ste20-like kinase; Sterile 20/oxidant stress-response kinase 1 (SOK-1; Ste20/oxidant stress response kinase 1)</t>
  </si>
  <si>
    <t>STK25_MOUSE</t>
  </si>
  <si>
    <t>Q9Z2W1</t>
  </si>
  <si>
    <t>Q6IR17</t>
  </si>
  <si>
    <t>Sok1</t>
  </si>
  <si>
    <t>MGI:1891699</t>
  </si>
  <si>
    <t>ATP-binding; Cytoplasm; Golgi apparatus; Kinase; Magnesium; Metal-binding; Nucleotide-binding; Phosphoprotein; Serine/threonine-protein kinase; Transferase</t>
  </si>
  <si>
    <t>axonogenesis {GO:0007409}; establishment of Golgi localization {GO:0051683}; establishment or maintenance of cell polarity {GO:0007163}; Golgi localization {GO:0051645}; Golgi reassembly {GO:0090168}; intrinsic apoptotic signaling pathway in response to hydrogen peroxide {GO:0036481}; positive regulation of axonogenesis {GO:0050772}; positive regulation of stress-activated MAPK cascade {GO:0032874}; protein autophosphorylation {GO:0046777}; protein phosphorylation {GO:0006468}; response to hydrogen peroxide {GO:0042542}</t>
  </si>
  <si>
    <t>cytoplasm {GO:0005737}; Golgi apparatus {GO:0005794}; Golgi membrane {GO:0000139}</t>
  </si>
  <si>
    <t>ATP binding {GO:0005524}; metal ion binding {GO:0046872}; protein homodimerization activity {GO:0042803}; protein serine kinase activity {GO:0106310}; protein serine/threonine kinase activity {GO:0004674}</t>
  </si>
  <si>
    <t>sp|Q8BGX2|TIM29_MOUSE</t>
  </si>
  <si>
    <t>Mitochondrial import inner membrane translocase subunit Tim29 (TIM29)</t>
  </si>
  <si>
    <t>TIM29_MOUSE</t>
  </si>
  <si>
    <t>Q8BGX2</t>
  </si>
  <si>
    <t>MGI:1917023</t>
  </si>
  <si>
    <t>Membrane; Mitochondrion; Mitochondrion inner membrane; Protein transport; Transit peptide; Translocation; Transmembrane; Transmembrane helix; Transport</t>
  </si>
  <si>
    <t>integral component of membrane {GO:0016021}; mitochondrial inner membrane {GO:0005743}; mitochondrial intermembrane space {GO:0005758}; TIM22 mitochondrial import inner membrane insertion complex {GO:0042721}</t>
  </si>
  <si>
    <t>protein transporter activity {GO:0140318}</t>
  </si>
  <si>
    <t>sp|Q6ZPJ0|TEX2_MOUSE</t>
  </si>
  <si>
    <t>Testis-expressed protein 2</t>
  </si>
  <si>
    <t>TEX2_MOUSE</t>
  </si>
  <si>
    <t>Q6ZPJ0</t>
  </si>
  <si>
    <t>B1ATR1</t>
  </si>
  <si>
    <t>Kiaa1738</t>
  </si>
  <si>
    <t>MGI:102465</t>
  </si>
  <si>
    <t>Endoplasmic reticulum; Glycoprotein; Lipid transport; Lipid-binding; Membrane; Nucleus; Phosphoprotein; Transmembrane; Transmembrane helix; Transport</t>
  </si>
  <si>
    <t>lipid transport {GO:0006869}</t>
  </si>
  <si>
    <t>endoplasmic reticulum {GO:0005783}; endoplasmic reticulum membrane {GO:0005789}; integral component of membrane {GO:0016021}; nuclear membrane {GO:0031965}</t>
  </si>
  <si>
    <t>lipid binding {GO:0008289}</t>
  </si>
  <si>
    <t>sp|Q80TE0|RPAP1_MOUSE</t>
  </si>
  <si>
    <t>RNA polymerase II-associated protein 1</t>
  </si>
  <si>
    <t>RPAP1_MOUSE</t>
  </si>
  <si>
    <t>Q80TE0</t>
  </si>
  <si>
    <t>A2AQ24; Q148U0; Q148U1; Q3TJ48; Q3TLZ5; Q3TTA6; Q80UT8; Q91VM0</t>
  </si>
  <si>
    <t>Kiaa1403</t>
  </si>
  <si>
    <t>MGI:1916175</t>
  </si>
  <si>
    <t>Alternative splicing; DNA-binding; DNA-directed RNA polymerase; Nucleotidyltransferase; Nucleus; Phosphoprotein; Transcription; Transferase</t>
  </si>
  <si>
    <t>DNA-directed RNA polymerase complex {GO:0000428}; nucleus {GO:0005634}; RNA polymerase complex {GO:0030880}</t>
  </si>
  <si>
    <t>DNA binding {GO:0003677}; nucleotidyltransferase activity {GO:0016779}</t>
  </si>
  <si>
    <t>sp|Q6A037|N4BP1_MOUSE</t>
  </si>
  <si>
    <t>NEDD4-binding protein 1 (N4BP1)</t>
  </si>
  <si>
    <t>N4BP1_MOUSE</t>
  </si>
  <si>
    <t>Q6A037</t>
  </si>
  <si>
    <t>Q3TCI4; Q3UH87; Q3UY69</t>
  </si>
  <si>
    <t>MGI:2136825</t>
  </si>
  <si>
    <t>Cytoplasm; Hydrolase; Immunity; Innate immunity; Nuclease; Nucleus; Phosphoprotein; RNA-binding; Ubl conjugation</t>
  </si>
  <si>
    <t>Hydrolase; Nuclease; RNA-binding</t>
  </si>
  <si>
    <t>cellular response to UV {GO:0034644}; innate immune response {GO:0045087}; negative regulation of cytokine production {GO:0001818}; negative regulation of proteasomal ubiquitin-dependent protein catabolic process {GO:0032435}; negative regulation of protein ubiquitination {GO:0031397}; negative regulation of viral genome replication {GO:0045071}; regulation of innate immune response {GO:0045088}</t>
  </si>
  <si>
    <t>cytosol {GO:0005829}; nucleolus {GO:0005730}; nucleus {GO:0005634}; PML body {GO:0016605}</t>
  </si>
  <si>
    <t>mRNA binding {GO:0003729}; ribonuclease activity {GO:0004540}; ubiquitin binding {GO:0043130}</t>
  </si>
  <si>
    <t>Regulation of NF-kappa B signaling {R-MMU-9758274}</t>
  </si>
  <si>
    <t>sp|Q9DAS9|GBG12_MOUSE</t>
  </si>
  <si>
    <t>Guanine nucleotide-binding protein G(I)/G(S)/G(O) subunit gamma-12</t>
  </si>
  <si>
    <t>GBG12_MOUSE</t>
  </si>
  <si>
    <t>Q9DAS9</t>
  </si>
  <si>
    <t>Q544P3</t>
  </si>
  <si>
    <t>MGI:1336171</t>
  </si>
  <si>
    <t>G protein-coupled receptor signaling pathway {GO:0007186}</t>
  </si>
  <si>
    <t>actin filament {GO:0005884}; heterotrimeric G-protein complex {GO:0005834}</t>
  </si>
  <si>
    <t>G-protein beta-subunit binding {GO:0031681}; PDZ domain binding {GO:0030165}; phosphate ion binding {GO:0042301}</t>
  </si>
  <si>
    <t>sp|Q9DBT5|AMPD2_MOUSE</t>
  </si>
  <si>
    <t>AMP deaminase 2</t>
  </si>
  <si>
    <t>AMP deaminase isoform L</t>
  </si>
  <si>
    <t>AMPD2_MOUSE</t>
  </si>
  <si>
    <t>Q9DBT5</t>
  </si>
  <si>
    <t>A2AE28; Q91YI2</t>
  </si>
  <si>
    <t>MGI:88016</t>
  </si>
  <si>
    <t>Hydrolase; Metal-binding; Methylation; Nucleotide metabolism; Phosphoprotein; Zinc</t>
  </si>
  <si>
    <t>AMP metabolic process {GO:0046033}; ATP metabolic process {GO:0046034}; cholesterol homeostasis {GO:0042632}; cyclic purine nucleotide metabolic process {GO:0052652}; energy homeostasis {GO:0097009}; GMP salvage {GO:0032263}; GTP metabolic process {GO:0046039}; IMP biosynthetic process {GO:0006188}; IMP salvage {GO:0032264}; nucleotide metabolic process {GO:0009117}; podocyte development {GO:0072015}</t>
  </si>
  <si>
    <t>AMP deaminase activity {GO:0003876}; identical protein binding {GO:0042802}; metal ion binding {GO:0046872}</t>
  </si>
  <si>
    <t>Purine metabolism; IMP biosynthesis via salvage pathway; IMP from AMP: step 1/1..</t>
  </si>
  <si>
    <t>sp|E9Q3L2|PI4KA_MOUSE</t>
  </si>
  <si>
    <t>Phosphatidylinositol 4-kinase alpha (PI4-kinase alpha; PI4K-alpha; PtdIns-4-kinase alpha)</t>
  </si>
  <si>
    <t>PI4KA_MOUSE</t>
  </si>
  <si>
    <t>E9Q3L2</t>
  </si>
  <si>
    <t>Q3UVT5; Q6DIC7; Q7TNG2; Q80Y45</t>
  </si>
  <si>
    <t>Pik4; Pik4ca</t>
  </si>
  <si>
    <t>MGI:2448506</t>
  </si>
  <si>
    <t>ATP-binding; Cell membrane; Cytoplasm; Kinase; Lipid metabolism; Membrane; Nucleotide-binding; Phosphoprotein; Transferase</t>
  </si>
  <si>
    <t>modulation by host of viral process {GO:0044788}; phosphatidylinositol phosphate biosynthetic process {GO:0046854}; phosphatidylinositol-mediated signaling {GO:0048015}; phosphorylation {GO:0016310}; reorganization of cellular membranes to establish viral sites of replication {GO:0140754}</t>
  </si>
  <si>
    <t>cytoplasm {GO:0005737}; Golgi-associated vesicle membrane {GO:0030660}; membrane {GO:0016020}; plasma membrane {GO:0005886}</t>
  </si>
  <si>
    <t>1-phosphatidylinositol 4-kinase activity {GO:0004430}; ATP binding {GO:0005524}; kinase activity {GO:0016301}; phosphatidylinositol kinase activity {GO:0052742}</t>
  </si>
  <si>
    <t>sp|Q80X80|C2C2L_MOUSE</t>
  </si>
  <si>
    <t>Phospholipid transfer protein C2CD2L</t>
  </si>
  <si>
    <t>C2 domain-containing protein 2-like; Transmembrane protein 24</t>
  </si>
  <si>
    <t>C2C2L_MOUSE</t>
  </si>
  <si>
    <t>Q80X80</t>
  </si>
  <si>
    <t>G5E8D9</t>
  </si>
  <si>
    <t>MGI:1919014</t>
  </si>
  <si>
    <t>Cell membrane; Endoplasmic reticulum; Lipid transport; Lipid-binding; Membrane; Phosphoprotein; Transmembrane; Transmembrane helix; Transport</t>
  </si>
  <si>
    <t>positive regulation of insulin secretion involved in cellular response to glucose stimulus {GO:0035774}</t>
  </si>
  <si>
    <t>cortical endoplasmic reticulum {GO:0032541}; cytoplasmic side of apical plasma membrane {GO:0098592}; endoplasmic reticulum membrane {GO:0005789}; endoplasmic reticulum-plasma membrane contact site {GO:0140268}; integral component of membrane {GO:0016021}; plasma membrane {GO:0005886}</t>
  </si>
  <si>
    <t>insulin binding {GO:0043559}; phosphatidylinositol binding {GO:0035091}; phosphatidylinositol transfer activity {GO:0008526}</t>
  </si>
  <si>
    <t>sp|Q61466|SMRD1_MOUSE</t>
  </si>
  <si>
    <t>SWI/SNF-related matrix-associated actin-dependent regulator of chromatin subfamily D member 1</t>
  </si>
  <si>
    <t>60 kDa BRG-1/Brm-associated factor subunit A; BRG1-associated factor 60A (BAF60A); Protein D15KZ1; SWI/SNF complex 60 kDa subunit</t>
  </si>
  <si>
    <t>SMRD1_MOUSE</t>
  </si>
  <si>
    <t>Q61466</t>
  </si>
  <si>
    <t>P70384; Q8R0I7</t>
  </si>
  <si>
    <t>Baf60a; D15Kz1</t>
  </si>
  <si>
    <t>MGI:1933623</t>
  </si>
  <si>
    <t>3D-structure; Acetylation; Chromatin regulator; Coiled coil; Isopeptide bond; Methylation; Neurogenesis; Nucleus; Phosphoprotein; Ubl conjugation</t>
  </si>
  <si>
    <t>cellular response to fatty acid {GO:0071398}; chromatin remodeling {GO:0006338}; epigenetic maintenance of chromatin in transcription-competent conformation {GO:0045815}; negative regulation of cell differentiation {GO:0045596}; nervous system development {GO:0007399}; nucleosome disassembly {GO:0006337}; positive regulation of cell differentiation {GO:0045597}; positive regulation of cell population proliferation {GO:0008284}; positive regulation of double-strand break repair {GO:2000781}; positive regulation of myoblast differentiation {GO:0045663}; positive regulation of stem cell population maintenance {GO:1902459}; positive regulation of T cell differentiation {GO:0045582};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</t>
  </si>
  <si>
    <t>brahma complex {GO:0035060}; chromatin {GO:0000785}; GBAF complex {GO:0140288}; intracellular membrane-bounded organelle {GO:0043231}; kinetochore {GO:0000776}; nBAF complex {GO:0071565}; npBAF complex {GO:0071564}; nuclear matrix {GO:0016363}; nucleoplasm {GO:0005654}; nucleus {GO:0005634}; RSC-type complex {GO:0016586}; SWI/SNF complex {GO:0016514}</t>
  </si>
  <si>
    <t>chromatin binding {GO:0003682}; molecular adaptor activity {GO:0060090}; signaling receptor binding {GO:0005102}; transcription coregulator activity {GO:0003712}</t>
  </si>
  <si>
    <t>tr|J3QMC5|J3QMC5_MOUSE</t>
  </si>
  <si>
    <t>sp|P97432|NBR1_MOUSE</t>
  </si>
  <si>
    <t>Next to BRCA1 gene 1 protein</t>
  </si>
  <si>
    <t>Membrane component chromosome 17 surface marker 2 homolog; Neighbor of BRCA1 gene 1 protein</t>
  </si>
  <si>
    <t>NBR1_MOUSE</t>
  </si>
  <si>
    <t>P97432</t>
  </si>
  <si>
    <t>Q9JIH9</t>
  </si>
  <si>
    <t>M17s2</t>
  </si>
  <si>
    <t>MGI:108498</t>
  </si>
  <si>
    <t>Cytoplasm; Cytoplasmic vesicle; Lysosome; Metal-binding; Phosphoprotein; Zinc; Zinc-finger</t>
  </si>
  <si>
    <t>Cytoplasm; Cytoplasmic vesicle; Lysosome</t>
  </si>
  <si>
    <t>macroautophagy {GO:0016236}; negative regulation of osteoblast differentiation {GO:0045668}; regulation of bone mineralization {GO:0030500}; regulation of stress-activated MAPK cascade {GO:0032872}</t>
  </si>
  <si>
    <t>autophagosome {GO:0005776}; cytosol {GO:0005829}; intracellular membrane-bounded organelle {GO:0043231}; late endosome {GO:0005770}; lysosome {GO:0005764}; M band {GO:0031430}; mitochondrial intermembrane space {GO:0005758}; mitochondrion {GO:0005739}; nuclear body {GO:0016604}; nucleoplasm {GO:0005654}; peroxisomal membrane {GO:0005778}; phagophore assembly site {GO:0000407}; receptor complex {GO:0043235}</t>
  </si>
  <si>
    <t>mitogen-activated protein kinase binding {GO:0051019}; ubiquitin binding {GO:0043130}; zinc ion binding {GO:0008270}</t>
  </si>
  <si>
    <t>Pexophagy {R-MMU-9664873}</t>
  </si>
  <si>
    <t>sp|Q8BPN8|DMXL2_MOUSE</t>
  </si>
  <si>
    <t>DmX-like protein 2</t>
  </si>
  <si>
    <t>Rabconnectin-3</t>
  </si>
  <si>
    <t>DMXL2_MOUSE</t>
  </si>
  <si>
    <t>Q8BPN8</t>
  </si>
  <si>
    <t>B0V2P4; Q3TNY5; Q69ZX5; Q8CCU3</t>
  </si>
  <si>
    <t>Kiaa0856</t>
  </si>
  <si>
    <t>MGI:2444630</t>
  </si>
  <si>
    <t>Alternative splicing; Coiled coil; Cytoplasmic vesicle; Membrane; Phosphoprotein; Repeat; Synapse; WD repeat</t>
  </si>
  <si>
    <t>chemical synaptic transmission {GO:0007268}; corpus callosum development {GO:0022038}; glucose homeostasis {GO:0042593}; sensory perception of smell {GO:0007608}; spermatogenesis {GO:0007283}; vacuolar acidification {GO:0007035}</t>
  </si>
  <si>
    <t>anchoring junction {GO:0070161}; neuronal dense core vesicle {GO:0098992}; RAVE complex {GO:0043291}; synaptic vesicle {GO:0008021}; synaptic vesicle membrane {GO:0030672}</t>
  </si>
  <si>
    <t>sp|Q91X51|GORS1_MOUSE</t>
  </si>
  <si>
    <t>Golgi reassembly-stacking protein 1</t>
  </si>
  <si>
    <t>Golgi peripheral membrane protein p65; Golgi reassembly-stacking protein of 65 kDa (GRASP65)</t>
  </si>
  <si>
    <t>GORS1_MOUSE</t>
  </si>
  <si>
    <t>Q91X51</t>
  </si>
  <si>
    <t>Q9D3L9</t>
  </si>
  <si>
    <t>MGI:1921748</t>
  </si>
  <si>
    <t>Golgi apparatus; Lipoprotein; Membrane; Metal-binding; Myristate; Phosphoprotein; Protein transport; Repeat; Transport; Zinc</t>
  </si>
  <si>
    <t>establishment of protein localization to plasma membrane {GO:0061951}; Golgi organization {GO:0007030}; negative regulation of dendrite morphogenesis {GO:0050774}; protein N-linked glycosylation {GO:0006487}; protein transport {GO:0015031}</t>
  </si>
  <si>
    <t>Golgi apparatus {GO:0005794}; membrane {GO:0016020}</t>
  </si>
  <si>
    <t>Golgi Cisternae Pericentriolar Stack Reorganization {R-MMU-162658}; COPII-mediated vesicle transport {R-MMU-204005}; COPI-mediated anterograde transport {R-MMU-6807878}</t>
  </si>
  <si>
    <t>sp|Q6PNC0|DMXL1_MOUSE</t>
  </si>
  <si>
    <t>DmX-like protein 1 (X-like 1 protein)</t>
  </si>
  <si>
    <t>DMXL1_MOUSE</t>
  </si>
  <si>
    <t>Q6PNC0</t>
  </si>
  <si>
    <t>Q3TLG8; Q6PHM6; Q8BQF2</t>
  </si>
  <si>
    <t>MGI:2443926</t>
  </si>
  <si>
    <t>vacuolar acidification {GO:0007035}</t>
  </si>
  <si>
    <t>RAVE complex {GO:0043291}</t>
  </si>
  <si>
    <t>sp|P52432|RPAC1_MOUSE</t>
  </si>
  <si>
    <t>DNA-directed RNA polymerases I and III subunit RPAC1 (DNA-directed RNA polymerase I subunit C; RNA polymerases I and III subunit AC1)</t>
  </si>
  <si>
    <t>AC40; DNA-directed RNA polymerases I and III 40 kDa polypeptide (RPA40); RPC40</t>
  </si>
  <si>
    <t>RPAC1_MOUSE</t>
  </si>
  <si>
    <t>P52432</t>
  </si>
  <si>
    <t>Q3UJZ9</t>
  </si>
  <si>
    <t>Rpo1-1</t>
  </si>
  <si>
    <t>MGI:103288</t>
  </si>
  <si>
    <t>fibrillar center {GO:0001650}; nucleoplasm {GO:0005654}; RNA polymerase I complex {GO:0005736}; RNA polymerase III complex {GO:0005666}</t>
  </si>
  <si>
    <t>DNA binding {GO:0003677}; protein dimerization activity {GO:0046983}; RNA polymerase I activity {GO:0001054}; RNA polymerase III activity {GO:0001056}</t>
  </si>
  <si>
    <t>B-WICH complex positively regulates rRNA expression {R-MMU-5250924}; RNA Polymerase I Transcription Initiation {R-MMU-73762}; RNA Polymerase I Promoter Escape {R-MMU-73772}; RNA Polymerase I Transcription Termination {R-MMU-73863}; RNA Polymerase III Transcription Initiation From Type 1 Promoter {R-MMU-76061}; RNA Polymerase III Transcription Initiation From Type 2 Promoter {R-MMU-76066}; RNA Polymerase III Transcription Initiation From Type 3 Promoter {R-MMU-76071}</t>
  </si>
  <si>
    <t>sp|Q9DD02|HIKES_MOUSE</t>
  </si>
  <si>
    <t>Protein Hikeshi</t>
  </si>
  <si>
    <t>Lethal gene on chromosome 7 Rinchik 6 protein</t>
  </si>
  <si>
    <t>HIKES_MOUSE</t>
  </si>
  <si>
    <t>Q9DD02</t>
  </si>
  <si>
    <t>D3YUY2; Q30C40; Q9CZT7</t>
  </si>
  <si>
    <t>MGI:96738</t>
  </si>
  <si>
    <t>Alternative splicing; Cytoplasm; Nucleus; Protein transport; Transport</t>
  </si>
  <si>
    <t>cellular response to heat {GO:0034605}; Golgi organization {GO:0007030}; lung development {GO:0030324}; protein import into nucleus {GO:0006606}; protein transport {GO:0015031}</t>
  </si>
  <si>
    <t>cytoplasm {GO:0005737}; cytosol {GO:0005829}; nuclear body {GO:0016604}; nuclear speck {GO:0016607}; nucleoplasm {GO:0005654}; nucleus {GO:0005634}</t>
  </si>
  <si>
    <t>Hsp70 protein binding {GO:0030544}; molecular adaptor activity {GO:0060090}; nuclear import signal receptor activity {GO:0061608}</t>
  </si>
  <si>
    <t>tr|A0A494B9V8|A0A494B9V8_MOUSE</t>
  </si>
  <si>
    <t>sp|Q8VIM9|IRGQ_MOUSE</t>
  </si>
  <si>
    <t>Immunity-related GTPase family Q protein</t>
  </si>
  <si>
    <t>IRGQ_MOUSE</t>
  </si>
  <si>
    <t>Q8VIM9</t>
  </si>
  <si>
    <t>Q7TNC7</t>
  </si>
  <si>
    <t>Irgq1</t>
  </si>
  <si>
    <t>MGI:2667176</t>
  </si>
  <si>
    <t>tr|A2A654|A2A654_MOUSE</t>
  </si>
  <si>
    <t>sp|Q9D2R6|COA3_MOUSE</t>
  </si>
  <si>
    <t>Cytochrome c oxidase assembly factor 3 homolog, mitochondrial</t>
  </si>
  <si>
    <t>Coiled-coil domain-containing protein 56</t>
  </si>
  <si>
    <t>COA3_MOUSE</t>
  </si>
  <si>
    <t>Q9D2R6</t>
  </si>
  <si>
    <t>A2A4J6</t>
  </si>
  <si>
    <t>Ccdc56</t>
  </si>
  <si>
    <t>MGI:1098757</t>
  </si>
  <si>
    <t>Acetylation; Coiled coil; Membrane; Mitochondrion; Mitochondrion inner membrane; Transmembrane; Transmembrane helix</t>
  </si>
  <si>
    <t>mitochondrial cytochrome c oxidase assembly {GO:0033617}; positive regulation of mitochondrial translation {GO:0070131}</t>
  </si>
  <si>
    <t>sp|Q8BIA4|FBXW8_MOUSE</t>
  </si>
  <si>
    <t>F-box/WD repeat-containing protein 8</t>
  </si>
  <si>
    <t>F-box and WD-40 domain-containing protein 8</t>
  </si>
  <si>
    <t>FBXW8_MOUSE</t>
  </si>
  <si>
    <t>Q8BIA4</t>
  </si>
  <si>
    <t>Q8BI62; Q8BI75; Q8BI76; Q8CID8; Q921Z1</t>
  </si>
  <si>
    <t>MGI:1923041</t>
  </si>
  <si>
    <t>Acetylation; Alternative splicing; Cytoplasm; Golgi apparatus; Phosphoprotein; Repeat; Ubl conjugation pathway; WD repeat</t>
  </si>
  <si>
    <t>cell population proliferation {GO:0008283}; Golgi organization {GO:0007030}; labyrinthine layer blood vessel development {GO:0060716}; positive regulation of dendrite morphogenesis {GO:0050775}; positive regulation of transcription factor catabolic process {GO:1901485}; protein ubiquitination {GO:0016567}; spongiotrophoblast layer development {GO:0060712}; ubiquitin-dependent protein catabolic process {GO:0006511}</t>
  </si>
  <si>
    <t>3M complex {GO:1990393}; Cul7-RING ubiquitin ligase complex {GO:0031467}; cytosol {GO:0005829}; Golgi apparatus {GO:0005794}; perinuclear region of cytoplasm {GO:0048471}; SCF ubiquitin ligase complex {GO:0019005}</t>
  </si>
  <si>
    <t>sp|Q91YL2|RN126_MOUSE</t>
  </si>
  <si>
    <t>E3 ubiquitin-protein ligase RNF126</t>
  </si>
  <si>
    <t>RING finger protein 126</t>
  </si>
  <si>
    <t>RN126_MOUSE</t>
  </si>
  <si>
    <t>Q91YL2</t>
  </si>
  <si>
    <t>MGI:1917544</t>
  </si>
  <si>
    <t>3D-structure; Acetylation; Cytoplasm; Metal-binding; Nucleus; Phosphoprotein; Transferase; Ubl conjugation; Ubl conjugation pathway; Zinc; Zinc-finger</t>
  </si>
  <si>
    <t>cytoplasm protein quality control by the ubiquitin-proteasome system {GO:0071629}; negative regulation of epidermal growth factor receptor signaling pathway {GO:0042059}; proteasome-mediated ubiquitin-dependent protein catabolic process {GO:0043161}; protein K48-linked ubiquitination {GO:0070936}; protein K63-linked ubiquitination {GO:0070534}; protein monoubiquitination {GO:0006513}; regulation of cell population proliferation {GO:0042127}; retrograde transport, endosome to Golgi {GO:0042147}; ubiquitin-dependent protein catabolic process {GO:0006511}; ubiquitin-dependent protein catabolic process via the multivesicular body sorting pathway {GO:0043162}</t>
  </si>
  <si>
    <t>epidermal growth factor receptor binding {GO:0005154}; metal ion binding {GO:0046872}; ubiquitin protein ligase activity {GO:0061630}</t>
  </si>
  <si>
    <t>sp|O09005|DEGS1_MOUSE</t>
  </si>
  <si>
    <t>Sphingolipid delta(4)-desaturase DES1</t>
  </si>
  <si>
    <t>Degenerative spermatocyte homolog 1; Dihydroceramide desaturase-1; Retinol isomerase</t>
  </si>
  <si>
    <t>DEGS1_MOUSE</t>
  </si>
  <si>
    <t>O09005</t>
  </si>
  <si>
    <t>Q8R4H3</t>
  </si>
  <si>
    <t>Degs; Des1; Mdes</t>
  </si>
  <si>
    <t>MGI:1097711</t>
  </si>
  <si>
    <t>Endoplasmic reticulum; Fatty acid biosynthesis; Fatty acid metabolism; Isomerase; Lipid biosynthesis; Lipid metabolism; Lipoprotein; Membrane; Mitochondrion; Myristate; Oxidoreductase; Phosphoprotein; Transmembrane; Transmembrane helix</t>
  </si>
  <si>
    <t>ceramide biosynthetic process {GO:0046513}; fatty acid biosynthetic process {GO:0006633}; myelin maintenance {GO:0043217}; positive regulation of apoptotic process {GO:0043065}</t>
  </si>
  <si>
    <t>endoplasmic reticulum membrane {GO:0005789}; integral component of membrane {GO:0016021}; mitochondrial membrane {GO:0031966}; mitochondrion {GO:0005739}</t>
  </si>
  <si>
    <t>retinol isomerase activity {GO:0050251}; sphingolipid delta-4 desaturase activity {GO:0042284}</t>
  </si>
  <si>
    <t>Sphingolipid de novo biosynthesis {R-MMU-1660661}; Neutrophil degranulation {R-MMU-6798695}</t>
  </si>
  <si>
    <t>sp|Q60520|SIN3A_MOUSE</t>
  </si>
  <si>
    <t>Paired amphipathic helix protein Sin3a</t>
  </si>
  <si>
    <t>Histone deacetylase complex subunit Sin3a; Transcriptional corepressor Sin3a</t>
  </si>
  <si>
    <t>SIN3A_MOUSE</t>
  </si>
  <si>
    <t>Q60520</t>
  </si>
  <si>
    <t>Q570Z7; Q60820; Q62139; Q62140; Q7TPU8; Q7TSZ2</t>
  </si>
  <si>
    <t>Kiaa4126</t>
  </si>
  <si>
    <t>MGI:107157</t>
  </si>
  <si>
    <t>3D-structure; Acetylation; Alternative splicing; Biological rhythms; Coiled coil; Isopeptide bond; Nucleus; Phosphoprotein; Repeat; Repressor; Transcription; Transcription regulation; Ubl conjugation</t>
  </si>
  <si>
    <t>activation of innate immune response {GO:0002218}; aging {GO:0007568}; cellular response to dopamine {GO:1903351}; cellular response to glucose stimulus {GO:0071333}; cerebral cortex neuron differentiation {GO:0021895}; DNA replication {GO:0006260}; hematopoietic progenitor cell differentiation {GO:0002244}; histone deacetylation {GO:0016575}; in utero embryonic development {GO:0001701}; negative regulation of apoptotic process {GO:0043066}; negative regulation of cell migration {GO:0030336}; negative regulation of circadian rhythm {GO:0042754}; negative regulation of DNA-templated transcription {GO:0045892}; negative regulation of histone H3-K27 acetylation {GO:1901675}; negative regulation of protein localization to nucleus {GO:1900181}; negative regulation of stem cell population maintenance {GO:1902455}; negative regulation of transcription by RNA polymerase II {GO:0000122}; negative regulation of transcription regulatory region DNA binding {GO:2000678}; negative regulation of transforming growth factor beta receptor signaling pathway {GO:0030512}; positive regulation of defense response to virus by host {GO:0002230}; positive regulation of G2/M transition of mitotic cell cycle {GO:0010971}; positive regulation of heterochromatin assembly {GO:0031453}; positive regulation of neuron differentiation {GO:0045666}; positive regulation of stem cell population maintenance {GO:1902459}; positive regulation of transcription by RNA polymerase II {GO:0045944}; protein deacetylation {GO:0006476}; protein localization {GO:0008104}; regulation of axon extension {GO:0030516}; regulation of DNA-templated transcription {GO:0006355}; regulation of hormone levels {GO:0010817}; regulation of transcription from RNA polymerase II promoter in response to oxidative stress {GO:0043619}; response to methylglyoxal {GO:0051595}; response to organonitrogen compound {GO:0010243}; rhythmic process {GO:0048511}</t>
  </si>
  <si>
    <t>chromatin {GO:0000785}; histone deacetylase complex {GO:0000118}; kinetochore {GO:0000776}; nucleolus {GO:0005730}; nucleoplasm {GO:0005654}; nucleus {GO:0005634}; protein-containing complex {GO:0032991}; Sin3 complex {GO:0016580}; transcription regulator complex {GO:0005667}; transcription repressor complex {GO:0017053}</t>
  </si>
  <si>
    <t>chromatin binding {GO:0003682}; DNA binding {GO:0003677}; protein-containing complex binding {GO:0044877}; RNA binding {GO:0003723}; RNA polymerase II-specific DNA-binding transcription factor binding {GO:0061629}; transcription coactivator activity {GO:0003713}; transcription corepressor activity {GO:0003714}; transcription regulator inhibitor activity {GO:0140416}</t>
  </si>
  <si>
    <t>SUMOylation of transcription cofactors {R-MMU-3899300}; Regulation of lipid metabolism by PPARalpha {R-MMU-400206}; RUNX1 regulates genes involved in megakaryocyte differentiation and platelet function {R-MMU-8936459}; Regulation of MECP2 expression and activity {R-MMU-9022692}; Cytoprotection by HMOX1 {R-MMU-9707564}</t>
  </si>
  <si>
    <t>sp|Q8VCE2|GPN1_MOUSE</t>
  </si>
  <si>
    <t>GPN-loop GTPase 1</t>
  </si>
  <si>
    <t>MBD2-interacting protein (MBDin); XPA-binding protein 1</t>
  </si>
  <si>
    <t>GPN1_MOUSE</t>
  </si>
  <si>
    <t>Q8VCE2</t>
  </si>
  <si>
    <t>MGI:1921504</t>
  </si>
  <si>
    <t>Acetylation; Cytoplasm; GTP-binding; Hydrolase; Nucleotide-binding; Nucleus; Phosphoprotein</t>
  </si>
  <si>
    <t>sp|Q9D4J7|PHF6_MOUSE</t>
  </si>
  <si>
    <t>PHD finger protein 6</t>
  </si>
  <si>
    <t>PHF6_MOUSE</t>
  </si>
  <si>
    <t>Q9D4J7</t>
  </si>
  <si>
    <t>Q80T86; Q8BYT8; Q8C1B5</t>
  </si>
  <si>
    <t>Kiaa1823</t>
  </si>
  <si>
    <t>MGI:1918248</t>
  </si>
  <si>
    <t>Acetylation; Alternative splicing; Centromere; Chromosome; DNA-binding; Isopeptide bond; Kinetochore; Metal-binding; Nucleus; Phosphoprotein; Repeat; Transcription; Transcription regulation; Ubl conjugation; Zinc; Zinc-finger</t>
  </si>
  <si>
    <t>blastocyst hatching {GO:0001835}; negative regulation of transcription by RNA polymerase II {GO:0000122}; regulation of transcription by RNA polymerase II {GO:0006357}</t>
  </si>
  <si>
    <t>kinetochore {GO:0000776}; nucleolus {GO:0005730}; nucleoplasm {GO:0005654}; nucleus {GO:0005634}</t>
  </si>
  <si>
    <t>DNA binding {GO:0003677}; enzyme binding {GO:0019899}; histone binding {GO:0042393}; histone deacetylase binding {GO:0042826}; metal ion binding {GO:0046872}; phosphoprotein binding {GO:0051219}; ribonucleoprotein complex binding {GO:0043021}; scaffold protein binding {GO:0097110}; tubulin binding {GO:0015631}</t>
  </si>
  <si>
    <t>sp|Q9Z0H1|WDR46_MOUSE</t>
  </si>
  <si>
    <t>WD repeat-containing protein 46</t>
  </si>
  <si>
    <t>WD repeat-containing protein BING4</t>
  </si>
  <si>
    <t>WDR46_MOUSE</t>
  </si>
  <si>
    <t>Q9Z0H1</t>
  </si>
  <si>
    <t>Bing4</t>
  </si>
  <si>
    <t>MGI:1931871</t>
  </si>
  <si>
    <t>Nucleus; Phosphoprotein; Repeat; WD repeat</t>
  </si>
  <si>
    <t>nucleolus {GO:0005730}; small-subunit processome {GO:0032040}</t>
  </si>
  <si>
    <t>sp|P27090|TGFB2_MOUSE</t>
  </si>
  <si>
    <t>Transforming growth factor beta-2 (LAP; TGF-beta-2)</t>
  </si>
  <si>
    <t>TGFB2_MOUSE</t>
  </si>
  <si>
    <t>P27090</t>
  </si>
  <si>
    <t>Q91VP5</t>
  </si>
  <si>
    <t>MGI:98726</t>
  </si>
  <si>
    <t>3D-structure; Cleavage on pair of basic residues; Disulfide bond; Extracellular matrix; Glycoprotein; Growth factor; Mitogen; Secreted; Signal</t>
  </si>
  <si>
    <t>Growth factor; Mitogen</t>
  </si>
  <si>
    <t>activation of protein kinase activity {GO:0032147}; activation-induced cell death of T cells {GO:0006924}; ascending aorta morphogenesis {GO:0035910}; atrial septum morphogenesis {GO:0060413}; atrial septum primum morphogenesis {GO:0003289}; atrioventricular valve morphogenesis {GO:0003181}; axon guidance {GO:0007411}; blood vessel development {GO:0001568}; blood vessel remodeling {GO:0001974}; BMP signaling pathway {GO:0030509}; cardiac epithelial to mesenchymal transition {GO:0060317}; cardiac left ventricle morphogenesis {GO:0003214}; cardiac muscle cell proliferation {GO:0060038}; cardiac right ventricle morphogenesis {GO:0003215}; cardioblast differentiation {GO:0010002}; cartilage condensation {GO:0001502}; cell death {GO:0008219}; cell migration {GO:0016477}; cell morphogenesis {GO:0000902}; cell-cell junction organization {GO:0045216}; collagen fibril organization {GO:0030199}; cranial skeletal system development {GO:1904888}; dopamine biosynthetic process {GO:0042416}; embryonic digestive tract development {GO:0048566}; embryonic limb morphogenesis {GO:0030326}; embryonic neurocranium morphogenesis {GO:0048702}; endocardial cushion fusion {GO:0003274}; endocardial cushion morphogenesis {GO:0003203}; epithelial to mesenchymal transition {GO:0001837}; extracellular matrix organization {GO:0030198}; extrinsic apoptotic signaling pathway {GO:0097191}; extrinsic apoptotic signaling pathway in absence of ligand {GO:0097192}; eye development {GO:0001654}; face morphogenesis {GO:0060325}; glial cell migration {GO:0008347}; hair follicle development {GO:0001942}; hair follicle morphogenesis {GO:0031069}; heart development {GO:0007507}; heart morphogenesis {GO:0003007}; heart valve morphogenesis {GO:0003179}; hemopoiesis {GO:0030097}; inner ear development {GO:0048839}; kidney development {GO:0001822}; male gonad development {GO:0008584}; membranous septum morphogenesis {GO:0003149}; negative regulation of alkaline phosphatase activity {GO:0010693}; negative regulation of angiogenesis {GO:0016525}; negative regulation of apoptotic process {GO:0043066}; negative regulation of cartilage development {GO:0061037}; negative regulation of cell growth {GO:0030308}; negative regulation of cell population proliferation {GO:0008285}; negative regulation of epithelial cell proliferation {GO:0050680}; negative regulation of epithelial to mesenchymal transition involved in endocardial cushion formation {GO:1905006}; negative regulation of gene expression {GO:0010629}; negative regulation of immune response {GO:0050777}; negative regulation of keratinocyte differentiation {GO:0045617}; negative regulation of macrophage cytokine production {GO:0010936}; negative regulation of Ras protein signal transduction {GO:0046580}; negative regulation of release of sequestered calcium ion into cytosol {GO:0051280}; neural retina development {GO:0003407}; neural tube closure {GO:0001843}; neuron development {GO:0048666}; neuron fate commitment {GO:0048663}; neutrophil chemotaxis {GO:0030593}; outflow tract morphogenesis {GO:0003151}; outflow tract septum morphogenesis {GO:0003148}; pathway-restricted SMAD protein phosphorylation {GO:0060389}; pericyte cell differentiation {GO:1904238}; pharyngeal arch artery morphogenesis {GO:0061626}; positive regulation of activation-induced cell death of T cells {GO:0070237}; positive regulation of apoptotic process {GO:0043065}; positive regulation of cardiac epithelial to mesenchymal transition {GO:0062043}; positive regulation of cardioblast differentiation {GO:0051891}; positive regulation of cell adhesion mediated by integrin {GO:0033630}; positive regulation of cell cycle {GO:0045787}; positive regulation of cell division {GO:0051781}; positive regulation of cell growth {GO:0030307}; positive regulation of cell migration {GO:0030335}; positive regulation of cell population proliferation {GO:0008284}; positive regulation of epithelial cell migration {GO:0010634}; positive regulation of epithelial to mesenchymal transition {GO:0010718}; positive regulation of epithelial to mesenchymal transition involved in endocardial cushion formation {GO:1905007}; positive regulation of extracellular matrix disassembly {GO:0090091}; positive regulation of extrinsic apoptotic signaling pathway in absence of ligand {GO:2001241}; positive regulation of gene expression {GO:0010628}; positive regulation of GTP binding {GO:1904426}; positive regulation of heart contraction {GO:0045823}; positive regulation of immune response {GO:0050778}; positive regulation of integrin biosynthetic process {GO:0045726}; positive regulation of miRNA transcription {GO:1902895}; positive regulation of neuron apoptotic process {GO:0043525}; positive regulation of Notch signaling pathway {GO:0045747}; positive regulation of ossification {GO:0045778}; positive regulation of pathway-restricted SMAD protein phosphorylation {GO:0010862}; positive regulation of phosphatidylinositol 3-kinase signaling {GO:0014068}; positive regulation of protein localization to nucleus {GO:1900182}; positive regulation of protein secretion {GO:0050714}; positive regulation of stress-activated MAPK cascade {GO:0032874}; positive regulation of timing of catagen {GO:0051795}; protein phosphorylation {GO:0006468}; pulmonary valve morphogenesis {GO:0003184}; regulation of actin cytoskeleton organization {GO:0032956}; regulation of apoptotic process {GO:0042981}; regulation of apoptotic process involved in outflow tract morphogenesis {GO:1902256}; regulation of cell population proliferation {GO:0042127}; regulation of extracellular matrix organization {GO:1903053}; regulation of timing of catagen {GO:0051794}; regulation of transforming growth factor beta2 production {GO:0032909}; response to estrogen {GO:0043627}; response to hypoxia {GO:0001666}; response to progesterone {GO:0032570}; response to wounding {GO:0009611}; response to xenobiotic stimulus {GO:0009410}; salivary gland morphogenesis {GO:0007435}; secondary palate development {GO:0062009}; skeletal system development {GO:0001501}; SMAD protein signal transduction {GO:0060395}; somatic stem cell division {GO:0048103}; substantia propria of cornea development {GO:1903701}; transforming growth factor beta receptor signaling pathway {GO:0007179}; uterus development {GO:0060065}; ventricular septum morphogenesis {GO:0060412}; ventricular trabecula myocardium morphogenesis {GO:0003222}; wound healing {GO:0042060}</t>
  </si>
  <si>
    <t>axon {GO:0030424}; basement membrane {GO:0005604}; cell surface {GO:0009986}; collagen-containing extracellular matrix {GO:0062023}; cytoplasm {GO:0005737}; endosome {GO:0005768}; extracellular matrix {GO:0031012}; extracellular region {GO:0005576}; extracellular space {GO:0005615}; neuronal cell body {GO:0043025}; plasma membrane {GO:0005886}; secretory granule {GO:0030141}; trans-Golgi network {GO:0005802}; transforming growth factor beta complex {GO:0099126}; transforming growth factor beta ligand-receptor complex {GO:0070021}</t>
  </si>
  <si>
    <t>amyloid-beta binding {GO:0001540}; cytokine activity {GO:0005125}; growth factor activity {GO:0008083}; identical protein binding {GO:0042802}; protein homodimerization activity {GO:0042803}; protein N-terminus binding {GO:0047485}; protein-containing complex binding {GO:0044877}; signaling receptor binding {GO:0005102}; transforming growth factor beta receptor binding {GO:0005160}; type II transforming growth factor beta receptor binding {GO:0005114}; type III transforming growth factor beta receptor binding {GO:0034714}</t>
  </si>
  <si>
    <t>Platelet degranulation {R-MMU-114608}; Molecules associated with elastic fibres {R-MMU-2129379}; TGF-beta receptor signaling activates SMADs {R-MMU-2173789}</t>
  </si>
  <si>
    <t>sp|Q80UY2|KCMF1_MOUSE</t>
  </si>
  <si>
    <t>E3 ubiquitin-protein ligase KCMF1</t>
  </si>
  <si>
    <t>Differentially expressed in branching tubulogenesis 91 (Debt-91); RING-type E3 ubiquitin transferase KCMF1</t>
  </si>
  <si>
    <t>KCMF1_MOUSE</t>
  </si>
  <si>
    <t>Q80UY2</t>
  </si>
  <si>
    <t>Q9WUM2</t>
  </si>
  <si>
    <t>Debt91</t>
  </si>
  <si>
    <t>MGI:1921537</t>
  </si>
  <si>
    <t>Acetylation; Alternative splicing; Coiled coil; Metal-binding; Phosphoprotein; Transferase; Ubl conjugation pathway; Zinc; Zinc-finger</t>
  </si>
  <si>
    <t>protein ubiquitination {GO:0016567}; synaptic signaling {GO:0099536}</t>
  </si>
  <si>
    <t>cytosol {GO:0005829}; intracellular membrane-bounded organelle {GO:0043231}; plasma membrane {GO:0005886}; synapse {GO:0045202}</t>
  </si>
  <si>
    <t>sp|Q00422|GABPA_MOUSE</t>
  </si>
  <si>
    <t>GA-binding protein alpha chain (GABP subunit alpha)</t>
  </si>
  <si>
    <t>GABPA_MOUSE</t>
  </si>
  <si>
    <t>Q00422</t>
  </si>
  <si>
    <t>Q7TT22</t>
  </si>
  <si>
    <t>E4tf1a</t>
  </si>
  <si>
    <t>MGI:95610</t>
  </si>
  <si>
    <t>3D-structure; DNA-binding; Nucleus; Phosphoprotein; Transcription; Transcription regulation</t>
  </si>
  <si>
    <t>blastocyst formation {GO:0001825}; cell differentiation {GO:0030154}; cellular response to dopamine {GO:1903351}; in utero embryonic development {GO:0001701}; negative regulation of megakaryocyte differentiation {GO:0045653}; negative regulation of transcription by RNA polymerase II {GO:0000122}; positive regulation of gene expression {GO:0010628}; positive regulation of transcription by RNA polymerase II {GO:0045944}; regulation of transcription by RNA polymerase II {GO:0006357}</t>
  </si>
  <si>
    <t>chromatin binding {GO:0003682}; DNA-binding transcription activator activity, RNA polymerase II-specific {GO:0001228}; DNA-binding transcription factor activity, RNA polymerase II-specific {GO:0000981}; RNA polymerase II cis-regulatory region sequence-specific DNA binding {GO:0000978}; sequence-specific double-stranded DNA binding {GO:1990837}; transcription cis-regulatory region binding {GO:0000976}</t>
  </si>
  <si>
    <t>Transcriptional activation of mitochondrial biogenesis {R-MMU-2151201}</t>
  </si>
  <si>
    <t>sp|Q3UQ84|SYTM_MOUSE</t>
  </si>
  <si>
    <t>Threonine--tRNA ligase, mitochondrial</t>
  </si>
  <si>
    <t>Threonyl-tRNA synthetase (ThrRS); Threonyl-tRNA synthetase-like 1</t>
  </si>
  <si>
    <t>SYTM_MOUSE</t>
  </si>
  <si>
    <t>Q3UQ84</t>
  </si>
  <si>
    <t>B2RW19; Q9D0D6</t>
  </si>
  <si>
    <t>Tarsl1</t>
  </si>
  <si>
    <t>MGI:1919057</t>
  </si>
  <si>
    <t>Aminoacyl-tRNA synthetase; ATP-binding; Ligase; Mitochondrion; Nucleotide-binding; Phosphoprotein; Protein biosynthesis; Transit peptide</t>
  </si>
  <si>
    <t>aminoacyl-tRNA editing activity {GO:0002161}; ATP binding {GO:0005524}; protein homodimerization activity {GO:0042803}; threonine-tRNA ligase activity {GO:0004829}</t>
  </si>
  <si>
    <t>sp|Q7SIG6|ASAP2_MOUSE</t>
  </si>
  <si>
    <t>Arf-GAP with SH3 domain, ANK repeat and PH domain-containing protein 2</t>
  </si>
  <si>
    <t>Development and differentiation-enhancing factor 2; Paxillin-associated protein with ARF GAP activity 3 (PAG3); Pyk2 C-terminus-associated protein (PAP)</t>
  </si>
  <si>
    <t>ASAP2_MOUSE</t>
  </si>
  <si>
    <t>Q7SIG6</t>
  </si>
  <si>
    <t>Q501K1; Q66JN2</t>
  </si>
  <si>
    <t>Ddef2; Gm1523; Gm592</t>
  </si>
  <si>
    <t>MGI:2685438</t>
  </si>
  <si>
    <t>3D-structure; Alternative splicing; ANK repeat; Cell membrane; Coiled coil; Cytoplasm; Golgi apparatus; GTPase activation; Membrane; Metal-binding; Phosphoprotein; Repeat; SH3 domain; Zinc</t>
  </si>
  <si>
    <t>ANK repeat; Coiled coil; Repeat; SH3 domain</t>
  </si>
  <si>
    <t>positive regulation of GTPase activity {GO:0043547}</t>
  </si>
  <si>
    <t>Golgi cisterna membrane {GO:0032580}; plasma membrane {GO:0005886}</t>
  </si>
  <si>
    <t>sp|Q8JZY2|COMDA_MOUSE</t>
  </si>
  <si>
    <t>COMM domain-containing protein 10</t>
  </si>
  <si>
    <t>Down-regulated in W/WV mouse stomach 2 (mDRWMS2)</t>
  </si>
  <si>
    <t>COMDA_MOUSE</t>
  </si>
  <si>
    <t>Q8JZY2</t>
  </si>
  <si>
    <t>MGI:1916706</t>
  </si>
  <si>
    <t>Acetylation; Cytoplasm; Nucleus; Phosphoprotein; Transcription; Transcription regulation; Ubl conjugation pathway</t>
  </si>
  <si>
    <t>sp|Q91YM2|RHG35_MOUSE</t>
  </si>
  <si>
    <t>Rho GTPase-activating protein 35</t>
  </si>
  <si>
    <t>Glucocorticoid receptor DNA-binding factor 1</t>
  </si>
  <si>
    <t>RHG35_MOUSE</t>
  </si>
  <si>
    <t>Q91YM2</t>
  </si>
  <si>
    <t>Q3UGY1; Q69ZC4</t>
  </si>
  <si>
    <t>MGI:1929494</t>
  </si>
  <si>
    <t>Cell membrane; Cell projection; Cytoplasm; Cytoskeleton; DNA-binding; GTP-binding; GTPase activation; Lipid-binding; Membrane; Nucleotide-binding; Nucleus; Phosphoprotein; Repeat; Repressor; Transcription; Transcription regulation</t>
  </si>
  <si>
    <t>DNA-binding; GTPase activation; Repressor</t>
  </si>
  <si>
    <t>axon guidance {GO:0007411}; axonal fasciculation {GO:0007413}; camera-type eye development {GO:0043010}; cell migration {GO:0016477}; cellular response to extracellular stimulus {GO:0031668}; central nervous system neuron axonogenesis {GO:0021955}; establishment or maintenance of actin cytoskeleton polarity {GO:0030950}; forebrain development {GO:0030900}; integrin-mediated signaling pathway {GO:0007229}; mammary gland development {GO:0030879}; negative regulation of Rho protein signal transduction {GO:0035024}; negative regulation of vascular permeability {GO:0043116}; neural tube closure {GO:0001843}; neuron projection guidance {GO:0097485}; positive regulation of cilium assembly {GO:0045724}; positive regulation of GTPase activity {GO:0043547}; positive regulation of neuron projection development {GO:0010976}; regulation of actin cytoskeleton organization {GO:0032956}; regulation of actin polymerization or depolymerization {GO:0008064}; regulation of axonogenesis {GO:0050770}; regulation of cell shape {GO:0008360}; regulation of cell size {GO:0008361}; Rho protein signal transduction {GO:0007266}; wound healing, spreading of cells {GO:0044319}</t>
  </si>
  <si>
    <t>actin cytoskeleton {GO:0015629}; ciliary basal body {GO:0036064}; cytoplasm {GO:0005737}; cytosol {GO:0005829}; nucleus {GO:0005634}; plasma membrane {GO:0005886}</t>
  </si>
  <si>
    <t>DNA binding {GO:0003677}; GTP binding {GO:0005525}; GTPase activating protein binding {GO:0032794}; GTPase activator activity {GO:0005096}; GTPase activity {GO:0003924}; phospholipid binding {GO:0005543}; protein-containing complex binding {GO:0044877}</t>
  </si>
  <si>
    <t>Sema4D mediated inhibition of cell attachment and migration {R-MMU-416550}; PTK6 Regulates RHO GTPases, RAS GTPase and MAP kinases {R-MMU-8849471}; RHOA GTPase cycle {R-MMU-8980692}; RHOB GTPase cycle {R-MMU-9013026}; RHOC GTPase cycle {R-MMU-9013106}; CDC42 GTPase cycle {R-MMU-9013148}; RAC1 GTPase cycle {R-MMU-9013149}; RAC2 GTPase cycle {R-MMU-9013404}; RHOD GTPase cycle {R-MMU-9013405}; RHOQ GTPase cycle {R-MMU-9013406}; RHOG GTPase cycle {R-MMU-9013408}; RHOJ GTPase cycle {R-MMU-9013409}; RAC3 GTPase cycle {R-MMU-9013423}; RND3 GTPase cycle {R-MMU-9696264}; RND2 GTPase cycle {R-MMU-9696270}; RND1 GTPase cycle {R-MMU-9696273}</t>
  </si>
  <si>
    <t>sp|Q9CXL3|CG050_MOUSE</t>
  </si>
  <si>
    <t>Uncharacterized protein C7orf50 homolog</t>
  </si>
  <si>
    <t>CG050_MOUSE</t>
  </si>
  <si>
    <t>Q9CXL3</t>
  </si>
  <si>
    <t>G5E8F7; Q6PDQ0</t>
  </si>
  <si>
    <t>MGI:1920462</t>
  </si>
  <si>
    <t>sp|Q8R344|CCD12_MOUSE</t>
  </si>
  <si>
    <t>Coiled-coil domain-containing protein 12</t>
  </si>
  <si>
    <t>CCD12_MOUSE</t>
  </si>
  <si>
    <t>Q8R344</t>
  </si>
  <si>
    <t>Q9CZH5</t>
  </si>
  <si>
    <t>MGI:1919904</t>
  </si>
  <si>
    <t>Acetylation; Coiled coil; Isopeptide bond; Phosphoprotein; Ubl conjugation</t>
  </si>
  <si>
    <t>post-mRNA release spliceosomal complex {GO:0071014}; U2-type spliceosomal complex {GO:0005684}</t>
  </si>
  <si>
    <t>sp|Q9DBX2|PHLP_MOUSE</t>
  </si>
  <si>
    <t>Phosducin-like protein (PHLP)</t>
  </si>
  <si>
    <t>PHLP_MOUSE</t>
  </si>
  <si>
    <t>Q9DBX2</t>
  </si>
  <si>
    <t>Q3TKI0</t>
  </si>
  <si>
    <t>PhLP1</t>
  </si>
  <si>
    <t>MGI:1914716</t>
  </si>
  <si>
    <t>Acetylation; Cell projection; Chaperone; Cilium biogenesis/degradation; Phosphoprotein; Sensory transduction; Vision</t>
  </si>
  <si>
    <t>Cilium biogenesis/degradation; Sensory transduction; Vision</t>
  </si>
  <si>
    <t>cell projection organization {GO:0030030}; heterotrimeric G-protein complex assembly {GO:1902605}; negative regulation of protein refolding {GO:0061084}; positive regulation of smoothened signaling pathway {GO:0045880}; protein folding {GO:0006457}; regulation of G protein-coupled receptor signaling pathway {GO:0008277}; response to stimulus {GO:0050896}; visual perception {GO:0007601}</t>
  </si>
  <si>
    <t>cilium {GO:0005929}; cytoplasm {GO:0005737}</t>
  </si>
  <si>
    <t>Cooperation of PDCL (PhLP1) and TRiC/CCT in G-protein beta folding {R-MMU-6814122}</t>
  </si>
  <si>
    <t>sp|Q6NS46|RRP5_MOUSE</t>
  </si>
  <si>
    <t>Protein RRP5 homolog</t>
  </si>
  <si>
    <t>Apoptosis-linked gene 4 protein; Programmed cell death protein 11</t>
  </si>
  <si>
    <t>RRP5_MOUSE</t>
  </si>
  <si>
    <t>Q6NS46</t>
  </si>
  <si>
    <t>Q3TSU4; Q3UGG2; Q3URK0; Q6PIA8; Q6ZQH2; Q7TPE2; Q9CTD8; Q9R1Z2; Q9WTU7</t>
  </si>
  <si>
    <t>Alg4; Kiaa0185</t>
  </si>
  <si>
    <t>MGI:1341788</t>
  </si>
  <si>
    <t>Acetylation; Isopeptide bond; Nucleus; Phosphoprotein; Repeat; rRNA processing; Ubl conjugation</t>
  </si>
  <si>
    <t>cytosol {GO:0005829}; nucleolus {GO:0005730}; nucleus {GO:0005634}; small-subunit processome {GO:0032040}</t>
  </si>
  <si>
    <t>sp|Q9D6K5|SYJ2B_MOUSE</t>
  </si>
  <si>
    <t>Synaptojanin-2-binding protein</t>
  </si>
  <si>
    <t>Activin receptor-interacting protein 2; Activin receptor-interacting protein 4; Mitochondrial outer membrane protein 25</t>
  </si>
  <si>
    <t>SYJ2B_MOUSE</t>
  </si>
  <si>
    <t>Q9D6K5</t>
  </si>
  <si>
    <t>Q2TTN6; Q6YNE6; Q78HT9; Q8K4F3; Q9D8G4</t>
  </si>
  <si>
    <t>MGI:1344347</t>
  </si>
  <si>
    <t>Alternative splicing; Cytoplasm; Endocytosis; Membrane; Mitochondrion; Mitochondrion outer membrane; Signal-anchor; Transmembrane; Transmembrane helix</t>
  </si>
  <si>
    <t>cell-cell adhesion {GO:0098609}; chemical synaptic transmission {GO:0007268}; cytoplasm organization {GO:0007028}; endocytosis {GO:0006897}; establishment or maintenance of epithelial cell apical/basal polarity {GO:0045197}; intracellular distribution of mitochondria {GO:0048312}; negative regulation of activin receptor signaling pathway {GO:0032926}; negative regulation of angiogenesis {GO:0016525}; negative regulation of endothelial cell migration {GO:0010596}; negative regulation of endothelial cell proliferation {GO:0001937}; negative regulation of ERK1 and ERK2 cascade {GO:0070373}; negative regulation of sprouting angiogenesis {GO:1903671}; positive regulation of activin receptor signaling pathway {GO:0032927}; positive regulation of protein localization to cell surface {GO:2000010}; positive regulation of receptor internalization {GO:0002092}; protein targeting {GO:0006605}; receptor clustering {GO:0043113}; receptor localization to synapse {GO:0097120}; regulation of endocytosis {GO:0030100}; regulation of Notch signaling pathway {GO:0008593}; Rho protein signal transduction {GO:0007266}</t>
  </si>
  <si>
    <t>basolateral plasma membrane {GO:0016323}; cell junction {GO:0030054}; cell surface {GO:0009986}; integral component of mitochondrial outer membrane {GO:0031307}; mitochondrial outer membrane {GO:0005741}; mitochondrion {GO:0005739}; neuromuscular junction {GO:0031594}; neuron projection {GO:0043005}; perinuclear region of cytoplasm {GO:0048471}; postsynaptic density membrane {GO:0098839}</t>
  </si>
  <si>
    <t>protein C-terminus binding {GO:0008022}; type II activin receptor binding {GO:0070699}</t>
  </si>
  <si>
    <t>sp|Q99M15|PPIP2_MOUSE</t>
  </si>
  <si>
    <t>Proline-serine-threonine phosphatase-interacting protein 2 (PEST phosphatase-interacting protein 2)</t>
  </si>
  <si>
    <t>Macrophage actin-associated tyrosine-phosphorylated protein; pp37</t>
  </si>
  <si>
    <t>PPIP2_MOUSE</t>
  </si>
  <si>
    <t>Q99M15</t>
  </si>
  <si>
    <t>Q6GTF6; Q9Z189</t>
  </si>
  <si>
    <t>Mayp</t>
  </si>
  <si>
    <t>MGI:1335088</t>
  </si>
  <si>
    <t>Coiled coil; Cytoplasm; Membrane; Phosphoprotein</t>
  </si>
  <si>
    <t>actin filament polymerization {GO:0030041}; cell migration {GO:0016477}; cytoskeleton organization {GO:0007010}</t>
  </si>
  <si>
    <t>actin filament {GO:0005884}; cytoplasm {GO:0005737}; cytoskeleton {GO:0005856}; cytosol {GO:0005829}; membrane {GO:0016020}; plasma membrane {GO:0005886}</t>
  </si>
  <si>
    <t>sp|Q9DB91|MED29_MOUSE</t>
  </si>
  <si>
    <t>Mediator of RNA polymerase II transcription subunit 29</t>
  </si>
  <si>
    <t>Intersex-like protein; Mediator complex subunit 29</t>
  </si>
  <si>
    <t>MED29_MOUSE</t>
  </si>
  <si>
    <t>Q9DB91</t>
  </si>
  <si>
    <t>Ixl</t>
  </si>
  <si>
    <t>MGI:1914474</t>
  </si>
  <si>
    <t>3D-structure; Acetylation; Activator; Nucleus; Transcription; Transcription regulation</t>
  </si>
  <si>
    <t>positive regulation of transcription elongation by RNA polymerase II {GO:0032968}; positive regulation of transcription initiation by RNA polymerase II {GO:0060261}; regulation of transcription by RNA polymerase II {GO:0006357}; RNA polymerase II preinitiation complex assembly {GO:0051123}</t>
  </si>
  <si>
    <t>transcription coregulator activity {GO:0003712}</t>
  </si>
  <si>
    <t>sp|Q8K4P0|WDR33_MOUSE</t>
  </si>
  <si>
    <t>pre-mRNA 3' end processing protein WDR33</t>
  </si>
  <si>
    <t>WD repeat-containing protein 33; WD repeat-containing protein of 146 kDa</t>
  </si>
  <si>
    <t>WDR33_MOUSE</t>
  </si>
  <si>
    <t>Q8K4P0</t>
  </si>
  <si>
    <t>Q8C7C6; Q8CD02</t>
  </si>
  <si>
    <t>Wdc146</t>
  </si>
  <si>
    <t>MGI:1921570</t>
  </si>
  <si>
    <t>Acetylation; Collagen; Isopeptide bond; Methylation; mRNA processing; Nucleus; Phosphoprotein; Repeat; Ubl conjugation; WD repeat</t>
  </si>
  <si>
    <t>Collagen; Repeat; WD repeat</t>
  </si>
  <si>
    <t>collagen trimer {GO:0005581}; fibrillar center {GO:0001650}; mRNA cleavage and polyadenylation specificity factor complex {GO:0005847}; nucleoplasm {GO:0005654}; nucleus {GO:0005634}</t>
  </si>
  <si>
    <t>sp|Q9WTZ1|RBX2_MOUSE</t>
  </si>
  <si>
    <t>RING-box protein 2 (Rbx2)</t>
  </si>
  <si>
    <t>RING finger protein 7; Sensitive to apoptosis gene protein</t>
  </si>
  <si>
    <t>RBX2_MOUSE</t>
  </si>
  <si>
    <t>Q9WTZ1</t>
  </si>
  <si>
    <t>Q3UKF8</t>
  </si>
  <si>
    <t>Rbx2; Sag</t>
  </si>
  <si>
    <t>MGI:1337096</t>
  </si>
  <si>
    <t>3D-structure; Acetylation; Cytoplasm; Metal-binding; Nucleus; Ubl conjugation pathway; Zinc; Zinc-finger</t>
  </si>
  <si>
    <t>activation of cysteine-type endopeptidase activity involved in apoptotic process {GO:0006919}; apoptotic mitochondrial changes {GO:0008637}; cerebral cortex radially oriented cell migration {GO:0021799}; intrinsic apoptotic signaling pathway in response to oxidative stress {GO:0008631}; negative regulation of apoptotic process {GO:0043066}; protein neddylation {GO:0045116}; protein ubiquitination {GO:0016567}; radial glia guided migration of Purkinje cell {GO:0021942}; ubiquitin-dependent protein catabolic process {GO:0006511}</t>
  </si>
  <si>
    <t>Cul5-RING ubiquitin ligase complex {GO:0031466}; cullin-RING ubiquitin ligase complex {GO:0031461}; cytoplasm {GO:0005737}; cytosol {GO:0005829}; nucleoplasm {GO:0005654}; nucleus {GO:0005634}</t>
  </si>
  <si>
    <t>cullin family protein binding {GO:0097602}; NEDD8 ligase activity {GO:0061663}; ubiquitin protein ligase activity {GO:0061630}; zinc ion binding {GO:0008270}</t>
  </si>
  <si>
    <t>Neddylation {R-MMU-8951664}; Inactivation of CSF3 (G-CSF) signaling {R-MMU-9705462}; Antigen processing: Ubiquitination &amp; Proteasome degradation {R-MMU-983168}</t>
  </si>
  <si>
    <t>sp|Q8BWQ6|VP35L_MOUSE</t>
  </si>
  <si>
    <t>VPS35 endosomal protein-sorting factor-like</t>
  </si>
  <si>
    <t>VP35L_MOUSE</t>
  </si>
  <si>
    <t>Q8BWQ6</t>
  </si>
  <si>
    <t>Q3UWS3; Q3UXM0; Q7TQF5; Q80XN3; Q8R3A8; Q91VY3; Q9D307</t>
  </si>
  <si>
    <t>MGI:1918767</t>
  </si>
  <si>
    <t>Alternative splicing; Endosome; Membrane; Phosphoprotein; Protein transport; Transmembrane; Transmembrane helix; Transport</t>
  </si>
  <si>
    <t>endocytic recycling {GO:0032456}; Golgi to plasma membrane transport {GO:0006893}; protein transport {GO:0015031}</t>
  </si>
  <si>
    <t>endosome {GO:0005768}; integral component of membrane {GO:0016021}</t>
  </si>
  <si>
    <t>sp|P97393|RHG05_MOUSE</t>
  </si>
  <si>
    <t>Rho GTPase-activating protein 5</t>
  </si>
  <si>
    <t>Rho-type GTPase-activating protein 5; p190-B</t>
  </si>
  <si>
    <t>RHG05_MOUSE</t>
  </si>
  <si>
    <t>P97393</t>
  </si>
  <si>
    <t>E9PYT0; E9Q0L8</t>
  </si>
  <si>
    <t>Rhogap5</t>
  </si>
  <si>
    <t>MGI:1332637</t>
  </si>
  <si>
    <t>Cell membrane; Cytoplasm; GTPase activation; Membrane; Nitration; Phosphoprotein; Repeat</t>
  </si>
  <si>
    <t>cell migration {GO:0016477}; epithelial cell migration {GO:0010631}; mammary gland development {GO:0030879}; positive regulation of epithelial cell migration {GO:0010634}; positive regulation of mesenchymal cell proliferation {GO:0002053}; regulation of cell size {GO:0008361}; Rho protein signal transduction {GO:0007266}</t>
  </si>
  <si>
    <t>cytosol {GO:0005829}; endoplasmic reticulum {GO:0005783}; plasma membrane {GO:0005886}</t>
  </si>
  <si>
    <t>GTP binding {GO:0005525}; GTPase activator activity {GO:0005096}; GTPase activity {GO:0003924}; SH2 domain binding {GO:0042169}</t>
  </si>
  <si>
    <t>RHOA GTPase cycle {R-MMU-8980692}; RHOB GTPase cycle {R-MMU-9013026}; RHOC GTPase cycle {R-MMU-9013106}; CDC42 GTPase cycle {R-MMU-9013148}; RAC1 GTPase cycle {R-MMU-9013149}; RHOD GTPase cycle {R-MMU-9013405}; RHOQ GTPase cycle {R-MMU-9013406}; RHOG GTPase cycle {R-MMU-9013408}; RHOJ GTPase cycle {R-MMU-9013409}; RAC3 GTPase cycle {R-MMU-9013423}; RHOF GTPase cycle {R-MMU-9035034}; RND3 GTPase cycle {R-MMU-9696264}; RND2 GTPase cycle {R-MMU-9696270}; RND1 GTPase cycle {R-MMU-9696273}</t>
  </si>
  <si>
    <t>sp|Q8K212|PACS1_MOUSE</t>
  </si>
  <si>
    <t>Phosphofurin acidic cluster sorting protein 1 (PACS-1)</t>
  </si>
  <si>
    <t>PACS1_MOUSE</t>
  </si>
  <si>
    <t>Q8K212</t>
  </si>
  <si>
    <t>Q6P5H8</t>
  </si>
  <si>
    <t>MGI:1277113</t>
  </si>
  <si>
    <t>Acetylation; Coiled coil; Golgi apparatus; Phosphoprotein</t>
  </si>
  <si>
    <t>positive regulation of protein binding {GO:0032092}; protein localization {GO:0008104}; protein localization to Golgi apparatus {GO:0034067}; protein localization to plasma membrane {GO:0072659}</t>
  </si>
  <si>
    <t>COPI-coated vesicle {GO:0030137}; Golgi apparatus {GO:0005794}; perinuclear region of cytoplasm {GO:0048471}</t>
  </si>
  <si>
    <t>sp|Q91Z49|UIF_MOUSE</t>
  </si>
  <si>
    <t>UAP56-interacting factor</t>
  </si>
  <si>
    <t>Forty-two-three domain-containing protein 1 (Protein 40-2-3)</t>
  </si>
  <si>
    <t>UIF_MOUSE</t>
  </si>
  <si>
    <t>Q91Z49</t>
  </si>
  <si>
    <t>Q3TJ68; Q3UT89; Q8BVM8; Q8K361; Q921B0; Q9D6A8</t>
  </si>
  <si>
    <t>Uif</t>
  </si>
  <si>
    <t>MGI:1917955</t>
  </si>
  <si>
    <t>Acetylation; Alternative splicing; Isopeptide bond; mRNA transport; Nucleus; Phosphoprotein; RNA-binding; Transport; Ubl conjugation</t>
  </si>
  <si>
    <t>mRNA export from nucleus {GO:0006406}</t>
  </si>
  <si>
    <t>sp|Q8BHD7|PTBP3_MOUSE</t>
  </si>
  <si>
    <t>Polypyrimidine tract-binding protein 3</t>
  </si>
  <si>
    <t>Regulator of differentiation 1 (Rod1)</t>
  </si>
  <si>
    <t>PTBP3_MOUSE</t>
  </si>
  <si>
    <t>Q8BHD7</t>
  </si>
  <si>
    <t>A2ANH0; A2ANH1; Q923C3</t>
  </si>
  <si>
    <t>Rod1</t>
  </si>
  <si>
    <t>MGI:1923334</t>
  </si>
  <si>
    <t>Acetylation; Alternative splicing; Differentiation; Erythrocyte maturation; Isopeptide bond; mRNA processing; mRNA splicing; Phosphoprotein; Repeat; Repressor; RNA-binding; Ubl conjugation</t>
  </si>
  <si>
    <t>Differentiation; Erythrocyte maturation; mRNA processing; mRNA splicing</t>
  </si>
  <si>
    <t>erythrocyte maturation {GO:0043249}; mRNA processing {GO:0006397}; negative regulation of mRNA splicing, via spliceosome {GO:0048025}; negative regulation of RNA splicing {GO:0033119}; regulation of cell differentiation {GO:0045595}; regulation of RNA splicing {GO:0043484}; RNA splicing {GO:0008380}</t>
  </si>
  <si>
    <t>sp|O89017|LGMN_MOUSE</t>
  </si>
  <si>
    <t>Legumain</t>
  </si>
  <si>
    <t>Asparaginyl endopeptidase; Protease, cysteine 1</t>
  </si>
  <si>
    <t>LGMN_MOUSE</t>
  </si>
  <si>
    <t>O89017</t>
  </si>
  <si>
    <t>Prsc1</t>
  </si>
  <si>
    <t>MGI:1330838</t>
  </si>
  <si>
    <t>3D-structure; Disulfide bond; Glycoprotein; Hydrolase; Lysosome; Protease; Signal; Thiol protease; Zymogen</t>
  </si>
  <si>
    <t>activation of cysteine-type endopeptidase activity {GO:0097202}; associative learning {GO:0008306}; cellular response to amyloid-beta {GO:1904646}; cellular response to calcium ion {GO:0071277}; cellular response to hepatocyte growth factor stimulus {GO:0035729}; dendritic spine organization {GO:0097061}; memory {GO:0007613}; negative regulation of ERBB signaling pathway {GO:1901185}; negative regulation of gene expression {GO:0010629}; negative regulation of multicellular organism growth {GO:0040015}; negative regulation of neuron apoptotic process {GO:0043524}; positive regulation of cell population proliferation {GO:0008284}; positive regulation of endothelial cell chemotaxis {GO:2001028}; positive regulation of long-term synaptic potentiation {GO:1900273}; positive regulation of mitotic cell cycle {GO:0045931}; positive regulation of monocyte chemotaxis {GO:0090026}; proteolysis {GO:0006508}; proteolysis involved in protein catabolic process {GO:0051603}; receptor catabolic process {GO:0032801}; renal system process {GO:0003014}; response to acidic pH {GO:0010447}; self proteolysis {GO:0097264}; vacuolar protein processing {GO:0006624}</t>
  </si>
  <si>
    <t>apical part of cell {GO:0045177}; cytoplasm {GO:0005737}; extracellular region {GO:0005576}; late endosome {GO:0005770}; lysosome {GO:0005764}; perinuclear region of cytoplasm {GO:0048471}</t>
  </si>
  <si>
    <t>cysteine-type endopeptidase activity {GO:0004197}; peptidase activity {GO:0008233}</t>
  </si>
  <si>
    <t>Trafficking and processing of endosomal TLR {R-MMU-1679131}; MHC class II antigen presentation {R-MMU-2132295}</t>
  </si>
  <si>
    <t>sp|Q9D3U0|PUS10_MOUSE</t>
  </si>
  <si>
    <t>tRNA pseudouridine synthase Pus10</t>
  </si>
  <si>
    <t>Coiled-coil domain-containing protein 139; tRNA pseudouridine 55 synthase (Psi55 synthase); tRNA pseudouridylate synthase; tRNA-uridine isomerase</t>
  </si>
  <si>
    <t>PUS10_MOUSE</t>
  </si>
  <si>
    <t>Q9D3U0</t>
  </si>
  <si>
    <t>Q3UM90; Q8BSZ4; Q8CDM2; Q9CSI7</t>
  </si>
  <si>
    <t>MGI:1921717</t>
  </si>
  <si>
    <t>Coiled coil; Cytoplasm; Isomerase; Metal-binding; Mitochondrion; Nucleus; Phosphoprotein; tRNA processing; Zinc</t>
  </si>
  <si>
    <t>primary miRNA processing {GO:0031053}; tRNA pseudouridine synthesis {GO:0031119}</t>
  </si>
  <si>
    <t>metal ion binding {GO:0046872}; primary miRNA binding {GO:0070878}; pseudouridine synthase activity {GO:0009982}; tRNA pseudouridine synthase activity {GO:0106029}</t>
  </si>
  <si>
    <t>sp|Q8VDC0|SYLM_MOUSE</t>
  </si>
  <si>
    <t>Probable leucine--tRNA ligase, mitochondrial</t>
  </si>
  <si>
    <t>SYLM_MOUSE</t>
  </si>
  <si>
    <t>Q8VDC0</t>
  </si>
  <si>
    <t>A6H6S4</t>
  </si>
  <si>
    <t>MGI:2142973</t>
  </si>
  <si>
    <t>leucyl-tRNA aminoacylation {GO:0006429}; mitochondrial translation {GO:0032543}</t>
  </si>
  <si>
    <t>aminoacyl-tRNA editing activity {GO:0002161}; ATP binding {GO:0005524}; leucine-tRNA ligase activity {GO:0004823}</t>
  </si>
  <si>
    <t>sp|Q91Z67|SRGP2_MOUSE</t>
  </si>
  <si>
    <t>SLIT-ROBO Rho GTPase-activating protein 2 (srGAP2)</t>
  </si>
  <si>
    <t>Formin-binding protein 2; Formin-binding protein 27 (FBP-27)</t>
  </si>
  <si>
    <t>SRGP2_MOUSE</t>
  </si>
  <si>
    <t>Q91Z67</t>
  </si>
  <si>
    <t>B2RY13; Q3V1V8; Q61054</t>
  </si>
  <si>
    <t>MGI:109605</t>
  </si>
  <si>
    <t>Cell membrane; Cell projection; Coiled coil; Cytoplasm; Cytoplasmic vesicle; GTPase activation; Membrane; Methylation; Neurogenesis; Nucleus; Phosphoprotein; Postsynaptic cell membrane; SH3 domain; Synapse</t>
  </si>
  <si>
    <t>Cell membrane; Cell projection; Cytoplasm; Cytoplasmic vesicle; Membrane; Nucleus; Postsynaptic cell membrane; Synapse</t>
  </si>
  <si>
    <t>actin filament severing {GO:0051014}; dendritic spine development {GO:0060996}; excitatory synapse assembly {GO:1904861}; extension of a leading process involved in cell motility in cerebral cortex radial glia guided migration {GO:0021816}; filopodium assembly {GO:0046847}; inhibitory synapse assembly {GO:1904862}; negative regulation of cell migration {GO:0030336}; negative regulation of neuron migration {GO:2001223}; neuron projection morphogenesis {GO:0048812}; positive regulation of GTPase activity {GO:0043547}; regulation of cell migration {GO:0030334}; signal transduction {GO:0007165}</t>
  </si>
  <si>
    <t>anchoring junction {GO:0070161}; cytoplasm {GO:0005737}; cytosol {GO:0005829}; dendritic spine {GO:0043197}; dendritic spine head {GO:0044327}; lamellipodium {GO:0030027}; mitochondrial inner membrane {GO:0005743}; nucleoplasm {GO:0005654}; nucleus {GO:0005634}; phagocytic vesicle {GO:0045335}; plasma membrane {GO:0005886}; postsynaptic density {GO:0014069}; postsynaptic membrane {GO:0045211}</t>
  </si>
  <si>
    <t>GTPase activator activity {GO:0005096}; identical protein binding {GO:0042802}; protein heterodimerization activity {GO:0046982}; protein homodimerization activity {GO:0042803}; small GTPase binding {GO:0031267}</t>
  </si>
  <si>
    <t>RHO GTPases Activate Formins {R-MMU-5663220}; CDC42 GTPase cycle {R-MMU-9013148}; RAC1 GTPase cycle {R-MMU-9013149}; RHOQ GTPase cycle {R-MMU-9013406}; RHOU GTPase cycle {R-MMU-9013420}; RAC3 GTPase cycle {R-MMU-9013423}; RHOF GTPase cycle {R-MMU-9035034}</t>
  </si>
  <si>
    <t>sp|Q08024|PEBB_MOUSE</t>
  </si>
  <si>
    <t>Core-binding factor subunit beta (CBF-beta)</t>
  </si>
  <si>
    <t>Polyomavirus enhancer-binding protein 2 beta subunit (PEA2-beta; PEBP2-beta); SL3-3 enhancer factor 1 subunit beta; SL3/AKV core-binding factor beta subunit</t>
  </si>
  <si>
    <t>PEBB_MOUSE</t>
  </si>
  <si>
    <t>Q08024</t>
  </si>
  <si>
    <t>Q08025; Q62050; Q62051; Q8C282; Q8CGD5</t>
  </si>
  <si>
    <t>Pebp2b; Pebpb2</t>
  </si>
  <si>
    <t>MGI:99851</t>
  </si>
  <si>
    <t>3D-structure; Alternative splicing; Nucleus; Phosphoprotein</t>
  </si>
  <si>
    <t>cell maturation {GO:0048469}; definitive hemopoiesis {GO:0060216}; lymphocyte differentiation {GO:0030098}; myeloid cell differentiation {GO:0030099}; negative regulation of CD4-positive, alpha-beta T cell differentiation {GO:0043371}; negative regulation of transcription by RNA polymerase II {GO:0000122}; ossification {GO:0001503}; osteoblast differentiation {GO:0001649}; positive regulation of CD8-positive, alpha-beta T cell differentiation {GO:0043378}; positive regulation of transcription by RNA polymerase II {GO:0045944}; protein polyubiquitination {GO:0000209}; regulation of transcription by RNA polymerase II {GO:0006357}</t>
  </si>
  <si>
    <t>core-binding factor complex {GO:0016513}; nucleoplasm {GO:0005654}; nucleus {GO:0005634}; protein-containing complex {GO:0032991}</t>
  </si>
  <si>
    <t>DNA binding {GO:0003677}; transcription coactivator activity {GO:0003713}</t>
  </si>
  <si>
    <t>RUNX1 and FOXP3 control the development of regulatory T lymphocytes (Tregs) {R-MMU-8877330}; Transcriptional regulation by RUNX2 {R-MMU-8878166}; RUNX1 regulates estrogen receptor mediated transcription {R-MMU-8931987}; Regulation of RUNX1 Expression and Activity {R-MMU-8934593}; RUNX1 regulates genes involved in megakaryocyte differentiation and platelet function {R-MMU-8936459}; RUNX1 regulates transcription of genes involved in differentiation of HSCs {R-MMU-8939236}; RUNX1 interacts with co-factors whose precise effect on RUNX1 targets is not known {R-MMU-8939243}; RUNX1 regulates transcription of genes involved in BCR signaling {R-MMU-8939245}; RUNX1 regulates transcription of genes involved in differentiation of myeloid cells {R-MMU-8939246}; RUNX1 regulates transcription of genes involved in interleukin signaling {R-MMU-8939247}; RUNX2 regulates bone development {R-MMU-8941326}; Regulation of RUNX3 expression and activity {R-MMU-8941858}; RUNX3 regulates p14-ARF {R-MMU-8951936}; Estrogen-dependent gene expression {R-MMU-9018519}</t>
  </si>
  <si>
    <t>sp|Q91WL8|WWOX_MOUSE</t>
  </si>
  <si>
    <t>WW domain-containing oxidoreductase</t>
  </si>
  <si>
    <t>WWOX_MOUSE</t>
  </si>
  <si>
    <t>Q91WL8</t>
  </si>
  <si>
    <t>Q8C8J6; Q920Y2; Q9D2B3; Q9D339; Q9JLF5</t>
  </si>
  <si>
    <t>Wox1</t>
  </si>
  <si>
    <t>MGI:1931237</t>
  </si>
  <si>
    <t>Alternative splicing; Apoptosis; Cytoplasm; Mitochondrion; NADP; Nucleus; Oxidoreductase; Phosphoprotein; Repeat; Tumor suppressor; Ubl conjugation; Wnt signaling pathway</t>
  </si>
  <si>
    <t>Apoptosis; Wnt signaling pathway</t>
  </si>
  <si>
    <t>cellular response to transforming growth factor beta stimulus {GO:0071560}; extrinsic apoptotic signaling pathway {GO:0097191}; intrinsic apoptotic signaling pathway by p53 class mediator {GO:0072332}; negative regulation of Wnt signaling pathway {GO:0030178}; osteoblast differentiation {GO:0001649}; positive regulation of extrinsic apoptotic signaling pathway {GO:2001238}; positive regulation of extrinsic apoptotic signaling pathway in absence of ligand {GO:2001241}; positive regulation of transcription by RNA polymerase II {GO:0045944}; skeletal system morphogenesis {GO:0048705}; Wnt signaling pathway {GO:0016055}</t>
  </si>
  <si>
    <t>cytoplasm {GO:0005737}; cytosol {GO:0005829}; Golgi apparatus {GO:0005794}; microvillus {GO:0005902}; mitochondrion {GO:0005739}; nucleoplasm {GO:0005654}; nucleus {GO:0005634}; plasma membrane {GO:0005886}; RNA polymerase II transcription regulator complex {GO:0090575}</t>
  </si>
  <si>
    <t>enzyme binding {GO:0019899}; identical protein binding {GO:0042802}; oxidoreductase activity {GO:0016491}</t>
  </si>
  <si>
    <t>Nuclear signaling by ERBB4 {R-MMU-1251985}; Negative regulation of activity of TFAP2 (AP-2) family transcription factors {R-MMU-8866904}; Activation of the TFAP2 (AP-2) family of transcription factors {R-MMU-8866907}</t>
  </si>
  <si>
    <t>sp|O70583|TRI18_MOUSE</t>
  </si>
  <si>
    <t>E3 ubiquitin-protein ligase Midline-1</t>
  </si>
  <si>
    <t>Midin; RING finger protein Midline-1; RING-type E3 ubiquitin transferase Midline-1; Tripartite motif-containing protein 18</t>
  </si>
  <si>
    <t>TRI18_MOUSE</t>
  </si>
  <si>
    <t>O70583</t>
  </si>
  <si>
    <t>B1AV00; O35418; Q7TPT6</t>
  </si>
  <si>
    <t>Fxy; Trim18</t>
  </si>
  <si>
    <t>MGI:1100537</t>
  </si>
  <si>
    <t>Alternative splicing; Coiled coil; Cytoplasm; Cytoskeleton; Metal-binding; Microtubule; Phosphoprotein; Repeat; Transferase; Ubl conjugation pathway; Zinc; Zinc-finger</t>
  </si>
  <si>
    <t>negative regulation of microtubule depolymerization {GO:0007026}; positive regulation of stress-activated MAPK cascade {GO:0032874}; protein localization to microtubule {GO:0035372}; regulation of microtubule cytoskeleton organization {GO:0070507}</t>
  </si>
  <si>
    <t>centriolar satellite {GO:0034451}; cytoplasm {GO:0005737}; cytoplasmic microtubule {GO:0005881}; cytosol {GO:0005829}; Golgi apparatus {GO:0005794}; microtubule {GO:0005874}; microtubule cytoskeleton {GO:0015630}</t>
  </si>
  <si>
    <t>enzyme binding {GO:0019899}; identical protein binding {GO:0042802}; microtubule binding {GO:0008017}; phosphoprotein binding {GO:0051219}; protein homodimerization activity {GO:0042803}; transferase activity {GO:0016740}; ubiquitin protein ligase binding {GO:0031625}; zinc ion binding {GO:0008270}</t>
  </si>
  <si>
    <t>sp|Q8K341|ATAT_MOUSE</t>
  </si>
  <si>
    <t>Alpha-tubulin N-acetyltransferase 1 (Alpha-TAT; Alpha-TAT1; TAT)</t>
  </si>
  <si>
    <t>Acetyltransferase mec-17 homolog</t>
  </si>
  <si>
    <t>ATAT_MOUSE</t>
  </si>
  <si>
    <t>Q8K341</t>
  </si>
  <si>
    <t>B8JJ75; B8JJ77; Q3UZR9; Q8BM67; Q8C1D1; Q8K2M7</t>
  </si>
  <si>
    <t>Mec17</t>
  </si>
  <si>
    <t>MGI:1913869</t>
  </si>
  <si>
    <t>Acetylation; Acyltransferase; Alternative splicing; Cell junction; Cell projection; Coated pit; Cytoplasm; Cytoskeleton; Membrane; Methylation; Phosphoprotein; Transferase</t>
  </si>
  <si>
    <t>Cell junction; Cell projection; Coated pit; Cytoplasm; Cytoskeleton; Membrane</t>
  </si>
  <si>
    <t>alpha-tubulin acetylation {GO:0071929}; dentate gyrus development {GO:0021542}; neuron development {GO:0048666}; NLRP3 inflammasome complex assembly {GO:0044546}; positive regulation of NLRP3 inflammasome complex assembly {GO:1900227}; regulation of fat cell differentiation {GO:0045598}; regulation of microtubule cytoskeleton organization {GO:0070507}; spermatogenesis {GO:0007283}</t>
  </si>
  <si>
    <t>axon {GO:0030424}; clathrin-coated pit {GO:0005905}; cytosol {GO:0005829}; focal adhesion {GO:0005925}; Golgi apparatus {GO:0005794}; microtubule {GO:0005874}; microtubule bundle {GO:0097427}; mitotic spindle {GO:0072686}</t>
  </si>
  <si>
    <t>lysine N-acetyltransferase activity, acting on acetyl phosphate as donor {GO:0004468}; tubulin N-acetyltransferase activity {GO:0019799}</t>
  </si>
  <si>
    <t>Cilium Assembly {R-MMU-5617833}</t>
  </si>
  <si>
    <t>sp|Q9CWH5|TRM11_MOUSE</t>
  </si>
  <si>
    <t>tRNA (guanine(10)-N2)-methyltransferase homolog</t>
  </si>
  <si>
    <t>tRNA guanosine-2'-O-methyltransferase TRM11 homolog</t>
  </si>
  <si>
    <t>TRM11_MOUSE</t>
  </si>
  <si>
    <t>Q9CWH5</t>
  </si>
  <si>
    <t>Q80Y71</t>
  </si>
  <si>
    <t>MGI:1920931</t>
  </si>
  <si>
    <t>Acetylation; Alternative splicing; Methyltransferase; RNA-binding; S-adenosyl-L-methionine; Transferase; tRNA processing; tRNA-binding</t>
  </si>
  <si>
    <t>methyltransferase activity {GO:0008168}; tRNA (guanine-N2-)-methyltransferase activity {GO:0004809}; tRNA binding {GO:0000049}</t>
  </si>
  <si>
    <t>sp|Q3TFD2|PCAT1_MOUSE</t>
  </si>
  <si>
    <t>Lysophosphatidylcholine acyltransferase 1 (LPC acyltransferase 1; LPCAT-1; LysoPC acyltransferase 1; mLPCAT1)</t>
  </si>
  <si>
    <t>1-acylglycerol-3-phosphate O-acyltransferase; 1-acylglycerophosphocholine O-acyltransferase; 1-alkenylglycerophosphocholine O-acyltransferase; 1-alkylglycerophosphocholine O-acetyltransferase; Acetyl-CoA:lyso-platelet-activating factor acetyltransferase (Acetyl-CoA:lyso-PAF acetyltransferase; Lyso-PAF acetyltransferase; LysoPAFAT); Acyltransferase-like 2</t>
  </si>
  <si>
    <t>PCAT1_MOUSE</t>
  </si>
  <si>
    <t>Q3TFD2</t>
  </si>
  <si>
    <t>Q3TAX4; Q6NXZ6; Q8BG23; Q8BUX7; Q99JU6</t>
  </si>
  <si>
    <t>Aytl2</t>
  </si>
  <si>
    <t>MGI:2384812</t>
  </si>
  <si>
    <t>Acyltransferase; Alternative splicing; Calcium; Cell membrane; Endoplasmic reticulum; Golgi apparatus; Lipid biosynthesis; Lipid droplet; Lipid metabolism; Membrane; Metal-binding; Phospholipid biosynthesis; Phospholipid metabolism; Repeat; Signal-anchor; Transferase; Transmembrane; Transmembrane helix</t>
  </si>
  <si>
    <t>Cell membrane; Endoplasmic reticulum; Golgi apparatus; Lipid droplet; Membrane</t>
  </si>
  <si>
    <t>negative regulation of phosphatidylcholine biosynthetic process {GO:2001246}; phosphatidylcholine acyl-chain remodeling {GO:0036151}; phosphatidylcholine biosynthetic process {GO:0006656}; phospholipid biosynthetic process {GO:0008654}; positive regulation of protein catabolic process {GO:0045732}; protein catabolic process {GO:0030163}; retina development in camera-type eye {GO:0060041}; surfactant homeostasis {GO:0043129}</t>
  </si>
  <si>
    <t>endoplasmic reticulum {GO:0005783}; endoplasmic reticulum membrane {GO:0005789}; Golgi apparatus {GO:0005794}; Golgi membrane {GO:0000139}; integral component of membrane {GO:0016021}; lipid droplet {GO:0005811}; membrane {GO:0016020}; plasma membrane {GO:0005886}</t>
  </si>
  <si>
    <t>1-acylglycerol-3-phosphate O-acyltransferase activity {GO:0003841}; 1-acylglycerophosphocholine O-acyltransferase activity {GO:0047184}; 1-alkenylglycerophosphocholine O-acyltransferase activity {GO:0047159}; 1-alkylglycerophosphocholine O-acetyltransferase activity {GO:0047192}; 1-alkylglycerophosphocholine O-acyltransferase activity {GO:0047191}; calcium ion binding {GO:0005509}; plasmalogen synthase activity {GO:0050200}</t>
  </si>
  <si>
    <t>Acyl chain remodelling of PC {R-MMU-1482788}; Acyl chain remodelling of PG {R-MMU-1482925}; Synthesis of PA {R-MMU-1483166}; Synthesis of PC {R-MMU-1483191}; Neutrophil degranulation {R-MMU-6798695}</t>
  </si>
  <si>
    <t>sp|Q9CQI7|RU2B_MOUSE</t>
  </si>
  <si>
    <t>U2 small nuclear ribonucleoprotein B'' (U2 snRNP B'')</t>
  </si>
  <si>
    <t>RU2B_MOUSE</t>
  </si>
  <si>
    <t>Q9CQI7</t>
  </si>
  <si>
    <t>Q9CW35; Q9CZ66</t>
  </si>
  <si>
    <t>MGI:104805</t>
  </si>
  <si>
    <t>Acetylation; Isopeptide bond; mRNA processing; mRNA splicing; Nucleus; Phosphoprotein; Repeat; Ribonucleoprotein; RNA-binding; Spliceosome; Ubl conjugation</t>
  </si>
  <si>
    <t>catalytic step 2 spliceosome {GO:0071013}; cytoplasmic ribonucleoprotein granule {GO:0036464}; fibrillar center {GO:0001650}; nuclear speck {GO:0016607}; nucleus {GO:0005634}; small nuclear ribonucleoprotein complex {GO:0030532}; spliceosomal complex {GO:0005681}; U1 snRNP {GO:0005685}; U2 snRNP {GO:0005686}; U2-type catalytic step 2 spliceosome {GO:0071007}; U2-type precatalytic spliceosome {GO:0071005}</t>
  </si>
  <si>
    <t>snRNP binding {GO:0070990}; U1 snRNA binding {GO:0030619}</t>
  </si>
  <si>
    <t>sp|Q3TMH2|SCRN3_MOUSE</t>
  </si>
  <si>
    <t>Secernin-3</t>
  </si>
  <si>
    <t>SCRN3_MOUSE</t>
  </si>
  <si>
    <t>Q3TMH2</t>
  </si>
  <si>
    <t>A2AWR0; Q91WF6; Q9CUT0</t>
  </si>
  <si>
    <t>MGI:1921866</t>
  </si>
  <si>
    <t>sp|Q8BIW1|PRUN1_MOUSE</t>
  </si>
  <si>
    <t>Exopolyphosphatase PRUNE1</t>
  </si>
  <si>
    <t>PRUNEM1</t>
  </si>
  <si>
    <t>PRUN1_MOUSE</t>
  </si>
  <si>
    <t>Q8BIW1</t>
  </si>
  <si>
    <t>Q80VU0</t>
  </si>
  <si>
    <t>Prune</t>
  </si>
  <si>
    <t>MGI:1925152</t>
  </si>
  <si>
    <t>Acetylation; Cell junction; Cytoplasm; Hydrolase; Manganese; Metal-binding; Nucleus; Phosphoprotein</t>
  </si>
  <si>
    <t>regulation of microtubule polymerization {GO:0031113}; regulation of neurogenesis {GO:0050767}</t>
  </si>
  <si>
    <t>cytoplasm {GO:0005737}; cytosol {GO:0005829}; focal adhesion {GO:0005925}; nucleus {GO:0005634}</t>
  </si>
  <si>
    <t>exopolyphosphatase activity {GO:0004309}; inorganic diphosphate phosphatase activity {GO:0004427}; metal ion binding {GO:0046872}; phosphatase activity {GO:0016791}; tubulin binding {GO:0015631}</t>
  </si>
  <si>
    <t>sp|Q99J62|RFC4_MOUSE</t>
  </si>
  <si>
    <t>Replication factor C subunit 4</t>
  </si>
  <si>
    <t>Activator 1 subunit 4</t>
  </si>
  <si>
    <t>RFC4_MOUSE</t>
  </si>
  <si>
    <t>Q99J62</t>
  </si>
  <si>
    <t>MGI:2146571</t>
  </si>
  <si>
    <t>Ctf18 RFC-like complex {GO:0031390}; DNA replication factor C complex {GO:0005663}; Elg1 RFC-like complex {GO:0031391}; nucleoplasm {GO:0005654}; nucleus {GO:0005634}</t>
  </si>
  <si>
    <t>sp|Q60649|CLPB_MOUSE</t>
  </si>
  <si>
    <t>Caseinolytic peptidase B protein homolog</t>
  </si>
  <si>
    <t>Suppressor of potassium transport defect 3</t>
  </si>
  <si>
    <t>CLPB_MOUSE</t>
  </si>
  <si>
    <t>Q60649</t>
  </si>
  <si>
    <t>Skd3</t>
  </si>
  <si>
    <t>MGI:1100517</t>
  </si>
  <si>
    <t>Acetylation; ANK repeat; ATP-binding; Hydrolase; Mitochondrion; Nucleotide-binding; Repeat; Transit peptide</t>
  </si>
  <si>
    <t>antiviral innate immune response {GO:0140374}; cellular response to heat {GO:0034605}; RIG-I signaling pathway {GO:0039529}</t>
  </si>
  <si>
    <t>sp|Q9JKP5|MBNL1_MOUSE</t>
  </si>
  <si>
    <t>Muscleblind-like protein 1</t>
  </si>
  <si>
    <t>Triplet-expansion RNA-binding protein</t>
  </si>
  <si>
    <t>MBNL1_MOUSE</t>
  </si>
  <si>
    <t>Q9JKP5</t>
  </si>
  <si>
    <t>Exp; Mbnl</t>
  </si>
  <si>
    <t>MGI:1928482</t>
  </si>
  <si>
    <t>Cytoplasm; Metal-binding; mRNA processing; mRNA splicing; Nucleus; Phosphoprotein; Repeat; RNA-binding; Zinc; Zinc-finger</t>
  </si>
  <si>
    <t>alternative mRNA splicing, via spliceosome {GO:0000380}; embryonic limb morphogenesis {GO:0030326}; in utero embryonic development {GO:0001701}; mRNA splice site selection {GO:0006376}; myoblast differentiation {GO:0045445}; nervous system development {GO:0007399}; regulation of alternative mRNA splicing, via spliceosome {GO:0000381}; regulation of RNA splicing {GO:0043484}; RNA splicing {GO:0008380}; skeletal muscle tissue development {GO:0007519}</t>
  </si>
  <si>
    <t>cytoplasm {GO:0005737}; cytoplasmic stress granule {GO:0010494}; cytosol {GO:0005829}; nucleoplasm {GO:0005654}; nucleus {GO:0005634}</t>
  </si>
  <si>
    <t>double-stranded RNA binding {GO:0003725}; metal ion binding {GO:0046872}; regulatory region RNA binding {GO:0001069}; RNA binding {GO:0003723}</t>
  </si>
  <si>
    <t>sp|Q0VBL3|RBM15_MOUSE</t>
  </si>
  <si>
    <t>RNA-binding protein 15</t>
  </si>
  <si>
    <t>One-twenty two protein 1; RNA-binding motif protein 15</t>
  </si>
  <si>
    <t>RBM15_MOUSE</t>
  </si>
  <si>
    <t>Q0VBL3</t>
  </si>
  <si>
    <t>A0PJG5; Q3THK4; Q3TLX0; Q571M7; Q66JP8; Q6PGG1; Q7TT82</t>
  </si>
  <si>
    <t>MGI:2443205</t>
  </si>
  <si>
    <t>Acetylation; Alternative splicing; Isopeptide bond; Membrane; Methylation; Nucleus; Phosphoprotein; Repeat; RNA-binding; Ubl conjugation</t>
  </si>
  <si>
    <t>branching involved in blood vessel morphogenesis {GO:0001569}; dosage compensation by inactivation of X chromosome {GO:0009048}; negative regulation of myeloid cell differentiation {GO:0045638}; negative regulation of transcription by RNA polymerase II {GO:0000122}; placenta blood vessel development {GO:0060674}; positive regulation of transcription of Notch receptor target {GO:0007221}; regulation of alternative mRNA splicing, via spliceosome {GO:0000381}; regulation of megakaryocyte differentiation {GO:0045652}; RNA methylation {GO:0001510}; spleen development {GO:0048536}; thrombopoietin-mediated signaling pathway {GO:0038163}; ventricular septum morphogenesis {GO:0060412}</t>
  </si>
  <si>
    <t>nuclear membrane {GO:0031965}; nuclear speck {GO:0016607}; nucleoplasm {GO:0005654}; nucleus {GO:0005634}; RNA N6-methyladenosine methyltransferase complex {GO:0036396}</t>
  </si>
  <si>
    <t>sp|P35283|RAB12_MOUSE</t>
  </si>
  <si>
    <t>Ras-related protein Rab-12</t>
  </si>
  <si>
    <t>Rab-13</t>
  </si>
  <si>
    <t>RAB12_MOUSE</t>
  </si>
  <si>
    <t>P35283</t>
  </si>
  <si>
    <t>Q0PD43; Q9CUW7</t>
  </si>
  <si>
    <t>MGI:894284</t>
  </si>
  <si>
    <t>Acetylation; Autophagy; Cytoplasmic vesicle; Endosome; Golgi apparatus; GTP-binding; Lipoprotein; Lysosome; Membrane; Nucleotide-binding; Phosphoprotein; Prenylation; Protein transport; Transport</t>
  </si>
  <si>
    <t>Cytoplasmic vesicle; Endosome; Golgi apparatus; Lysosome; Membrane</t>
  </si>
  <si>
    <t>autophagy {GO:0006914}; cellular response to insulin stimulus {GO:0032869}; cellular response to interferon-gamma {GO:0071346}; endosome to lysosome transport {GO:0008333}; positive regulation of macroautophagy {GO:0016239}; protein catabolic process {GO:0030163}; protein localization to plasma membrane {GO:0072659}; protein secretion {GO:0009306}; Rab protein signal transduction {GO:0032482}; regulation of exocytosis {GO:0017157}; vesicle docking involved in exocytosis {GO:0006904}</t>
  </si>
  <si>
    <t>autophagosome {GO:0005776}; endosome {GO:0005768}; Golgi apparatus {GO:0005794}; Golgi membrane {GO:0000139}; insulin-responsive compartment {GO:0032593}; intracellular membrane-bounded organelle {GO:0043231}; lysosomal membrane {GO:0005765}; lysosome {GO:0005764}; phagocytic vesicle {GO:0045335}; plasma membrane {GO:0005886}; recycling endosome {GO:0055037}; recycling endosome membrane {GO:0055038}; secretory granule {GO:0030141}; synaptic vesicle {GO:0008021}</t>
  </si>
  <si>
    <t>sp|P62838|UB2D2_MOUSE</t>
  </si>
  <si>
    <t>Ubiquitin-conjugating enzyme E2 D2</t>
  </si>
  <si>
    <t>(E3-independent) E2 ubiquitin-conjugating enzyme D2; E2 ubiquitin-conjugating enzyme D2; Ubiquitin carrier protein D2; Ubiquitin-conjugating enzyme E2(17)KB 2; Ubiquitin-conjugating enzyme E2-17 kDa 2; Ubiquitin-protein ligase D2</t>
  </si>
  <si>
    <t>UB2D2_MOUSE</t>
  </si>
  <si>
    <t>P62838</t>
  </si>
  <si>
    <t>P51669</t>
  </si>
  <si>
    <t>Ubc4; Ubch4; Ubch5b; Ube2d2a</t>
  </si>
  <si>
    <t>MGI:1930715</t>
  </si>
  <si>
    <t>ATP-binding; Nucleotide-binding; Transferase; Ubl conjugation pathway</t>
  </si>
  <si>
    <t>protein autoubiquitination {GO:0051865}; protein K48-linked ubiquitination {GO:0070936}; protein polyubiquitination {GO:0000209}; protein ubiquitination {GO:0016567}</t>
  </si>
  <si>
    <t>nucleus {GO:0005634}; protein-containing complex {GO:0032991}; ubiquitin ligase complex {GO:0000151}</t>
  </si>
  <si>
    <t>ATP binding {GO:0005524}; ubiquitin conjugating enzyme activity {GO:0061631}; ubiquitin protein ligase activity {GO:0061630}; ubiquitin-protein transferase activity {GO:0004842}</t>
  </si>
  <si>
    <t>Oxygen-dependent proline hydroxylation of Hypoxia-inducible Factor Alpha {R-MMU-1234176}; Downstream TCR signaling {R-MMU-202424}; FCERI mediated NF-kB activation {R-MMU-2871837}; CLEC7A (Dectin-1) signaling {R-MMU-5607764}; Synthesis of active ubiquitin: roles of E1 and E2 enzymes {R-MMU-8866652}; E3 ubiquitin ligases ubiquitinate target proteins {R-MMU-8866654}; Neddylation {R-MMU-8951664}; Peroxisomal protein import {R-MMU-9033241}; IKK complex recruitment mediated by RIP1 {R-MMU-937041}; Inactivation of CSF3 (G-CSF) signaling {R-MMU-9705462}; Antigen processing: Ubiquitination &amp; Proteasome degradation {R-MMU-983168}</t>
  </si>
  <si>
    <t>sp|Q3UH68|LIMC1_MOUSE</t>
  </si>
  <si>
    <t>LIM and calponin homology domains-containing protein 1</t>
  </si>
  <si>
    <t>LIMC1_MOUSE</t>
  </si>
  <si>
    <t>Q3UH68</t>
  </si>
  <si>
    <t>Q6DIC3; Q80TK1</t>
  </si>
  <si>
    <t>MGI:1924819</t>
  </si>
  <si>
    <t>Alternative splicing; Coiled coil; Cytoplasm; Cytoskeleton; LIM domain; Metal-binding; Phosphoprotein; Zinc</t>
  </si>
  <si>
    <t>actomyosin structure organization {GO:0031032}; cytoplasmic actin-based contraction involved in cell motility {GO:0060327}; negative regulation of cell migration {GO:0030336}; positive regulation of protein phosphorylation {GO:0001934}; positive regulation of stress fiber assembly {GO:0051496}; regulation of focal adhesion assembly {GO:0051893}</t>
  </si>
  <si>
    <t>cytoplasm {GO:0005737}; myosin II complex {GO:0016460}; stress fiber {GO:0001725}</t>
  </si>
  <si>
    <t>actin binding {GO:0003779}; metal ion binding {GO:0046872}; myosin II head/neck binding {GO:0032034}</t>
  </si>
  <si>
    <t>sp|Q8JZV7|NAGA_MOUSE</t>
  </si>
  <si>
    <t>N-acetylglucosamine-6-phosphate deacetylase (GlcNAc 6-P deacetylase)</t>
  </si>
  <si>
    <t>Amidohydrolase domain-containing protein 2</t>
  </si>
  <si>
    <t>NAGA_MOUSE</t>
  </si>
  <si>
    <t>Q8JZV7</t>
  </si>
  <si>
    <t>Q8BK10</t>
  </si>
  <si>
    <t>MGI:2443978</t>
  </si>
  <si>
    <t>Carbohydrate metabolism; Hydrolase; Metal-binding</t>
  </si>
  <si>
    <t>carbohydrate metabolic process {GO:0005975}; N-acetylglucosamine catabolic process {GO:0006046}; N-acetylneuraminate catabolic process {GO:0019262}</t>
  </si>
  <si>
    <t>metal ion binding {GO:0046872}; N-acetylgalactosamine-6-phosphate deacetylase activity {GO:0047419}; N-acetylglucosamine-6-phosphate deacetylase activity {GO:0008448}</t>
  </si>
  <si>
    <t>sp|P31001|DESM_MOUSE</t>
  </si>
  <si>
    <t>Desmin</t>
  </si>
  <si>
    <t>DESM_MOUSE</t>
  </si>
  <si>
    <t>P31001</t>
  </si>
  <si>
    <t>MGI:94885</t>
  </si>
  <si>
    <t>ADP-ribosylation; Cell membrane; Coiled coil; Cytoplasm; Intermediate filament; Membrane; Methylation; Muscle protein; Nucleus; Phosphoprotein; Ubl conjugation</t>
  </si>
  <si>
    <t>Cell membrane; Cytoplasm; Intermediate filament; Membrane; Nucleus</t>
  </si>
  <si>
    <t>Muscle protein</t>
  </si>
  <si>
    <t>ADP-ribosylation; Methylation; Phosphoprotein; Ubl conjugation</t>
  </si>
  <si>
    <t>intermediate filament organization {GO:0045109}; muscle organ development {GO:0007517}; skeletal muscle organ development {GO:0060538}</t>
  </si>
  <si>
    <t>cardiac myofibril {GO:0097512}; cell-cell junction {GO:0005911}; contractile fiber {GO:0043292}; cytoplasm {GO:0005737}; cytoskeleton {GO:0005856}; fascia adherens {GO:0005916}; gap junction {GO:0005921}; intercalated disc {GO:0014704}; intermediate filament cytoskeleton {GO:0045111}; neuromuscular junction {GO:0031594}; nucleus {GO:0005634}; sarcolemma {GO:0042383}; type III intermediate filament {GO:0045098}; Z disc {GO:0030018}</t>
  </si>
  <si>
    <t>cytoskeletal protein binding {GO:0008092}; identical protein binding {GO:0042802}; structural constituent of cytoskeleton {GO:0005200}</t>
  </si>
  <si>
    <t>sp|E9PYI1|ZN568_MOUSE</t>
  </si>
  <si>
    <t>sp|O88291|ZN326_MOUSE</t>
  </si>
  <si>
    <t>DBIRD complex subunit ZNF326</t>
  </si>
  <si>
    <t>Zinc finger protein 326; Zinc finger protein interacting with mRNPs; Zinc finger protein-associated with nuclear matrix of 75 kDa</t>
  </si>
  <si>
    <t>ZN326_MOUSE</t>
  </si>
  <si>
    <t>O88291</t>
  </si>
  <si>
    <t>Q05DP5; Q3TRI9; Q3UJI3; Q8BSJ5; Q8K1X9; Q9CYG9</t>
  </si>
  <si>
    <t>Zan75; Zfp326; Zird</t>
  </si>
  <si>
    <t>MGI:1927246</t>
  </si>
  <si>
    <t>Acetylation; Activator; Alternative splicing; DNA-binding; Isopeptide bond; Metal-binding; Methylation; mRNA processing; mRNA splicing; Nucleus; Phosphoprotein; Repeat; Transcription; Transcription regulation; Ubl conjugation; Zinc; Zinc-finger</t>
  </si>
  <si>
    <t>mRNA processing {GO:0006397}; positive regulation of DNA-templated transcription {GO:0045893}; regulation of DNA-templated transcription elongation {GO:0032784}; regulation of RNA splicing {GO:0043484}; RNA splicing {GO:0008380}</t>
  </si>
  <si>
    <t>DBIRD complex {GO:0044609}; intracellular membrane-bounded organelle {GO:0043231}; nuclear matrix {GO:0016363}; nucleoplasm {GO:0005654}; nucleus {GO:0005634}</t>
  </si>
  <si>
    <t>DNA binding {GO:0003677}; RNA polymerase II complex binding {GO:0000993}; zinc ion binding {GO:0008270}</t>
  </si>
  <si>
    <t>sp|Q9Z2Q5|RM40_MOUSE</t>
  </si>
  <si>
    <t>39S ribosomal protein L40, mitochondrial (L40mt; MRP-L40)</t>
  </si>
  <si>
    <t>Nuclear localization signal-containing protein deleted in velocardiofacial syndrome homolog</t>
  </si>
  <si>
    <t>RM40_MOUSE</t>
  </si>
  <si>
    <t>Q9Z2Q5</t>
  </si>
  <si>
    <t>Q9CS52</t>
  </si>
  <si>
    <t>Nlvcf</t>
  </si>
  <si>
    <t>MGI:1332635</t>
  </si>
  <si>
    <t>mitochondrial inner membrane {GO:0005743}; mitochondrial large ribosomal subunit {GO:0005762}; mitochondrial ribosome {GO:0005761}; mitochondrion {GO:0005739}; nucleolus {GO:0005730}</t>
  </si>
  <si>
    <t>sp|P25322|CCND1_MOUSE</t>
  </si>
  <si>
    <t>G1/S-specific cyclin-D1</t>
  </si>
  <si>
    <t>CCND1_MOUSE</t>
  </si>
  <si>
    <t>P25322</t>
  </si>
  <si>
    <t>Cyl-1</t>
  </si>
  <si>
    <t>MGI:88313</t>
  </si>
  <si>
    <t>Cell cycle; Cell division; Cyclin; Cytoplasm; Isopeptide bond; Membrane; Nucleus; Phosphoprotein; Repressor; Transcription; Transcription regulation; Ubl conjugation</t>
  </si>
  <si>
    <t>Cell cycle; Cell division; Transcription; Transcription regulation</t>
  </si>
  <si>
    <t>Cyclin; Repressor</t>
  </si>
  <si>
    <t>cell division {GO:0051301}; cell population proliferation {GO:0008283}; cellular response to DNA damage stimulus {GO:0006974}; cellular response to organic substance {GO:0071310}; endoplasmic reticulum unfolded protein response {GO:0030968}; fat cell differentiation {GO:0045444}; G1/S transition of mitotic cell cycle {GO:0000082}; lactation {GO:0007595}; Leydig cell differentiation {GO:0033327}; liver regeneration {GO:0097421}; mammary gland alveolus development {GO:0060749}; mammary gland epithelial cell proliferation {GO:0033598}; mitotic cell cycle phase transition {GO:0044772}; mitotic G1 DNA damage checkpoint signaling {GO:0031571}; negative regulation of epithelial cell differentiation {GO:0030857}; negative regulation of neuron apoptotic process {GO:0043524}; negative regulation of transcription by RNA polymerase II {GO:0000122}; neuron differentiation {GO:0030182}; positive regulation of cell population proliferation {GO:0008284}; positive regulation of cyclin-dependent protein serine/threonine kinase activity {GO:0045737}; positive regulation of G1/S transition of mitotic cell cycle {GO:1900087}; positive regulation of G2/M transition of mitotic cell cycle {GO:0010971}; positive regulation of mammary gland epithelial cell proliferation {GO:0033601}; positive regulation of protein phosphorylation {GO:0001934}; protein phosphorylation {GO:0006468}; re-entry into mitotic cell cycle {GO:0000320}; regulation of cell cycle {GO:0051726}; regulation of cyclin-dependent protein serine/threonine kinase activity {GO:0000079}; regulation of G1/S transition of mitotic cell cycle {GO:2000045}; response to calcium ion {GO:0051592}; response to corticosterone {GO:0051412}; response to estradiol {GO:0032355}; response to estrogen {GO:0043627}; response to ethanol {GO:0045471}; response to iron ion {GO:0010039}; response to leptin {GO:0044321}; response to magnesium ion {GO:0032026}; response to organonitrogen compound {GO:0010243}; response to UV-A {GO:0070141}; response to vitamin E {GO:0033197}; response to X-ray {GO:0010165}; response to xenobiotic stimulus {GO:0009410}; Wnt signaling pathway {GO:0016055}</t>
  </si>
  <si>
    <t>bicellular tight junction {GO:0005923}; cyclin D1-CDK4 complex {GO:0097128}; cyclin-dependent protein kinase holoenzyme complex {GO:0000307}; cytoplasm {GO:0005737}; cytosol {GO:0005829}; nuclear membrane {GO:0031965}; nucleoplasm {GO:0005654}; nucleus {GO:0005634}; transcription repressor complex {GO:0017053}</t>
  </si>
  <si>
    <t>cyclin-dependent protein serine/threonine kinase regulator activity {GO:0016538}; enzyme binding {GO:0019899}; histone deacetylase binding {GO:0042826}; kinase activity {GO:0016301}; proline-rich region binding {GO:0070064}; protein kinase activity {GO:0004672}; protein kinase binding {GO:0019901}; protein-containing complex binding {GO:0044877}; transcription corepressor activity {GO:0003714}</t>
  </si>
  <si>
    <t>SCF(Skp2)-mediated degradation of p27/p21 {R-MMU-187577}; RMTs methylate histone arginines {R-MMU-3214858}; Cyclin D associated events in G1 {R-MMU-69231}; Ubiquitin-dependent degradation of Cyclin D {R-MMU-75815}; PTK6 Regulates Cell Cycle {R-MMU-8849470}; Transcriptional regulation by RUNX2 {R-MMU-8878166}; Regulation of RUNX1 Expression and Activity {R-MMU-8934593}; RUNX3 regulates p14-ARF {R-MMU-8951936}; Drug-mediated inhibition of CDK4/CDK6 activity {R-MMU-9754119}</t>
  </si>
  <si>
    <t>sp|Q9ERI6|RDH14_MOUSE</t>
  </si>
  <si>
    <t>Retinol dehydrogenase 14</t>
  </si>
  <si>
    <t>Alcohol dehydrogenase PAN2</t>
  </si>
  <si>
    <t>RDH14_MOUSE</t>
  </si>
  <si>
    <t>Q9ERI6</t>
  </si>
  <si>
    <t>Pan2</t>
  </si>
  <si>
    <t>MGI:1920402</t>
  </si>
  <si>
    <t>Lipid metabolism; NADP; Oxidoreductase</t>
  </si>
  <si>
    <t>retinol metabolic process {GO:0042572}</t>
  </si>
  <si>
    <t>cytosol {GO:0005829}; endoplasmic reticulum {GO:0005783}; mitochondrion {GO:0005739}; nucleoplasm {GO:0005654}</t>
  </si>
  <si>
    <t>11-cis-retinol dehydrogenase activity {GO:0102354}; alcohol dehydrogenase (NADP+) activity {GO:0008106}; NADP-retinol dehydrogenase activity {GO:0052650}</t>
  </si>
  <si>
    <t>sp|Q9D6T0|NOSIP_MOUSE</t>
  </si>
  <si>
    <t>Nitric oxide synthase-interacting protein</t>
  </si>
  <si>
    <t>E3 ubiquitin-protein ligase NOSIP; RING-type E3 ubiquitin transferase NOSIP</t>
  </si>
  <si>
    <t>NOSIP_MOUSE</t>
  </si>
  <si>
    <t>Q9D6T0</t>
  </si>
  <si>
    <t>Q9D8J9</t>
  </si>
  <si>
    <t>MGI:1913644</t>
  </si>
  <si>
    <t>Alternative splicing; Cytoplasm; Developmental protein; Nucleus; Phosphoprotein; Transferase; Ubl conjugation pathway</t>
  </si>
  <si>
    <t>negative regulation of catalytic activity {GO:0043086}; negative regulation of nitric-oxide synthase activity {GO:0051001}</t>
  </si>
  <si>
    <t>NOSIP mediated eNOS trafficking {R-MMU-203754}</t>
  </si>
  <si>
    <t>sp|Q8C4J7|TBL3_MOUSE</t>
  </si>
  <si>
    <t>Transducin beta-like protein 3</t>
  </si>
  <si>
    <t>TBL3_MOUSE</t>
  </si>
  <si>
    <t>Q8C4J7</t>
  </si>
  <si>
    <t>Q3TNP3; Q3UDS9; Q8VE90</t>
  </si>
  <si>
    <t>MGI:2384863</t>
  </si>
  <si>
    <t>Acetylation; Isopeptide bond; Nucleus; Phosphoprotein; Repeat; Ubl conjugation; WD repeat</t>
  </si>
  <si>
    <t>endonucleolytic cleavage in 5'-ETS of tricistronic rRNA transcript (SSU-rRNA, 5.8S rRNA, LSU-rRNA) {GO:0000480}; endonucleolytic cleavage to generate mature 5'-end of SSU-rRNA from (SSU-rRNA, 5.8S rRNA, LSU-rRNA) {GO:0000472}</t>
  </si>
  <si>
    <t>90S preribosome {GO:0030686}; nucleolus {GO:0005730}; nucleoplasm {GO:0005654}; small-subunit processome {GO:0032040}</t>
  </si>
  <si>
    <t>U3 snoRNA binding {GO:0034511}</t>
  </si>
  <si>
    <t>sp|Q91ZP3|LPIN1_MOUSE</t>
  </si>
  <si>
    <t>Phosphatidate phosphatase LPIN1</t>
  </si>
  <si>
    <t>Fatty liver dystrophy protein; Lipin-1</t>
  </si>
  <si>
    <t>LPIN1_MOUSE</t>
  </si>
  <si>
    <t>Q91ZP3</t>
  </si>
  <si>
    <t>Q9CQI2; Q9JLG6</t>
  </si>
  <si>
    <t>Flde</t>
  </si>
  <si>
    <t>MGI:1891340</t>
  </si>
  <si>
    <t>3D-structure; Acetylation; Alternative splicing; Cytoplasm; Disease variant; Endoplasmic reticulum; Hydrolase; Isopeptide bond; Membrane; Mitochondrion; Mitochondrion outer membrane; Nucleus; Phosphoprotein; Transcription; Transcription regulation; Ubl conjugation</t>
  </si>
  <si>
    <t>Cytoplasm; Endoplasmic reticulum; Membrane; Mitochondrion; Mitochondrion outer membrane; Nucleus</t>
  </si>
  <si>
    <t>actin cytoskeleton reorganization {GO:0031532}; cellular lipid metabolic process {GO:0044255}; cellular response to insulin stimulus {GO:0032869}; fat cell differentiation {GO:0045444}; fatty acid catabolic process {GO:0009062}; immune response {GO:0006955}; lipid metabolic process {GO:0006629}; mitochondrial fission {GO:0000266}; negative regulation of myelination {GO:0031642}; negative regulation of phosphatidate phosphatase activity {GO:1903741}; negative regulation of transcription by RNA polymerase II {GO:0000122}; phosphatidic acid metabolic process {GO:0046473}; positive regulation of cold-induced thermogenesis {GO:0120162}; positive regulation of DNA replication {GO:0045740}; positive regulation of histone deacetylation {GO:0031065}; positive regulation of transcription by RNA polymerase II {GO:0045944}; regulation of fat cell differentiation {GO:0045598}; ruffle organization {GO:0031529}; triglyceride biosynthetic process {GO:0019432}; triglyceride mobilization {GO:0006642}</t>
  </si>
  <si>
    <t>cytoplasm {GO:0005737}; cytosol {GO:0005829}; endoplasmic reticulum {GO:0005783}; endoplasmic reticulum membrane {GO:0005789}; mitochondrial outer membrane {GO:0005741}; nuclear membrane {GO:0031965}; nucleus {GO:0005634}; transcription regulator complex {GO:0005667}</t>
  </si>
  <si>
    <t>histone deacetylase binding {GO:0042826}; peroxisome proliferator activated receptor binding {GO:0042975}; phosphatidate phosphatase activity {GO:0008195}; RNA polymerase II-specific DNA-binding transcription factor binding {GO:0061629}; transcription coactivator activity {GO:0003713}</t>
  </si>
  <si>
    <t>Synthesis of PC {R-MMU-1483191}; Synthesis of PE {R-MMU-1483213}; Depolymerisation of the Nuclear Lamina {R-MMU-4419969}; Triglyceride biosynthesis {R-MMU-75109}</t>
  </si>
  <si>
    <t>sp|Q8VCM3|ZFY21_MOUSE</t>
  </si>
  <si>
    <t>Zinc finger FYVE domain-containing protein 21</t>
  </si>
  <si>
    <t>ZFY21_MOUSE</t>
  </si>
  <si>
    <t>Q8VCM3</t>
  </si>
  <si>
    <t>A3KML1; Q3TBQ9; Q9D1E2</t>
  </si>
  <si>
    <t>MGI:1915770</t>
  </si>
  <si>
    <t>Cell junction; Cytoplasmic vesicle; Endosome; Metal-binding; Zinc; Zinc-finger</t>
  </si>
  <si>
    <t>Cell junction; Cytoplasmic vesicle; Endosome</t>
  </si>
  <si>
    <t>endosome {GO:0005768}; focal adhesion {GO:0005925}</t>
  </si>
  <si>
    <t>sp|Q9CWE0|MFR1L_MOUSE</t>
  </si>
  <si>
    <t>Mitochondrial fission regulator 1-like</t>
  </si>
  <si>
    <t>MFR1L_MOUSE</t>
  </si>
  <si>
    <t>Q9CWE0</t>
  </si>
  <si>
    <t>Q3UJK3; Q8BTP7</t>
  </si>
  <si>
    <t>Fam54b</t>
  </si>
  <si>
    <t>MGI:1924074</t>
  </si>
  <si>
    <t>aerobic respiration {GO:0009060}; mitochondrial fission {GO:0000266}</t>
  </si>
  <si>
    <t>sp|Q8R3F9|STPAP_MOUSE</t>
  </si>
  <si>
    <t>Speckle targeted PIP5K1A-regulated poly(A) polymerase (Star-PAP)</t>
  </si>
  <si>
    <t>RNA-binding motif protein 21 (RNA-binding protein 21); U6 snRNA-specific terminal uridylyltransferase 1 (U6-TUTase)</t>
  </si>
  <si>
    <t>STPAP_MOUSE</t>
  </si>
  <si>
    <t>Q8R3F9</t>
  </si>
  <si>
    <t>Q3UUH3</t>
  </si>
  <si>
    <t>Rbm21</t>
  </si>
  <si>
    <t>MGI:1917294</t>
  </si>
  <si>
    <t>Alternative splicing; ATP-binding; Magnesium; Manganese; Metal-binding; mRNA processing; Nucleotide-binding; Nucleotidyltransferase; Nucleus; Phosphoprotein; RNA-binding; Transferase; Zinc; Zinc-finger</t>
  </si>
  <si>
    <t>mRNA polyadenylation {GO:0006378}; pre-mRNA cleavage required for polyadenylation {GO:0098789}; RNA 3'-end processing {GO:0031123}; snRNA processing {GO:0016180}; U6 snRNA 3'-end processing {GO:0034477}</t>
  </si>
  <si>
    <t>cytosol {GO:0005829}; mRNA cleavage and polyadenylation specificity factor complex {GO:0005847}; nuclear speck {GO:0016607}; nucleolus {GO:0005730}; nucleoplasm {GO:0005654}</t>
  </si>
  <si>
    <t>ATP binding {GO:0005524}; enzyme binding {GO:0019899}; mRNA 3'-UTR binding {GO:0003730}; nucleotidyltransferase activity {GO:0016779}; polynucleotide adenylyltransferase activity {GO:0004652}; RNA adenylyltransferase activity {GO:1990817}; RNA binding {GO:0003723}; RNA uridylyltransferase activity {GO:0050265}; U6 snRNA binding {GO:0017070}; zinc ion binding {GO:0008270}</t>
  </si>
  <si>
    <t>sp|Q3UHX0|NOL8_MOUSE</t>
  </si>
  <si>
    <t>Nucleolar protein 8</t>
  </si>
  <si>
    <t>NOL8_MOUSE</t>
  </si>
  <si>
    <t>Q3UHX0</t>
  </si>
  <si>
    <t>Q059P5; Q504M4; Q8CDJ7; Q9CUR0</t>
  </si>
  <si>
    <t>MGI:1918180</t>
  </si>
  <si>
    <t>Alternative splicing; Coiled coil; Isopeptide bond; Nucleus; Phosphoprotein; RNA-binding; rRNA processing; Ubl conjugation</t>
  </si>
  <si>
    <t>cellular response to leukemia inhibitory factor {GO:1990830}; protein localization to nucleolus {GO:1902570}; rRNA processing {GO:0006364}</t>
  </si>
  <si>
    <t>sp|Q6PIE5|AT1A2_MOUSE</t>
  </si>
  <si>
    <t>Sodium/potassium-transporting ATPase subunit alpha-2 (Na(+)/K(+) ATPase alpha-2 subunit)</t>
  </si>
  <si>
    <t>Na(+)/K(+) ATPase alpha(+) subunit; Sodium pump subunit alpha-2</t>
  </si>
  <si>
    <t>AT1A2_MOUSE</t>
  </si>
  <si>
    <t>Q6PIE5</t>
  </si>
  <si>
    <t>Q80UZ8</t>
  </si>
  <si>
    <t>MGI:88106</t>
  </si>
  <si>
    <t>ATP-binding; Cell membrane; Ion transport; Magnesium; Membrane; Metal-binding; Nucleotide-binding; Phosphoprotein; Potassium; Potassium transport; Sodium; Sodium transport; Sodium/potassium transport; Translocase; Transmembrane; Transmembrane helix; Transport</t>
  </si>
  <si>
    <t>adult locomotory behavior {GO:0008344}; amygdala development {GO:0021764}; ATP metabolic process {GO:0046034}; behavioral fear response {GO:0001662}; cation transmembrane transport {GO:0098655}; cellular potassium ion homeostasis {GO:0030007}; cellular response to mechanical stimulus {GO:0071260}; cellular response to steroid hormone stimulus {GO:0071383}; cellular sodium ion homeostasis {GO:0006883}; locomotion {GO:0040011}; locomotory exploration behavior {GO:0035641}; negative regulation of calcium ion transmembrane transport {GO:1903170}; negative regulation of calcium:sodium antiporter activity {GO:1903280}; negative regulation of cytosolic calcium ion concentration {GO:0051481}; negative regulation of heart contraction {GO:0045822}; negative regulation of striated muscle contraction {GO:0045988}; neurotransmitter uptake {GO:0001504}; olfactory cortex development {GO:0021989}; potassium ion import across plasma membrane {GO:1990573}; potassium ion transmembrane transport {GO:0071805}; potassium ion transport {GO:0006813}; proton transmembrane transport {GO:1902600}; regulation of blood pressure {GO:0008217}; regulation of cardiac muscle cell contraction {GO:0086004}; regulation of muscle contraction {GO:0006937}; regulation of respiratory gaseous exchange by nervous system process {GO:0002087}; regulation of smooth muscle contraction {GO:0006940}; regulation of striated muscle contraction {GO:0006942}; regulation of the force of heart contraction {GO:0002026}; regulation of vasoconstriction {GO:0019229}; response to auditory stimulus {GO:0010996}; response to glycoside {GO:1903416}; response to nicotine {GO:0035094}; sodium ion export across plasma membrane {GO:0036376}; sodium ion transmembrane transport {GO:0035725}; sodium ion transport {GO:0006814}; visual learning {GO:0008542}</t>
  </si>
  <si>
    <t>caveola {GO:0005901}; cell projection {GO:0042995}; cytoplasm {GO:0005737}; dendritic spine {GO:0043197}; endosome {GO:0005768}; intercalated disc {GO:0014704}; membrane {GO:0016020}; myelin sheath {GO:0043209}; neuron projection {GO:0043005}; neuronal cell body {GO:0043025}; organelle membrane {GO:0031090}; plasma membrane {GO:0005886}; sarcolemma {GO:0042383}; sodium:potassium-exchanging ATPase complex {GO:0005890}; synapse {GO:0045202}; T-tubule {GO:0030315}</t>
  </si>
  <si>
    <t>ATP binding {GO:0005524}; ATP hydrolysis activity {GO:0016887}; ATPase-coupled cation transmembrane transporter activity {GO:0019829}; chaperone binding {GO:0051087}; P-type sodium:potassium-exchanging transporter activity {GO:0005391}; potassium ion binding {GO:0030955}; protein heterodimerization activity {GO:0046982}; sodium ion binding {GO:0031402}; steroid binding {GO:0005496}; steroid hormone binding {GO:1990239}</t>
  </si>
  <si>
    <t>sp|Q9JI75|NQO2_MOUSE</t>
  </si>
  <si>
    <t>Ribosyldihydronicotinamide dehydrogenase [quinone]</t>
  </si>
  <si>
    <t>NRH dehydrogenase [quinone] 2; NRH:quinone oxidoreductase 2; Quinone reductase 2 (QR2)</t>
  </si>
  <si>
    <t>NQO2_MOUSE</t>
  </si>
  <si>
    <t>Q9JI75</t>
  </si>
  <si>
    <t>Nmor2</t>
  </si>
  <si>
    <t>MGI:104513</t>
  </si>
  <si>
    <t>Cytoplasm; FAD; Flavoprotein; Metal-binding; Oxidoreductase; Phosphoprotein; Zinc</t>
  </si>
  <si>
    <t>FAD; Flavoprotein; Metal-binding; Zinc</t>
  </si>
  <si>
    <t>positive regulation of ERK1 and ERK2 cascade {GO:0070374}; positive regulation of neuron apoptotic process {GO:0043525}; positive regulation of reactive oxygen species metabolic process {GO:2000379}; positive regulation of vascular associated smooth muscle cell proliferation {GO:1904707}; quinone catabolic process {GO:1901662}</t>
  </si>
  <si>
    <t>chloride ion binding {GO:0031404}; dihydronicotinamide riboside quinone reductase activity {GO:0001512}; electron transfer activity {GO:0009055}; FAD binding {GO:0071949}; melatonin binding {GO:1904408}; NAD(P)H dehydrogenase (quinone) activity {GO:0003955}; oxidoreductase activity {GO:0016491}; oxidoreductase activity, acting on other nitrogenous compounds as donors {GO:0016661}; protein homodimerization activity {GO:0042803}; resveratrol binding {GO:1905594}; zinc ion binding {GO:0008270}</t>
  </si>
  <si>
    <t>sp|Q64327|MEA1_MOUSE</t>
  </si>
  <si>
    <t>Male-enhanced antigen 1 (MEA-1)</t>
  </si>
  <si>
    <t>MEA1_MOUSE</t>
  </si>
  <si>
    <t>Q64327</t>
  </si>
  <si>
    <t>Q793G4</t>
  </si>
  <si>
    <t>Mea</t>
  </si>
  <si>
    <t>MGI:96957</t>
  </si>
  <si>
    <t>Developmental protein; Differentiation; Phosphoprotein; Spermatogenesis</t>
  </si>
  <si>
    <t>sp|P42859|HD_MOUSE</t>
  </si>
  <si>
    <t>Huntingtin, myristoylated N-terminal fragment</t>
  </si>
  <si>
    <t>Huntington disease protein homolog (HD protein homolog)</t>
  </si>
  <si>
    <t>HD_MOUSE</t>
  </si>
  <si>
    <t>P42859</t>
  </si>
  <si>
    <t>Hd; Hdh</t>
  </si>
  <si>
    <t>MGI:96067</t>
  </si>
  <si>
    <t>Acetylation; Alternative splicing; Cytoplasm; Cytoplasmic vesicle; Lipoprotein; Myristate; Nucleus; Phosphoprotein; Repeat</t>
  </si>
  <si>
    <t>Cytoplasm; Cytoplasmic vesicle; Nucleus</t>
  </si>
  <si>
    <t>anatomical structure morphogenesis {GO:0009653}; anterior/posterior pattern specification {GO:0009952}; associative learning {GO:0008306}; axo-dendritic transport {GO:0008088}; brain development {GO:0007420}; cellular senescence {GO:0090398}; central nervous system development {GO:0007417}; citrulline metabolic process {GO:0000052}; determination of adult lifespan {GO:0008340}; dopamine receptor signaling pathway {GO:0007212}; endoplasmic reticulum organization {GO:0007029}; endoplasmic reticulum to Golgi vesicle-mediated transport {GO:0006888}; endosomal transport {GO:0016197}; establishment of mitotic spindle orientation {GO:0000132}; gastrulation {GO:0007369}; Golgi organization {GO:0007030}; grooming behavior {GO:0007625}; hormone metabolic process {GO:0042445}; insulin secretion {GO:0030073}; iron ion homeostasis {GO:0055072}; lactate biosynthetic process from pyruvate {GO:0019244}; learning {GO:0007612}; learning or memory {GO:0007611}; locomotory behavior {GO:0007626}; microtubule-based transport {GO:0099111}; mitochondrial transport {GO:0006839}; mitochondrion organization {GO:0007005}; mRNA transport {GO:0051028}; negative regulation of apoptotic process {GO:0043066}; negative regulation of cysteine-type endopeptidase activity {GO:2000117}; negative regulation of extrinsic apoptotic signaling pathway {GO:2001237}; neural plate formation {GO:0021990}; neurogenesis {GO:0022008}; neuron development {GO:0048666}; olfactory lobe development {GO:0021988}; paraxial mesoderm formation {GO:0048341}; peptide hormone secretion {GO:0030072}; positive regulation of aggrephagy {GO:1905337}; positive regulation of apoptotic process {GO:0043065}; positive regulation of autophagy of mitochondrion {GO:1903599}; positive regulation of cilium assembly {GO:0045724}; positive regulation of inositol 1,4,5-trisphosphate-sensitive calcium-release channel activity {GO:0031587}; positive regulation of lipophagy {GO:1904504}; positive regulation of motile cilium assembly {GO:1905505}; positive regulation of non-motile cilium assembly {GO:1902857}; postsynapse to nucleus signaling pathway {GO:0099527}; protein destabilization {GO:0031648}; protein localization to centrosome {GO:0071539}; protein localization to nucleus {GO:0034504}; quinolinate biosynthetic process {GO:0019805}; regulation of CAMKK-AMPK signaling cascade {GO:1905289}; regulation of cAMP-dependent protein kinase activity {GO:2000479}; regulation of gene expression {GO:0010468}; regulation of intracellular mRNA localization {GO:1904580}; regulation of neuron apoptotic process {GO:0043523}; regulation of phosphoprotein phosphatase activity {GO:0043666}; regulation of protein localization to nucleus {GO:1900180}; regulation of synaptic plasticity {GO:0048167}; response to calcium ion {GO:0051592}; retrograde vesicle-mediated transport, Golgi to endoplasmic reticulum {GO:0006890}; social behavior {GO:0035176}; spermatogenesis {GO:0007283}; striatum development {GO:0021756}; urea cycle {GO:0000050}; vesicle transport along microtubule {GO:0047496}; visual learning {GO:0008542}; vocal learning {GO:0042297}</t>
  </si>
  <si>
    <t>autophagosome {GO:0005776}; axon {GO:0030424}; centriole {GO:0005814}; clathrin-coated vesicle {GO:0030136}; cytoplasm {GO:0005737}; cytoplasmic vesicle {GO:0031410}; cytoplasmic vesicle membrane {GO:0030659}; cytosol {GO:0005829}; dendrite {GO:0030425}; early endosome {GO:0005769}; endoplasmic reticulum {GO:0005783}; glutamatergic synapse {GO:0098978}; Golgi apparatus {GO:0005794}; inclusion body {GO:0016234}; late endosome {GO:0005770}; neuronal cell body {GO:0043025}; neuronal ribonucleoprotein granule {GO:0071598}; nucleoplasm {GO:0005654}; nucleus {GO:0005634}; perinuclear region of cytoplasm {GO:0048471}; postsynaptic cytosol {GO:0099524}; postsynaptic density {GO:0014069}; presynaptic cytosol {GO:0099523}; protein-containing complex {GO:0032991}; synaptic membrane {GO:0097060}</t>
  </si>
  <si>
    <t>beta-tubulin binding {GO:0048487}; diazepam binding {GO:0050809}; dynactin binding {GO:0034452}; dynein intermediate chain binding {GO:0045505}; heat shock protein binding {GO:0031072}; identical protein binding {GO:0042802}; kinase binding {GO:0019900}; p53 binding {GO:0002039}; profilin binding {GO:0005522}; signaling receptor binding {GO:0005102}; transmembrane transporter binding {GO:0044325}</t>
  </si>
  <si>
    <t>sp|Q8K1N4|SPAS2_MOUSE</t>
  </si>
  <si>
    <t>Spermatogenesis-associated serine-rich protein 2</t>
  </si>
  <si>
    <t>Serine-rich spermatocytes and round spermatid 59 kDa protein; p59scr</t>
  </si>
  <si>
    <t>SPAS2_MOUSE</t>
  </si>
  <si>
    <t>Q8K1N4</t>
  </si>
  <si>
    <t>Q3UX77; Q8C810; Q8R1P6</t>
  </si>
  <si>
    <t>Scr59</t>
  </si>
  <si>
    <t>MGI:1919822</t>
  </si>
  <si>
    <t>sp|P15105|GLNA_MOUSE</t>
  </si>
  <si>
    <t>Glutamine synthetase (GS)</t>
  </si>
  <si>
    <t>Glutamate--ammonia ligase; Palmitoyltransferase GLUL</t>
  </si>
  <si>
    <t>GLNA_MOUSE</t>
  </si>
  <si>
    <t>P15105</t>
  </si>
  <si>
    <t>Q3TRK7; Q64432; Q91VC6</t>
  </si>
  <si>
    <t>MGI:95739</t>
  </si>
  <si>
    <t>Acetylation; Angiogenesis; ATP-binding; Cell membrane; Cytoplasm; Endoplasmic reticulum; Ligase; Lipoprotein; Magnesium; Manganese; Membrane; Metal-binding; Microsome; Mitochondrion; Nucleotide-binding; Palmitate; Phosphoprotein; Transferase; Ubl conjugation</t>
  </si>
  <si>
    <t>Cell membrane; Cytoplasm; Endoplasmic reticulum; Membrane; Microsome; Mitochondrion</t>
  </si>
  <si>
    <t>Ligase; Transferase</t>
  </si>
  <si>
    <t>ammonia assimilation cycle {GO:0019676}; angiogenesis {GO:0001525}; cell population proliferation {GO:0008283}; cellular response to starvation {GO:0009267}; glutamate metabolic process {GO:0006536}; glutamine biosynthetic process {GO:0006542}; positive regulation of epithelial cell proliferation {GO:0050679}; positive regulation of insulin secretion {GO:0032024}; positive regulation of synaptic transmission, glutamatergic {GO:0051968}; protein palmitoylation {GO:0018345}; regulation of endothelial cell migration {GO:0010594}; regulation of protein localization to nucleolus {GO:1904749}; regulation of sprouting angiogenesis {GO:1903670}; response to glucose {GO:0009749}; ribosome biogenesis {GO:0042254}</t>
  </si>
  <si>
    <t>axon terminus {GO:0043679}; cell body {GO:0044297}; cell projection {GO:0042995}; cytoplasm {GO:0005737}; cytosol {GO:0005829}; glial cell projection {GO:0097386}; intracellular membrane-bounded organelle {GO:0043231}; mitochondrion {GO:0005739}; myelin sheath {GO:0043209}; neuron projection {GO:0043005}; perikaryon {GO:0043204}; plasma membrane {GO:0005886}; protein-containing complex {GO:0032991}; rough endoplasmic reticulum {GO:0005791}</t>
  </si>
  <si>
    <t>ATP binding {GO:0005524}; dynein light chain binding {GO:0045503}; glutamate binding {GO:0016595}; glutamate-ammonia ligase activity {GO:0004356}; identical protein binding {GO:0042802}; magnesium ion binding {GO:0000287}; manganese ion binding {GO:0030145}; protein-cysteine S-palmitoyltransferase activity {GO:0019706}</t>
  </si>
  <si>
    <t>Astrocytic Glutamate-Glutamine Uptake And Metabolism {R-MMU-210455}; Glutamate and glutamine metabolism {R-MMU-8964539}</t>
  </si>
  <si>
    <t>sp|Q8CI71|VPS50_MOUSE</t>
  </si>
  <si>
    <t>Syndetin</t>
  </si>
  <si>
    <t>Bcl2-like protein blm; Coiled-coil domain-containing protein 132; EARP/GARPII complex subunit VPS50</t>
  </si>
  <si>
    <t>VPS50_MOUSE</t>
  </si>
  <si>
    <t>Q8CI71</t>
  </si>
  <si>
    <t>Q6ZPG9; Q7TSR5; Q80XR1; Q8C6D0; Q8C9I6; Q99LN1</t>
  </si>
  <si>
    <t>MGI:1920538</t>
  </si>
  <si>
    <t>Acetylation; Alternative splicing; Coiled coil; Endosome; Isopeptide bond; Membrane; Phosphoprotein; Protein transport; Transport; Ubl conjugation</t>
  </si>
  <si>
    <t>endocytic recycling {GO:0032456}; protein transport {GO:0015031}</t>
  </si>
  <si>
    <t>EARP complex {GO:1990745}; membrane {GO:0016020}; perinuclear region of cytoplasm {GO:0048471}; recycling endosome {GO:0055037}</t>
  </si>
  <si>
    <t>sp|Q3TZZ7|ESYT2_MOUSE</t>
  </si>
  <si>
    <t>Extended synaptotagmin-2 (E-Syt2)</t>
  </si>
  <si>
    <t>ESYT2_MOUSE</t>
  </si>
  <si>
    <t>Q3TZZ7</t>
  </si>
  <si>
    <t>B2RSN5; Q9D5Y7</t>
  </si>
  <si>
    <t>D12Ertd551e; Fam62b</t>
  </si>
  <si>
    <t>MGI:1261845</t>
  </si>
  <si>
    <t>Alternative splicing; Calcium; Cell membrane; Endocytosis; Endoplasmic reticulum; Lipid transport; Lipid-binding; Membrane; Metal-binding; Phosphoprotein; Repeat; Transmembrane; Transmembrane helix; Transport</t>
  </si>
  <si>
    <t>Endocytosis; Lipid transport; Transport</t>
  </si>
  <si>
    <t>Calcium; Lipid-binding; Metal-binding</t>
  </si>
  <si>
    <t>endocytosis {GO:0006897}; endoplasmic reticulum-plasma membrane tethering {GO:0061817}; lipid transport {GO:0006869}</t>
  </si>
  <si>
    <t>cytosol {GO:0005829}; endoplasmic reticulum-plasma membrane contact site {GO:0140268}; extrinsic component of cytoplasmic side of plasma membrane {GO:0031234}; integral component of plasma membrane {GO:0005887}; intrinsic component of endoplasmic reticulum membrane {GO:0031227}; organelle membrane contact site {GO:0044232}; plasma membrane {GO:0005886}</t>
  </si>
  <si>
    <t>calcium ion binding {GO:0005509}; calcium-dependent phospholipid binding {GO:0005544}; identical protein binding {GO:0042802}; phosphatidylcholine binding {GO:0031210}; phosphatidylethanolamine binding {GO:0008429}; phosphatidylinositol binding {GO:0035091}</t>
  </si>
  <si>
    <t>tr|B8QI36|B8QI36_MOUSE</t>
  </si>
  <si>
    <t>sp|P59326|YTHD1_MOUSE</t>
  </si>
  <si>
    <t>YTH domain-containing family protein 1</t>
  </si>
  <si>
    <t>Dermatomyositis associated with cancer putative autoantigen 1 homolog (DACA-1 homolog)</t>
  </si>
  <si>
    <t>YTHD1_MOUSE</t>
  </si>
  <si>
    <t>P59326</t>
  </si>
  <si>
    <t>Q3T9E2</t>
  </si>
  <si>
    <t>MGI:1917431</t>
  </si>
  <si>
    <t>Acetylation; Cytoplasm; Immunity; Phosphoprotein; RNA-binding</t>
  </si>
  <si>
    <t>immune system process {GO:0002376}; learning {GO:0007612}; memory {GO:0007613}; mRNA destabilization {GO:0061157}; organelle assembly {GO:0070925}; positive regulation of translation {GO:0045727}; positive regulation of translational initiation {GO:0045948}; regulation of antigen processing and presentation {GO:0002577}; regulation of axon guidance {GO:1902667}; regulation of long-term synaptic potentiation {GO:1900271}; regulation of mRNA stability {GO:0043488}; stress granule assembly {GO:0034063}</t>
  </si>
  <si>
    <t>cytoplasm {GO:0005737}; cytoplasmic stress granule {GO:0010494}; P-body {GO:0000932}</t>
  </si>
  <si>
    <t>mRNA binding {GO:0003729}; N6-methyladenosine-containing RNA binding {GO:1990247}; ribosome binding {GO:0043022}</t>
  </si>
  <si>
    <t>sp|P70202|LXN_MOUSE</t>
  </si>
  <si>
    <t>Latexin</t>
  </si>
  <si>
    <t>Endogenous carboxypeptidase inhibitor (ECI); Tissue carboxypeptidase inhibitor (TCI)</t>
  </si>
  <si>
    <t>LXN_MOUSE</t>
  </si>
  <si>
    <t>P70202</t>
  </si>
  <si>
    <t>Q3UDQ0; Q8CCS8</t>
  </si>
  <si>
    <t>MGI:107633</t>
  </si>
  <si>
    <t>3D-structure; Acetylation; Cytoplasm; Heparin-binding; Inflammatory response; Metalloenzyme inhibitor; Metalloprotease inhibitor; Protease inhibitor; Repeat</t>
  </si>
  <si>
    <t>Inflammatory response</t>
  </si>
  <si>
    <t>Heparin-binding; Metalloenzyme inhibitor; Metalloprotease inhibitor; Protease inhibitor</t>
  </si>
  <si>
    <t>detection of temperature stimulus involved in sensory perception of pain {GO:0050965}; inflammatory response {GO:0006954}</t>
  </si>
  <si>
    <t>heparin binding {GO:0008201}; metalloendopeptidase inhibitor activity {GO:0008191}</t>
  </si>
  <si>
    <t>sp|Q8C1B1|CAMP2_MOUSE</t>
  </si>
  <si>
    <t>Calmodulin-regulated spectrin-associated protein 2</t>
  </si>
  <si>
    <t>Calmodulin-regulated spectrin-associated protein 1-like protein 1</t>
  </si>
  <si>
    <t>CAMP2_MOUSE</t>
  </si>
  <si>
    <t>Q8C1B1</t>
  </si>
  <si>
    <t>B7ZNI4; Q80TK8; Q8C4J5</t>
  </si>
  <si>
    <t>MGI:1922434</t>
  </si>
  <si>
    <t>Alternative splicing; Cell projection; Coiled coil; Cytoplasm; Cytoskeleton; Golgi apparatus; Microtubule; Phosphoprotein</t>
  </si>
  <si>
    <t>Cell projection; Cytoplasm; Cytoskeleton; Golgi apparatus; Microtubule</t>
  </si>
  <si>
    <t>axon development {GO:0061564}; cytoplasmic microtubule organization {GO:0031122}; microtubule cytoskeleton organization {GO:0000226}; negative regulation of microtubule depolymerization {GO:0007026}; regulation of dendrite development {GO:0050773}; regulation of Golgi organization {GO:1903358}; regulation of microtubule polymerization {GO:0031113}; regulation of organelle organization {GO:0033043}</t>
  </si>
  <si>
    <t>centrosome {GO:0005813}; ciliary basal body {GO:0036064}; cytosol {GO:0005829}; Golgi apparatus {GO:0005794}; microtubule cytoskeleton {GO:0015630}; microtubule end {GO:1990752}; microtubule minus-end {GO:0036449}</t>
  </si>
  <si>
    <t>calmodulin binding {GO:0005516}; microtubule minus-end binding {GO:0051011}; spectrin binding {GO:0030507}</t>
  </si>
  <si>
    <t>sp|O88327|CTNL1_MOUSE</t>
  </si>
  <si>
    <t>Alpha-catulin</t>
  </si>
  <si>
    <t>Alpha-catenin-related protein (ACRP); Catenin alpha-like protein 1</t>
  </si>
  <si>
    <t>CTNL1_MOUSE</t>
  </si>
  <si>
    <t>O88327</t>
  </si>
  <si>
    <t>Q810J3</t>
  </si>
  <si>
    <t>Catnal1</t>
  </si>
  <si>
    <t>MGI:1859649</t>
  </si>
  <si>
    <t>Cell membrane; Cytoplasm; Cytoskeleton; Membrane; Phosphoprotein</t>
  </si>
  <si>
    <t>cell adhesion {GO:0007155}; Rho protein signal transduction {GO:0007266}</t>
  </si>
  <si>
    <t>cell-cell junction {GO:0005911}; cytoskeleton {GO:0005856}; cytosol {GO:0005829}; plasma membrane {GO:0005886}</t>
  </si>
  <si>
    <t>actin filament binding {GO:0051015}; cadherin binding {GO:0045296}</t>
  </si>
  <si>
    <t>sp|Q8BVL3|SNX17_MOUSE</t>
  </si>
  <si>
    <t>Sorting nexin-17</t>
  </si>
  <si>
    <t>SNX17_MOUSE</t>
  </si>
  <si>
    <t>Q8BVL3</t>
  </si>
  <si>
    <t>Q8R0N8</t>
  </si>
  <si>
    <t>MGI:2387801</t>
  </si>
  <si>
    <t>Cytoplasm; Cytoplasmic vesicle; Endosome; Lipid-binding; Membrane; Phosphoprotein; Protein transport; Transport</t>
  </si>
  <si>
    <t>aorta development {GO:0035904}; cardiac septum development {GO:0003279}; coronary vasculature development {GO:0060976}; endocytic recycling {GO:0032456}; intracellular protein transport {GO:0006886}; kidney development {GO:0001822}; receptor-mediated endocytosis {GO:0006898}; signal transduction {GO:0007165}</t>
  </si>
  <si>
    <t>cytoplasm {GO:0005737}; cytoplasmic vesicle {GO:0031410}; cytosol {GO:0005829}; early endosome {GO:0005769}; endosome {GO:0005768}; endosome membrane {GO:0010008}; Golgi apparatus {GO:0005794}; intracellular membrane-bounded organelle {GO:0043231}; protein-containing complex {GO:0032991}</t>
  </si>
  <si>
    <t>low-density lipoprotein particle receptor binding {GO:0050750}; phosphatidylinositol binding {GO:0035091}; protein C-terminus binding {GO:0008022}</t>
  </si>
  <si>
    <t>sp|Q9DBE9|SPB1_MOUSE</t>
  </si>
  <si>
    <t>pre-rRNA 2'-O-ribose RNA methyltransferase FTSJ3</t>
  </si>
  <si>
    <t>Protein ftsJ homolog 3; Putative rRNA methyltransferase 3</t>
  </si>
  <si>
    <t>SPB1_MOUSE</t>
  </si>
  <si>
    <t>Q9DBE9</t>
  </si>
  <si>
    <t>Q3ULI1; Q921I7</t>
  </si>
  <si>
    <t>MGI:1860295</t>
  </si>
  <si>
    <t>Citrullination; Coiled coil; Isopeptide bond; Methyltransferase; Nucleus; Phosphoprotein; Ribosome biogenesis; rRNA processing; S-adenosyl-L-methionine; Transferase; Ubl conjugation</t>
  </si>
  <si>
    <t>enzyme-directed rRNA 2'-O-methylation {GO:0000453}; maturation of 5.8S rRNA from tricistronic rRNA transcript (SSU-rRNA, 5.8S rRNA, LSU-rRNA) {GO:0000466}; maturation of LSU-rRNA from tricistronic rRNA transcript (SSU-rRNA, 5.8S rRNA, LSU-rRNA) {GO:0000463}; RNA methylation {GO:0001510}; rRNA methylation {GO:0031167}</t>
  </si>
  <si>
    <t>chromosome {GO:0005694}; nucleolus {GO:0005730}; nucleoplasm {GO:0005654}; preribosome, large subunit precursor {GO:0030687}; preribosome, small subunit precursor {GO:0030688}</t>
  </si>
  <si>
    <t>RNA 2'-O-methyltransferase activity {GO:0062105}; RNA methyltransferase activity {GO:0008173}; rRNA (guanine) methyltransferase activity {GO:0016435}; rRNA (uridine-2'-O-)-methyltransferase activity {GO:0008650}</t>
  </si>
  <si>
    <t>sp|P50171|DHB8_MOUSE</t>
  </si>
  <si>
    <t>(3R)-3-hydroxyacyl-CoA dehydrogenase</t>
  </si>
  <si>
    <t>17-beta-hydroxysteroid dehydrogenase 8 (17-beta-HSD 8); 3-ketoacyl-[acyl-carrier-protein] reductase alpha subunit (KAR alpha subunit); 3-oxoacyl-[acyl-carrier-protein] reductase; Estradiol 17-beta-dehydrogenase 8; Protein Ke6 (Ke-6); Testosterone 17-beta-dehydrogenase 8</t>
  </si>
  <si>
    <t>DHB8_MOUSE</t>
  </si>
  <si>
    <t>P50171</t>
  </si>
  <si>
    <t>Q5M9K0; Q60958; Q60959; Q9Z1W2</t>
  </si>
  <si>
    <t>H2-Ke6; Hke6</t>
  </si>
  <si>
    <t>MGI:95911</t>
  </si>
  <si>
    <t>Acetylation; Alternative splicing; Fatty acid biosynthesis; Fatty acid metabolism; Lipid biosynthesis; Lipid metabolism; Mitochondrion; NAD; Oxidoreductase; Phosphoprotein; Steroid biosynthesis</t>
  </si>
  <si>
    <t>Fatty acid biosynthesis; Fatty acid metabolism; Lipid biosynthesis; Lipid metabolism; Steroid biosynthesis</t>
  </si>
  <si>
    <t>androgen metabolic process {GO:0008209}; estrogen biosynthetic process {GO:0006703}; estrogen metabolic process {GO:0008210}; fatty acid biosynthetic process {GO:0006633}; protein heterotetramerization {GO:0051290}</t>
  </si>
  <si>
    <t>membrane {GO:0016020}; mitochondrial envelope {GO:0005740}; mitochondrial matrix {GO:0005759}; mitochondrion {GO:0005739}; oxidoreductase complex {GO:1990204}; plasma membrane {GO:0005886}</t>
  </si>
  <si>
    <t>(3R)-hydroxyacyl-CoA dehydrogenase (NAD) activity {GO:0106386}; 17-beta-hydroxysteroid dehydrogenase (NAD+) activity {GO:0044594}; estradiol 17-beta-dehydrogenase activity {GO:0004303}; NADH binding {GO:0070404}; oxidoreductase activity, acting on the CH-OH group of donors, NAD or NADP as acceptor {GO:0016616}; quinone binding {GO:0048038}; testosterone dehydrogenase (NAD+) activity {GO:0047035}</t>
  </si>
  <si>
    <t>sp|Q3TWF6|WDR70_MOUSE</t>
  </si>
  <si>
    <t>WD repeat-containing protein 70</t>
  </si>
  <si>
    <t>WDR70_MOUSE</t>
  </si>
  <si>
    <t>Q3TWF6</t>
  </si>
  <si>
    <t>MGI:1921020</t>
  </si>
  <si>
    <t>Acetylation; Isopeptide bond; Phosphoprotein; Repeat; Ubl conjugation; WD repeat</t>
  </si>
  <si>
    <t>regulation of DNA double-strand break processing {GO:1903775}</t>
  </si>
  <si>
    <t>nucleus {GO:0005634}; site of double-strand break {GO:0035861}</t>
  </si>
  <si>
    <t>sp|Q69Z38|PEAK1_MOUSE</t>
  </si>
  <si>
    <t>Inactive tyrosine-protein kinase PEAK1</t>
  </si>
  <si>
    <t>Pseudopodium-enriched atypical kinase 1; Sugen kinase 269; Tyrosine-protein kinase SgK269</t>
  </si>
  <si>
    <t>PEAK1_MOUSE</t>
  </si>
  <si>
    <t>Q69Z38</t>
  </si>
  <si>
    <t>E9QKY2; Q8BX56; Q8R365</t>
  </si>
  <si>
    <t>Kiaa2002; Sgk269</t>
  </si>
  <si>
    <t>MGI:2442366</t>
  </si>
  <si>
    <t>Cell junction; Cytoplasm; Cytoskeleton; Phosphoprotein</t>
  </si>
  <si>
    <t>cell migration {GO:0016477}; focal adhesion assembly {GO:0048041}; protein autophosphorylation {GO:0046777}; protein phosphorylation {GO:0006468}; regulation of focal adhesion assembly {GO:0051893}; substrate adhesion-dependent cell spreading {GO:0034446}</t>
  </si>
  <si>
    <t>identical protein binding {GO:0042802}; non-membrane spanning protein tyrosine kinase activity {GO:0004715}; protein kinase activity {GO:0004672}</t>
  </si>
  <si>
    <t>RHOU GTPase cycle {R-MMU-9013420}; RHOV GTPase cycle {R-MMU-9013424}</t>
  </si>
  <si>
    <t>sp|Q7TSZ8|NACC1_MOUSE</t>
  </si>
  <si>
    <t>Nucleus accumbens-associated protein 1 (NAC-1)</t>
  </si>
  <si>
    <t>BTB/POZ domain-containing protein 14B</t>
  </si>
  <si>
    <t>NACC1_MOUSE</t>
  </si>
  <si>
    <t>Q7TSZ8</t>
  </si>
  <si>
    <t>Q80X97; Q9CZ72</t>
  </si>
  <si>
    <t>Btbd14b; Nac1</t>
  </si>
  <si>
    <t>MGI:1914080</t>
  </si>
  <si>
    <t>Cytoplasm; Isopeptide bond; Nucleus; Phosphoprotein; Repressor; Transcription; Transcription regulation; Ubl conjugation</t>
  </si>
  <si>
    <t>negative regulation of DNA-templated transcription {GO:0045892}; positive regulation of cell population proliferation {GO:0008284}; regulation of transcription by RNA polymerase II {GO:0006357}</t>
  </si>
  <si>
    <t>cell junction {GO:0030054}; cytoplasm {GO:0005737}; intracellular membrane-bounded organelle {GO:0043231}; nucleoplasm {GO:0005654}; nucleus {GO:0005634}</t>
  </si>
  <si>
    <t>DNA-binding transcription factor activity, RNA polymerase II-specific {GO:0000981}; RNA polymerase II cis-regulatory region sequence-specific DNA binding {GO:0000978}</t>
  </si>
  <si>
    <t>sp|Q91WG5|AAKG2_MOUSE</t>
  </si>
  <si>
    <t>5'-AMP-activated protein kinase subunit gamma-2 (AMPK gamma2; AMPK subunit gamma-2)</t>
  </si>
  <si>
    <t>AAKG2_MOUSE</t>
  </si>
  <si>
    <t>Q91WG5</t>
  </si>
  <si>
    <t>E9QK80; Q6V7V5</t>
  </si>
  <si>
    <t>MGI:1336153</t>
  </si>
  <si>
    <t>Alternative splicing; ATP-binding; CBS domain; Fatty acid biosynthesis; Fatty acid metabolism; Lipid biosynthesis; Lipid metabolism; Nucleotide-binding; Phosphoprotein; Repeat</t>
  </si>
  <si>
    <t>cellular response to glucose starvation {GO:0042149}; cellular response to nutrient levels {GO:0031669}; fatty acid biosynthetic process {GO:0006633}; glycogen metabolic process {GO:0005977}; intracellular signal transduction {GO:0035556}; negative regulation of protein kinase activity {GO:0006469}; positive regulation of peptidyl-threonine phosphorylation {GO:0010800}; positive regulation of protein kinase activity {GO:0045860}; protein phosphorylation {GO:0006468}; regulation of catalytic activity {GO:0050790}; regulation of fatty acid metabolic process {GO:0019217}; regulation of glycolytic process {GO:0006110}</t>
  </si>
  <si>
    <t>cytoplasm {GO:0005737}; cytosol {GO:0005829}; nucleoplasm {GO:0005654}; nucleotide-activated protein kinase complex {GO:0031588}; nucleus {GO:0005634}</t>
  </si>
  <si>
    <t>ADP binding {GO:0043531}; AMP binding {GO:0016208}; AMP-activated protein kinase activity {GO:0004679}; ATP binding {GO:0005524}; cAMP-dependent protein kinase inhibitor activity {GO:0004862}; cAMP-dependent protein kinase regulator activity {GO:0008603}; phosphorylase kinase regulator activity {GO:0008607}; protein kinase activator activity {GO:0030295}; protein kinase binding {GO:0019901}; protein kinase regulator activity {GO:0019887}</t>
  </si>
  <si>
    <t>sp|O88892|SERF1_MOUSE</t>
  </si>
  <si>
    <t>Small EDRK-rich factor 1</t>
  </si>
  <si>
    <t>Protein 4F5 (m4F5)</t>
  </si>
  <si>
    <t>SERF1_MOUSE</t>
  </si>
  <si>
    <t>O88892</t>
  </si>
  <si>
    <t>MGI:1337114</t>
  </si>
  <si>
    <t>amyloid fibril formation {GO:1990000}; protein destabilization {GO:0031648}</t>
  </si>
  <si>
    <t>cytosol {GO:0005829}; nucleus {GO:0005634}; protein-containing complex {GO:0032991}</t>
  </si>
  <si>
    <t>sp|Q922P8|T132A_MOUSE</t>
  </si>
  <si>
    <t>Transmembrane protein 132A</t>
  </si>
  <si>
    <t>HSPA5-binding protein 1</t>
  </si>
  <si>
    <t>T132A_MOUSE</t>
  </si>
  <si>
    <t>Q922P8</t>
  </si>
  <si>
    <t>Q69ZF9; Q8BX93</t>
  </si>
  <si>
    <t>Kiaa1583</t>
  </si>
  <si>
    <t>MGI:2147810</t>
  </si>
  <si>
    <t>Endoplasmic reticulum; Glycoprotein; Golgi apparatus; Membrane; Signal; Transmembrane; Transmembrane helix</t>
  </si>
  <si>
    <t>negative regulation of programmed cell death {GO:0043069}</t>
  </si>
  <si>
    <t>endoplasmic reticulum {GO:0005783}; endoplasmic reticulum membrane {GO:0005789}; Golgi apparatus {GO:0005794}; Golgi membrane {GO:0000139}; integral component of membrane {GO:0016021}</t>
  </si>
  <si>
    <t>sp|Q8VE18|SMG8_MOUSE</t>
  </si>
  <si>
    <t>Nonsense-mediated mRNA decay factor SMG8</t>
  </si>
  <si>
    <t>Protein smg-8 homolog</t>
  </si>
  <si>
    <t>SMG8_MOUSE</t>
  </si>
  <si>
    <t>Q8VE18</t>
  </si>
  <si>
    <t>B2KGQ4; Q8BS62; Q8BSP7; Q9DBW6</t>
  </si>
  <si>
    <t>MGI:1921383</t>
  </si>
  <si>
    <t>Methylation; Nonsense-mediated mRNA decay; Phosphoprotein</t>
  </si>
  <si>
    <t>nuclear-transcribed mRNA catabolic process, nonsense-mediated decay {GO:0000184}; regulation of protein kinase activity {GO:0045859}</t>
  </si>
  <si>
    <t>Nonsense Mediated Decay (NMD) enhanced by the Exon Junction Complex (EJC) {R-MMU-975957}</t>
  </si>
  <si>
    <t>sp|Q8R3N1|NOP14_MOUSE</t>
  </si>
  <si>
    <t>Nucleolar protein 14</t>
  </si>
  <si>
    <t>Nucleolar complex protein 14</t>
  </si>
  <si>
    <t>NOP14_MOUSE</t>
  </si>
  <si>
    <t>Q8R3N1</t>
  </si>
  <si>
    <t>Q5RL78</t>
  </si>
  <si>
    <t>Nol14</t>
  </si>
  <si>
    <t>MGI:1922666</t>
  </si>
  <si>
    <t>Nucleus; Phosphoprotein; Ribosome biogenesis; rRNA processing</t>
  </si>
  <si>
    <t>maturation of SSU-rRNA {GO:0030490}; ribosomal small subunit biogenesis {GO:0042274}</t>
  </si>
  <si>
    <t>Noc4p-Nop14p complex {GO:0030692}; nucleolus {GO:0005730}; nucleoplasm {GO:0005654}; small-subunit processome {GO:0032040}</t>
  </si>
  <si>
    <t>enzyme binding {GO:0019899}; snoRNA binding {GO:0030515}</t>
  </si>
  <si>
    <t>sp|Q08879|FBLN1_MOUSE</t>
  </si>
  <si>
    <t>Fibulin-1 (FIBL-1)</t>
  </si>
  <si>
    <t>Basement-membrane protein 90 (BM-90)</t>
  </si>
  <si>
    <t>FBLN1_MOUSE</t>
  </si>
  <si>
    <t>Q08879</t>
  </si>
  <si>
    <t>Q08878; Q8C3B1; Q91ZC9; Q922K8</t>
  </si>
  <si>
    <t>MGI:95487</t>
  </si>
  <si>
    <t>Alternative splicing; Calcium; Disulfide bond; EGF-like domain; Extracellular matrix; Glycoprotein; Repeat; Secreted; Signal</t>
  </si>
  <si>
    <t>blood coagulation, fibrin clot formation {GO:0072378}; embryo implantation {GO:0007566}; extracellular matrix organization {GO:0030198}; negative regulation of cell adhesion {GO:0007162}; negative regulation of cell motility {GO:2000146}; negative regulation of ERK1 and ERK2 cascade {GO:0070373}; negative regulation of protein phosphorylation {GO:0001933}; negative regulation of stem cell proliferation {GO:2000647}; negative regulation of substrate adhesion-dependent cell spreading {GO:1900025}; negative regulation of transformation of host cell by virus {GO:1904188}; negative regulation of transforming growth factor beta production {GO:0071635}; positive regulation of fibroblast proliferation {GO:0048146}; positive regulation of gene expression {GO:0010628}; positive regulation of substrate-dependent cell migration, cell attachment to substrate {GO:1904237}</t>
  </si>
  <si>
    <t>basement membrane {GO:0005604}; collagen-containing extracellular matrix {GO:0062023}; elastic fiber {GO:0071953}; extracellular matrix {GO:0031012}; extracellular space {GO:0005615}</t>
  </si>
  <si>
    <t>calcium ion binding {GO:0005509}; extracellular matrix structural constituent {GO:0005201}; fibrinogen binding {GO:0070051}; fibronectin binding {GO:0001968}; identical protein binding {GO:0042802}; integrin binding {GO:0005178}; peptidase activator activity {GO:0016504}; protein C-terminus binding {GO:0008022}; protein-containing complex binding {GO:0044877}</t>
  </si>
  <si>
    <t>sp|Q8R3N6|THOC1_MOUSE</t>
  </si>
  <si>
    <t>THO complex subunit 1 (Tho1)</t>
  </si>
  <si>
    <t>Nuclear matrix protein p84</t>
  </si>
  <si>
    <t>THOC1_MOUSE</t>
  </si>
  <si>
    <t>Q8R3N6</t>
  </si>
  <si>
    <t>Q8BWD5; Q8BXY3</t>
  </si>
  <si>
    <t>Hpr1</t>
  </si>
  <si>
    <t>MGI:1919668</t>
  </si>
  <si>
    <t>Acetylation; Apoptosis; Cytoplasm; DNA-binding; Isopeptide bond; mRNA processing; mRNA splicing; mRNA transport; Nucleus; Phosphoprotein; RNA-binding; Transcription; Transcription regulation; Transport; Ubl conjugation</t>
  </si>
  <si>
    <t>Apoptosis; Transcription; Transcription regulation; Transport; mRNA processing; mRNA splicing; mRNA transport</t>
  </si>
  <si>
    <t>apoptotic process {GO:0006915}; mRNA export from nucleus {GO:0006406}; mRNA processing {GO:0006397}; negative regulation of DNA damage checkpoint {GO:2000002}; negative regulation of isotype switching to IgA isotypes {GO:0048297}; positive regulation of DNA-templated transcription, elongation {GO:0032786}; regulation of DNA recombination {GO:0000018}; regulation of DNA-templated transcription elongation {GO:0032784}; replication fork processing {GO:0031297}; RNA splicing {GO:0008380}; signal transduction {GO:0007165}; viral mRNA export from host cell nucleus {GO:0046784}</t>
  </si>
  <si>
    <t>chromosome, telomeric region {GO:0000781}; cytoplasm {GO:0005737}; nuclear matrix {GO:0016363}; nuclear speck {GO:0016607}; nucleus {GO:0005634}; THO complex {GO:0000347}; THO complex part of transcription export complex {GO:0000445}; transcription export complex {GO:0000346}</t>
  </si>
  <si>
    <t>DNA binding {GO:0003677}; RNA binding {GO:0003723}</t>
  </si>
  <si>
    <t>sp|O08738|CASP6_MOUSE</t>
  </si>
  <si>
    <t>Caspase-6 subunit p11</t>
  </si>
  <si>
    <t>Apoptotic protease Mch-2</t>
  </si>
  <si>
    <t>CASP6_MOUSE</t>
  </si>
  <si>
    <t>O08738</t>
  </si>
  <si>
    <t>MGI:1312921</t>
  </si>
  <si>
    <t>Apoptosis; Autocatalytic cleavage; Cytoplasm; Hydrolase; Lipoprotein; Nucleus; Palmitate; Phosphoprotein; Protease; Thiol protease; Zymogen</t>
  </si>
  <si>
    <t>Autocatalytic cleavage; Lipoprotein; Palmitate; Phosphoprotein; Zymogen</t>
  </si>
  <si>
    <t>activation of cysteine-type endopeptidase activity {GO:0097202}; activation of innate immune response {GO:0002218}; acute inflammatory response to non-antigenic stimulus {GO:0002525}; apoptotic process {GO:0006915}; axonal fasciculation {GO:0007413}; cellular response to staurosporine {GO:0072734}; epithelial cell differentiation {GO:0030855}; hepatocyte apoptotic process {GO:0097284}; intrinsic apoptotic signaling pathway by p53 class mediator {GO:0072332}; positive regulation of apoptotic process {GO:0043065}; positive regulation of necroptotic process {GO:0060545}; positive regulation of neuron apoptotic process {GO:0043525}; positive regulation of retinal cell programmed cell death {GO:0046670}; protein autoprocessing {GO:0016540}; proteolysis {GO:0006508}; pyroptosis {GO:0070269}; regulation of mitochondrial outer membrane permeabilization involved in apoptotic signaling pathway {GO:1901028}; response to cytokine {GO:0034097}; response to glucose {GO:0009749}; response to hydrogen peroxide {GO:0042542}; response to iron ion {GO:0010039}</t>
  </si>
  <si>
    <t>axon {GO:0030424}; caspase complex {GO:0008303}; cytoplasm {GO:0005737}; cytosol {GO:0005829}; mitochondrion {GO:0005739}; neuronal cell body {GO:0043025}; nucleolus {GO:0005730}; nucleoplasm {GO:0005654}; nucleus {GO:0005634}</t>
  </si>
  <si>
    <t>cysteine-type endopeptidase activity {GO:0004197}; cysteine-type endopeptidase activity involved in apoptotic process {GO:0097153}; cysteine-type endopeptidase activity involved in execution phase of apoptosis {GO:0097200}; endopeptidase activity {GO:0004175}; identical protein binding {GO:0042802}</t>
  </si>
  <si>
    <t>Apoptotic cleavage of cellular proteins {R-MMU-111465}; Caspase-mediated cleavage of cytoskeletal proteins {R-MMU-264870}; Breakdown of the nuclear lamina {R-MMU-352238}</t>
  </si>
  <si>
    <t>sp|Q922P9|GLYR1_MOUSE</t>
  </si>
  <si>
    <t>Cytokine-like nuclear factor N-PAC (NPAC)</t>
  </si>
  <si>
    <t>Glyoxylate reductase 1 homolog; Nuclear protein NP60; Putative oxidoreductase GLYR1</t>
  </si>
  <si>
    <t>GLYR1_MOUSE</t>
  </si>
  <si>
    <t>Q922P9</t>
  </si>
  <si>
    <t>Q3TX02; Q9CYQ1</t>
  </si>
  <si>
    <t>Np60</t>
  </si>
  <si>
    <t>MGI:1921272</t>
  </si>
  <si>
    <t>Chromosome; DNA-binding; Isopeptide bond; Nucleus; Phosphoprotein; Ubl conjugation</t>
  </si>
  <si>
    <t>positive regulation of histone acetylation {GO:0035066}; positive regulation of transcription by RNA polymerase II {GO:0045944}</t>
  </si>
  <si>
    <t>cytosol {GO:0005829}; nucleoplasm {GO:0005654}; nucleosome {GO:0000786}</t>
  </si>
  <si>
    <t>chromatin binding {GO:0003682}; DNA binding {GO:0003677}; histone binding {GO:0042393}; methylated histone binding {GO:0035064}; NAD binding {GO:0051287}; NADP binding {GO:0050661}; nucleosome binding {GO:0031491}; oxidoreductase activity {GO:0016491}</t>
  </si>
  <si>
    <t>sp|Q8BSA9|TYW3_MOUSE</t>
  </si>
  <si>
    <t>tRNA wybutosine-synthesizing protein 3 homolog (tRNA-yW-synthesizing protein 3)</t>
  </si>
  <si>
    <t>tRNA(Phe) 7-((3-amino-3-carboxypropyl)-4-demethylwyosine(37)-N(4))-methyltransferase</t>
  </si>
  <si>
    <t>TYW3_MOUSE</t>
  </si>
  <si>
    <t>Q8BSA9</t>
  </si>
  <si>
    <t>Q8BSX2</t>
  </si>
  <si>
    <t>MGI:2445040</t>
  </si>
  <si>
    <t>Methyltransferase; Phosphoprotein; S-adenosyl-L-methionine; Transferase; tRNA processing</t>
  </si>
  <si>
    <t>tRNA methyltransferase activity {GO:0008175}</t>
  </si>
  <si>
    <t>tRNA modification; wybutosine-tRNA(Phe) biosynthesis.</t>
  </si>
  <si>
    <t>sp|P35821|PTN1_MOUSE</t>
  </si>
  <si>
    <t>Tyrosine-protein phosphatase non-receptor type 1</t>
  </si>
  <si>
    <t>Protein-tyrosine phosphatase 1B (PTP-1B); Protein-tyrosine phosphatase HA2 (PTP-HA2)</t>
  </si>
  <si>
    <t>PTN1_MOUSE</t>
  </si>
  <si>
    <t>P35821</t>
  </si>
  <si>
    <t>Q60840; Q62131; Q64498; Q99JS1</t>
  </si>
  <si>
    <t>MGI:97805</t>
  </si>
  <si>
    <t>Acetylation; Endoplasmic reticulum; Hydrolase; Membrane; Phosphoprotein; Protein phosphatase; S-nitrosylation</t>
  </si>
  <si>
    <t>actin cytoskeleton reorganization {GO:0031532}; endoplasmic reticulum unfolded protein response {GO:0030968}; insulin receptor signaling pathway {GO:0008286}; IRE1-mediated unfolded protein response {GO:0036498}; negative regulation of endoplasmic reticulum stress-induced intrinsic apoptotic signaling pathway {GO:1902236}; negative regulation of ERK1 and ERK2 cascade {GO:0070373}; negative regulation of MAP kinase activity {GO:0043407}; negative regulation of PERK-mediated unfolded protein response {GO:1903898}; negative regulation of vascular endothelial growth factor receptor signaling pathway {GO:0030948}; peptidyl-tyrosine dephosphorylation {GO:0035335}; peptidyl-tyrosine dephosphorylation involved in inactivation of protein kinase activity {GO:1990264}; platelet-derived growth factor receptor-beta signaling pathway {GO:0035791}; positive regulation of JUN kinase activity {GO:0043507}; positive regulation of protein tyrosine kinase activity {GO:0061098}; positive regulation of receptor catabolic process {GO:2000646}; protein dephosphorylation {GO:0006470}; regulation of endocytosis {GO:0030100}; regulation of hepatocyte growth factor receptor signaling pathway {GO:1902202}; regulation of insulin receptor signaling pathway {GO:0046626}; regulation of intracellular protein transport {GO:0033157}; regulation of signal transduction {GO:0009966}; response to endoplasmic reticulum stress {GO:0034976}</t>
  </si>
  <si>
    <t>cytoplasm {GO:0005737}; cytoplasmic side of endoplasmic reticulum membrane {GO:0098554}; cytoplasmic vesicle {GO:0031410}; cytosol {GO:0005829}; early endosome {GO:0005769}; endoplasmic reticulum {GO:0005783}; mitochondrial crista {GO:0030061}; mitochondrial matrix {GO:0005759}; plasma membrane {GO:0005886}; protein-containing complex {GO:0032991}; sorting endosome {GO:0097443}</t>
  </si>
  <si>
    <t>enzyme binding {GO:0019899}; ephrin receptor binding {GO:0046875}; insulin receptor binding {GO:0005158}; non-membrane spanning protein tyrosine phosphatase activity {GO:0004726}; protein kinase binding {GO:0019901}; protein phosphatase 2A binding {GO:0051721}; protein tyrosine phosphatase activity {GO:0004725}; receptor tyrosine kinase binding {GO:0030971}; zinc ion binding {GO:0008270}</t>
  </si>
  <si>
    <t>Integrin signaling {R-MMU-354192}; Negative regulation of MET activity {R-MMU-6807004}; PTK6 Down-Regulation {R-MMU-8849472}; Regulation of IFNA/IFNB signaling {R-MMU-912694}; Growth hormone receptor signaling {R-MMU-982772}</t>
  </si>
  <si>
    <t>sp|Q922L6|NELFD_MOUSE</t>
  </si>
  <si>
    <t>Negative elongation factor D (NELF-D)</t>
  </si>
  <si>
    <t>TH1-like protein</t>
  </si>
  <si>
    <t>NELFD_MOUSE</t>
  </si>
  <si>
    <t>Q922L6</t>
  </si>
  <si>
    <t>A2AQ05; Q9QXC8; Q9QXC9; Q9QXD0</t>
  </si>
  <si>
    <t>Nelfd; Th1; Th1l</t>
  </si>
  <si>
    <t>MGI:1926424</t>
  </si>
  <si>
    <t>Nucleus; Repressor; RNA-binding; Transcription; Transcription regulation</t>
  </si>
  <si>
    <t>negative regulation of transcription elongation by RNA polymerase II {GO:0034244}</t>
  </si>
  <si>
    <t>NELF complex {GO:0032021}; nucleus {GO:0005634}</t>
  </si>
  <si>
    <t>sp|Q62276|MED22_MOUSE</t>
  </si>
  <si>
    <t>Mediator of RNA polymerase II transcription subunit 22</t>
  </si>
  <si>
    <t>Mediator complex subunit 22; Surfeit locus protein 5 (Surf-5)</t>
  </si>
  <si>
    <t>MED22_MOUSE</t>
  </si>
  <si>
    <t>Q62276</t>
  </si>
  <si>
    <t>A2ALA2; Q3TTZ9</t>
  </si>
  <si>
    <t>Surf5</t>
  </si>
  <si>
    <t>MGI:98446</t>
  </si>
  <si>
    <t>3D-structure; Activator; Alternative splicing; Coiled coil; Nucleus; Transcription; Transcription regulation</t>
  </si>
  <si>
    <t>positive regulation of transcription elongation by RNA polymerase II {GO:0032968}; positive regulation of transcription initiation by RNA polymerase II {GO:0060261}; RNA polymerase II preinitiation complex assembly {GO:0051123}</t>
  </si>
  <si>
    <t>sp|Q6P5E6|GGA2_MOUSE</t>
  </si>
  <si>
    <t>ADP-ribosylation factor-binding protein GGA2</t>
  </si>
  <si>
    <t>Gamma-adaptin-related protein 2; Golgi-localized, gamma ear-containing, ARF-binding protein 2</t>
  </si>
  <si>
    <t>GGA2_MOUSE</t>
  </si>
  <si>
    <t>Q6P5E6</t>
  </si>
  <si>
    <t>Q3U374; Q6PFX3; Q6ZPY8; Q8BM76; Q9DC15</t>
  </si>
  <si>
    <t>Kiaa1080</t>
  </si>
  <si>
    <t>MGI:1921355</t>
  </si>
  <si>
    <t>Alternative splicing; Endosome; Golgi apparatus; Membrane; Protein transport; Transport; Ubl conjugation</t>
  </si>
  <si>
    <t>Golgi to plasma membrane protein transport {GO:0043001}; Golgi to plasma membrane transport {GO:0006893}; intracellular protein transport {GO:0006886}; protein localization to cell surface {GO:0034394}</t>
  </si>
  <si>
    <t>clathrin-coated vesicle {GO:0030136}; early endosome membrane {GO:0031901}; Golgi apparatus {GO:0005794}; trans-Golgi network {GO:0005802}</t>
  </si>
  <si>
    <t>sp|Q3TCN2|PLBL2_MOUSE</t>
  </si>
  <si>
    <t>Putative phospholipase B-like 2 15 kDa form</t>
  </si>
  <si>
    <t>66.3 kDa protein; 76 kDa protein (p76); LAMA-like protein 2; Lamina ancestor homolog 2; Phospholipase B domain-containing protein 2</t>
  </si>
  <si>
    <t>PLBL2_MOUSE</t>
  </si>
  <si>
    <t>Q3TCN2</t>
  </si>
  <si>
    <t>Q3TD43; Q3TPP8; Q8BHG8; Q8BMB6; Q8BXI3; Q8C0M4; Q8R0V3; Q9DBG4; Q9EQI9</t>
  </si>
  <si>
    <t>MGI:1919022</t>
  </si>
  <si>
    <t>3D-structure; Alternative splicing; Disulfide bond; Glycoprotein; Hydrolase; Lipid degradation; Lipid metabolism; Lysosome; Signal</t>
  </si>
  <si>
    <t>phospholipid catabolic process {GO:0009395}</t>
  </si>
  <si>
    <t>phospholipase activity {GO:0004620}</t>
  </si>
  <si>
    <t>sp|Q9Z1Y4|TRIP6_MOUSE</t>
  </si>
  <si>
    <t>Thyroid receptor-interacting protein 6 (TR-interacting protein 6; TRIP-6)</t>
  </si>
  <si>
    <t>Zyxin-related protein 1 (ZRP-1)</t>
  </si>
  <si>
    <t>TRIP6_MOUSE</t>
  </si>
  <si>
    <t>Q9Z1Y4</t>
  </si>
  <si>
    <t>Q3TX74</t>
  </si>
  <si>
    <t>Zrp1</t>
  </si>
  <si>
    <t>MGI:1343458</t>
  </si>
  <si>
    <t>Cell adhesion; Cell junction; Cytoplasm; Cytoskeleton; LIM domain; Metal-binding; Methylation; Nucleus; Phosphoprotein; Repeat; Transcription; Transcription regulation; Zinc</t>
  </si>
  <si>
    <t>cell adhesion {GO:0007155}; chordate embryonic development {GO:0043009}; positive regulation of cell migration {GO:0030335}; positive regulation of NIK/NF-kappaB signaling {GO:1901224}; signal transduction {GO:0007165}</t>
  </si>
  <si>
    <t>cytoplasm {GO:0005737}; cytoskeleton {GO:0005856}; cytosol {GO:0005829}; focal adhesion {GO:0005925}; nucleus {GO:0005634}; plasma membrane {GO:0005886}; stress fiber {GO:0001725}</t>
  </si>
  <si>
    <t>interleukin-1 receptor binding {GO:0005149}; kinase binding {GO:0019900}; metal ion binding {GO:0046872}</t>
  </si>
  <si>
    <t>sp|Q3ULD5|MCCB_MOUSE</t>
  </si>
  <si>
    <t>Methylcrotonoyl-CoA carboxylase beta chain, mitochondrial (MCCase subunit beta)</t>
  </si>
  <si>
    <t>3-methylcrotonyl-CoA carboxylase 2; 3-methylcrotonyl-CoA carboxylase non-biotin-containing subunit; 3-methylcrotonyl-CoA:carbon dioxide ligase subunit beta</t>
  </si>
  <si>
    <t>MCCB_MOUSE</t>
  </si>
  <si>
    <t>Q3ULD5</t>
  </si>
  <si>
    <t>Q3UPS6</t>
  </si>
  <si>
    <t>MGI:1925288</t>
  </si>
  <si>
    <t>Acetylation; ATP-binding; Ligase; Mitochondrion; Nucleotide-binding; Transit peptide</t>
  </si>
  <si>
    <t>coenzyme A metabolic process {GO:0015936}; leucine catabolic process {GO:0006552}</t>
  </si>
  <si>
    <t>3-methylcrotonyl-CoA carboxylase complex, mitochondrial {GO:0002169}; methylcrotonoyl-CoA carboxylase complex {GO:1905202}; mitochondrial matrix {GO:0005759}; mitochondrion {GO:0005739}</t>
  </si>
  <si>
    <t>ATP binding {GO:0005524}; methylcrotonoyl-CoA carboxylase activity {GO:0004485}</t>
  </si>
  <si>
    <t>sp|Q8BVF2|PDCL3_MOUSE</t>
  </si>
  <si>
    <t>Phosducin-like protein 3</t>
  </si>
  <si>
    <t>Viral IAP-associated factor 1 (VIAF-1)</t>
  </si>
  <si>
    <t>PDCL3_MOUSE</t>
  </si>
  <si>
    <t>Q8BVF2</t>
  </si>
  <si>
    <t>Q3TH06; Q99JX2; Q9D0W3</t>
  </si>
  <si>
    <t>Viaf1</t>
  </si>
  <si>
    <t>MGI:1916083</t>
  </si>
  <si>
    <t>Acetylation; Angiogenesis; Apoptosis; Chaperone; Cytoplasm; Endoplasmic reticulum; Phosphoprotein</t>
  </si>
  <si>
    <t>actin cytoskeleton organization {GO:0030036}; angiogenesis {GO:0001525}; apoptotic process {GO:0006915}; cellular response to heat {GO:0034605}; chaperone-mediated protein folding {GO:0061077}; negative regulation of chaperone-mediated protein folding {GO:1903645}; negative regulation of ubiquitin-dependent protein catabolic process {GO:2000059}; positive regulation of angiogenesis {GO:0045766}; positive regulation of endothelial cell proliferation {GO:0001938}; positive regulation of gene expression {GO:0010628}; protein folding {GO:0006457}; protein stabilization {GO:0050821}; regulation of peptidyl-tyrosine phosphorylation {GO:0050730}</t>
  </si>
  <si>
    <t>cytoplasm {GO:0005737}; cytosol {GO:0005829}; endoplasmic reticulum {GO:0005783}; nucleoplasm {GO:0005654}; perinuclear region of cytoplasm {GO:0048471}; perinucleolar compartment {GO:0097356}; protein-containing complex {GO:0032991}</t>
  </si>
  <si>
    <t>protein folding chaperone {GO:0044183}; vascular endothelial growth factor receptor 2 binding {GO:0043184}</t>
  </si>
  <si>
    <t>tr|Q6NXK9|Q6NXK9_MOUSE</t>
  </si>
  <si>
    <t>sp|Q9D7K2|TEN1L_MOUSE</t>
  </si>
  <si>
    <t>CST complex subunit TEN1</t>
  </si>
  <si>
    <t>Protein telomeric pathways with STN1 homolog; Telomere length regulation protein TEN1 homolog</t>
  </si>
  <si>
    <t>TEN1L_MOUSE</t>
  </si>
  <si>
    <t>Q9D7K2</t>
  </si>
  <si>
    <t>MGI:1916785</t>
  </si>
  <si>
    <t>Chromosome; DNA-binding; Nucleus; Telomere</t>
  </si>
  <si>
    <t>negative regulation of telomere maintenance via telomerase {GO:0032211}</t>
  </si>
  <si>
    <t>chromosome, telomeric region {GO:0000781}; CST complex {GO:1990879}; nucleoplasm {GO:0005654}; nucleus {GO:0005634}</t>
  </si>
  <si>
    <t>single-stranded DNA binding {GO:0003697}; telomerase inhibitor activity {GO:0010521}; telomeric DNA binding {GO:0042162}</t>
  </si>
  <si>
    <t>sp|G5E829|AT2B1_MOUSE</t>
  </si>
  <si>
    <t>sp|Q8CJG0|AGO2_MOUSE</t>
  </si>
  <si>
    <t>Protein argonaute-2 (Argonaute2; mAgo2)</t>
  </si>
  <si>
    <t>Argonaute RISC catalytic component 2; Eukaryotic translation initiation factor 2C 2 (eIF-2C 2; eIF2C 2); Piwi/argonaute family protein meIF2C2; Protein slicer</t>
  </si>
  <si>
    <t>AGO2_MOUSE</t>
  </si>
  <si>
    <t>Q8CJG0</t>
  </si>
  <si>
    <t>A1A563; Q4VAB3; Q571J6</t>
  </si>
  <si>
    <t>Eif2c2; Kiaa4215</t>
  </si>
  <si>
    <t>MGI:2446632</t>
  </si>
  <si>
    <t>Cytoplasm; Developmental protein; Differentiation; Endonuclease; Hydrolase; Hydroxylation; Magnesium; Manganese; Metal-binding; Nitration; Nuclease; Nucleus; Phosphoprotein; Repressor; Ribonucleoprotein; RNA-binding; RNA-mediated gene silencing; Transcription; Transcription regulation; Translation regulation; Ubl conjugation</t>
  </si>
  <si>
    <t>Differentiation; RNA-mediated gene silencing; Transcription; Transcription regulation; Translation regulation</t>
  </si>
  <si>
    <t>Developmental protein; Endonuclease; Hydrolase; Nuclease; RNA-binding; Repressor; Ribonucleoprotein</t>
  </si>
  <si>
    <t>Hydroxylation; Nitration; Phosphoprotein; Ubl conjugation</t>
  </si>
  <si>
    <t>cell differentiation {GO:0030154}; gene silencing by RNA {GO:0031047}; miRNA metabolic process {GO:0010586}; miRNA processing {GO:0035196}; miRNA-mediated gene silencing by inhibition of translation {GO:0035278}; miRNA-mediated gene silencing by mRNA destabilization {GO:0035279}; negative regulation of amyloid precursor protein biosynthetic process {GO:0042985}; negative regulation of translational initiation {GO:0045947}; positive regulation of angiogenesis {GO:0045766}; positive regulation of gene expression {GO:0010628}; positive regulation of nuclear-transcribed mRNA catabolic process, deadenylation-dependent decay {GO:1900153}; positive regulation of nuclear-transcribed mRNA poly(A) tail shortening {GO:0060213}; positive regulation of transcription by RNA polymerase II {GO:0045944}; positive regulation of trophoblast cell migration {GO:1901165}; post-embryonic development {GO:0009791}; pre-miRNA processing {GO:0031054}; RISC complex assembly {GO:0070922}; RNA secondary structure unwinding {GO:0010501}; siRNA processing {GO:0030422}; siRNA-mediated gene silencing by mRNA destabilization {GO:0090625}</t>
  </si>
  <si>
    <t>cytoplasm {GO:0005737}; cytoplasmic ribonucleoprotein granule {GO:0036464}; cytosol {GO:0005829}; dendrite {GO:0030425}; extracellular exosome {GO:0070062}; mitochondrion {GO:0005739}; mRNA cap binding complex {GO:0005845}; nucleus {GO:0005634}; P-body {GO:0000932}; polysome {GO:0005844}; ribonucleoprotein complex {GO:1990904}; RISC complex {GO:0016442}; RISC-loading complex {GO:0070578}</t>
  </si>
  <si>
    <t>core promoter sequence-specific DNA binding {GO:0001046}; double-stranded RNA binding {GO:0003725}; endoribonuclease activity {GO:0004521}; endoribonuclease activity, cleaving miRNA-paired mRNA {GO:0090624}; endoribonuclease activity, cleaving siRNA-paired mRNA {GO:0070551}; metal ion binding {GO:0046872}; miRNA binding {GO:0035198}; mRNA binding {GO:0003729}; mRNA cap binding {GO:0098808}; protein C-terminus binding {GO:0008022}; RNA 7-methylguanosine cap binding {GO:0000340}; RNA binding {GO:0003723}; RNA polymerase II complex binding {GO:0000993}; single-stranded RNA binding {GO:0003727}; siRNA binding {GO:0035197}</t>
  </si>
  <si>
    <t>MicroRNA (miRNA) biogenesis {R-MMU-203927}; Small interfering RNA (siRNA) biogenesis {R-MMU-426486}; Post-transcriptional silencing by small RNAs {R-MMU-426496}; Transcriptional regulation by small RNAs {R-MMU-5578749}</t>
  </si>
  <si>
    <t>sp|P15920|VPP2_MOUSE</t>
  </si>
  <si>
    <t>V-type proton ATPase 116 kDa subunit a 2 (V-ATPase 116 kDa subunit a 2)</t>
  </si>
  <si>
    <t>Immune suppressor factor J6B7 (ISF); Lysosomal H(+)-transporting ATPase V0 subunit a 2; ShIF; Vacuolar proton translocating ATPase 116 kDa subunit a isoform 2</t>
  </si>
  <si>
    <t>VPP2_MOUSE</t>
  </si>
  <si>
    <t>P15920</t>
  </si>
  <si>
    <t>A4FU82; Q3U2X3; Q8VHU0; Q9JHJ2</t>
  </si>
  <si>
    <t>Atp6n1b; Tj6</t>
  </si>
  <si>
    <t>MGI:104855</t>
  </si>
  <si>
    <t>3D-structure; Alternative splicing; Cell membrane; Endosome; Hydrogen ion transport; Ion transport; Membrane; Phosphoprotein; Transmembrane; Transmembrane helix; Transport</t>
  </si>
  <si>
    <t>cellular iron ion homeostasis {GO:0006879}; cellular response to increased oxygen levels {GO:0036295}; vacuolar acidification {GO:0007035}</t>
  </si>
  <si>
    <t>acrosomal vesicle {GO:0001669}; endosome membrane {GO:0010008}; focal adhesion {GO:0005925}; integral component of membrane {GO:0016021}; intracellular membrane-bounded organelle {GO:0043231}; intracellular organelle {GO:0043229}; perinuclear region of cytoplasm {GO:0048471}; plasma membrane {GO:0005886}; vacuolar proton-transporting V-type ATPase complex {GO:0016471}; vacuolar proton-transporting V-type ATPase, V0 domain {GO:0000220}</t>
  </si>
  <si>
    <t>ROS and RNS production in phagocytes {R-MMU-1222556}; Insulin receptor recycling {R-MMU-77387}; Transferrin endocytosis and recycling {R-MMU-917977}; Ion channel transport {R-MMU-983712}</t>
  </si>
  <si>
    <t>sp|Q8K4L0|DDX54_MOUSE</t>
  </si>
  <si>
    <t>ATP-dependent RNA helicase DDX54</t>
  </si>
  <si>
    <t>DEAD box protein 54</t>
  </si>
  <si>
    <t>DDX54_MOUSE</t>
  </si>
  <si>
    <t>Q8K4L0</t>
  </si>
  <si>
    <t>MGI:1919240</t>
  </si>
  <si>
    <t>ATP-binding; Helicase; Hydrolase; Nucleotide-binding; Nucleus; Phosphoprotein; RNA-binding; Transcription; Transcription regulation</t>
  </si>
  <si>
    <t>RNA metabolic process {GO:0016070}; RNA processing {GO:0006396}; rRNA processing {GO:0006364}</t>
  </si>
  <si>
    <t>Golgi apparatus {GO:0005794}; nucleolus {GO:0005730}; nucleoplasm {GO:0005654}; nucleus {GO:0005634}</t>
  </si>
  <si>
    <t>ATP binding {GO:0005524}; ATP hydrolysis activity {GO:0016887}; nuclear estrogen receptor binding {GO:0030331}; RNA binding {GO:0003723}; RNA helicase activity {GO:0003724}; signaling receptor binding {GO:0005102}; transcription corepressor activity {GO:0003714}</t>
  </si>
  <si>
    <t>sp|P97452|BOP1_MOUSE</t>
  </si>
  <si>
    <t>Ribosome biogenesis protein BOP1</t>
  </si>
  <si>
    <t>Block of proliferation 1 protein</t>
  </si>
  <si>
    <t>BOP1_MOUSE</t>
  </si>
  <si>
    <t>P97452</t>
  </si>
  <si>
    <t>Q3TK87; Q6ZQI9; Q91X31</t>
  </si>
  <si>
    <t>Kiaa0124</t>
  </si>
  <si>
    <t>MGI:1334460</t>
  </si>
  <si>
    <t>Nucleus; Phosphoprotein; Repeat; Ribosome biogenesis; rRNA processing; WD repeat</t>
  </si>
  <si>
    <t>cell population proliferation {GO:0008283}; cleavage in ITS2 between 5.8S rRNA and LSU-rRNA of tricistronic rRNA transcript (SSU-rRNA, 5.8S rRNA, LSU-rRNA) {GO:0000448}; maturation of LSU-rRNA from tricistronic rRNA transcript (SSU-rRNA, 5.8S rRNA, LSU-rRNA) {GO:0000463}; regulation of cell cycle {GO:0051726}; regulation of signal transduction by p53 class mediator {GO:1901796}; ribosomal large subunit assembly {GO:0000027}; ribosomal large subunit biogenesis {GO:0042273}; rRNA processing {GO:0006364}</t>
  </si>
  <si>
    <t>chromosome {GO:0005694}; nucleolus {GO:0005730}; nucleoplasm {GO:0005654}; PeBoW complex {GO:0070545}; preribosome, large subunit precursor {GO:0030687}; ribonucleoprotein complex {GO:1990904}</t>
  </si>
  <si>
    <t>sp|Q8R5F3|OARD1_MOUSE</t>
  </si>
  <si>
    <t>ADP-ribose glycohydrolase OARD1</t>
  </si>
  <si>
    <t>O-acetyl-ADP-ribose deacetylase 1; Terminal ADP-ribose protein glycohydrolase 1; [Protein ADP-ribosylglutamate] hydrolase OARD1</t>
  </si>
  <si>
    <t>OARD1_MOUSE</t>
  </si>
  <si>
    <t>Q8R5F3</t>
  </si>
  <si>
    <t>Q3U5M3</t>
  </si>
  <si>
    <t>MGI:2146818</t>
  </si>
  <si>
    <t>Acetylation; Chromosome; Hydrolase; Nucleus</t>
  </si>
  <si>
    <t>nucleolus {GO:0005730}; nucleoplasm {GO:0005654}; site of DNA damage {GO:0090734}</t>
  </si>
  <si>
    <t>ADP-ribosylglutamate hydrolase activity {GO:0140293}; O-acetyl-ADP-ribose deacetylase activity {GO:0061463}; purine nucleoside binding {GO:0001883}</t>
  </si>
  <si>
    <t>sp|Q8BGF3|DAA10_MOUSE</t>
  </si>
  <si>
    <t>Dynein axonemal assembly factor 10</t>
  </si>
  <si>
    <t>WD repeat-containing protein 92; WD repeat-containing protein Monad</t>
  </si>
  <si>
    <t>DAA10_MOUSE</t>
  </si>
  <si>
    <t>Q8BGF3</t>
  </si>
  <si>
    <t>Wdr92</t>
  </si>
  <si>
    <t>MGI:2144224</t>
  </si>
  <si>
    <t>Apoptosis; Cytoplasm; Repeat; WD repeat</t>
  </si>
  <si>
    <t>apoptotic process {GO:0006915}; axonemal dynein complex assembly {GO:0070286}</t>
  </si>
  <si>
    <t>dynein axonemal particle {GO:0120293}; RPAP3/R2TP/prefoldin-like complex {GO:1990062}</t>
  </si>
  <si>
    <t>sp|Q8VDR9|DOCK6_MOUSE</t>
  </si>
  <si>
    <t>Dedicator of cytokinesis protein 6</t>
  </si>
  <si>
    <t>DOCK6_MOUSE</t>
  </si>
  <si>
    <t>Q8VDR9</t>
  </si>
  <si>
    <t>E9QKQ0; Q3UM59; Q6PFY0; Q8BJS1; Q9D461</t>
  </si>
  <si>
    <t>Kiaa1395</t>
  </si>
  <si>
    <t>MGI:1914789</t>
  </si>
  <si>
    <t>Alternative splicing; Cytoplasm; Guanine-nucleotide releasing factor; Methylation; Phosphoprotein</t>
  </si>
  <si>
    <t>positive regulation of GTPase activity {GO:0043547}; small GTPase mediated signal transduction {GO:0007264}</t>
  </si>
  <si>
    <t>cytosol {GO:0005829}; perinuclear region of cytoplasm {GO:0048471}</t>
  </si>
  <si>
    <t>CDC42 GTPase cycle {R-MMU-9013148}; RAC1 GTPase cycle {R-MMU-9013149}; Factors involved in megakaryocyte development and platelet production {R-MMU-983231}</t>
  </si>
  <si>
    <t>sp|Q4KMM3|OXR1_MOUSE</t>
  </si>
  <si>
    <t>Oxidation resistance protein 1</t>
  </si>
  <si>
    <t>Protein C7</t>
  </si>
  <si>
    <t>OXR1_MOUSE</t>
  </si>
  <si>
    <t>Q4KMM3</t>
  </si>
  <si>
    <t>Q5FWW1; Q99L06; Q99MK1; Q99MP4</t>
  </si>
  <si>
    <t>C7; Gm1238</t>
  </si>
  <si>
    <t>MGI:2179326</t>
  </si>
  <si>
    <t>Alternative splicing; Mitochondrion; Nucleus; Phosphoprotein</t>
  </si>
  <si>
    <t>adult walking behavior {GO:0007628}; cellular response to hydroperoxide {GO:0071447}; negative regulation of cellular response to oxidative stress {GO:1900408}; negative regulation of neuron apoptotic process {GO:0043524}; negative regulation of oxidative stress-induced neuron death {GO:1903204}; negative regulation of peptidyl-cysteine S-nitrosylation {GO:1902083}; neuron apoptotic process {GO:0051402}; response to oxidative stress {GO:0006979}</t>
  </si>
  <si>
    <t>mitochondrion {GO:0005739}; nucleolus {GO:0005730}; nucleus {GO:0005634}</t>
  </si>
  <si>
    <t>sp|Q62018|CTR9_MOUSE</t>
  </si>
  <si>
    <t>RNA polymerase-associated protein CTR9 homolog</t>
  </si>
  <si>
    <t>SH2 domain-binding protein 1; Tetratricopeptide repeat-containing, SH2-binding phosphoprotein of 150 kDa (TPR-containing, SH2-binding phosphoprotein of 150 kDa; p150TSP)</t>
  </si>
  <si>
    <t>CTR9_MOUSE</t>
  </si>
  <si>
    <t>Q62018</t>
  </si>
  <si>
    <t>Q3UFF5; Q3UY40; Q66JX4; Q7TPS6; Q8BND9; Q8BRD1; Q8C9W7; Q8C9Y3; Q8CHI1</t>
  </si>
  <si>
    <t>Kiaa0155; Sh2bp1</t>
  </si>
  <si>
    <t>MGI:109345</t>
  </si>
  <si>
    <t>Alternative splicing; Nucleus; Phosphoprotein; Repeat; TPR repeat; Transcription; Transcription regulation; Wnt signaling pathway</t>
  </si>
  <si>
    <t>blastocyst growth {GO:0001832}; blastocyst hatching {GO:0001835}; cellular response to lipopolysaccharide {GO:0071222}; endodermal cell fate commitment {GO:0001711}; histone H2B ubiquitination {GO:0033523}; histone H3-K4 trimethylation {GO:0080182}; histone monoubiquitination {GO:0010390}; inner cell mass cell differentiation {GO:0001826}; interleukin-6-mediated signaling pathway {GO:0070102}; negative regulation of myeloid cell differentiation {GO:0045638}; negative regulation of transcription by RNA polymerase II {GO:0000122}; positive regulation of histone H3-K4 methylation {GO:0051571}; positive regulation of histone H3-K79 methylation {GO:2001162}; receptor signaling pathway via JAK-STAT {GO:0007259}; regulation of DNA-templated transcription {GO:0006355}; regulation of genetic imprinting {GO:2000653}; regulation of histone H3-K4 methylation {GO:0051569}; stem cell population maintenance {GO:0019827}; transcription elongation by RNA polymerase II promoter {GO:0006368}; trophectodermal cell differentiation {GO:0001829}; Wnt signaling pathway {GO:0016055}</t>
  </si>
  <si>
    <t>Cdc73/Paf1 complex {GO:0016593}; euchromatin {GO:0000791}; nuclear speck {GO:0016607}; nucleoplasm {GO:0005654}; nucleus {GO:0005634}</t>
  </si>
  <si>
    <t>RNA polymerase II complex binding {GO:0000993}; SH2 domain binding {GO:0042169}</t>
  </si>
  <si>
    <t>sp|Q6P4S8|INT1_MOUSE</t>
  </si>
  <si>
    <t>Integrator complex subunit 1 (Int1)</t>
  </si>
  <si>
    <t>INT1_MOUSE</t>
  </si>
  <si>
    <t>Q6P4S8</t>
  </si>
  <si>
    <t>Q0KK58; Q80UQ7; Q91Z01; Q9CTF7</t>
  </si>
  <si>
    <t>MGI:1915760</t>
  </si>
  <si>
    <t>Acetylation; Membrane; Nucleus; Phosphoprotein; Transmembrane; Transmembrane helix</t>
  </si>
  <si>
    <t>blastocyst growth {GO:0001832}; inner cell mass cell proliferation {GO:0001833}; negative regulation of apoptotic process {GO:0043066}; negative regulation of cysteine-type endopeptidase activity involved in apoptotic process {GO:0043154}; snRNA processing {GO:0016180}; U2 snRNA 3'-end processing {GO:0034474}</t>
  </si>
  <si>
    <t>integral component of membrane {GO:0016021}; integrator complex {GO:0032039}; nuclear membrane {GO:0031965}; nucleus {GO:0005634}</t>
  </si>
  <si>
    <t>sp|Q8BFY6|PEF1_MOUSE</t>
  </si>
  <si>
    <t>Peflin</t>
  </si>
  <si>
    <t>PEF protein with a long N-terminal hydrophobic domain; Penta-EF hand domain-containing protein 1</t>
  </si>
  <si>
    <t>PEF1_MOUSE</t>
  </si>
  <si>
    <t>Q8BFY6</t>
  </si>
  <si>
    <t>Q8VCT5; Q9CYW8; Q9D934</t>
  </si>
  <si>
    <t>MGI:1915148</t>
  </si>
  <si>
    <t>Calcium; Cytoplasm; Cytoplasmic vesicle; Endoplasmic reticulum; Membrane; Metal-binding; Repeat; Ubl conjugation</t>
  </si>
  <si>
    <t>COPII vesicle coating {GO:0048208}; endoplasmic reticulum to Golgi vesicle-mediated transport {GO:0006888}; neural crest cell development {GO:0014032}; neural crest formation {GO:0014029}; positive regulation of protein monoubiquitination {GO:1902527}; response to calcium ion {GO:0051592}</t>
  </si>
  <si>
    <t>COPII vesicle coat {GO:0030127}; Cul3-RING ubiquitin ligase complex {GO:0031463}; cytoplasm {GO:0005737}; endoplasmic reticulum {GO:0005783}</t>
  </si>
  <si>
    <t>calcium ion binding {GO:0005509}; calcium-dependent protein binding {GO:0048306}; identical protein binding {GO:0042802}; protein dimerization activity {GO:0046983}; protein heterodimerization activity {GO:0046982}; ubiquitin ligase-substrate adaptor activity {GO:1990756}</t>
  </si>
  <si>
    <t>tr|Q6NXL1|Q6NXL1_MOUSE</t>
  </si>
  <si>
    <t>sp|P12960|CNTN1_MOUSE</t>
  </si>
  <si>
    <t>Contactin-1</t>
  </si>
  <si>
    <t>Neural cell surface protein F3</t>
  </si>
  <si>
    <t>CNTN1_MOUSE</t>
  </si>
  <si>
    <t>P12960</t>
  </si>
  <si>
    <t>Q6NXV7; Q8BR42; Q8C6A0</t>
  </si>
  <si>
    <t>MGI:105980</t>
  </si>
  <si>
    <t>Cell adhesion; Cell membrane; Disulfide bond; Glycoprotein; GPI-anchor; Immunoglobulin domain; Lipoprotein; Membrane; Notch signaling pathway; Repeat; Signal</t>
  </si>
  <si>
    <t>Cell adhesion; Notch signaling pathway</t>
  </si>
  <si>
    <t>axon guidance {GO:0007411}; brain development {GO:0007420}; cell-cell adhesion {GO:0098609}; central nervous system myelin formation {GO:0032289}; cerebellum development {GO:0021549}; gene expression {GO:0010467}; locomotory behavior {GO:0007626}; myelination {GO:0042552}; neuron projection development {GO:0031175}; Notch signaling pathway {GO:0007219}; positive regulation of gene expression {GO:0010628}; positive regulation of neuron projection development {GO:0010976}; positive regulation of peptidyl-tyrosine phosphorylation {GO:0050731}; positive regulation of sodium ion transport {GO:0010765}</t>
  </si>
  <si>
    <t>anchored component of postsynaptic membrane {GO:0099025}; anchored component of presynaptic membrane {GO:0099026}; axon {GO:0030424}; membrane raft {GO:0045121}; myelin sheath {GO:0043209}; plasma membrane {GO:0005886}</t>
  </si>
  <si>
    <t>carbohydrate binding {GO:0030246}; cell-cell adhesion mediator activity {GO:0098632}</t>
  </si>
  <si>
    <t>sp|Q9DB43|ZFPL1_MOUSE</t>
  </si>
  <si>
    <t>Zinc finger protein-like 1</t>
  </si>
  <si>
    <t>ZFPL1_MOUSE</t>
  </si>
  <si>
    <t>Q9DB43</t>
  </si>
  <si>
    <t>MGI:1891017</t>
  </si>
  <si>
    <t>ER-Golgi transport; Golgi apparatus; Membrane; Metal-binding; Phosphoprotein; Transmembrane; Transmembrane helix; Transport; Zinc; Zinc-finger</t>
  </si>
  <si>
    <t>vesicle-mediated transport {GO:0016192}</t>
  </si>
  <si>
    <t>sp|Q8R480|NUP85_MOUSE</t>
  </si>
  <si>
    <t>Nuclear pore complex protein Nup85</t>
  </si>
  <si>
    <t>85 kDa nucleoporin; FROUNT; Nucleoporin Nup85; Pericentrin-1</t>
  </si>
  <si>
    <t>NUP85_MOUSE</t>
  </si>
  <si>
    <t>Q8R480</t>
  </si>
  <si>
    <t>A2A9W9; A2A9X0; Q9CYI9</t>
  </si>
  <si>
    <t>Pcnt1</t>
  </si>
  <si>
    <t>MGI:3046173</t>
  </si>
  <si>
    <t>Acetylation; Centromere; Chromosome; Cytoplasm; Cytoskeleton; Kinetochore; Membrane; mRNA transport; Nuclear pore complex; Nucleus; Protein transport; Translocation; Transport</t>
  </si>
  <si>
    <t>chemotaxis {GO:0006935}; cytokine-mediated signaling pathway {GO:0019221}; lamellipodium assembly {GO:0030032}; macrophage chemotaxis {GO:0048246}; mRNA export from nucleus {GO:0006406}; nephron development {GO:0072006}; nucleocytoplasmic transport {GO:0006913}; positive regulation of DNA-templated transcription {GO:0045893}; protein import into nucleus {GO:0006606}</t>
  </si>
  <si>
    <t>cytoplasm {GO:0005737}; cytosol {GO:0005829}; kinetochore {GO:0000776}; nuclear envelope {GO:0005635}; nuclear membrane {GO:0031965}; nuclear pore {GO:0005643}; nuclear pore outer ring {GO:0031080}; nucleoplasm {GO:0005654}; nucleus {GO:0005634}; plasma membrane {GO:0005886}; spindle {GO:0005819}</t>
  </si>
  <si>
    <t>CCR2 chemokine receptor binding {GO:0031727}; structural constituent of nuclear pore {GO:0017056}</t>
  </si>
  <si>
    <t>sp|Q9CZV8|FXL20_MOUSE</t>
  </si>
  <si>
    <t>F-box/LRR-repeat protein 20</t>
  </si>
  <si>
    <t>F-box and leucine-rich repeat protein 20; F-box/LRR-repeat protein 2-like</t>
  </si>
  <si>
    <t>FXL20_MOUSE</t>
  </si>
  <si>
    <t>Q9CZV8</t>
  </si>
  <si>
    <t>A7YE80; Q3UMN2; Q571F7; Q8BZ95</t>
  </si>
  <si>
    <t>Fbl2</t>
  </si>
  <si>
    <t>MGI:1919444</t>
  </si>
  <si>
    <t>Alternative splicing; Cytoplasm; Leucine-rich repeat; Phosphoprotein; Repeat; Ubl conjugation pathway</t>
  </si>
  <si>
    <t>behavioral fear response {GO:0001662}; regulation of protein catabolic process at presynapse, modulating synaptic transmission {GO:0099575}; regulation of synaptic vesicle exocytosis {GO:2000300}; SCF-dependent proteasomal ubiquitin-dependent protein catabolic process {GO:0031146}</t>
  </si>
  <si>
    <t>cytoplasm {GO:0005737}; glutamatergic synapse {GO:0098978}; presynapse {GO:0098793}; SCF ubiquitin ligase complex {GO:0019005}; Schaffer collateral - CA1 synapse {GO:0098685}; synapse {GO:0045202}</t>
  </si>
  <si>
    <t>sp|Q8BX80|ENASE_MOUSE</t>
  </si>
  <si>
    <t>Cytosolic endo-beta-N-acetylglucosaminidase (ENGase)</t>
  </si>
  <si>
    <t>ENASE_MOUSE</t>
  </si>
  <si>
    <t>Q8BX80</t>
  </si>
  <si>
    <t>Q3TK58; Q8BJF1</t>
  </si>
  <si>
    <t>MGI:2443788</t>
  </si>
  <si>
    <t>Acetylation; Alternative splicing; Cytoplasm; Glycosidase; Hydrolase</t>
  </si>
  <si>
    <t>protein deglycosylation {GO:0006517}</t>
  </si>
  <si>
    <t>hydrolase activity, hydrolyzing O-glycosyl compounds {GO:0004553}; mannosyl-glycoprotein endo-beta-N-acetylglucosaminidase activity {GO:0033925}</t>
  </si>
  <si>
    <t>sp|Q9DCZ4|MIC26_MOUSE</t>
  </si>
  <si>
    <t>MICOS complex subunit Mic26</t>
  </si>
  <si>
    <t>Apolipoprotein O; MICOS complex subunit Mic23; Protein FAM121B</t>
  </si>
  <si>
    <t>MIC26_MOUSE</t>
  </si>
  <si>
    <t>Q9DCZ4</t>
  </si>
  <si>
    <t>B1ASQ2; B1ASQ3; Q9D186</t>
  </si>
  <si>
    <t>Fam121b; Mic23; Mic26</t>
  </si>
  <si>
    <t>MGI:1915566</t>
  </si>
  <si>
    <t>Alternative splicing; Endoplasmic reticulum; Glycoprotein; Golgi apparatus; Membrane; Mitochondrion; Mitochondrion inner membrane; Signal; Transmembrane; Transmembrane helix</t>
  </si>
  <si>
    <t>Endoplasmic reticulum; Golgi apparatus; Membrane; Mitochondrion; Mitochondrion inner membrane</t>
  </si>
  <si>
    <t>cytosol {GO:0005829}; endoplasmic reticulum membrane {GO:0005789}; extracellular region {GO:0005576}; Golgi membrane {GO:0000139}; integral component of mitochondrial inner membrane {GO:0031305}; MICOS complex {GO:0061617}; mitochondrion {GO:0005739}</t>
  </si>
  <si>
    <t>sp|P51163|HEM4_MOUSE</t>
  </si>
  <si>
    <t>Uroporphyrinogen-III synthase (UROIIIS; UROS)</t>
  </si>
  <si>
    <t>Hydroxymethylbilane hydrolyase [cyclizing]; Uroporphyrinogen-III cosynthase</t>
  </si>
  <si>
    <t>HEM4_MOUSE</t>
  </si>
  <si>
    <t>P51163</t>
  </si>
  <si>
    <t>Uros3</t>
  </si>
  <si>
    <t>MGI:98917</t>
  </si>
  <si>
    <t>Heme biosynthesis; Lyase; Porphyrin biosynthesis</t>
  </si>
  <si>
    <t>cellular response to amine stimulus {GO:0071418}; cellular response to arsenic-containing substance {GO:0071243}; heme biosynthetic process {GO:0006783}; porphyrin-containing compound biosynthetic process {GO:0006779}; protoporphyrinogen IX biosynthetic process {GO:0006782}; response to antibiotic {GO:0046677}; response to platinum ion {GO:0070541}; uroporphyrinogen III biosynthetic process {GO:0006780}</t>
  </si>
  <si>
    <t>folic acid binding {GO:0005542}; uroporphyrinogen-III synthase activity {GO:0004852}</t>
  </si>
  <si>
    <t>Porphyrin-containing compound metabolism; protoporphyrin-IX biosynthesis; coproporphyrinogen-III from 5-aminolevulinate: step 3/4.</t>
  </si>
  <si>
    <t>sp|Q8BX09|RBBP5_MOUSE</t>
  </si>
  <si>
    <t>Retinoblastoma-binding protein 5 (RBBP-5)</t>
  </si>
  <si>
    <t>RBBP5_MOUSE</t>
  </si>
  <si>
    <t>Q8BX09</t>
  </si>
  <si>
    <t>Q3TBL4; Q3U3G1; Q6PAP0; Q6PFC2</t>
  </si>
  <si>
    <t>MGI:1918367</t>
  </si>
  <si>
    <t>3D-structure; Alternative splicing; Chromatin regulator; Isopeptide bond; Nucleus; Phosphoprotein; Repeat; Transcription; Transcription regulation; Ubl conjugation; WD repeat</t>
  </si>
  <si>
    <t>cellular response to DNA damage stimulus {GO:0006974}; chromatin organization {GO:0006325}; histone H3-K4 methylation {GO:0051568}; response to estrogen {GO:0043627}</t>
  </si>
  <si>
    <t>histone methyltransferase complex {GO:0035097}; MLL1 complex {GO:0071339}; MLL1/2 complex {GO:0044665}; MLL3/4 complex {GO:0044666}; nucleolus {GO:0005730}; nucleoplasm {GO:0005654}; nucleus {GO:0005634}; Set1C/COMPASS complex {GO:0048188}</t>
  </si>
  <si>
    <t>histone methyltransferase activity (H3-K4 specific) {GO:0042800}; methylated histone binding {GO:0035064}; transcription cis-regulatory region binding {GO:0000976}</t>
  </si>
  <si>
    <t>Formation of the beta-catenin:TCF transactivating complex {R-MMU-201722}; PKMTs methylate histone lysines {R-MMU-3214841}; RUNX1 regulates genes involved in megakaryocyte differentiation and platelet function {R-MMU-8936459}; Neddylation {R-MMU-8951664}</t>
  </si>
  <si>
    <t>sp|Q8K2C7|OS9_MOUSE</t>
  </si>
  <si>
    <t>Protein OS-9</t>
  </si>
  <si>
    <t>OS9_MOUSE</t>
  </si>
  <si>
    <t>Q8K2C7</t>
  </si>
  <si>
    <t>MGI:1924301</t>
  </si>
  <si>
    <t>Alternative splicing; Disulfide bond; Endoplasmic reticulum; Glycoprotein; Lectin; Signal</t>
  </si>
  <si>
    <t>endoplasmic reticulum unfolded protein response {GO:0030968}; negative regulation of retrograde protein transport, ER to cytosol {GO:1904153}; protein retention in ER lumen {GO:0006621}; protein targeting {GO:0006605}; protein ubiquitination {GO:0016567}; response to endoplasmic reticulum stress {GO:0034976}; retrograde protein transport, ER to cytosol {GO:0030970}; ubiquitin-dependent ERAD pathway {GO:0030433}; ubiquitin-dependent protein catabolic process {GO:0006511}</t>
  </si>
  <si>
    <t>carbohydrate binding {GO:0030246}; protease binding {GO:0002020}</t>
  </si>
  <si>
    <t>sp|Q80UN9|MOD5_MOUSE</t>
  </si>
  <si>
    <t>tRNA dimethylallyltransferase</t>
  </si>
  <si>
    <t>Isopentenyl-diphosphate:tRNA isopentenyltransferase (IPP transferase; IPPT); tRNA isopentenyltransferase (IPTase)</t>
  </si>
  <si>
    <t>MOD5_MOUSE</t>
  </si>
  <si>
    <t>Q80UN9</t>
  </si>
  <si>
    <t>B1ARS6; Q9D1H5</t>
  </si>
  <si>
    <t>Ipt</t>
  </si>
  <si>
    <t>MGI:1914216</t>
  </si>
  <si>
    <t>Alternative splicing; ATP-binding; Cytoplasm; Metal-binding; Mitochondrion; Nucleotide-binding; Nucleus; Phosphoprotein; Transferase; Transit peptide; tRNA processing; Zinc; Zinc-finger</t>
  </si>
  <si>
    <t>Transit peptide; Zinc-finger</t>
  </si>
  <si>
    <t>mitochondrial tRNA modification {GO:0070900}; tRNA modification {GO:0006400}</t>
  </si>
  <si>
    <t>ATP binding {GO:0005524}; metal ion binding {GO:0046872}; tRNA dimethylallyltransferase activity {GO:0052381}</t>
  </si>
  <si>
    <t>sp|Q3U5C7|PRIC1_MOUSE</t>
  </si>
  <si>
    <t>Prickle-like protein 1</t>
  </si>
  <si>
    <t>PRIC1_MOUSE</t>
  </si>
  <si>
    <t>Q3U5C7</t>
  </si>
  <si>
    <t>MGI:1916034</t>
  </si>
  <si>
    <t>Cytoplasm; LIM domain; Lipoprotein; Membrane; Metal-binding; Methylation; Nucleus; Phosphoprotein; Prenylation; Repeat; Zinc</t>
  </si>
  <si>
    <t>aorta development {GO:0035904}; coronary vasculature development {GO:0060976}; negative regulation of canonical Wnt signaling pathway {GO:0090090}; negative regulation of cardiac muscle cell myoblast differentiation {GO:2000691}; negative regulation of DNA-templated transcription {GO:0045892}; neural tube closure {GO:0001843}; positive regulation of proteasomal ubiquitin-dependent protein catabolic process {GO:0032436}; positive regulation of protein ubiquitination {GO:0031398}; protein import into nucleus {GO:0006606}</t>
  </si>
  <si>
    <t>cytosol {GO:0005829}; nuclear membrane {GO:0031965}; nucleus {GO:0005634}</t>
  </si>
  <si>
    <t>Asymmetric localization of PCP proteins {R-MMU-4608870}</t>
  </si>
  <si>
    <t>sp|Q8C7V3|UTP15_MOUSE</t>
  </si>
  <si>
    <t>U3 small nucleolar RNA-associated protein 15 homolog</t>
  </si>
  <si>
    <t>Src-associated protein SAW</t>
  </si>
  <si>
    <t>UTP15_MOUSE</t>
  </si>
  <si>
    <t>Q8C7V3</t>
  </si>
  <si>
    <t>Q3TRG8; Q8K231</t>
  </si>
  <si>
    <t>MGI:2145443</t>
  </si>
  <si>
    <t>Acetylation; Isopeptide bond; Nucleus; Repeat; Ribosome biogenesis; rRNA processing; Transcription; Transcription regulation; Ubl conjugation; WD repeat</t>
  </si>
  <si>
    <t>cytoplasm {GO:0005737}; endoplasmic reticulum {GO:0005783}; fibrillar center {GO:0001650}; nucleolus {GO:0005730}</t>
  </si>
  <si>
    <t>sp|P54763|EPHB2_MOUSE</t>
  </si>
  <si>
    <t>EphB2/CTF2</t>
  </si>
  <si>
    <t>Neural kinase; Nuk receptor tyrosine kinase; Tyrosine-protein kinase receptor EPH-3; Tyrosine-protein kinase receptor SEK-3</t>
  </si>
  <si>
    <t>EPHB2_MOUSE</t>
  </si>
  <si>
    <t>P54763</t>
  </si>
  <si>
    <t>A3KG00; A3KG01; A3KG02; A3KG89; A3KG90; Q62213; Q6GTQ7; Q6P5F1; Q9QVY4</t>
  </si>
  <si>
    <t>MGI:99611</t>
  </si>
  <si>
    <t>3D-structure; Alternative splicing; ATP-binding; Cell membrane; Cell projection; Developmental protein; Disulfide bond; Glycoprotein; Isopeptide bond; Kinase; Membrane; Neurogenesis; Nucleotide-binding; Phosphoprotein; Receptor; Repeat; Signal; Transferase; Transmembrane; Transmembrane helix; Tyrosine-protein kinase; Ubl conjugation</t>
  </si>
  <si>
    <t>Developmental protein; Kinase; Receptor; Transferase; Tyrosine-protein kinase</t>
  </si>
  <si>
    <t>angiogenesis {GO:0001525}; animal organ morphogenesis {GO:0009887}; axon guidance {GO:0007411}; axonal fasciculation {GO:0007413}; axonogenesis {GO:0007409}; B cell activation {GO:0042113}; camera-type eye morphogenesis {GO:0048593}; cell morphogenesis {GO:0000902}; cellular response to amyloid-beta {GO:1904646}; cellular response to lipopolysaccharide {GO:0071222}; central nervous system projection neuron axonogenesis {GO:0021952}; commissural neuron axon guidance {GO:0071679}; corpus callosum development {GO:0022038}; dendritic spine development {GO:0060996}; dendritic spine morphogenesis {GO:0060997}; ephrin receptor signaling pathway {GO:0048013}; hindbrain tangential cell migration {GO:0021934}; inner ear morphogenesis {GO:0042472}; learning {GO:0007612}; learning or memory {GO:0007611}; negative regulation of axonogenesis {GO:0050771}; negative regulation of cell adhesion {GO:0007162}; negative regulation of cytokine production involved in inflammatory response {GO:1900016}; negative regulation of ERK1 and ERK2 cascade {GO:0070373}; negative regulation of NMDA glutamate receptor activity {GO:1904782}; negative regulation of protein kinase activity {GO:0006469}; negative regulation of protein phosphorylation {GO:0001933}; negative regulation of Ras protein signal transduction {GO:0046580}; neuron projection retraction {GO:0106028}; optic nerve morphogenesis {GO:0021631}; peptidyl-tyrosine phosphorylation {GO:0018108}; phosphorylation {GO:0016310}; positive regulation of B cell proliferation {GO:0030890}; positive regulation of cell migration {GO:0030335}; positive regulation of dendritic spine morphogenesis {GO:0061003}; positive regulation of gene expression {GO:0010628}; positive regulation of immunoglobulin production {GO:0002639}; positive regulation of kinase activity {GO:0033674}; positive regulation of long-term neuronal synaptic plasticity {GO:0048170}; positive regulation of long-term synaptic potentiation {GO:1900273}; positive regulation of NMDA glutamate receptor activity {GO:1904783}; positive regulation of protein localization to plasma membrane {GO:1903078}; positive regulation of synapse assembly {GO:0051965}; positive regulation of synaptic plasticity {GO:0031915}; positive regulation of tumor necrosis factor production {GO:0032760}; postsynaptic membrane assembly {GO:0097104}; protein phosphorylation {GO:0006468}; regulation of axonogenesis {GO:0050770}; regulation of behavioral fear response {GO:2000822}; regulation of blood coagulation {GO:0030193}; regulation of body fluid levels {GO:0050878}; regulation of filopodium assembly {GO:0051489}; regulation of neuronal synaptic plasticity {GO:0048168}; regulation of receptor signaling pathway via JAK-STAT {GO:0046425}; regulation of synapse assembly {GO:0051963}; regulation of T-helper 17 type immune response {GO:2000316}; retinal ganglion cell axon guidance {GO:0031290}; roof of mouth development {GO:0060021}; tight junction assembly {GO:0120192}; trans-synaptic signaling by trans-synaptic complex, modulating synaptic transmission {GO:0099557}; transmembrane receptor protein tyrosine kinase signaling pathway {GO:0007169}; urogenital system development {GO:0001655}; vesicle-mediated intercellular transport {GO:0110077}</t>
  </si>
  <si>
    <t>axon {GO:0030424}; cell surface {GO:0009986}; dendrite {GO:0030425}; dendritic spine {GO:0043197}; glutamatergic synapse {GO:0098978}; Golgi apparatus {GO:0005794}; integral component of plasma membrane {GO:0005887}; integral component of postsynaptic membrane {GO:0099055}; integral component of presynaptic membrane {GO:0099056}; neuron projection {GO:0043005}; neuronal cell body {GO:0043025}; nucleoplasm {GO:0005654}; plasma membrane {GO:0005886}; receptor complex {GO:0043235}; synapse {GO:0045202}</t>
  </si>
  <si>
    <t>amyloid-beta binding {GO:0001540}; ATP binding {GO:0005524}; axon guidance receptor activity {GO:0008046}; ephrin receptor activity {GO:0005003}; identical protein binding {GO:0042802}; protein tyrosine kinase activity {GO:0004713}; protein-containing complex binding {GO:0044877}; signaling receptor activity {GO:0038023}; signaling receptor binding {GO:0005102}; transmembrane receptor protein tyrosine kinase activity {GO:0004714}; transmembrane-ephrin receptor activity {GO:0005005}</t>
  </si>
  <si>
    <t>sp|Q9CQ28|DPH6_MOUSE</t>
  </si>
  <si>
    <t>Diphthine--ammonia ligase</t>
  </si>
  <si>
    <t>ATP-binding domain-containing protein 4; Diphthamide synthase; Diphthamide synthetase; Protein DPH6 homolog</t>
  </si>
  <si>
    <t>DPH6_MOUSE</t>
  </si>
  <si>
    <t>Q9CQ28</t>
  </si>
  <si>
    <t>Q3UL00; Q8R1W5</t>
  </si>
  <si>
    <t>Atpbd4</t>
  </si>
  <si>
    <t>MGI:1913882</t>
  </si>
  <si>
    <t>Alternative splicing; ATP-binding; Ligase; Nucleotide-binding; Phosphoprotein</t>
  </si>
  <si>
    <t>peptidyl-diphthamide biosynthetic process from peptidyl-histidine {GO:0017183}</t>
  </si>
  <si>
    <t>ATP binding {GO:0005524}; diphthine-ammonia ligase activity {GO:0017178}</t>
  </si>
  <si>
    <t>sp|Q6NXI6|RPRD2_MOUSE</t>
  </si>
  <si>
    <t>Regulation of nuclear pre-mRNA domain-containing protein 2</t>
  </si>
  <si>
    <t>RPRD2_MOUSE</t>
  </si>
  <si>
    <t>Q6NXI6</t>
  </si>
  <si>
    <t>Q3U3L8; Q6ZQA7</t>
  </si>
  <si>
    <t>Kiaa0460</t>
  </si>
  <si>
    <t>MGI:1922387</t>
  </si>
  <si>
    <t>Acetylation; Alternative splicing; Methylation; Phosphoprotein</t>
  </si>
  <si>
    <t>RNA polymerase II, holoenzyme {GO:0016591}</t>
  </si>
  <si>
    <t>sp|Q9D1K7|ADSSP_MOUSE</t>
  </si>
  <si>
    <t>UPF0687 protein C20orf27 homolog</t>
  </si>
  <si>
    <t>CT027_MOUSE</t>
  </si>
  <si>
    <t>Q9D1K7</t>
  </si>
  <si>
    <t>Q9CVT3</t>
  </si>
  <si>
    <t>MGI:1914576</t>
  </si>
  <si>
    <t>positive regulation of NIK/NF-kappaB signaling {GO:1901224}; positive regulation of transforming growth factor beta receptor signaling pathway {GO:0030511}</t>
  </si>
  <si>
    <t>protein phosphatase 1 binding {GO:0008157}</t>
  </si>
  <si>
    <t>sp|P58871|TB182_MOUSE</t>
  </si>
  <si>
    <t>182 kDa tankyrase-1-binding protein</t>
  </si>
  <si>
    <t>TB182_MOUSE</t>
  </si>
  <si>
    <t>P58871</t>
  </si>
  <si>
    <t>A2BH84; Q6ZPI8</t>
  </si>
  <si>
    <t>Kiaa1741; Tab182</t>
  </si>
  <si>
    <t>MGI:2446193</t>
  </si>
  <si>
    <t>ADP-ribosylation; Chromosome; Cytoplasm; Cytoskeleton; Methylation; Nucleus; Phosphoprotein</t>
  </si>
  <si>
    <t>Chromosome; Cytoplasm; Cytoskeleton; Nucleus</t>
  </si>
  <si>
    <t>ADP-ribosylation; Methylation; Phosphoprotein</t>
  </si>
  <si>
    <t>cellular response to ionizing radiation {GO:0071479}; double-strand break repair {GO:0006302}; positive regulation of peptidyl-serine phosphorylation {GO:0033138}; positive regulation of peptidyl-threonine phosphorylation {GO:0010800}; positive regulation of protein autophosphorylation {GO:0031954}</t>
  </si>
  <si>
    <t>adherens junction {GO:0005912}; CCR4-NOT complex {GO:0030014}; cytoplasm {GO:0005737}; cytoskeleton {GO:0005856}; heterochromatin {GO:0000792}; nucleus {GO:0005634}; plasma membrane {GO:0005886}</t>
  </si>
  <si>
    <t>ankyrin repeat binding {GO:0071532}; enzyme binding {GO:0019899}; protein-containing complex binding {GO:0044877}</t>
  </si>
  <si>
    <t>sp|Q921N8|GPS2_MOUSE</t>
  </si>
  <si>
    <t>G protein pathway suppressor 2 (GPS-2)</t>
  </si>
  <si>
    <t>GPS2_MOUSE</t>
  </si>
  <si>
    <t>Q921N8</t>
  </si>
  <si>
    <t>MGI:1891751</t>
  </si>
  <si>
    <t>Activator; Coiled coil; Cytoplasm; Isopeptide bond; Methylation; Mitochondrion; Nucleus; Repressor; Transcription; Transcription regulation; Ubl conjugation</t>
  </si>
  <si>
    <t>B cell differentiation {GO:0030183}; negative regulation of B cell receptor signaling pathway {GO:0050859}; negative regulation of fat cell differentiation {GO:0045599}; negative regulation of inflammatory response {GO:0050728}; negative regulation of JNK cascade {GO:0046329}; negative regulation of protein K63-linked ubiquitination {GO:1900045}; negative regulation of toll-like receptor signaling pathway {GO:0034122}; negative regulation of transcription by RNA polymerase II {GO:0000122}; negative regulation of tumor necrosis factor-mediated signaling pathway {GO:0010804}; positive regulation of cholesterol efflux {GO:0010875}; positive regulation of peroxisome proliferator activated receptor signaling pathway {GO:0035360}; positive regulation of transcription by RNA polymerase II {GO:0045944}; regulation of fat cell differentiation {GO:0045598}; regulation of lipid metabolic process {GO:0019216}; regulation of transcription by RNA polymerase II {GO:0006357}; response to mitochondrial depolarisation {GO:0098780}</t>
  </si>
  <si>
    <t>cytoplasm {GO:0005737}; cytosol {GO:0005829}; mitochondrion {GO:0005739}; nucleoplasm {GO:0005654}; nucleus {GO:0005634}; transcription regulator complex {GO:0005667}; transcription repressor complex {GO:0017053}</t>
  </si>
  <si>
    <t>cyclin binding {GO:0030332}; transcription coactivator activity {GO:0003713}; transcription coregulator activity {GO:0003712}; transcription corepressor activity {GO:0003714}</t>
  </si>
  <si>
    <t>NR1H3 &amp; NR1H2 regulate gene expression linked to cholesterol transport and efflux {R-MMU-9029569}</t>
  </si>
  <si>
    <t>sp|Q9CZB6|MED7_MOUSE</t>
  </si>
  <si>
    <t>Mediator of RNA polymerase II transcription subunit 7</t>
  </si>
  <si>
    <t>Cofactor required for Sp1 transcriptional activation subunit 9 (CRSP complex subunit 9); Mediator complex subunit 7</t>
  </si>
  <si>
    <t>MED7_MOUSE</t>
  </si>
  <si>
    <t>Q9CZB6</t>
  </si>
  <si>
    <t>Q3UGV1; Q91VN3; Q9CWV8; Q9D0V9</t>
  </si>
  <si>
    <t>Crsp9</t>
  </si>
  <si>
    <t>MGI:1913463</t>
  </si>
  <si>
    <t>3D-structure; Activator; Isopeptide bond; Nucleus; Phosphoprotein; Transcription; Transcription regulation; Ubl conjugation</t>
  </si>
  <si>
    <t>positive regulation of transcription elongation by RNA polymerase II {GO:0032968}; positive regulation of transcription initiation by RNA polymerase II {GO:0060261}; protein ubiquitination {GO:0016567}; regulation of transcription by RNA polymerase II {GO:0006357}; RNA polymerase II preinitiation complex assembly {GO:0051123}; somatic stem cell population maintenance {GO:0035019}</t>
  </si>
  <si>
    <t>core mediator complex {GO:0070847}; mediator complex {GO:0016592}; nuclear body {GO:0016604}; nucleoplasm {GO:0005654}; nucleus {GO:0005634}; transcription regulator complex {GO:0005667}; ubiquitin ligase complex {GO:0000151}</t>
  </si>
  <si>
    <t>transcription coregulator activity {GO:0003712}; ubiquitin protein ligase activity {GO:0061630}</t>
  </si>
  <si>
    <t>sp|Q80VP1|EPN1_MOUSE</t>
  </si>
  <si>
    <t>Epsin-1</t>
  </si>
  <si>
    <t>EPS-15-interacting protein 1; Intersectin-EH-binding protein 1 (Ibp1)</t>
  </si>
  <si>
    <t>EPN1_MOUSE</t>
  </si>
  <si>
    <t>Q80VP1</t>
  </si>
  <si>
    <t>O70446; Q6NX78</t>
  </si>
  <si>
    <t>MGI:1333763</t>
  </si>
  <si>
    <t>Alternative splicing; Cell membrane; Coated pit; Cytoplasm; Endocytosis; Lipid-binding; Membrane; Methylation; Nucleus; Phosphoprotein; Repeat; Ubl conjugation</t>
  </si>
  <si>
    <t>Cell membrane; Coated pit; Cytoplasm; Membrane; Nucleus</t>
  </si>
  <si>
    <t>embryonic organ development {GO:0048568}; endocytosis {GO:0006897}; female pregnancy {GO:0007565}; in utero embryonic development {GO:0001701}; membrane fission {GO:0090148}; negative regulation of sprouting angiogenesis {GO:1903671}; Notch signaling pathway {GO:0007219}; positive regulation of clathrin coat assembly {GO:1905445}</t>
  </si>
  <si>
    <t>clathrin vesicle coat {GO:0030125}; clathrin-coated pit {GO:0005905}; cytosol {GO:0005829}; endosome {GO:0005768}; extrinsic component of cytoplasmic side of plasma membrane {GO:0031234}; extrinsic component of postsynaptic membrane {GO:0098890}; extrinsic component of presynaptic membrane {GO:0098888}; nucleus {GO:0005634}; plasma membrane {GO:0005886}; postsynapse {GO:0098794}; presynapse {GO:0098793}; Schaffer collateral - CA1 synapse {GO:0098685}</t>
  </si>
  <si>
    <t>clathrin adaptor activity {GO:0035615}; clathrin binding {GO:0030276}; molecular sequestering activity {GO:0140313}; phospholipid binding {GO:0005543}; transmembrane transporter binding {GO:0044325}</t>
  </si>
  <si>
    <t>sp|Q8VEE0|RPE_MOUSE</t>
  </si>
  <si>
    <t>Ribulose-phosphate 3-epimerase</t>
  </si>
  <si>
    <t>Ribulose-5-phosphate-epimerase</t>
  </si>
  <si>
    <t>RPE_MOUSE</t>
  </si>
  <si>
    <t>Q8VEE0</t>
  </si>
  <si>
    <t>Q8C130; Q9BSB5; Q9CQZ3</t>
  </si>
  <si>
    <t>MGI:1913896</t>
  </si>
  <si>
    <t>Acetylation; Carbohydrate metabolism; Cobalt; Iron; Isomerase; Manganese; Metal-binding; Zinc</t>
  </si>
  <si>
    <t>Cobalt; Iron; Manganese; Metal-binding; Zinc</t>
  </si>
  <si>
    <t>carbohydrate metabolic process {GO:0005975}; cellular carbohydrate metabolic process {GO:0044262}; pentose-phosphate shunt {GO:0006098}; pentose-phosphate shunt, non-oxidative branch {GO:0009052}</t>
  </si>
  <si>
    <t>carbohydrate binding {GO:0030246}; D-ribulose-phosphate 3-epimerase activity {GO:0004750}; identical protein binding {GO:0042802}; metal ion binding {GO:0046872}; monosaccharide binding {GO:0048029}; protein homodimerization activity {GO:0042803}</t>
  </si>
  <si>
    <t>Carbohydrate degradation..</t>
  </si>
  <si>
    <t>sp|Q8BVI5|STX16_MOUSE</t>
  </si>
  <si>
    <t>Syntaxin-16</t>
  </si>
  <si>
    <t>STX16_MOUSE</t>
  </si>
  <si>
    <t>Q8BVI5</t>
  </si>
  <si>
    <t>A2ACM7</t>
  </si>
  <si>
    <t>MGI:1923396</t>
  </si>
  <si>
    <t>Coiled coil; Golgi apparatus; Membrane; Phosphoprotein; Protein transport; Transmembrane; Transmembrane helix; Transport</t>
  </si>
  <si>
    <t>Golgi ribbon formation {GO:0090161}; intracellular protein transport {GO:0006886}; retrograde transport, endosome to Golgi {GO:0042147}; vesicle docking {GO:0048278}; vesicle fusion {GO:0006906}</t>
  </si>
  <si>
    <t>cytoplasm {GO:0005737}; cytosol {GO:0005829}; endomembrane system {GO:0012505}; endoplasmic reticulum {GO:0005783}; Golgi apparatus {GO:0005794}; Golgi cisterna {GO:0031985}; Golgi membrane {GO:0000139}; integral component of membrane {GO:0016021}; integral component of synaptic vesicle membrane {GO:0030285}; intracellular membrane-bounded organelle {GO:0043231}; membrane {GO:0016020}; perinuclear region of cytoplasm {GO:0048471}; SNARE complex {GO:0031201}; trans-Golgi network {GO:0005802}</t>
  </si>
  <si>
    <t>SNAP receptor activity {GO:0005484}; SNARE binding {GO:0000149}; syntaxin binding {GO:0019905}</t>
  </si>
  <si>
    <t>Intra-Golgi traffic {R-MMU-6811438}; Retrograde transport at the Trans-Golgi-Network {R-MMU-6811440}</t>
  </si>
  <si>
    <t>sp|Q3URE1|ACSF3_MOUSE</t>
  </si>
  <si>
    <t>Malonate--CoA ligase ACSF3, mitochondrial</t>
  </si>
  <si>
    <t>Acyl-CoA synthetase family member 3</t>
  </si>
  <si>
    <t>ACSF3_MOUSE</t>
  </si>
  <si>
    <t>Q3URE1</t>
  </si>
  <si>
    <t>Q78IW2; Q8VC75</t>
  </si>
  <si>
    <t>MGI:2182591</t>
  </si>
  <si>
    <t>Alternative splicing; ATP-binding; Fatty acid metabolism; Ligase; Lipid metabolism; Mitochondrion; Nucleotide-binding; Transit peptide</t>
  </si>
  <si>
    <t>fatty acid biosynthetic process {GO:0006633}; fatty acid metabolic process {GO:0006631}; malonate catabolic process {GO:0090410}</t>
  </si>
  <si>
    <t>acid-thiol ligase activity {GO:0016878}; ATP binding {GO:0005524}; CoA-ligase activity {GO:0016405}; malonyl-CoA synthetase activity {GO:0090409}; very long-chain fatty acid-CoA ligase activity {GO:0031957}</t>
  </si>
  <si>
    <t>sp|Q91VY9|ZN622_MOUSE</t>
  </si>
  <si>
    <t>Cytoplasmic 60S subunit biogenesis factor ZNF622</t>
  </si>
  <si>
    <t>Zinc finger protein 622</t>
  </si>
  <si>
    <t>ZN622_MOUSE</t>
  </si>
  <si>
    <t>Q91VY9</t>
  </si>
  <si>
    <t>D15Ertd806e; Zfp622</t>
  </si>
  <si>
    <t>MGI:1289282</t>
  </si>
  <si>
    <t>Acetylation; Cytoplasm; Metal-binding; Nucleus; Phosphoprotein; Repeat; Ribosome biogenesis; Ubl conjugation; Zinc; Zinc-finger</t>
  </si>
  <si>
    <t>intrinsic apoptotic signaling pathway in response to oxidative stress {GO:0008631}; positive regulation of apoptotic process {GO:0043065}; positive regulation of JNK cascade {GO:0046330}; positive regulation of kinase activity {GO:0033674}; positive regulation of MAPK cascade {GO:0043410}; ribosomal large subunit biogenesis {GO:0042273}</t>
  </si>
  <si>
    <t>cytosol {GO:0005829}; Golgi apparatus {GO:0005794}; nucleolus {GO:0005730}; nucleoplasm {GO:0005654}; preribosome, large subunit precursor {GO:0030687}</t>
  </si>
  <si>
    <t>nucleic acid binding {GO:0003676}; preribosome binding {GO:1990275}; zinc ion binding {GO:0008270}</t>
  </si>
  <si>
    <t>sp|O08648|M3K4_MOUSE</t>
  </si>
  <si>
    <t>Mitogen-activated protein kinase kinase kinase 4</t>
  </si>
  <si>
    <t>MAPK/ERK kinase kinase 4 (MEK kinase 4; MEKK 4)</t>
  </si>
  <si>
    <t>M3K4_MOUSE</t>
  </si>
  <si>
    <t>O08648</t>
  </si>
  <si>
    <t>O08649; O70124; Q6PDG6</t>
  </si>
  <si>
    <t>Mekk4</t>
  </si>
  <si>
    <t>MGI:1346875</t>
  </si>
  <si>
    <t>Alternative splicing; ATP-binding; Cytoplasm; Kinase; Magnesium; Metal-binding; Nucleotide-binding; Phosphoprotein; Serine/threonine-protein kinase; Transferase</t>
  </si>
  <si>
    <t>chorionic trophoblast cell differentiation {GO:0060718}; determination of dorsal identity {GO:0048263}; intracellular signal transduction {GO:0035556}; male germ-line sex determination {GO:0019100}; MAPK cascade {GO:0000165}; placenta development {GO:0001890}; positive regulation of JUN kinase activity {GO:0043507}; positive regulation of p38MAPK cascade {GO:1900745}; positive regulation of telomerase activity {GO:0051973}; positive regulation of telomere capping {GO:1904355}; positive regulation of telomere maintenance via telomerase {GO:0032212}; protein phosphorylation {GO:0006468}; regulation of gene expression {GO:0010468}; response to UV-C {GO:0010225}</t>
  </si>
  <si>
    <t>ATP binding {GO:0005524}; MAP kinase kinase kinase activity {GO:0004709}; metal ion binding {GO:0046872}; protein kinase activity {GO:0004672}; protein serine kinase activity {GO:0106310}</t>
  </si>
  <si>
    <t>sp|Q9DB26|PHYD1_MOUSE</t>
  </si>
  <si>
    <t>Phytanoyl-CoA dioxygenase domain-containing protein 1 (Protein PHYHD1)</t>
  </si>
  <si>
    <t>PHYD1_MOUSE</t>
  </si>
  <si>
    <t>Q9DB26</t>
  </si>
  <si>
    <t>A2AQZ4; Q80V68</t>
  </si>
  <si>
    <t>MGI:3612860</t>
  </si>
  <si>
    <t>Dioxygenase; Iron; Metal-binding; Oxidoreductase; Phosphoprotein</t>
  </si>
  <si>
    <t>2-oxoglutarate-dependent dioxygenase activity {GO:0016706}; metal ion binding {GO:0046872}</t>
  </si>
  <si>
    <t>sp|Q9D4H2|GCC1_MOUSE</t>
  </si>
  <si>
    <t>GRIP and coiled-coil domain-containing protein 1</t>
  </si>
  <si>
    <t>Golgi coiled-coil protein 1</t>
  </si>
  <si>
    <t>GCC1_MOUSE</t>
  </si>
  <si>
    <t>Q9D4H2</t>
  </si>
  <si>
    <t>Q8CCR3</t>
  </si>
  <si>
    <t>MGI:1921625</t>
  </si>
  <si>
    <t>Coiled coil; Cytoplasm; Golgi apparatus; Membrane</t>
  </si>
  <si>
    <t>Golgi apparatus {GO:0005794}; Golgi membrane {GO:0000139}</t>
  </si>
  <si>
    <t>sp|Q921Q3|ALG1_MOUSE</t>
  </si>
  <si>
    <t>Chitobiosyldiphosphodolichol beta-mannosyltransferase</t>
  </si>
  <si>
    <t>Asparagine-linked glycosylation protein 1 homolog; Beta-1,4-mannosyltransferase; GDP-Man:GlcNAc2-PP-dolichol mannosyltransferase; GDP-mannose-dolichol diphosphochitobiose mannosyltransferase</t>
  </si>
  <si>
    <t>ALG1_MOUSE</t>
  </si>
  <si>
    <t>Q921Q3</t>
  </si>
  <si>
    <t>Q3UKT8</t>
  </si>
  <si>
    <t>MGI:2384774</t>
  </si>
  <si>
    <t>Alternative splicing; Endoplasmic reticulum; Glycosyltransferase; Membrane; Phosphoprotein; Signal-anchor; Transferase; Transmembrane; Transmembrane helix</t>
  </si>
  <si>
    <t>dolichol-linked oligosaccharide biosynthetic process {GO:0006488}; protein glycosylation {GO:0006486}</t>
  </si>
  <si>
    <t>chitobiosyldiphosphodolichol beta-mannosyltransferase activity {GO:0004578}; mannosyltransferase activity {GO:0000030}</t>
  </si>
  <si>
    <t>sp|Q9D1I6|RM14_MOUSE</t>
  </si>
  <si>
    <t>39S ribosomal protein L14, mitochondrial (L14mt; MRP-L14)</t>
  </si>
  <si>
    <t>RM14_MOUSE</t>
  </si>
  <si>
    <t>Q9D1I6</t>
  </si>
  <si>
    <t>Q3UNL3</t>
  </si>
  <si>
    <t>MGI:1333864</t>
  </si>
  <si>
    <t>sp|P22935|RABP2_MOUSE</t>
  </si>
  <si>
    <t>Cellular retinoic acid-binding protein 2</t>
  </si>
  <si>
    <t>Cellular retinoic acid-binding protein II (CRABP-II)</t>
  </si>
  <si>
    <t>RABP2_MOUSE</t>
  </si>
  <si>
    <t>P22935</t>
  </si>
  <si>
    <t>MGI:88491</t>
  </si>
  <si>
    <t>Cytoplasm; Endoplasmic reticulum; Isopeptide bond; Nucleus; Retinol-binding; Transport; Ubl conjugation; Vitamin A</t>
  </si>
  <si>
    <t>embryonic forelimb morphogenesis {GO:0035115}; fatty acid transport {GO:0015908}; positive regulation of collateral sprouting {GO:0048672}; retinoic acid biosynthetic process {GO:0002138}; retinoic acid metabolic process {GO:0042573}</t>
  </si>
  <si>
    <t>cytoplasm {GO:0005737}; cytosol {GO:0005829}; endoplasmic reticulum {GO:0005783}; nucleoplasm {GO:0005654}; nucleus {GO:0005634}</t>
  </si>
  <si>
    <t>cyclin binding {GO:0030332}; fatty acid binding {GO:0005504}; retinal binding {GO:0016918}; retinoic acid binding {GO:0001972}; retinol binding {GO:0019841}</t>
  </si>
  <si>
    <t>Signaling by Retinoic Acid {R-MMU-5362517}</t>
  </si>
  <si>
    <t>sp|P56376|ACYP1_MOUSE</t>
  </si>
  <si>
    <t>Acylphosphatase-1</t>
  </si>
  <si>
    <t>Acylphosphatase, organ-common type isozyme; Acylphosphate phosphohydrolase 1</t>
  </si>
  <si>
    <t>ACYP1_MOUSE</t>
  </si>
  <si>
    <t>P56376</t>
  </si>
  <si>
    <t>Q0VG40; Q545K8; Q6P8S7</t>
  </si>
  <si>
    <t>Acype</t>
  </si>
  <si>
    <t>MGI:1913454</t>
  </si>
  <si>
    <t>Acetylation; Hydrolase</t>
  </si>
  <si>
    <t>acylphosphatase activity {GO:0003998}</t>
  </si>
  <si>
    <t>sp|Q9DCZ1|GMPR1_MOUSE</t>
  </si>
  <si>
    <t>GMP reductase 1 (GMPR 1)</t>
  </si>
  <si>
    <t>Guanosine 5'-monophosphate oxidoreductase 1 (Guanosine monophosphate reductase 1)</t>
  </si>
  <si>
    <t>GMPR1_MOUSE</t>
  </si>
  <si>
    <t>Q9DCZ1</t>
  </si>
  <si>
    <t>Gmpr1</t>
  </si>
  <si>
    <t>MGI:1913605</t>
  </si>
  <si>
    <t>Metal-binding; NADP; Oxidoreductase; Phosphoprotein; Potassium; Purine metabolism</t>
  </si>
  <si>
    <t>IMP salvage {GO:0032264}; purine nucleobase metabolic process {GO:0006144}</t>
  </si>
  <si>
    <t>sp|P58404|STRN4_MOUSE</t>
  </si>
  <si>
    <t>Striatin-4</t>
  </si>
  <si>
    <t>Zinedin</t>
  </si>
  <si>
    <t>STRN4_MOUSE</t>
  </si>
  <si>
    <t>P58404</t>
  </si>
  <si>
    <t>E9QKX6; Q68EF5</t>
  </si>
  <si>
    <t>Zin</t>
  </si>
  <si>
    <t>MGI:2142346</t>
  </si>
  <si>
    <t>Alternative splicing; Calmodulin-binding; Cell projection; Coiled coil; Cytoplasm; Membrane; Phosphoprotein; Repeat; Synapse; WD repeat</t>
  </si>
  <si>
    <t>anchoring junction {GO:0070161}; cytoplasm {GO:0005737}; dendrite {GO:0030425}; dendritic spine {GO:0043197}; FAR/SIN/STRIPAK complex {GO:0090443}; membrane {GO:0016020}; protein-containing complex {GO:0032991}</t>
  </si>
  <si>
    <t>armadillo repeat domain binding {GO:0070016}; calmodulin binding {GO:0005516}; protein domain specific binding {GO:0019904}; protein phosphatase 2A binding {GO:0051721}; protein-containing complex binding {GO:0044877}</t>
  </si>
  <si>
    <t>sp|Q4VC33|MAEA_MOUSE</t>
  </si>
  <si>
    <t>E3 ubiquitin-protein transferase MAEA</t>
  </si>
  <si>
    <t>Erythroblast macrophage protein; Macrophage erythroblast attacher</t>
  </si>
  <si>
    <t>MAEA_MOUSE</t>
  </si>
  <si>
    <t>Q4VC33</t>
  </si>
  <si>
    <t>Q3TFH0; Q3U7T6; Q5XKE6; Q8BPI3; Q8BSA1; Q9JK49</t>
  </si>
  <si>
    <t>Emp</t>
  </si>
  <si>
    <t>MGI:1891748</t>
  </si>
  <si>
    <t>Actin-binding; Alternative splicing; Cell cycle; Cell division; Cell membrane; Cytoplasm; Cytoskeleton; Erythrocyte maturation; Membrane; Metal-binding; Nucleus; Phosphoprotein; Transferase; Ubl conjugation; Ubl conjugation pathway; Zinc; Zinc-finger</t>
  </si>
  <si>
    <t>Cell cycle; Cell division; Erythrocyte maturation; Ubl conjugation pathway</t>
  </si>
  <si>
    <t>Actin-binding; Transferase</t>
  </si>
  <si>
    <t>cell adhesion {GO:0007155}; cell cycle {GO:0007049}; cell division {GO:0051301}; cytoskeleton organization {GO:0007010}; enucleate erythrocyte development {GO:0048822}; erythrocyte development {GO:0048821}; erythrocyte maturation {GO:0043249}; negative regulation of myeloid cell apoptotic process {GO:0033033}; proteasome-mediated ubiquitin-dependent protein catabolic process {GO:0043161}</t>
  </si>
  <si>
    <t>actin cytoskeleton {GO:0015629}; actomyosin contractile ring {GO:0005826}; cytoplasm {GO:0005737}; cytoskeleton {GO:0005856}; GID complex {GO:0034657}; integral component of plasma membrane {GO:0005887}; nuclear matrix {GO:0016363}; nucleoplasm {GO:0005654}; nucleus {GO:0005634}; spindle {GO:0005819}; ubiquitin ligase complex {GO:0000151}</t>
  </si>
  <si>
    <t>actin binding {GO:0003779}; metal ion binding {GO:0046872}; ubiquitin protein ligase activity {GO:0061630}</t>
  </si>
  <si>
    <t>sp|O54825|BYST_MOUSE</t>
  </si>
  <si>
    <t>Bystin</t>
  </si>
  <si>
    <t>BYST_MOUSE</t>
  </si>
  <si>
    <t>O54825</t>
  </si>
  <si>
    <t>Q3THF4; Q3UPY9; Q8VD68</t>
  </si>
  <si>
    <t>MGI:1858419</t>
  </si>
  <si>
    <t>Cytoplasm; Methylation; Nucleus; Phosphoprotein; Ribosome biogenesis</t>
  </si>
  <si>
    <t>blastocyst formation {GO:0001825}; in utero embryonic development {GO:0001701}; maturation of SSU-rRNA from tricistronic rRNA transcript (SSU-rRNA, 5.8S rRNA, LSU-rRNA) {GO:0000462}; rRNA processing {GO:0006364}; stem cell proliferation {GO:0072089}; trophectodermal cell differentiation {GO:0001829}</t>
  </si>
  <si>
    <t>apical part of cell {GO:0045177}; cell projection {GO:0042995}; chromosome {GO:0005694}; cytoplasm {GO:0005737}; cytoplasmic microtubule {GO:0005881}; intracellular membrane-bounded organelle {GO:0043231}; nucleolus {GO:0005730}; nucleoplasm {GO:0005654}; perinuclear region of cytoplasm {GO:0048471}; preribosome, small subunit precursor {GO:0030688}</t>
  </si>
  <si>
    <t>sp|Q8C796|RCOR2_MOUSE</t>
  </si>
  <si>
    <t>REST corepressor 2</t>
  </si>
  <si>
    <t>M-CoREST</t>
  </si>
  <si>
    <t>RCOR2_MOUSE</t>
  </si>
  <si>
    <t>Q8C796</t>
  </si>
  <si>
    <t>Q9JMK4</t>
  </si>
  <si>
    <t>MGI:1859854</t>
  </si>
  <si>
    <t>Coiled coil; Isopeptide bond; Methylation; Nucleus; Phosphoprotein; Repeat; Repressor; Transcription; Transcription regulation; Ubl conjugation</t>
  </si>
  <si>
    <t>histone deacetylation {GO:0016575}; negative regulation of DNA-templated transcription {GO:0045892}; regulation of transcription by RNA polymerase II {GO:0006357}</t>
  </si>
  <si>
    <t>chromatin {GO:0000785}; histone deacetylase complex {GO:0000118}; nucleus {GO:0005634}; transcription regulator complex {GO:0005667}</t>
  </si>
  <si>
    <t>enzyme binding {GO:0019899}; transcription corepressor activity {GO:0003714}</t>
  </si>
  <si>
    <t>sp|Q8VCH5|RABEK_MOUSE</t>
  </si>
  <si>
    <t>Rab9 effector protein with kelch motifs</t>
  </si>
  <si>
    <t>RABEK_MOUSE</t>
  </si>
  <si>
    <t>Q8VCH5</t>
  </si>
  <si>
    <t>Q8BZG7</t>
  </si>
  <si>
    <t>MGI:2139530</t>
  </si>
  <si>
    <t>Cytoplasm; Endosome; Kelch repeat; Membrane; Phosphoprotein; Repeat</t>
  </si>
  <si>
    <t>endosome membrane {GO:0010008}</t>
  </si>
  <si>
    <t>sp|Q6SKR2|N6MT1_MOUSE</t>
  </si>
  <si>
    <t>Methyltransferase N6AMT1</t>
  </si>
  <si>
    <t>HemK methyltransferase family member 2; Lysine N-methyltransferase 9; Methylarsonite methyltransferase N6AMT1; Protein N(5)-glutamine methyltransferase</t>
  </si>
  <si>
    <t>N6MT1_MOUSE</t>
  </si>
  <si>
    <t>Q6SKR2</t>
  </si>
  <si>
    <t>D3Z6J0; E9PXT7; Q4KMV5; Q6PRU9</t>
  </si>
  <si>
    <t>MGI:1915018</t>
  </si>
  <si>
    <t>Alternative splicing; Chromatin regulator; Methyltransferase; Nucleus; S-adenosyl-L-methionine; Transferase; Ubl conjugation</t>
  </si>
  <si>
    <t>arsonoacetate metabolic process {GO:0018872}; chromatin organization {GO:0006325}; DNA methylation on adenine {GO:0032775}; histone lysine methylation {GO:0034968}; methylation {GO:0032259}; peptidyl-glutamine methylation {GO:0018364}; positive regulation of cell growth {GO:0030307}; toxin metabolic process {GO:0009404}</t>
  </si>
  <si>
    <t>eRF1 methyltransferase complex {GO:0035657}; nucleus {GO:0005634}; protein-containing complex {GO:0032991}</t>
  </si>
  <si>
    <t>histone-lysine N-methyltransferase activity {GO:0018024}; methylarsonite methyltransferase activity {GO:0030792}; nucleic acid binding {GO:0003676}; protein methyltransferase activity {GO:0008276}; protein-glutamine N-methyltransferase activity {GO:0036009}; S-adenosyl-L-methionine binding {GO:1904047}; S-adenosylmethionine-dependent methyltransferase activity {GO:0008757}; site-specific DNA-methyltransferase (adenine-specific) activity {GO:0009007}</t>
  </si>
  <si>
    <t>sp|Q9D0I4|STX17_MOUSE</t>
  </si>
  <si>
    <t>Syntaxin-17</t>
  </si>
  <si>
    <t>STX17_MOUSE</t>
  </si>
  <si>
    <t>Q9D0I4</t>
  </si>
  <si>
    <t>B1AVI3; Q9D330</t>
  </si>
  <si>
    <t>MGI:1914977</t>
  </si>
  <si>
    <t>Acetylation; Autophagy; Coiled coil; Cytoplasm; Cytoplasmic vesicle; Endoplasmic reticulum; ER-Golgi transport; Membrane; Mitochondrion; Phosphoprotein; Transmembrane; Transmembrane helix; Transport</t>
  </si>
  <si>
    <t>Autophagy; ER-Golgi transport; Transport</t>
  </si>
  <si>
    <t>Cytoplasm; Cytoplasmic vesicle; Endoplasmic reticulum; Membrane; Mitochondrion</t>
  </si>
  <si>
    <t>autophagosome maturation {GO:0097352}; autophagosome membrane docking {GO:0016240}; endoplasmic reticulum to Golgi vesicle-mediated transport {GO:0006888}; endoplasmic reticulum-Golgi intermediate compartment organization {GO:0097111}; exocytosis {GO:0006887}; Golgi organization {GO:0007030}; intracellular protein transport {GO:0006886}; protein localization to phagophore assembly site {GO:0034497}; vesicle docking {GO:0048278}; vesicle fusion {GO:0006906}</t>
  </si>
  <si>
    <t>autophagosome {GO:0005776}; autophagosome membrane {GO:0000421}; COPII-coated ER to Golgi transport vesicle {GO:0030134}; cytosol {GO:0005829}; endomembrane system {GO:0012505}; endoplasmic reticulum {GO:0005783}; endoplasmic reticulum membrane {GO:0005789}; endoplasmic reticulum-Golgi intermediate compartment {GO:0005793}; endoplasmic reticulum-Golgi intermediate compartment membrane {GO:0033116}; ER to Golgi transport vesicle membrane {GO:0012507}; HOPS complex {GO:0030897}; integral component of membrane {GO:0016021}; mitochondria-associated endoplasmic reticulum membrane {GO:0044233}; mitochondrial membrane {GO:0031966}; mitochondrion {GO:0005739}; plasma membrane {GO:0005886}; smooth endoplasmic reticulum membrane {GO:0030868}; SNARE complex {GO:0031201}</t>
  </si>
  <si>
    <t>protein kinase binding {GO:0019901}; protein phosphatase binding {GO:0019903}; SNAP receptor activity {GO:0005484}; SNARE binding {GO:0000149}</t>
  </si>
  <si>
    <t>sp|Q9CWN7|CNO11_MOUSE</t>
  </si>
  <si>
    <t>CCR4-NOT transcription complex subunit 11</t>
  </si>
  <si>
    <t>CNO11_MOUSE</t>
  </si>
  <si>
    <t>Q9CWN7</t>
  </si>
  <si>
    <t>Q3TJG9</t>
  </si>
  <si>
    <t>D1Bwg0212e</t>
  </si>
  <si>
    <t>MGI:106580</t>
  </si>
  <si>
    <t>Cytoplasm; Methylation; Nucleus; RNA-mediated gene silencing; Transcription; Transcription regulation; Translation regulation</t>
  </si>
  <si>
    <t>gene silencing by RNA {GO:0031047}; mRNA catabolic process {GO:0006402}; negative regulation of translation {GO:0017148}</t>
  </si>
  <si>
    <t>CCR4-NOT complex {GO:0030014}; cytoplasm {GO:0005737}; nucleus {GO:0005634}</t>
  </si>
  <si>
    <t>sp|Q7TQK5|CCD93_MOUSE</t>
  </si>
  <si>
    <t>Coiled-coil domain-containing protein 93</t>
  </si>
  <si>
    <t>CCD93_MOUSE</t>
  </si>
  <si>
    <t>Q7TQK5</t>
  </si>
  <si>
    <t>Q3TX53</t>
  </si>
  <si>
    <t>MGI:1918079</t>
  </si>
  <si>
    <t>Coiled coil; Endosome; Phosphoprotein; Protein transport; Transport</t>
  </si>
  <si>
    <t>early endosome {GO:0005769}; intracellular membrane-bounded organelle {GO:0043231}</t>
  </si>
  <si>
    <t>sp|Q9DB32|HAGHL_MOUSE</t>
  </si>
  <si>
    <t>Hydroxyacylglutathione hydrolase-like protein</t>
  </si>
  <si>
    <t>HAGHL_MOUSE</t>
  </si>
  <si>
    <t>Q9DB32</t>
  </si>
  <si>
    <t>Q8C8C4</t>
  </si>
  <si>
    <t>MGI:1919877</t>
  </si>
  <si>
    <t>Alternative splicing; Hydrolase; Metal-binding; Zinc</t>
  </si>
  <si>
    <t>sp|Q6DFV7|NCOA7_MOUSE</t>
  </si>
  <si>
    <t>Nuclear receptor coactivator 7</t>
  </si>
  <si>
    <t>NCOA7_MOUSE</t>
  </si>
  <si>
    <t>Q6DFV7</t>
  </si>
  <si>
    <t>Q3TAR1; Q3UNB3; Q66K05; Q6ZQM4; Q8BJ15; Q8BJ39</t>
  </si>
  <si>
    <t>MGI:2444847</t>
  </si>
  <si>
    <t>Acetylation; Activator; Alternative splicing; Coiled coil; Nucleus; Phosphoprotein; Transcription; Transcription regulation</t>
  </si>
  <si>
    <t>negative regulation of cellular response to oxidative stress {GO:1900408}; negative regulation of oxidative stress-induced neuron death {GO:1903204}; negative regulation of peptidyl-cysteine S-nitrosylation {GO:1902083}; positive regulation of transcription by RNA polymerase II {GO:0045944}; regulation of transcription by RNA polymerase II {GO:0006357}; response to oxidative stress {GO:0006979}</t>
  </si>
  <si>
    <t>sp|Q9CQZ6|NDUB3_MOUSE</t>
  </si>
  <si>
    <t>NADH dehydrogenase [ubiquinone] 1 beta subcomplex subunit 3</t>
  </si>
  <si>
    <t>Complex I-B12 (CI-B12); NADH-ubiquinone oxidoreductase B12 subunit</t>
  </si>
  <si>
    <t>NDUB3_MOUSE</t>
  </si>
  <si>
    <t>Q9CQZ6</t>
  </si>
  <si>
    <t>Q3UUR9</t>
  </si>
  <si>
    <t>MGI:1913745</t>
  </si>
  <si>
    <t>3D-structure; Acetylation; Electron transport; Membrane; Methylation; Mitochondrion; Mitochondrion inner membrane; Respiratory chain; Transmembrane; Transmembrane helix; Transport</t>
  </si>
  <si>
    <t>aerobic respiration {GO:0009060}; electron transport chain {GO:0022900}; mitochondrial respiratory chain complex I assembly {GO:0032981}; proton motive force-driven mitochondrial ATP synthesis {GO:0042776}</t>
  </si>
  <si>
    <t>sp|Q8CHG7|RPGF2_MOUSE</t>
  </si>
  <si>
    <t>tr|Q80X98|Q80X98_MOUSE</t>
  </si>
  <si>
    <t>tr|Q8K205|Q8K205_MOUSE</t>
  </si>
  <si>
    <t>tr|F8VQG7|F8VQG7_MOUSE</t>
  </si>
  <si>
    <t>sp|Q64337|SQSTM_MOUSE</t>
  </si>
  <si>
    <t>Sequestosome-1</t>
  </si>
  <si>
    <t>STONE14; Ubiquitin-binding protein p62</t>
  </si>
  <si>
    <t>SQSTM_MOUSE</t>
  </si>
  <si>
    <t>Q64337</t>
  </si>
  <si>
    <t>Q99JM8</t>
  </si>
  <si>
    <t>A170; STAP</t>
  </si>
  <si>
    <t>MGI:107931</t>
  </si>
  <si>
    <t>3D-structure; Acetylation; Alternative splicing; Apoptosis; Autophagy; Cytoplasm; Cytoplasmic vesicle; Differentiation; Endoplasmic reticulum; Endosome; Immunity; Isopeptide bond; Lysosome; Metal-binding; Nucleus; Phosphoprotein; Ubl conjugation; Zinc; Zinc-finger</t>
  </si>
  <si>
    <t>Apoptosis; Autophagy; Differentiation; Immunity</t>
  </si>
  <si>
    <t>Cytoplasm; Cytoplasmic vesicle; Endoplasmic reticulum; Endosome; Lysosome; Nucleus</t>
  </si>
  <si>
    <t>aggrephagy {GO:0035973}; apoptotic process {GO:0006915}; autophagy {GO:0006914}; brown fat cell proliferation {GO:0070342}; cell differentiation {GO:0030154}; endosome organization {GO:0007032}; energy homeostasis {GO:0097009}; immune system process {GO:0002376}; macroautophagy {GO:0016236}; mitophagy {GO:0000423}; negative regulation of protein ubiquitination {GO:0031397}; negative regulation of transcription by RNA polymerase II {GO:0000122}; positive regulation of long-term synaptic potentiation {GO:1900273}; positive regulation of protein localization to plasma membrane {GO:1903078}; positive regulation of protein phosphorylation {GO:0001934}; protein import into nucleus {GO:0006606}; protein localization to perinuclear region of cytoplasm {GO:1905719}; protein phosphorylation {GO:0006468}; regulation of I-kappaB kinase/NF-kappaB signaling {GO:0043122}; regulation of protein complex stability {GO:0061635}; response to ischemia {GO:0002931}; response to mitochondrial depolarisation {GO:0098780}; selective autophagy {GO:0061912}; temperature homeostasis {GO:0001659}; transcription by RNA polymerase II {GO:0006366}</t>
  </si>
  <si>
    <t>aggresome {GO:0016235}; amphisome {GO:0044753}; autolysosome {GO:0044754}; autophagosome {GO:0005776}; cytoplasm {GO:0005737}; cytosol {GO:0005829}; endoplasmic reticulum {GO:0005783}; inclusion body {GO:0016234}; intracellular membrane-bounded organelle {GO:0043231}; late endosome {GO:0005770}; Lewy body {GO:0097413}; mitochondrion {GO:0005739}; P-body {GO:0000932}; phagophore assembly site {GO:0000407}; PML body {GO:0016605}; sarcomere {GO:0030017}; sperm midpiece {GO:0097225}</t>
  </si>
  <si>
    <t>enzyme binding {GO:0019899}; identical protein binding {GO:0042802}; ionotropic glutamate receptor binding {GO:0035255}; K63-linked polyubiquitin modification-dependent protein binding {GO:0070530}; protein kinase binding {GO:0019901}; protein kinase C binding {GO:0005080}; protein-containing complex binding {GO:0044877}; SH2 domain binding {GO:0042169}; transcription coregulator activity {GO:0003712}; ubiquitin binding {GO:0043130}; ubiquitin protein ligase binding {GO:0031625}; zinc ion binding {GO:0008270}</t>
  </si>
  <si>
    <t>NRIF signals cell death from the nucleus {R-MMU-205043}; p75NTR recruits signalling complexes {R-MMU-209543}; NF-kB is activated and signals survival {R-MMU-209560}; PINK1-PRKN Mediated Mitophagy {R-MMU-5205685}; Interleukin-1 signaling {R-MMU-9020702}; Pexophagy {R-MMU-9664873}; KEAP1-NFE2L2 pathway {R-MMU-9755511}</t>
  </si>
  <si>
    <t>sp|Q80U58|PUM2_MOUSE</t>
  </si>
  <si>
    <t>Pumilio homolog 2</t>
  </si>
  <si>
    <t>PUM2_MOUSE</t>
  </si>
  <si>
    <t>Q80U58</t>
  </si>
  <si>
    <t>Q80UZ9; Q91YW4; Q925A0; Q9ERC7</t>
  </si>
  <si>
    <t>Kiaa0235</t>
  </si>
  <si>
    <t>MGI:1931751</t>
  </si>
  <si>
    <t>3D-structure; Alternative splicing; Cytoplasm; Methylation; Phosphoprotein; Repeat; RNA-binding; Translation regulation</t>
  </si>
  <si>
    <t>adipose tissue development {GO:0060612}; chromosome organization {GO:0051276}; hair follicle development {GO:0001942}; miRNA processing {GO:0035196}; mitochondrion organization {GO:0007005}; positive regulation of miRNA-mediated gene silencing {GO:2000637}; positive regulation of RIG-I signaling pathway {GO:1900246}; post-transcriptional regulation of gene expression {GO:0010608}; regulation of chromosome segregation {GO:0051983}; regulation of mRNA stability {GO:0043488}; regulation of translation {GO:0006417}; respiratory electron transport chain {GO:0022904}; skeletal system development {GO:0001501}; stress granule assembly {GO:0034063}</t>
  </si>
  <si>
    <t>cytoplasm {GO:0005737}; cytoplasmic stress granule {GO:0010494}; cytosol {GO:0005829}; nuclear membrane {GO:0031965}; perinuclear region of cytoplasm {GO:0048471}</t>
  </si>
  <si>
    <t>lncRNA binding {GO:0106222}; miRNA binding {GO:0035198}; mRNA 3'-UTR binding {GO:0003730}; mRNA binding {GO:0003729}; pumilio-response element binding {GO:0062104}; RNA binding {GO:0003723}</t>
  </si>
  <si>
    <t>sp|Q91XU3|PI42C_MOUSE</t>
  </si>
  <si>
    <t>Phosphatidylinositol 5-phosphate 4-kinase type-2 gamma</t>
  </si>
  <si>
    <t>Phosphatidylinositol 5-phosphate 4-kinase type II gamma (PI(5)P 4-kinase type II gamma; PIP4KII-gamma)</t>
  </si>
  <si>
    <t>PI42C_MOUSE</t>
  </si>
  <si>
    <t>Q91XU3</t>
  </si>
  <si>
    <t>Q3UFU5; Q99K02</t>
  </si>
  <si>
    <t>Pip5k2c</t>
  </si>
  <si>
    <t>MGI:2152214</t>
  </si>
  <si>
    <t>Acetylation; ATP-binding; Cytoplasm; Endoplasmic reticulum; Kinase; Lipid metabolism; Nucleotide-binding; Phosphoprotein; Transferase</t>
  </si>
  <si>
    <t>1-phosphatidyl-1D-myo-inositol 4,5-bisphosphate biosynthetic process {GO:1902635}; negative regulation of 1-phosphatidylinositol-4-phosphate 5-kinase activity {GO:0090217}; negative regulation of insulin receptor signaling pathway {GO:0046627}; phosphatidylinositol phosphate biosynthetic process {GO:0046854}; phosphorylation {GO:0016310}; positive regulation of autophagosome assembly {GO:2000786}; regulation of autophagy {GO:0010506}</t>
  </si>
  <si>
    <t>autophagosome {GO:0005776}; cytosol {GO:0005829}; endoplasmic reticulum {GO:0005783}; intracellular organelle {GO:0043229}; nucleoplasm {GO:0005654}; plasma membrane {GO:0005886}</t>
  </si>
  <si>
    <t>1-phosphatidylinositol-4-phosphate 5-kinase activity {GO:0016308}; 1-phosphatidylinositol-5-phosphate 4-kinase activity {GO:0016309}; ATP binding {GO:0005524}; identical protein binding {GO:0042802}</t>
  </si>
  <si>
    <t>sp|Q8BJS4|SUN2_MOUSE</t>
  </si>
  <si>
    <t>SUN domain-containing protein 2</t>
  </si>
  <si>
    <t>Protein unc-84 homolog B; Sad1/unc-84 protein-like 2</t>
  </si>
  <si>
    <t>SUN2_MOUSE</t>
  </si>
  <si>
    <t>Q8BJS4</t>
  </si>
  <si>
    <t>Q3TBU0; Q3U160; Q6B4H2</t>
  </si>
  <si>
    <t>Unc84b</t>
  </si>
  <si>
    <t>MGI:2443011</t>
  </si>
  <si>
    <t>3D-structure; Alternative splicing; Coiled coil; Disulfide bond; Endosome; Glycoprotein; Meiosis; Membrane; Nucleus; Phosphoprotein; Signal-anchor; Transmembrane; Transmembrane helix</t>
  </si>
  <si>
    <t>Endosome; Membrane; Nucleus</t>
  </si>
  <si>
    <t>centrosome localization {GO:0051642}; meiotic cell cycle {GO:0051321}; nuclear envelope organization {GO:0006998}; nuclear matrix anchoring at nuclear membrane {GO:0090292}; nuclear migration along microfilament {GO:0031022}; nucleokinesis involved in cell motility in cerebral cortex radial glia guided migration {GO:0021817}; positive regulation of cell migration {GO:0030335}</t>
  </si>
  <si>
    <t>chromosome, telomeric region {GO:0000781}; condensed nuclear chromosome {GO:0000794}; endosome membrane {GO:0010008}; integral component of nuclear inner membrane {GO:0005639}; meiotic nuclear membrane microtubule tethering complex {GO:0034993}; nuclear envelope {GO:0005635}; nuclear inner membrane {GO:0005637}; nuclear membrane {GO:0031965}</t>
  </si>
  <si>
    <t>cytoskeleton-nuclear membrane anchor activity {GO:0140444}; identical protein binding {GO:0042802}; lamin binding {GO:0005521}; protein-membrane adaptor activity {GO:0043495}</t>
  </si>
  <si>
    <t>sp|Q8JZZ7|AGRL2_MOUSE</t>
  </si>
  <si>
    <t>Adhesion G protein-coupled receptor L2</t>
  </si>
  <si>
    <t>Calcium-independent alpha-latrotoxin receptor 2 (CIRL-2); Latrophilin-2</t>
  </si>
  <si>
    <t>AGRL2_MOUSE</t>
  </si>
  <si>
    <t>Q8JZZ7</t>
  </si>
  <si>
    <t>E9Q6C7; Q8BM90</t>
  </si>
  <si>
    <t>Kiaa0786; Lphn2</t>
  </si>
  <si>
    <t>MGI:2139714</t>
  </si>
  <si>
    <t>3D-structure; Alternative splicing; G-protein coupled receptor; Glycoprotein; Membrane; Phosphoprotein; Receptor; Signal; Transducer; Transmembrane; Transmembrane helix</t>
  </si>
  <si>
    <t>adenylate cyclase-activating G protein-coupled receptor signaling pathway {GO:0007189}; brain development {GO:0007420}; cell surface receptor signaling pathway {GO:0007166}; positive regulation of synapse assembly {GO:0051965}; response to bacterium {GO:0009617}; synapse organization {GO:0050808}</t>
  </si>
  <si>
    <t>glutamatergic synapse {GO:0098978}; integral component of plasma membrane {GO:0005887}; integral component of postsynaptic membrane {GO:0099055}; neuron projection {GO:0043005}</t>
  </si>
  <si>
    <t>carbohydrate binding {GO:0030246}; G protein-coupled receptor activity {GO:0004930}; PDZ domain binding {GO:0030165}</t>
  </si>
  <si>
    <t>sp|Q80X41|VRK1_MOUSE</t>
  </si>
  <si>
    <t>Serine/threonine-protein kinase VRK1</t>
  </si>
  <si>
    <t>Serine/threonine-protein kinase 51PK; Vaccinia-related kinase 1</t>
  </si>
  <si>
    <t>VRK1_MOUSE</t>
  </si>
  <si>
    <t>Q80X41</t>
  </si>
  <si>
    <t>O88635; O88636; Q8C2P7; Q91YH9</t>
  </si>
  <si>
    <t>MGI:1261847</t>
  </si>
  <si>
    <t>Alternative splicing; ATP-binding; Cell cycle; Cell division; Cytoplasm; Isopeptide bond; Kinase; Mitosis; Nucleotide-binding; Nucleus; Phosphoprotein; Serine/threonine-protein kinase; Transferase; Ubl conjugation</t>
  </si>
  <si>
    <t>cell cycle {GO:0007049}; cell division {GO:0051301}; cellular response to DNA damage stimulus {GO:0006974}; Golgi disassembly {GO:0090166}; peptidyl-serine phosphorylation {GO:0018105}; positive regulation of protein localization to chromatin {GO:0120187}; protein autophosphorylation {GO:0046777}; protein phosphorylation {GO:0006468}; signal transduction {GO:0007165}</t>
  </si>
  <si>
    <t>cytoplasm {GO:0005737}; cytosol {GO:0005829}; Golgi stack {GO:0005795}; nucleolus {GO:0005730}; nucleoplasm {GO:0005654}; nucleus {GO:0005634}</t>
  </si>
  <si>
    <t>ATP binding {GO:0005524}; histone binding {GO:0042393}; histone kinase activity (H3-S10 specific) {GO:0035175}; histone kinase activity (H3-T3 specific) {GO:0072354}; protein kinase activity {GO:0004672}; protein kinase binding {GO:0019901}; protein serine kinase activity {GO:0106310}; protein serine/threonine kinase activity {GO:0004674}</t>
  </si>
  <si>
    <t>sp|Q9D3D0|TTPAL_MOUSE</t>
  </si>
  <si>
    <t>Alpha-tocopherol transfer protein-like</t>
  </si>
  <si>
    <t>TTPAL_MOUSE</t>
  </si>
  <si>
    <t>Q9D3D0</t>
  </si>
  <si>
    <t>A6PW51; Q3U0R3; Q7TS94</t>
  </si>
  <si>
    <t>MGI:1923330</t>
  </si>
  <si>
    <t>Alternative splicing; Transport</t>
  </si>
  <si>
    <t>phosphatidylinositol bisphosphate binding {GO:1902936}</t>
  </si>
  <si>
    <t>sp|O54916|REPS1_MOUSE</t>
  </si>
  <si>
    <t>RalBP1-associated Eps domain-containing protein 1</t>
  </si>
  <si>
    <t>RalBP1-interacting protein 1</t>
  </si>
  <si>
    <t>REPS1_MOUSE</t>
  </si>
  <si>
    <t>O54916</t>
  </si>
  <si>
    <t>Q3UAM3; Q5PPQ9; Q8C9J9; Q99LR8</t>
  </si>
  <si>
    <t>MGI:1196373</t>
  </si>
  <si>
    <t>3D-structure; Alternative splicing; Calcium; Coated pit; Coiled coil; Membrane; Metal-binding; Phosphoprotein; Repeat</t>
  </si>
  <si>
    <t>endocytosis {GO:0006897}; endosomal transport {GO:0016197}; receptor-mediated endocytosis {GO:0006898}</t>
  </si>
  <si>
    <t>clathrin-coated pit {GO:0005905}; plasma membrane {GO:0005886}</t>
  </si>
  <si>
    <t>calcium ion binding {GO:0005509}; SH3 domain binding {GO:0017124}</t>
  </si>
  <si>
    <t>sp|A6H6E2|MMRN2_MOUSE</t>
  </si>
  <si>
    <t>Multimerin-2</t>
  </si>
  <si>
    <t>MMRN2_MOUSE</t>
  </si>
  <si>
    <t>A6H6E2</t>
  </si>
  <si>
    <t>Q8BJX4; Q8K1Z7</t>
  </si>
  <si>
    <t>MGI:2385618</t>
  </si>
  <si>
    <t>Alternative splicing; Angiogenesis; Coiled coil; Disulfide bond; Extracellular matrix; Glycoprotein; Secreted; Signal</t>
  </si>
  <si>
    <t>cell adhesion {GO:0007155}; cell migration involved in sprouting angiogenesis {GO:0002042}; negative regulation of blood vessel endothelial cell proliferation involved in sprouting angiogenesis {GO:1903588}; negative regulation of cell migration {GO:0030336}; negative regulation of cell migration involved in sprouting angiogenesis {GO:0090051}; negative regulation of cell population proliferation {GO:0008285}; negative regulation of vascular endothelial growth factor receptor signaling pathway {GO:0030948}; positive regulation of defense response to bacterium {GO:1900426}; positive regulation of epithelial tube formation {GO:1905278}; positive regulation of morphogenesis of an epithelium {GO:1905332}</t>
  </si>
  <si>
    <t>basement membrane {GO:0005604}; collagen-containing extracellular matrix {GO:0062023}; extracellular matrix {GO:0031012}; extracellular space {GO:0005615}; multimerin complex {GO:1990972}</t>
  </si>
  <si>
    <t>sp|Q8C669|PELI1_MOUSE</t>
  </si>
  <si>
    <t>E3 ubiquitin-protein ligase pellino homolog 1 (Pellino-1)</t>
  </si>
  <si>
    <t>RING-type E3 ubiquitin transferase pellino homolog 1</t>
  </si>
  <si>
    <t>PELI1_MOUSE</t>
  </si>
  <si>
    <t>Q8C669</t>
  </si>
  <si>
    <t>Q91YL9; Q9CV22; Q9ERJ8</t>
  </si>
  <si>
    <t>MGI:1914495</t>
  </si>
  <si>
    <t>Phosphoprotein; Transferase; Ubl conjugation; Ubl conjugation pathway</t>
  </si>
  <si>
    <t>negative regulation of necroptotic process {GO:0060546}; negative regulation of NF-kappaB transcription factor activity {GO:0032088}; negative regulation of T cell activation {GO:0050868}; negative regulation of T cell proliferation {GO:0042130}; positive regulation of B cell activation {GO:0050871}; positive regulation of B cell proliferation {GO:0030890}; positive regulation of cytokine production {GO:0001819}; positive regulation of I-kappaB kinase/NF-kappaB signaling {GO:0043123}; positive regulation of protein ubiquitination {GO:0031398}; positive regulation of toll-like receptor 3 signaling pathway {GO:0034141}; positive regulation of toll-like receptor 4 signaling pathway {GO:0034145}; proteasome-mediated ubiquitin-dependent protein catabolic process {GO:0043161}; protein K48-linked ubiquitination {GO:0070936}; protein K63-linked ubiquitination {GO:0070534}; protein polyubiquitination {GO:0000209}; regulation of Toll signaling pathway {GO:0008592}; response to dsRNA {GO:0043331}; response to lipopolysaccharide {GO:0032496}; T cell activation {GO:0042110}; T cell proliferation {GO:0042098}</t>
  </si>
  <si>
    <t>Regulation of necroptotic cell death {R-MMU-5675482}; Interleukin-1 signaling {R-MMU-9020702}; IRAK1 recruits IKK complex {R-MMU-937039}; IRAK1 recruits IKK complex upon TLR7/8 or 9 stimulation {R-MMU-975144}</t>
  </si>
  <si>
    <t>sp|Q9D8Z1|ASCC1_MOUSE</t>
  </si>
  <si>
    <t>Activating signal cointegrator 1 complex subunit 1</t>
  </si>
  <si>
    <t>ASC-1 complex subunit p50; Trip4 complex subunit p50</t>
  </si>
  <si>
    <t>ASCC1_MOUSE</t>
  </si>
  <si>
    <t>Q9D8Z1</t>
  </si>
  <si>
    <t>Q3TAC2</t>
  </si>
  <si>
    <t>MGI:1916340</t>
  </si>
  <si>
    <t>DNA damage; DNA repair; Nucleus; Transcription; Transcription regulation</t>
  </si>
  <si>
    <t>DNA repair {GO:0006281}; regulation of DNA-templated transcription {GO:0006355}</t>
  </si>
  <si>
    <t>DNA repair complex {GO:1990391}; neuromuscular junction {GO:0031594}; nuclear speck {GO:0016607}; nucleus {GO:0005634}; transcription regulator complex {GO:0005667}</t>
  </si>
  <si>
    <t>sp|Q8R550|SH3K1_MOUSE</t>
  </si>
  <si>
    <t>SH3 domain-containing kinase-binding protein 1</t>
  </si>
  <si>
    <t>Regulator of ubiquitous kinase (Ruk); SH3-containing, expressed in tumorigenic astrocytes</t>
  </si>
  <si>
    <t>SH3K1_MOUSE</t>
  </si>
  <si>
    <t>Q8R550</t>
  </si>
  <si>
    <t>B1AZ86; B1AZ87; Q8CAL8; Q8CEF6; Q8R545; Q8R546; Q8R547; Q8R548; Q8R549; Q8R551; Q9CTQ9; Q9DC14; Q9JKC3</t>
  </si>
  <si>
    <t>Ruk; Seta</t>
  </si>
  <si>
    <t>MGI:1889583</t>
  </si>
  <si>
    <t>3D-structure; Alternative splicing; Apoptosis; Cell junction; Coiled coil; Cytoplasm; Cytoplasmic vesicle; Cytoskeleton; Endocytosis; Membrane; Phosphoprotein; Repeat; SH3 domain; SH3-binding; Synapse; Synaptosome; Ubl conjugation</t>
  </si>
  <si>
    <t>Apoptosis; Endocytosis</t>
  </si>
  <si>
    <t>Cell junction; Cytoplasm; Cytoplasmic vesicle; Cytoskeleton; Membrane; Synapse; Synaptosome</t>
  </si>
  <si>
    <t>actin filament organization {GO:0007015}; apoptotic process {GO:0006915}; cell migration {GO:0016477}; cytoskeleton organization {GO:0007010}; endocytosis {GO:0006897}; positive regulation of B cell activation {GO:0050871}; regulation of cell shape {GO:0008360}</t>
  </si>
  <si>
    <t>cell-cell junction {GO:0005911}; cytoplasm {GO:0005737}; cytoplasmic vesicle membrane {GO:0030659}; cytoskeleton {GO:0005856}; endocytic vesicle {GO:0030139}; focal adhesion {GO:0005925}; neuron projection {GO:0043005}; synapse {GO:0045202}</t>
  </si>
  <si>
    <t>SH3 domain binding {GO:0017124}; ubiquitin protein ligase binding {GO:0031625}</t>
  </si>
  <si>
    <t>EGFR downregulation {R-MMU-182971}; Negative regulation of MET activity {R-MMU-6807004}; Cargo recognition for clathrin-mediated endocytosis {R-MMU-8856825}; Clathrin-mediated endocytosis {R-MMU-8856828}; Reelin signalling pathway {R-MMU-8866376}; Antigen activates B Cell Receptor (BCR) leading to generation of second messengers {R-MMU-983695}</t>
  </si>
  <si>
    <t>sp|Q6VNB8|WDFY3_MOUSE</t>
  </si>
  <si>
    <t>WD repeat and FYVE domain-containing protein 3</t>
  </si>
  <si>
    <t>Beach domain, WD repeat and FYVE domain-containing protein 1 (BWF1)</t>
  </si>
  <si>
    <t>WDFY3_MOUSE</t>
  </si>
  <si>
    <t>Q6VNB8</t>
  </si>
  <si>
    <t>Q8C8H7</t>
  </si>
  <si>
    <t>MGI:1096875</t>
  </si>
  <si>
    <t>Alternative splicing; Autophagy; Cell projection; Cytoplasm; Developmental protein; Lipid-binding; Membrane; Metal-binding; Nucleus; Phosphoprotein; Repeat; WD repeat; Zinc; Zinc-finger</t>
  </si>
  <si>
    <t>Cell projection; Cytoplasm; Membrane; Nucleus</t>
  </si>
  <si>
    <t>Repeat; WD repeat; Zinc-finger</t>
  </si>
  <si>
    <t>aggrephagy {GO:0035973}</t>
  </si>
  <si>
    <t>Atg12-Atg5-Atg16 complex {GO:0034274}; autophagosome {GO:0005776}; axon {GO:0030424}; cytoplasm {GO:0005737}; cytosol {GO:0005829}; extrinsic component of autophagosome membrane {GO:0097635}; extrinsic component of membrane {GO:0019898}; inclusion body {GO:0016234}; nuclear envelope {GO:0005635}; nucleolus {GO:0005730}; nucleoplasm {GO:0005654}; perikaryon {GO:0043204}; plasma membrane {GO:0005886}; PML body {GO:0016605}</t>
  </si>
  <si>
    <t>1-phosphatidylinositol binding {GO:0005545}; beta-N-acetylglucosaminylglycopeptide beta-1,4-galactosyltransferase activity {GO:0003831}; metal ion binding {GO:0046872}</t>
  </si>
  <si>
    <t>sp|P02816|PIP_MOUSE</t>
  </si>
  <si>
    <t>Prolactin-inducible protein homolog</t>
  </si>
  <si>
    <t>14 kDa submandibular gland protein (SMGP); Gross cystic disease fluid protein 15 (GCDFP-15); Prolactin-induced protein</t>
  </si>
  <si>
    <t>PIP_MOUSE</t>
  </si>
  <si>
    <t>P02816</t>
  </si>
  <si>
    <t>Q64013; Q8K127; Q9QUG8</t>
  </si>
  <si>
    <t>MGI:102696</t>
  </si>
  <si>
    <t>Disulfide bond; Pyrrolidone carboxylic acid; Secreted; Signal</t>
  </si>
  <si>
    <t>Disulfide bond; Pyrrolidone carboxylic acid</t>
  </si>
  <si>
    <t>detection of chemical stimulus involved in sensory perception of bitter taste {GO:0001580}; negative regulation of T cell apoptotic process {GO:0070233}; positive regulation of gene expression {GO:0010628}; proteolysis {GO:0006508}; regulation of immune system process {GO:0002682}</t>
  </si>
  <si>
    <t>apical plasma membrane {GO:0016324}; extracellular region {GO:0005576}; extracellular space {GO:0005615}; nucleus {GO:0005634}</t>
  </si>
  <si>
    <t>aspartic-type endopeptidase activity {GO:0004190}; identical protein binding {GO:0042802}; IgG binding {GO:0019864}</t>
  </si>
  <si>
    <t>sp|Q9Z266|SNAPN_MOUSE</t>
  </si>
  <si>
    <t>SNARE-associated protein Snapin</t>
  </si>
  <si>
    <t>Biogenesis of lysosome-related organelles complex 1 subunit 7 (BLOC-1 subunit 7); Synaptosomal-associated protein 25-binding protein (SNAP-associated protein)</t>
  </si>
  <si>
    <t>SNAPN_MOUSE</t>
  </si>
  <si>
    <t>Q9Z266</t>
  </si>
  <si>
    <t>Q3U8V4; Q922V7</t>
  </si>
  <si>
    <t>Bloc1s7; Snap25bp; Snapap</t>
  </si>
  <si>
    <t>MGI:1333745</t>
  </si>
  <si>
    <t>Acetylation; Alternative splicing; Coiled coil; Cytoplasm; Cytoplasmic vesicle; Exocytosis; Golgi apparatus; Lysosome; Membrane; Phosphoprotein; Synapse</t>
  </si>
  <si>
    <t>Cytoplasm; Cytoplasmic vesicle; Golgi apparatus; Lysosome; Membrane; Synapse</t>
  </si>
  <si>
    <t>anterograde axonal transport {GO:0008089}; anterograde synaptic vesicle transport {GO:0048490}; autophagosome maturation {GO:0097352}; calcium-ion regulated exocytosis {GO:0017156}; chemical synaptic transmission {GO:0007268}; endosome to lysosome transport {GO:0008333}; establishment of vesicle localization {GO:0051650}; intracellular protein transport {GO:0006886}; late endosome to lysosome transport {GO:1902774}; lysosomal lumen acidification {GO:0007042}; lysosome localization {GO:0032418}; lysosome organization {GO:0007040}; melanosome organization {GO:0032438}; negative regulation of neuron projection development {GO:0010977}; neuron cellular homeostasis {GO:0070050}; neuron projection development {GO:0031175}; organelle transport along microtubule {GO:0072384}; protein maturation {GO:0051604}; protein-containing complex localization {GO:0031503}; regulation of endosome size {GO:0051036}; regulation of lysosome size {GO:0062196}; regulation of protein binding {GO:0043393}; regulation of synaptic vesicle exocytosis {GO:2000300}; retrograde axonal transport {GO:0008090}; synaptic vesicle exocytosis {GO:0016079}; synaptic vesicle fusion to presynaptic active zone membrane {GO:0031629}; synaptic vesicle maturation {GO:0016188}; synaptic vesicle transport {GO:0048489}; terminal button organization {GO:0072553}</t>
  </si>
  <si>
    <t>acrosomal vesicle {GO:0001669}; anchoring junction {GO:0070161}; axon cytoplasm {GO:1904115}; BLOC-1 complex {GO:0031083}; BORC complex {GO:0099078}; cytoplasmic side of lysosomal membrane {GO:0098574}; cytoplasmic vesicle {GO:0031410}; cytosol {GO:0005829}; Golgi membrane {GO:0000139}; manchette {GO:0002177}; perinuclear region of cytoplasm {GO:0048471}; secretory granule {GO:0030141}; synapse {GO:0045202}; synaptic vesicle {GO:0008021}; synaptic vesicle membrane {GO:0030672}</t>
  </si>
  <si>
    <t>sp|Q9ET47|ESPN_MOUSE</t>
  </si>
  <si>
    <t>Espin</t>
  </si>
  <si>
    <t>Ectoplasmic specialization protein</t>
  </si>
  <si>
    <t>ESPN_MOUSE</t>
  </si>
  <si>
    <t>Q9ET47</t>
  </si>
  <si>
    <t>A2AK06; A2AK09; A2AK13; B1AWP3; B1AWP6; B1AWQ2; Q6GYS0; Q6GYS1; Q80ZC0; Q80ZC1; Q80ZC2; Q80ZC3; Q9QY27</t>
  </si>
  <si>
    <t>MGI:1861630</t>
  </si>
  <si>
    <t>3D-structure; Actin-binding; Alternative splicing; ANK repeat; Cell junction; Cell projection; Coiled coil; Cytoplasm; Cytoskeleton; Hearing; Phosphoprotein; Repeat; Synapse</t>
  </si>
  <si>
    <t>actin filament bundle assembly {GO:0051017}; actin filament network formation {GO:0051639}; locomotory behavior {GO:0007626}; microvillar actin bundle assembly {GO:0030034}; negative regulation of cytoskeleton organization {GO:0051494}; parallel actin filament bundle assembly {GO:0030046}; positive regulation of filopodium assembly {GO:0051491}; sensory perception of sound {GO:0007605}</t>
  </si>
  <si>
    <t>actin cytoskeleton {GO:0015629}; anchoring junction {GO:0070161}; brush border {GO:0005903}; cytoplasm {GO:0005737}; cytosol {GO:0005829}; dendritic spine {GO:0043197}; filamentous actin {GO:0031941}; microvillus {GO:0005902}; stereocilium {GO:0032420}; stereocilium bundle {GO:0032421}; stereocilium tip {GO:0032426}</t>
  </si>
  <si>
    <t>actin filament binding {GO:0051015}; SH3 domain binding {GO:0017124}</t>
  </si>
  <si>
    <t>sp|Q9CQU3|RER1_MOUSE</t>
  </si>
  <si>
    <t>Protein RER1</t>
  </si>
  <si>
    <t>RER1_MOUSE</t>
  </si>
  <si>
    <t>Q9CQU3</t>
  </si>
  <si>
    <t>Q3THP4</t>
  </si>
  <si>
    <t>MGI:1915080</t>
  </si>
  <si>
    <t>Acetylation; Golgi apparatus; Membrane; Phosphoprotein; Transmembrane; Transmembrane helix</t>
  </si>
  <si>
    <t>neuromuscular junction development {GO:0007528}; positive regulation of protein localization to plasma membrane {GO:1903078}; protein retention in ER lumen {GO:0006621}; retrograde vesicle-mediated transport, Golgi to endoplasmic reticulum {GO:0006890}; skeletal muscle acetylcholine-gated channel clustering {GO:0071340}</t>
  </si>
  <si>
    <t>cell surface {GO:0009986}; endoplasmic reticulum {GO:0005783}; endoplasmic reticulum-Golgi intermediate compartment {GO:0005793}; Golgi apparatus {GO:0005794}; integral component of Golgi membrane {GO:0030173}; plasma membrane {GO:0005886}</t>
  </si>
  <si>
    <t>acetylcholine receptor binding {GO:0033130}</t>
  </si>
  <si>
    <t>tr|Q6NZL1|Q6NZL1_MOUSE</t>
  </si>
  <si>
    <t>sp|E9Q7E2|ARID2_MOUSE</t>
  </si>
  <si>
    <t>AT-rich interactive domain-containing protein 2 (ARID domain-containing protein 2)</t>
  </si>
  <si>
    <t>BRG1-associated factor 200 (BAF200); Zinc finger protein with activation potential; Zipzap/p200</t>
  </si>
  <si>
    <t>ARID2_MOUSE</t>
  </si>
  <si>
    <t>E9Q7E2</t>
  </si>
  <si>
    <t>MGI:1924294</t>
  </si>
  <si>
    <t>Acetylation; Chromatin regulator; DNA-binding; Isopeptide bond; Metal-binding; Nucleus; Phosphoprotein; Transcription; Transcription regulation; Ubl conjugation; Zinc; Zinc-finger</t>
  </si>
  <si>
    <t>cardiac muscle cell proliferation {GO:0060038}; chromatin remodeling {GO:0006338}; circulatory system development {GO:0072359}; coronary artery morphogenesis {GO:0060982}; embryonic organ development {GO:0048568}; heart morphogenesis {GO:0003007}; homeostatic process {GO:0042592}; negative regulation of cell migration {GO:0030336}; negative regulation of cell population proliferation {GO:0008285}; nucleosome disassembly {GO:0006337}; positive regulation of cell differentiation {GO:0045597}; positive regulation of double-strand break repair {GO:2000781}; positive regulation of double-strand break repair via homologous recombination {GO:1905168}; positive regulation of myoblast differentiation {GO:0045663}; positive regulation of T cell differentiation {GO:0045582}; positive regulation of transcription by RNA polymerase II {GO:0045944};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</t>
  </si>
  <si>
    <t>chromatin {GO:0000785}; kinetochore {GO:0000776}; nuclear matrix {GO:0016363}; nucleoplasm {GO:0005654}; plasma membrane {GO:0005886}; RSC-type complex {GO:0016586}; SWI/SNF complex {GO:0016514}; transcription regulator complex {GO:0005667}</t>
  </si>
  <si>
    <t>sp|Q3TX08|TRM1_MOUSE</t>
  </si>
  <si>
    <t>tRNA (guanine(26)-N(2))-dimethyltransferase</t>
  </si>
  <si>
    <t>tRNA 2,2-dimethylguanosine-26 methyltransferase; tRNA(guanine-26,N(2)-N(2)) methyltransferase; tRNA(m(2,2)G26)dimethyltransferase</t>
  </si>
  <si>
    <t>TRM1_MOUSE</t>
  </si>
  <si>
    <t>Q3TX08</t>
  </si>
  <si>
    <t>Q3TBY4</t>
  </si>
  <si>
    <t>D8Ertd812e</t>
  </si>
  <si>
    <t>MGI:1289155</t>
  </si>
  <si>
    <t>Metal-binding; Methyltransferase; Phosphoprotein; RNA-binding; S-adenosyl-L-methionine; Transferase; tRNA processing; tRNA-binding; Zinc; Zinc-finger</t>
  </si>
  <si>
    <t>tRNA N2-guanine methylation {GO:0002940}</t>
  </si>
  <si>
    <t>sp|Q9JIZ9|PLS3_MOUSE</t>
  </si>
  <si>
    <t>Phospholipid scramblase 3 (PL scramblase 3)</t>
  </si>
  <si>
    <t>Ca(2+)-dependent phospholipid scramblase 3</t>
  </si>
  <si>
    <t>PLS3_MOUSE</t>
  </si>
  <si>
    <t>Q9JIZ9</t>
  </si>
  <si>
    <t>MGI:1917560</t>
  </si>
  <si>
    <t>Apoptosis; Calcium; Lipid transport; Lipoprotein; Membrane; Mitochondrion; Mitochondrion inner membrane; Nucleus; Palmitate; Repeat; SH3-binding; Transmembrane; Transmembrane helix; Transport</t>
  </si>
  <si>
    <t>Repeat; SH3-binding; Transmembrane; Transmembrane helix</t>
  </si>
  <si>
    <t>apoptotic process {GO:0006915}; cardiolipin biosynthetic process {GO:0032049}; cellular response to lipopolysaccharide {GO:0071222}; cholesterol homeostasis {GO:0042632}; glucose homeostasis {GO:0042593}; plasma membrane phospholipid scrambling {GO:0017121}; regulation of apoptotic process {GO:0042981}; regulation of release of cytochrome c from mitochondria {GO:0090199}</t>
  </si>
  <si>
    <t>cytosol {GO:0005829}; integral component of membrane {GO:0016021}; mitochondrial inner membrane {GO:0005743}; mitochondrion {GO:0005739}; nucleus {GO:0005634}; plasma membrane {GO:0005886}</t>
  </si>
  <si>
    <t>calcium ion binding {GO:0005509}; calcium-dependent protein binding {GO:0048306}; lead ion binding {GO:0032791}; magnesium ion binding {GO:0000287}; mercury ion binding {GO:0045340}; phospholipid scramblase activity {GO:0017128}; protein self-association {GO:0043621}; SH3 domain binding {GO:0017124}</t>
  </si>
  <si>
    <t>sp|Q9CPR5|RM15_MOUSE</t>
  </si>
  <si>
    <t>39S ribosomal protein L15, mitochondrial (L15mt; MRP-L15)</t>
  </si>
  <si>
    <t>RM15_MOUSE</t>
  </si>
  <si>
    <t>Q9CPR5</t>
  </si>
  <si>
    <t>Q3UBN5; Q9CPP5; Q9CRH4</t>
  </si>
  <si>
    <t>MGI:1351639</t>
  </si>
  <si>
    <t>Alternative splicing; Mitochondrion; Ribonucleoprotein; Ribosomal protein; Transit peptide</t>
  </si>
  <si>
    <t>cellular response to leukemia inhibitory factor {GO:1990830}; mitochondrial genome maintenance {GO:0000002}; mitochondrial translation {GO:0032543}; translation {GO:0006412}</t>
  </si>
  <si>
    <t>sp|Q8K3X4|I2BPL_MOUSE</t>
  </si>
  <si>
    <t>Probable E3 ubiquitin-protein ligase IRF2BPL</t>
  </si>
  <si>
    <t>Enhanced at puberty protein 1; Interferon regulatory factor 2-binding protein-like</t>
  </si>
  <si>
    <t>I2BPL_MOUSE</t>
  </si>
  <si>
    <t>Q8K3X4</t>
  </si>
  <si>
    <t>Q3TBU9; Q3U483; Q3USE5; Q69Z84; Q8BUS1; Q8C011</t>
  </si>
  <si>
    <t>Eap1; Kiaa1865</t>
  </si>
  <si>
    <t>MGI:2442463</t>
  </si>
  <si>
    <t>Coiled coil; Isopeptide bond; Metal-binding; Nucleus; Phosphoprotein; Transferase; Ubl conjugation; Zinc; Zinc-finger</t>
  </si>
  <si>
    <t>development of secondary female sexual characteristics {GO:0046543}; negative regulation of transcription by RNA polymerase II {GO:0000122}; nervous system development {GO:0007399}; positive regulation of transcription by RNA polymerase II {GO:0045944}; regulation of transcription by RNA polymerase II {GO:0006357}</t>
  </si>
  <si>
    <t>sp|Q811U4|MFN1_MOUSE</t>
  </si>
  <si>
    <t>Mitofusin-1</t>
  </si>
  <si>
    <t>Transmembrane GTPase MFN1</t>
  </si>
  <si>
    <t>MFN1_MOUSE</t>
  </si>
  <si>
    <t>Q811U4</t>
  </si>
  <si>
    <t>Q3URC4; Q811D5; Q8CEY6; Q99M10; Q9D395</t>
  </si>
  <si>
    <t>MGI:1914664</t>
  </si>
  <si>
    <t>3D-structure; Coiled coil; Developmental protein; GTP-binding; Hydrolase; Membrane; Mitochondrion; Mitochondrion outer membrane; Nucleotide-binding; Transmembrane; Transmembrane helix; Ubl conjugation</t>
  </si>
  <si>
    <t>GTP metabolic process {GO:0046039}; intracellular distribution of mitochondria {GO:0048312}; mitochondrial fusion {GO:0008053}; mitochondrion localization {GO:0051646}; mitochondrion morphogenesis {GO:0070584}; negative regulation of mitochondrial fission {GO:0090258}; positive regulation of dendritic spine morphogenesis {GO:0061003}; positive regulation of mitochondrial fusion {GO:0010636}; positive regulation of mitochondrial membrane potential {GO:0010918}</t>
  </si>
  <si>
    <t>integral component of membrane {GO:0016021}; integral component of mitochondrial outer membrane {GO:0031307}; intrinsic component of mitochondrial outer membrane {GO:0031306}; mitochondrial inner membrane {GO:0005743}; mitochondrial outer membrane {GO:0005741}; mitochondrion {GO:0005739}; outer mitochondrial membrane protein complex {GO:0098799}</t>
  </si>
  <si>
    <t>sp|Q9JKW0|AR6P1_MOUSE</t>
  </si>
  <si>
    <t>ADP-ribosylation factor-like protein 6-interacting protein 1 (ARL-6-interacting protein 1; Aip-1)</t>
  </si>
  <si>
    <t>Protein TBX2</t>
  </si>
  <si>
    <t>AR6P1_MOUSE</t>
  </si>
  <si>
    <t>Q9JKW0</t>
  </si>
  <si>
    <t>Q9JLI9; Q9WUG3</t>
  </si>
  <si>
    <t>Arl6ip</t>
  </si>
  <si>
    <t>MGI:1858943</t>
  </si>
  <si>
    <t>Apoptosis; Endoplasmic reticulum; Membrane; Transmembrane; Transmembrane helix</t>
  </si>
  <si>
    <t>apoptotic process {GO:0006915}; cotranslational protein targeting to membrane {GO:0006613}; endoplasmic reticulum tubular network formation {GO:0071787}; endoplasmic reticulum tubular network membrane organization {GO:1990809}; negative regulation of apoptotic process {GO:0043066}; negative regulation of cysteine-type endopeptidase activity involved in apoptotic process {GO:0043154}; positive regulation of L-glutamate import across plasma membrane {GO:0002038}; regulation of endoplasmic reticulum tubular network organization {GO:1903371}</t>
  </si>
  <si>
    <t>cytoplasm {GO:0005737}; cytosol {GO:0005829}; endoplasmic reticulum {GO:0005783}; endoplasmic reticulum membrane {GO:0005789}; integral component of endoplasmic reticulum membrane {GO:0030176}; integral component of membrane {GO:0016021}; Sec61 translocon complex {GO:0005784}</t>
  </si>
  <si>
    <t>sp|Q8BHE8|MAIP1_MOUSE</t>
  </si>
  <si>
    <t>m-AAA protease-interacting protein 1, mitochondrial</t>
  </si>
  <si>
    <t>Matrix AAA peptidase-interacting protein 1</t>
  </si>
  <si>
    <t>MAIP1_MOUSE</t>
  </si>
  <si>
    <t>Q8BHE8</t>
  </si>
  <si>
    <t>Q8R3N9</t>
  </si>
  <si>
    <t>MGI:1915365</t>
  </si>
  <si>
    <t>Mitochondrion; Transit peptide</t>
  </si>
  <si>
    <t>calcium import into the mitochondrion {GO:0036444}; inner mitochondrial membrane organization {GO:0007007}; mitochondrial calcium ion homeostasis {GO:0051560}; protein insertion into mitochondrial inner membrane from matrix {GO:0032979}; protein insertion into mitochondrial membrane {GO:0051204}</t>
  </si>
  <si>
    <t>mitochondrial inner membrane {GO:0005743}; mitochondrial matrix {GO:0005759}</t>
  </si>
  <si>
    <t>sp|Q9JKL4|NDUF3_MOUSE</t>
  </si>
  <si>
    <t>NADH dehydrogenase [ubiquinone] 1 alpha subcomplex assembly factor 3</t>
  </si>
  <si>
    <t>Protein 2P1</t>
  </si>
  <si>
    <t>NDUF3_MOUSE</t>
  </si>
  <si>
    <t>Q9JKL4</t>
  </si>
  <si>
    <t>Q8K1A3</t>
  </si>
  <si>
    <t>MGI:1913956</t>
  </si>
  <si>
    <t>mitochondrial respiratory chain complex I assembly {GO:0032981}</t>
  </si>
  <si>
    <t>mitochondrial inner membrane {GO:0005743}; mitochondrion {GO:0005739}; nucleus {GO:0005634}</t>
  </si>
  <si>
    <t>sp|O08989|RASM_MOUSE</t>
  </si>
  <si>
    <t>Ras-related protein M-Ras</t>
  </si>
  <si>
    <t>Muscle and microspikes Ras; Ras-related protein R-Ras3; X-Ras</t>
  </si>
  <si>
    <t>RASM_MOUSE</t>
  </si>
  <si>
    <t>O08989</t>
  </si>
  <si>
    <t>Xras</t>
  </si>
  <si>
    <t>MGI:1100856</t>
  </si>
  <si>
    <t>3D-structure; Cell membrane; GTP-binding; Hydrolase; Lipoprotein; Membrane; Methylation; Nucleotide-binding; Prenylation</t>
  </si>
  <si>
    <t>cellular response to leukemia inhibitory factor {GO:1990830}; Ras protein signal transduction {GO:0007265}</t>
  </si>
  <si>
    <t>RAF activation {R-MMU-5673000}</t>
  </si>
  <si>
    <t>sp|O35071|KIF1C_MOUSE</t>
  </si>
  <si>
    <t>Kinesin-like protein KIF1C</t>
  </si>
  <si>
    <t>KIF1C_MOUSE</t>
  </si>
  <si>
    <t>O35071</t>
  </si>
  <si>
    <t>Q5SX62</t>
  </si>
  <si>
    <t>MGI:1098260</t>
  </si>
  <si>
    <t>ATP-binding; Coiled coil; Cytoplasm; Cytoskeleton; Methylation; Microtubule; Motor protein; Nucleotide-binding; Phosphoprotein</t>
  </si>
  <si>
    <t>anterograde neuronal dense core vesicle transport {GO:1990048}; cytoskeleton-dependent intracellular transport {GO:0030705}; microtubule-based movement {GO:0007018}; retrograde neuronal dense core vesicle transport {GO:1990049}; retrograde vesicle-mediated transport, Golgi to endoplasmic reticulum {GO:0006890}; vesicle-mediated transport {GO:0016192}</t>
  </si>
  <si>
    <t>axon {GO:0030424}; axon cytoplasm {GO:1904115}; dendrite {GO:0030425}; Golgi apparatus {GO:0005794}; kinesin complex {GO:0005871}; microtubule {GO:0005874}</t>
  </si>
  <si>
    <t>ATP binding {GO:0005524}; ATP hydrolysis activity {GO:0016887}; microtubule binding {GO:0008017}; microtubule motor activity {GO:0003777}; plus-end-directed microtubule motor activity {GO:0008574}</t>
  </si>
  <si>
    <t>sp|O54804|CHKA_MOUSE</t>
  </si>
  <si>
    <t>Choline kinase alpha (CK)</t>
  </si>
  <si>
    <t>CHETK-alpha; Ethanolamine kinase (EK)</t>
  </si>
  <si>
    <t>CHKA_MOUSE</t>
  </si>
  <si>
    <t>O54804</t>
  </si>
  <si>
    <t>G5E853; Q8BPL3; Q8BPW6; Q9CXP3; Q9QX56</t>
  </si>
  <si>
    <t>Chk</t>
  </si>
  <si>
    <t>MGI:107760</t>
  </si>
  <si>
    <t>Acetylation; Alternative splicing; ATP-binding; Cytoplasm; Kinase; Lipid biosynthesis; Lipid droplet; Lipid metabolism; Nucleotide-binding; Phospholipid biosynthesis; Phospholipid metabolism; Phosphoprotein; Transferase</t>
  </si>
  <si>
    <t>CDP-choline pathway {GO:0006657}; cellular response to glucose starvation {GO:0042149}; choline metabolic process {GO:0019695}; ethanolamine metabolic process {GO:0006580}; lipid droplet disassembly {GO:1905691}; phosphatidylcholine biosynthetic process {GO:0006656}; phosphatidylethanolamine biosynthetic process {GO:0006646}</t>
  </si>
  <si>
    <t>cytoplasm {GO:0005737}; cytosol {GO:0005829}; lipid droplet {GO:0005811}</t>
  </si>
  <si>
    <t>ATP binding {GO:0005524}; choline binding {GO:0033265}; choline kinase activity {GO:0004103}; cholinesterase activity {GO:0004104}; ethanolamine kinase activity {GO:0004305}; identical protein binding {GO:0042802}; protein homodimerization activity {GO:0042803}; protein tyrosine kinase activity {GO:0004713}</t>
  </si>
  <si>
    <t>Phospholipid metabolism; phosphatidylethanolamine biosynthesis; phosphatidylethanolamine from ethanolamine: step 1/3.</t>
  </si>
  <si>
    <t>Synthesis of PC {R-MMU-1483191}; Synthesis of PE {R-MMU-1483213}</t>
  </si>
  <si>
    <t>sp|Q91WG7|DGKG_MOUSE</t>
  </si>
  <si>
    <t>Diacylglycerol kinase gamma (DAG kinase gamma)</t>
  </si>
  <si>
    <t>88 kDa diacylglycerol kinase; Diglyceride kinase gamma (DGK-gamma)</t>
  </si>
  <si>
    <t>DGKG_MOUSE</t>
  </si>
  <si>
    <t>Q91WG7</t>
  </si>
  <si>
    <t>Dagk3</t>
  </si>
  <si>
    <t>MGI:105060</t>
  </si>
  <si>
    <t>ATP-binding; Calcium; Cytoplasm; Cytoskeleton; Kinase; Lipid metabolism; Membrane; Metal-binding; Nucleotide-binding; Repeat; Transferase; Zinc; Zinc-finger</t>
  </si>
  <si>
    <t>diacylglycerol metabolic process {GO:0046339}; glycerolipid metabolic process {GO:0046486}; intracellular signal transduction {GO:0035556}; lipid phosphorylation {GO:0046834}; negative regulation of protein kinase C signaling {GO:0090038}; neuron development {GO:0048666}; phosphatidic acid biosynthetic process {GO:0006654}; protein kinase C-activating G protein-coupled receptor signaling pathway {GO:0007205}; regulation of dendrite development {GO:0050773}</t>
  </si>
  <si>
    <t>cytoskeleton {GO:0005856}; cytosol {GO:0005829}; membrane {GO:0016020}; plasma membrane {GO:0005886}</t>
  </si>
  <si>
    <t>ATP binding {GO:0005524}; calcium ion binding {GO:0005509}; diacylglycerol kinase activity {GO:0004143}; lipid binding {GO:0008289}</t>
  </si>
  <si>
    <t>Effects of PIP2 hydrolysis {R-MMU-114508}</t>
  </si>
  <si>
    <t>sp|Q8VBV3|EXOS2_MOUSE</t>
  </si>
  <si>
    <t>Exosome complex component RRP4</t>
  </si>
  <si>
    <t>Exosome component 2; Ribosomal RNA-processing protein 4</t>
  </si>
  <si>
    <t>EXOS2_MOUSE</t>
  </si>
  <si>
    <t>Q8VBV3</t>
  </si>
  <si>
    <t>Rrp4</t>
  </si>
  <si>
    <t>MGI:2385133</t>
  </si>
  <si>
    <t>CUT catabolic process {GO:0071034}; exonucleolytic catabolism of deadenylated mRNA {GO:0043928}; exonucleolytic trimming to generate mature 3'-end of 5.8S rRNA from tricistronic rRNA transcript (SSU-rRNA, 5.8S rRNA, LSU-rRNA) {GO:0000467}; nuclear polyadenylation-dependent rRNA catabolic process {GO:0071035}; nuclear polyadenylation-dependent tRNA catabolic process {GO:0071038}; nuclear-transcribed mRNA catabolic process, exonucleolytic, 3'-5' {GO:0034427}; polyadenylation-dependent snoRNA 3'-end processing {GO:0071051}; positive regulation of cell growth {GO:0030307}; RNA catabolic process {GO:0006401}; RNA processing {GO:0006396}; U4 snRNA 3'-end processing {GO:0034475}</t>
  </si>
  <si>
    <t>cytoplasm {GO:0005737}; cytoplasmic exosome (RNase complex) {GO:0000177}; cytosol {GO:0005829}; exosome (RNase complex) {GO:0000178}; nuclear exosome (RNase complex) {GO:0000176}; nucleolar exosome (RNase complex) {GO:0101019}; nucleolus {GO:0005730}; nucleoplasm {GO:0005654}; nucleus {GO:0005634}</t>
  </si>
  <si>
    <t>sp|Q9D0C4|TRM5_MOUSE</t>
  </si>
  <si>
    <t>tRNA (guanine(37)-N1)-methyltransferase</t>
  </si>
  <si>
    <t>M1G-methyltransferase; tRNA [GM37] methyltransferase; tRNA methyltransferase 5 homolog</t>
  </si>
  <si>
    <t>TRM5_MOUSE</t>
  </si>
  <si>
    <t>Q9D0C4</t>
  </si>
  <si>
    <t>Q5DTY1</t>
  </si>
  <si>
    <t>Kiaa1393; Trm5</t>
  </si>
  <si>
    <t>MGI:1923607</t>
  </si>
  <si>
    <t>Alternative splicing; Cytoplasm; Methyltransferase; Mitochondrion; Nucleus; S-adenosyl-L-methionine; Transferase; tRNA processing</t>
  </si>
  <si>
    <t>mitochondrial tRNA methylation {GO:0070901}; tRNA methylation {GO:0030488}; tRNA N1-guanine methylation {GO:0002939}</t>
  </si>
  <si>
    <t>cytoplasm {GO:0005737}; mitochondrial matrix {GO:0005759}; nucleus {GO:0005634}</t>
  </si>
  <si>
    <t>tRNA (guanine(37)-N(1))-methyltransferase activity {GO:0052906}; tRNA (guanine-N1-)-methyltransferase activity {GO:0009019}; tRNA methyltransferase activity {GO:0008175}</t>
  </si>
  <si>
    <t>sp|Q5KU39|VPS41_MOUSE</t>
  </si>
  <si>
    <t>Vacuolar protein sorting-associated protein 41 homolog</t>
  </si>
  <si>
    <t>VAM2 homolog (mVAM2)</t>
  </si>
  <si>
    <t>VPS41_MOUSE</t>
  </si>
  <si>
    <t>Q5KU39</t>
  </si>
  <si>
    <t>Q05AE9; Q3TPS1; Q80V99; Q8BKK6; Q8CG01; Q8CJC3</t>
  </si>
  <si>
    <t>MGI:1929215</t>
  </si>
  <si>
    <t>Autophagy; Cytoplasm; Cytoplasmic vesicle; Endosome; Golgi apparatus; Lysosome; Membrane; Metal-binding; Protein transport; Transport; Zinc; Zinc-finger</t>
  </si>
  <si>
    <t>Cytoplasm; Cytoplasmic vesicle; Endosome; Golgi apparatus; Lysosome; Membrane</t>
  </si>
  <si>
    <t>cellular response to starvation {GO:0009267}; endosomal vesicle fusion {GO:0034058}; endosome to lysosome transport {GO:0008333}; Golgi vesicle transport {GO:0048193}; late endosome to lysosome transport {GO:1902774}; macroautophagy {GO:0016236}; protein targeting to vacuole {GO:0006623}; regulated exocytosis {GO:0045055}; vesicle-mediated transport {GO:0016192}</t>
  </si>
  <si>
    <t>AP-3 adaptor complex {GO:0030123}; clathrin complex {GO:0071439}; clathrin-coated vesicle {GO:0030136}; cytosol {GO:0005829}; early endosome {GO:0005769}; early endosome membrane {GO:0031901}; endosome membrane {GO:0010008}; Golgi apparatus {GO:0005794}; Golgi-associated vesicle {GO:0005798}; HOPS complex {GO:0030897}; late endosome {GO:0005770}; late endosome membrane {GO:0031902}; lysosomal HOPS complex {GO:1902501}; lysosomal membrane {GO:0005765}; lysosome {GO:0005764}; membrane {GO:0016020}; microtubule cytoskeleton {GO:0015630}</t>
  </si>
  <si>
    <t>identical protein binding {GO:0042802}; metal ion binding {GO:0046872}; microtubule binding {GO:0008017}; protein self-association {GO:0043621}</t>
  </si>
  <si>
    <t>sp|Q3U0K8|OGFD1_MOUSE</t>
  </si>
  <si>
    <t>Prolyl 3-hydroxylase OGFOD1</t>
  </si>
  <si>
    <t>2-oxoglutarate and iron-dependent oxygenase domain-containing protein 1; uS12 prolyl 3-hydroxylase</t>
  </si>
  <si>
    <t>OGFD1_MOUSE</t>
  </si>
  <si>
    <t>Q3U0K8</t>
  </si>
  <si>
    <t>Q3TLS5; Q3TPR4; Q80TB3; Q8CFR6</t>
  </si>
  <si>
    <t>Kiaa1612</t>
  </si>
  <si>
    <t>MGI:2442978</t>
  </si>
  <si>
    <t>Alternative splicing; Cytoplasm; Dioxygenase; Iron; Metal-binding; Nucleus; Oxidoreductase; Vitamin C</t>
  </si>
  <si>
    <t>cell population proliferation {GO:0008283}; peptidyl-proline hydroxylation {GO:0019511}; protein hydroxylation {GO:0018126}; regulation of translational termination {GO:0006449}; stress granule assembly {GO:0034063}</t>
  </si>
  <si>
    <t>cytoplasm {GO:0005737}; cytoplasmic stress granule {GO:0010494}; cytosol {GO:0005829}; nucleoplasm {GO:0005654}</t>
  </si>
  <si>
    <t>iron ion binding {GO:0005506}; L-ascorbic acid binding {GO:0031418}; peptidyl-proline 3-dioxygenase activity {GO:0031544}; peptidyl-proline dioxygenase activity {GO:0031543}</t>
  </si>
  <si>
    <t>sp|Q9QXJ1|APBB1_MOUSE</t>
  </si>
  <si>
    <t>Amyloid beta precursor protein binding family B member 1</t>
  </si>
  <si>
    <t>Amyloid-beta A4 precursor protein-binding family B member 1; Protein Fe65</t>
  </si>
  <si>
    <t>APBB1_MOUSE</t>
  </si>
  <si>
    <t>Q9QXJ1</t>
  </si>
  <si>
    <t>E9QNW5; O08642; Q3TPU0; Q8BNF4; Q8BSR9</t>
  </si>
  <si>
    <t>MGI:107765</t>
  </si>
  <si>
    <t>Acetylation; Activator; Alternative splicing; Apoptosis; Cell membrane; Cell projection; Chromatin regulator; Cytoplasm; DNA damage; Membrane; Nucleus; Phosphoprotein; Repeat; Repressor; Transcription; Transcription regulation; Ubl conjugation</t>
  </si>
  <si>
    <t>Apoptosis; DNA damage; Transcription; Transcription regulation</t>
  </si>
  <si>
    <t>Activator; Chromatin regulator; Repressor</t>
  </si>
  <si>
    <t>apoptotic process {GO:0006915}; axon guidance {GO:0007411}; cellular response to DNA damage stimulus {GO:0006974}; chromatin organization {GO:0006325}; double-strand break repair {GO:0006302}; extracellular matrix organization {GO:0030198}; histone H4 acetylation {GO:0043967}; negative regulation of cell cycle G1/S phase transition {GO:1902807}; negative regulation of neuron differentiation {GO:0045665}; negative regulation of transcription by RNA polymerase II {GO:0000122}; neuron differentiation {GO:0030182}; neuron migration {GO:0001764}; positive regulation of apoptotic process {GO:0043065}; positive regulation of DNA repair {GO:0045739}; positive regulation of DNA-templated transcription {GO:0045893}; positive regulation of neuron projection development {GO:0010976}; positive regulation of protein secretion {GO:0050714}; positive regulation of transcription by RNA polymerase II {GO:0045944}; protein stabilization {GO:0050821}; regulation of DNA-templated transcription {GO:0006355}; smooth muscle contraction {GO:0006939}; synapse organization {GO:0050808}</t>
  </si>
  <si>
    <t>cytoplasm {GO:0005737}; dendritic spine {GO:0043197}; endoplasmic reticulum {GO:0005783}; glutamatergic synapse {GO:0098978}; growth cone {GO:0030426}; growth cone filopodium {GO:1990812}; growth cone lamellipodium {GO:1990761}; lamellipodium {GO:0030027}; main axon {GO:0044304}; neuromuscular junction {GO:0031594}; neuronal cell body {GO:0043025}; nuclear speck {GO:0016607}; nucleus {GO:0005634}; perinuclear region of cytoplasm {GO:0048471}; plasma membrane {GO:0005886}; postsynaptic membrane {GO:0045211}; presynapse {GO:0098793}; presynaptic membrane {GO:0042734}; protein-containing complex {GO:0032991}; Schaffer collateral - CA1 synapse {GO:0098685}; synapse {GO:0045202}</t>
  </si>
  <si>
    <t>amyloid-beta binding {GO:0001540}; chromatin binding {GO:0003682}; DNA-binding transcription factor binding {GO:0140297}; histone binding {GO:0042393}; proline-rich region binding {GO:0070064}; protein-containing complex binding {GO:0044877}; tau protein binding {GO:0048156}; ubiquitin protein ligase binding {GO:0031625}</t>
  </si>
  <si>
    <t>Recruitment and ATM-mediated phosphorylation of repair and signaling proteins at DNA double strand breaks {R-MMU-5693565}</t>
  </si>
  <si>
    <t>sp|Q62009|POSTN_MOUSE</t>
  </si>
  <si>
    <t>Periostin (PN)</t>
  </si>
  <si>
    <t>Osteoblast-specific factor 2 (OSF-2)</t>
  </si>
  <si>
    <t>POSTN_MOUSE</t>
  </si>
  <si>
    <t>Q62009</t>
  </si>
  <si>
    <t>Q8BMJ6; Q8K1K0</t>
  </si>
  <si>
    <t>Osf2</t>
  </si>
  <si>
    <t>MGI:1926321</t>
  </si>
  <si>
    <t>Alternative splicing; Cell adhesion; Disulfide bond; Extracellular matrix; Gamma-carboxyglutamic acid; Glycoprotein; Golgi apparatus; Heparin-binding; Repeat; Secreted; Signal</t>
  </si>
  <si>
    <t>Extracellular matrix; Golgi apparatus; Secreted</t>
  </si>
  <si>
    <t>Disulfide bond; Gamma-carboxyglutamic acid; Glycoprotein</t>
  </si>
  <si>
    <t>cell adhesion {GO:0007155}; cellular response to vitamin K {GO:0071307}; extracellular matrix organization {GO:0030198}; negative regulation of cell-matrix adhesion {GO:0001953}; negative regulation of substrate adhesion-dependent cell spreading {GO:1900025}; neuron projection extension {GO:1990138}; positive regulation of chemokine (C-X-C motif) ligand 2 production {GO:2000343}; positive regulation of smooth muscle cell migration {GO:0014911}; regulation of Notch signaling pathway {GO:0008593}; regulation of systemic arterial blood pressure {GO:0003073}; tissue development {GO:0009888}</t>
  </si>
  <si>
    <t>collagen-containing extracellular matrix {GO:0062023}; cytoplasm {GO:0005737}; extracellular matrix {GO:0031012}; extracellular space {GO:0005615}; neuromuscular junction {GO:0031594}; trans-Golgi network {GO:0005802}</t>
  </si>
  <si>
    <t>cell adhesion molecule binding {GO:0050839}; heparin binding {GO:0008201}; metal ion binding {GO:0046872}</t>
  </si>
  <si>
    <t>sp|O35566|CD151_MOUSE</t>
  </si>
  <si>
    <t>CD151 antigen</t>
  </si>
  <si>
    <t>GP27; Membrane glycoprotein SFA-1; Platelet-endothelial tetraspan antigen 3 (PETA-3); CD_antigen=CD151</t>
  </si>
  <si>
    <t>CD151_MOUSE</t>
  </si>
  <si>
    <t>O35566</t>
  </si>
  <si>
    <t>O89118</t>
  </si>
  <si>
    <t>Peta3</t>
  </si>
  <si>
    <t>MGI:1096360</t>
  </si>
  <si>
    <t>Glycoprotein; Lipoprotein; Membrane; Palmitate; Transmembrane; Transmembrane helix</t>
  </si>
  <si>
    <t>Glycoprotein; Lipoprotein; Palmitate</t>
  </si>
  <si>
    <t>cell migration {GO:0016477}; positive regulation of cell migration {GO:0030335}; positive regulation of endocytosis {GO:0045807}; T cell proliferation {GO:0042098}; wound healing, spreading of cells {GO:0044319}</t>
  </si>
  <si>
    <t>basement membrane {GO:0005604}; cell surface {GO:0009986}; integral component of plasma membrane {GO:0005887}</t>
  </si>
  <si>
    <t>integrin binding {GO:0005178}</t>
  </si>
  <si>
    <t>Type I hemidesmosome assembly {R-MMU-446107}</t>
  </si>
  <si>
    <t>sp|Q9D7Z3|NOL7_MOUSE</t>
  </si>
  <si>
    <t>Nucleolar protein 7</t>
  </si>
  <si>
    <t>NOL7_MOUSE</t>
  </si>
  <si>
    <t>Q9D7Z3</t>
  </si>
  <si>
    <t>Q9CY79; Q9JJE2</t>
  </si>
  <si>
    <t>MGI:1917328</t>
  </si>
  <si>
    <t>Alternative splicing; Isopeptide bond; Nucleus; Phosphoprotein; Ubl conjugation</t>
  </si>
  <si>
    <t>chromosome {GO:0005694}; mitochondrion {GO:0005739}; nucleolus {GO:0005730}</t>
  </si>
  <si>
    <t>sp|Q8BSF4|PISD_MOUSE</t>
  </si>
  <si>
    <t>Phosphatidylserine decarboxylase alpha chain</t>
  </si>
  <si>
    <t>PISD_MOUSE</t>
  </si>
  <si>
    <t>Q8BSF4</t>
  </si>
  <si>
    <t>Q8BSD6</t>
  </si>
  <si>
    <t>MGI:2445114</t>
  </si>
  <si>
    <t>Cytoplasm; Decarboxylase; Lipid biosynthesis; Lipid droplet; Lipid metabolism; Lyase; Membrane; Mitochondrion; Mitochondrion inner membrane; Phospholipid biosynthesis; Phospholipid metabolism; Pyruvate; Transit peptide; Transmembrane; Transmembrane helix; Zymogen</t>
  </si>
  <si>
    <t>Cytoplasm; Lipid droplet; Membrane; Mitochondrion; Mitochondrion inner membrane</t>
  </si>
  <si>
    <t>Pyruvate</t>
  </si>
  <si>
    <t>lipid droplet formation {GO:0140042}; mitochondrial protein catabolic process {GO:0035694}; phosphatidylethanolamine biosynthetic process {GO:0006646}; protein autoprocessing {GO:0016540}; regulation of mitochondrion organization {GO:0010821}</t>
  </si>
  <si>
    <t>integral component of mitochondrial inner membrane {GO:0031305}; lipid droplet {GO:0005811}; mitochondrion {GO:0005739}; nucleus {GO:0005634}</t>
  </si>
  <si>
    <t>phosphatidylserine decarboxylase activity {GO:0004609}</t>
  </si>
  <si>
    <t>Phospholipid metabolism; phosphatidylethanolamine biosynthesis..</t>
  </si>
  <si>
    <t>sp|Q2KN98|CYTSA_MOUSE</t>
  </si>
  <si>
    <t>Cytospin-A</t>
  </si>
  <si>
    <t>SPECC1-like protein; Sperm antigen with calponin homology and coiled-coil domains 1-like</t>
  </si>
  <si>
    <t>CYTSA_MOUSE</t>
  </si>
  <si>
    <t>Q2KN98</t>
  </si>
  <si>
    <t>Q8CHF9</t>
  </si>
  <si>
    <t>Cytsa; Kiaa0376</t>
  </si>
  <si>
    <t>MGI:1921642</t>
  </si>
  <si>
    <t>Cell cycle; Cell division; Cell junction; Coiled coil; Cytoplasm; Cytoskeleton; Gap junction; Phosphoprotein</t>
  </si>
  <si>
    <t>Cell junction; Cytoplasm; Cytoskeleton; Gap junction</t>
  </si>
  <si>
    <t>actin cytoskeleton organization {GO:0030036}; adherens junction organization {GO:0034332}; anterior neural tube closure {GO:0061713}; cell adhesion {GO:0007155}; cell cycle {GO:0007049}; cell division {GO:0051301}; cell migration {GO:0016477}; face morphogenesis {GO:0060325}; negative regulation of actin filament depolymerization {GO:0030835}; negative regulation of microtubule depolymerization {GO:0007026}; neural crest cell delamination {GO:0036032}; positive regulation of protein kinase B signaling {GO:0051897}</t>
  </si>
  <si>
    <t>actin cytoskeleton {GO:0015629}; cell-cell junction {GO:0005911}; cytoplasm {GO:0005737}; filamentous actin {GO:0031941}; gap junction {GO:0005921}; microtubule cytoskeleton {GO:0015630}; microtubule organizing center {GO:0005815}; spindle {GO:0005819}</t>
  </si>
  <si>
    <t>sp|Q9CQT2|RBM7_MOUSE</t>
  </si>
  <si>
    <t>RNA-binding protein 7</t>
  </si>
  <si>
    <t>RNA-binding motif protein 7</t>
  </si>
  <si>
    <t>RBM7_MOUSE</t>
  </si>
  <si>
    <t>Q9CQT2</t>
  </si>
  <si>
    <t>Q3UB91; Q7TQE3</t>
  </si>
  <si>
    <t>MGI:1914260</t>
  </si>
  <si>
    <t>Acetylation; Meiosis; Methylation; Nucleus; Phosphoprotein; RNA-binding</t>
  </si>
  <si>
    <t>meiotic cell cycle {GO:0051321}; regulation of alternative mRNA splicing, via spliceosome {GO:0000381}; snRNA catabolic process {GO:0016076}</t>
  </si>
  <si>
    <t>14-3-3 protein binding {GO:0071889}; pre-mRNA intronic binding {GO:0097157}; RNA binding {GO:0003723}; single-stranded RNA binding {GO:0003727}; snRNA binding {GO:0017069}</t>
  </si>
  <si>
    <t>sp|Q9R069|BCAM_MOUSE</t>
  </si>
  <si>
    <t>Basal cell adhesion molecule</t>
  </si>
  <si>
    <t>B-CAM cell surface glycoprotein; Lutheran antigen; CD_antigen=CD239</t>
  </si>
  <si>
    <t>BCAM_MOUSE</t>
  </si>
  <si>
    <t>Q9R069</t>
  </si>
  <si>
    <t>Q9ESS5; Q9JKB2</t>
  </si>
  <si>
    <t>Gplu; Lu</t>
  </si>
  <si>
    <t>MGI:1929940</t>
  </si>
  <si>
    <t>Cell adhesion; Disulfide bond; Glycoprotein; Immunoglobulin domain; Membrane; Phosphoprotein; Receptor; Repeat; Signal; Transmembrane; Transmembrane helix</t>
  </si>
  <si>
    <t>cell adhesion {GO:0007155}; cell-matrix adhesion {GO:0007160}</t>
  </si>
  <si>
    <t>cell surface {GO:0009986}; integral component of plasma membrane {GO:0005887}; plasma membrane {GO:0005886}</t>
  </si>
  <si>
    <t>laminin binding {GO:0043236}; laminin receptor activity {GO:0005055}; protein C-terminus binding {GO:0008022}</t>
  </si>
  <si>
    <t>sp|Q9DCJ1|LST8_MOUSE</t>
  </si>
  <si>
    <t>Target of rapamycin complex subunit LST8 (TORC subunit LST8)</t>
  </si>
  <si>
    <t>G protein beta subunit-like (Protein GbetaL); Mammalian lethal with SEC13 protein 8 (mLST8)</t>
  </si>
  <si>
    <t>LST8_MOUSE</t>
  </si>
  <si>
    <t>Q9DCJ1</t>
  </si>
  <si>
    <t>Q8BNG8; Q8C882; Q9JKK6</t>
  </si>
  <si>
    <t>Gbl; Lst8</t>
  </si>
  <si>
    <t>MGI:1929514</t>
  </si>
  <si>
    <t>Acetylation; Cytoplasm; Repeat; WD repeat</t>
  </si>
  <si>
    <t>cellular response to DNA damage stimulus {GO:0006974}; cellular response to hypoxia {GO:0071456}; cellular response to nutrient levels {GO:0031669}; cellular response to osmotic stress {GO:0071470}; cytoskeleton organization {GO:0007010}; negative regulation of apoptotic process {GO:0043066}; negative regulation of autophagy {GO:0010507}; phosphorylation {GO:0016310}; positive regulation of actin filament polymerization {GO:0030838}; positive regulation of cell growth {GO:0030307}; positive regulation of glycolytic process {GO:0045821}; positive regulation of lipid biosynthetic process {GO:0046889}; positive regulation of pentose-phosphate shunt {GO:1905857}; positive regulation of peptidyl-tyrosine phosphorylation {GO:0050731}; positive regulation of TOR signaling {GO:0032008}; regulation of actin cytoskeleton organization {GO:0032956}; regulation of GTPase activity {GO:0043087}; TOR signaling {GO:0031929}; TORC1 signaling {GO:0038202}</t>
  </si>
  <si>
    <t>cytoplasm {GO:0005737}; cytosol {GO:0005829}; TORC1 complex {GO:0031931}; TORC2 complex {GO:0031932}</t>
  </si>
  <si>
    <t>protein serine/threonine kinase activator activity {GO:0043539}</t>
  </si>
  <si>
    <t>sp|Q9R013|CATF_MOUSE</t>
  </si>
  <si>
    <t>Cathepsin F</t>
  </si>
  <si>
    <t>CATF_MOUSE</t>
  </si>
  <si>
    <t>Q9R013</t>
  </si>
  <si>
    <t>Q9WUT4</t>
  </si>
  <si>
    <t>MGI:1861434</t>
  </si>
  <si>
    <t>endoplasmic reticulum {GO:0005783}; extracellular space {GO:0005615}; intracellular membrane-bounded organelle {GO:0043231}; lysosome {GO:0005764}; plasma membrane {GO:0005886}</t>
  </si>
  <si>
    <t>cysteine-type endopeptidase activity {GO:0004197}; cysteine-type peptidase activity {GO:0008234}</t>
  </si>
  <si>
    <t>MHC class II antigen presentation {R-MMU-2132295}</t>
  </si>
  <si>
    <t>sp|P46662|MERL_MOUSE</t>
  </si>
  <si>
    <t>Merlin</t>
  </si>
  <si>
    <t>Moesin-ezrin-radixin-like protein; Neurofibromin-2; Schwannomin</t>
  </si>
  <si>
    <t>MERL_MOUSE</t>
  </si>
  <si>
    <t>P46662</t>
  </si>
  <si>
    <t>Q8BR03</t>
  </si>
  <si>
    <t>Nf-2</t>
  </si>
  <si>
    <t>MGI:97307</t>
  </si>
  <si>
    <t>3D-structure; Alternative splicing; Cell membrane; Cell projection; Cytoplasm; Cytoskeleton; Membrane; Nucleus; Phosphoprotein; Tumor suppressor; Ubl conjugation</t>
  </si>
  <si>
    <t>actin cytoskeleton organization {GO:0030036}; brain development {GO:0007420}; cell-cell junction organization {GO:0045216}; ectoderm development {GO:0007398}; hippocampus development {GO:0021766}; lens fiber cell differentiation {GO:0070306}; MAPK cascade {GO:0000165}; mesoderm formation {GO:0001707}; negative regulation of cell growth {GO:0030308}; negative regulation of cell population proliferation {GO:0008285}; negative regulation of cell-cell adhesion {GO:0022408}; negative regulation of MAPK cascade {GO:0043409}; negative regulation of osteoblast proliferation {GO:0033689}; negative regulation of protein kinase activity {GO:0006469}; negative regulation of receptor signaling pathway via JAK-STAT {GO:0046426}; negative regulation of Schwann cell proliferation {GO:0010626}; negative regulation of tyrosine phosphorylation of STAT protein {GO:0042532}; odontogenesis of dentin-containing tooth {GO:0042475}; osteoblast proliferation {GO:0033687}; positive regulation of cell differentiation {GO:0045597}; positive regulation of stress fiber assembly {GO:0051496}; regulation of apoptotic process {GO:0042981}; regulation of cell cycle {GO:0051726}; regulation of cell population proliferation {GO:0042127}; regulation of gliogenesis {GO:0014013}; regulation of hippo signaling {GO:0035330}; regulation of neural precursor cell proliferation {GO:2000177}; regulation of neurogenesis {GO:0050767}; regulation of protein localization to nucleus {GO:1900180}; regulation of protein stability {GO:0031647}; regulation of stem cell proliferation {GO:0072091}; Schwann cell proliferation {GO:0014010}</t>
  </si>
  <si>
    <t>adherens junction {GO:0005912}; apical part of cell {GO:0045177}; cell body {GO:0044297}; cleavage furrow {GO:0032154}; cortical actin cytoskeleton {GO:0030864}; cytoplasm {GO:0005737}; cytoskeleton {GO:0005856}; cytosol {GO:0005829}; early endosome {GO:0005769}; filopodium {GO:0030175}; lamellipodium {GO:0030027}; membrane raft {GO:0045121}; neuron projection {GO:0043005}; nucleolus {GO:0005730}; nucleus {GO:0005634}; perinuclear region of cytoplasm {GO:0048471}; plasma membrane {GO:0005886}; protein-containing complex {GO:0032991}; ruffle {GO:0001726}; synapse {GO:0045202}</t>
  </si>
  <si>
    <t>actin binding {GO:0003779}; beta-catenin binding {GO:0008013}; integrin binding {GO:0005178}; protein domain specific binding {GO:0019904}</t>
  </si>
  <si>
    <t>sp|Q99J39|DCMC_MOUSE</t>
  </si>
  <si>
    <t>Malonyl-CoA decarboxylase, mitochondrial (MCD)</t>
  </si>
  <si>
    <t>DCMC_MOUSE</t>
  </si>
  <si>
    <t>Q99J39</t>
  </si>
  <si>
    <t>Q7TNL6</t>
  </si>
  <si>
    <t>MGI:1928485</t>
  </si>
  <si>
    <t>Acetylation; Alternative initiation; Cytoplasm; Decarboxylase; Disulfide bond; Fatty acid biosynthesis; Fatty acid metabolism; Lipid biosynthesis; Lipid metabolism; Lyase; Mitochondrion; Peroxisome; Transit peptide</t>
  </si>
  <si>
    <t>acetyl-CoA biosynthetic process {GO:0006085}; fatty acid biosynthetic process {GO:0006633}; fatty acid oxidation {GO:0019395}; malonyl-CoA catabolic process {GO:2001294}; positive regulation of fatty acid oxidation {GO:0046321}; regulation of fatty acid beta-oxidation {GO:0031998}; regulation of fatty acid oxidation {GO:0046320}; regulation of glucose metabolic process {GO:0010906}; response to ischemia {GO:0002931}</t>
  </si>
  <si>
    <t>cytoplasm {GO:0005737}; cytosol {GO:0005829}; mitochondrial matrix {GO:0005759}; mitochondrion {GO:0005739}; peroxisomal matrix {GO:0005782}; peroxisome {GO:0005777}</t>
  </si>
  <si>
    <t>identical protein binding {GO:0042802}; malonyl-CoA decarboxylase activity {GO:0050080}</t>
  </si>
  <si>
    <t>Metabolic intermediate biosynthesis; acetyl-CoA biosynthesis; acetyl-CoA from malonyl-CoA: step 1/1.</t>
  </si>
  <si>
    <t>Beta-oxidation of very long chain fatty acids {R-MMU-390247}; Peroxisomal protein import {R-MMU-9033241}</t>
  </si>
  <si>
    <t>sp|Q9ES89|EXTL2_MOUSE</t>
  </si>
  <si>
    <t>Exostosin-like 2</t>
  </si>
  <si>
    <t>Alpha-1,4-N-acetylhexosaminyltransferase EXTL2; Alpha-GalNAcT EXTL2; EXT-related protein 2; Glucuronyl-galactosyl-proteoglycan 4-alpha-N-acetylglucosaminyltransferase</t>
  </si>
  <si>
    <t>EXTL2_MOUSE</t>
  </si>
  <si>
    <t>Q9ES89</t>
  </si>
  <si>
    <t>Q505Q8; Q9CX90</t>
  </si>
  <si>
    <t>Extr2</t>
  </si>
  <si>
    <t>MGI:1889574</t>
  </si>
  <si>
    <t>3D-structure; Disulfide bond; Endoplasmic reticulum; Glycoprotein; Glycosyltransferase; Manganese; Membrane; Metal-binding; Signal-anchor; Transferase; Transmembrane; Transmembrane helix</t>
  </si>
  <si>
    <t>N-acetylglucosamine metabolic process {GO:0006044}; protein glycosylation {GO:0006486}; UDP-N-acetylgalactosamine metabolic process {GO:0019276}</t>
  </si>
  <si>
    <t>cytosol {GO:0005829}; endoplasmic reticulum {GO:0005783}; endoplasmic reticulum membrane {GO:0005789}; integral component of membrane {GO:0016021}; nucleoplasm {GO:0005654}</t>
  </si>
  <si>
    <t>alpha-1,4-N-acetylgalactosaminyltransferase activity {GO:0035248}; glucuronyl-galactosyl-proteoglycan 4-alpha-N-acetylglucosaminyltransferase activity {GO:0001888}; glucuronylgalactosylproteoglycan 4-beta-N-acetylgalactosaminyltransferase activity {GO:0047237}; glycosaminoglycan binding {GO:0005539}; manganese ion binding {GO:0030145}</t>
  </si>
  <si>
    <t>sp|O88653|LTOR3_MOUSE</t>
  </si>
  <si>
    <t>Ragulator complex protein LAMTOR3</t>
  </si>
  <si>
    <t>Late endosomal/lysosomal adaptor and MAPK and MTOR activator 3; MEK-binding partner 1 (Mp1); Mitogen-activated protein kinase kinase 1-interacting protein 1; Mitogen-activated protein kinase scaffold protein 1</t>
  </si>
  <si>
    <t>LTOR3_MOUSE</t>
  </si>
  <si>
    <t>O88653</t>
  </si>
  <si>
    <t>Map2k1ip1; Mapbp; Mapksp1</t>
  </si>
  <si>
    <t>MGI:1929467</t>
  </si>
  <si>
    <t>3D-structure; Endosome; Membrane</t>
  </si>
  <si>
    <t>cellular response to amino acid stimulus {GO:0071230}; positive regulation of MAPK cascade {GO:0043410}; positive regulation of TOR signaling {GO:0032008}; protein localization {GO:0008104}; protein localization to cell junction {GO:1902414}; TORC1 signaling {GO:0038202}</t>
  </si>
  <si>
    <t>guanyl-nucleotide exchange factor activity {GO:0005085}; kinase activator activity {GO:0019209}; molecular adaptor activity {GO:0060090}</t>
  </si>
  <si>
    <t>sp|Q3U827|RN180_MOUSE</t>
  </si>
  <si>
    <t>E3 ubiquitin-protein ligase RNF180</t>
  </si>
  <si>
    <t>RING finger protein 180; RING-type E3 ubiquitin transferase RNF180</t>
  </si>
  <si>
    <t>RN180_MOUSE</t>
  </si>
  <si>
    <t>Q3U827</t>
  </si>
  <si>
    <t>Q3UW39; Q80ZX1; Q8CCR1; Q9CXV6</t>
  </si>
  <si>
    <t>Rines</t>
  </si>
  <si>
    <t>MGI:1919066</t>
  </si>
  <si>
    <t>Alternative splicing; Endoplasmic reticulum; Membrane; Metal-binding; Nucleus; Phosphoprotein; Transferase; Transmembrane; Transmembrane helix; Ubl conjugation pathway; Zinc; Zinc-finger</t>
  </si>
  <si>
    <t>adult behavior {GO:0030534}; norepinephrine metabolic process {GO:0042415}; organic cyclic compound metabolic process {GO:1901360}; positive regulation of proteasomal ubiquitin-dependent protein catabolic process {GO:0032436}; positive regulation of protein ubiquitination {GO:0031398}; protein polyubiquitination {GO:0000209}; regulation of catalytic activity {GO:0050790}; serotonin metabolic process {GO:0042428}</t>
  </si>
  <si>
    <t>integral component of membrane {GO:0016021}; intrinsic component of endoplasmic reticulum membrane {GO:0031227}; nuclear envelope {GO:0005635}</t>
  </si>
  <si>
    <t>metal ion binding {GO:0046872}; ubiquitin conjugating enzyme binding {GO:0031624}; ubiquitin protein ligase activity {GO:0061630}</t>
  </si>
  <si>
    <t>sp|Q6PFQ7|RASL2_MOUSE</t>
  </si>
  <si>
    <t>Ras GTPase-activating protein 4</t>
  </si>
  <si>
    <t>Calcium-promoted Ras inactivator; Ras p21 protein activator 4; RasGAP-activating-like protein 2</t>
  </si>
  <si>
    <t>RASL2_MOUSE</t>
  </si>
  <si>
    <t>Q6PFQ7</t>
  </si>
  <si>
    <t>Q2PMI6; Q3U2R4; Q571H1; Q58DY7</t>
  </si>
  <si>
    <t>Capri; Kiaa0538</t>
  </si>
  <si>
    <t>MGI:1858600</t>
  </si>
  <si>
    <t>Alternative splicing; Calcium; Cell membrane; Cytoplasm; GTPase activation; Membrane; Metal-binding; Repeat; Zinc; Zinc-finger</t>
  </si>
  <si>
    <t>cellular response to calcium ion {GO:0071277}; intracellular signal transduction {GO:0035556}; negative regulation of Ras protein signal transduction {GO:0046580}; regulation of GTPase activity {GO:0043087}</t>
  </si>
  <si>
    <t>GTPase activator activity {GO:0005096}; metal ion binding {GO:0046872}; phospholipid binding {GO:0005543}</t>
  </si>
  <si>
    <t>sp|Q64735|CR1L_MOUSE</t>
  </si>
  <si>
    <t>Complement component receptor 1-like protein</t>
  </si>
  <si>
    <t>Complement regulatory protein Crry; Protein p65</t>
  </si>
  <si>
    <t>CR1L_MOUSE</t>
  </si>
  <si>
    <t>Q64735</t>
  </si>
  <si>
    <t>E9QL18; Q3TV30; Q58E68; Q61447; Q61449; Q8CF59; Q8K328</t>
  </si>
  <si>
    <t>Crry; Cry</t>
  </si>
  <si>
    <t>MGI:88513</t>
  </si>
  <si>
    <t>3D-structure; Alternative splicing; Complement pathway; Developmental protein; Disulfide bond; Glycoprotein; Immunity; Innate immunity; Membrane; Phosphoprotein; Pregnancy; Receptor; Repeat; Signal; Sushi; Transmembrane; Transmembrane helix</t>
  </si>
  <si>
    <t>Complement pathway; Immunity; Innate immunity; Pregnancy</t>
  </si>
  <si>
    <t>Repeat; Signal; Sushi; Transmembrane; Transmembrane helix</t>
  </si>
  <si>
    <t>cellular response to hypoxia {GO:0071456}; complement activation {GO:0006956}; complement activation, classical pathway {GO:0006958}; female pregnancy {GO:0007565}; in utero embryonic development {GO:0001701}; innate immune response {GO:0045087}; negative regulation of complement activation {GO:0045916}; negative regulation of complement activation, classical pathway {GO:0045959}; regulation of complement activation {GO:0030449}; regulation of complement-dependent cytotoxicity {GO:1903659}; T cell mediated immunity {GO:0002456}</t>
  </si>
  <si>
    <t>basolateral plasma membrane {GO:0016323}; cell surface {GO:0009986}; cytoskeleton {GO:0005856}; external side of plasma membrane {GO:0009897}; integral component of plasma membrane {GO:0005887}; plasma membrane {GO:0005886}; plasma membrane raft {GO:0044853}; receptor complex {GO:0043235}</t>
  </si>
  <si>
    <t>complement component C3b binding {GO:0001851}; complement component C3b receptor activity {GO:0004877}; complement component C4b binding {GO:0001855}; complement component C4b receptor activity {GO:0001861}</t>
  </si>
  <si>
    <t>Neutrophil degranulation {R-MMU-6798695}; Regulation of Complement cascade {R-MMU-977606}</t>
  </si>
  <si>
    <t>sp|Q8R2R3|AAGAB_MOUSE</t>
  </si>
  <si>
    <t>Alpha- and gamma-adaptin-binding protein p34</t>
  </si>
  <si>
    <t>AAGAB_MOUSE</t>
  </si>
  <si>
    <t>Q8R2R3</t>
  </si>
  <si>
    <t>Q3TW04; Q9CV78</t>
  </si>
  <si>
    <t>MGI:1914189</t>
  </si>
  <si>
    <t>Cytoplasm; Phosphoprotein; Protein transport; Transport</t>
  </si>
  <si>
    <t>protein transport {GO:0015031}</t>
  </si>
  <si>
    <t>cytoplasm {GO:0005737}; cytosol {GO:0005829}; nuclear speck {GO:0016607}</t>
  </si>
  <si>
    <t>sp|Q8VCX6|KPTN_MOUSE</t>
  </si>
  <si>
    <t>KICSTOR complex protein kaptin</t>
  </si>
  <si>
    <t>KPTN_MOUSE</t>
  </si>
  <si>
    <t>Q8VCX6</t>
  </si>
  <si>
    <t>MGI:1890380</t>
  </si>
  <si>
    <t>Actin-binding; Cell projection; Lysosome; Membrane</t>
  </si>
  <si>
    <t>Cell projection; Lysosome; Membrane</t>
  </si>
  <si>
    <t>actin filament organization {GO:0007015}; cellular response to amino acid starvation {GO:0034198}; cellular response to glucose starvation {GO:0042149}; negative regulation of TORC1 signaling {GO:1904262}; protein localization to lysosome {GO:0061462}</t>
  </si>
  <si>
    <t>filamentous actin {GO:0031941}; KICSTOR complex {GO:0140007}; lamellipodium {GO:0030027}; lysosomal membrane {GO:0005765}; postsynaptic actin cytoskeleton {GO:0098871}; stereocilium {GO:0032420}</t>
  </si>
  <si>
    <t>Amino acids regulate mTORC1 {R-MMU-9639288}</t>
  </si>
  <si>
    <t>sp|Q7TPM1|PRC2B_MOUSE</t>
  </si>
  <si>
    <t>Protein PRRC2B</t>
  </si>
  <si>
    <t>HLA-B-associated transcript 2-like 1; Proline-rich coiled-coil protein 2B</t>
  </si>
  <si>
    <t>PRC2B_MOUSE</t>
  </si>
  <si>
    <t>Q7TPM1</t>
  </si>
  <si>
    <t>A2AN31; Q8C755</t>
  </si>
  <si>
    <t>Bat2l; Bat2l1; Kiaa0515</t>
  </si>
  <si>
    <t>MGI:1923304</t>
  </si>
  <si>
    <t>cell differentiation {GO:0030154}; in utero embryonic development {GO:0001701}</t>
  </si>
  <si>
    <t>sp|Q61211|EIF2D_MOUSE</t>
  </si>
  <si>
    <t>Eukaryotic translation initiation factor 2D (eIF2D)</t>
  </si>
  <si>
    <t>Ligatin</t>
  </si>
  <si>
    <t>EIF2D_MOUSE</t>
  </si>
  <si>
    <t>Q61211</t>
  </si>
  <si>
    <t>Q3TDE0; Q3THV5; Q3TTP4; Q8C491; Q8CBF1; Q8CC17; Q8R1I9; Q8R3M5</t>
  </si>
  <si>
    <t>Lgtn</t>
  </si>
  <si>
    <t>MGI:109342</t>
  </si>
  <si>
    <t>Acetylation; Alternative splicing; Cytoplasm; Initiation factor; Phosphoprotein; Protein biosynthesis</t>
  </si>
  <si>
    <t>formation of translation preinitiation complex {GO:0001731}; IRES-dependent viral translational initiation {GO:0075522}; ribosome disassembly {GO:0032790}</t>
  </si>
  <si>
    <t>cytoplasm {GO:0005737}; cytosol {GO:0005829}; cytosolic small ribosomal subunit {GO:0022627}; nuclear body {GO:0016604}</t>
  </si>
  <si>
    <t>sp|Q8BXL7|ARFRP_MOUSE</t>
  </si>
  <si>
    <t>ADP-ribosylation factor-related protein 1 (ARF-related protein 1)</t>
  </si>
  <si>
    <t>ARFRP_MOUSE</t>
  </si>
  <si>
    <t>Q8BXL7</t>
  </si>
  <si>
    <t>MGI:1923938</t>
  </si>
  <si>
    <t>Acetylation; Golgi apparatus; GTP-binding; Nucleotide-binding</t>
  </si>
  <si>
    <t>gastrulation {GO:0007369}; Golgi to plasma membrane protein transport {GO:0043001}; intracellular protein transport {GO:0006886}; protein localization to Golgi apparatus {GO:0034067}; retrograde transport, endosome to Golgi {GO:0042147}</t>
  </si>
  <si>
    <t>cytosol {GO:0005829}; Golgi apparatus {GO:0005794}; membrane {GO:0016020}; trans-Golgi network {GO:0005802}</t>
  </si>
  <si>
    <t>sp|Q3V009|TMED1_MOUSE</t>
  </si>
  <si>
    <t>Transmembrane emp24 domain-containing protein 1</t>
  </si>
  <si>
    <t>Interleukin-1 receptor-like 1 ligand; Putative T1/ST2 receptor-binding protein; p24 family protein gamma-1 (p24gamma1)</t>
  </si>
  <si>
    <t>TMED1_MOUSE</t>
  </si>
  <si>
    <t>Q3V009</t>
  </si>
  <si>
    <t>Q3TUX8; Q61073; Q91YK3</t>
  </si>
  <si>
    <t>Il1rl1l</t>
  </si>
  <si>
    <t>MGI:106201</t>
  </si>
  <si>
    <t>Alternative splicing; Cell membrane; Coiled coil; Endoplasmic reticulum; Golgi apparatus; Membrane; Protein transport; Signal; Transmembrane; Transmembrane helix; Transport</t>
  </si>
  <si>
    <t>Cell membrane; Endoplasmic reticulum; Golgi apparatus; Membrane</t>
  </si>
  <si>
    <t>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Golgi apparatus {GO:0005794}; integral component of membrane {GO:0016021}; plasma membrane {GO:0005886}</t>
  </si>
  <si>
    <t>sp|Q8VCY6|UTP6_MOUSE</t>
  </si>
  <si>
    <t>U3 small nucleolar RNA-associated protein 6 homolog</t>
  </si>
  <si>
    <t>Multiple hat domains protein</t>
  </si>
  <si>
    <t>UTP6_MOUSE</t>
  </si>
  <si>
    <t>Q8VCY6</t>
  </si>
  <si>
    <t>Q8CH76</t>
  </si>
  <si>
    <t>Mhat</t>
  </si>
  <si>
    <t>MGI:2445193</t>
  </si>
  <si>
    <t>Nucleus; Repeat; rRNA processing</t>
  </si>
  <si>
    <t>chromosome {GO:0005694}; nucleolus {GO:0005730}; Pwp2p-containing subcomplex of 90S preribosome {GO:0034388}; small-subunit processome {GO:0032040}</t>
  </si>
  <si>
    <t>sp|B7ZMP1|XPP3_MOUSE</t>
  </si>
  <si>
    <t>Xaa-Pro aminopeptidase 3 (X-Pro aminopeptidase 3)</t>
  </si>
  <si>
    <t>Aminopeptidase P3 (APP3)</t>
  </si>
  <si>
    <t>XPP3_MOUSE</t>
  </si>
  <si>
    <t>B7ZMP1</t>
  </si>
  <si>
    <t>Q8BHT9</t>
  </si>
  <si>
    <t>MGI:2445217</t>
  </si>
  <si>
    <t>Alternative splicing; Cytoplasm; Hydrolase; Manganese; Metal-binding; Mitochondrion; Transit peptide</t>
  </si>
  <si>
    <t>glomerular filtration {GO:0003094}; protein processing {GO:0016485}; proteolysis {GO:0006508}</t>
  </si>
  <si>
    <t>aminopeptidase activity {GO:0004177}; manganese ion binding {GO:0030145}; metalloaminopeptidase activity {GO:0070006}; peptidase activity {GO:0008233}; protein homodimerization activity {GO:0042803}</t>
  </si>
  <si>
    <t>sp|Q8BW10|NOB1_MOUSE</t>
  </si>
  <si>
    <t>RNA-binding protein NOB1</t>
  </si>
  <si>
    <t>NOB1_MOUSE</t>
  </si>
  <si>
    <t>Q8BW10</t>
  </si>
  <si>
    <t>Q7TPR3; Q9CRD7</t>
  </si>
  <si>
    <t>MGI:1914869</t>
  </si>
  <si>
    <t>3D-structure; Endonuclease; Hydrolase; Metal-binding; Nuclease; Nucleus; Phosphoprotein; Zinc; Zinc-finger</t>
  </si>
  <si>
    <t>cleavage involved in rRNA processing {GO:0000469}; maturation of SSU-rRNA {GO:0030490}; ribosomal small subunit biogenesis {GO:0042274}; visual perception {GO:0007601}</t>
  </si>
  <si>
    <t>cytoplasm {GO:0005737}; nucleolus {GO:0005730}; nucleus {GO:0005634}; preribosome, small subunit precursor {GO:0030688}</t>
  </si>
  <si>
    <t>endoribonuclease activity {GO:0004521}; metal ion binding {GO:0046872}</t>
  </si>
  <si>
    <t>sp|Q60680|IKKA_MOUSE</t>
  </si>
  <si>
    <t>Inhibitor of nuclear factor kappa-B kinase subunit alpha (I-kappa-B kinase alpha; IKK-A; IKK-alpha; IkBKA; IkappaB kinase)</t>
  </si>
  <si>
    <t>Conserved helix-loop-helix ubiquitous kinase; I-kappa-B kinase 1 (IKK1); Nuclear factor NF-kappa-B inhibitor kinase alpha (NFKBIKA)</t>
  </si>
  <si>
    <t>IKKA_MOUSE</t>
  </si>
  <si>
    <t>Q60680</t>
  </si>
  <si>
    <t>Q80VU2; Q9D2X3</t>
  </si>
  <si>
    <t>Ikka</t>
  </si>
  <si>
    <t>MGI:99484</t>
  </si>
  <si>
    <t>Alternative splicing; ATP-binding; Cytoplasm; Kinase; Nucleotide-binding; Nucleus; Phosphoprotein; Serine/threonine-protein kinase; Transferase</t>
  </si>
  <si>
    <t>cellular response to cadmium ion {GO:0071276}; cellular response to reactive oxygen species {GO:0034614}; cellular response to tumor necrosis factor {GO:0071356}; cellular response to virus {GO:0098586}; defense response to virus {GO:0051607}; I-kappaB kinase/NF-kappaB signaling {GO:0007249}; I-kappaB phosphorylation {GO:0007252}; lactation {GO:0007595}; mammary gland alveolus development {GO:0060749}; mammary gland epithelial cell proliferation {GO:0033598}; morphogenesis of an epithelial sheet {GO:0002011}; negative regulation of NF-kappaB transcription factor activity {GO:0032088}; NIK/NF-kappaB signaling {GO:0038061}; odontogenesis of dentin-containing tooth {GO:0042475}; osteoclast differentiation {GO:0030316}; peptidyl-serine phosphorylation {GO:0018105}; positive regulation of DNA-templated transcription {GO:0045893}; positive regulation of I-kappaB kinase/NF-kappaB signaling {GO:0043123}; positive regulation of interferon-alpha production {GO:0032727}; positive regulation of NF-kappaB transcription factor activity {GO:0051092}; positive regulation of transcription by RNA polymerase II {GO:0045944}; protein phosphorylation {GO:0006468}; response to cholecystokinin {GO:0061847}; response to lipopolysaccharide {GO:0032496}; response to muscle stretch {GO:0035994}; response to organic substance {GO:0010033}; Rho protein signal transduction {GO:0007266}; striated muscle cell differentiation {GO:0051146}; tumor necrosis factor-mediated signaling pathway {GO:0033209}</t>
  </si>
  <si>
    <t>CD40 receptor complex {GO:0035631}; cytoplasm {GO:0005737}; cytoplasmic side of plasma membrane {GO:0009898}; cytosol {GO:0005829}; IkappaB kinase complex {GO:0008385}; intracellular membrane-bounded organelle {GO:0043231}; nucleoplasm {GO:0005654}</t>
  </si>
  <si>
    <t>ATP binding {GO:0005524}; IkappaB kinase activity {GO:0008384}; protein heterodimerization activity {GO:0046982}; protein homodimerization activity {GO:0042803}; protein kinase activity {GO:0004672}; protein serine/threonine kinase activity {GO:0004674}; protein-containing complex binding {GO:0044877}; scaffold protein binding {GO:0097110}; transferrin receptor binding {GO:1990459}</t>
  </si>
  <si>
    <t>Activation of NF-kappaB in B cells {R-MMU-1169091}; RIP-mediated NFkB activation via ZBP1 {R-MMU-1810476}; AKT phosphorylates targets in the cytosol {R-MMU-198323}; Downstream TCR signaling {R-MMU-202424}; FCERI mediated NF-kB activation {R-MMU-2871837}; TAK1-dependent IKK and NF-kappa-B activation {R-MMU-445989}; Regulation of TNFR1 signaling {R-MMU-5357905}; TNFR1-induced NFkappaB signaling pathway {R-MMU-5357956}; Dectin-1 mediated noncanonical NF-kB signaling {R-MMU-5607761}; CLEC7A (Dectin-1) signaling {R-MMU-5607764}; NIK--&gt;noncanonical NF-kB signaling {R-MMU-5676590}; MAP3K8 (TPL2)-dependent MAPK1/3 activation {R-MMU-5684264}; Interleukin-1 signaling {R-MMU-9020702}; TRAF6 mediated NF-kB activation {R-MMU-933542}; IRAK1 recruits IKK complex {R-MMU-937039}; IKK complex recruitment mediated by RIP1 {R-MMU-937041}; IRAK1 recruits IKK complex upon TLR7/8 or 9 stimulation {R-MMU-975144}; Regulation of NF-kappa B signaling {R-MMU-9758274}</t>
  </si>
  <si>
    <t>sp|Q5NCF2|TPPC1_MOUSE</t>
  </si>
  <si>
    <t>Trafficking protein particle complex subunit 1</t>
  </si>
  <si>
    <t>TPPC1_MOUSE</t>
  </si>
  <si>
    <t>Q5NCF2</t>
  </si>
  <si>
    <t>MGI:1098727</t>
  </si>
  <si>
    <t>3D-structure; Endoplasmic reticulum; ER-Golgi transport; Golgi apparatus; Transport</t>
  </si>
  <si>
    <t>cytoplasm {GO:0005737}; endoplasmic reticulum {GO:0005783}; TRAPP complex {GO:0030008}; TRAPPII protein complex {GO:1990071}; TRAPPIII protein complex {GO:1990072}</t>
  </si>
  <si>
    <t>COPII-mediated vesicle transport {R-MMU-204005}; Neutrophil degranulation {R-MMU-6798695}; RAB GEFs exchange GTP for GDP on RABs {R-MMU-8876198}</t>
  </si>
  <si>
    <t>sp|Q9D0P8|IFT27_MOUSE</t>
  </si>
  <si>
    <t>Intraflagellar transport protein 27 homolog</t>
  </si>
  <si>
    <t>Putative GTP-binding protein RAY-like; Rab-like protein 4</t>
  </si>
  <si>
    <t>IFT27_MOUSE</t>
  </si>
  <si>
    <t>Q9D0P8</t>
  </si>
  <si>
    <t>Rabl4; Rayl</t>
  </si>
  <si>
    <t>MGI:1914292</t>
  </si>
  <si>
    <t>Cell projection; Cilium; Cytoplasm; Differentiation; Flagellum; GTP-binding; Nucleotide-binding; Protein transport; Spermatogenesis; Transport</t>
  </si>
  <si>
    <t>cilium assembly {GO:0060271}; cochlea development {GO:0090102}; inner ear receptor cell stereocilium organization {GO:0060122}; intracellular protein transport {GO:0006886}; intraciliary anterograde transport {GO:0035720}; intraciliary transport {GO:0042073}; kidney development {GO:0001822}; smoothened signaling pathway {GO:0007224}; spermatogenesis {GO:0007283}; vesicle-mediated transport {GO:0016192}</t>
  </si>
  <si>
    <t>centrosome {GO:0005813}; cilium {GO:0005929}; cytoplasm {GO:0005737}; Golgi apparatus {GO:0005794}; Golgi membrane {GO:0000139}; intraciliary transport particle B {GO:0030992}; nucleus {GO:0005634}; sperm flagellum {GO:0036126}; sperm midpiece {GO:0097225}; sperm principal piece {GO:0097228}</t>
  </si>
  <si>
    <t>sp|Q8C7K6|PCYXL_MOUSE</t>
  </si>
  <si>
    <t>Prenylcysteine oxidase-like</t>
  </si>
  <si>
    <t>PCYXL_MOUSE</t>
  </si>
  <si>
    <t>Q8C7K6</t>
  </si>
  <si>
    <t>MGI:3606062</t>
  </si>
  <si>
    <t>FAD; Flavoprotein; Glycoprotein; Oxidoreductase; Secreted; Signal</t>
  </si>
  <si>
    <t>prenylated protein catabolic process {GO:0030327}; prenylcysteine catabolic process {GO:0030328}</t>
  </si>
  <si>
    <t>prenylcysteine oxidase activity {GO:0001735}</t>
  </si>
  <si>
    <t>sp|Q9QYE6|GOGA5_MOUSE</t>
  </si>
  <si>
    <t>Golgin subfamily A member 5</t>
  </si>
  <si>
    <t>Golgin-84; Protein Ret-II; Protein Sumiko</t>
  </si>
  <si>
    <t>GOGA5_MOUSE</t>
  </si>
  <si>
    <t>Q9QYE6</t>
  </si>
  <si>
    <t>O88317; Q3TGE7; Q3U6S5; Q3UUF9</t>
  </si>
  <si>
    <t>Retii</t>
  </si>
  <si>
    <t>MGI:1351475</t>
  </si>
  <si>
    <t>Acetylation; Coiled coil; Golgi apparatus; Membrane; Methylation; Phosphoprotein; Transmembrane; Transmembrane helix</t>
  </si>
  <si>
    <t>Golgi organization {GO:0007030}; Golgi vesicle transport {GO:0048193}; retrograde transport, vesicle recycling within Golgi {GO:0000301}</t>
  </si>
  <si>
    <t>cis-Golgi network {GO:0005801}; COPI-coated vesicle membrane {GO:0030663}; Golgi apparatus {GO:0005794}; Golgi cis cisterna {GO:0000137}; Golgi cisterna {GO:0031985}; Golgi medial cisterna {GO:0005797}; Golgi membrane {GO:0000139}; Golgi trans cisterna {GO:0000138}; integral component of membrane {GO:0016021}</t>
  </si>
  <si>
    <t>protein homodimerization activity {GO:0042803}; protein-macromolecule adaptor activity {GO:0030674}; small GTPase binding {GO:0031267}</t>
  </si>
  <si>
    <t>sp|Q8BGC1|CE022_MOUSE</t>
  </si>
  <si>
    <t>UPF0489 protein C5orf22 homolog</t>
  </si>
  <si>
    <t>CE022_MOUSE</t>
  </si>
  <si>
    <t>Q8BGC1</t>
  </si>
  <si>
    <t>B2RQ49; Q8BYV3; Q8BZ46; Q9CX64</t>
  </si>
  <si>
    <t>MGI:1925127</t>
  </si>
  <si>
    <t>sp|Q3TMV7|PYRD1_MOUSE</t>
  </si>
  <si>
    <t>Pyridine nucleotide-disulfide oxidoreductase domain-containing protein 1</t>
  </si>
  <si>
    <t>PYRD1_MOUSE</t>
  </si>
  <si>
    <t>Q3TMV7</t>
  </si>
  <si>
    <t>Q3UFM2; Q8R2X5</t>
  </si>
  <si>
    <t>MGI:2676395</t>
  </si>
  <si>
    <t>Acetylation; Cytoplasm; FAD; Flavoprotein; NADP; Nucleus; Oxidoreductase</t>
  </si>
  <si>
    <t>cellular response to oxidative stress {GO:0034599}</t>
  </si>
  <si>
    <t>cytoplasm {GO:0005737}; nucleus {GO:0005634}; sarcomere {GO:0030017}</t>
  </si>
  <si>
    <t>flavin adenine dinucleotide binding {GO:0050660}; oxidoreductase activity {GO:0016491}</t>
  </si>
  <si>
    <t>sp|Q9ESW8|PGPI_MOUSE</t>
  </si>
  <si>
    <t>Pyroglutamyl-peptidase 1</t>
  </si>
  <si>
    <t>5-oxoprolyl-peptidase; Pyroglutamyl aminopeptidase I (PAP-I); Pyroglutamyl-peptidase I (PGP-I); Pyrrolidone-carboxylate peptidase</t>
  </si>
  <si>
    <t>PGPI_MOUSE</t>
  </si>
  <si>
    <t>Q9ESW8</t>
  </si>
  <si>
    <t>Pgpi</t>
  </si>
  <si>
    <t>MGI:1913772</t>
  </si>
  <si>
    <t>Cytoplasm; Hydrolase; Protease; Thiol protease</t>
  </si>
  <si>
    <t>peptidase activity {GO:0008233}; pyroglutamyl-peptidase activity {GO:0016920}</t>
  </si>
  <si>
    <t>sp|Q9Z148|EHMT2_MOUSE</t>
  </si>
  <si>
    <t>Histone-lysine N-methyltransferase EHMT2</t>
  </si>
  <si>
    <t>Euchromatic histone-lysine N-methyltransferase 2; HLA-B-associated transcript 8; Histone H3-K9 methyltransferase 3 (H3-K9-HMTase 3); Protein G9a</t>
  </si>
  <si>
    <t>EHMT2_MOUSE</t>
  </si>
  <si>
    <t>Q9Z148</t>
  </si>
  <si>
    <t>A2CG75; Q6PE08; Q8K4R6; Q8K4R7; Q9Z149</t>
  </si>
  <si>
    <t>Bat8; G9a; Ng36</t>
  </si>
  <si>
    <t>MGI:2148922</t>
  </si>
  <si>
    <t>Alternative splicing; ANK repeat; Chromatin regulator; Chromosome; Isopeptide bond; Metal-binding; Methylation; Methyltransferase; Nucleus; Phosphoprotein; Repeat; S-adenosyl-L-methionine; Transferase; Ubl conjugation; Zinc</t>
  </si>
  <si>
    <t>behavioral response to cocaine {GO:0048148}; cellular response to cocaine {GO:0071314}; cellular response to starvation {GO:0009267}; cellular response to xenobiotic stimulus {GO:0071466}; chromatin organization {GO:0006325}; DNA methylation {GO:0006306}; DNA methylation on cytosine within a CG sequence {GO:0010424}; fertilization {GO:0009566}; histone H3-K27 methylation {GO:0070734}; histone H3-K9 methylation {GO:0051567}; histone lysine methylation {GO:0034968}; histone methylation {GO:0016571}; long-term memory {GO:0007616}; negative regulation of autophagosome assembly {GO:1902902}; negative regulation of transcription by RNA polymerase II {GO:0000122}; neuron fate specification {GO:0048665}; oocyte development {GO:0048599}; organ growth {GO:0035265}; peptidyl-lysine dimethylation {GO:0018027}; phenotypic switching {GO:0036166}; regulation of DNA methylation {GO:0044030}; regulation of DNA replication {GO:0006275}; regulation of histone H3-K4 methylation {GO:0051569}; regulation of histone H3-K9 methylation {GO:0051570}; regulation of transcription by RNA polymerase II {GO:0006357}; response to ethanol {GO:0045471}; response to fungicide {GO:0060992}; spermatid development {GO:0007286}; synaptonemal complex assembly {GO:0007130}</t>
  </si>
  <si>
    <t>chromatin {GO:0000785}; nuclear speck {GO:0016607}; nucleoplasm {GO:0005654}; nucleus {GO:0005634}</t>
  </si>
  <si>
    <t>C2H2 zinc finger domain binding {GO:0070742}; histone methyltransferase activity (H3-K27 specific) {GO:0046976}; histone methyltransferase activity (H3-K9 specific) {GO:0046974}; histone-lysine N-methyltransferase activity {GO:0018024}; p53 binding {GO:0002039}; promoter-specific chromatin binding {GO:1990841}; protein-lysine N-methyltransferase activity {GO:0016279}; RNA polymerase II transcription regulatory region sequence-specific DNA binding {GO:0000977}; transcription corepressor binding {GO:0001222}; zinc ion binding {GO:0008270}</t>
  </si>
  <si>
    <t>Senescence-Associated Secretory Phenotype (SASP) {R-MMU-2559582}; PKMTs methylate histone lysines {R-MMU-3214841}; Regulation of TP53 Activity through Methylation {R-MMU-6804760}; RNA Polymerase I Transcription Initiation {R-MMU-73762}; Transcriptional Regulation by E2F6 {R-MMU-8953750}</t>
  </si>
  <si>
    <t>sp|Q91YP2|NEUL_MOUSE</t>
  </si>
  <si>
    <t>Neurolysin, mitochondrial</t>
  </si>
  <si>
    <t>Microsomal endopeptidase (MEP); Mitochondrial oligopeptidase M; Neurotensin endopeptidase</t>
  </si>
  <si>
    <t>NEUL_MOUSE</t>
  </si>
  <si>
    <t>Q91YP2</t>
  </si>
  <si>
    <t>Q3UJP1; Q8R3F4</t>
  </si>
  <si>
    <t>MGI:1923055</t>
  </si>
  <si>
    <t>Acetylation; Cytoplasm; Hydrolase; Metal-binding; Metalloprotease; Mitochondrion; Protease; Transit peptide; Zinc</t>
  </si>
  <si>
    <t>peptide catabolic process {GO:0043171}; peptide metabolic process {GO:0006518}; protein catabolic process {GO:0030163}; proteolysis {GO:0006508}; regulation of gluconeogenesis {GO:0006111}; regulation of skeletal muscle fiber differentiation {GO:1902809}</t>
  </si>
  <si>
    <t>cytosol {GO:0005829}; mitochondrial intermembrane space {GO:0005758}; mitochondrion {GO:0005739}; plasma membrane {GO:0005886}</t>
  </si>
  <si>
    <t>metal ion binding {GO:0046872}; metalloendopeptidase activity {GO:0004222}; oligopeptidase activity {GO:0070012}; peptidase activity {GO:0008233}; peptide binding {GO:0042277}</t>
  </si>
  <si>
    <t>Peptide ligand-binding receptors {R-MMU-375276}</t>
  </si>
  <si>
    <t>sp|Q9EQW7|KI13A_MOUSE</t>
  </si>
  <si>
    <t>Kinesin-like protein KIF13A</t>
  </si>
  <si>
    <t>KI13A_MOUSE</t>
  </si>
  <si>
    <t>Q9EQW7</t>
  </si>
  <si>
    <t>O35062</t>
  </si>
  <si>
    <t>MGI:1098264</t>
  </si>
  <si>
    <t>3D-structure; ATP-binding; Cell cycle; Cell division; Coiled coil; Cytoplasm; Cytoskeleton; Endosome; Golgi apparatus; Membrane; Microtubule; Motor protein; Nucleotide-binding; Phosphoprotein; Protein transport; Transport</t>
  </si>
  <si>
    <t>Cytoplasm; Cytoskeleton; Endosome; Golgi apparatus; Membrane; Microtubule</t>
  </si>
  <si>
    <t>cell cycle {GO:0007049}; cell division {GO:0051301}; endosome to lysosome transport {GO:0008333}; Golgi to plasma membrane protein transport {GO:0043001}; intracellular protein transport {GO:0006886}; melanosome organization {GO:0032438}; microtubule-based movement {GO:0007018}; plus-end-directed vesicle transport along microtubule {GO:0072383}; regulation of cytokinesis {GO:0032465}; vesicle cargo loading {GO:0035459}</t>
  </si>
  <si>
    <t>centrosome {GO:0005813}; endosome membrane {GO:0010008}; Golgi membrane {GO:0000139}; kinesin complex {GO:0005871}; microtubule {GO:0005874}; midbody {GO:0030496}; trans-Golgi network membrane {GO:0032588}</t>
  </si>
  <si>
    <t>sp|Q91V57|CHIN_MOUSE</t>
  </si>
  <si>
    <t>N-chimaerin</t>
  </si>
  <si>
    <t>A-chimaerin; Alpha-chimerin; N-chimerin (NC); Rho GTPase-activating protein 2</t>
  </si>
  <si>
    <t>CHIN_MOUSE</t>
  </si>
  <si>
    <t>Q91V57</t>
  </si>
  <si>
    <t>A2ATM0; Q3UGY3; Q7TQE5; Q8BWU6; Q9D9B3</t>
  </si>
  <si>
    <t>Arhgap2</t>
  </si>
  <si>
    <t>MGI:1915674</t>
  </si>
  <si>
    <t>Acetylation; Alternative splicing; GTPase activation; Metal-binding; Neurogenesis; Phosphoprotein; SH2 domain; Zinc; Zinc-finger</t>
  </si>
  <si>
    <t>SH2 domain; Zinc-finger</t>
  </si>
  <si>
    <t>ephrin receptor signaling pathway {GO:0048013}; motor neuron axon guidance {GO:0008045}; positive regulation of GTPase activity {GO:0043547}; regulation of axonogenesis {GO:0050770}; regulation of GTPase activity {GO:0043087}; regulation of small GTPase mediated signal transduction {GO:0051056}</t>
  </si>
  <si>
    <t>ephrin receptor binding {GO:0046875}; GTPase activator activity {GO:0005096}; metal ion binding {GO:0046872}</t>
  </si>
  <si>
    <t>CDC42 GTPase cycle {R-MMU-9013148}; RAC1 GTPase cycle {R-MMU-9013149}</t>
  </si>
  <si>
    <t>sp|Q3U7R1|ESYT1_MOUSE</t>
  </si>
  <si>
    <t>Extended synaptotagmin-1 (E-Syt1)</t>
  </si>
  <si>
    <t>Membrane-bound C2 domain-containing protein</t>
  </si>
  <si>
    <t>ESYT1_MOUSE</t>
  </si>
  <si>
    <t>Q3U7R1</t>
  </si>
  <si>
    <t>Q8C8R1; Q91X62; Q9CVH0; Q9Z1X5; Q9Z1X6</t>
  </si>
  <si>
    <t>Fam62a; Mbc2</t>
  </si>
  <si>
    <t>MGI:1344426</t>
  </si>
  <si>
    <t>Acetylation; Alternative splicing; Calcium; Cell membrane; Endoplasmic reticulum; Lipid transport; Lipid-binding; Membrane; Metal-binding; Phosphoprotein; Repeat; Transmembrane; Transmembrane helix; Transport</t>
  </si>
  <si>
    <t>endoplasmic reticulum-plasma membrane tethering {GO:0061817}; intermembrane lipid transfer {GO:0120009}</t>
  </si>
  <si>
    <t>endoplasmic reticulum {GO:0005783}; extrinsic component of cytoplasmic side of plasma membrane {GO:0031234}; integral component of endoplasmic reticulum membrane {GO:0030176}; intrinsic component of endoplasmic reticulum membrane {GO:0031227}</t>
  </si>
  <si>
    <t>calcium ion binding {GO:0005509}; calcium-dependent phospholipid binding {GO:0005544}; identical protein binding {GO:0042802}; phosphatidylcholine binding {GO:0031210}; phosphatidylethanolamine binding {GO:0008429}; phosphatidylinositol binding {GO:0035091}; phospholipid transfer activity {GO:0120014}</t>
  </si>
  <si>
    <t>Glycosphingolipid metabolism {R-MMU-1660662}; RAC1 GTPase cycle {R-MMU-9013149}; RAC2 GTPase cycle {R-MMU-9013404}; RHOD GTPase cycle {R-MMU-9013405}; RHOG GTPase cycle {R-MMU-9013408}; RAC3 GTPase cycle {R-MMU-9013423}; RHOF GTPase cycle {R-MMU-9035034}</t>
  </si>
  <si>
    <t>sp|Q9EQH2|ERAP1_MOUSE</t>
  </si>
  <si>
    <t>Endoplasmic reticulum aminopeptidase 1</t>
  </si>
  <si>
    <t>ARTS-1; Adipocyte-derived leucine aminopeptidase (A-LAP); Aminopeptidase PILS; Puromycin-insensitive leucyl-specific aminopeptidase (PILS-AP); VEGF-induced aminopeptidase</t>
  </si>
  <si>
    <t>ERAP1_MOUSE</t>
  </si>
  <si>
    <t>Q9EQH2</t>
  </si>
  <si>
    <t>Q6GTP5; Q9ET63</t>
  </si>
  <si>
    <t>Appils; Arts1</t>
  </si>
  <si>
    <t>MGI:1933403</t>
  </si>
  <si>
    <t>Adaptive immunity; Aminopeptidase; Disulfide bond; Endoplasmic reticulum; Glycoprotein; Hydrolase; Immunity; Membrane; Metal-binding; Metalloprotease; Protease; Signal-anchor; Transmembrane; Transmembrane helix; Zinc</t>
  </si>
  <si>
    <t>adaptive immune response {GO:0002250}; antigen processing and presentation of endogenous peptide antigen via MHC class I {GO:0019885}; membrane protein ectodomain proteolysis {GO:0006509}; peptide catabolic process {GO:0043171}; positive regulation of angiogenesis {GO:0045766}; protein catabolic process {GO:0030163}; proteolysis {GO:0006508}; regulation of blood pressure {GO:0008217}; signal transduction {GO:0007165}</t>
  </si>
  <si>
    <t>cytoplasm {GO:0005737}; endoplasmic reticulum lumen {GO:0005788}; endoplasmic reticulum membrane {GO:0005789}; extracellular region {GO:0005576}; integral component of membrane {GO:0016021}; intracellular membrane-bounded organelle {GO:0043231}; plasma membrane {GO:0005886}</t>
  </si>
  <si>
    <t>aminopeptidase activity {GO:0004177}; endopeptidase activity {GO:0004175}; interleukin-6 receptor binding {GO:0005138}; metalloaminopeptidase activity {GO:0070006}; metalloexopeptidase activity {GO:0008235}; peptidase activity {GO:0008233}; peptide binding {GO:0042277}; tumor necrosis factor receptor binding {GO:0005164}; zinc ion binding {GO:0008270}</t>
  </si>
  <si>
    <t>Antigen Presentation: Folding, assembly and peptide loading of class I MHC {R-MMU-983170}</t>
  </si>
  <si>
    <t>sp|Q925B0|PAWR_MOUSE</t>
  </si>
  <si>
    <t>PRKC apoptosis WT1 regulator protein</t>
  </si>
  <si>
    <t>Prostate apoptosis response 4 protein (Par-4)</t>
  </si>
  <si>
    <t>PAWR_MOUSE</t>
  </si>
  <si>
    <t>Q925B0</t>
  </si>
  <si>
    <t>Q0ZHI4; Q2HYJ1</t>
  </si>
  <si>
    <t>Par4</t>
  </si>
  <si>
    <t>MGI:2149961</t>
  </si>
  <si>
    <t>Alternative splicing; Apoptosis; Coiled coil; Cytoplasm; Nucleus; Phosphoprotein; Transcription; Transcription regulation</t>
  </si>
  <si>
    <t>actin filament bundle assembly {GO:0051017}; activation of cysteine-type endopeptidase activity {GO:0097202}; apoptotic process {GO:0006915}; apoptotic signaling pathway {GO:0097190}; calcium ion import across plasma membrane {GO:0098703}; detection of mechanical stimulus involved in sensory perception of pain {GO:0050966}; detection of temperature stimulus involved in sensory perception of pain {GO:0050965}; negative regulation of B cell proliferation {GO:0030889}; negative regulation of calcium ion import {GO:0090281}; negative regulation of epithelial to mesenchymal transition {GO:0010719}; negative regulation of fibroblast proliferation {GO:0048147}; negative regulation of gene expression {GO:0010629}; negative regulation of T cell proliferation {GO:0042130}; negative regulation of T cell receptor signaling pathway {GO:0050860}; negative regulation of transcription by RNA polymerase II {GO:0000122}; positive regulation of action potential {GO:0045760}; positive regulation of amyloid precursor protein biosynthetic process {GO:0042986}; positive regulation of apoptotic process {GO:0043065}; positive regulation of cellular senescence {GO:2000774}; positive regulation of gene expression {GO:0010628}; positive regulation of hindgut contraction {GO:0060450}; positive regulation of hydrogen peroxide-mediated programmed cell death {GO:1901300}; positive regulation of leukocyte tethering or rolling {GO:1903238}; positive regulation of neuron apoptotic process {GO:0043525}; positive regulation of neuronal action potential {GO:1904457}; positive regulation of neutrophil extravasation {GO:2000391}; positive regulation of phosphoprotein phosphatase activity {GO:0032516}; positive regulation of relaxation of smooth muscle {GO:1901082}</t>
  </si>
  <si>
    <t>actin cytoskeleton {GO:0015629}; actin filament {GO:0005884}; axon {GO:0030424}; chromatin {GO:0000785}; cytoplasm {GO:0005737}; neuron projection {GO:0043005}; neuronal cell body {GO:0043025}; nucleus {GO:0005634}; plasma membrane {GO:0005886}</t>
  </si>
  <si>
    <t>actin binding {GO:0003779}; enzyme binding {GO:0019899}; leucine zipper domain binding {GO:0043522}; protein kinase C binding {GO:0005080}; protein phosphatase 1 binding {GO:0008157}</t>
  </si>
  <si>
    <t>sp|Q3U0M1|TPPC9_MOUSE</t>
  </si>
  <si>
    <t>Trafficking protein particle complex subunit 9</t>
  </si>
  <si>
    <t>NIK- and IKBKB-binding protein</t>
  </si>
  <si>
    <t>TPPC9_MOUSE</t>
  </si>
  <si>
    <t>Q3U0M1</t>
  </si>
  <si>
    <t>Q3UU81; Q69Z79; Q6NS50; Q8CD01; Q8CFV8; Q9D8R6</t>
  </si>
  <si>
    <t>Kiaa1882; Nibp</t>
  </si>
  <si>
    <t>MGI:1923760</t>
  </si>
  <si>
    <t>Alternative splicing; Cytoplasm; Differentiation; Endoplasmic reticulum; Golgi apparatus; Phosphoprotein</t>
  </si>
  <si>
    <t>cerebral cortex development {GO:0021987}; endoplasmic reticulum to Golgi vesicle-mediated transport {GO:0006888}; neuron differentiation {GO:0030182}; positive regulation of NF-kappaB transcription factor activity {GO:0051092}; vesicle coating {GO:0006901}; vesicle tethering {GO:0099022}</t>
  </si>
  <si>
    <t>cytoplasm {GO:0005737}; endoplasmic reticulum {GO:0005783}; trans-Golgi network {GO:0005802}; TRAPP complex {GO:0030008}; TRAPPII protein complex {GO:1990071}</t>
  </si>
  <si>
    <t>sp|P97865|PEX7_MOUSE</t>
  </si>
  <si>
    <t>Peroxisomal targeting signal 2 receptor (PTS2 receptor)</t>
  </si>
  <si>
    <t>Peroxin-7</t>
  </si>
  <si>
    <t>PEX7_MOUSE</t>
  </si>
  <si>
    <t>P97865</t>
  </si>
  <si>
    <t>A2RSR2</t>
  </si>
  <si>
    <t>MGI:1321392</t>
  </si>
  <si>
    <t>Cytoplasm; Peroxisome; Protein transport; Repeat; Transport; WD repeat</t>
  </si>
  <si>
    <t>endochondral ossification {GO:0001958}; ether lipid biosynthetic process {GO:0008611}; fatty acid beta-oxidation {GO:0006635}; neuron migration {GO:0001764}; peroxisome organization {GO:0007031}; protein import into peroxisome matrix {GO:0016558}; protein targeting to peroxisome {GO:0006625}</t>
  </si>
  <si>
    <t>enzyme binding {GO:0019899}; peroxisome matrix targeting signal-2 binding {GO:0005053}; protein homodimerization activity {GO:0042803}</t>
  </si>
  <si>
    <t>sp|Q8C5N3|CWC22_MOUSE</t>
  </si>
  <si>
    <t>Pre-mRNA-splicing factor CWC22 homolog</t>
  </si>
  <si>
    <t>Nucampholin homolog</t>
  </si>
  <si>
    <t>CWC22_MOUSE</t>
  </si>
  <si>
    <t>Q8C5N3</t>
  </si>
  <si>
    <t>Q3UEH0; Q3V267; Q8BR58; Q99KV6</t>
  </si>
  <si>
    <t>Ncm</t>
  </si>
  <si>
    <t>MGI:2136773</t>
  </si>
  <si>
    <t>Alternative splicing; mRNA processing; mRNA splicing; Nucleus; Phosphoprotein; Spliceosome</t>
  </si>
  <si>
    <t>catalytic step 2 spliceosome {GO:0071013}; cytosol {GO:0005829}; nuclear speck {GO:0016607}; nucleus {GO:0005634}; spliceosomal complex {GO:0005681}; U2-type catalytic step 1 spliceosome {GO:0071006}; U2-type catalytic step 2 spliceosome {GO:0071007}; U2-type precatalytic spliceosome {GO:0071005}</t>
  </si>
  <si>
    <t>sp|Q8C1Y8|CCZ1_MOUSE</t>
  </si>
  <si>
    <t>Vacuolar fusion protein CCZ1 homolog</t>
  </si>
  <si>
    <t>CCZ1_MOUSE</t>
  </si>
  <si>
    <t>Q8C1Y8</t>
  </si>
  <si>
    <t>Q3U891</t>
  </si>
  <si>
    <t>MGI:2141070</t>
  </si>
  <si>
    <t>Acetylation; Guanine-nucleotide releasing factor; Lysosome; Membrane; Phosphoprotein</t>
  </si>
  <si>
    <t>intracellular membrane-bounded organelle {GO:0043231}; lysosomal membrane {GO:0005765}; Mon1-Ccz1 complex {GO:0035658}</t>
  </si>
  <si>
    <t>sp|Q8R5A6|TB22A_MOUSE</t>
  </si>
  <si>
    <t>TBC1 domain family member 22A</t>
  </si>
  <si>
    <t>TB22A_MOUSE</t>
  </si>
  <si>
    <t>Q8R5A6</t>
  </si>
  <si>
    <t>Q3U268; Q3U3T0; Q8CA49</t>
  </si>
  <si>
    <t>D15Ertd781e</t>
  </si>
  <si>
    <t>MGI:1289265</t>
  </si>
  <si>
    <t>Acetylation; Alternative splicing; GTPase activation; Phosphoprotein</t>
  </si>
  <si>
    <t>activation of GTPase activity {GO:0090630}</t>
  </si>
  <si>
    <t>14-3-3 protein binding {GO:0071889}; GTPase activator activity {GO:0005096}; protein homodimerization activity {GO:0042803}</t>
  </si>
  <si>
    <t>sp|O88196|TTC3_MOUSE</t>
  </si>
  <si>
    <t>E3 ubiquitin-protein ligase TTC3</t>
  </si>
  <si>
    <t>RING-type E3 ubiquitin transferase TTC3; TPR repeat protein D (Mtprd)</t>
  </si>
  <si>
    <t>TTC3_MOUSE</t>
  </si>
  <si>
    <t>O88196</t>
  </si>
  <si>
    <t>Q05D15; Q3TMM9; Q3TPC8; Q3TPV5; Q3TQL0; Q3TSK0; Q3UFH5; Q5DTM5; Q6PG61; Q8BPM4; Q8C2N6</t>
  </si>
  <si>
    <t>Kiaa4119</t>
  </si>
  <si>
    <t>MGI:1276539</t>
  </si>
  <si>
    <t>Alternative splicing; Cytoplasm; Golgi apparatus; Metal-binding; Nucleus; Phosphoprotein; Repeat; TPR repeat; Transferase; Ubl conjugation pathway; Zinc; Zinc-finger</t>
  </si>
  <si>
    <t>negative regulation of cell morphogenesis involved in differentiation {GO:0010771}; negative regulation of neuron differentiation {GO:0045665}; protein K48-linked ubiquitination {GO:0070936}; ubiquitin-dependent protein catabolic process {GO:0006511}</t>
  </si>
  <si>
    <t>cytosol {GO:0005829}; Golgi apparatus {GO:0005794}; nucleolus {GO:0005730}; nucleoplasm {GO:0005654}; nucleus {GO:0005634}; vacuole {GO:0005773}</t>
  </si>
  <si>
    <t>sp|Q60928|GGT1_MOUSE</t>
  </si>
  <si>
    <t>Glutathione hydrolase 1 light chain</t>
  </si>
  <si>
    <t>Gamma-glutamyltransferase 1; Gamma-glutamyltranspeptidase 1 (GGT 1); Leukotriene-C4 hydrolase; CD_antigen=CD224</t>
  </si>
  <si>
    <t>GGT1_MOUSE</t>
  </si>
  <si>
    <t>Q60928</t>
  </si>
  <si>
    <t>Ggt; Ggtp</t>
  </si>
  <si>
    <t>MGI:95706</t>
  </si>
  <si>
    <t>Acyltransferase; Cell membrane; Disulfide bond; Glutathione biosynthesis; Glycoprotein; Hydrolase; Membrane; Protease; Signal-anchor; Transferase; Transmembrane; Transmembrane helix; Zymogen</t>
  </si>
  <si>
    <t>Acyltransferase; Hydrolase; Protease; Transferase</t>
  </si>
  <si>
    <t>aging {GO:0007568}; cellular response to oxidative stress {GO:0034599}; cysteine biosynthetic process {GO:0019344}; glutamate metabolic process {GO:0006536}; glutathione biosynthetic process {GO:0006750}; glutathione catabolic process {GO:0006751}; glutathione metabolic process {GO:0006749}; hepatoblast differentiation {GO:0061017}; hepatocyte differentiation {GO:0070365}; liver regeneration {GO:0097421}; peptide modification {GO:0031179}; regulation of immune system process {GO:0002682}; regulation of inflammatory response {GO:0050727}; response to alcohol {GO:0097305}; response to estradiol {GO:0032355}; response to lipopolysaccharide {GO:0032496}; response to tumor necrosis factor {GO:0034612}; spermatogenesis {GO:0007283}; zymogen activation {GO:0031638}</t>
  </si>
  <si>
    <t>endoplasmic reticulum {GO:0005783}; extracellular space {GO:0005615}; integral component of plasma membrane {GO:0005887}; perinuclear region of cytoplasm {GO:0048471}; plasma membrane {GO:0005886}; vesicle {GO:0031982}</t>
  </si>
  <si>
    <t>aminoacyltransferase activity {GO:0016755}; glutathione hydrolase activity {GO:0036374}; hypoglycin A gamma-glutamyl transpeptidase activity {GO:0102953}; leukotriene C4 gamma-glutamyl transferase activity {GO:0103068}; leukotriene-C(4) hydrolase {GO:0002951}; peptidyltransferase activity {GO:0000048}</t>
  </si>
  <si>
    <t>Lipid metabolism; leukotriene D4 biosynthesis.</t>
  </si>
  <si>
    <t>Glutathione synthesis and recycling {R-MMU-174403}; Synthesis of Leukotrienes (LT) and Eoxins (EX) {R-MMU-2142691}; Aflatoxin activation and detoxification {R-MMU-5423646}; Paracetamol ADME {R-MMU-9753281}</t>
  </si>
  <si>
    <t>sp|P70196|TRAF6_MOUSE</t>
  </si>
  <si>
    <t>TNF receptor-associated factor 6</t>
  </si>
  <si>
    <t>E3 ubiquitin-protein ligase TRAF6; RING-type E3 ubiquitin transferase TRAF6</t>
  </si>
  <si>
    <t>TRAF6_MOUSE</t>
  </si>
  <si>
    <t>P70196</t>
  </si>
  <si>
    <t>Q6P9M0; Q8BLV2</t>
  </si>
  <si>
    <t>MGI:108072</t>
  </si>
  <si>
    <t>Alternative splicing; Coiled coil; Cytoplasm; DNA damage; Immunity; Isopeptide bond; Lipid droplet; Metal-binding; Nucleus; Osteogenesis; Repeat; Transferase; Ubl conjugation; Ubl conjugation pathway; Zinc; Zinc-finger</t>
  </si>
  <si>
    <t>DNA damage; Immunity; Osteogenesis; Ubl conjugation pathway</t>
  </si>
  <si>
    <t>Cytoplasm; Lipid droplet; Nucleus</t>
  </si>
  <si>
    <t>activation of NF-kappaB-inducing kinase activity {GO:0007250}; activation of protein kinase activity {GO:0032147}; animal organ morphogenesis {GO:0009887}; antigen processing and presentation of exogenous peptide antigen via MHC class II {GO:0019886}; bone remodeling {GO:0046849}; bone resorption {GO:0045453}; cell development {GO:0048468}; cellular response to cytokine stimulus {GO:0071345}; cellular response to DNA damage stimulus {GO:0006974}; cellular response to lipopolysaccharide {GO:0071222}; cytokine-mediated signaling pathway {GO:0019221}; I-kappaB kinase/NF-kappaB signaling {GO:0007249}; immune response {GO:0006955}; in utero embryonic development {GO:0001701}; interleukin-1-mediated signaling pathway {GO:0070498}; interleukin-17-mediated signaling pathway {GO:0097400}; JNK cascade {GO:0007254}; myeloid dendritic cell differentiation {GO:0043011}; negative regulation of DNA-templated transcription {GO:0045892}; negative regulation of transcription by RNA polymerase II {GO:0000122}; neural tube closure {GO:0001843}; odontogenesis of dentin-containing tooth {GO:0042475}; ossification {GO:0001503}; osteoclast differentiation {GO:0030316}; positive regulation of DNA-binding transcription factor activity {GO:0051091}; positive regulation of I-kappaB kinase/NF-kappaB signaling {GO:0043123}; positive regulation of interleukin-12 production {GO:0032735}; positive regulation of interleukin-2 production {GO:0032743}; positive regulation of interleukin-6 production {GO:0032755}; positive regulation of JNK cascade {GO:0046330}; positive regulation of JUN kinase activity {GO:0043507}; positive regulation of leukocyte adhesion to vascular endothelial cell {GO:1904996}; positive regulation of lipopolysaccharide-mediated signaling pathway {GO:0031666}; positive regulation of NF-kappaB transcription factor activity {GO:0051092}; positive regulation of NIK/NF-kappaB signaling {GO:1901224}; positive regulation of osteoclast differentiation {GO:0045672}; positive regulation of smooth muscle cell proliferation {GO:0048661}; positive regulation of T cell cytokine production {GO:0002726}; positive regulation of T cell proliferation {GO:0042102}; positive regulation of transcription by RNA polymerase II {GO:0045944}; positive regulation of transcription regulatory region DNA binding {GO:2000679}; protein autoubiquitination {GO:0051865}; protein K63-linked ubiquitination {GO:0070534}; protein polyubiquitination {GO:0000209}; protein ubiquitination {GO:0016567}; regulation of apoptotic process {GO:0042981}; regulation of I-kappaB kinase/NF-kappaB signaling {GO:0043122}; regulation of immunoglobulin production {GO:0002637}; response to interleukin-1 {GO:0070555}; signal transduction {GO:0007165}; T cell receptor signaling pathway {GO:0050852}; T-helper 1 type immune response {GO:0042088}; tumor necrosis factor-mediated signaling pathway {GO:0033209}</t>
  </si>
  <si>
    <t>CD40 receptor complex {GO:0035631}; cell cortex {GO:0005938}; cytoplasm {GO:0005737}; cytoplasmic side of plasma membrane {GO:0009898}; cytosol {GO:0005829}; lipid droplet {GO:0005811}; nucleus {GO:0005634}; perinuclear region of cytoplasm {GO:0048471}; plasma membrane {GO:0005886}; protein-containing complex {GO:0032991}</t>
  </si>
  <si>
    <t>histone deacetylase binding {GO:0042826}; identical protein binding {GO:0042802}; mitogen-activated protein kinase kinase kinase binding {GO:0031435}; protein kinase B binding {GO:0043422}; protein kinase binding {GO:0019901}; protein N-terminus binding {GO:0047485}; thioesterase binding {GO:0031996}; tumor necrosis factor receptor binding {GO:0005164}; tumor necrosis factor receptor superfamily binding {GO:0032813}; ubiquitin conjugating enzyme binding {GO:0031624}; ubiquitin protein ligase activity {GO:0061630}; ubiquitin protein ligase binding {GO:0031625}; ubiquitin-protein transferase activity {GO:0004842}; zinc ion binding {GO:0008270}</t>
  </si>
  <si>
    <t>PIP3 activates AKT signaling. [P70196-2] {R-MMU-1257604}; MyD88:MAL(TIRAP) cascade initiated on plasma membrane. [P70196-2] {R-MMU-166058}; NOD1/2 Signaling Pathway. [P70196-2] {R-MMU-168638}; Regulated proteolysis of p75NTR. [P70196-2] {R-MMU-193692}; Downstream TCR signaling. [P70196-2] {R-MMU-202424}; NRIF signals cell death from the nucleus. [P70196-2] {R-MMU-205043}; p75NTR recruits signalling complexes. [P70196-2] {R-MMU-209543}; NF-kB is activated and signals survival. [P70196-2] {R-MMU-209560}; FCERI mediated NF-kB activation. [P70196-2] {R-MMU-2871837}; TAK1-dependent IKK and NF-kappa-B activation. [P70196-2] {R-MMU-445989}; activated TAK1 mediates p38 MAPK activation. [P70196-2] {R-MMU-450302}; JNK (c-Jun kinases) phosphorylation and activation mediated by activated human TAK1. [P70196-2] {R-MMU-450321}; CLEC7A (Dectin-1) signaling. [P70196-2] {R-MMU-5607764}; Ub-specific processing proteases. [P70196-2] {R-MMU-5689880}; Ovarian tumor domain proteases. [P70196-2] {R-MMU-5689896}; PI5P, PP2A and IER3 Regulate PI3K/AKT Signaling. [P70196-2] {R-MMU-6811558}; Interleukin-1 signaling. [P70196-2] {R-MMU-9020702}; IRAK1 recruits IKK complex. [P70196-2] {R-MMU-937039}; IKK complex recruitment mediated by RIP1. [P70196-2] {R-MMU-937041}; IRAK2 mediated activation of TAK1 complex. [P70196-2] {R-MMU-937042}; TRAF6-mediated induction of TAK1 complex within TLR4 complex. [P70196-2] {R-MMU-937072}; Alpha-protein kinase 1 signaling pathway. [P70196-2] {R-MMU-9645460}; TRAF6 mediated induction of NFkB and MAP kinases upon TLR7/8 or 9 activation. [P70196-2] {R-MMU-975138}; IRAK1 recruits IKK complex upon TLR7/8 or 9 stimulation. [P70196-2] {R-MMU-975144}; IRAK2 mediated activation of TAK1 complex upon TLR7/8 or 9 stimulation. [P70196-2] {R-MMU-975163}; Regulation of NF-kappa B signaling. [P70196-2] {R-MMU-9758274}; MyD88 cascade initiated on plasma membrane. [P70196-2] {R-MMU-975871}</t>
  </si>
  <si>
    <t>sp|Q8BLH7|HIRP3_MOUSE</t>
  </si>
  <si>
    <t>HIRA-interacting protein 3</t>
  </si>
  <si>
    <t>HIRP3_MOUSE</t>
  </si>
  <si>
    <t>Q8BLH7</t>
  </si>
  <si>
    <t>Q3TSF3</t>
  </si>
  <si>
    <t>MGI:2142364</t>
  </si>
  <si>
    <t>sp|Q6ZPT1|KLHL9_MOUSE</t>
  </si>
  <si>
    <t>Kelch-like protein 9</t>
  </si>
  <si>
    <t>KLHL9_MOUSE</t>
  </si>
  <si>
    <t>Q6ZPT1</t>
  </si>
  <si>
    <t>Q505G5</t>
  </si>
  <si>
    <t>Kiaa1354</t>
  </si>
  <si>
    <t>MGI:2180122</t>
  </si>
  <si>
    <t>Cell cycle; Cell division; Kelch repeat; Mitosis; Repeat; Ubl conjugation pathway</t>
  </si>
  <si>
    <t>cell cycle {GO:0007049}; cell division {GO:0051301}; protein ubiquitination {GO:0016567}; regulation of cytokinesis {GO:0032465}</t>
  </si>
  <si>
    <t>Cul3-RING ubiquitin ligase complex {GO:0031463}; midbody {GO:0030496}</t>
  </si>
  <si>
    <t>cullin family protein binding {GO:0097602}; ubiquitin-protein transferase activity {GO:0004842}</t>
  </si>
  <si>
    <t>sp|Q8JZL3|THTPA_MOUSE</t>
  </si>
  <si>
    <t>Thiamine-triphosphatase (ThTPase)</t>
  </si>
  <si>
    <t>THTPA_MOUSE</t>
  </si>
  <si>
    <t>Q8JZL3</t>
  </si>
  <si>
    <t>Q3V1G2; Q8C3P9</t>
  </si>
  <si>
    <t>MGI:2446078</t>
  </si>
  <si>
    <t>3D-structure; Acetylation; Cytoplasm; Hydrolase; Magnesium; Metal-binding</t>
  </si>
  <si>
    <t>dephosphorylation {GO:0016311}; thiamine diphosphate metabolic process {GO:0042357}; thiamine metabolic process {GO:0006772}</t>
  </si>
  <si>
    <t>magnesium ion binding {GO:0000287}; thiamine triphosphate phosphatase activity {GO:0050333}</t>
  </si>
  <si>
    <t>Vitamin B1 (thiamin) metabolism {R-MMU-196819}</t>
  </si>
  <si>
    <t>sp|P18654|KS6A3_MOUSE</t>
  </si>
  <si>
    <t>Ribosomal protein S6 kinase alpha-3 (S6K-alpha-3)</t>
  </si>
  <si>
    <t>90 kDa ribosomal protein S6 kinase 3 (p90-RSK 3; p90RSK3); MAP kinase-activated protein kinase 1b (MAPK-activated protein kinase 1b; MAPKAP kinase 1b; MAPKAPK-1b); Ribosomal S6 kinase 2 (RSK-2); pp90RSK2</t>
  </si>
  <si>
    <t>KS6A3_MOUSE</t>
  </si>
  <si>
    <t>P18654</t>
  </si>
  <si>
    <t>B1AXN4; Q03140; Q8K3J8</t>
  </si>
  <si>
    <t>MGI:104557</t>
  </si>
  <si>
    <t>3D-structure; ATP-binding; Cell cycle; Cytoplasm; Kinase; Nucleotide-binding; Nucleus; Phosphoprotein; Repeat; Serine/threonine-protein kinase; Stress response; Transferase</t>
  </si>
  <si>
    <t>Cell cycle; Stress response</t>
  </si>
  <si>
    <t>cell cycle {GO:0007049}; intracellular signal transduction {GO:0035556}; negative regulation of cysteine-type endopeptidase activity involved in apoptotic process {GO:0043154}; peptidyl-serine phosphorylation {GO:0018105}; positive regulation of transcription by RNA polymerase II {GO:0045944}; response to lipopolysaccharide {GO:0032496}; toll-like receptor signaling pathway {GO:0002224}</t>
  </si>
  <si>
    <t>cytoplasm {GO:0005737}; cytosol {GO:0005829}; nucleolus {GO:0005730}; nucleoplasm {GO:0005654}</t>
  </si>
  <si>
    <t>ATP binding {GO:0005524}; cysteine-type endopeptidase inhibitor activity involved in apoptotic process {GO:0043027}; magnesium ion binding {GO:0000287}; protein kinase binding {GO:0019901}; protein serine kinase activity {GO:0106310}; protein serine/threonine kinase activity {GO:0004674}; ribosomal protein S6 kinase activity {GO:0004711}</t>
  </si>
  <si>
    <t>ERK/MAPK targets {R-MMU-198753}; CREB phosphorylation {R-MMU-199920}; Senescence-Associated Secretory Phenotype (SASP) {R-MMU-2559582}; CREB1 phosphorylation through NMDA receptor-mediated activation of RAS signaling {R-MMU-442742}; RSK activation {R-MMU-444257}; Gastrin-CREB signalling pathway via PKC and MAPK {R-MMU-881907}</t>
  </si>
  <si>
    <t>sp|Q8BX70|VP13C_MOUSE</t>
  </si>
  <si>
    <t>Intermembrane lipid transfer protein VPS13C</t>
  </si>
  <si>
    <t>Vacuolar protein sorting-associated protein 13C</t>
  </si>
  <si>
    <t>VP13C_MOUSE</t>
  </si>
  <si>
    <t>Q8BX70</t>
  </si>
  <si>
    <t>Q3V3W5; Q6ZPE1; Q8BLB1; Q8BQI7</t>
  </si>
  <si>
    <t>MGI:2444207</t>
  </si>
  <si>
    <t>Acetylation; Alternative splicing; Endoplasmic reticulum; Endosome; Lipid droplet; Lipid transport; Lysosome; Membrane; Methylation; Mitochondrion; Mitochondrion outer membrane; Phosphoprotein; Transport</t>
  </si>
  <si>
    <t>Endoplasmic reticulum; Endosome; Lipid droplet; Lysosome; Membrane; Mitochondrion; Mitochondrion outer membrane</t>
  </si>
  <si>
    <t>lipid transport {GO:0006869}; mitochondrion organization {GO:0007005}; negative regulation of parkin-mediated stimulation of mitophagy in response to mitochondrial depolarization {GO:1905090}; protein retention in Golgi apparatus {GO:0045053}; protein targeting to vacuole {GO:0006623}; response to insulin {GO:0032868}</t>
  </si>
  <si>
    <t>cytosol {GO:0005829}; dense core granule membrane {GO:0032127}; endoplasmic reticulum membrane {GO:0005789}; extrinsic component of membrane {GO:0019898}; late endosome {GO:0005770}; late endosome membrane {GO:0031902}; lipid droplet {GO:0005811}; lysosomal membrane {GO:0005765}; lysosome {GO:0005764}; mitochondrial outer membrane {GO:0005741}</t>
  </si>
  <si>
    <t>sp|Q8C142|ARH_MOUSE</t>
  </si>
  <si>
    <t>Low density lipoprotein receptor adapter protein 1</t>
  </si>
  <si>
    <t>Autosomal recessive hypercholesterolemia protein homolog</t>
  </si>
  <si>
    <t>ARH_MOUSE</t>
  </si>
  <si>
    <t>Q8C142</t>
  </si>
  <si>
    <t>Q3TW86; Q6NWV6; Q8VDQ0</t>
  </si>
  <si>
    <t>MGI:2140175</t>
  </si>
  <si>
    <t>Acetylation; Atherosclerosis; Cholesterol metabolism; Cytoplasm; Endocytosis; Hyperlipidemia; Lipid metabolism; Phosphoprotein; Steroid metabolism; Sterol metabolism</t>
  </si>
  <si>
    <t>Cholesterol metabolism; Endocytosis; Lipid metabolism; Steroid metabolism; Sterol metabolism</t>
  </si>
  <si>
    <t>Atherosclerosis; Hyperlipidemia</t>
  </si>
  <si>
    <t>amyloid precursor protein metabolic process {GO:0042982}; cellular response to cytokine stimulus {GO:0071345}; cholesterol homeostasis {GO:0042632}; cholesterol metabolic process {GO:0008203}; low-density lipoprotein particle clearance {GO:0034383}; positive regulation of low-density lipoprotein particle clearance {GO:1905581}; positive regulation of receptor-mediated endocytosis {GO:0048260}; positive regulation of receptor-mediated endocytosis involved in cholesterol transport {GO:1905602}; positive regulation of vascular associated smooth muscle cell proliferation {GO:1904707}; receptor internalization {GO:0031623}; receptor-mediated endocytosis {GO:0006898}; receptor-mediated endocytosis involved in cholesterol transport {GO:0090118}; regulation of protein binding {GO:0043393}; regulation of protein localization to plasma membrane {GO:1903076}</t>
  </si>
  <si>
    <t>axon {GO:0030424}; basal plasma membrane {GO:0009925}; cytoplasm {GO:0005737}; cytoplasmic side of plasma membrane {GO:0009898}; cytosol {GO:0005829}; early endosome {GO:0005769}; neurofilament {GO:0005883}; recycling endosome {GO:0055037}</t>
  </si>
  <si>
    <t>amyloid-beta binding {GO:0001540}; AP-1 adaptor complex binding {GO:0035650}; AP-2 adaptor complex binding {GO:0035612}; clathrin adaptor activity {GO:0035615}; clathrin binding {GO:0030276}; low-density lipoprotein particle receptor binding {GO:0050750}; phosphatidylinositol-4,5-bisphosphate binding {GO:0005546}; phosphotyrosine residue binding {GO:0001784}; signaling adaptor activity {GO:0035591}; signaling receptor binding {GO:0005102}; signaling receptor complex adaptor activity {GO:0030159}</t>
  </si>
  <si>
    <t>Cargo recognition for clathrin-mediated endocytosis {R-MMU-8856825}; Clathrin-mediated endocytosis {R-MMU-8856828}; Chylomicron clearance {R-MMU-8964026}; LDL clearance {R-MMU-8964038}; Transport of RCbl within the body {R-MMU-9758890}</t>
  </si>
  <si>
    <t>sp|B9EJ80|PDZD8_MOUSE</t>
  </si>
  <si>
    <t>PDZ domain-containing protein 8</t>
  </si>
  <si>
    <t>PDZD8_MOUSE</t>
  </si>
  <si>
    <t>B9EJ80</t>
  </si>
  <si>
    <t>Q3UMB1</t>
  </si>
  <si>
    <t>MGI:2677270</t>
  </si>
  <si>
    <t>Coiled coil; Endoplasmic reticulum; Lipid transport; Lipid-binding; Membrane; Metal-binding; Phosphoprotein; Transmembrane; Transmembrane helix; Transport; Zinc; Zinc-finger</t>
  </si>
  <si>
    <t>cytoskeleton organization {GO:0007010}; lipid transport {GO:0006869}; mitochondrial calcium ion homeostasis {GO:0051560}; mitochondrion-endoplasmic reticulum membrane tethering {GO:1990456}; regulation of cell morphogenesis {GO:0022604}</t>
  </si>
  <si>
    <t>endoplasmic reticulum membrane {GO:0005789}; integral component of membrane {GO:0016021}; mitochondria-associated endoplasmic reticulum membrane {GO:0044233}; mitochondrion {GO:0005739}</t>
  </si>
  <si>
    <t>lipid binding {GO:0008289}; metal ion binding {GO:0046872}</t>
  </si>
  <si>
    <t>sp|Q9CQE3|RT17_MOUSE</t>
  </si>
  <si>
    <t>28S ribosomal protein S17, mitochondrial (MRP-S17; S17mt)</t>
  </si>
  <si>
    <t>RT17_MOUSE</t>
  </si>
  <si>
    <t>Q9CQE3</t>
  </si>
  <si>
    <t>Rpms17</t>
  </si>
  <si>
    <t>MGI:1913508</t>
  </si>
  <si>
    <t>Mitochondrion; Ribonucleoprotein; Ribosomal protein; RNA-binding; rRNA-binding; Transit peptide</t>
  </si>
  <si>
    <t>sp|Q9CXY9|GPI8_MOUSE</t>
  </si>
  <si>
    <t>GPI-anchor transamidase (GPI transamidase)</t>
  </si>
  <si>
    <t>Phosphatidylinositol-glycan biosynthesis class K protein (PIG-K)</t>
  </si>
  <si>
    <t>GPI8_MOUSE</t>
  </si>
  <si>
    <t>Q9CXY9</t>
  </si>
  <si>
    <t>Q8BH63</t>
  </si>
  <si>
    <t>MGI:1913863</t>
  </si>
  <si>
    <t>Disulfide bond; Endoplasmic reticulum; GPI-anchor biosynthesis; Hydrolase; Membrane; Protease; Signal; Thiol protease; Transmembrane; Transmembrane helix</t>
  </si>
  <si>
    <t>attachment of GPI anchor to protein {GO:0016255}; protein localization to cell surface {GO:0034394}; proteolysis {GO:0006508}</t>
  </si>
  <si>
    <t>GPI-anchor transamidase activity {GO:0003923}</t>
  </si>
  <si>
    <t>sp|Q3UDP0|WDR41_MOUSE</t>
  </si>
  <si>
    <t>WD repeat-containing protein 41</t>
  </si>
  <si>
    <t>WDR41_MOUSE</t>
  </si>
  <si>
    <t>Q3UDP0</t>
  </si>
  <si>
    <t>Q8C4F1; Q8C8K5</t>
  </si>
  <si>
    <t>MGI:2445123</t>
  </si>
  <si>
    <t>Alternative splicing; Autophagy; Cytoplasm; Repeat; WD repeat</t>
  </si>
  <si>
    <t>autophagy {GO:0006914}; negative regulation of exocytosis {GO:0045920}; negative regulation of immune response {GO:0050777}; positive regulation of GTPase activity {GO:0043547}; regulation of autophagy {GO:0010506}</t>
  </si>
  <si>
    <t>Atg1/ULK1 kinase complex {GO:1990316}; cytoplasm {GO:0005737}; guanyl-nucleotide exchange factor complex {GO:0032045}</t>
  </si>
  <si>
    <t>sp|Q3TLI0|TPC10_MOUSE</t>
  </si>
  <si>
    <t>Trafficking protein particle complex subunit 10</t>
  </si>
  <si>
    <t>Trafficking protein particle complex subunit TMEM1; Transport protein particle subunit TMEM1 (TRAPP subunit TMEM1)</t>
  </si>
  <si>
    <t>TPC10_MOUSE</t>
  </si>
  <si>
    <t>Q3TLI0</t>
  </si>
  <si>
    <t>F8VQF9; Q811H4</t>
  </si>
  <si>
    <t>Tmem1</t>
  </si>
  <si>
    <t>MGI:1336209</t>
  </si>
  <si>
    <t>ER-Golgi transport; Golgi apparatus; Phosphoprotein; Transport</t>
  </si>
  <si>
    <t>early endosome to Golgi transport {GO:0034498}; endoplasmic reticulum to Golgi vesicle-mediated transport {GO:0006888}; intra-Golgi vesicle-mediated transport {GO:0006891}; vesicle coating {GO:0006901}; vesicle tethering {GO:0099022}</t>
  </si>
  <si>
    <t>cytoplasm {GO:0005737}; cytosol {GO:0005829}; TRAPP complex {GO:0030008}; TRAPPII protein complex {GO:1990071}</t>
  </si>
  <si>
    <t>sp|Q8R1T1|CHMP7_MOUSE</t>
  </si>
  <si>
    <t>Charged multivesicular body protein 7</t>
  </si>
  <si>
    <t>Chromatin-modifying protein 7</t>
  </si>
  <si>
    <t>CHMP7_MOUSE</t>
  </si>
  <si>
    <t>Q8R1T1</t>
  </si>
  <si>
    <t>Q8CFW4</t>
  </si>
  <si>
    <t>MGI:1913922</t>
  </si>
  <si>
    <t>Alternative splicing; Coiled coil; Cytoplasm; Nucleus; Phosphoprotein; Protein transport; Transport</t>
  </si>
  <si>
    <t>autophagosome maturation {GO:0097352}; autophagy {GO:0006914}; exit from mitosis {GO:0010458}; late endosome to lysosome transport {GO:1902774}; late endosome to vacuole transport {GO:0045324}; late endosome to vacuole transport via multivesicular body sorting pathway {GO:0032511}; membrane fission {GO:0090148}; midbody abscission {GO:0061952}; mitotic metaphase plate congression {GO:0007080}; multivesicular body assembly {GO:0036258}; multivesicular body sorting pathway {GO:0071985}; multivesicular body-lysosome fusion {GO:0061763}; negative regulation of cell death {GO:0060548}; nuclear membrane reassembly {GO:0031468}; nucleus organization {GO:0006997}; plasma membrane repair {GO:0001778}; protein localization to chromatin {GO:0071168}; protein transport {GO:0015031}; regulation of mitotic spindle assembly {GO:1901673}; ubiquitin-dependent protein catabolic process via the multivesicular body sorting pathway {GO:0043162}; vesicle budding from membrane {GO:0006900}; vesicle fusion with vacuole {GO:0051469}; viral budding from plasma membrane {GO:0046761}; viral budding via host ESCRT complex {GO:0039702}</t>
  </si>
  <si>
    <t>amphisome membrane {GO:1904930}; autophagosome membrane {GO:0000421}; chromatin {GO:0000785}; cytosol {GO:0005829}; ESCRT III complex {GO:0000815}; kinetochore {GO:0000776}; kinetochore microtubule {GO:0005828}; lysosomal membrane {GO:0005765}; midbody {GO:0030496}; multivesicular body {GO:0005771}; multivesicular body membrane {GO:0032585}; nuclear envelope {GO:0005635}; nuclear pore {GO:0005643}; nucleoplasm {GO:0005654}; plasma membrane {GO:0005886}</t>
  </si>
  <si>
    <t>sp|P57746|VATD_MOUSE</t>
  </si>
  <si>
    <t>V-type proton ATPase subunit D (V-ATPase subunit D)</t>
  </si>
  <si>
    <t>V-ATPase 28 kDa accessory protein; Vacuolar proton pump subunit D</t>
  </si>
  <si>
    <t>VATD_MOUSE</t>
  </si>
  <si>
    <t>P57746</t>
  </si>
  <si>
    <t>Atp6m; Vatd</t>
  </si>
  <si>
    <t>MGI:1921084</t>
  </si>
  <si>
    <t>Cell projection; Cilium biogenesis/degradation; Cytoplasm; Cytoplasmic vesicle; Cytoskeleton; Hydrogen ion transport; Ion transport; Membrane; Transport</t>
  </si>
  <si>
    <t>cilium assembly {GO:0060271}; protein localization to cilium {GO:0061512}</t>
  </si>
  <si>
    <t>centrosome {GO:0005813}; cilium {GO:0005929}; clathrin-coated vesicle membrane {GO:0030665}; membrane {GO:0016020}; proton-transporting V-type ATPase complex {GO:0033176}; vacuolar proton-transporting V-type ATPase, V1 domain {GO:0000221}</t>
  </si>
  <si>
    <t>ROS and RNS production in phagocytes {R-MMU-1222556}; Neutrophil degranulation {R-MMU-6798695}; Insulin receptor recycling {R-MMU-77387}; Transferrin endocytosis and recycling {R-MMU-917977}; Amino acids regulate mTORC1 {R-MMU-9639288}; Ion channel transport {R-MMU-983712}</t>
  </si>
  <si>
    <t>sp|O54786|DFFA_MOUSE</t>
  </si>
  <si>
    <t>DNA fragmentation factor subunit alpha</t>
  </si>
  <si>
    <t>DNA fragmentation factor 45 kDa subunit (DFF-45); Inhibitor of CAD (ICAD)</t>
  </si>
  <si>
    <t>DFFA_MOUSE</t>
  </si>
  <si>
    <t>O54786</t>
  </si>
  <si>
    <t>B2KFX0; O54787; Q8BQC7</t>
  </si>
  <si>
    <t>Icad</t>
  </si>
  <si>
    <t>MGI:1196227</t>
  </si>
  <si>
    <t>3D-structure; Acetylation; Alternative splicing; Apoptosis; Cytoplasm; Phosphoprotein</t>
  </si>
  <si>
    <t>apoptotic DNA fragmentation {GO:0006309}; chaperone-mediated protein folding {GO:0061077}; negative regulation of apoptotic DNA fragmentation {GO:1902511}; negative regulation of deoxyribonuclease activity {GO:0032076}; negative regulation of execution phase of apoptosis {GO:1900118}; positive regulation of apoptotic process {GO:0043065}; regulation of apoptotic process {GO:0042981}; thymocyte apoptotic process {GO:0070242}</t>
  </si>
  <si>
    <t>deoxyribonuclease inhibitor activity {GO:0060703}; protein domain specific binding {GO:0019904}; protein folding chaperone {GO:0044183}</t>
  </si>
  <si>
    <t>sp|Q5M8N4|D39U1_MOUSE</t>
  </si>
  <si>
    <t>Epimerase family protein SDR39U1</t>
  </si>
  <si>
    <t>Short-chain dehydrogenase/reductase family 39U member 1</t>
  </si>
  <si>
    <t>D39U1_MOUSE</t>
  </si>
  <si>
    <t>Q5M8N4</t>
  </si>
  <si>
    <t>Q3V467; Q8BWX0</t>
  </si>
  <si>
    <t>MGI:1916876</t>
  </si>
  <si>
    <t>sp|Q8R059|GALE_MOUSE</t>
  </si>
  <si>
    <t>UDP-glucose 4-epimerase</t>
  </si>
  <si>
    <t>Galactowaldenase; UDP-N-acetylglucosamine 4-epimerase (UDP-GlcNAc 4-epimerase); UDP-galactosamine 4-epimerase (UDP-GalNAc 4-epimerase); UDP-galactose 4-epimerase</t>
  </si>
  <si>
    <t>GALE_MOUSE</t>
  </si>
  <si>
    <t>Q8R059</t>
  </si>
  <si>
    <t>MGI:1921496</t>
  </si>
  <si>
    <t>Carbohydrate metabolism; Galactose metabolism; Isomerase; NAD</t>
  </si>
  <si>
    <t>galactose catabolic process {GO:0019388}; galactose catabolic process via UDP-galactose {GO:0033499}; galactose metabolic process {GO:0006012}; glycolytic process from galactose {GO:0061623}</t>
  </si>
  <si>
    <t>identical protein binding {GO:0042802}; protein homodimerization activity {GO:0042803}; UDP-glucose 4-epimerase activity {GO:0003978}; UDP-N-acetylglucosamine 4-epimerase activity {GO:0003974}</t>
  </si>
  <si>
    <t>sp|Q9DB25|ALG5_MOUSE</t>
  </si>
  <si>
    <t>Dolichyl-phosphate beta-glucosyltransferase (DolP-glucosyltransferase)</t>
  </si>
  <si>
    <t>Asparagine-linked glycosylation protein 5 homolog</t>
  </si>
  <si>
    <t>ALG5_MOUSE</t>
  </si>
  <si>
    <t>Q9DB25</t>
  </si>
  <si>
    <t>MGI:1913498</t>
  </si>
  <si>
    <t>Endoplasmic reticulum; Glycoprotein; Glycosyltransferase; Membrane; Signal-anchor; Transferase; Transmembrane; Transmembrane helix</t>
  </si>
  <si>
    <t>determination of left/right symmetry {GO:0007368}; protein N-linked glycosylation {GO:0006487}</t>
  </si>
  <si>
    <t>dolichyl-phosphate beta-glucosyltransferase activity {GO:0004581}</t>
  </si>
  <si>
    <t>sp|Q91YE3|EGLN1_MOUSE</t>
  </si>
  <si>
    <t>Egl nine homolog 1</t>
  </si>
  <si>
    <t>Hypoxia-inducible factor prolyl hydroxylase 2 (HIF-PH2; HIF-prolyl hydroxylase 2; HPH-2); Prolyl hydroxylase domain-containing protein 2 (PHD2); SM-20</t>
  </si>
  <si>
    <t>EGLN1_MOUSE</t>
  </si>
  <si>
    <t>Q91YE3</t>
  </si>
  <si>
    <t>Q8VHJ2; Q922P3</t>
  </si>
  <si>
    <t>MGI:1932286</t>
  </si>
  <si>
    <t>Acetylation; Cytoplasm; Dioxygenase; Iron; Metal-binding; Nucleus; Oxidoreductase; Phosphoprotein; S-nitrosylation; Vitamin C; Zinc; Zinc-finger</t>
  </si>
  <si>
    <t>Iron; Metal-binding; Vitamin C; Zinc</t>
  </si>
  <si>
    <t>cardiac muscle tissue morphogenesis {GO:0055008}; cellular iron ion homeostasis {GO:0006879}; cellular response to hypoxia {GO:0071456}; heart trabecula formation {GO:0060347}; labyrinthine layer development {GO:0060711}; negative regulation of CAMKK-AMPK signaling cascade {GO:1905290}; negative regulation of cyclic-nucleotide phosphodiesterase activity {GO:0051344}; negative regulation of DNA-binding transcription factor activity {GO:0043433}; oxygen homeostasis {GO:0032364}; peptidyl-proline hydroxylation to 4-hydroxy-L-proline {GO:0018401}; positive regulation of apoptotic process {GO:0043065}; positive regulation of neuron death {GO:1901216}; positive regulation of transcription by RNA polymerase II {GO:0045944}; regulation of angiogenesis {GO:0045765}; regulation of neuron death {GO:1901214}; regulation of postsynapse organization {GO:0099175}; regulation of protein catabolic process at postsynapse, modulating synaptic transmission {GO:0099576}; response to hypoxia {GO:0001666}; response to nitric oxide {GO:0071731}; ventricular septum morphogenesis {GO:0060412}</t>
  </si>
  <si>
    <t>cytoplasm {GO:0005737}; cytosol {GO:0005829}; glutamatergic synapse {GO:0098978}; nucleus {GO:0005634}; postsynaptic density {GO:0014069}</t>
  </si>
  <si>
    <t>2-oxoglutarate-dependent dioxygenase activity {GO:0016706}; enzyme binding {GO:0019899}; ferrous iron binding {GO:0008198}; L-ascorbic acid binding {GO:0031418}; peptidyl-proline 4-dioxygenase activity {GO:0031545}; peptidyl-proline dioxygenase activity {GO:0031543}</t>
  </si>
  <si>
    <t>sp|Q91YT7|YTHD2_MOUSE</t>
  </si>
  <si>
    <t>YTH domain-containing family protein 2</t>
  </si>
  <si>
    <t>YTHD2_MOUSE</t>
  </si>
  <si>
    <t>Q91YT7</t>
  </si>
  <si>
    <t>Q3TWU3; Q8BM70; Q8K325</t>
  </si>
  <si>
    <t>MGI:2444233</t>
  </si>
  <si>
    <t>Acetylation; Cell cycle; Cell division; Cytoplasm; Differentiation; Immunity; Innate immunity; Mitosis; Nucleus; Oogenesis; Phosphoprotein; RNA-binding; Spermatogenesis; Ubl conjugation</t>
  </si>
  <si>
    <t>Cell cycle; Cell division; Differentiation; Immunity; Innate immunity; Mitosis; Oogenesis; Spermatogenesis</t>
  </si>
  <si>
    <t>cell cycle {GO:0007049}; embryonic morphogenesis {GO:0048598}; endothelial to hematopoietic transition {GO:0098508}; gamete generation {GO:0007276}; hematopoietic stem cell proliferation {GO:0071425}; innate immune response {GO:0045087}; mRNA catabolic process {GO:0006402}; mRNA destabilization {GO:0061157}; negative regulation of Notch signaling pathway {GO:0045746}; negative regulation of stem cell differentiation {GO:2000737}; negative regulation of type I interferon-mediated signaling pathway {GO:0060339}; oocyte maturation {GO:0001556}; organelle assembly {GO:0070925}; positive regulation of cap-independent translational initiation {GO:1903679}; regulation of cell adhesion {GO:0030155}; regulation of hematopoietic stem cell differentiation {GO:1902036}; regulation of meiotic cell cycle process involved in oocyte maturation {GO:1903538}; regulation of mRNA stability {GO:0043488}; regulation of neurogenesis {GO:0050767}; regulation of rRNA processing {GO:2000232}; spermatogonial cell division {GO:0007284}; stress granule assembly {GO:0034063}</t>
  </si>
  <si>
    <t>centriolar satellite {GO:0034451}; cytoplasm {GO:0005737}; cytoplasmic ribonucleoprotein granule {GO:0036464}; cytoplasmic stress granule {GO:0010494}; cytosol {GO:0005829}; nucleus {GO:0005634}; P-body {GO:0000932}</t>
  </si>
  <si>
    <t>C5-methylcytidine-containing RNA binding {GO:0062153}; mRNA binding {GO:0003729}; N6-methyladenosine-containing RNA binding {GO:1990247}</t>
  </si>
  <si>
    <t>sp|Q6PF93|PK3C3_MOUSE</t>
  </si>
  <si>
    <t>Phosphatidylinositol 3-kinase catalytic subunit type 3 (PI3-kinase type 3; PI3K type 3; PtdIns-3-kinase type 3)</t>
  </si>
  <si>
    <t>Phosphoinositide-3-kinase class 3</t>
  </si>
  <si>
    <t>PK3C3_MOUSE</t>
  </si>
  <si>
    <t>Q6PF93</t>
  </si>
  <si>
    <t>Q8R3S8</t>
  </si>
  <si>
    <t>MGI:2445019</t>
  </si>
  <si>
    <t>Alternative splicing; ATP-binding; Autophagy; Cell cycle; Cell division; Cytoplasmic vesicle; Endosome; Kinase; Lipid metabolism; Manganese; Nucleotide-binding; Phosphoprotein; Transferase; Ubl conjugation</t>
  </si>
  <si>
    <t>Autophagy; Cell cycle; Cell division; Lipid metabolism</t>
  </si>
  <si>
    <t>ATP-binding; Manganese; Nucleotide-binding</t>
  </si>
  <si>
    <t>autophagosome assembly {GO:0000045}; autophagosome maturation {GO:0097352}; autophagy {GO:0006914}; autophagy of peroxisome {GO:0030242}; cell cycle {GO:0007049}; cell division {GO:0051301}; cellular response to glucose starvation {GO:0042149}; cellular response to starvation {GO:0009267}; early endosome to late endosome transport {GO:0045022}; endocytosis {GO:0006897}; endosome organization {GO:0007032}; macroautophagy {GO:0016236}; phosphatidylinositol phosphate biosynthetic process {GO:0046854}; phosphatidylinositol-3-phosphate biosynthetic process {GO:0036092}; phosphatidylinositol-mediated signaling {GO:0048015}; positive regulation by host of viral genome replication {GO:0044829}; protein lipidation {GO:0006497}; protein localization to phagophore assembly site {GO:0034497}; protein phosphorylation {GO:0006468}; protein processing {GO:0016485}; protein targeting to lysosome {GO:0006622}; regulation of autophagy {GO:0010506}; regulation of cytokinesis {GO:0032465}; regulation of macroautophagy {GO:0016241}; regulation of protein secretion {GO:0050708}; response to leucine {GO:0043201}</t>
  </si>
  <si>
    <t>autolysosome {GO:0044754}; cytoplasm {GO:0005737}; cytosol {GO:0005829}; endosome {GO:0005768}; late endosome {GO:0005770}; membrane {GO:0016020}; midbody {GO:0030496}; peroxisome {GO:0005777}; phagocytic vesicle {GO:0045335}; phagophore assembly site {GO:0000407}; phosphatidylinositol 3-kinase complex, class III {GO:0035032}; phosphatidylinositol 3-kinase complex, class III, type I {GO:0034271}; phosphatidylinositol 3-kinase complex, class III, type II {GO:0034272}</t>
  </si>
  <si>
    <t>1-phosphatidylinositol-3-kinase activity {GO:0016303}; ATP binding {GO:0005524}; kinase activity {GO:0016301}; phosphatidylinositol 3-kinase activity {GO:0035004}; phosphatidylinositol kinase activity {GO:0052742}; protein kinase activity {GO:0004672}</t>
  </si>
  <si>
    <t>PI3K Cascade {R-MMU-109704}; Macroautophagy {R-MMU-1632852}; Synthesis of PIPs at the Golgi membrane {R-MMU-1660514}; Synthesis of PIPs at the early endosome membrane {R-MMU-1660516}; Synthesis of PIPs at the late endosome membrane {R-MMU-1660517}; Toll Like Receptor 9 (TLR9) Cascade {R-MMU-168138}; RHO GTPases Activate NADPH Oxidases {R-MMU-5668599}</t>
  </si>
  <si>
    <t>sp|P11859|ANGT_MOUSE</t>
  </si>
  <si>
    <t>Angiotensin 1-4</t>
  </si>
  <si>
    <t>Serpin A8; Angiotensin 1-10; Angiotensin I (Ang I); Angiotensin 1-8; Angiotensin II (Ang II); Angiotensin 2-8; Angiotensin III (Ang III); Des-Asp[1]-angiotensin II; Angiotensin 3-8; Angiotensin IV (Ang IV)</t>
  </si>
  <si>
    <t>ANGT_MOUSE</t>
  </si>
  <si>
    <t>P11859</t>
  </si>
  <si>
    <t>Serpina8</t>
  </si>
  <si>
    <t>MGI:87963</t>
  </si>
  <si>
    <t>3D-structure; Disulfide bond; Glycoprotein; Secreted; Signal; Vasoactive; Vasoconstrictor</t>
  </si>
  <si>
    <t>Vasoactive; Vasoconstrictor</t>
  </si>
  <si>
    <t>activation of NF-kappaB-inducing kinase activity {GO:0007250}; activation of phospholipase C activity {GO:0007202}; aldosterone secretion {GO:0035932}; angiotensin-activated signaling pathway {GO:0038166}; angiotensin-mediated drinking behavior {GO:0003051}; angiotensin-mediated vasoconstriction involved in regulation of systemic arterial blood pressure {GO:0001998}; artery smooth muscle contraction {GO:0014824}; associative learning {GO:0008306}; astrocyte activation {GO:0048143}; blood vessel development {GO:0001568}; brain renin-angiotensin system {GO:0002035}; branching involved in ureteric bud morphogenesis {GO:0001658}; cell growth involved in cardiac muscle cell development {GO:0061049}; cell population proliferation {GO:0008283}; cell surface receptor signaling pathway {GO:0007166}; cell-matrix adhesion {GO:0007160}; cellular sodium ion homeostasis {GO:0006883}; drinking behavior {GO:0042756}; ERK1 and ERK2 cascade {GO:0070371}; establishment of blood-nerve barrier {GO:0008065}; extracellular matrix organization {GO:0030198}; fibroblast proliferation {GO:0048144}; G protein-coupled receptor signaling pathway {GO:0007186}; hormone metabolic process {GO:0042445}; kidney development {GO:0001822}; MAPK cascade {GO:0000165}; negative regulation of angiogenesis {GO:0016525}; negative regulation of cell growth {GO:0030308}; negative regulation of cell population proliferation {GO:0008285}; negative regulation of endopeptidase activity {GO:0010951}; negative regulation of gene expression {GO:0010629}; negative regulation of MAP kinase activity {GO:0043407}; negative regulation of neuron apoptotic process {GO:0043524}; negative regulation of neurotrophin TRK receptor signaling pathway {GO:0051387}; negative regulation of smooth muscle cell proliferation {GO:0048662}; negative regulation of tissue remodeling {GO:0034104}; negative regulation of vascular associated smooth muscle cell proliferation {GO:1904706}; neuron apoptotic process {GO:0051402}; operant conditioning {GO:0035106}; organ growth {GO:0035265}; ovarian follicle rupture {GO:0001543}; peristalsis {GO:0030432}; positive regulation of activation of Janus kinase activity {GO:0010536}; positive regulation of blood pressure {GO:0045777}; positive regulation of branching involved in ureteric bud morphogenesis {GO:0090190}; positive regulation of cardiac muscle cell apoptotic process {GO:0010666}; positive regulation of cardiac muscle hypertrophy {GO:0010613}; positive regulation of catalytic activity {GO:0043085}; positive regulation of cell population proliferation {GO:0008284}; positive regulation of CoA-transferase activity {GO:1905920}; positive regulation of cytokine production {GO:0001819}; positive regulation of cytosolic calcium ion concentration {GO:0007204}; positive regulation of DNA-templated transcription {GO:0045893}; positive regulation of endothelial cell migration {GO:0010595}; positive regulation of epidermal growth factor receptor signaling pathway {GO:0045742}; positive regulation of extracellular matrix constituent secretion {GO:0003331}; positive regulation of extrinsic apoptotic signaling pathway {GO:2001238}; positive regulation of fatty acid biosynthetic process {GO:0045723}; positive regulation of fibroblast proliferation {GO:0048146}; positive regulation of gap junction assembly {GO:1903598}; positive regulation of gene expression {GO:0010628}; positive regulation of insulin receptor signaling pathway {GO:0046628}; positive regulation of L-arginine import across plasma membrane {GO:1905589}; positive regulation of L-lysine import across plasma membrane {GO:1905010}; positive regulation of macrophage derived foam cell differentiation {GO:0010744}; positive regulation of MAPK cascade {GO:0043410}; positive regulation of membrane hyperpolarization {GO:1902632}; positive regulation of multicellular organism growth {GO:0040018}; positive regulation of neuron projection development {GO:0010976}; positive regulation of nitric oxide biosynthetic process {GO:0045429}; positive regulation of organ growth {GO:0046622}; positive regulation of peptidyl-serine phosphorylation {GO:0033138}; positive regulation of peptidyl-tyrosine phosphorylation {GO:0050731}; positive regulation of phosphatidylinositol 3-kinase signaling {GO:0014068}; positive regulation of protein kinase C activity {GO:1900020}; positive regulation of protein metabolic process {GO:0051247}; positive regulation of protein tyrosine kinase activity {GO:0061098}; positive regulation of renal sodium excretion {GO:0035815}; positive regulation of superoxide anion generation {GO:0032930}; positive regulation of vascular associated smooth muscle cell migration {GO:1904754}; positive regulation of vascular associated smooth muscle cell proliferation {GO:1904707}; protein import into nucleus {GO:0006606}; regulation of apoptotic process {GO:0042981}; regulation of blood pressure {GO:0008217}; regulation of calcium ion transport {GO:0051924}; regulation of cardiac conduction {GO:1903779}; regulation of extracellular matrix assembly {GO:1901201}; regulation of gene expression {GO:0010468}; regulation of heart rate {GO:0002027}; regulation of inflammatory response {GO:0050727}; regulation of long-term neuronal synaptic plasticity {GO:0048169}; regulation of norepinephrine secretion {GO:0014061}; regulation of renal output by angiotensin {GO:0002019}; regulation of renal sodium excretion {GO:0035813}; regulation of systemic arterial blood pressure by circulatory renin-angiotensin {GO:0001991}; regulation of transmission of nerve impulse {GO:0051969}; renal response to blood flow involved in circulatory renin-angiotensin regulation of systemic arterial blood pressure {GO:0001999}; renal system process {GO:0003014}; renin-angiotensin regulation of aldosterone production {GO:0002018}; response to cold {GO:0009409}; response to muscle activity involved in regulation of muscle adaptation {GO:0014873}; response to salt stress {GO:0009651}; smooth muscle cell differentiation {GO:0051145}; smooth muscle cell proliferation {GO:0048659}; stress-activated MAPK cascade {GO:0051403}; uterine smooth muscle contraction {GO:0070471}; vascular associated smooth muscle cell proliferation {GO:1990874}; vasoconstriction {GO:0042310}; vasodilation {GO:0042311}; vasopressin secretion {GO:0030103}</t>
  </si>
  <si>
    <t>hormone activity {GO:0005179}; receptor ligand activity {GO:0048018}; serine-type endopeptidase inhibitor activity {GO:0004867}; sodium channel regulator activity {GO:0017080}; type 1 angiotensin receptor binding {GO:0031702}; type 2 angiotensin receptor binding {GO:0031703}</t>
  </si>
  <si>
    <t>Metabolism of Angiotensinogen to Angiotensins {R-MMU-2022377}; Peptide ligand-binding receptors {R-MMU-375276}; G alpha (q) signalling events {R-MMU-416476}; G alpha (i) signalling events {R-MMU-418594}</t>
  </si>
  <si>
    <t>sp|O35083|PLCA_MOUSE</t>
  </si>
  <si>
    <t>1-acyl-sn-glycerol-3-phosphate acyltransferase alpha</t>
  </si>
  <si>
    <t>1-acylglycerol-3-phosphate O-acyltransferase 1 (1-AGP acyltransferase 1; 1-AGPAT 1); Lysophosphatidic acid acyltransferase alpha (LPAAT-alpha)</t>
  </si>
  <si>
    <t>PLCA_MOUSE</t>
  </si>
  <si>
    <t>O35083</t>
  </si>
  <si>
    <t>O35446</t>
  </si>
  <si>
    <t>MGI:1932075</t>
  </si>
  <si>
    <t>Acyltransferase; Endoplasmic reticulum; Lipid biosynthesis; Lipid metabolism; Membrane; Phospholipid biosynthesis; Phospholipid metabolism; Signal; Transferase; Transmembrane; Transmembrane helix</t>
  </si>
  <si>
    <t>CDP-diacylglycerol biosynthetic process {GO:0016024}; phosphatidic acid biosynthetic process {GO:0006654}; positive regulation of cytokine production {GO:0001819}</t>
  </si>
  <si>
    <t>1-acylglycerol-3-phosphate O-acyltransferase activity {GO:0003841}</t>
  </si>
  <si>
    <t>Synthesis of PA {R-MMU-1483166}; ChREBP activates metabolic gene expression {R-MMU-163765}</t>
  </si>
  <si>
    <t>sp|Q99MK8|ARBK1_MOUSE</t>
  </si>
  <si>
    <t>Beta-adrenergic receptor kinase 1 (Beta-ARK-1)</t>
  </si>
  <si>
    <t>G-protein-coupled receptor kinase 2</t>
  </si>
  <si>
    <t>ARBK1_MOUSE</t>
  </si>
  <si>
    <t>Q99MK8</t>
  </si>
  <si>
    <t>Q99LL8</t>
  </si>
  <si>
    <t>Adrbk1</t>
  </si>
  <si>
    <t>MGI:87940</t>
  </si>
  <si>
    <t>ATP-binding; Cell membrane; Cell projection; Cytoplasm; Kinase; Membrane; Nucleotide-binding; Phosphoprotein; Serine/threonine-protein kinase; Synapse; Transferase</t>
  </si>
  <si>
    <t>cardiac muscle contraction {GO:0060048}; cellular response to chemokine {GO:1990869}; cellular response to epidermal growth factor stimulus {GO:0071364}; cellular response to glucose stimulus {GO:0071333}; desensitization of G protein-coupled receptor signaling pathway {GO:0002029}; follicle-stimulating hormone signaling pathway {GO:0042699}; G protein-coupled receptor signaling pathway {GO:0007186}; heart development {GO:0007507}; maintenance of protein location in nucleus {GO:0051457}; negative regulation of adenylate cyclase-activating G protein-coupled receptor signaling pathway {GO:0106072}; negative regulation of apoptotic process {GO:0043066}; negative regulation of cellular response to insulin stimulus {GO:1900077}; negative regulation of cysteine-type endopeptidase activity {GO:2000117}; negative regulation of G protein-coupled receptor signaling pathway {GO:0045744}; negative regulation of glucose import {GO:0046325}; negative regulation of peptidyl-serine phosphorylation {GO:0033137}; negative regulation of peptidyl-threonine phosphorylation {GO:0010801}; negative regulation of relaxation of smooth muscle {GO:1901081}; negative regulation of striated muscle contraction {GO:0045988}; negative regulation of the force of heart contraction by chemical signal {GO:0003108}; oligodendrocyte differentiation {GO:0048709}; peptidyl-serine phosphorylation {GO:0018105}; peptidyl-threonine phosphorylation {GO:0018107}; positive regulation of catecholamine secretion {GO:0033605}; positive regulation of excitatory postsynaptic potential {GO:2000463}; positive regulation of fibroblast proliferation {GO:0048146}; positive regulation of interleukin-6 production {GO:0032755}; positive regulation of muscle cell apoptotic process {GO:0010661}; positive regulation of sensory perception of pain {GO:1904058}; positive regulation of vascular associated smooth muscle cell proliferation {GO:1904707}; positive regulation of vasoconstriction {GO:0045907}; protein phosphorylation {GO:0006468}; receptor internalization {GO:0031623}; regulation of signal transduction {GO:0009966}; regulation of the force of heart contraction {GO:0002026}; response to organic cyclic compound {GO:0014070}; response to oxidative stress {GO:0006979}; tachykinin receptor signaling pathway {GO:0007217}; vasodilation {GO:0042311}; viral entry into host cell {GO:0046718}; viral genome replication {GO:0019079}</t>
  </si>
  <si>
    <t>anchoring junction {GO:0070161}; apical plasma membrane {GO:0016324}; axon {GO:0030424}; basolateral plasma membrane {GO:0016323}; caveola {GO:0005901}; cilium {GO:0005929}; cytoplasm {GO:0005737}; cytosol {GO:0005829}; dendritic shaft {GO:0043198}; dendritic spine {GO:0043197}; membrane {GO:0016020}; membrane raft {GO:0045121}; mitochondrion {GO:0005739}; nucleus {GO:0005634}; presynapse {GO:0098793}; synapse {GO:0045202}</t>
  </si>
  <si>
    <t>ATP binding {GO:0005524}; beta-adrenergic receptor kinase activity {GO:0047696}; delta-type opioid receptor binding {GO:0031850}; Edg-2 lysophosphatidic acid receptor binding {GO:0031755}; G protein-coupled receptor binding {GO:0001664}; G protein-coupled receptor kinase activity {GO:0004703}; kappa-type opioid receptor binding {GO:0031851}; protein kinase activity {GO:0004672}; protein serine/threonine kinase activity {GO:0004674}; scaffold protein binding {GO:0097110}; ubiquitin protein ligase binding {GO:0031625}</t>
  </si>
  <si>
    <t>Calmodulin induced events {R-MMU-111933}; G alpha (q) signalling events {R-MMU-416476}; G alpha (s) signalling events {R-MMU-418555}; Activation of SMO {R-MMU-5635838}; Cargo recognition for clathrin-mediated endocytosis {R-MMU-8856825}</t>
  </si>
  <si>
    <t>sp|Q91V01|MBOA5_MOUSE</t>
  </si>
  <si>
    <t>Lysophospholipid acyltransferase 5 (LPLAT 5)</t>
  </si>
  <si>
    <t>1-acylglycerophosphocholine O-acyltransferase; 1-acylglycerophosphoethanolamine O-acyltransferase; 1-acylglycerophosphoserine O-acyltransferase; Lysophosphatidylcholine acyltransferase (LPCAT; Lyso-PC acyltransferase); Lysophosphatidylcholine acyltransferase 3 (Lyso-PC acyltransferase 3; mLPCAT3); Lysophosphatidylethanolamine acyltransferase (LPEAT; Lyso-PE acyltransferase); Lysophosphatidylserine acyltransferase (LPSAT; Lyso-PS acyltransferase); Membrane-bound O-acyltransferase domain-containing protein 5 (O-acyltransferase domain-containing protein 5)</t>
  </si>
  <si>
    <t>MBOA5_MOUSE</t>
  </si>
  <si>
    <t>Q91V01</t>
  </si>
  <si>
    <t>B1B362; O35131; Q8BNH6</t>
  </si>
  <si>
    <t>Grcc3f; Mboat5; Oact5</t>
  </si>
  <si>
    <t>MGI:1315211</t>
  </si>
  <si>
    <t>Acetylation; Acyltransferase; Endoplasmic reticulum; Glycoprotein; Lipid biosynthesis; Lipid metabolism; Membrane; Phospholipid biosynthesis; Phospholipid metabolism; Transferase; Transmembrane; Transmembrane helix</t>
  </si>
  <si>
    <t>chylomicron assembly {GO:0034378}; endoplasmic reticulum membrane organization {GO:0090158}; intestinal stem cell homeostasis {GO:0036335}; lipid modification {GO:0030258}; negative regulation of inflammatory response {GO:0050728}; negative regulation of response to endoplasmic reticulum stress {GO:1903573}; phosphatidylcholine acyl-chain remodeling {GO:0036151}; phosphatidylcholine biosynthetic process {GO:0006656}; phosphatidylethanolamine acyl-chain remodeling {GO:0036152}; phosphatidylserine acyl-chain remodeling {GO:0036150}; positive regulation of intestinal cholesterol absorption {GO:0045797}; positive regulation of sterol regulatory element binding protein cleavage {GO:1901310}; positive regulation of triglyceride transport {GO:1905885}; regulation of cholesterol biosynthetic process {GO:0045540}; regulation of plasma lipoprotein particle levels {GO:0097006}; very-low-density lipoprotein particle assembly {GO:0034379}</t>
  </si>
  <si>
    <t>1-acylglycerophosphocholine O-acyltransferase activity {GO:0047184}; 1-acylglycerophosphoethanolamine O-acyltransferase activity {GO:0106262}; 1-acylglycerophosphoserine O-acyltransferase activity {GO:0106263}; acyltransferase activity {GO:0016746}; lysophospholipid acyltransferase activity {GO:0071617}</t>
  </si>
  <si>
    <t>Acyl chain remodelling of PC {R-MMU-1482788}; Acyl chain remodelling of PS {R-MMU-1482801}; Acyl chain remodelling of PE {R-MMU-1482839}</t>
  </si>
  <si>
    <t>sp|Q8K2Y7|RM47_MOUSE</t>
  </si>
  <si>
    <t>39S ribosomal protein L47, mitochondrial (L47mt; MRP-L47)</t>
  </si>
  <si>
    <t>RM47_MOUSE</t>
  </si>
  <si>
    <t>Q8K2Y7</t>
  </si>
  <si>
    <t>Q5I0U2; Q8CHZ6</t>
  </si>
  <si>
    <t>MGI:1921850</t>
  </si>
  <si>
    <t>sp|Q8BYW9|EOGT_MOUSE</t>
  </si>
  <si>
    <t>EGF domain-specific O-linked N-acetylglucosamine transferase</t>
  </si>
  <si>
    <t>Extracellular O-linked N-acetylglucosamine transferase</t>
  </si>
  <si>
    <t>EOGT_MOUSE</t>
  </si>
  <si>
    <t>Q8BYW9</t>
  </si>
  <si>
    <t>Aer61; Eogt1</t>
  </si>
  <si>
    <t>MGI:2141669</t>
  </si>
  <si>
    <t>protein O-GlcNAcylation via threonine {GO:0097370}; protein O-linked glycosylation {GO:0006493}</t>
  </si>
  <si>
    <t>glycosyltransferase activity {GO:0016757}; protein N-acetylglucosaminyltransferase activity {GO:0016262}; protein O-GlcNAc transferase activity {GO:0097363}</t>
  </si>
  <si>
    <t>sp|Q8BXN9|TM87A_MOUSE</t>
  </si>
  <si>
    <t>Transmembrane protein 87A</t>
  </si>
  <si>
    <t>TM87A_MOUSE</t>
  </si>
  <si>
    <t>Q8BXN9</t>
  </si>
  <si>
    <t>Q8BTV9; Q8BU98; Q8R2P9; Q8R3S7</t>
  </si>
  <si>
    <t>MGI:2441844</t>
  </si>
  <si>
    <t>Alternative splicing; Glycoprotein; Golgi apparatus; Membrane; Phosphoprotein; Signal; Transmembrane; Transmembrane helix</t>
  </si>
  <si>
    <t>retrograde transport, endosome to Golgi {GO:0042147}</t>
  </si>
  <si>
    <t>cytosol {GO:0005829}; Golgi apparatus {GO:0005794}; Golgi cisterna membrane {GO:0032580}; Golgi membrane {GO:0000139}; integral component of membrane {GO:0016021}; membrane {GO:0016020}</t>
  </si>
  <si>
    <t>tr|G3X9V8|G3X9V8_MOUSE</t>
  </si>
  <si>
    <t>sp|Q9D8Y1|T126A_MOUSE</t>
  </si>
  <si>
    <t>Transmembrane protein 126A</t>
  </si>
  <si>
    <t>T126A_MOUSE</t>
  </si>
  <si>
    <t>Q9D8Y1</t>
  </si>
  <si>
    <t>MGI:1913521</t>
  </si>
  <si>
    <t>mitochondrial respiratory chain complex I assembly {GO:0032981}; optic nerve development {GO:0021554}</t>
  </si>
  <si>
    <t>sp|P47968|RPIA_MOUSE</t>
  </si>
  <si>
    <t>Ribose-5-phosphate isomerase</t>
  </si>
  <si>
    <t>Phosphoriboisomerase</t>
  </si>
  <si>
    <t>RPIA_MOUSE</t>
  </si>
  <si>
    <t>P47968</t>
  </si>
  <si>
    <t>Q3UVI8</t>
  </si>
  <si>
    <t>Rpi</t>
  </si>
  <si>
    <t>MGI:103254</t>
  </si>
  <si>
    <t>Isomerase; Methylation; Phosphoprotein</t>
  </si>
  <si>
    <t>D-ribose metabolic process {GO:0006014}; pentose-phosphate shunt {GO:0006098}; pentose-phosphate shunt, non-oxidative branch {GO:0009052}; ribose phosphate metabolic process {GO:0019693}</t>
  </si>
  <si>
    <t>carbohydrate binding {GO:0030246}; identical protein binding {GO:0042802}; monosaccharide binding {GO:0048029}; ribose-5-phosphate isomerase activity {GO:0004751}</t>
  </si>
  <si>
    <t>Carbohydrate degradation; pentose phosphate pathway; D-ribose 5-phosphate from D-ribulose 5-phosphate (non-oxidative stage): step 1/1..</t>
  </si>
  <si>
    <t>sp|Q9QYB2|DACH1_MOUSE</t>
  </si>
  <si>
    <t>Dachshund homolog 1 (Dach1)</t>
  </si>
  <si>
    <t>DACH1_MOUSE</t>
  </si>
  <si>
    <t>Q9QYB2</t>
  </si>
  <si>
    <t>B2RUG1; O88716; Q8BPQ0; Q8C8D7; Q9QY47; Q9R218; Q9Z0Y5</t>
  </si>
  <si>
    <t>Dach</t>
  </si>
  <si>
    <t>MGI:1277991</t>
  </si>
  <si>
    <t>Activator; Alternative splicing; Coiled coil; Developmental protein; DNA-binding; Nucleus; Phosphoprotein; Repressor; Transcription; Transcription regulation</t>
  </si>
  <si>
    <t>Activator; DNA-binding; Developmental protein; Repressor</t>
  </si>
  <si>
    <t>development of primary female sexual characteristics {GO:0046545}; epithelial cell proliferation {GO:0050673}; negative regulation of cell migration {GO:0030336}; negative regulation of cell proliferation involved in contact inhibition {GO:0060244}; negative regulation of DNA biosynthetic process {GO:2000279}; negative regulation of DNA-templated transcription {GO:0045892}; negative regulation of fibroblast proliferation {GO:0048147}; negative regulation of transcription by competitive promoter binding {GO:0010944}; negative regulation of transcription by RNA polymerase II {GO:0000122}; regulation of DNA-templated transcription {GO:0006355}; regulation of nuclear cell cycle DNA replication {GO:0033262}; regulation of transcription by RNA polymerase II {GO:0006357}; respiratory gaseous exchange by respiratory system {GO:0007585}; suckling behavior {GO:0001967}; type B pancreatic cell proliferation {GO:0044342}</t>
  </si>
  <si>
    <t>cytoplasm {GO:0005737}; cytosol {GO:0005829}; Golgi apparatus {GO:0005794}; nuclear speck {GO:0016607}; nucleoplasm {GO:0005654}; nucleus {GO:0005634}; transcription regulator complex {GO:0005667}</t>
  </si>
  <si>
    <t>DNA-binding transcription factor activity {GO:0003700}; DNA-binding transcription factor activity, RNA polymerase II-specific {GO:0000981}; DNA-binding transcription repressor activity, RNA polymerase II-specific {GO:0001227}; RNA polymerase II cis-regulatory region sequence-specific DNA binding {GO:0000978}; RNA polymerase II transcription regulatory region sequence-specific DNA binding {GO:0000977}</t>
  </si>
  <si>
    <t>sp|Q99L85|ELP5_MOUSE</t>
  </si>
  <si>
    <t>Elongator complex protein 5</t>
  </si>
  <si>
    <t>Dermal papilla-derived protein 6 homolog; Retinoic acid-induced protein 12</t>
  </si>
  <si>
    <t>ELP5_MOUSE</t>
  </si>
  <si>
    <t>Q99L85</t>
  </si>
  <si>
    <t>O08973; Q9CUX2</t>
  </si>
  <si>
    <t>Derp6; Rai12</t>
  </si>
  <si>
    <t>MGI:1859017</t>
  </si>
  <si>
    <t>positive regulation of cell migration {GO:0030335}; tRNA modification {GO:0006400}; tRNA wobble uridine modification {GO:0002098}</t>
  </si>
  <si>
    <t>cytoplasm {GO:0005737}; cytosol {GO:0005829}; elongator holoenzyme complex {GO:0033588}; nucleoplasm {GO:0005654}; nucleus {GO:0005634}</t>
  </si>
  <si>
    <t>sp|Q68FH0|PKP4_MOUSE</t>
  </si>
  <si>
    <t>Plakophilin-4</t>
  </si>
  <si>
    <t>Armadillo-related protein</t>
  </si>
  <si>
    <t>PKP4_MOUSE</t>
  </si>
  <si>
    <t>Q68FH0</t>
  </si>
  <si>
    <t>A2AS46; Q640N0; Q68G56; Q8BK47; Q8BVH1; Q9CRE3</t>
  </si>
  <si>
    <t>Armrp</t>
  </si>
  <si>
    <t>MGI:109281</t>
  </si>
  <si>
    <t>Alternative splicing; Cell adhesion; Cell junction; Cell membrane; Coiled coil; Cytoplasm; Cytoskeleton; Membrane; Methylation; Phosphoprotein; Repeat</t>
  </si>
  <si>
    <t>cell-cell adhesion {GO:0098609}; cell-cell junction assembly {GO:0007043}; positive regulation of cytokinesis {GO:0032467}; positive regulation of GTPase activity {GO:0043547}</t>
  </si>
  <si>
    <t>adherens junction {GO:0005912}; cell junction {GO:0030054}; cell-cell contact zone {GO:0044291}; cell-cell junction {GO:0005911}; cytoplasm {GO:0005737}; cytoplasmic side of plasma membrane {GO:0009898}; cytoskeleton {GO:0005856}; desmosome {GO:0030057}; midbody {GO:0030496}; mitotic spindle {GO:0072686}; nucleus {GO:0005634}; perinuclear region of cytoplasm {GO:0048471}; plasma membrane {GO:0005886}; postsynaptic density {GO:0014069}; spindle midzone {GO:0051233}; spindle pole {GO:0000922}</t>
  </si>
  <si>
    <t>Keratinization {R-MMU-6805567}; Formation of the cornified envelope {R-MMU-6809371}; RND3 GTPase cycle {R-MMU-9696264}; RND2 GTPase cycle {R-MMU-9696270}; RND1 GTPase cycle {R-MMU-9696273}</t>
  </si>
  <si>
    <t>sp|P22682|CBL_MOUSE</t>
  </si>
  <si>
    <t>E3 ubiquitin-protein ligase CBL</t>
  </si>
  <si>
    <t>Casitas B-lineage lymphoma proto-oncogene; Proto-oncogene c-Cbl; RING-type E3 ubiquitin transferase CBL; Signal transduction protein CBL</t>
  </si>
  <si>
    <t>CBL_MOUSE</t>
  </si>
  <si>
    <t>P22682</t>
  </si>
  <si>
    <t>Q3U527; Q8CEA1</t>
  </si>
  <si>
    <t>MGI:88279</t>
  </si>
  <si>
    <t>3D-structure; Calcium; Cell membrane; Cell projection; Cytoplasm; Golgi apparatus; Membrane; Metal-binding; Phosphoprotein; Proto-oncogene; Repeat; Transferase; Ubl conjugation; Ubl conjugation pathway; Zinc; Zinc-finger</t>
  </si>
  <si>
    <t>Cell membrane; Cell projection; Cytoplasm; Golgi apparatus; Membrane</t>
  </si>
  <si>
    <t>bone resorption {GO:0045453}; cell surface receptor signaling pathway {GO:0007166}; cellular response to DNA damage stimulus {GO:0006974}; cellular response to nerve growth factor stimulus {GO:1990090}; cellular response to oxygen-glucose deprivation {GO:0090650}; cellular response to platelet-derived growth factor stimulus {GO:0036120}; male gonad development {GO:0008584}; mast cell degranulation {GO:0043303}; negative regulation of apoptotic process {GO:0043066}; negative regulation of epidermal growth factor receptor signaling pathway {GO:0042059}; negative regulation of epidermal growth factor-activated receptor activity {GO:0007175}; negative regulation of neuron death {GO:1901215}; neuron death {GO:0070997}; positive regulation of phosphatidylinositol 3-kinase signaling {GO:0014068}; positive regulation of receptor-mediated endocytosis {GO:0048260}; protein autoubiquitination {GO:0051865}; protein monoubiquitination {GO:0006513}; protein phosphorylation {GO:0006468}; protein polyubiquitination {GO:0000209}; protein ubiquitination {GO:0016567}; regulation of platelet-derived growth factor receptor-alpha signaling pathway {GO:2000583}; regulation of Rap protein signal transduction {GO:0032487}; response to activity {GO:0014823}; response to antibiotic {GO:0046677}; response to ethanol {GO:0045471}; response to gamma radiation {GO:0010332}; response to starvation {GO:0042594}; response to testosterone {GO:0033574}; signal transduction {GO:0007165}; ubiquitin-dependent protein catabolic process {GO:0006511}</t>
  </si>
  <si>
    <t>axon {GO:0030424}; cilium {GO:0005929}; cytosol {GO:0005829}; flotillin complex {GO:0016600}; focal adhesion {GO:0005925}; Golgi apparatus {GO:0005794}; growth cone {GO:0030426}; membrane raft {GO:0045121}; perinuclear region of cytoplasm {GO:0048471}; plasma membrane {GO:0005886}</t>
  </si>
  <si>
    <t>calcium ion binding {GO:0005509}; ephrin receptor binding {GO:0046875}; phosphatidylinositol 3-kinase regulatory subunit binding {GO:0036312}; phosphotyrosine residue binding {GO:0001784}; protein kinase binding {GO:0019901}; protein tyrosine kinase binding {GO:1990782}; receptor tyrosine kinase binding {GO:0030971}; SH3 domain binding {GO:0017124}; ubiquitin protein ligase activity {GO:0061630}</t>
  </si>
  <si>
    <t>Interleukin-6 signaling {R-MMU-1059683}; Spry regulation of FGF signaling {R-MMU-1295596}; Regulation of KIT signaling {R-MMU-1433559}; EGFR downregulation {R-MMU-182971}; TGF-beta receptor signaling activates SMADs {R-MMU-2173789}; Negative regulation of FGFR1 signaling {R-MMU-5654726}; Negative regulation of FGFR2 signaling {R-MMU-5654727}; Negative regulation of FGFR3 signaling {R-MMU-5654732}; Negative regulation of FGFR4 signaling {R-MMU-5654733}; Negative regulation of MET activity {R-MMU-6807004}; PTK6 Regulates RTKs and Their Effectors AKT1 and DOK1 {R-MMU-8849469}; Cargo recognition for clathrin-mediated endocytosis {R-MMU-8856825}; Clathrin-mediated endocytosis {R-MMU-8856828}; Regulation of signaling by CBL {R-MMU-912631}; Negative regulation of FLT3 {R-MMU-9706369}</t>
  </si>
  <si>
    <t>sp|Q61391|NEP_MOUSE</t>
  </si>
  <si>
    <t>Neprilysin</t>
  </si>
  <si>
    <t>Atriopeptidase; Enkephalinase; Neutral endopeptidase 24.11 (NEP; Neutral endopeptidase); Skin fibroblast elastase (SFE); CD_antigen=CD10</t>
  </si>
  <si>
    <t>NEP_MOUSE</t>
  </si>
  <si>
    <t>Q61391</t>
  </si>
  <si>
    <t>Q6NXX5; Q8K251</t>
  </si>
  <si>
    <t>MGI:97004</t>
  </si>
  <si>
    <t>3D-structure; Cell membrane; Disulfide bond; Glycoprotein; Hydrolase; Lipoprotein; Membrane; Metal-binding; Metalloprotease; Myristate; Phosphoprotein; Protease; Signal-anchor; Transmembrane; Transmembrane helix; Zinc</t>
  </si>
  <si>
    <t>Disulfide bond; Glycoprotein; Lipoprotein; Myristate; Phosphoprotein</t>
  </si>
  <si>
    <t>aging {GO:0007568}; amyloid-beta clearance {GO:0097242}; amyloid-beta clearance by cellular catabolic process {GO:0150094}; amyloid-beta metabolic process {GO:0050435}; bradykinin catabolic process {GO:0010815}; cellular response to cytokine stimulus {GO:0071345}; cellular response to UV-A {GO:0071492}; cellular response to UV-B {GO:0071493}; creatinine metabolic process {GO:0046449}; hormone catabolic process {GO:0042447}; kidney development {GO:0001822}; learning or memory {GO:0007611}; lung development {GO:0030324}; neuropeptide processing {GO:0061837}; peptide metabolic process {GO:0006518}; placenta development {GO:0001890}; positive regulation of long-term synaptic potentiation {GO:1900273}; positive regulation of neurogenesis {GO:0050769}; protein catabolic process {GO:0030163}; protein processing {GO:0016485}; proteolysis {GO:0006508}; replicative senescence {GO:0090399}; response to estrogen {GO:0043627}; sensory perception of pain {GO:0019233}; substance P catabolic process {GO:0010814}</t>
  </si>
  <si>
    <t>axon {GO:0030424}; brush border {GO:0005903}; cytoplasm {GO:0005737}; cytoplasmic vesicle {GO:0031410}; dendrite {GO:0030425}; early endosome {GO:0005769}; integral component of membrane {GO:0016021}; membrane {GO:0016020}; membrane raft {GO:0045121}; neuron projection terminus {GO:0044306}; neuronal cell body {GO:0043025}; plasma membrane {GO:0005886}; presynapse {GO:0098793}; synapse {GO:0045202}; synaptic vesicle {GO:0008021}; trans-Golgi network {GO:0005802}</t>
  </si>
  <si>
    <t>cardiolipin binding {GO:1901612}; endopeptidase activity {GO:0004175}; exopeptidase activity {GO:0008238}; metalloendopeptidase activity {GO:0004222}; oligopeptidase activity {GO:0070012}; peptidase activity {GO:0008233}; peptide binding {GO:0042277}; phosphatidylserine binding {GO:0001786}; protein homodimerization activity {GO:0042803}; zinc ion binding {GO:0008270}</t>
  </si>
  <si>
    <t>Metabolism of Angiotensinogen to Angiotensins {R-MMU-2022377}; Physiological factors {R-MMU-5578768}; Neutrophil degranulation {R-MMU-6798695}</t>
  </si>
  <si>
    <t>sp|Q6QD59|SEC20_MOUSE</t>
  </si>
  <si>
    <t>Vesicle transport protein SEC20</t>
  </si>
  <si>
    <t>SEC20_MOUSE</t>
  </si>
  <si>
    <t>Q6QD59</t>
  </si>
  <si>
    <t>B0V2Q1; Q5M9M2</t>
  </si>
  <si>
    <t>MGI:109328</t>
  </si>
  <si>
    <t>Apoptosis; Coiled coil; Endoplasmic reticulum; ER-Golgi transport; Membrane; Mitochondrion; Protein transport; Transmembrane; Transmembrane helix; Transport; Ubl conjugation</t>
  </si>
  <si>
    <t>apoptotic process {GO:0006915}; endoplasmic reticulum membrane fusion {GO:0016320}; endoplasmic reticulum organization {GO:0007029}; protein transport {GO:0015031}; retrograde vesicle-mediated transport, Golgi to endoplasmic reticulum {GO:0006890}</t>
  </si>
  <si>
    <t>COPI-coated vesicle {GO:0030137}; cytoplasm {GO:0005737}; endoplasmic reticulum {GO:0005783}; endoplasmic reticulum membrane {GO:0005789}; integral component of membrane {GO:0016021}; intracellular membrane-bounded organelle {GO:0043231}; mitochondrial membrane {GO:0031966}; nuclear envelope {GO:0005635}; SNARE complex {GO:0031201}</t>
  </si>
  <si>
    <t>sp|Q99KK9|SYHM_MOUSE</t>
  </si>
  <si>
    <t>Histidine--tRNA ligase, mitochondrial</t>
  </si>
  <si>
    <t>Histidine--tRNA ligase-like; Histidyl-tRNA synthetase (HisRS)</t>
  </si>
  <si>
    <t>SYHM_MOUSE</t>
  </si>
  <si>
    <t>Q99KK9</t>
  </si>
  <si>
    <t>Harsl</t>
  </si>
  <si>
    <t>MGI:1918041</t>
  </si>
  <si>
    <t>Acetylation; Aminoacyl-tRNA synthetase; ATP-binding; Ligase; Mitochondrion; Nucleotide-binding; Phosphoprotein; Protein biosynthesis; Transit peptide</t>
  </si>
  <si>
    <t>histidyl-tRNA aminoacylation {GO:0006427}</t>
  </si>
  <si>
    <t>ATP binding {GO:0005524}; histidine-tRNA ligase activity {GO:0004821}; identical protein binding {GO:0042802}</t>
  </si>
  <si>
    <t>sp|P59328|WDHD1_MOUSE</t>
  </si>
  <si>
    <t>WD repeat and HMG-box DNA-binding protein 1</t>
  </si>
  <si>
    <t>Acidic nucleoplasmic DNA-binding protein 1 (And-1)</t>
  </si>
  <si>
    <t>WDHD1_MOUSE</t>
  </si>
  <si>
    <t>P59328</t>
  </si>
  <si>
    <t>Q6P408</t>
  </si>
  <si>
    <t>And1</t>
  </si>
  <si>
    <t>MGI:2443514</t>
  </si>
  <si>
    <t>Acetylation; Alternative splicing; DNA-binding; Isopeptide bond; Nucleus; Phosphoprotein; Repeat; Ubl conjugation; WD repeat</t>
  </si>
  <si>
    <t>DNA repair {GO:0006281}; DNA-templated DNA replication {GO:0006261}; mitotic cell cycle {GO:0000278}; pericentric heterochromatin organization {GO:0140462}; regulation of chromosome organization {GO:0033044}; RNA processing {GO:0006396}</t>
  </si>
  <si>
    <t>chromosome, centromeric region {GO:0000775}; nuclear replication fork {GO:0043596}; nucleoplasm {GO:0005654}</t>
  </si>
  <si>
    <t>chromatin binding {GO:0003682}; DNA binding {GO:0003677}; RNA binding {GO:0003723}; RNA polymerase binding {GO:0070063}</t>
  </si>
  <si>
    <t>sp|Q8K215|LYRM4_MOUSE</t>
  </si>
  <si>
    <t>LYR motif-containing protein 4</t>
  </si>
  <si>
    <t>LYRM4_MOUSE</t>
  </si>
  <si>
    <t>Q8K215</t>
  </si>
  <si>
    <t>Isd11</t>
  </si>
  <si>
    <t>MGI:2683538</t>
  </si>
  <si>
    <t>iron-sulfur cluster assembly {GO:0016226}</t>
  </si>
  <si>
    <t>iron-sulfur cluster assembly complex {GO:1990229}; L-cysteine desulfurase complex {GO:1990221}; mitochondrion {GO:0005739}; nuclear body {GO:0016604}</t>
  </si>
  <si>
    <t>Cofactor biosynthesis; iron-sulfur cluster biosynthesis.</t>
  </si>
  <si>
    <t>sp|Q14AX6|CDK12_MOUSE</t>
  </si>
  <si>
    <t>Cyclin-dependent kinase 12</t>
  </si>
  <si>
    <t>Cdc2-related kinase, arginine/serine-rich (CrkRS); Cell division cycle 2-related protein kinase 7 (CDC2-related protein kinase 7); Cell division protein kinase 12</t>
  </si>
  <si>
    <t>CDK12_MOUSE</t>
  </si>
  <si>
    <t>Q14AX6</t>
  </si>
  <si>
    <t>A2A530; A2A531; B1AQH7; Q6ZQ27; Q8R457</t>
  </si>
  <si>
    <t>Crk7; Crkrs; Kiaa0904</t>
  </si>
  <si>
    <t>MGI:1098802</t>
  </si>
  <si>
    <t>Alternative splicing; ATP-binding; Isopeptide bond; Kinase; mRNA processing; mRNA splicing; Nucleotide-binding; Nucleus; Phosphoprotein; Serine/threonine-protein kinase; Transferase; Ubl conjugation</t>
  </si>
  <si>
    <t>mRNA processing {GO:0006397}; negative regulation of stem cell differentiation {GO:2000737}; phosphorylation of RNA polymerase II C-terminal domain {GO:0070816}; positive regulation of transcription elongation by RNA polymerase II {GO:0032968}; protein autophosphorylation {GO:0046777}; protein phosphorylation {GO:0006468}; regulation of MAP kinase activity {GO:0043405}; regulation of RNA splicing {GO:0043484}; RNA splicing {GO:0008380}; transcription elongation by RNA polymerase II promoter {GO:0006368}</t>
  </si>
  <si>
    <t>cyclin K-CDK12 complex {GO:0002944}; cyclin-dependent protein kinase holoenzyme complex {GO:0000307}; cyclin/CDK positive transcription elongation factor complex {GO:0008024}; nuclear cyclin-dependent protein kinase holoenzyme complex {GO:0019908}; nuclear speck {GO:0016607}; nucleoplasm {GO:0005654}; nucleus {GO:0005634}</t>
  </si>
  <si>
    <t>ATP binding {GO:0005524}; cyclin binding {GO:0030332}; cyclin-dependent protein serine/threonine kinase activity {GO:0004693}; protein kinase activity {GO:0004672}; protein kinase binding {GO:0019901}; protein serine kinase activity {GO:0106310}; RNA polymerase II CTD heptapeptide repeat kinase activity {GO:0008353}</t>
  </si>
  <si>
    <t>TP53 Regulates Transcription of DNA Repair Genes {R-MMU-6796648}</t>
  </si>
  <si>
    <t>sp|Q9JM83|CALM4_MOUSE</t>
  </si>
  <si>
    <t>Calmodulin-4</t>
  </si>
  <si>
    <t>Calcium-binding protein Dd112</t>
  </si>
  <si>
    <t>CALM4_MOUSE</t>
  </si>
  <si>
    <t>Q9JM83</t>
  </si>
  <si>
    <t>Q9CR31; Q9D1E9</t>
  </si>
  <si>
    <t>Dd112</t>
  </si>
  <si>
    <t>MGI:1931464</t>
  </si>
  <si>
    <t>Calcium; Metal-binding; Repeat</t>
  </si>
  <si>
    <t>calcium ion binding {GO:0005509}; enzyme regulator activity {GO:0030234}</t>
  </si>
  <si>
    <t>sp|P97363|SPTC2_MOUSE</t>
  </si>
  <si>
    <t>Serine palmitoyltransferase 2</t>
  </si>
  <si>
    <t>Long chain base biosynthesis protein 2 (LCB 2); Long chain base biosynthesis protein 2a (LCB2a); Serine-palmitoyl-CoA transferase 2 (SPT 2)</t>
  </si>
  <si>
    <t>SPTC2_MOUSE</t>
  </si>
  <si>
    <t>P97363</t>
  </si>
  <si>
    <t>P97356</t>
  </si>
  <si>
    <t>Lcb2</t>
  </si>
  <si>
    <t>MGI:108074</t>
  </si>
  <si>
    <t>Acyltransferase; Endoplasmic reticulum; Lipid metabolism; Membrane; Pyridoxal phosphate; Sphingolipid metabolism; Transferase; Transmembrane; Transmembrane helix</t>
  </si>
  <si>
    <t>adipose tissue development {GO:0060612}; ceramide biosynthetic process {GO:0046513}; lipophagy {GO:0061724}; positive regulation of lipophagy {GO:1904504}; sphinganine biosynthetic process {GO:0046511}; sphingolipid biosynthetic process {GO:0030148}; sphingomyelin biosynthetic process {GO:0006686}; sphingosine biosynthetic process {GO:0046512}</t>
  </si>
  <si>
    <t>integral component of membrane {GO:0016021}; mitochondrion {GO:0005739}; serine C-palmitoyltransferase complex {GO:0017059}</t>
  </si>
  <si>
    <t>pyridoxal phosphate binding {GO:0030170}; serine C-palmitoyltransferase activity {GO:0004758}</t>
  </si>
  <si>
    <t>sp|O55033|NCK2_MOUSE</t>
  </si>
  <si>
    <t>Cytoplasmic protein NCK2</t>
  </si>
  <si>
    <t>Growth factor receptor-bound protein 4; NCK adaptor protein 2 (Nck-2); SH2/SH3 adaptor protein NCK-beta</t>
  </si>
  <si>
    <t>NCK2_MOUSE</t>
  </si>
  <si>
    <t>O55033</t>
  </si>
  <si>
    <t>Grb4</t>
  </si>
  <si>
    <t>MGI:1306821</t>
  </si>
  <si>
    <t>Acetylation; Cytoplasm; Endoplasmic reticulum; Phosphoprotein; Repeat; SH2 domain; SH3 domain; Translation regulation</t>
  </si>
  <si>
    <t>actin filament organization {GO:0007015}; cell migration {GO:0016477}; dendritic spine development {GO:0060996}; ephrin receptor signaling pathway {GO:0048013}; immunological synapse formation {GO:0001771}; lamellipodium assembly {GO:0030032}; negative regulation of endoplasmic reticulum stress-induced eIF2 alpha phosphorylation {GO:1903912}; negative regulation of peptidyl-serine phosphorylation {GO:0033137}; negative regulation of PERK-mediated unfolded protein response {GO:1903898}; negative regulation of transcription from RNA polymerase II promoter in response to endoplasmic reticulum stress {GO:1990441}; positive regulation of actin filament polymerization {GO:0030838}; positive regulation of endoplasmic reticulum stress-induced intrinsic apoptotic signaling pathway {GO:1902237}; positive regulation of T cell proliferation {GO:0042102}; positive regulation of transcription by RNA polymerase II {GO:0045944}; positive regulation of translation in response to endoplasmic reticulum stress {GO:0036493}; signal transduction {GO:0007165}</t>
  </si>
  <si>
    <t>cytoplasm {GO:0005737}; cytosol {GO:0005829}; endoplasmic reticulum {GO:0005783}; postsynaptic density {GO:0014069}; synapse {GO:0045202}; vesicle membrane {GO:0012506}</t>
  </si>
  <si>
    <t>phosphotyrosine residue binding {GO:0001784}; protein-containing complex binding {GO:0044877}; receptor tyrosine kinase binding {GO:0030971}; scaffold protein binding {GO:0097110}; signaling adaptor activity {GO:0035591}</t>
  </si>
  <si>
    <t>Downstream signal transduction {R-MMU-186763}; Nephrin family interactions {R-MMU-373753}; Ephrin signaling {R-MMU-3928664}; VEGFA-VEGFR2 Pathway {R-MMU-4420097}; RHOU GTPase cycle {R-MMU-9013420}; RHOV GTPase cycle {R-MMU-9013424}</t>
  </si>
  <si>
    <t>sp|B8ZXI1|QTRT2_MOUSE</t>
  </si>
  <si>
    <t>Queuine tRNA-ribosyltransferase accessory subunit 2</t>
  </si>
  <si>
    <t>Queuine tRNA-ribosyltransferase domain-containing protein 1</t>
  </si>
  <si>
    <t>QTRT2_MOUSE</t>
  </si>
  <si>
    <t>B8ZXI1</t>
  </si>
  <si>
    <t>A9C446; Q5XK35</t>
  </si>
  <si>
    <t>MGI:1922194</t>
  </si>
  <si>
    <t>3D-structure; Alternative splicing; Cytoplasm; Membrane; Metal-binding; Mitochondrion; Mitochondrion outer membrane; tRNA processing; Zinc</t>
  </si>
  <si>
    <t>tRNA-guanine transglycosylation {GO:0101030}</t>
  </si>
  <si>
    <t>cytoplasm {GO:0005737}; mitochondrial outer membrane {GO:0005741}; mitochondrion {GO:0005739}; protein-containing complex {GO:0032991}; transferase complex {GO:1990234}</t>
  </si>
  <si>
    <t>protein heterodimerization activity {GO:0046982}; protein homodimerization activity {GO:0042803}; queuine tRNA-ribosyltransferase activity {GO:0008479}; zinc ion binding {GO:0008270}</t>
  </si>
  <si>
    <t>sp|P97303|BACH2_MOUSE</t>
  </si>
  <si>
    <t>Transcription regulator protein BACH2</t>
  </si>
  <si>
    <t>BTB and CNC homolog 2</t>
  </si>
  <si>
    <t>BACH2_MOUSE</t>
  </si>
  <si>
    <t>P97303</t>
  </si>
  <si>
    <t>A2ANU8; A2ANU9; A2RRI0</t>
  </si>
  <si>
    <t>MGI:894679</t>
  </si>
  <si>
    <t>Activator; Alternative splicing; Cytoplasm; Disulfide bond; DNA-binding; Isopeptide bond; Nucleus; Phosphoprotein; Repressor; Transcription; Transcription regulation; Ubl conjugation</t>
  </si>
  <si>
    <t>import into nucleus {GO:0051170}; negative regulation of transcription by RNA polymerase II {GO:0000122}; primary adaptive immune response involving T cells and B cells {GO:0090721}; regulation of DNA-templated transcription {GO:0006355}; regulation of transcription by RNA polymerase II {GO:0006357}</t>
  </si>
  <si>
    <t>cytosol {GO:0005829}; nucleoplasm {GO:0005654}; nucleus {GO:0005634}; RNA polymerase II transcription regulator complex {GO:0090575}</t>
  </si>
  <si>
    <t>DNA binding {GO:0003677}; DNA-binding transcription factor activity {GO:0003700}; DNA-binding transcription factor activity, RNA polymerase II-specific {GO:0000981}; DNA-binding transcription repressor activity, RNA polymerase II-specific {GO:0001227}; ion binding {GO:0043167}; RNA polymerase II cis-regulatory region sequence-specific DNA binding {GO:0000978}; sequence-specific double-stranded DNA binding {GO:1990837}</t>
  </si>
  <si>
    <t>sp|Q9D820|PRXD1_MOUSE</t>
  </si>
  <si>
    <t>Prolyl-tRNA synthetase associated domain-containing protein 1</t>
  </si>
  <si>
    <t>PrdX deacylase domain-containing protein 1</t>
  </si>
  <si>
    <t>PRXD1_MOUSE</t>
  </si>
  <si>
    <t>Q9D820</t>
  </si>
  <si>
    <t>Q8BFX7</t>
  </si>
  <si>
    <t>Prdxdd1</t>
  </si>
  <si>
    <t>MGI:1915189</t>
  </si>
  <si>
    <t>aminoacyl-tRNA editing activity {GO:0002161}</t>
  </si>
  <si>
    <t>sp|Q2HXL6|EDEM3_MOUSE</t>
  </si>
  <si>
    <t>ER degradation-enhancing alpha-mannosidase-like protein 3</t>
  </si>
  <si>
    <t>Alpha-1,2-mannosidase EDEM3</t>
  </si>
  <si>
    <t>EDEM3_MOUSE</t>
  </si>
  <si>
    <t>Q2HXL6</t>
  </si>
  <si>
    <t>B2RS10; B9EHZ4; Q6P9L0</t>
  </si>
  <si>
    <t>MGI:1914217</t>
  </si>
  <si>
    <t>Endoplasmic reticulum; Glycoprotein; Hydrolase; Metal-binding; Signal; Unfolded protein response</t>
  </si>
  <si>
    <t>carbohydrate metabolic process {GO:0005975}; endoplasmic reticulum mannose trimming {GO:1904380}; glycoprotein catabolic process {GO:0006516}; mannose trimming involved in glycoprotein ERAD pathway {GO:1904382}; proteasome-mediated ubiquitin-dependent protein catabolic process {GO:0043161}; protein glycosylation {GO:0006486}; response to unfolded protein {GO:0006986}</t>
  </si>
  <si>
    <t>endoplasmic reticulum {GO:0005783}; endoplasmic reticulum lumen {GO:0005788}; endoplasmic reticulum quality control compartment {GO:0044322}; membrane {GO:0016020}</t>
  </si>
  <si>
    <t>alpha-mannosidase activity {GO:0004559}; calcium ion binding {GO:0005509}; mannosyl-oligosaccharide 1,2-alpha-mannosidase activity {GO:0004571}</t>
  </si>
  <si>
    <t>sp|Q5PR69|CRACD_MOUSE</t>
  </si>
  <si>
    <t>Capping protein-inhibiting regulator of actin dynamics</t>
  </si>
  <si>
    <t>Cancer-related regulator of actin dynamics</t>
  </si>
  <si>
    <t>CRACD_MOUSE</t>
  </si>
  <si>
    <t>Q5PR69</t>
  </si>
  <si>
    <t>E9Q3Y7; E9Q5L4; E9QLP4; Q80TH6; Q8C7K8; Q8C7R0; Q8C9F2; Q8CDM6</t>
  </si>
  <si>
    <t>MGI:2444817</t>
  </si>
  <si>
    <t>epithelial structure maintenance {GO:0010669}; maintenance of gastrointestinal epithelium {GO:0030277}; negative regulation of barbed-end actin filament capping {GO:2000813}; positive regulation of actin filament polymerization {GO:0030838}</t>
  </si>
  <si>
    <t>sp|Q99JP6|HOME3_MOUSE</t>
  </si>
  <si>
    <t>Homer protein homolog 3 (Homer-3)</t>
  </si>
  <si>
    <t>HOME3_MOUSE</t>
  </si>
  <si>
    <t>Q99JP6</t>
  </si>
  <si>
    <t>D3Z6N9; Q9Z215</t>
  </si>
  <si>
    <t>MGI:1347359</t>
  </si>
  <si>
    <t>Alternative splicing; Coiled coil; Cytoplasm; Phosphoprotein; Synapse</t>
  </si>
  <si>
    <t>Cytoplasm; Synapse</t>
  </si>
  <si>
    <t>G protein-coupled glutamate receptor signaling pathway {GO:0007216}; negative regulation of calcineurin-NFAT signaling cascade {GO:0070885}; negative regulation of interleukin-2 production {GO:0032703}; regulation of postsynaptic neurotransmitter receptor activity {GO:0098962}; regulation of store-operated calcium entry {GO:2001256}</t>
  </si>
  <si>
    <t>anchoring junction {GO:0070161}; basal part of cell {GO:0045178}; cytoplasm {GO:0005737}; cytosol {GO:0005829}; dendrite {GO:0030425}; glutamatergic synapse {GO:0098978}; plasma membrane {GO:0005886}; postsynaptic density {GO:0014069}</t>
  </si>
  <si>
    <t>G protein-coupled glutamate receptor binding {GO:0035256}; identical protein binding {GO:0042802}; protein C-terminus binding {GO:0008022}; protein domain specific binding {GO:0019904}</t>
  </si>
  <si>
    <t>sp|Q99JY3|GIMA4_MOUSE</t>
  </si>
  <si>
    <t>GTPase IMAP family member 4</t>
  </si>
  <si>
    <t>Immunity-associated nucleotide 1 protein (IAN-1); Immunity-associated protein 4</t>
  </si>
  <si>
    <t>GIMA4_MOUSE</t>
  </si>
  <si>
    <t>Q99JY3</t>
  </si>
  <si>
    <t>D3YTN4</t>
  </si>
  <si>
    <t>Ian1; Imap4</t>
  </si>
  <si>
    <t>MGI:1349656</t>
  </si>
  <si>
    <t>Alternative splicing; Cytoplasm; GTP-binding; Nucleotide-binding; Phosphoprotein</t>
  </si>
  <si>
    <t>sp|Q80X85|RT07_MOUSE</t>
  </si>
  <si>
    <t>28S ribosomal protein S7, mitochondrial (MRP-S7; S7mt)</t>
  </si>
  <si>
    <t>RT07_MOUSE</t>
  </si>
  <si>
    <t>Q80X85</t>
  </si>
  <si>
    <t>Q3TSI9; Q9CV71</t>
  </si>
  <si>
    <t>MGI:1354367</t>
  </si>
  <si>
    <t>mitochondrial translation {GO:0032543}; ribosomal small subunit assembly {GO:0000028}; translation {GO:0006412}</t>
  </si>
  <si>
    <t>mitochondrial inner membrane {GO:0005743}; mitochondrial small ribosomal subunit {GO:0005763}; mitochondrion {GO:0005739}; ribosome {GO:0005840}</t>
  </si>
  <si>
    <t>sp|Q9Z120|TRMB_MOUSE</t>
  </si>
  <si>
    <t>tRNA (guanine-N(7)-)-methyltransferase</t>
  </si>
  <si>
    <t>Methyltransferase-like protein 1; mRNA (guanine-N(7)-)-methyltransferase; miRNA (guanine-N(7)-)-methyltransferase; tRNA (guanine(46)-N(7))-methyltransferase; tRNA(m7G46)-methyltransferase</t>
  </si>
  <si>
    <t>TRMB_MOUSE</t>
  </si>
  <si>
    <t>Q9Z120</t>
  </si>
  <si>
    <t>Q3TU83; Q921G5</t>
  </si>
  <si>
    <t>MGI:1339986</t>
  </si>
  <si>
    <t>Methyltransferase; Nucleus; Phosphoprotein; RNA-binding; S-adenosyl-L-methionine; Transferase; tRNA processing; tRNA-binding</t>
  </si>
  <si>
    <t>RNA (guanine-N7)-methylation {GO:0036265}; tRNA methylation {GO:0030488}; tRNA modification {GO:0006400}</t>
  </si>
  <si>
    <t>cytosol {GO:0005829}; nucleolus {GO:0005730}; nucleoplasm {GO:0005654}; nucleus {GO:0005634}; tRNA methyltransferase complex {GO:0043527}</t>
  </si>
  <si>
    <t>tRNA (guanine-N7-)-methyltransferase activity {GO:0008176}; tRNA binding {GO:0000049}</t>
  </si>
  <si>
    <t>tRNA modification; N(7)-methylguanine-tRNA biosynthesis.</t>
  </si>
  <si>
    <t>sp|Q921E6|EED_MOUSE</t>
  </si>
  <si>
    <t>Polycomb protein EED</t>
  </si>
  <si>
    <t>EED_MOUSE</t>
  </si>
  <si>
    <t>Q921E6</t>
  </si>
  <si>
    <t>P97462</t>
  </si>
  <si>
    <t>MGI:95286</t>
  </si>
  <si>
    <t>3D-structure; Acetylation; Alternative initiation; Chromatin regulator; Chromosome; Methylation; Nucleus; Phosphoprotein; Repeat; Repressor; Transcription; Transcription regulation; WD repeat</t>
  </si>
  <si>
    <t>cellular response to leukemia inhibitory factor {GO:1990830}; histone methylation {GO:0016571}; negative regulation of transcription by RNA polymerase II {GO:0000122}; oligodendrocyte differentiation {GO:0048709}; positive regulation of histone H3-K27 methylation {GO:0061087}; regulation of adaxial/abaxial pattern formation {GO:2000011}; regulation of gene expression by genomic imprinting {GO:0006349}</t>
  </si>
  <si>
    <t>chromatin silencing complex {GO:0005677}; cytosol {GO:0005829}; ESC/E(Z) complex {GO:0035098}; nucleoplasm {GO:0005654}; nucleus {GO:0005634}; pronucleus {GO:0045120}; sex chromatin {GO:0001739}</t>
  </si>
  <si>
    <t>chromatin binding {GO:0003682}; enzyme activator activity {GO:0008047}; histone methyltransferase activity {GO:0042054}; identical protein binding {GO:0042802}; RNA polymerase II cis-regulatory region sequence-specific DNA binding {GO:0000978}; transcription corepressor binding {GO:0001222}</t>
  </si>
  <si>
    <t>PRC2 methylates histones and DNA {R-MMU-212300}; Oxidative Stress Induced Senescence {R-MMU-2559580}; PKMTs methylate histone lysines {R-MMU-3214841}; Regulation of PTEN gene transcription {R-MMU-8943724}; Transcriptional Regulation by E2F6 {R-MMU-8953750}</t>
  </si>
  <si>
    <t>sp|Q9QY06|MYO9B_MOUSE</t>
  </si>
  <si>
    <t>Unconventional myosin-IXb</t>
  </si>
  <si>
    <t>Unconventional myosin-9b</t>
  </si>
  <si>
    <t>MYO9B_MOUSE</t>
  </si>
  <si>
    <t>Q9QY06</t>
  </si>
  <si>
    <t>Q9QY07; Q9QY08; Q9QY09</t>
  </si>
  <si>
    <t>Myr5</t>
  </si>
  <si>
    <t>MGI:106624</t>
  </si>
  <si>
    <t>Acetylation; Actin-binding; Alternative splicing; ATP-binding; Calmodulin-binding; Coiled coil; Cytoplasm; Cytoskeleton; GTPase activation; Metal-binding; Motor protein; Myosin; Nucleotide-binding; Phosphoprotein; Repeat; Zinc; Zinc-finger</t>
  </si>
  <si>
    <t>Actin-binding; Calmodulin-binding; GTPase activation; Motor protein; Myosin</t>
  </si>
  <si>
    <t>actin filament-based movement {GO:0030048}; actin-myosin filament sliding {GO:0033275}; establishment of cell polarity {GO:0030010}; lamellipodium morphogenesis {GO:0072673}; macrophage chemotaxis {GO:0048246}; monocyte chemotaxis {GO:0002548}; positive regulation of GTPase activity {GO:0043547}; regulation of Rho protein signal transduction {GO:0035023}; Rho protein signal transduction {GO:0007266}; Roundabout signaling pathway {GO:0035385}</t>
  </si>
  <si>
    <t>actin filament {GO:0005884}; cell cortex {GO:0005938}; cytoplasm {GO:0005737}; cytosol {GO:0005829}; filopodium tip {GO:0032433}; lamellipodium {GO:0030027}; myosin complex {GO:0016459}; perinuclear region of cytoplasm {GO:0048471}; ruffle {GO:0001726}</t>
  </si>
  <si>
    <t>actin binding {GO:0003779}; actin filament binding {GO:0051015}; ADP binding {GO:0043531}; ATP binding {GO:0005524}; ATP hydrolysis activity {GO:0016887}; ATP-dependent protein binding {GO:0043008}; calmodulin binding {GO:0005516}; cytoskeletal motor activity {GO:0003774}; GTPase activator activity {GO:0005096}; microfilament motor activity {GO:0000146}; Roundabout binding {GO:0048495}; small GTPase binding {GO:0031267}; zinc ion binding {GO:0008270}</t>
  </si>
  <si>
    <t>Regulation of actin dynamics for phagocytic cup formation {R-MMU-2029482}; RHOA GTPase cycle {R-MMU-8980692}; SLIT2:ROBO1 increases RHOA activity {R-MMU-8985586}; RHOB GTPase cycle {R-MMU-9013026}; RHOC GTPase cycle {R-MMU-9013106}; CDC42 GTPase cycle {R-MMU-9013148}; RAC1 GTPase cycle {R-MMU-9013149}; RHOF GTPase cycle {R-MMU-9035034}</t>
  </si>
  <si>
    <t>sp|Q9D753|EXOS8_MOUSE</t>
  </si>
  <si>
    <t>Exosome complex component RRP43</t>
  </si>
  <si>
    <t>Exosome component 8; Ribosomal RNA-processing protein 43</t>
  </si>
  <si>
    <t>EXOS8_MOUSE</t>
  </si>
  <si>
    <t>Q9D753</t>
  </si>
  <si>
    <t>Rrp43</t>
  </si>
  <si>
    <t>MGI:1916889</t>
  </si>
  <si>
    <t>chromosome {GO:0005694}; cytoplasm {GO:0005737}; cytoplasmic exosome (RNase complex) {GO:0000177}; cytosol {GO:0005829}; exosome (RNase complex) {GO:0000178}; fibrillar center {GO:0001650}; intracellular membrane-bounded organelle {GO:0043231}; nuclear exosome (RNase complex) {GO:0000176}; nucleolar exosome (RNase complex) {GO:0101019}; nucleolus {GO:0005730}; nucleoplasm {GO:0005654}; nucleus {GO:0005634}</t>
  </si>
  <si>
    <t>identical protein binding {GO:0042802}; mRNA 3'-UTR AU-rich region binding {GO:0035925}</t>
  </si>
  <si>
    <t>tr|E9PUR0|E9PUR0_MOUSE</t>
  </si>
  <si>
    <t>sp|Q80Y84|KDM5B_MOUSE</t>
  </si>
  <si>
    <t>Lysine-specific demethylase 5B</t>
  </si>
  <si>
    <t>Histone demethylase JARID1B; Jumonji/ARID domain-containing protein 1B; PLU-1; [histone H3]-trimethyl-L-lysine(4) demethylase 5B</t>
  </si>
  <si>
    <t>KDM5B_MOUSE</t>
  </si>
  <si>
    <t>Q80Y84</t>
  </si>
  <si>
    <t>Q5DTR9; Q8BLU1; Q8JZL8</t>
  </si>
  <si>
    <t>Jarid1b; Kiaa4034; Plu1</t>
  </si>
  <si>
    <t>MGI:1922855</t>
  </si>
  <si>
    <t>3D-structure; Acetylation; Alternative splicing; Biological rhythms; Chromatin regulator; Dioxygenase; Iron; Isopeptide bond; Metal-binding; Nucleus; Oxidoreductase; Phosphoprotein; Repeat; Repressor; Transcription; Transcription regulation; Ubl conjugation; Zinc; Zinc-finger</t>
  </si>
  <si>
    <t>Chromatin regulator; Dioxygenase; Oxidoreductase; Repressor</t>
  </si>
  <si>
    <t>branching involved in mammary gland duct morphogenesis {GO:0060444}; cellular response to fibroblast growth factor stimulus {GO:0044344}; cellular response to leukemia inhibitory factor {GO:1990830}; chromatin remodeling {GO:0006338}; histone H3-K4 demethylation {GO:0034720}; lens fiber cell differentiation {GO:0070306}; mammary duct terminal end bud growth {GO:0060763}; negative regulation of DNA-templated transcription {GO:0045892}; positive regulation of gene expression {GO:0010628}; positive regulation of mammary gland epithelial cell proliferation {GO:0033601}; post-embryonic development {GO:0009791}; regulation of circadian rhythm {GO:0042752}; regulation of estradiol secretion {GO:2000864}; response to fungicide {GO:0060992}; rhythmic process {GO:0048511}; single fertilization {GO:0007338}; uterus morphogenesis {GO:0061038}</t>
  </si>
  <si>
    <t>DNA binding {GO:0003677}; histone binding {GO:0042393}; histone demethylase activity {GO:0032452}; histone H3-methyl-lysine-4 demethylase activity {GO:0032453}; histone H3-tri/di/monomethyl-lysine-4 demethylase activity {GO:0034647}; sequence-specific double-stranded DNA binding {GO:1990837}; transcription corepressor activity {GO:0003714}; zinc ion binding {GO:0008270}</t>
  </si>
  <si>
    <t>HDMs demethylate histones {R-MMU-3214842}; TFAP2 (AP-2) family regulates transcription of cell cycle factors {R-MMU-8866911}</t>
  </si>
  <si>
    <t>sp|Q8C7M3|TRIM9_MOUSE</t>
  </si>
  <si>
    <t>E3 ubiquitin-protein ligase TRIM9</t>
  </si>
  <si>
    <t>RING-type E3 ubiquitin transferase TRIM9; Tripartite motif-containing protein 9</t>
  </si>
  <si>
    <t>TRIM9_MOUSE</t>
  </si>
  <si>
    <t>Q8C7M3</t>
  </si>
  <si>
    <t>Q6ZQE5; Q80WT6; Q8C7Z4; Q8CC32; Q8CEG2; Q99PQ3</t>
  </si>
  <si>
    <t>Kiaa0282</t>
  </si>
  <si>
    <t>MGI:2137354</t>
  </si>
  <si>
    <t>Alternative splicing; Cell projection; Coiled coil; Cytoplasm; Cytoplasmic vesicle; Cytoskeleton; Metal-binding; Phosphoprotein; Repeat; Synapse; Transferase; Ubl conjugation; Ubl conjugation pathway; Zinc; Zinc-finger</t>
  </si>
  <si>
    <t>Cell projection; Cytoplasm; Cytoplasmic vesicle; Cytoskeleton; Synapse</t>
  </si>
  <si>
    <t>negative regulation of calcium ion-dependent exocytosis {GO:0045955}; negative regulation of SNARE complex assembly {GO:0035544}; proteasome-mediated ubiquitin-dependent protein catabolic process {GO:0043161}; synaptic vesicle exocytosis {GO:0016079}</t>
  </si>
  <si>
    <t>anchoring junction {GO:0070161}; cytoplasm {GO:0005737}; cytoskeleton {GO:0005856}; dendrite {GO:0030425}; presynaptic cytosol {GO:0099523}; synaptic vesicle {GO:0008021}</t>
  </si>
  <si>
    <t>protein domain specific binding {GO:0019904}; protein homodimerization activity {GO:0042803}; SNARE binding {GO:0000149}; ubiquitin protein ligase activity {GO:0061630}; zinc ion binding {GO:0008270}</t>
  </si>
  <si>
    <t>sp|Q91YN5|UAP1_MOUSE</t>
  </si>
  <si>
    <t>UDP-N-acetylglucosamine pyrophosphorylase</t>
  </si>
  <si>
    <t>UAP1_MOUSE</t>
  </si>
  <si>
    <t>Q91YN5</t>
  </si>
  <si>
    <t>Q8BG76; Q8BXD6; Q8VD59</t>
  </si>
  <si>
    <t>MGI:1334459</t>
  </si>
  <si>
    <t>3D-structure; Alternative splicing; Cytoplasm; Nucleotidyltransferase; Transferase</t>
  </si>
  <si>
    <t>UDP-N-acetylglucosamine biosynthetic process {GO:0006048}; UDP-N-acetylglucosamine metabolic process {GO:0006047}</t>
  </si>
  <si>
    <t>carbohydrate binding {GO:0030246}; identical protein binding {GO:0042802}; UDP-N-acetylgalactosamine diphosphorylase activity {GO:0052630}; UDP-N-acetylglucosamine diphosphorylase activity {GO:0003977}</t>
  </si>
  <si>
    <t>Nucleotide-sugar biosynthesis; UDP-N-acetyl-alpha-D- glucosamine biosynthesis; UDP-N-acetyl-alpha-D-glucosamine from N- acetyl-alpha-D-glucosamine 1-phosphate: step 1/1.</t>
  </si>
  <si>
    <t>sp|O89116|VTI1A_MOUSE</t>
  </si>
  <si>
    <t>Vesicle transport through interaction with t-SNAREs homolog 1A</t>
  </si>
  <si>
    <t>Vesicle transport v-SNARE protein Vti1-like 2; Vti1-rp2</t>
  </si>
  <si>
    <t>VTI1A_MOUSE</t>
  </si>
  <si>
    <t>O89116</t>
  </si>
  <si>
    <t>Q545P9</t>
  </si>
  <si>
    <t>Vti1; Vti1l2</t>
  </si>
  <si>
    <t>MGI:1855699</t>
  </si>
  <si>
    <t>3D-structure; Coiled coil; Golgi apparatus; Membrane; Protein transport; Transmembrane; Transmembrane helix; Transport</t>
  </si>
  <si>
    <t>autophagy {GO:0006914}; endoplasmic reticulum to Golgi vesicle-mediated transport {GO:0006888}; Golgi ribbon formation {GO:0090161}; Golgi to vacuole transport {GO:0006896}; intra-Golgi vesicle-mediated transport {GO:0006891}; intracellular protein transport {GO:0006886}; macroautophagy {GO:0016236}; retrograde transport, endosome to Golgi {GO:0042147}; synaptic vesicle to endosome fusion {GO:0016189}; vesicle fusion {GO:0006906}; vesicle fusion with Golgi apparatus {GO:0048280}; voluntary musculoskeletal movement {GO:0050882}</t>
  </si>
  <si>
    <t>autophagosome {GO:0005776}; clathrin-coated vesicle {GO:0030136}; cytosol {GO:0005829}; endoplasmic reticulum membrane {GO:0005789}; endosome {GO:0005768}; ER to Golgi transport vesicle membrane {GO:0012507}; Golgi apparatus {GO:0005794}; Golgi membrane {GO:0000139}; integral component of membrane {GO:0016021}; intracellular membrane-bounded organelle {GO:0043231}; late endosome membrane {GO:0031902}; neuron projection terminus {GO:0044306}; neuronal cell body {GO:0043025}; perinuclear region of cytoplasm {GO:0048471}; SNARE complex {GO:0031201}; synaptic vesicle {GO:0008021}</t>
  </si>
  <si>
    <t>sp|O88207|CO5A1_MOUSE</t>
  </si>
  <si>
    <t>Collagen alpha-1(V) chain</t>
  </si>
  <si>
    <t>CO5A1_MOUSE</t>
  </si>
  <si>
    <t>O88207</t>
  </si>
  <si>
    <t>A3KGE3; Q3UG94; Q6F6B0</t>
  </si>
  <si>
    <t>MGI:88457</t>
  </si>
  <si>
    <t>Alternative splicing; Collagen; Extracellular matrix; Heparin-binding; Hydroxylation; Repeat; Secreted; Signal; Sulfation</t>
  </si>
  <si>
    <t>Hydroxylation; Sulfation</t>
  </si>
  <si>
    <t>blood vessel development {GO:0001568}; cell adhesion {GO:0007155}; cell migration {GO:0016477}; collagen biosynthetic process {GO:0032964}; collagen fibril organization {GO:0030199}; extracellular matrix organization {GO:0030198}; eye morphogenesis {GO:0048592}; heart morphogenesis {GO:0003007}; integrin biosynthetic process {GO:0045112}; negative regulation of endodermal cell differentiation {GO:1903225}; regulation of cellular component organization {GO:0051128}; skin development {GO:0043588}; supramolecular fiber organization {GO:0097435}; tendon development {GO:0035989}; wound healing, spreading of epidermal cells {GO:0035313}</t>
  </si>
  <si>
    <t>basement membrane {GO:0005604}; collagen trimer {GO:0005581}; collagen type V trimer {GO:0005588}; collagen type XI trimer {GO:0005592}; collagen-containing extracellular matrix {GO:0062023}; extracellular matrix {GO:0031012}; extracellular space {GO:0005615}</t>
  </si>
  <si>
    <t>extracellular matrix structural constituent {GO:0005201}; heparin binding {GO:0008201}; platelet-derived growth factor binding {GO:0048407}; proteoglycan binding {GO:0043394}</t>
  </si>
  <si>
    <t>Collagen degradation {R-MMU-1442490}; Extracellular matrix organization {R-MMU-1474244}; Collagen biosynthesis and modifying enzymes {R-MMU-1650814}; Signaling by PDGF {R-MMU-186797}; Assembly of collagen fibrils and other multimeric structures {R-MMU-2022090}; Integrin cell surface interactions {R-MMU-216083}; Non-integrin membrane-ECM interactions {R-MMU-3000171}; ECM proteoglycans {R-MMU-3000178}; NCAM1 interactions {R-MMU-419037}; MET activates PTK2 signaling {R-MMU-8874081}; Collagen chain trimerization {R-MMU-8948216}</t>
  </si>
  <si>
    <t>sp|Q8VCD6|REEP2_MOUSE</t>
  </si>
  <si>
    <t>Receptor expression-enhancing protein 2</t>
  </si>
  <si>
    <t>REEP2_MOUSE</t>
  </si>
  <si>
    <t>Q8VCD6</t>
  </si>
  <si>
    <t>MGI:2385070</t>
  </si>
  <si>
    <t>endoplasmic reticulum tubular network organization {GO:0071786}; protein transport into membrane raft {GO:0032596}; regulation of intracellular transport {GO:0032386}; sensory perception of bitter taste {GO:0050913}; sensory perception of sweet taste {GO:0050916}</t>
  </si>
  <si>
    <t>cytoplasmic microtubule {GO:0005881}; endoplasmic reticulum {GO:0005783}; endoplasmic reticulum membrane {GO:0005789}; endoplasmic reticulum tubular network {GO:0071782}; integral component of plasma membrane {GO:0005887}; membrane {GO:0016020}</t>
  </si>
  <si>
    <t>microtubule binding {GO:0008017}; taste receptor binding {GO:0031883}</t>
  </si>
  <si>
    <t>sp|Q9WVT6|CAH14_MOUSE</t>
  </si>
  <si>
    <t>Carbonic anhydrase 14</t>
  </si>
  <si>
    <t>Carbonate dehydratase XIV; Carbonic anhydrase XIV (CA-XIV)</t>
  </si>
  <si>
    <t>CAH14_MOUSE</t>
  </si>
  <si>
    <t>Q9WVT6</t>
  </si>
  <si>
    <t>Car14; Catm</t>
  </si>
  <si>
    <t>MGI:1344341</t>
  </si>
  <si>
    <t>3D-structure; Disulfide bond; Glycoprotein; Lyase; Membrane; Metal-binding; Phosphoprotein; Signal; Transmembrane; Transmembrane helix; Zinc</t>
  </si>
  <si>
    <t>carbon dioxide transport {GO:0015670}; one-carbon metabolic process {GO:0006730}; regulation of pH {GO:0006885}</t>
  </si>
  <si>
    <t>carbonate dehydratase activity {GO:0004089}; hydro-lyase activity {GO:0016836}; zinc ion binding {GO:0008270}</t>
  </si>
  <si>
    <t>Reversible hydration of carbon dioxide {R-MMU-1475029}</t>
  </si>
  <si>
    <t>sp|Q8R1N0|ZN830_MOUSE</t>
  </si>
  <si>
    <t>Zinc finger protein 830</t>
  </si>
  <si>
    <t>Coiled-coil domain-containing protein 16; Ovus mutant candidate gene 1 protein</t>
  </si>
  <si>
    <t>ZN830_MOUSE</t>
  </si>
  <si>
    <t>Q8R1N0</t>
  </si>
  <si>
    <t>Q3TR52; Q9CWV9; Q9CYI6</t>
  </si>
  <si>
    <t>MGI:1914233</t>
  </si>
  <si>
    <t>Acetylation; Cell cycle; Cell division; Chromosome; Coiled coil; Developmental protein; Metal-binding; Mitosis; mRNA processing; mRNA splicing; Nucleus; Phosphoprotein; Spliceosome; Zinc; Zinc-finger</t>
  </si>
  <si>
    <t>Chromosome; Nucleus; Spliceosome</t>
  </si>
  <si>
    <t>blastocyst growth {GO:0001832}; cell division {GO:0051301}; chromosome organization {GO:0051276}; intestinal epithelial structure maintenance {GO:0060729}; mitotic cell cycle {GO:0000278}; mitotic DNA damage checkpoint signaling {GO:0044773}; mitotic DNA replication checkpoint signaling {GO:0033314}; mRNA processing {GO:0006397}; negative regulation of apoptotic process {GO:0043066}; nuclear DNA replication {GO:0033260}; ovarian follicle development {GO:0001541}; preantral ovarian follicle growth {GO:0001546}; replication fork protection {GO:0048478}; RNA splicing {GO:0008380}</t>
  </si>
  <si>
    <t>chromosome {GO:0005694}; nuclear speck {GO:0016607}; nucleus {GO:0005634}; spliceosomal complex {GO:0005681}</t>
  </si>
  <si>
    <t>sp|Q8K0Z7|TACO1_MOUSE</t>
  </si>
  <si>
    <t>Translational activator of cytochrome c oxidase 1</t>
  </si>
  <si>
    <t>Coiled-coil domain-containing protein 44; Translational activator of mitochondrially-encoded cytochrome c oxidase 1</t>
  </si>
  <si>
    <t>TACO1_MOUSE</t>
  </si>
  <si>
    <t>Q8K0Z7</t>
  </si>
  <si>
    <t>B1AR86; Q3TI86; Q3USS8; Q9CV09</t>
  </si>
  <si>
    <t>Ccdc44</t>
  </si>
  <si>
    <t>MGI:1917457</t>
  </si>
  <si>
    <t>3D-structure; Acetylation; Activator; Coiled coil; Mitochondrion; Translation regulation</t>
  </si>
  <si>
    <t>mitochondrial cytochrome c oxidase assembly {GO:0033617}; motor learning {GO:0061743}; regulation of cytochrome-c oxidase activity {GO:1904959}; regulation of mitochondrial translation {GO:0070129}</t>
  </si>
  <si>
    <t>mitochondrial ribosome binding {GO:0097177}; mRNA binding {GO:0003729}; rRNA binding {GO:0019843}</t>
  </si>
  <si>
    <t>sp|Q99PP7|TRI33_MOUSE</t>
  </si>
  <si>
    <t>E3 ubiquitin-protein ligase TRIM33</t>
  </si>
  <si>
    <t>Ectodermin homolog; RING-type E3 ubiquitin transferase TRIM33; Transcription intermediary factor 1-gamma (TIF1-gamma); Tripartite motif-containing protein 33</t>
  </si>
  <si>
    <t>TRI33_MOUSE</t>
  </si>
  <si>
    <t>Q99PP7</t>
  </si>
  <si>
    <t>Q6SI71; Q6ZPX5</t>
  </si>
  <si>
    <t>Kiaa1113</t>
  </si>
  <si>
    <t>MGI:2137357</t>
  </si>
  <si>
    <t>Acetylation; Alternative splicing; Bromodomain; Coiled coil; DNA-binding; Isopeptide bond; Metal-binding; Methylation; Nucleus; Phosphoprotein; Repeat; Repressor; Transcription; Transcription regulation; Transferase; Ubl conjugation; Ubl conjugation pathway; Zinc; Zinc-finger</t>
  </si>
  <si>
    <t>DNA-binding; Repressor; Transferase</t>
  </si>
  <si>
    <t>gene expression {GO:0010467}; negative regulation of BMP signaling pathway {GO:0030514}; protein ubiquitination {GO:0016567}; regulation of transforming growth factor beta receptor signaling pathway {GO:0017015}</t>
  </si>
  <si>
    <t>co-SMAD binding {GO:0070410}; DNA binding {GO:0003677}; promoter-specific chromatin binding {GO:1990841}; R-SMAD binding {GO:0070412}; ubiquitin protein ligase activity {GO:0061630}; zinc ion binding {GO:0008270}</t>
  </si>
  <si>
    <t>Downregulation of SMAD2/3:SMAD4 transcriptional activity {R-MMU-2173795}</t>
  </si>
  <si>
    <t>sp|A8Y5H7|S14L1_MOUSE</t>
  </si>
  <si>
    <t>SEC14-like protein 1</t>
  </si>
  <si>
    <t>S14L1_MOUSE</t>
  </si>
  <si>
    <t>A8Y5H7</t>
  </si>
  <si>
    <t>A2A9B9; Q6A071; Q99J07; Q9DBQ0</t>
  </si>
  <si>
    <t>MGI:1921386</t>
  </si>
  <si>
    <t>Alternative splicing; Cytoplasm; Golgi apparatus; Immunity; Innate immunity; Phosphoprotein; Signal transduction inhibitor</t>
  </si>
  <si>
    <t>choline transport {GO:0015871}; innate immune response {GO:0045087}; negative regulation of RIG-I signaling pathway {GO:0039536}</t>
  </si>
  <si>
    <t>cytoplasm {GO:0005737}; cytosol {GO:0005829}; Golgi apparatus {GO:0005794}; nucleoplasm {GO:0005654}</t>
  </si>
  <si>
    <t>RIG-I binding {GO:0039552}</t>
  </si>
  <si>
    <t>sp|Q8BGQ1|SPE39_MOUSE</t>
  </si>
  <si>
    <t>Spermatogenesis-defective protein 39 homolog (hSPE-39)</t>
  </si>
  <si>
    <t>VPS33B-interacting protein in apical-basolateral polarity regulator; VPS33B-interacting protein in polarity and apical restriction</t>
  </si>
  <si>
    <t>SPE39_MOUSE</t>
  </si>
  <si>
    <t>Q8BGQ1</t>
  </si>
  <si>
    <t>Q8BL55; Q8CIK4; Q91YI3</t>
  </si>
  <si>
    <t>Spe39; Vipar</t>
  </si>
  <si>
    <t>MGI:2144805</t>
  </si>
  <si>
    <t>Alternative splicing; Cytoplasm; Cytoplasmic vesicle; Differentiation; Endosome; Phosphoprotein; Protein transport; Spermatogenesis; Transcription; Transcription regulation; Transport</t>
  </si>
  <si>
    <t>Differentiation; Protein transport; Spermatogenesis; Transcription; Transcription regulation; Transport</t>
  </si>
  <si>
    <t>cell differentiation {GO:0030154}; collagen fibril organization {GO:0030199}; collagen metabolic process {GO:0032963}; endosome to lysosome transport {GO:0008333}; intracellular protein transport {GO:0006886}; peptidyl-lysine hydroxylation {GO:0017185}; post-translational protein modification {GO:0043687}; spermatogenesis {GO:0007283}; vacuolar transport {GO:0007034}</t>
  </si>
  <si>
    <t>cytoplasm {GO:0005737}; early endosome {GO:0005769}; endosome {GO:0005768}; Golgi apparatus {GO:0005794}; late endosome {GO:0005770}; recycling endosome {GO:0055037}; vesicle tethering complex {GO:0099023}</t>
  </si>
  <si>
    <t>sp|Q3UKU1|ELL2_MOUSE</t>
  </si>
  <si>
    <t>RNA polymerase II elongation factor ELL2</t>
  </si>
  <si>
    <t>ELL2_MOUSE</t>
  </si>
  <si>
    <t>Q3UKU1</t>
  </si>
  <si>
    <t>E9QPE1</t>
  </si>
  <si>
    <t>MGI:2183438</t>
  </si>
  <si>
    <t>Nucleus; Phosphoprotein; Transcription; Transcription regulation; Ubl conjugation</t>
  </si>
  <si>
    <t>positive regulation of transcription elongation by RNA polymerase II {GO:0032968}; snRNA transcription by RNA polymerase II {GO:0042795}; transcription elongation by RNA polymerase II promoter {GO:0006368}</t>
  </si>
  <si>
    <t>nucleoplasm {GO:0005654}; transcription elongation factor complex {GO:0008023}</t>
  </si>
  <si>
    <t>cis-regulatory region sequence-specific DNA binding {GO:0000987}</t>
  </si>
  <si>
    <t>sp|Q9CYN9|RENR_MOUSE</t>
  </si>
  <si>
    <t>Renin receptor cytoplasmic fragment</t>
  </si>
  <si>
    <t>ATPase H(+)-transporting lysosomal accessory protein 2; ATPase H(+)-transporting lysosomal-interacting protein 2; Renin/prorenin receptor</t>
  </si>
  <si>
    <t>RENR_MOUSE</t>
  </si>
  <si>
    <t>Q9CYN9</t>
  </si>
  <si>
    <t>A2BDN5; Q8BVU6; Q91YU5</t>
  </si>
  <si>
    <t>Atp6ip2</t>
  </si>
  <si>
    <t>MGI:1917745</t>
  </si>
  <si>
    <t>Cell membrane; Cell projection; Cleavage on pair of basic residues; Cytoplasmic vesicle; Endoplasmic reticulum; Endosome; Lysosome; Membrane; Phosphoprotein; Postsynaptic cell membrane; Receptor; Signal; Synapse; Transmembrane; Transmembrane helix</t>
  </si>
  <si>
    <t>Cell membrane; Cell projection; Cytoplasmic vesicle; Endoplasmic reticulum; Endosome; Lysosome; Membrane; Postsynaptic cell membrane; Synapse</t>
  </si>
  <si>
    <t>angiotensin maturation {GO:0002003}; central nervous system maturation {GO:0021626}; eye pigmentation {GO:0048069}; head morphogenesis {GO:0060323}; lysosomal lumen acidification {GO:0007042}; positive regulation of canonical Wnt signaling pathway {GO:0090263}; positive regulation of transforming growth factor beta1 production {GO:0032914}; positive regulation of Wnt signaling pathway {GO:0030177}; regulation of MAPK cascade {GO:0043408}; rostrocaudal neural tube patterning {GO:0021903}</t>
  </si>
  <si>
    <t>anchoring junction {GO:0070161}; apical plasma membrane {GO:0016324}; autophagosome membrane {GO:0000421}; axon {GO:0030424}; cell body {GO:0044297}; clathrin-coated vesicle membrane {GO:0030665}; dendritic spine membrane {GO:0032591}; endoplasmic reticulum membrane {GO:0005789}; endosome membrane {GO:0010008}; external side of plasma membrane {GO:0009897}; extracellular space {GO:0005615}; integral component of membrane {GO:0016021}; lysosomal membrane {GO:0005765}; lysosome {GO:0005764}; membrane {GO:0016020}; neuron projection {GO:0043005}; postsynaptic membrane {GO:0045211}; synaptic vesicle membrane {GO:0030672}; vacuolar proton-transporting V-type ATPase complex {GO:0016471}; vacuolar proton-transporting V-type ATPase, V0 domain {GO:0000220}</t>
  </si>
  <si>
    <t>Metabolism of Angiotensinogen to Angiotensins {R-MMU-2022377}; Neutrophil degranulation {R-MMU-6798695}</t>
  </si>
  <si>
    <t>sp|Q8C5L3|CNOT2_MOUSE</t>
  </si>
  <si>
    <t>CCR4-NOT transcription complex subunit 2</t>
  </si>
  <si>
    <t>CCR4-associated factor 2</t>
  </si>
  <si>
    <t>CNOT2_MOUSE</t>
  </si>
  <si>
    <t>Q8C5L3</t>
  </si>
  <si>
    <t>Q3UE39; Q80YA5; Q9D0P1</t>
  </si>
  <si>
    <t>MGI:1919318</t>
  </si>
  <si>
    <t>gene silencing by RNA {GO:0031047}; negative regulation of intracellular estrogen receptor signaling pathway {GO:0033147}; negative regulation of transcription by RNA polymerase II {GO:0000122}; nuclear-transcribed mRNA poly(A) tail shortening {GO:0000289}; positive regulation of cytoplasmic mRNA processing body assembly {GO:0010606}; regulation of stem cell population maintenance {GO:2000036}; trophectodermal cell differentiation {GO:0001829}</t>
  </si>
  <si>
    <t>CCR4-NOT complex {GO:0030014}; CCR4-NOT core complex {GO:0030015}; cytoplasm {GO:0005737}; cytosol {GO:0005829}; nucleoplasm {GO:0005654}; P-body {GO:0000932}; plasma membrane {GO:0005886}</t>
  </si>
  <si>
    <t>poly(A)-specific ribonuclease activity {GO:0004535}; transcription corepressor binding {GO:0001222}</t>
  </si>
  <si>
    <t>sp|Q76N33|STALP_MOUSE</t>
  </si>
  <si>
    <t>AMSH-like protease (AMSH-LP)</t>
  </si>
  <si>
    <t>AMSH family protein (AMSH-FP); STAM-binding protein-like 1</t>
  </si>
  <si>
    <t>STALP_MOUSE</t>
  </si>
  <si>
    <t>Q76N33</t>
  </si>
  <si>
    <t>Q76LY0; Q8VEK5</t>
  </si>
  <si>
    <t>Amshlp</t>
  </si>
  <si>
    <t>MGI:1923880</t>
  </si>
  <si>
    <t>Acetylation; Alternative splicing; Hydrolase; Metal-binding; Metalloprotease; Phosphoprotein; Protease; Ubl conjugation pathway; Zinc</t>
  </si>
  <si>
    <t>protein K63-linked deubiquitination {GO:0070536}</t>
  </si>
  <si>
    <t>Lys63-specific deubiquitinase activity {GO:0061578}; metal ion binding {GO:0046872}; metal-dependent deubiquitinase activity {GO:0140492}</t>
  </si>
  <si>
    <t>sp|Q9R0Q4|MO4L2_MOUSE</t>
  </si>
  <si>
    <t>Mortality factor 4-like protein 2</t>
  </si>
  <si>
    <t>MORF-related gene X protein; Sid 393; Transcription factor-like protein MRGX</t>
  </si>
  <si>
    <t>MO4L2_MOUSE</t>
  </si>
  <si>
    <t>Q9R0Q4</t>
  </si>
  <si>
    <t>A2AEB2; Q3UL62; Q6DIB1; Q6ZQK7; Q8C201; Q8C6C2</t>
  </si>
  <si>
    <t>Kiaa0026; Sid393</t>
  </si>
  <si>
    <t>MGI:1927167</t>
  </si>
  <si>
    <t>Chromatin regulator; DNA damage; DNA repair; Growth regulation; Nucleus; Phosphoprotein; Transcription; Transcription regulation</t>
  </si>
  <si>
    <t>DNA damage; DNA repair; Growth regulation; Transcription; Transcription regulation</t>
  </si>
  <si>
    <t>chromatin organization {GO:0006325}; DNA repair {GO:0006281}; histone acetylation {GO:0016573}; histone deacetylation {GO:0016575}; histone H2A acetylation {GO:0043968}; histone H4 acetylation {GO:0043967}; positive regulation of DNA-templated transcription {GO:0045893}; positive regulation of double-strand break repair via homologous recombination {GO:1905168}; positive regulation of striated muscle cell differentiation {GO:0051155}; positive regulation of transcription by RNA polymerase II {GO:0045944}; regulation of apoptotic process {GO:0042981}; regulation of cell cycle {GO:0051726}; regulation of double-strand break repair {GO:2000779}</t>
  </si>
  <si>
    <t>histone acetyltransferase complex {GO:0000123}; NuA4 histone acetyltransferase complex {GO:0035267}; nucleolus {GO:0005730}; nucleoplasm {GO:0005654}; nucleosome {GO:0000786}; plasma membrane {GO:0005886}</t>
  </si>
  <si>
    <t>sp|Q9WV89|STXB4_MOUSE</t>
  </si>
  <si>
    <t>Syntaxin-binding protein 4</t>
  </si>
  <si>
    <t>Syntaxin 4-interacting protein (STX4-interacting protein; Synip)</t>
  </si>
  <si>
    <t>STXB4_MOUSE</t>
  </si>
  <si>
    <t>Q9WV89</t>
  </si>
  <si>
    <t>Q5SUA6; Q5SUA8; Q5SUA9; Q8CFL1</t>
  </si>
  <si>
    <t>MGI:1342296</t>
  </si>
  <si>
    <t>3D-structure; Alternative splicing; Coiled coil; Cytoplasm; Phosphoprotein; Repeat</t>
  </si>
  <si>
    <t>cellular response to DNA damage stimulus {GO:0006974}; cellular response to interferon-gamma {GO:0071346}; insulin receptor signaling pathway {GO:0008286}; positive regulation of cell cycle G1/S phase transition {GO:1902808}; positive regulation of keratinocyte proliferation {GO:0010838}; protein stabilization {GO:0050821}; protein targeting {GO:0006605}; regulation of glucose transmembrane transport {GO:0010827}; regulation of insulin secretion involved in cellular response to glucose stimulus {GO:0061178}</t>
  </si>
  <si>
    <t>cytoplasmic vesicle {GO:0031410}; phagocytic vesicle {GO:0045335}</t>
  </si>
  <si>
    <t>sp|Q9R061|NUBP2_MOUSE</t>
  </si>
  <si>
    <t>Cytosolic Fe-S cluster assembly factor NUBP2</t>
  </si>
  <si>
    <t>Nucleotide-binding protein 2 (NBP 2)</t>
  </si>
  <si>
    <t>NUBP2_MOUSE</t>
  </si>
  <si>
    <t>Q9R061</t>
  </si>
  <si>
    <t>MGI:1347072</t>
  </si>
  <si>
    <t>4Fe-4S; Acetylation; ATP-binding; Cell projection; Cilium; Cilium biogenesis/degradation; Cytoplasm; Cytoskeleton; Iron; Iron-sulfur; Metal-binding; Nucleotide-binding; Nucleus</t>
  </si>
  <si>
    <t>cell projection organization {GO:0030030}; iron-sulfur cluster assembly {GO:0016226}</t>
  </si>
  <si>
    <t>centriole {GO:0005814}; cilium {GO:0005929}; cytosol {GO:0005829}; nucleus {GO:0005634}; spindle pole centrosome {GO:0031616}</t>
  </si>
  <si>
    <t>sp|O88455|DHCR7_MOUSE</t>
  </si>
  <si>
    <t>7-dehydrocholesterol reductase (7-DHC reductase)</t>
  </si>
  <si>
    <t>Sterol Delta(7)-reductase</t>
  </si>
  <si>
    <t>DHCR7_MOUSE</t>
  </si>
  <si>
    <t>O88455</t>
  </si>
  <si>
    <t>MGI:1298378</t>
  </si>
  <si>
    <t>Cholesterol biosynthesis; Cholesterol metabolism; Endoplasmic reticulum; Lipid biosynthesis; Lipid metabolism; Membrane; NADP; Oxidoreductase; Phosphoprotein; Steroid biosynthesis; Steroid metabolism; Sterol biosynthesis; Sterol metabolism; Transmembrane; Transmembrane helix</t>
  </si>
  <si>
    <t>blood vessel development {GO:0001568}; brassinosteroid biosynthetic process {GO:0016132}; cholesterol biosynthetic process {GO:0006695}; lung development {GO:0030324}; lung epithelial cell differentiation {GO:0060487}; multicellular organism growth {GO:0035264}; post-embryonic development {GO:0009791}; regulation of cell population proliferation {GO:0042127}; regulation of cholesterol biosynthetic process {GO:0045540}; sterol biosynthetic process {GO:0016126}</t>
  </si>
  <si>
    <t>endoplasmic reticulum {GO:0005783}; integral component of endoplasmic reticulum membrane {GO:0030176}; intracellular membrane-bounded organelle {GO:0043231}; nuclear outer membrane {GO:0005640}</t>
  </si>
  <si>
    <t>7-dehydrocholesterol reductase activity {GO:0047598}; NADP binding {GO:0050661}; oxidoreductase activity, acting on the CH-CH group of donors {GO:0016627}; sterol delta7 reductase activity {GO:0009918}</t>
  </si>
  <si>
    <t>sp|Q6A028|SWP70_MOUSE</t>
  </si>
  <si>
    <t>Switch-associated protein 70 (SWAP-70)</t>
  </si>
  <si>
    <t>SWP70_MOUSE</t>
  </si>
  <si>
    <t>Q6A028</t>
  </si>
  <si>
    <t>O88443; Q3TQR6; Q3UCA3; Q6P1D0</t>
  </si>
  <si>
    <t>Kiaa0640</t>
  </si>
  <si>
    <t>MGI:1298390</t>
  </si>
  <si>
    <t>Cell membrane; Cell projection; Coiled coil; Cytoplasm; Cytoskeleton; DNA-binding; Membrane; Nucleus; Phosphoprotein</t>
  </si>
  <si>
    <t>actin filament bundle assembly {GO:0051017}; isotype switching {GO:0045190}; negative regulation of actin filament depolymerization {GO:0030835}; negative regulation of cell-cell adhesion mediated by integrin {GO:0033633}; negative regulation of peptidyl-serine dephosphorylation {GO:1902309}; positive regulation of actin filament bundle assembly {GO:0032233}; positive regulation of cytosolic calcium ion concentration {GO:0007204}; positive regulation of mast cell chemotaxis {GO:0060754}; regulation of actin polymerization or depolymerization {GO:0008064}; regulation of protein localization {GO:0032880}; somatic cell DNA recombination {GO:0016444}</t>
  </si>
  <si>
    <t>actin cytoskeleton {GO:0015629}; cytoplasm {GO:0005737}; lamellipodium {GO:0030027}; nucleus {GO:0005634}; plasma membrane {GO:0005886}</t>
  </si>
  <si>
    <t>ATP binding {GO:0005524}; DNA binding {GO:0003677}</t>
  </si>
  <si>
    <t>RAC1 GTPase cycle {R-MMU-9013149}; RAC2 GTPase cycle {R-MMU-9013404}; RAC3 GTPase cycle {R-MMU-9013423}</t>
  </si>
  <si>
    <t>sp|Q8K1E0|STX5_MOUSE</t>
  </si>
  <si>
    <t>Syntaxin-5</t>
  </si>
  <si>
    <t>STX5_MOUSE</t>
  </si>
  <si>
    <t>Q8K1E0</t>
  </si>
  <si>
    <t>Q3TM79; Q99J28; Q9JKP2</t>
  </si>
  <si>
    <t>Stx5a</t>
  </si>
  <si>
    <t>MGI:1928483</t>
  </si>
  <si>
    <t>Alternative initiation; Coiled coil; Golgi apparatus; Membrane; Transmembrane; Transmembrane helix; Transport</t>
  </si>
  <si>
    <t>early endosome to Golgi transport {GO:0034498}; endoplasmic reticulum to Golgi vesicle-mediated transport {GO:0006888}; Golgi disassembly {GO:0090166}; intracellular protein transport {GO:0006886}; positive regulation of protein catabolic process {GO:0045732}; regulation of Golgi organization {GO:1903358}; retrograde transport, endosome to Golgi {GO:0042147}; vesicle docking {GO:0048278}; vesicle fusion {GO:0006906}; vesicle fusion with Golgi apparatus {GO:0048280}; vesicle-mediated transport {GO:0016192}</t>
  </si>
  <si>
    <t>cytosol {GO:0005829}; endomembrane system {GO:0012505}; endoplasmic reticulum {GO:0005783}; endoplasmic reticulum-Golgi intermediate compartment membrane {GO:0033116}; Golgi apparatus {GO:0005794}; Golgi membrane {GO:0000139}; integral component of membrane {GO:0016021}; SNARE complex {GO:0031201}; vesicle {GO:0031982}</t>
  </si>
  <si>
    <t>protein N-terminus binding {GO:0047485}; SNAP receptor activity {GO:0005484}; SNARE binding {GO:0000149}</t>
  </si>
  <si>
    <t>COPII-mediated vesicle transport {R-MMU-204005}; Cargo concentration in the ER {R-MMU-5694530}; COPI-mediated anterograde transport {R-MMU-6807878}; Intra-Golgi traffic {R-MMU-6811438}; RHOA GTPase cycle {R-MMU-8980692}; RHOC GTPase cycle {R-MMU-9013106}; RHOG GTPase cycle {R-MMU-9013408}; Insertion of tail-anchored proteins into the endoplasmic reticulum membrane {R-MMU-9609523}</t>
  </si>
  <si>
    <t>sp|Q99N87|RT05_MOUSE</t>
  </si>
  <si>
    <t>28S ribosomal protein S5, mitochondrial (MRP-S5; S5mt)</t>
  </si>
  <si>
    <t>RT05_MOUSE</t>
  </si>
  <si>
    <t>Q99N87</t>
  </si>
  <si>
    <t>MGI:1924971</t>
  </si>
  <si>
    <t>tr|E9Q5E2|E9Q5E2_MOUSE</t>
  </si>
  <si>
    <t>sp|Q8BZA9|TIGAR_MOUSE</t>
  </si>
  <si>
    <t>Fructose-2,6-bisphosphatase TIGAR</t>
  </si>
  <si>
    <t>TP53-induced glycolysis and apoptosis regulator; TP53-induced glycolysis regulatory phosphatase</t>
  </si>
  <si>
    <t>TIGAR_MOUSE</t>
  </si>
  <si>
    <t>Q8BZA9</t>
  </si>
  <si>
    <t>MGI:2442752</t>
  </si>
  <si>
    <t>Apoptosis; Autophagy; Cytoplasm; Hydrolase; Mitochondrion; Nucleus</t>
  </si>
  <si>
    <t>Apoptosis; Autophagy</t>
  </si>
  <si>
    <t>cardiac muscle cell apoptotic process {GO:0010659}; cellular response to cobalt ion {GO:0071279}; cellular response to DNA damage stimulus {GO:0006974}; cellular response to hypoxia {GO:0071456}; fructose 1,6-bisphosphate metabolic process {GO:0030388}; fructose 2,6-bisphosphate metabolic process {GO:0006003}; glucose catabolic process to lactate via pyruvate {GO:0019661}; glycolytic process {GO:0006096}; intestinal epithelial cell development {GO:0060576}; mitophagy {GO:0000423}; negative regulation of glucose catabolic process to lactate via pyruvate {GO:1904024}; negative regulation of glycolytic process {GO:0045820}; negative regulation of kinase activity {GO:0033673}; negative regulation of mitophagy {GO:1901525}; negative regulation of neuron death {GO:1901215}; negative regulation of programmed cell death {GO:0043069}; negative regulation of reactive oxygen species metabolic process {GO:2000378}; positive regulation of cardiac muscle cell apoptotic process {GO:0010666}; positive regulation of DNA repair {GO:0045739}; positive regulation of hexokinase activity {GO:1903301}; reactive oxygen species metabolic process {GO:0072593}; regulation of pentose-phosphate shunt {GO:0043456}; regulation of response to DNA damage checkpoint signaling {GO:1902153}; response to gamma radiation {GO:0010332}; response to ischemia {GO:0002931}; response to xenobiotic stimulus {GO:0009410}</t>
  </si>
  <si>
    <t>cytoplasm {GO:0005737}; cytosol {GO:0005829}; mitochondrial outer membrane {GO:0005741}; mitochondrion {GO:0005739}; nucleus {GO:0005634}</t>
  </si>
  <si>
    <t>bisphosphoglycerate 2-phosphatase activity {GO:0004083}; fructose-2,6-bisphosphate 2-phosphatase activity {GO:0004331}</t>
  </si>
  <si>
    <t>sp|Q9R207|NBN_MOUSE</t>
  </si>
  <si>
    <t>Nibrin</t>
  </si>
  <si>
    <t>Cell cycle regulatory protein p95; Nijmegen breakage syndrome protein 1 homolog</t>
  </si>
  <si>
    <t>NBN_MOUSE</t>
  </si>
  <si>
    <t>Q9R207</t>
  </si>
  <si>
    <t>O88981; Q3UY57; Q811I6; Q8CCY0; Q9R1X1</t>
  </si>
  <si>
    <t>Nbs1</t>
  </si>
  <si>
    <t>MGI:1351625</t>
  </si>
  <si>
    <t>Cell cycle; Chromosome; DNA damage; DNA repair; Isopeptide bond; Meiosis; Nucleus; Phosphoprotein; Telomere; Ubl conjugation</t>
  </si>
  <si>
    <t>blastocyst growth {GO:0001832}; cell population proliferation {GO:0008283}; DNA damage checkpoint signaling {GO:0000077}; DNA double-strand break processing {GO:0000729}; DNA duplex unwinding {GO:0032508}; DNA strand resection involved in replication fork processing {GO:0110025}; double-strand break repair {GO:0006302}; double-strand break repair via homologous recombination {GO:0000724}; homologous recombination {GO:0035825}; in utero embryonic development {GO:0001701}; intrinsic apoptotic signaling pathway {GO:0097193}; isotype switching {GO:0045190}; meiotic cell cycle {GO:0051321}; mitotic G2 DNA damage checkpoint signaling {GO:0007095}; mitotic G2/M transition checkpoint {GO:0044818}; negative regulation of neuron differentiation {GO:0045665}; negative regulation of telomere capping {GO:1904354}; negative regulation of viral entry into host cell {GO:0046597}; neuromuscular process controlling balance {GO:0050885}; positive regulation of cell population proliferation {GO:0008284}; positive regulation of kinase activity {GO:0033674}; positive regulation of protein autophosphorylation {GO:0031954}; positive regulation of telomere maintenance {GO:0032206}; regulation of fibroblast proliferation {GO:0048145}; t-circle formation {GO:0090656}; telomere maintenance {GO:0000723}; telomere maintenance via telomere trimming {GO:0090737}; telomeric 3' overhang formation {GO:0031860}</t>
  </si>
  <si>
    <t>BRCA1-C complex {GO:0070533}; chromosomal region {GO:0098687}; chromosome, telomeric region {GO:0000781}; Mre11 complex {GO:0030870}; nuclear inclusion body {GO:0042405}; nucleolus {GO:0005730}; nucleus {GO:0005634}; PML body {GO:0016605}; replication fork {GO:0005657}; site of double-strand break {GO:0035861}</t>
  </si>
  <si>
    <t>damaged DNA binding {GO:0003684}; DNA-binding transcription factor binding {GO:0140297}; protein N-terminus binding {GO:0047485}</t>
  </si>
  <si>
    <t>sp|P03995|GFAP_MOUSE</t>
  </si>
  <si>
    <t>Glial fibrillary acidic protein (GFAP)</t>
  </si>
  <si>
    <t>GFAP_MOUSE</t>
  </si>
  <si>
    <t>P03995</t>
  </si>
  <si>
    <t>A1E2H7; A2AH87; B2RTI7; Q09J71; Q3USS4; Q496R4; Q496S3; Q7TQ30; Q80VX6; Q925K2; Q925K3</t>
  </si>
  <si>
    <t>MGI:95697</t>
  </si>
  <si>
    <t>Alternative splicing; Citrullination; Coiled coil; Cytoplasm; Intermediate filament; Methylation; Phosphoprotein</t>
  </si>
  <si>
    <t>Cytoplasm; Intermediate filament</t>
  </si>
  <si>
    <t>Citrullination; Methylation; Phosphoprotein</t>
  </si>
  <si>
    <t>astrocyte development {GO:0014002}; Bergmann glial cell differentiation {GO:0060020}; D-aspartate import across plasma membrane {GO:0070779}; extracellular matrix organization {GO:0030198}; gene expression {GO:0010467}; intermediate filament organization {GO:0045109}; intermediate filament-based process {GO:0045103}; intracellular protein transport {GO:0006886}; long-term synaptic potentiation {GO:0060291}; negative regulation of neuron projection development {GO:0010977}; neuron projection development {GO:0031175}; neuron projection regeneration {GO:0031102}; positive regulation of glial cell proliferation {GO:0060252}; positive regulation of Schwann cell proliferation {GO:0010625}; regulation of chaperone-mediated autophagy {GO:1904714}; regulation of neurotransmitter uptake {GO:0051580}; response to wounding {GO:0009611}; Schwann cell proliferation {GO:0014010}</t>
  </si>
  <si>
    <t>astrocyte end-foot {GO:0097450}; astrocyte projection {GO:0097449}; cell body {GO:0044297}; cell projection {GO:0042995}; cytoplasm {GO:0005737}; cytoplasmic side of lysosomal membrane {GO:0098574}; cytoskeleton {GO:0005856}; glial cell projection {GO:0097386}; intermediate filament {GO:0005882}; intermediate filament cytoskeleton {GO:0045111}; membrane {GO:0016020}; myelin sheath {GO:0043209}</t>
  </si>
  <si>
    <t>identical protein binding {GO:0042802}; integrin binding {GO:0005178}; kinase binding {GO:0019900}; structural constituent of cytoskeleton {GO:0005200}</t>
  </si>
  <si>
    <t>sp|Q91W34|RUSF1_MOUSE</t>
  </si>
  <si>
    <t>RUS family member 1</t>
  </si>
  <si>
    <t>RUSF1_MOUSE</t>
  </si>
  <si>
    <t>Q91W34</t>
  </si>
  <si>
    <t>Q3TCP4; Q3UEA8; Q3UFY1</t>
  </si>
  <si>
    <t>MGI:2384572</t>
  </si>
  <si>
    <t>Acetylation; Alternative splicing; Membrane; Transmembrane; Transmembrane helix</t>
  </si>
  <si>
    <t>sp|Q8CA72|GAN_MOUSE</t>
  </si>
  <si>
    <t>Gigaxonin</t>
  </si>
  <si>
    <t>GAN_MOUSE</t>
  </si>
  <si>
    <t>Q8CA72</t>
  </si>
  <si>
    <t>MGI:1890619</t>
  </si>
  <si>
    <t>Cytoplasm; Cytoskeleton; Kelch repeat; Neurodegeneration; Repeat; Ubl conjugation; Ubl conjugation pathway</t>
  </si>
  <si>
    <t>cytoskeleton organization {GO:0007010}; protein ubiquitination {GO:0016567}</t>
  </si>
  <si>
    <t>Cul3-RING ubiquitin ligase complex {GO:0031463}; cytoplasm {GO:0005737}; cytoskeleton {GO:0005856}</t>
  </si>
  <si>
    <t>sp|E9Q634|MYO1E_MOUSE</t>
  </si>
  <si>
    <t>Unconventional myosin-Ie</t>
  </si>
  <si>
    <t>Unconventional myosin 1E</t>
  </si>
  <si>
    <t>MYO1E_MOUSE</t>
  </si>
  <si>
    <t>E9Q634</t>
  </si>
  <si>
    <t>Q80X36; Q91ZI4</t>
  </si>
  <si>
    <t>Myr3</t>
  </si>
  <si>
    <t>MGI:106621</t>
  </si>
  <si>
    <t>3D-structure; Actin-binding; ATP-binding; Calmodulin-binding; Cell junction; Cytoplasm; Cytoplasmic vesicle; Cytoskeleton; Lipid-binding; Motor protein; Myosin; Nucleotide-binding; Phosphoprotein; SH3 domain</t>
  </si>
  <si>
    <t>Cell junction; Cytoplasm; Cytoplasmic vesicle; Cytoskeleton</t>
  </si>
  <si>
    <t>actin filament organization {GO:0007015}; endocytosis {GO:0006897}; glomerular basement membrane development {GO:0032836}; glomerular filtration {GO:0003094}; hemopoiesis {GO:0030097}; in utero embryonic development {GO:0001701}; kidney development {GO:0001822}; nitrogen compound metabolic process {GO:0006807}; platelet-derived growth factor receptor signaling pathway {GO:0048008}; podocyte development {GO:0072015}; post-embryonic hemopoiesis {GO:0035166}; vasculogenesis {GO:0001570}; vesicle transport along actin filament {GO:0030050}</t>
  </si>
  <si>
    <t>actin cytoskeleton {GO:0015629}; adherens junction {GO:0005912}; brush border {GO:0005903}; clathrin-coated endocytic vesicle {GO:0045334}; cuticular plate {GO:0032437}; cytoplasm {GO:0005737}; cytoskeleton {GO:0005856}; microvillus {GO:0005902}; myosin complex {GO:0016459}; plasma membrane {GO:0005886}; protein-containing complex {GO:0032991}</t>
  </si>
  <si>
    <t>actin filament binding {GO:0051015}; ATP binding {GO:0005524}; ATP hydrolysis activity {GO:0016887}; calmodulin binding {GO:0005516}; microfilament motor activity {GO:0000146}; phosphatidylinositol binding {GO:0035091}; protein-containing complex binding {GO:0044877}</t>
  </si>
  <si>
    <t>sp|Q3TYA6|MPP8_MOUSE</t>
  </si>
  <si>
    <t>M-phase phosphoprotein 8</t>
  </si>
  <si>
    <t>MPP8_MOUSE</t>
  </si>
  <si>
    <t>Q3TYA6</t>
  </si>
  <si>
    <t>A6H600; Q3TWY7</t>
  </si>
  <si>
    <t>MGI:1922589</t>
  </si>
  <si>
    <t>ANK repeat; Chromosome; Nucleus; Phosphoprotein; Repeat; Transcription; Transcription regulation</t>
  </si>
  <si>
    <t>negative regulation of DNA-templated transcription {GO:0045892}; negative regulation of gene expression, epigenetic {GO:0045814}; negative regulation of single stranded viral RNA replication via double stranded DNA intermediate {GO:0045869}; positive regulation of DNA methylation-dependent heterochromatin assembly {GO:0090309}; regulation of barbed-end actin filament capping {GO:2000812}; regulation of DNA methylation {GO:0044030}</t>
  </si>
  <si>
    <t>cytoplasm {GO:0005737}; cytosol {GO:0005829}; heterochromatin {GO:0000792}; nucleolus {GO:0005730}; nucleoplasm {GO:0005654}; nucleosome {GO:0000786}; nucleus {GO:0005634}; plasma membrane {GO:0005886}</t>
  </si>
  <si>
    <t>chromatin binding {GO:0003682}; methylated histone binding {GO:0035064}</t>
  </si>
  <si>
    <t>sp|Q6NXN1|SZRD1_MOUSE</t>
  </si>
  <si>
    <t>SUZ domain-containing protein 1</t>
  </si>
  <si>
    <t>SZRD1_MOUSE</t>
  </si>
  <si>
    <t>Q6NXN1</t>
  </si>
  <si>
    <t>Q3TB72; Q8BT36</t>
  </si>
  <si>
    <t>D4Ertd22e</t>
  </si>
  <si>
    <t>MGI:1098672</t>
  </si>
  <si>
    <t>Acetylation; Alternative splicing; Phosphoprotein</t>
  </si>
  <si>
    <t>sp|Q9CZJ1|UTP11_MOUSE</t>
  </si>
  <si>
    <t>Probable U3 small nucleolar RNA-associated protein 11 (U3 snoRNA-associated protein 11)</t>
  </si>
  <si>
    <t>UTP11-like protein</t>
  </si>
  <si>
    <t>UTP11_MOUSE</t>
  </si>
  <si>
    <t>Q9CZJ1</t>
  </si>
  <si>
    <t>Q3UI21; Q9CVB5</t>
  </si>
  <si>
    <t>Utp11l</t>
  </si>
  <si>
    <t>MGI:1914455</t>
  </si>
  <si>
    <t>Isopeptide bond; Nucleus; Phosphoprotein; rRNA processing; Ubl conjugation</t>
  </si>
  <si>
    <t>nervous system development {GO:0007399}; positive regulation of apoptotic process {GO:0043065}; rRNA processing {GO:0006364}</t>
  </si>
  <si>
    <t>cytoplasm {GO:0005737}; extracellular space {GO:0005615}; nucleolus {GO:0005730}; small-subunit processome {GO:0032040}</t>
  </si>
  <si>
    <t>sp|P19426|NELFE_MOUSE</t>
  </si>
  <si>
    <t>Negative elongation factor E (NELF-E)</t>
  </si>
  <si>
    <t>RNA-binding protein RD</t>
  </si>
  <si>
    <t>NELFE_MOUSE</t>
  </si>
  <si>
    <t>P19426</t>
  </si>
  <si>
    <t>P97485; P97486; Q9CZN3</t>
  </si>
  <si>
    <t>D17h6s45; Rd; Rdbp</t>
  </si>
  <si>
    <t>MGI:102744</t>
  </si>
  <si>
    <t>ADP-ribosylation; Alternative splicing; Chromosome; Coiled coil; Isopeptide bond; Nucleus; Phosphoprotein; Repeat; Repressor; RNA-binding; Transcription; Transcription regulation; Ubl conjugation</t>
  </si>
  <si>
    <t>localization {GO:0051179}; negative regulation of transcription by RNA polymerase II {GO:0000122}; negative regulation of transcription elongation by RNA polymerase II {GO:0034244}; positive regulation of ERK1 and ERK2 cascade {GO:0070374}; positive regulation of histone H3-K4 methylation {GO:0051571}; positive regulation of transcription by RNA polymerase II {GO:0045944}</t>
  </si>
  <si>
    <t>chromosome {GO:0005694}; NELF complex {GO:0032021}; nuclear body {GO:0016604}; nucleoplasm {GO:0005654}; nucleus {GO:0005634}; plasma membrane {GO:0005886}</t>
  </si>
  <si>
    <t>sp|Q7TMX5|SHQ1_MOUSE</t>
  </si>
  <si>
    <t>Protein SHQ1 homolog</t>
  </si>
  <si>
    <t>SHQ1_MOUSE</t>
  </si>
  <si>
    <t>Q7TMX5</t>
  </si>
  <si>
    <t>MGI:1919421</t>
  </si>
  <si>
    <t>Alternative splicing; Cytoplasm; Nucleus</t>
  </si>
  <si>
    <t>box H/ACA snoRNP assembly {GO:0000493}; negative regulation of rRNA processing {GO:2000233}; positive regulation of apoptotic process {GO:0043065}; ribonucleoprotein complex assembly {GO:0022618}</t>
  </si>
  <si>
    <t>sp|Q9CQV1|TIM16_MOUSE</t>
  </si>
  <si>
    <t>Mitochondrial import inner membrane translocase subunit TIM16</t>
  </si>
  <si>
    <t>Mitochondria-associated granulocyte macrophage CSF-signaling molecule; Presequence translocated-associated motor subunit PAM16</t>
  </si>
  <si>
    <t>TIM16_MOUSE</t>
  </si>
  <si>
    <t>Q9CQV1</t>
  </si>
  <si>
    <t>Q6EIX1</t>
  </si>
  <si>
    <t>Magmas; Tim16; Timm16</t>
  </si>
  <si>
    <t>MGI:1913699</t>
  </si>
  <si>
    <t>Membrane; Mitochondrion; Mitochondrion inner membrane; Phosphoprotein; Protein transport; Translocation; Transport</t>
  </si>
  <si>
    <t>DNA biosynthetic process {GO:0071897}; negative regulation of apoptotic signaling pathway {GO:2001234}; negative regulation of ATP-dependent activity {GO:0032780}; ossification {GO:0001503}; protein import into mitochondrial matrix {GO:0030150}</t>
  </si>
  <si>
    <t>cytoplasm {GO:0005737}; extrinsic component of mitochondrial inner membrane {GO:0031314}; mitochondrial inner membrane {GO:0005743}; mitochondrial matrix {GO:0005759}; mitochondrion {GO:0005739}; PAM complex, Tim23 associated import motor {GO:0001405}; protein-containing complex {GO:0032991}; TIM23 mitochondrial import inner membrane translocase complex {GO:0005744}</t>
  </si>
  <si>
    <t>sp|P52194|CLGN_MOUSE</t>
  </si>
  <si>
    <t>Calmegin</t>
  </si>
  <si>
    <t>A2/6; Calnexin-T; MEG 1 antigen</t>
  </si>
  <si>
    <t>CLGN_MOUSE</t>
  </si>
  <si>
    <t>P52194</t>
  </si>
  <si>
    <t>Q80YU3; Q9D2K5</t>
  </si>
  <si>
    <t>MGI:107472</t>
  </si>
  <si>
    <t>Acetylation; Calcium; Chaperone; Developmental protein; Differentiation; Disulfide bond; Endoplasmic reticulum; Meiosis; Membrane; Phosphoprotein; Repeat; Signal; Spermatogenesis; Transmembrane; Transmembrane helix</t>
  </si>
  <si>
    <t>Differentiation; Meiosis; Spermatogenesis</t>
  </si>
  <si>
    <t>binding of sperm to zona pellucida {GO:0007339}; cell differentiation {GO:0030154}; meiotic cell cycle {GO:0051321}; protein folding {GO:0006457}; protein-containing complex assembly {GO:0065003}; single fertilization {GO:0007338}; spermatogenesis {GO:0007283}; ubiquitin-dependent ERAD pathway {GO:0030433}</t>
  </si>
  <si>
    <t>calcium ion binding {GO:0005509}; protein folding chaperone {GO:0044183}; unfolded protein binding {GO:0051082}</t>
  </si>
  <si>
    <t>sp|Q9JLV6|PNKP_MOUSE</t>
  </si>
  <si>
    <t>Polynucleotide 5'-hydroxyl-kinase</t>
  </si>
  <si>
    <t>DNA 5'-kinase/3'-phosphatase; Polynucleotide kinase-3'-phosphatase; 2'(3')-polynucleotidase</t>
  </si>
  <si>
    <t>PNKP_MOUSE</t>
  </si>
  <si>
    <t>Q9JLV6</t>
  </si>
  <si>
    <t>Q6PFA3</t>
  </si>
  <si>
    <t>MGI:1891698</t>
  </si>
  <si>
    <t>3D-structure; Acetylation; Alternative splicing; ATP-binding; DNA damage; DNA repair; Hydrolase; Kinase; Multifunctional enzyme; Nucleotide-binding; Nucleus; Phosphoprotein; Transferase</t>
  </si>
  <si>
    <t>Hydrolase; Kinase; Multifunctional enzyme; Transferase</t>
  </si>
  <si>
    <t>cellular response to DNA damage stimulus {GO:0006974}; DNA ligation involved in DNA repair {GO:0051103}; DNA repair {GO:0006281}; double-strand break repair via nonhomologous end joining {GO:0006303}; negative regulation of protein ADP-ribosylation {GO:0010836}; nucleotide phosphorylation {GO:0046939}; positive regulation of double-strand break repair via nonhomologous end joining {GO:2001034}; positive regulation of telomerase activity {GO:0051973}; positive regulation of telomere capping {GO:1904355}; positive regulation of telomere maintenance via telomerase {GO:0032212}; protein K63-linked ubiquitination {GO:0070534}; response to oxidative stress {GO:0006979}</t>
  </si>
  <si>
    <t>mitochondrion {GO:0005739}; nucleolus {GO:0005730}; nucleoplasm {GO:0005654}; nucleus {GO:0005634}; SCF ubiquitin ligase complex {GO:0019005}; site of double-strand break {GO:0035861}</t>
  </si>
  <si>
    <t>ATP binding {GO:0005524}; double-stranded DNA binding {GO:0003690}; polydeoxyribonucleotide 5'-hydroxyl-kinase activity {GO:0046404}; polynucleotide 3'-phosphatase activity {GO:0046403}; ubiquitin ligase-substrate adaptor activity {GO:1990756}</t>
  </si>
  <si>
    <t>APEX1-Independent Resolution of AP Sites via the Single Nucleotide Replacement Pathway {R-MMU-5649702}</t>
  </si>
  <si>
    <t>sp|Q9D9K3|AVEN_MOUSE</t>
  </si>
  <si>
    <t>Cell death regulator Aven</t>
  </si>
  <si>
    <t>AVEN_MOUSE</t>
  </si>
  <si>
    <t>Q9D9K3</t>
  </si>
  <si>
    <t>A2AGL4</t>
  </si>
  <si>
    <t>MGI:1921518</t>
  </si>
  <si>
    <t>Apoptosis; Membrane; Phosphoprotein</t>
  </si>
  <si>
    <t>apoptotic process {GO:0006915}; negative regulation of apoptotic process {GO:0043066}; negative regulation of G2/M transition of mitotic cell cycle {GO:0010972}</t>
  </si>
  <si>
    <t>endomembrane system {GO:0012505}; membrane {GO:0016020}</t>
  </si>
  <si>
    <t>sp|P97868|RBBP6_MOUSE</t>
  </si>
  <si>
    <t>E3 ubiquitin-protein ligase RBBP6</t>
  </si>
  <si>
    <t>Proliferation potential-related protein; Protein P2P-R; RING-type E3 ubiquitin transferase RBBP6; Retinoblastoma-binding protein 6; p53-associated cellular protein of testis</t>
  </si>
  <si>
    <t>RBBP6_MOUSE</t>
  </si>
  <si>
    <t>P97868</t>
  </si>
  <si>
    <t>P70287; Q3TTR9; Q3TUM7; Q3UMP7; Q4U217; Q7TT06; Q8BNY8; Q8R399</t>
  </si>
  <si>
    <t>P2pr; Pact</t>
  </si>
  <si>
    <t>MGI:894835</t>
  </si>
  <si>
    <t>Acetylation; Alternative splicing; Chromosome; Cytoplasm; Cytoskeleton; DNA damage; DNA replication; Isopeptide bond; Metal-binding; Nucleus; Phosphoprotein; Transferase; Ubl conjugation; Ubl conjugation pathway; Zinc; Zinc-finger</t>
  </si>
  <si>
    <t>DNA damage; DNA replication; Ubl conjugation pathway</t>
  </si>
  <si>
    <t>cellular response to DNA damage stimulus {GO:0006974}; DNA replication {GO:0006260}; embryonic organ development {GO:0048568}; in utero embryonic development {GO:0001701}; mRNA processing {GO:0006397}; multicellular organism growth {GO:0035264}; protein ubiquitination {GO:0016567}; regulation of DNA replication {GO:0006275}; somite development {GO:0061053}; ubiquitin-dependent protein catabolic process {GO:0006511}</t>
  </si>
  <si>
    <t>centrosome {GO:0005813}; chromosome {GO:0005694}; cytoplasm {GO:0005737}; nuclear speck {GO:0016607}; nucleolus {GO:0005730}; nucleus {GO:0005634}; protein-containing complex {GO:0032991}</t>
  </si>
  <si>
    <t>nucleic acid binding {GO:0003676}; protein kinase binding {GO:0019901}; ubiquitin protein ligase activity {GO:0061630}; ubiquitin-protein transferase activity {GO:0004842}; zinc ion binding {GO:0008270}</t>
  </si>
  <si>
    <t>RHOBTB1 GTPase cycle {R-MMU-9013422}; Antigen processing: Ubiquitination &amp; Proteasome degradation {R-MMU-983168}</t>
  </si>
  <si>
    <t>sp|Q7TMI3|UHRF2_MOUSE</t>
  </si>
  <si>
    <t>E3 ubiquitin-protein ligase UHRF2</t>
  </si>
  <si>
    <t>NIRF; Np95-like ring finger protein; Nuclear protein 97; Nuclear zinc finger protein Np97; RING-type E3 ubiquitin transferase UHRF2; Ubiquitin-like PHD and RING finger domain-containing protein 2; Ubiquitin-like-containing PHD and RING finger domains protein 2</t>
  </si>
  <si>
    <t>UHRF2_MOUSE</t>
  </si>
  <si>
    <t>Q7TMI3</t>
  </si>
  <si>
    <t>Q8BG56; Q8BJP6; Q8BY30; Q8K1I5</t>
  </si>
  <si>
    <t>Nirf</t>
  </si>
  <si>
    <t>MGI:1923718</t>
  </si>
  <si>
    <t>Alternative splicing; Cell cycle; Chromosome; Disulfide bond; DNA-binding; Metal-binding; Nucleus; Phosphoprotein; Transferase; Ubl conjugation; Ubl conjugation pathway; Zinc; Zinc-finger</t>
  </si>
  <si>
    <t>cell cycle {GO:0007049}; cell differentiation {GO:0030154}; maintenance of DNA methylation {GO:0010216}; protein autoubiquitination {GO:0051865}; protein ubiquitination {GO:0016567}; regulation of cell cycle {GO:0051726}</t>
  </si>
  <si>
    <t>heterochromatin {GO:0000792}; nucleoplasm {GO:0005654}; nucleus {GO:0005634}; pericentric heterochromatin {GO:0005721}</t>
  </si>
  <si>
    <t>DNA binding {GO:0003677}; histone binding {GO:0042393}; metal ion binding {GO:0046872}; RNA polymerase II-specific DNA-binding transcription factor binding {GO:0061629}; SUMO transferase activity {GO:0019789}; ubiquitin protein ligase activity {GO:0061630}; ubiquitin-protein transferase activity {GO:0004842}</t>
  </si>
  <si>
    <t>sp|Q9D2D7|ZN687_MOUSE</t>
  </si>
  <si>
    <t>Zinc finger protein 687</t>
  </si>
  <si>
    <t>ZN687_MOUSE</t>
  </si>
  <si>
    <t>Q9D2D7</t>
  </si>
  <si>
    <t>Q6PAP3; Q6ZPQ9</t>
  </si>
  <si>
    <t>Kiaa1441; Zfp687</t>
  </si>
  <si>
    <t>MGI:1925516</t>
  </si>
  <si>
    <t>Alternative splicing; Cytoplasm; DNA-binding; Isopeptide bond; Metal-binding; Methylation; Nucleus; Phosphoprotein; Repeat; Transcription; Transcription regulation; Ubl conjugation; Zinc; Zinc-finger</t>
  </si>
  <si>
    <t>sp|Q8K3A9|MEPCE_MOUSE</t>
  </si>
  <si>
    <t>7SK snRNA methylphosphate capping enzyme (MePCE)</t>
  </si>
  <si>
    <t>MEPCE_MOUSE</t>
  </si>
  <si>
    <t>Q8K3A9</t>
  </si>
  <si>
    <t>Q2YFS5; Q3U465; Q3UT64; Q91W35</t>
  </si>
  <si>
    <t>MGI:106477</t>
  </si>
  <si>
    <t>Acetylation; Isopeptide bond; Methylation; Methyltransferase; Nucleus; Phosphoprotein; S-adenosyl-L-methionine; Transferase; Ubl conjugation</t>
  </si>
  <si>
    <t>negative regulation of chromatin binding {GO:0035562}; negative regulation of transcription by RNA polymerase II {GO:0000122}; positive regulation of G1/S transition of mitotic cell cycle {GO:1900087}; positive regulation of protein localization to Cajal body {GO:1904871}; positive regulation of snRNA transcription by RNA polymerase II {GO:1905382}; RNA methylation {GO:0001510}; snRNA metabolic process {GO:0016073}; snRNA modification {GO:0040031}</t>
  </si>
  <si>
    <t>7SK snRNP {GO:0120259}; nucleus {GO:0005634}; ribonucleoprotein complex {GO:1990904}</t>
  </si>
  <si>
    <t>7SK snRNA binding {GO:0097322}; O-methyltransferase activity {GO:0008171}; RNA 5'-methyltransferase activity {GO:1990276}; RNA methyltransferase activity {GO:0008173}; S-adenosylmethionine-dependent methyltransferase activity {GO:0008757}; snRNA binding {GO:0017069}</t>
  </si>
  <si>
    <t>sp|Q8VCR7|ABHEB_MOUSE</t>
  </si>
  <si>
    <t>Putative protein-lysine deacylase ABHD14B</t>
  </si>
  <si>
    <t>Alpha/beta hydrolase domain-containing protein 14B (Abhydrolase domain-containing protein 14B)</t>
  </si>
  <si>
    <t>ABHEB_MOUSE</t>
  </si>
  <si>
    <t>Q8VCR7</t>
  </si>
  <si>
    <t>MGI:1923741</t>
  </si>
  <si>
    <t>Acyltransferase; Cytoplasm; Nucleus; Phosphoprotein; Transferase</t>
  </si>
  <si>
    <t>positive regulation of transcription by RNA polymerase II {GO:0045944}</t>
  </si>
  <si>
    <t>acyltransferase activity {GO:0016746}; hydrolase activity {GO:0016787}</t>
  </si>
  <si>
    <t>sp|Q9ERA0|TFCP2_MOUSE</t>
  </si>
  <si>
    <t>Alpha-globin transcription factor CP2</t>
  </si>
  <si>
    <t>TFCP2_MOUSE</t>
  </si>
  <si>
    <t>Q9ERA0</t>
  </si>
  <si>
    <t>Q3UGJ4; Q8VC13</t>
  </si>
  <si>
    <t>Tcfcp2</t>
  </si>
  <si>
    <t>MGI:98509</t>
  </si>
  <si>
    <t>Alternative splicing; DNA-binding; Nucleus; Phosphoprotein; Transcription; Transcription regulation</t>
  </si>
  <si>
    <t>mRNA transcription by RNA polymerase II {GO:0042789}; positive regulation of DNA-templated transcription {GO:0045893}; positive regulation of transcription by RNA polymerase II {GO:0045944}; regulation of transcription by RNA polymerase II {GO:0006357}</t>
  </si>
  <si>
    <t>cytosol {GO:0005829}; nucleoplasm {GO:0005654}; nucleus {GO:0005634}; protein-containing complex {GO:0032991}; transcription regulator complex {GO:0005667}</t>
  </si>
  <si>
    <t>cis-regulatory region sequence-specific DNA binding {GO:0000987}; DNA-binding transcription activator activity, RNA polymerase II-specific {GO:0001228}; protein C-terminus binding {GO:0008022}; RNA polymerase II cis-regulatory region sequence-specific DNA binding {GO:0000978}; sequence-specific double-stranded DNA binding {GO:1990837}</t>
  </si>
  <si>
    <t>sp|Q9CQ26|STABP_MOUSE</t>
  </si>
  <si>
    <t>STAM-binding protein</t>
  </si>
  <si>
    <t>Associated molecule with the SH3 domain of STAM</t>
  </si>
  <si>
    <t>STABP_MOUSE</t>
  </si>
  <si>
    <t>Q9CQ26</t>
  </si>
  <si>
    <t>Q3UTI9</t>
  </si>
  <si>
    <t>Amsh</t>
  </si>
  <si>
    <t>MGI:1917777</t>
  </si>
  <si>
    <t>Cytoplasm; Endosome; Hydrolase; Membrane; Metal-binding; Metalloprotease; Nucleus; Phosphoprotein; Protease; Ubl conjugation; Ubl conjugation pathway; Zinc</t>
  </si>
  <si>
    <t>hippocampal neuron apoptotic process {GO:0110088}; mitotic cytokinesis {GO:0000281}; negative regulation of hippocampal neuron apoptotic process {GO:0110091}; negative regulation of phosphatidylinositol 3-kinase signaling {GO:0014067}; negative regulation of Ras protein signal transduction {GO:0046580}; protein deubiquitination {GO:0016579}; protein K63-linked deubiquitination {GO:0070536}</t>
  </si>
  <si>
    <t>cleavage furrow {GO:0032154}; cytosol {GO:0005829}; endosome {GO:0005768}; membrane {GO:0016020}; nucleoplasm {GO:0005654}; plasma membrane {GO:0005886}</t>
  </si>
  <si>
    <t>deubiquitinase activity {GO:0101005}; Lys63-specific deubiquitinase activity {GO:0061578}; metal ion binding {GO:0046872}; metal-dependent deubiquitinase activity {GO:0140492}; protein domain specific binding {GO:0019904}</t>
  </si>
  <si>
    <t>sp|E9Q557|DESP_MOUSE</t>
  </si>
  <si>
    <t>Desmoplakin (DP)</t>
  </si>
  <si>
    <t>DESP_MOUSE</t>
  </si>
  <si>
    <t>E9Q557</t>
  </si>
  <si>
    <t>MGI:109611</t>
  </si>
  <si>
    <t>Cardiomyopathy; Cell junction; Cell membrane; Coiled coil; Cytoplasm; Cytoskeleton; Lipoprotein; Membrane; Methylation; Phosphoprotein; Repeat; SH3 domain</t>
  </si>
  <si>
    <t>Cardiomyopathy</t>
  </si>
  <si>
    <t>Lipoprotein; Methylation; Phosphoprotein</t>
  </si>
  <si>
    <t>adherens junction organization {GO:0034332}; bundle of His cell-Purkinje myocyte adhesion involved in cell communication {GO:0086073}; cell-cell adhesion {GO:0098609}; desmosome organization {GO:0002934}; epithelial cell-cell adhesion {GO:0090136}; intermediate filament cytoskeleton organization {GO:0045104}; intermediate filament organization {GO:0045109}; keratinocyte differentiation {GO:0030216}; peptide cross-linking {GO:0018149}; protein localization to cell-cell junction {GO:0150105}; regulation of heart rate by cardiac conduction {GO:0086091}; regulation of ventricular cardiac muscle cell action potential {GO:0098911}; skin development {GO:0043588}; ventricular compact myocardium morphogenesis {GO:0003223}; wound healing {GO:0042060}</t>
  </si>
  <si>
    <t>basolateral plasma membrane {GO:0016323}; cell-cell junction {GO:0005911}; cornified envelope {GO:0001533}; cytoplasm {GO:0005737}; cytoskeleton {GO:0005856}; desmosome {GO:0030057}; fascia adherens {GO:0005916}; intercalated disc {GO:0014704}; membrane {GO:0016020}; plasma membrane {GO:0005886}</t>
  </si>
  <si>
    <t>cell adhesion molecule binding {GO:0050839}; protein kinase C binding {GO:0005080}; scaffold protein binding {GO:0097110}; structural molecule activity {GO:0005198}</t>
  </si>
  <si>
    <t>Apoptotic cleavage of cell adhesion proteins {R-MMU-351906}; Neutrophil degranulation {R-MMU-6798695}; Keratinization {R-MMU-6805567}; Formation of the cornified envelope {R-MMU-6809371}; RND3 GTPase cycle {R-MMU-9696264}; RND1 GTPase cycle {R-MMU-9696273}</t>
  </si>
  <si>
    <t>sp|Q8BXA1|GOLI4_MOUSE</t>
  </si>
  <si>
    <t>Golgi integral membrane protein 4</t>
  </si>
  <si>
    <t>Decapacitation factor 10; Golgi phosphoprotein 4</t>
  </si>
  <si>
    <t>GOLI4_MOUSE</t>
  </si>
  <si>
    <t>Q8BXA1</t>
  </si>
  <si>
    <t>Q8BWP9</t>
  </si>
  <si>
    <t>Df10; Golph4</t>
  </si>
  <si>
    <t>MGI:1920374</t>
  </si>
  <si>
    <t>Coiled coil; Endosome; Glycoprotein; Golgi apparatus; Lipoprotein; Membrane; Myristate; Phosphoprotein; Signal-anchor; Transmembrane; Transmembrane helix; Transport</t>
  </si>
  <si>
    <t>Glycoprotein; Lipoprotein; Myristate; Phosphoprotein</t>
  </si>
  <si>
    <t>endosome membrane {GO:0010008}; Golgi apparatus {GO:0005794}; Golgi cisterna membrane {GO:0032580}; Golgi membrane {GO:0000139}; integral component of membrane {GO:0016021}</t>
  </si>
  <si>
    <t>sp|Q91W96|APC4_MOUSE</t>
  </si>
  <si>
    <t>Anaphase-promoting complex subunit 4 (APC4)</t>
  </si>
  <si>
    <t>Cyclosome subunit 4</t>
  </si>
  <si>
    <t>APC4_MOUSE</t>
  </si>
  <si>
    <t>Q91W96</t>
  </si>
  <si>
    <t>Q99LR5; Q9CZZ0</t>
  </si>
  <si>
    <t>D5Ertd249e</t>
  </si>
  <si>
    <t>MGI:1098673</t>
  </si>
  <si>
    <t>Cell cycle; Cell division; Isopeptide bond; Mitosis; Nucleus; Phosphoprotein; Ubl conjugation; Ubl conjugation pathway</t>
  </si>
  <si>
    <t>anaphase-promoting complex-dependent catabolic process {GO:0031145}; cell cycle {GO:0007049}; cell division {GO:0051301}; protein K11-linked ubiquitination {GO:0070979}; regulation of mitotic metaphase/anaphase transition {GO:0030071}</t>
  </si>
  <si>
    <t>anaphase-promoting complex {GO:0005680}; nuclear periphery {GO:0034399}; nucleus {GO:0005634}</t>
  </si>
  <si>
    <t>sp|Q80TL7|MON2_MOUSE</t>
  </si>
  <si>
    <t>Protein MON2 homolog</t>
  </si>
  <si>
    <t>Protein SF21</t>
  </si>
  <si>
    <t>MON2_MOUSE</t>
  </si>
  <si>
    <t>Q80TL7</t>
  </si>
  <si>
    <t>Q3TRE3; Q8BTA8; Q8K4V3</t>
  </si>
  <si>
    <t>Kiaa1040; Sf21</t>
  </si>
  <si>
    <t>MGI:1914324</t>
  </si>
  <si>
    <t>Acetylation; Alternative splicing; Endosome; Membrane; Phosphoprotein; Protein transport; Transport</t>
  </si>
  <si>
    <t>Golgi to endosome transport {GO:0006895}; protein transport {GO:0015031}</t>
  </si>
  <si>
    <t>cytosol {GO:0005829}; early endosome membrane {GO:0031901}</t>
  </si>
  <si>
    <t>sp|Q99JP4|CDC26_MOUSE</t>
  </si>
  <si>
    <t>Anaphase-promoting complex subunit CDC26</t>
  </si>
  <si>
    <t>Cell division cycle protein 26 homolog</t>
  </si>
  <si>
    <t>CDC26_MOUSE</t>
  </si>
  <si>
    <t>Q99JP4</t>
  </si>
  <si>
    <t>MGI:1913690</t>
  </si>
  <si>
    <t>Cell cycle; Cell division; Coiled coil; Mitosis; Nucleus; Phosphoprotein; Ubl conjugation pathway</t>
  </si>
  <si>
    <t>anaphase-promoting complex-dependent catabolic process {GO:0031145}; cell cycle {GO:0007049}; cell division {GO:0051301}; protein K11-linked ubiquitination {GO:0070979}; regulation of mitotic cell cycle {GO:0007346}; regulation of mitotic metaphase/anaphase transition {GO:0030071}</t>
  </si>
  <si>
    <t>anaphase-promoting complex {GO:0005680}</t>
  </si>
  <si>
    <t>sp|Q8K157|GALM_MOUSE</t>
  </si>
  <si>
    <t>Galactose mutarotase</t>
  </si>
  <si>
    <t>Aldose 1-epimerase</t>
  </si>
  <si>
    <t>GALM_MOUSE</t>
  </si>
  <si>
    <t>Q8K157</t>
  </si>
  <si>
    <t>MGI:2442420</t>
  </si>
  <si>
    <t>Carbohydrate metabolism; Cytoplasm; Isomerase; Phosphoprotein</t>
  </si>
  <si>
    <t>carbohydrate metabolic process {GO:0005975}; galactose catabolic process via UDP-galactose {GO:0033499}; galactose metabolic process {GO:0006012}; glucose metabolic process {GO:0006006}</t>
  </si>
  <si>
    <t>aldose 1-epimerase activity {GO:0004034}; carbohydrate binding {GO:0030246}; hydrolase activity, hydrolyzing O-glycosyl compounds {GO:0004553}</t>
  </si>
  <si>
    <t>sp|Q6PAC3|DCA13_MOUSE</t>
  </si>
  <si>
    <t>DDB1- and CUL4-associated factor 13</t>
  </si>
  <si>
    <t>WD repeat and SOF domain-containing protein 1</t>
  </si>
  <si>
    <t>DCA13_MOUSE</t>
  </si>
  <si>
    <t>Q6PAC3</t>
  </si>
  <si>
    <t>E9QPL0</t>
  </si>
  <si>
    <t>Gm83; Wdsof1</t>
  </si>
  <si>
    <t>MGI:2684929</t>
  </si>
  <si>
    <t>Acetylation; Nucleus; Repeat; Ribonucleoprotein; Ribosome biogenesis; rRNA processing; Ubl conjugation pathway; WD repeat</t>
  </si>
  <si>
    <t>Ribosome biogenesis; Ubl conjugation pathway; rRNA processing</t>
  </si>
  <si>
    <t>maturation of SSU-rRNA from tricistronic rRNA transcript (SSU-rRNA, 5.8S rRNA, LSU-rRNA) {GO:0000462}; protein ubiquitination {GO:0016567}</t>
  </si>
  <si>
    <t>cell junction {GO:0030054}; centrosome {GO:0005813}; Cul4-RING E3 ubiquitin ligase complex {GO:0080008}; cytosol {GO:0005829}; nucleolus {GO:0005730}; nucleoplasm {GO:0005654}; small-subunit processome {GO:0032040}</t>
  </si>
  <si>
    <t>nuclear estrogen receptor binding {GO:0030331}</t>
  </si>
  <si>
    <t>Major pathway of rRNA processing in the nucleolus and cytosol {R-MMU-6791226}; Neddylation {R-MMU-8951664}</t>
  </si>
  <si>
    <t>sp|Q91WE6|CDKAL_MOUSE</t>
  </si>
  <si>
    <t>Threonylcarbamoyladenosine tRNA methylthiotransferase</t>
  </si>
  <si>
    <t>CDK5 regulatory subunit-associated protein 1-like 1; tRNA-t(6)A37 methylthiotransferase</t>
  </si>
  <si>
    <t>CDKAL_MOUSE</t>
  </si>
  <si>
    <t>Q91WE6</t>
  </si>
  <si>
    <t>Q3TE97; Q3V3D2; Q5T0I5; Q8C4B0; Q9CT69</t>
  </si>
  <si>
    <t>MGI:1921765</t>
  </si>
  <si>
    <t>4Fe-4S; Alternative splicing; Endoplasmic reticulum; Iron; Iron-sulfur; Membrane; Metal-binding; Phosphoprotein; S-adenosyl-L-methionine; Transferase; Transmembrane; Transmembrane helix; tRNA processing</t>
  </si>
  <si>
    <t>maintenance of translational fidelity {GO:1990145}; tRNA methylthiolation {GO:0035600}</t>
  </si>
  <si>
    <t>endoplasmic reticulum {GO:0005783}; endoplasmic reticulum membrane {GO:0005789}; integral component of membrane {GO:0016021}; rough endoplasmic reticulum {GO:0005791}</t>
  </si>
  <si>
    <t>4 iron, 4 sulfur cluster binding {GO:0051539}; metal ion binding {GO:0046872}; N6-threonylcarbomyladenosine methylthiotransferase activity {GO:0035598}; tRNA (N(6)-L-threonylcarbamoyladenosine(37)-C(2))-methylthiotransferase {GO:0061712}</t>
  </si>
  <si>
    <t>sp|Q8R2M2|TDIF2_MOUSE</t>
  </si>
  <si>
    <t>Deoxynucleotidyltransferase terminal-interacting protein 2</t>
  </si>
  <si>
    <t>TDIF2_MOUSE</t>
  </si>
  <si>
    <t>Q8R2M2</t>
  </si>
  <si>
    <t>Q3TQW8; Q3UX19</t>
  </si>
  <si>
    <t>MGI:1923173</t>
  </si>
  <si>
    <t>Coiled coil; Isopeptide bond; Nucleus; Phosphoprotein; Transcription; Transcription regulation; Ubl conjugation</t>
  </si>
  <si>
    <t>chromosome {GO:0005694}; nucleolus {GO:0005730}; nucleoplasm {GO:0005654}</t>
  </si>
  <si>
    <t>sp|Q8VC42|RMC1_MOUSE</t>
  </si>
  <si>
    <t>Regulator of MON1-CCZ1 complex</t>
  </si>
  <si>
    <t>Colon cancer-associated protein Mic1 (Mic-1)</t>
  </si>
  <si>
    <t>RMC1_MOUSE</t>
  </si>
  <si>
    <t>Q8VC42</t>
  </si>
  <si>
    <t>O35606</t>
  </si>
  <si>
    <t>Mic1; Wdr98</t>
  </si>
  <si>
    <t>MGI:1916528</t>
  </si>
  <si>
    <t>Autophagy; Endosome; Lysosome; Membrane</t>
  </si>
  <si>
    <t>autophagy {GO:0006914}; regulation of autophagy {GO:0010506}</t>
  </si>
  <si>
    <t>late endosome membrane {GO:0031902}; lysosomal membrane {GO:0005765}; Mon1-Ccz1 complex {GO:0035658}</t>
  </si>
  <si>
    <t>sp|Q9ER71|RHOJ_MOUSE</t>
  </si>
  <si>
    <t>Rho-related GTP-binding protein RhoJ</t>
  </si>
  <si>
    <t>Tc10-like GTP-binding protein</t>
  </si>
  <si>
    <t>RHOJ_MOUSE</t>
  </si>
  <si>
    <t>Q9ER71</t>
  </si>
  <si>
    <t>Q3TX76; Q920E4; Q9CQA7</t>
  </si>
  <si>
    <t>MGI:1931551</t>
  </si>
  <si>
    <t>Alternative splicing; Angiogenesis; Cell membrane; GTP-binding; Lipoprotein; Membrane; Methylation; Nucleotide-binding; Palmitate; Prenylation</t>
  </si>
  <si>
    <t>actin cytoskeleton organization {GO:0030036}; angiogenesis {GO:0001525}; Cdc42 protein signal transduction {GO:0032488}; endocytosis {GO:0006897}; establishment or maintenance of cell polarity {GO:0007163}; positive regulation of cell migration involved in sprouting angiogenesis {GO:0090050}; regulation of cell shape {GO:0008360}; regulation of endothelial cell migration {GO:0010594}; regulation of sprouting angiogenesis {GO:1903670}; retina vasculature morphogenesis in camera-type eye {GO:0061299}; Rho protein signal transduction {GO:0007266}</t>
  </si>
  <si>
    <t>RHOJ GTPase cycle {R-MMU-9013409}</t>
  </si>
  <si>
    <t>sp|Q8K114|INT9_MOUSE</t>
  </si>
  <si>
    <t>Integrator complex subunit 9 (Int9)</t>
  </si>
  <si>
    <t>INT9_MOUSE</t>
  </si>
  <si>
    <t>Q8K114</t>
  </si>
  <si>
    <t>Q8BP62; Q8CAE4</t>
  </si>
  <si>
    <t>D14Ertd231e</t>
  </si>
  <si>
    <t>MGI:1098533</t>
  </si>
  <si>
    <t>Alternative splicing; Isopeptide bond; Nucleus; Ubl conjugation</t>
  </si>
  <si>
    <t>cytosol {GO:0005829}; integrator complex {GO:0032039}; nucleoplasm {GO:0005654}; nucleus {GO:0005634}</t>
  </si>
  <si>
    <t>sp|B1AZA5|TM245_MOUSE</t>
  </si>
  <si>
    <t>Transmembrane protein 245</t>
  </si>
  <si>
    <t>TM245_MOUSE</t>
  </si>
  <si>
    <t>B1AZA5</t>
  </si>
  <si>
    <t>MGI:2445107</t>
  </si>
  <si>
    <t>Acetylation; Glycoprotein; Membrane; Phosphoprotein; Transmembrane; Transmembrane helix</t>
  </si>
  <si>
    <t>sp|Q3U3R4|LMF1_MOUSE</t>
  </si>
  <si>
    <t>Lipase maturation factor 1</t>
  </si>
  <si>
    <t>Transmembrane protein 112</t>
  </si>
  <si>
    <t>LMF1_MOUSE</t>
  </si>
  <si>
    <t>Q3U3R4</t>
  </si>
  <si>
    <t>Q3TDV1; Q8BM33; Q8BY75; Q8VDX3; Q9CWX8</t>
  </si>
  <si>
    <t>Tmem112</t>
  </si>
  <si>
    <t>MGI:1923733</t>
  </si>
  <si>
    <t>Alternative splicing; Chaperone; Endoplasmic reticulum; Membrane; Transmembrane; Transmembrane helix</t>
  </si>
  <si>
    <t>chylomicron remnant clearance {GO:0034382}; endoplasmic reticulum to Golgi vesicle-mediated transport {GO:0006888}; positive regulation of lipoprotein lipase activity {GO:0051006}; protein glycosylation {GO:0006486}; protein maturation {GO:0051604}; protein secretion {GO:0009306}; regulation of cholesterol metabolic process {GO:0090181}; regulation of triglyceride metabolic process {GO:0090207}; triglyceride metabolic process {GO:0006641}</t>
  </si>
  <si>
    <t>Assembly of active LPL and LIPC lipase complexes {R-MMU-8963889}</t>
  </si>
  <si>
    <t>tr|G3X9B1|G3X9B1_MOUSE</t>
  </si>
  <si>
    <t>sp|Q9DCA5|BRX1_MOUSE</t>
  </si>
  <si>
    <t>Ribosome biogenesis protein BRX1 homolog</t>
  </si>
  <si>
    <t>Brix domain-containing protein 2</t>
  </si>
  <si>
    <t>BRX1_MOUSE</t>
  </si>
  <si>
    <t>Q9DCA5</t>
  </si>
  <si>
    <t>Q3THD3; Q91YS6</t>
  </si>
  <si>
    <t>Brix; Bxdc2</t>
  </si>
  <si>
    <t>MGI:1915082</t>
  </si>
  <si>
    <t>Acetylation; Isopeptide bond; Nucleus; Phosphoprotein; Ribosome biogenesis; Ubl conjugation</t>
  </si>
  <si>
    <t>ribosomal large subunit assembly {GO:0000027}; rRNA processing {GO:0006364}</t>
  </si>
  <si>
    <t>RNA binding {GO:0003723}; rRNA binding {GO:0019843}</t>
  </si>
  <si>
    <t>sp|P02301|H3C_MOUSE</t>
  </si>
  <si>
    <t>Histone H3.3C</t>
  </si>
  <si>
    <t>Embryonic</t>
  </si>
  <si>
    <t>H3C_MOUSE</t>
  </si>
  <si>
    <t>P02301</t>
  </si>
  <si>
    <t>MGI:3650546</t>
  </si>
  <si>
    <t>Acetylation; ADP-ribosylation; Chromosome; Citrullination; DNA-binding; Hydroxylation; Methylation; Nucleosome core; Nucleus; Phosphoprotein; Ubl conjugation</t>
  </si>
  <si>
    <t>sp|Q9ESV0|DDX24_MOUSE</t>
  </si>
  <si>
    <t>ATP-dependent RNA helicase DDX24</t>
  </si>
  <si>
    <t>DEAD box protein 24</t>
  </si>
  <si>
    <t>DDX24_MOUSE</t>
  </si>
  <si>
    <t>Q9ESV0</t>
  </si>
  <si>
    <t>Q61119; Q7TM97</t>
  </si>
  <si>
    <t>MGI:1351337</t>
  </si>
  <si>
    <t>ATP-binding; Helicase; Hydrolase; Isopeptide bond; Nucleotide-binding; Phosphoprotein; RNA-binding; Ubl conjugation</t>
  </si>
  <si>
    <t>sp|Q9D1R2|KTI12_MOUSE</t>
  </si>
  <si>
    <t>Protein KTI12 homolog</t>
  </si>
  <si>
    <t>KTI12_MOUSE</t>
  </si>
  <si>
    <t>Q9D1R2</t>
  </si>
  <si>
    <t>Q3UG06</t>
  </si>
  <si>
    <t>MGI:1923547</t>
  </si>
  <si>
    <t>Acetylation; ATP-binding; Nucleotide-binding; Phosphoprotein</t>
  </si>
  <si>
    <t>sp|Q9ERA6|TFP11_MOUSE</t>
  </si>
  <si>
    <t>Tuftelin-interacting protein 11</t>
  </si>
  <si>
    <t>Septin and tuftelin-interacting protein 1 (STIP-1); Tuftelin-interacting protein 39</t>
  </si>
  <si>
    <t>TFP11_MOUSE</t>
  </si>
  <si>
    <t>Q9ERA6</t>
  </si>
  <si>
    <t>Q8VD06</t>
  </si>
  <si>
    <t>Stip; Tip39</t>
  </si>
  <si>
    <t>MGI:1930075</t>
  </si>
  <si>
    <t>Biomineralization; Cytoplasm; mRNA processing; mRNA splicing; Nucleus; Phosphoprotein; Spliceosome</t>
  </si>
  <si>
    <t>Biomineralization; mRNA processing; mRNA splicing</t>
  </si>
  <si>
    <t>biomineral tissue development {GO:0031214}; cell differentiation {GO:0030154}; extracellular matrix organization {GO:0030198}; negative regulation of protein binding {GO:0032091}; negative regulation of protein-containing complex assembly {GO:0031333}; spliceosomal complex disassembly {GO:0000390}</t>
  </si>
  <si>
    <t>catalytic step 2 spliceosome {GO:0071013}; chromosome, telomeric region {GO:0000781}; cytoplasm {GO:0005737}; extracellular matrix {GO:0031012}; nuclear speck {GO:0016607}; nucleolus {GO:0005730}; nucleus {GO:0005634}; spliceosomal complex {GO:0005681}; U2-type post-mRNA release spliceosomal complex {GO:0071008}</t>
  </si>
  <si>
    <t>sp|Q7TT18|MCAF1_MOUSE</t>
  </si>
  <si>
    <t>Activating transcription factor 7-interacting protein 1</t>
  </si>
  <si>
    <t>ATFa-associated modulator (mAM); MBD1-containing chromatin-associated factor 1</t>
  </si>
  <si>
    <t>MCAF1_MOUSE</t>
  </si>
  <si>
    <t>Q7TT18</t>
  </si>
  <si>
    <t>Q3TJ86; Q3TZW1; Q3UVK5; Q3UYZ7; Q80ZK7; Q8C4A1; Q9JK31</t>
  </si>
  <si>
    <t>Mcaf1</t>
  </si>
  <si>
    <t>MGI:1858965</t>
  </si>
  <si>
    <t>Acetylation; Activator; Alternative splicing; Coiled coil; Isopeptide bond; Nucleus; Phosphoprotein; Repeat; Repressor; Transcription; Transcription regulation; Ubl conjugation</t>
  </si>
  <si>
    <t>DNA methylation {GO:0006306}; negative regulation of DNA-templated transcription {GO:0045892}; negative regulation of transcription by RNA polymerase II {GO:0000122}; positive regulation of DNA methylation-dependent heterochromatin assembly {GO:0090309}; positive regulation of DNA-templated transcription {GO:0045893}; protein stabilization {GO:0050821}; regulation of DNA-templated transcription {GO:0006355}; regulation of protein stability {GO:0031647}; regulation of RNA polymerase II transcription preinitiation complex assembly {GO:0045898}</t>
  </si>
  <si>
    <t>cytosol {GO:0005829}; nuclear body {GO:0016604}; nucleoplasm {GO:0005654}; nucleus {GO:0005634}; transcription regulator complex {GO:0005667}</t>
  </si>
  <si>
    <t>ATP hydrolysis activity {GO:0016887}; transcription coregulator activity {GO:0003712}; transcription corepressor activity {GO:0003714}</t>
  </si>
  <si>
    <t>sp|Q8CD15|RIOX2_MOUSE</t>
  </si>
  <si>
    <t>Ribosomal oxygenase 2</t>
  </si>
  <si>
    <t>Bifunctional lysine-specific demethylase and histidyl-hydroxylase MINA; Histone lysine demethylase MINA; MYC-induced nuclear antigen</t>
  </si>
  <si>
    <t>RIOX2_MOUSE</t>
  </si>
  <si>
    <t>Q8CD15</t>
  </si>
  <si>
    <t>Q8QZX1; Q9CQ03</t>
  </si>
  <si>
    <t>MGI:1914264</t>
  </si>
  <si>
    <t>Dioxygenase; Iron; Metal-binding; Nucleus; Oxidoreductase; Phosphoprotein; Ribosome biogenesis; Transcription; Transcription regulation</t>
  </si>
  <si>
    <t>cell population proliferation {GO:0008283}; histone H3-K36 demethylation {GO:0070544}; histone H3-K4 demethylation {GO:0034720}; regulation of cell population proliferation {GO:0042127}; ribosome biogenesis {GO:0042254}</t>
  </si>
  <si>
    <t>cytosol {GO:0005829}; nucleolus {GO:0005730}; nucleoplasm {GO:0005654}; nucleus {GO:0005634}; transcription regulator complex {GO:0005667}</t>
  </si>
  <si>
    <t>2-oxoglutarate-dependent dioxygenase activity {GO:0016706}; histone H3-methyl-lysine-36 demethylase activity {GO:0051864}; histone H3-methyl-lysine-4 demethylase activity {GO:0032453}; identical protein binding {GO:0042802}; metal ion binding {GO:0046872}; peptidyl-histidine dioxygenase activity {GO:0036139}; transcription corepressor activity {GO:0003714}</t>
  </si>
  <si>
    <t>sp|Q9JJF3|RIOX1_MOUSE</t>
  </si>
  <si>
    <t>Ribosomal oxygenase 1</t>
  </si>
  <si>
    <t>Bifunctional lysine-specific demethylase and histidyl-hydroxylase NO66</t>
  </si>
  <si>
    <t>RIOX1_MOUSE</t>
  </si>
  <si>
    <t>Q9JJF3</t>
  </si>
  <si>
    <t>B2RQV2</t>
  </si>
  <si>
    <t>MGI:1919202</t>
  </si>
  <si>
    <t>Acetylation; Chromatin regulator; Dioxygenase; Iron; Metal-binding; Nucleus; Oxidoreductase; Phosphoprotein; Repressor; Transcription; Transcription regulation</t>
  </si>
  <si>
    <t>chromatin remodeling {GO:0006338}; histone H3-K36 demethylation {GO:0070544}; histone H3-K4 demethylation {GO:0034720}; negative regulation of DNA-templated transcription {GO:0045892}; negative regulation of osteoblast differentiation {GO:0045668}; ribosome biogenesis {GO:0042254}</t>
  </si>
  <si>
    <t>2-oxoglutarate-dependent dioxygenase activity {GO:0016706}; histone H3-di/monomethyl-lysine-36 demethylase activity {GO:0140680}; histone H3-methyl-lysine-36 demethylase activity {GO:0051864}; histone H3-methyl-lysine-4 demethylase activity {GO:0032453}; histone H3-tri/di/monomethyl-lysine-4 demethylase activity {GO:0034647}; iron ion binding {GO:0005506}; peptidyl-histidine dioxygenase activity {GO:0036139}; protein demethylase activity {GO:0140457}</t>
  </si>
  <si>
    <t>sp|Q8CHT3|INT5_MOUSE</t>
  </si>
  <si>
    <t>Integrator complex subunit 5 (Int5)</t>
  </si>
  <si>
    <t>INT5_MOUSE</t>
  </si>
  <si>
    <t>Q8CHT3</t>
  </si>
  <si>
    <t>Q3TM44</t>
  </si>
  <si>
    <t>MGI:1923578</t>
  </si>
  <si>
    <t>Acetylation; Cytoplasm; Membrane; Nucleus; Phosphoprotein; Transmembrane; Transmembrane helix</t>
  </si>
  <si>
    <t>cytoplasm {GO:0005737}; cytosol {GO:0005829}; integral component of membrane {GO:0016021}; integrator complex {GO:0032039}; nuclear membrane {GO:0031965}; nucleoplasm {GO:0005654}; nucleus {GO:0005634}</t>
  </si>
  <si>
    <t>sp|Q5DW34|EHMT1_MOUSE</t>
  </si>
  <si>
    <t>Histone-lysine N-methyltransferase EHMT1</t>
  </si>
  <si>
    <t>Euchromatic histone-lysine N-methyltransferase 1 (Eu-HMTase1); G9a-like protein 1 (GLP; GLP1); Lysine N-methyltransferase 1D</t>
  </si>
  <si>
    <t>EHMT1_MOUSE</t>
  </si>
  <si>
    <t>Q5DW34</t>
  </si>
  <si>
    <t>A2AIS3; A2AIS4; Q5EBR1; Q6PGM0</t>
  </si>
  <si>
    <t>Euhmtase1; Glp; Kmt1d</t>
  </si>
  <si>
    <t>MGI:1924933</t>
  </si>
  <si>
    <t>Acetylation; Alternative splicing; ANK repeat; Chromatin regulator; Chromosome; Isopeptide bond; Metal-binding; Methyltransferase; Nucleus; Phosphoprotein; Repeat; S-adenosyl-L-methionine; Transferase; Ubl conjugation; Zinc</t>
  </si>
  <si>
    <t>chromatin organization {GO:0006325}; DNA methylation {GO:0006306}; histone H3-K9 methylation {GO:0051567}; histone methylation {GO:0016571}; negative regulation of DNA-templated transcription {GO:0045892}; negative regulation of transcription by RNA polymerase II {GO:0000122}; peptidyl-lysine dimethylation {GO:0018027}; peptidyl-lysine monomethylation {GO:0018026}; positive regulation of cold-induced thermogenesis {GO:0120162}; regulation of embryonic development {GO:0045995}; regulation of histone H3-K9 methylation {GO:0051570}</t>
  </si>
  <si>
    <t>chromatin {GO:0000785}; nuclear body {GO:0016604}; nucleoplasm {GO:0005654}; nucleus {GO:0005634}</t>
  </si>
  <si>
    <t>C2H2 zinc finger domain binding {GO:0070742}; histone methyltransferase activity (H3-K27 specific) {GO:0046976}; histone methyltransferase activity (H3-K9 specific) {GO:0046974}; histone-lysine N-methyltransferase activity {GO:0018024}; methyltransferase activity {GO:0008168}; p53 binding {GO:0002039}; protein-lysine N-methyltransferase activity {GO:0016279}; transcription corepressor binding {GO:0001222}; zinc ion binding {GO:0008270}</t>
  </si>
  <si>
    <t>Senescence-Associated Secretory Phenotype (SASP) {R-MMU-2559582}; PKMTs methylate histone lysines {R-MMU-3214841}; Regulation of TP53 Activity through Methylation {R-MMU-6804760}; Transcriptional Regulation by E2F6 {R-MMU-8953750}</t>
  </si>
  <si>
    <t>sp|Q9D6V8|PAIP2_MOUSE</t>
  </si>
  <si>
    <t>Polyadenylate-binding protein-interacting protein 2 (PABP-interacting protein 2; PAIP-2; Poly(A)-binding protein-interacting protein 2)</t>
  </si>
  <si>
    <t>PAIP2_MOUSE</t>
  </si>
  <si>
    <t>Q9D6V8</t>
  </si>
  <si>
    <t>Q3UBH5; Q9DAW7</t>
  </si>
  <si>
    <t>MGI:1915119</t>
  </si>
  <si>
    <t>Cytoplasm; Translation regulation; Ubl conjugation</t>
  </si>
  <si>
    <t>memory {GO:0007613}; negative regulation of translation {GO:0017148}; negative regulation of translational initiation {GO:0045947}; regulation of long-term synaptic potentiation {GO:1900271}; regulation of translation {GO:0006417}; spermatogenesis {GO:0007283}; translation {GO:0006412}</t>
  </si>
  <si>
    <t>mRNA binding {GO:0003729}; mRNA regulatory element binding translation repressor activity {GO:0000900}; poly(A) binding {GO:0008143}; translation repressor activity {GO:0030371}</t>
  </si>
  <si>
    <t>sp|Q3UMC0|SPAT5_MOUSE</t>
  </si>
  <si>
    <t>Ribosome biogenesis protein SPATA5</t>
  </si>
  <si>
    <t>Spermatogenesis-associated factor protein; Spermatogenesis-associated protein 5</t>
  </si>
  <si>
    <t>SPAT5_MOUSE</t>
  </si>
  <si>
    <t>Q3UMC0</t>
  </si>
  <si>
    <t>A2ACU2; A3KG23; A3KG24; Q9CXZ7; Q9Z2K7</t>
  </si>
  <si>
    <t>MGI:1927170</t>
  </si>
  <si>
    <t>ATP-binding; Chaperone; Cytoplasm; Cytoskeleton; Developmental protein; Differentiation; Hydrolase; Isopeptide bond; Mitochondrion; Nucleotide-binding; Phosphoprotein; Repeat; Ribosome biogenesis; Spermatogenesis; Ubl conjugation</t>
  </si>
  <si>
    <t>Differentiation; Ribosome biogenesis; Spermatogenesis</t>
  </si>
  <si>
    <t>Cytoplasm; Cytoskeleton; Mitochondrion</t>
  </si>
  <si>
    <t>Chaperone; Developmental protein; Hydrolase</t>
  </si>
  <si>
    <t>brain development {GO:0007420}; cell differentiation {GO:0030154}; ribosomal large subunit biogenesis {GO:0042273}; spermatogenesis {GO:0007283}</t>
  </si>
  <si>
    <t>cytoplasm {GO:0005737}; mitochondrion {GO:0005739}; spindle {GO:0005819}</t>
  </si>
  <si>
    <t>sp|P18826|KPB1_MOUSE</t>
  </si>
  <si>
    <t>Phosphorylase b kinase regulatory subunit alpha, skeletal muscle isoform (Phosphorylase kinase alpha M subunit)</t>
  </si>
  <si>
    <t>KPB1_MOUSE</t>
  </si>
  <si>
    <t>P18826</t>
  </si>
  <si>
    <t>A2AI90</t>
  </si>
  <si>
    <t>MGI:97576</t>
  </si>
  <si>
    <t>Alternative splicing; Calmodulin-binding; Carbohydrate metabolism; Cell membrane; Glycogen metabolism; Lipoprotein; Membrane; Muscle protein; Phosphoprotein; Prenylation</t>
  </si>
  <si>
    <t>Calmodulin-binding; Muscle protein</t>
  </si>
  <si>
    <t>glycogen metabolic process {GO:0005977}; protein autophosphorylation {GO:0046777}</t>
  </si>
  <si>
    <t>sp|Q9DC29|ABCB6_MOUSE</t>
  </si>
  <si>
    <t>ATP-binding cassette sub-family B member 6</t>
  </si>
  <si>
    <t>ABC-type heme transporter ABCB6</t>
  </si>
  <si>
    <t>ABCB6_MOUSE</t>
  </si>
  <si>
    <t>Q9DC29</t>
  </si>
  <si>
    <t>Q3U7N5; Q3UAZ6</t>
  </si>
  <si>
    <t>MGI:1921354</t>
  </si>
  <si>
    <t>ATP-binding; Cell membrane; Disulfide bond; Endoplasmic reticulum; Endosome; Golgi apparatus; Lysosome; Membrane; Mitochondrion; Mitochondrion outer membrane; Nucleotide-binding; Secreted; Translocase; Transmembrane; Transmembrane helix; Transport</t>
  </si>
  <si>
    <t>Cell membrane; Endoplasmic reticulum; Endosome; Golgi apparatus; Lysosome; Membrane; Mitochondrion; Mitochondrion outer membrane; Secreted</t>
  </si>
  <si>
    <t>brain development {GO:0007420}; cellular copper ion homeostasis {GO:0006878}; cellular detoxification of cadmium ion {GO:0098849}; heme metabolic process {GO:0042168}; heme transmembrane transport {GO:0035351}; heme transport {GO:0015886}; melanosome assembly {GO:1903232}; porphyrin-containing compound biosynthetic process {GO:0006779}; porphyrin-containing compound metabolic process {GO:0006778}; skin development {GO:0043588}; tetrapyrrole metabolic process {GO:0033013}; transmembrane transport {GO:0055085}</t>
  </si>
  <si>
    <t>cytosol {GO:0005829}; early endosome membrane {GO:0031901}; endolysosome membrane {GO:0036020}; endoplasmic reticulum {GO:0005783}; endoplasmic reticulum membrane {GO:0005789}; endosome {GO:0005768}; extracellular exosome {GO:0070062}; Golgi apparatus {GO:0005794}; Golgi membrane {GO:0000139}; integral component of membrane {GO:0016021}; integral component of mitochondrial outer membrane {GO:0031307}; late endosome membrane {GO:0031902}; lysosomal membrane {GO:0005765}; melanosome membrane {GO:0033162}; mitochondrial envelope {GO:0005740}; mitochondrial outer membrane {GO:0005741}; mitochondrion {GO:0005739}; multivesicular body membrane {GO:0032585}; nucleoplasm {GO:0005654}; plasma membrane {GO:0005886}; vacuolar membrane {GO:0005774}</t>
  </si>
  <si>
    <t>ABC-type heme transporter activity {GO:0015439}; ABC-type transporter activity {GO:0140359}; ATP binding {GO:0005524}; ATP hydrolysis activity {GO:0016887}; ATPase-coupled transmembrane transporter activity {GO:0042626}; efflux transmembrane transporter activity {GO:0015562}; heme binding {GO:0020037}; tetrapyrrole binding {GO:0046906}</t>
  </si>
  <si>
    <t>sp|Q99PR8|HSPB2_MOUSE</t>
  </si>
  <si>
    <t>Heat shock protein beta-2 (HspB2)</t>
  </si>
  <si>
    <t>HSPB2_MOUSE</t>
  </si>
  <si>
    <t>Q99PR8</t>
  </si>
  <si>
    <t>E9QKE3; Q9CZC2</t>
  </si>
  <si>
    <t>MGI:1916503</t>
  </si>
  <si>
    <t>Alternative splicing; Cytoplasm; Nucleus; Stress response</t>
  </si>
  <si>
    <t>protein refolding {GO:0042026}; response to heat {GO:0009408}; somatic muscle development {GO:0007525}</t>
  </si>
  <si>
    <t>structural constituent of eye lens {GO:0005212}; unfolded protein binding {GO:0051082}</t>
  </si>
  <si>
    <t>sp|Q8R322|GLE1_MOUSE</t>
  </si>
  <si>
    <t>mRNA export factor GLE1</t>
  </si>
  <si>
    <t>GLE1 RNA export mediator; GLE1-like protein; Nucleoporin GLE1</t>
  </si>
  <si>
    <t>GLE1_MOUSE</t>
  </si>
  <si>
    <t>Q8R322</t>
  </si>
  <si>
    <t>A3KGV8; Q3TT10; Q3TU23; Q3UD65; Q8BT16; Q9D4A6</t>
  </si>
  <si>
    <t>Gle1l</t>
  </si>
  <si>
    <t>MGI:1921662</t>
  </si>
  <si>
    <t>Coiled coil; Cytoplasm; mRNA transport; Nuclear pore complex; Nucleus; Phosphoprotein; Protein transport; Translocation; Transport</t>
  </si>
  <si>
    <t>mRNA export from nucleus {GO:0006406}; nucleocytoplasmic transport {GO:0006913}; poly(A)+ mRNA export from nucleus {GO:0016973}; protein transport {GO:0015031}; regulation of translational initiation {GO:0006446}; regulation of translational termination {GO:0006449}</t>
  </si>
  <si>
    <t>centriole {GO:0005814}; centrosome {GO:0005813}; ciliary basal body {GO:0036064}; cytoplasm {GO:0005737}; cytosol {GO:0005829}; nuclear envelope {GO:0005635}; nuclear membrane {GO:0031965}; nuclear pore {GO:0005643}; nuclear pore cytoplasmic filaments {GO:0044614}; nucleolus {GO:0005730}</t>
  </si>
  <si>
    <t>identical protein binding {GO:0042802}; inositol hexakisphosphate binding {GO:0000822}; phospholipid binding {GO:0005543}; translation initiation factor binding {GO:0031369}</t>
  </si>
  <si>
    <t>Transport of Mature mRNA derived from an Intron-Containing Transcript {R-MMU-159236}</t>
  </si>
  <si>
    <t>sp|P97820|M4K4_MOUSE</t>
  </si>
  <si>
    <t>sp|Q8BHN1|TXLNG_MOUSE</t>
  </si>
  <si>
    <t>Gamma-taxilin</t>
  </si>
  <si>
    <t>Factor inhibiting ATF4-mediated transcription (FIAT); Lipopolysaccharide-responsive gene protein</t>
  </si>
  <si>
    <t>TXLNG_MOUSE</t>
  </si>
  <si>
    <t>Q8BHN1</t>
  </si>
  <si>
    <t>A2AFJ5; Q148Z8; Q2LGB1; Q2PMX1; Q8BP11</t>
  </si>
  <si>
    <t>Lrg</t>
  </si>
  <si>
    <t>MGI:3590652</t>
  </si>
  <si>
    <t>Alternative splicing; Cell cycle; Coiled coil; Cytoplasm; Membrane; Methylation; Nucleus; Phosphoprotein; Transcription; Transcription regulation</t>
  </si>
  <si>
    <t>cell cycle {GO:0007049}; regulation of bone mineralization {GO:0030500}; regulation of cell cycle {GO:0051726}; regulation of cell cycle process {GO:0010564}</t>
  </si>
  <si>
    <t>DNA-binding transcription factor binding {GO:0140297}; syntaxin binding {GO:0019905}</t>
  </si>
  <si>
    <t>sp|P42227|STAT3_MOUSE</t>
  </si>
  <si>
    <t>Signal transducer and activator of transcription 3</t>
  </si>
  <si>
    <t>Acute-phase response factor</t>
  </si>
  <si>
    <t>STAT3_MOUSE</t>
  </si>
  <si>
    <t>P42227</t>
  </si>
  <si>
    <t>A2A5D1; B7ZC17</t>
  </si>
  <si>
    <t>MGI:103038</t>
  </si>
  <si>
    <t>3D-structure; Acetylation; Activator; Acute phase; Alternative splicing; Cytoplasm; DNA-binding; Nucleus; Phosphoprotein; SH2 domain; Transcription; Transcription regulation</t>
  </si>
  <si>
    <t>Acute phase; Transcription; Transcription regulation</t>
  </si>
  <si>
    <t>acute-phase response {GO:0006953}; astrocyte differentiation {GO:0048708}; cell population proliferation {GO:0008283}; cellular response to cytokine stimulus {GO:0071345}; cellular response to hormone stimulus {GO:0032870}; cellular response to interleukin-17 {GO:0097398}; cellular response to leptin stimulus {GO:0044320}; cellular response to organic cyclic compound {GO:0071407}; cytokine-mediated signaling pathway {GO:0019221}; defense response {GO:0006952}; eating behavior {GO:0042755}; energy homeostasis {GO:0097009}; glucose homeostasis {GO:0042593}; growth hormone receptor signaling pathway {GO:0060396}; growth hormone receptor signaling pathway via JAK-STAT {GO:0060397}; inflammatory response {GO:0006954}; interleukin-6-mediated signaling pathway {GO:0070102}; intracellular receptor signaling pathway {GO:0030522}; leptin-mediated signaling pathway {GO:0033210}; modulation of chemical synaptic transmission {GO:0050804}; mRNA transcription by RNA polymerase II {GO:0042789}; negative regulation of autophagy {GO:0010507}; negative regulation of cell death {GO:0060548}; negative regulation of cell population proliferation {GO:0008285}; negative regulation of gene expression {GO:0010629}; negative regulation of glycolytic process {GO:0045820}; negative regulation of hydrogen peroxide biosynthetic process {GO:0010730}; negative regulation of neuron death {GO:1901215}; negative regulation of neuron migration {GO:2001223}; negative regulation of primary miRNA processing {GO:2000635}; negative regulation of stem cell differentiation {GO:2000737}; phosphorylation {GO:0016310}; positive regulation of angiogenesis {GO:0045766}; positive regulation of ATP biosynthetic process {GO:2001171}; positive regulation of cell migration {GO:0030335}; positive regulation of cell population proliferation {GO:0008284}; positive regulation of cytokine production involved in inflammatory response {GO:1900017}; positive regulation of DNA-templated transcription {GO:0045893}; positive regulation of erythrocyte differentiation {GO:0045648}; positive regulation of gene expression {GO:0010628}; positive regulation of growth factor dependent skeletal muscle satellite cell proliferation {GO:1902728}; positive regulation of interleukin-1 beta production {GO:0032731}; positive regulation of interleukin-10 production {GO:0032733}; positive regulation of interleukin-6 production {GO:0032755}; positive regulation of interleukin-8 production {GO:0032757}; positive regulation of metalloendopeptidase activity {GO:1904685}; positive regulation of miRNA transcription {GO:1902895}; positive regulation of miRNA-mediated gene silencing {GO:2000637}; positive regulation of NF-kappaB transcription factor activity {GO:0051092}; positive regulation of Notch signaling pathway {GO:0045747}; positive regulation of transcription by RNA polymerase II {GO:0045944}; positive regulation of tumor necrosis factor production {GO:0032760}; positive regulation of vascular endothelial cell proliferation {GO:1905564}; postsynapse to nucleus signaling pathway {GO:0099527}; protein import into nucleus {GO:0006606}; radial glial cell differentiation {GO:0060019}; receptor signaling pathway via JAK-STAT {GO:0007259}; regulation of cell cycle {GO:0051726}; regulation of cell population proliferation {GO:0042127}; regulation of DNA-templated transcription {GO:0006355}; regulation of feeding behavior {GO:0060259}; regulation of mitochondrial membrane permeability {GO:0046902}; regulation of multicellular organism growth {GO:0040014}; regulation of transcription by RNA polymerase II {GO:0006357}; response to cytokine {GO:0034097}; response to estradiol {GO:0032355}; response to leptin {GO:0044321}; response to peptide hormone {GO:0043434}; retinal rod cell differentiation {GO:0060221}; sexual reproduction {GO:0019953}; somatic stem cell population maintenance {GO:0035019}; T-helper 17 cell lineage commitment {GO:0072540}; T-helper 17 type immune response {GO:0072538}; temperature homeostasis {GO:0001659}; transcription by RNA polymerase II {GO:0006366}; transforming growth factor beta receptor signaling pathway {GO:0007179}</t>
  </si>
  <si>
    <t>chromatin {GO:0000785}; cytoplasm {GO:0005737}; cytosol {GO:0005829}; glutamatergic synapse {GO:0098978}; mitochondrial inner membrane {GO:0005743}; mitochondrion {GO:0005739}; nucleoplasm {GO:0005654}; nucleus {GO:0005634}; plasma membrane {GO:0005886}; postsynaptic density {GO:0014069}; RNA polymerase II transcription regulator complex {GO:0090575}; Schaffer collateral - CA1 synapse {GO:0098685}; transcription regulator complex {GO:0005667}</t>
  </si>
  <si>
    <t>CCR5 chemokine receptor binding {GO:0031730}; chromatin DNA binding {GO:0031490}; DNA binding {GO:0003677}; DNA-binding transcription activator activity, RNA polymerase II-specific {GO:0001228}; DNA-binding transcription factor activity {GO:0003700}; DNA-binding transcription factor activity, RNA polymerase II-specific {GO:0000981}; DNA-binding transcription factor binding {GO:0140297}; identical protein binding {GO:0042802}; nuclear glucocorticoid receptor binding {GO:0035259}; nuclear receptor activity {GO:0004879}; primary miRNA binding {GO:0070878}; protein dimerization activity {GO:0046983}; protein homodimerization activity {GO:0042803}; protein kinase binding {GO:0019901}; protein phosphatase binding {GO:0019903}; RNA polymerase II cis-regulatory region sequence-specific DNA binding {GO:0000978}; RNA polymerase II-specific DNA-binding transcription factor binding {GO:0061629}; sequence-specific DNA binding {GO:0043565}; signaling adaptor activity {GO:0035591}; signaling receptor binding {GO:0005102}; transcription cis-regulatory region binding {GO:0000976}</t>
  </si>
  <si>
    <t>Interleukin-6 signaling {R-MMU-1059683}; Interleukin-7 signaling {R-MMU-1266695}; Signaling by SCF-KIT {R-MMU-1433557}; Downstream signal transduction {R-MMU-186763}; Signaling by ALK {R-MMU-201556}; Interleukin-10 signaling {R-MMU-6783783}; Interleukin-4 and Interleukin-13 signaling {R-MMU-6785807}; PTK6 Activates STAT3 {R-MMU-8849474}; Interleukin-20 family signaling {R-MMU-8854691}; MET activates STAT3 {R-MMU-8875791}; Interleukin-15 signaling {R-MMU-8983432}; Interleukin-35 Signalling {R-MMU-8984722}; Interleukin-9 signaling {R-MMU-8985947}; Interleukin-37 signaling {R-MMU-9008059}; Interleukin-23 signaling {R-MMU-9020933}; Interleukin-27 signaling {R-MMU-9020956}; Interleukin-21 signaling {R-MMU-9020958}; STAT3 nuclear events downstream of ALK signaling {R-MMU-9701898}</t>
  </si>
  <si>
    <t>sp|O88507|CNTFR_MOUSE</t>
  </si>
  <si>
    <t>Ciliary neurotrophic factor receptor subunit alpha (CNTF receptor subunit alpha; CNTFR-alpha)</t>
  </si>
  <si>
    <t>CNTFR_MOUSE</t>
  </si>
  <si>
    <t>O88507</t>
  </si>
  <si>
    <t>Q80T01</t>
  </si>
  <si>
    <t>MGI:99605</t>
  </si>
  <si>
    <t>Cell membrane; Disulfide bond; Glycoprotein; GPI-anchor; Immunoglobulin domain; Lipoprotein; Membrane; Receptor; Repeat; Signal</t>
  </si>
  <si>
    <t>brainstem development {GO:0003360}; ciliary neurotrophic factor-mediated signaling pathway {GO:0070120}; cytokine-mediated signaling pathway {GO:0019221}; motor neuron apoptotic process {GO:0097049}; negative regulation of motor neuron apoptotic process {GO:2000672}; negative regulation of neuron apoptotic process {GO:0043524}; positive regulation of cell population proliferation {GO:0008284}; sex differentiation {GO:0007548}; skeletal muscle organ development {GO:0060538}; suckling behavior {GO:0001967}</t>
  </si>
  <si>
    <t>anchored component of membrane {GO:0031225}; apical plasma membrane {GO:0016324}; ciliary neurotrophic factor receptor complex {GO:0070110}; CNTFR-CLCF1 complex {GO:0097059}; external side of plasma membrane {GO:0009897}; receptor complex {GO:0043235}</t>
  </si>
  <si>
    <t>ciliary neurotrophic factor receptor activity {GO:0004897}; cytokine binding {GO:0019955}; cytokine receptor activity {GO:0004896}; signaling receptor binding {GO:0005102}</t>
  </si>
  <si>
    <t>IL-6-type cytokine receptor ligand interactions {R-MMU-6788467}</t>
  </si>
  <si>
    <t>sp|P54754|EPHB3_MOUSE</t>
  </si>
  <si>
    <t>Ephrin type-B receptor 3</t>
  </si>
  <si>
    <t>Developmental kinase 5 (mDK-5); Tyrosine-protein kinase receptor SEK-4</t>
  </si>
  <si>
    <t>EPHB3_MOUSE</t>
  </si>
  <si>
    <t>P54754</t>
  </si>
  <si>
    <t>Q62214; Q91YS9</t>
  </si>
  <si>
    <t>Etk2; Mdk5; Sek4</t>
  </si>
  <si>
    <t>MGI:104770</t>
  </si>
  <si>
    <t>Angiogenesis; ATP-binding; Cell membrane; Cell projection; Developmental protein; Disulfide bond; Glycoprotein; Kinase; Membrane; Neurogenesis; Nucleotide-binding; Phosphoprotein; Receptor; Repeat; Signal; Transferase; Transmembrane; Transmembrane helix; Tyrosine-protein kinase; Ubl conjugation</t>
  </si>
  <si>
    <t>Angiogenesis; Neurogenesis</t>
  </si>
  <si>
    <t>angiogenesis {GO:0001525}; axon guidance {GO:0007411}; axonal fasciculation {GO:0007413}; cell migration {GO:0016477}; central nervous system projection neuron axonogenesis {GO:0021952}; corpus callosum development {GO:0022038}; dendritic spine development {GO:0060996}; dendritic spine morphogenesis {GO:0060997}; digestive tract morphogenesis {GO:0048546}; ephrin receptor signaling pathway {GO:0048013}; positive regulation of kinase activity {GO:0033674}; positive regulation of synapse assembly {GO:0051965}; protein autophosphorylation {GO:0046777}; regulation of axonogenesis {GO:0050770}; regulation of cell-cell adhesion {GO:0022407}; regulation of GTPase activity {GO:0043087}; retinal ganglion cell axon guidance {GO:0031290}; roof of mouth development {GO:0060021}; substrate adhesion-dependent cell spreading {GO:0034446}; thymus development {GO:0048538}; transmembrane receptor protein tyrosine kinase signaling pathway {GO:0007169}; urogenital system development {GO:0001655}</t>
  </si>
  <si>
    <t>dendrite {GO:0030425}; integral component of plasma membrane {GO:0005887}; neuron projection {GO:0043005}; receptor complex {GO:0043235}</t>
  </si>
  <si>
    <t>ATP binding {GO:0005524}; axon guidance receptor activity {GO:0008046}; ephrin receptor activity {GO:0005003}; transmembrane receptor protein tyrosine kinase activity {GO:0004714}; transmembrane-ephrin receptor activity {GO:0005005}</t>
  </si>
  <si>
    <t>sp|Q3UMB5|SMCR8_MOUSE</t>
  </si>
  <si>
    <t>Guanine nucleotide exchange protein SMCR8</t>
  </si>
  <si>
    <t>Smith-Magenis syndrome chromosomal region candidate gene 8 protein homolog</t>
  </si>
  <si>
    <t>SMCR8_MOUSE</t>
  </si>
  <si>
    <t>Q3UMB5</t>
  </si>
  <si>
    <t>Q5U4H2; Q8BNG6; Q8C704</t>
  </si>
  <si>
    <t>MGI:2444720</t>
  </si>
  <si>
    <t>Alternative splicing; Autophagy; Cell projection; Cytoplasm; Guanine-nucleotide releasing factor; Nucleus; Phosphoprotein; Synapse; Transcription; Transcription regulation</t>
  </si>
  <si>
    <t>Autophagy; Transcription; Transcription regulation</t>
  </si>
  <si>
    <t>autophagy {GO:0006914}; negative regulation of autophagosome assembly {GO:1902902}; negative regulation of exocytosis {GO:0045920}; negative regulation of gene expression {GO:0010629}; negative regulation of immune response {GO:0050777}; negative regulation of macroautophagy {GO:0016242}; negative regulation of protein kinase activity {GO:0006469}; positive regulation of autophagosome maturation {GO:1901098}; positive regulation of GTPase activity {GO:0043547}; positive regulation of TOR signaling {GO:0032008}; regulation of autophagy {GO:0010506}; regulation of TORC1 signaling {GO:1903432}</t>
  </si>
  <si>
    <t>anchoring junction {GO:0070161}; Atg1/ULK1 kinase complex {GO:1990316}; cell projection {GO:0042995}; chromatin {GO:0000785}; cytoplasm {GO:0005737}; guanyl-nucleotide exchange factor complex {GO:0032045}; nucleoplasm {GO:0005654}; postsynapse {GO:0098794}; presynapse {GO:0098793}</t>
  </si>
  <si>
    <t>GTPase activator activity {GO:0005096}; guanyl-nucleotide exchange factor activity {GO:0005085}; protein kinase binding {GO:0019901}; protein kinase inhibitor activity {GO:0004860}</t>
  </si>
  <si>
    <t>sp|Q9D125|RT25_MOUSE</t>
  </si>
  <si>
    <t>28S ribosomal protein S25, mitochondrial (MRP-S25; S25mt)</t>
  </si>
  <si>
    <t>RT25_MOUSE</t>
  </si>
  <si>
    <t>Q9D125</t>
  </si>
  <si>
    <t>Q9CYY8</t>
  </si>
  <si>
    <t>Rpms25</t>
  </si>
  <si>
    <t>MGI:1928140</t>
  </si>
  <si>
    <t>sp|Q8BWM0|PGES2_MOUSE</t>
  </si>
  <si>
    <t>Prostaglandin E synthase 2 truncated form</t>
  </si>
  <si>
    <t>GATE-binding factor 1 (GBF-1); Microsomal prostaglandin E synthase 2 (mPGES-2)</t>
  </si>
  <si>
    <t>PGES2_MOUSE</t>
  </si>
  <si>
    <t>Q8BWM0</t>
  </si>
  <si>
    <t>A2ASQ2; Q99J30</t>
  </si>
  <si>
    <t>Gbf1; Pges2</t>
  </si>
  <si>
    <t>MGI:1917592</t>
  </si>
  <si>
    <t>Cytoplasm; Fatty acid biosynthesis; Fatty acid metabolism; Golgi apparatus; Isomerase; Lipid biosynthesis; Lipid metabolism; Membrane; Nucleus; Prostaglandin biosynthesis; Prostaglandin metabolism; Transmembrane; Transmembrane helix</t>
  </si>
  <si>
    <t>lipid metabolic process {GO:0006629}; positive regulation of DNA-templated transcription {GO:0045893}; prostaglandin biosynthetic process {GO:0001516}; secretion {GO:0046903}</t>
  </si>
  <si>
    <t>cytosol {GO:0005829}; Golgi membrane {GO:0000139}; integral component of membrane {GO:0016021}; mitochondrion {GO:0005739}; nucleus {GO:0005634}</t>
  </si>
  <si>
    <t>12-hydroxyheptadecatrienoic acid synthase activity {GO:0036134}; DNA binding {GO:0003677}; glutathione binding {GO:0043295}; heme binding {GO:0020037}; lyase activity {GO:0016829}; prostaglandin-E synthase activity {GO:0050220}</t>
  </si>
  <si>
    <t>Synthesis of Prostaglandins (PG) and Thromboxanes (TX) {R-MMU-2162123}; Neutrophil degranulation {R-MMU-6798695}</t>
  </si>
  <si>
    <t>sp|Q61214|DYR1A_MOUSE</t>
  </si>
  <si>
    <t>Dual specificity tyrosine-phosphorylation-regulated kinase 1A</t>
  </si>
  <si>
    <t>Dual specificity YAK1-related kinase; MP86; Protein kinase minibrain homolog (MNBH)</t>
  </si>
  <si>
    <t>DYR1A_MOUSE</t>
  </si>
  <si>
    <t>Q61214</t>
  </si>
  <si>
    <t>Dyrk</t>
  </si>
  <si>
    <t>MGI:1330299</t>
  </si>
  <si>
    <t>ATP-binding; Kinase; Nucleotide-binding; Nucleus; Phosphoprotein; Serine/threonine-protein kinase; Transcription; Transcription regulation; Transferase; Tyrosine-protein kinase</t>
  </si>
  <si>
    <t>amyloid-beta formation {GO:0034205}; circadian rhythm {GO:0007623}; negative regulation of DNA damage response, signal transduction by p53 class mediator {GO:0043518}; negative regulation of microtubule polymerization {GO:0031115}; negative regulation of mRNA splicing, via spliceosome {GO:0048025}; peptidyl-serine phosphorylation {GO:0018105}; peptidyl-threonine phosphorylation {GO:0018107}; peptidyl-tyrosine autophosphorylation {GO:0038083}; peptidyl-tyrosine phosphorylation {GO:0018108}; positive regulation of DNA-templated transcription {GO:0045893}; positive regulation of protein deacetylation {GO:0090312}; positive regulation of RNA splicing {GO:0033120}; protein autophosphorylation {GO:0046777}; protein phosphorylation {GO:0006468}; regulation of alternative mRNA splicing, via spliceosome {GO:0000381}</t>
  </si>
  <si>
    <t>actin filament {GO:0005884}; axon {GO:0030424}; cytoplasm {GO:0005737}; cytoskeleton {GO:0005856}; dendrite {GO:0030425}; microtubule {GO:0005874}; neurofilament {GO:0005883}; nuclear speck {GO:0016607}; nucleus {GO:0005634}; ribonucleoprotein complex {GO:1990904}</t>
  </si>
  <si>
    <t>actin binding {GO:0003779}; ATP binding {GO:0005524}; cytoskeletal protein binding {GO:0008092}; identical protein binding {GO:0042802}; non-membrane spanning protein tyrosine kinase activity {GO:0004715}; protein kinase activity {GO:0004672}; protein self-association {GO:0043621}; protein serine kinase activity {GO:0106310}; protein serine/threonine kinase activity {GO:0004674}; protein serine/threonine/tyrosine kinase activity {GO:0004712}; protein tyrosine kinase activity {GO:0004713}; RNA polymerase II CTD heptapeptide repeat kinase activity {GO:0008353}; tau protein binding {GO:0048156}; transcription coactivator activity {GO:0003713}; tubulin binding {GO:0015631}</t>
  </si>
  <si>
    <t>G0 and Early G1 {R-MMU-1538133}</t>
  </si>
  <si>
    <t>sp|A2AKG8|FOCAD_MOUSE</t>
  </si>
  <si>
    <t>Focadhesin</t>
  </si>
  <si>
    <t>FOCAD_MOUSE</t>
  </si>
  <si>
    <t>A2AKG8</t>
  </si>
  <si>
    <t>Q0P620; Q3TPY9; Q3UJY8; Q3UK73; Q6PGE3</t>
  </si>
  <si>
    <t>Kiaa1797</t>
  </si>
  <si>
    <t>MGI:2676921</t>
  </si>
  <si>
    <t>Acetylation; Alternative splicing; Cell junction; Membrane; Transmembrane; Transmembrane helix</t>
  </si>
  <si>
    <t>regulation of post-transcriptional gene silencing {GO:0060147}</t>
  </si>
  <si>
    <t>focal adhesion {GO:0005925}; integral component of membrane {GO:0016021}</t>
  </si>
  <si>
    <t>sp|Q9DC28|KC1D_MOUSE</t>
  </si>
  <si>
    <t>Casein kinase I isoform delta (CKI-delta; CKId)</t>
  </si>
  <si>
    <t>Tau-protein kinase CSNK1D</t>
  </si>
  <si>
    <t>KC1D_MOUSE</t>
  </si>
  <si>
    <t>Q9DC28</t>
  </si>
  <si>
    <t>Q3TZK2; Q99KK4</t>
  </si>
  <si>
    <t>Hckid</t>
  </si>
  <si>
    <t>MGI:1355272</t>
  </si>
  <si>
    <t>3D-structure; Alternative splicing; ATP-binding; Biological rhythms; Cell membrane; Cytoplasm; Cytoskeleton; Golgi apparatus; Kinase; Membrane; Methylation; Nucleotide-binding; Nucleus; Phosphoprotein; Serine/threonine-protein kinase; Transferase; Wnt signaling pathway</t>
  </si>
  <si>
    <t>Biological rhythms; Wnt signaling pathway</t>
  </si>
  <si>
    <t>Cell membrane; Cytoplasm; Cytoskeleton; Golgi apparatus; Membrane; Nucleus</t>
  </si>
  <si>
    <t>circadian regulation of gene expression {GO:0032922}; Golgi organization {GO:0007030}; microtubule nucleation {GO:0007020}; non-motile cilium assembly {GO:1905515}; peptidyl-serine phosphorylation {GO:0018105}; positive regulation of canonical Wnt signaling pathway {GO:0090263}; positive regulation of non-canonical Wnt signaling pathway {GO:2000052}; positive regulation of proteasomal ubiquitin-dependent protein catabolic process {GO:0032436}; positive regulation of protein phosphorylation {GO:0001934}; positive regulation of Wnt signaling pathway {GO:0030177}; positive regulation of Wnt-mediated midbrain dopaminergic neuron differentiation {GO:1905426}; protein localization to centrosome {GO:0071539}; protein localization to cilium {GO:0061512}; protein localization to Golgi apparatus {GO:0034067}; protein phosphorylation {GO:0006468}; regulation of circadian rhythm {GO:0042752}; signal transduction {GO:0007165}; spindle assembly {GO:0051225}; Wnt signaling pathway {GO:0016055}</t>
  </si>
  <si>
    <t>centrosome {GO:0005813}; ciliary basal body {GO:0036064}; cytoplasm {GO:0005737}; cytosol {GO:0005829}; Golgi apparatus {GO:0005794}; neuron projection {GO:0043005}; nucleoplasm {GO:0005654}; nucleus {GO:0005634}; perinuclear region of cytoplasm {GO:0048471}; plasma membrane {GO:0005886}; spindle {GO:0005819}; spindle microtubule {GO:0005876}</t>
  </si>
  <si>
    <t>ATP binding {GO:0005524}; kinase activity {GO:0016301}; protein kinase activity {GO:0004672}; protein serine kinase activity {GO:0106310}; protein serine/threonine kinase activity {GO:0004674}; tau-protein kinase activity {GO:0050321}</t>
  </si>
  <si>
    <t>COPII-mediated vesicle transport {R-MMU-204005}; Regulation of PLK1 Activity at G2/M Transition {R-MMU-2565942}; Loss of Nlp from mitotic centrosomes {R-MMU-380259}; Recruitment of mitotic centrosome proteins and complexes {R-MMU-380270}; Loss of proteins required for interphase microtubule organization from the centrosome {R-MMU-380284}; Recruitment of NuMA to mitotic centrosomes {R-MMU-380320}; Anchoring of the basal body to the plasma membrane {R-MMU-5620912}; Major pathway of rRNA processing in the nucleolus and cytosol {R-MMU-6791226}; AURKA Activation by TPX2 {R-MMU-8854518}</t>
  </si>
  <si>
    <t>sp|P70206|PLXA1_MOUSE</t>
  </si>
  <si>
    <t>Plexin-A1 (Plex 1; Plexin-1)</t>
  </si>
  <si>
    <t>PLXA1_MOUSE</t>
  </si>
  <si>
    <t>P70206</t>
  </si>
  <si>
    <t>B2RQP7; Q5DTR0</t>
  </si>
  <si>
    <t>Kiaa4053</t>
  </si>
  <si>
    <t>MGI:107685</t>
  </si>
  <si>
    <t>3D-structure; Cell membrane; Coiled coil; Disulfide bond; Glycoprotein; Membrane; Repeat; Signal; Transmembrane; Transmembrane helix</t>
  </si>
  <si>
    <t>Coiled coil; Repeat; Signal; Transmembrane; Transmembrane helix</t>
  </si>
  <si>
    <t>dichotomous subdivision of terminal units involved in salivary gland branching {GO:0060666}; gonadotrophin-releasing hormone neuronal migration to the hypothalamus {GO:0021828}; negative regulation of cell adhesion {GO:0007162}; neuron projection extension {GO:1990138}; neuron projection guidance {GO:0097485}; olfactory nerve formation {GO:0021628}; positive regulation of axonogenesis {GO:0050772}; regulation of cell migration {GO:0030334}; regulation of cell shape {GO:0008360}; regulation of GTPase activity {GO:0043087}; regulation of smooth muscle cell migration {GO:0014910}; semaphorin-plexin signaling pathway involved in axon guidance {GO:1902287}</t>
  </si>
  <si>
    <t>cytosol {GO:0005829}; integral component of plasma membrane {GO:0005887}; membrane {GO:0016020}; nucleoplasm {GO:0005654}; plasma membrane {GO:0005886}; semaphorin receptor complex {GO:0002116}</t>
  </si>
  <si>
    <t>Sema3A PAK dependent Axon repulsion {R-MMU-399954}; SEMA3A-Plexin repulsion signaling by inhibiting Integrin adhesion {R-MMU-399955}; CRMPs in Sema3A signaling {R-MMU-399956}; Other semaphorin interactions {R-MMU-416700}; RHOD GTPase cycle {R-MMU-9013405}; RND1 GTPase cycle {R-MMU-9696273}</t>
  </si>
  <si>
    <t>sp|Q8R3H7|HS2ST_MOUSE</t>
  </si>
  <si>
    <t>Heparan sulfate 2-O-sulfotransferase 1 (2-O-sulfotransferase; 2-OST; 2OST)</t>
  </si>
  <si>
    <t>HS2ST_MOUSE</t>
  </si>
  <si>
    <t>Q8R3H7</t>
  </si>
  <si>
    <t>O88464; Q3TNP7; Q9JLK2</t>
  </si>
  <si>
    <t>Hs2st</t>
  </si>
  <si>
    <t>MGI:1346049</t>
  </si>
  <si>
    <t>Disulfide bond; Glycoprotein; Golgi apparatus; Membrane; Signal-anchor; Transferase; Transmembrane; Transmembrane helix</t>
  </si>
  <si>
    <t>gene expression {GO:0010467}; heparan sulfate proteoglycan biosynthetic process {GO:0015012}; heparan sulfate proteoglycan biosynthetic process, enzymatic modification {GO:0015015}; heparan sulfate proteoglycan biosynthetic process, polysaccharide chain biosynthetic process {GO:0015014}; heparin metabolic process {GO:0030202}; ureteric bud formation {GO:0060676}</t>
  </si>
  <si>
    <t>heparan sulfate 2-O-sulfotransferase activity {GO:0004394}; sulfotransferase activity {GO:0008146}</t>
  </si>
  <si>
    <t>HS-GAG biosynthesis {R-MMU-2022928}</t>
  </si>
  <si>
    <t>sp|Q8CEC6|PPWD1_MOUSE</t>
  </si>
  <si>
    <t>Peptidylprolyl isomerase domain and WD repeat-containing protein 1</t>
  </si>
  <si>
    <t>PPWD1_MOUSE</t>
  </si>
  <si>
    <t>Q8CEC6</t>
  </si>
  <si>
    <t>Q0VEA0</t>
  </si>
  <si>
    <t>MGI:2443069</t>
  </si>
  <si>
    <t>Acetylation; Isomerase; mRNA processing; mRNA splicing; Nucleus; Repeat; Rotamase; Spliceosome; WD repeat</t>
  </si>
  <si>
    <t>mRNA processing {GO:0006397}; protein peptidyl-prolyl isomerization {GO:0000413}; RNA splicing {GO:0008380}</t>
  </si>
  <si>
    <t>catalytic step 2 spliceosome {GO:0071013}; nuclear body {GO:0016604}</t>
  </si>
  <si>
    <t>sp|B9EKI3|TMF1_MOUSE</t>
  </si>
  <si>
    <t>TATA element modulatory factor (TMF)</t>
  </si>
  <si>
    <t>Androgen receptor coactivator 160 kDa protein; Androgen receptor-associated protein of 160 kDa</t>
  </si>
  <si>
    <t>TMF1_MOUSE</t>
  </si>
  <si>
    <t>B9EKI3</t>
  </si>
  <si>
    <t>E9QPJ3; Q3UMH8; Q3UMR3</t>
  </si>
  <si>
    <t>Ara160; Gm153</t>
  </si>
  <si>
    <t>MGI:2684999</t>
  </si>
  <si>
    <t>Coiled coil; Cytoplasm; DNA-binding; Golgi apparatus; Membrane; Nucleus; Phosphoprotein; Repressor; Transcription; Transcription regulation</t>
  </si>
  <si>
    <t>acrosome assembly {GO:0001675}; androgen receptor signaling pathway {GO:0030521}; apoptotic process {GO:0006915}; cellular response to organic cyclic compound {GO:0071407}; defense response to bacterium {GO:0042742}; epithelial cell apoptotic process {GO:1904019}; flagellated sperm motility {GO:0030317}; Leydig cell differentiation {GO:0033327}; luteinizing hormone secretion {GO:0032275}; male gonad development {GO:0008584}; negative regulation of epithelial cell apoptotic process {GO:1904036}; negative regulation of gene expression {GO:0010629}; positive regulation of cytokine production {GO:0001819}; positive regulation of testosterone secretion {GO:2000845}; positive regulation of transcription by RNA polymerase II {GO:0045944}; regulation of proteasomal protein catabolic process {GO:0061136}; spermatid development {GO:0007286}; spermatid nucleus differentiation {GO:0007289}</t>
  </si>
  <si>
    <t>endoplasmic reticulum {GO:0005783}; Golgi apparatus {GO:0005794}; Golgi membrane {GO:0000139}; nucleus {GO:0005634}</t>
  </si>
  <si>
    <t>DNA binding {GO:0003677}; nuclear androgen receptor binding {GO:0050681}; nuclear receptor coactivator activity {GO:0030374}</t>
  </si>
  <si>
    <t>sp|Q9D8L5|CCD91_MOUSE</t>
  </si>
  <si>
    <t>Coiled-coil domain-containing protein 91</t>
  </si>
  <si>
    <t>GGA-binding partner</t>
  </si>
  <si>
    <t>CCD91_MOUSE</t>
  </si>
  <si>
    <t>Q9D8L5</t>
  </si>
  <si>
    <t>Q8R3N8; Q9D9E8</t>
  </si>
  <si>
    <t>Ggabp</t>
  </si>
  <si>
    <t>MGI:1914265</t>
  </si>
  <si>
    <t>Alternative splicing; Coiled coil; Golgi apparatus; Membrane; Phosphoprotein; Protein transport; Transport</t>
  </si>
  <si>
    <t>Golgi to lysosome transport {GO:0090160}; protein transport {GO:0015031}</t>
  </si>
  <si>
    <t>sp|Q9CWS4|INT11_MOUSE</t>
  </si>
  <si>
    <t>Integrator complex subunit 11 (Int11)</t>
  </si>
  <si>
    <t>Cleavage and polyadenylation-specific factor 3-like protein (CPSF3-like protein)</t>
  </si>
  <si>
    <t>INT11_MOUSE</t>
  </si>
  <si>
    <t>Q9CWS4</t>
  </si>
  <si>
    <t>Q3TJ34; Q3U7B0; Q91X99; Q922F0</t>
  </si>
  <si>
    <t>Cpsf3l</t>
  </si>
  <si>
    <t>MGI:1919207</t>
  </si>
  <si>
    <t>Cytoplasm; Hydrolase; Nucleus</t>
  </si>
  <si>
    <t>snRNA processing {GO:0016180}</t>
  </si>
  <si>
    <t>cytoplasm {GO:0005737}; cytosol {GO:0005829}; integrator complex {GO:0032039}; nucleoplasm {GO:0005654}; nucleus {GO:0005634}</t>
  </si>
  <si>
    <t>sp|Q9CQJ2|PIHD1_MOUSE</t>
  </si>
  <si>
    <t>PIH1 domain-containing protein 1</t>
  </si>
  <si>
    <t>Nucleolar protein 17 homolog</t>
  </si>
  <si>
    <t>PIHD1_MOUSE</t>
  </si>
  <si>
    <t>Q9CQJ2</t>
  </si>
  <si>
    <t>Q6NV90</t>
  </si>
  <si>
    <t>Nop17</t>
  </si>
  <si>
    <t>MGI:1916095</t>
  </si>
  <si>
    <t>3D-structure; Nucleus; Phosphoprotein; Transcription; Transcription regulation</t>
  </si>
  <si>
    <t>box C/D snoRNP assembly {GO:0000492}; chromatin remodeling {GO:0006338}; epithelial cell differentiation {GO:0030855}; establishment of protein localization to chromatin {GO:0071169}; negative regulation of cysteine-type endopeptidase activity involved in apoptotic signaling pathway {GO:2001268}; negative regulation of histone H3-K9 dimethylation {GO:1900110}; negative regulation of histone H3-K9 trimethylation {GO:1900113}; negative regulation of histone H4-K16 acetylation {GO:2000619}; positive regulation of glucose mediated signaling pathway {GO:1902661}; positive regulation of histone H3-K9 acetylation {GO:2000617}; positive regulation of histone H4 acetylation {GO:0090240}; positive regulation of protein serine/threonine kinase activity {GO:0071902}; positive regulation of protein-containing complex assembly {GO:0031334}; positive regulation of TORC1 signaling {GO:1904263}; positive regulation of transcription of nucleolar large rRNA by RNA polymerase I {GO:1901838}; regulation of histone H3-K4 methylation {GO:0051569}; rRNA processing {GO:0006364}; snoRNA localization {GO:0048254}; TORC1 complex assembly {GO:1905669}</t>
  </si>
  <si>
    <t>cytoplasm {GO:0005737}; nucleolus {GO:0005730}; nucleus {GO:0005634}; pre-snoRNP complex {GO:0070761}; R2TP complex {GO:0097255}; ribonucleoprotein complex {GO:1990904}; RPAP3/R2TP/prefoldin-like complex {GO:1990062}</t>
  </si>
  <si>
    <t>ATPase binding {GO:0051117}; histone binding {GO:0042393}; phosphoprotein binding {GO:0051219}; protein kinase binding {GO:0019901}; RNA polymerase I core promoter sequence-specific DNA binding {GO:0001164}</t>
  </si>
  <si>
    <t>sp|Q8K1Z0|COQ9_MOUSE</t>
  </si>
  <si>
    <t>Ubiquinone biosynthesis protein COQ9, mitochondrial</t>
  </si>
  <si>
    <t>COQ9_MOUSE</t>
  </si>
  <si>
    <t>Q8K1Z0</t>
  </si>
  <si>
    <t>Q9CT61</t>
  </si>
  <si>
    <t>MGI:1915164</t>
  </si>
  <si>
    <t>Acetylation; Lipid-binding; Mitochondrion; Phosphoprotein; Transit peptide; Ubiquinone biosynthesis</t>
  </si>
  <si>
    <t>Ubiquinone biosynthesis</t>
  </si>
  <si>
    <t>mitochondrial electron transport, NADH to ubiquinone {GO:0006120}; ubiquinone biosynthetic process {GO:0006744}</t>
  </si>
  <si>
    <t>mitochondrial inner membrane {GO:0005743}; mitochondrion {GO:0005739}; ubiquinone biosynthesis complex {GO:0110142}</t>
  </si>
  <si>
    <t>lipid binding {GO:0008289}; protein homodimerization activity {GO:0042803}</t>
  </si>
  <si>
    <t>Cofactor biosynthesis; ubiquinone biosynthesis.</t>
  </si>
  <si>
    <t>sp|Q8R395|COMD5_MOUSE</t>
  </si>
  <si>
    <t>COMM domain-containing protein 5</t>
  </si>
  <si>
    <t>COMD5_MOUSE</t>
  </si>
  <si>
    <t>Q8R395</t>
  </si>
  <si>
    <t>Q9D6R8</t>
  </si>
  <si>
    <t>MGI:1913648</t>
  </si>
  <si>
    <t>positive regulation of cell growth {GO:0030307}; positive regulation of epithelial cell differentiation {GO:0030858}; proximal tubule morphogenesis {GO:0072158}; regulation of cell cycle {GO:0051726}</t>
  </si>
  <si>
    <t>sp|Q6ZPS6|AKIB1_MOUSE</t>
  </si>
  <si>
    <t>Ankyrin repeat and IBR domain-containing protein 1</t>
  </si>
  <si>
    <t>AKIB1_MOUSE</t>
  </si>
  <si>
    <t>Q6ZPS6</t>
  </si>
  <si>
    <t>Q6AXE1</t>
  </si>
  <si>
    <t>Kiaa1386</t>
  </si>
  <si>
    <t>MGI:1918047</t>
  </si>
  <si>
    <t>ANK repeat; Coiled coil; Lipoprotein; Metal-binding; Myristate; Phosphoprotein; Repeat; Transferase; Ubl conjugation pathway; Zinc; Zinc-finger</t>
  </si>
  <si>
    <t>positive regulation of proteasomal ubiquitin-dependent protein catabolic process {GO:0032436}; protein polyubiquitination {GO:0000209}; ubiquitin-dependent protein catabolic process {GO:0006511}</t>
  </si>
  <si>
    <t>cytoplasm {GO:0005737}; ubiquitin ligase complex {GO:0000151}</t>
  </si>
  <si>
    <t>sp|Q8R088|GLP3L_MOUSE</t>
  </si>
  <si>
    <t>Golgi phosphoprotein 3-like</t>
  </si>
  <si>
    <t>GLP3L_MOUSE</t>
  </si>
  <si>
    <t>Q8R088</t>
  </si>
  <si>
    <t>Q3TIX2; Q3TV24</t>
  </si>
  <si>
    <t>MGI:1917129</t>
  </si>
  <si>
    <t>Alternative splicing; Golgi apparatus; Lipid-binding; Membrane; Phosphoprotein</t>
  </si>
  <si>
    <t>Golgi organization {GO:0007030}; Golgi to plasma membrane protein transport {GO:0043001}; Golgi vesicle budding {GO:0048194}; positive regulation of protein secretion {GO:0050714}; retrograde vesicle-mediated transport, Golgi to endoplasmic reticulum {GO:0006890}</t>
  </si>
  <si>
    <t>cytosol {GO:0005829}; Golgi apparatus {GO:0005794}; Golgi cisterna {GO:0031985}; Golgi cisterna membrane {GO:0032580}; Golgi membrane {GO:0000139}; trans-Golgi network {GO:0005802}</t>
  </si>
  <si>
    <t>phosphatidylinositol-4-phosphate binding {GO:0070273}</t>
  </si>
  <si>
    <t>sp|Q61712|DNJC1_MOUSE</t>
  </si>
  <si>
    <t>DnaJ homolog subfamily C member 1</t>
  </si>
  <si>
    <t>DnaJ protein homolog MTJ1</t>
  </si>
  <si>
    <t>DNJC1_MOUSE</t>
  </si>
  <si>
    <t>Q61712</t>
  </si>
  <si>
    <t>Dnajl1; Mtj1</t>
  </si>
  <si>
    <t>MGI:103268</t>
  </si>
  <si>
    <t>Chaperone; DNA-binding; Endoplasmic reticulum; Membrane; Microsome; Nucleus; Phosphoprotein; Repeat; Signal; Transmembrane; Transmembrane helix</t>
  </si>
  <si>
    <t>protein folding {GO:0006457}; regulation of protein secretion {GO:0050708}; regulation of translation {GO:0006417}</t>
  </si>
  <si>
    <t>endomembrane system {GO:0012505}; endoplasmic reticulum {GO:0005783}; endoplasmic reticulum lumen {GO:0005788}; endoplasmic reticulum membrane {GO:0005789}; integral component of membrane {GO:0016021}; nuclear membrane {GO:0031965}; nucleus {GO:0005634}; plasma membrane {GO:0005886}</t>
  </si>
  <si>
    <t>chaperone binding {GO:0051087}; DNA binding {GO:0003677}; ribosome binding {GO:0043022}</t>
  </si>
  <si>
    <t>tr|Q8CBC7|Q8CBC7_MOUSE</t>
  </si>
  <si>
    <t>sp|Q8CI61|BAG4_MOUSE</t>
  </si>
  <si>
    <t>BAG family molecular chaperone regulator 4 (BAG-4)</t>
  </si>
  <si>
    <t>Bcl-2-associated athanogene 4; Silencer of death domains</t>
  </si>
  <si>
    <t>BAG4_MOUSE</t>
  </si>
  <si>
    <t>Q8CI61</t>
  </si>
  <si>
    <t>Q3TRL9; Q91VT5; Q9CWG2</t>
  </si>
  <si>
    <t>Sodd</t>
  </si>
  <si>
    <t>MGI:1914634</t>
  </si>
  <si>
    <t>Chaperone; Cytoplasm; Methylation; Phosphoprotein</t>
  </si>
  <si>
    <t>cellular response to epidermal growth factor stimulus {GO:0071364}; cellular response to tumor necrosis factor {GO:0071356}; negative regulation of mRNA modification {GO:0090367}; negative regulation of phosphatidylinositol-3,4,5-trisphosphate 5-phosphatase activity {GO:2001145}; negative regulation of protein targeting to mitochondrion {GO:1903215}; positive regulation of actin filament polymerization {GO:0030838}; positive regulation of cell adhesion {GO:0045785}; positive regulation of fibroblast migration {GO:0010763}; positive regulation of peptidyl-serine phosphorylation {GO:0033138}; positive regulation of protein kinase B signaling {GO:0051897}; positive regulation of stress fiber assembly {GO:0051496}; protein localization to plasma membrane {GO:0072659}; protein stabilization {GO:0050821}; ruffle assembly {GO:0097178}</t>
  </si>
  <si>
    <t>cytoplasm {GO:0005737}; cytosol {GO:0005829}; membrane {GO:0016020}; nucleus {GO:0005634}; plasma membrane {GO:0005886}</t>
  </si>
  <si>
    <t>adenyl-nucleotide exchange factor activity {GO:0000774}; chaperone binding {GO:0051087}; protein-containing complex binding {GO:0044877}; ubiquitin protein ligase binding {GO:0031625}</t>
  </si>
  <si>
    <t>Regulation of HSF1-mediated heat shock response {R-MMU-3371453}; TNF signaling {R-MMU-75893}</t>
  </si>
  <si>
    <t>sp|Q8VE38|OXND1_MOUSE</t>
  </si>
  <si>
    <t>Oxidoreductase NAD-binding domain-containing protein 1</t>
  </si>
  <si>
    <t>OXND1_MOUSE</t>
  </si>
  <si>
    <t>Q8VE38</t>
  </si>
  <si>
    <t>Q3UT09; Q8C093</t>
  </si>
  <si>
    <t>MGI:1916953</t>
  </si>
  <si>
    <t>Alternative splicing; NAD; Oxidoreductase; Signal</t>
  </si>
  <si>
    <t>sp|Q8C0I1|ADAS_MOUSE</t>
  </si>
  <si>
    <t>Alkyldihydroxyacetonephosphate synthase, peroxisomal (Alkyl-DHAP synthase)</t>
  </si>
  <si>
    <t>Alkylglycerone-phosphate synthase</t>
  </si>
  <si>
    <t>ADAS_MOUSE</t>
  </si>
  <si>
    <t>Q8C0I1</t>
  </si>
  <si>
    <t>MGI:2443065</t>
  </si>
  <si>
    <t>Acetylation; FAD; Flavoprotein; Lipid biosynthesis; Lipid metabolism; Membrane; Peroxisome; Phosphoprotein; Transferase; Transit peptide</t>
  </si>
  <si>
    <t>ether lipid biosynthetic process {GO:0008611}; lipid biosynthetic process {GO:0008610}</t>
  </si>
  <si>
    <t>mitochondrion {GO:0005739}; nucleolus {GO:0005730}; peroxisomal matrix {GO:0005782}; peroxisomal membrane {GO:0005778}; peroxisome {GO:0005777}</t>
  </si>
  <si>
    <t>alkylglycerone-phosphate synthase activity {GO:0008609}; FAD binding {GO:0071949}</t>
  </si>
  <si>
    <t>Glycerolipid metabolism; ether lipid biosynthesis.</t>
  </si>
  <si>
    <t>Plasmalogen biosynthesis {R-MMU-75896}; Peroxisomal protein import {R-MMU-9033241}</t>
  </si>
  <si>
    <t>sp|Q6IQX8|ZN219_MOUSE</t>
  </si>
  <si>
    <t>sp|Q8R2U4|NTM1A_MOUSE</t>
  </si>
  <si>
    <t>N-terminal Xaa-Pro-Lys N-methyltransferase 1, N-terminally processed</t>
  </si>
  <si>
    <t>Alpha N-terminal protein methyltransferase 1A; Methyltransferase-like protein 11A; X-Pro-Lys N-terminal protein methyltransferase 1A (NTM1A)</t>
  </si>
  <si>
    <t>NTM1A_MOUSE</t>
  </si>
  <si>
    <t>Q8R2U4</t>
  </si>
  <si>
    <t>A2APZ4</t>
  </si>
  <si>
    <t>Mettl11a</t>
  </si>
  <si>
    <t>MGI:1913867</t>
  </si>
  <si>
    <t>Acetylation; Methyltransferase; Nucleus; S-adenosyl-L-methionine; Transferase</t>
  </si>
  <si>
    <t>chromosome segregation {GO:0007059}; histone methylation {GO:0016571}; N-terminal peptidyl-alanine methylation {GO:0018011}; N-terminal peptidyl-alanine trimethylation {GO:0018012}; N-terminal peptidyl-glycine methylation {GO:0018013}; N-terminal peptidyl-proline dimethylation {GO:0018016}; N-terminal peptidyl-proline methylation {GO:0035568}; N-terminal peptidyl-serine dimethylation {GO:0035572}; N-terminal peptidyl-serine methylation {GO:0035570}; N-terminal peptidyl-serine trimethylation {GO:0035573}; N-terminal protein amino acid methylation {GO:0006480}; spindle organization {GO:0007051}</t>
  </si>
  <si>
    <t>histone methyltransferase activity {GO:0042054}; methyltransferase activity {GO:0008168}; N-terminal protein N-methyltransferase activity {GO:0071885}; protein methyltransferase activity {GO:0008276}</t>
  </si>
  <si>
    <t>sp|Q8K2B0|SC65_MOUSE</t>
  </si>
  <si>
    <t>Endoplasmic reticulum protein SC65</t>
  </si>
  <si>
    <t>Leprecan-like protein 4; Prolyl 3-hydroxylase family member 4; Synaptonemal complex protein SC65</t>
  </si>
  <si>
    <t>SC65_MOUSE</t>
  </si>
  <si>
    <t>Q8K2B0</t>
  </si>
  <si>
    <t>MGI:1913430</t>
  </si>
  <si>
    <t>Endoplasmic reticulum; Glycoprotein; Signal</t>
  </si>
  <si>
    <t>bone remodeling {GO:0046849}; collagen biosynthetic process {GO:0032964}; collagen fibril organization {GO:0030199}; peptidyl-lysine hydroxylation {GO:0017185}</t>
  </si>
  <si>
    <t>catalytic complex {GO:1902494}; endoplasmic reticulum {GO:0005783}; intracellular membrane-bounded organelle {GO:0043231}; synaptonemal complex {GO:0000795}</t>
  </si>
  <si>
    <t>sp|E9Q6J5|BD1L1_MOUSE</t>
  </si>
  <si>
    <t>Biorientation of chromosomes in cell division protein 1-like 1</t>
  </si>
  <si>
    <t>BD1L1_MOUSE</t>
  </si>
  <si>
    <t>E9Q6J5</t>
  </si>
  <si>
    <t>O35243; Q3TR39; Q3USW6; Q80TF0; Q8BHG7</t>
  </si>
  <si>
    <t>MGI:2444804</t>
  </si>
  <si>
    <t>Acetylation; Alternative splicing; Chromosome; DNA damage; DNA repair; DNA-binding; Isopeptide bond; Phosphoprotein; Ubl conjugation</t>
  </si>
  <si>
    <t>cellular response to DNA damage stimulus {GO:0006974}; DNA repair {GO:0006281}; negative regulation of phosphoprotein phosphatase activity {GO:0032515}; replication fork processing {GO:0031297}</t>
  </si>
  <si>
    <t>centrosome {GO:0005813}; nucleoplasm {GO:0005654}; outer kinetochore {GO:0000940}; Set1C/COMPASS complex {GO:0048188}; spindle microtubule {GO:0005876}; spindle pole {GO:0000922}</t>
  </si>
  <si>
    <t>DNA binding {GO:0003677}; protein phosphatase 2A binding {GO:0051721}; protein phosphatase inhibitor activity {GO:0004864}</t>
  </si>
  <si>
    <t>sp|Q9EQJ9|MAGI3_MOUSE</t>
  </si>
  <si>
    <t>Membrane-associated guanylate kinase, WW and PDZ domain-containing protein 3</t>
  </si>
  <si>
    <t>Membrane-associated guanylate kinase inverted 3 (MAGI-3)</t>
  </si>
  <si>
    <t>MAGI3_MOUSE</t>
  </si>
  <si>
    <t>Q9EQJ9</t>
  </si>
  <si>
    <t>B0V3N7; B0V3N8; Q69ZE1; Q8C0P8</t>
  </si>
  <si>
    <t>Kiaa1634</t>
  </si>
  <si>
    <t>MGI:1923484</t>
  </si>
  <si>
    <t>Alternative splicing; ATP-binding; Cell junction; Cell membrane; Membrane; Nucleotide-binding; Nucleus; Phosphoprotein; Repeat; Tight junction</t>
  </si>
  <si>
    <t>positive regulation of JUN kinase activity {GO:0043507}; regulation of JNK cascade {GO:0046328}; signal transduction {GO:0007165}</t>
  </si>
  <si>
    <t>bicellular tight junction {GO:0005923}; cell junction {GO:0030054}; cell-cell junction {GO:0005911}; cytoplasm {GO:0005737}; nucleus {GO:0005634}; plasma membrane {GO:0005886}</t>
  </si>
  <si>
    <t>ATP binding {GO:0005524}; frizzled binding {GO:0005109}; molecular adaptor activity {GO:0060090}</t>
  </si>
  <si>
    <t>sp|Q9D7B1|DUS2L_MOUSE</t>
  </si>
  <si>
    <t>tRNA-dihydrouridine(20) synthase [NAD(P)+]-like</t>
  </si>
  <si>
    <t>Dihydrouridine synthase 2; tRNA-dihydrouridine synthase 2-like</t>
  </si>
  <si>
    <t>DUS2L_MOUSE</t>
  </si>
  <si>
    <t>Q9D7B1</t>
  </si>
  <si>
    <t>Q6PDX2</t>
  </si>
  <si>
    <t>Dus2l</t>
  </si>
  <si>
    <t>MGI:1913619</t>
  </si>
  <si>
    <t>3D-structure; Cytoplasm; Endoplasmic reticulum; Flavoprotein; FMN; Oxidoreductase; Phosphoprotein; RNA-binding; tRNA processing</t>
  </si>
  <si>
    <t>FMN; Flavoprotein</t>
  </si>
  <si>
    <t>negative regulation of cell death {GO:0060548}; tRNA dihydrouridine synthesis {GO:0002943}</t>
  </si>
  <si>
    <t>cytoplasm {GO:0005737}; cytosol {GO:0005829}; endoplasmic reticulum {GO:0005783}; mitochondrion {GO:0005739}</t>
  </si>
  <si>
    <t>double-stranded RNA binding {GO:0003725}; flavin adenine dinucleotide binding {GO:0050660}; FMN binding {GO:0010181}; NADPH binding {GO:0070402}; protein kinase inhibitor activity {GO:0004860}; tRNA binding {GO:0000049}; tRNA dihydrouridine synthase activity {GO:0017150}; tRNA-dihydrouridine20 synthase activity {GO:0102264}</t>
  </si>
  <si>
    <t>sp|Q0P5W1|VPS8_MOUSE</t>
  </si>
  <si>
    <t>Vacuolar protein sorting-associated protein 8 homolog</t>
  </si>
  <si>
    <t>VPS8_MOUSE</t>
  </si>
  <si>
    <t>Q0P5W1</t>
  </si>
  <si>
    <t>Q3UR93; Q80TR5; Q8K280</t>
  </si>
  <si>
    <t>Kiaa0804</t>
  </si>
  <si>
    <t>MGI:2146407</t>
  </si>
  <si>
    <t>Alternative splicing; Metal-binding; Phosphoprotein; WD repeat; Zinc; Zinc-finger</t>
  </si>
  <si>
    <t>WD repeat; Zinc-finger</t>
  </si>
  <si>
    <t>endosomal vesicle fusion {GO:0034058}</t>
  </si>
  <si>
    <t>CORVET complex {GO:0033263}; early endosome {GO:0005769}</t>
  </si>
  <si>
    <t>sp|Q9D0G0|RT30_MOUSE</t>
  </si>
  <si>
    <t>28S ribosomal protein S30, mitochondrial (MRP-S30; S30mt)</t>
  </si>
  <si>
    <t>RT30_MOUSE</t>
  </si>
  <si>
    <t>Q9D0G0</t>
  </si>
  <si>
    <t>B2KF79; Q3U9U4; Q9CYS8; Q9JJQ2</t>
  </si>
  <si>
    <t>MGI:1926237</t>
  </si>
  <si>
    <t>sp|Q9DB94|WDR53_MOUSE</t>
  </si>
  <si>
    <t>WD repeat-containing protein 53</t>
  </si>
  <si>
    <t>WDR53_MOUSE</t>
  </si>
  <si>
    <t>Q9DB94</t>
  </si>
  <si>
    <t>MGI:1916230</t>
  </si>
  <si>
    <t>tr|Q9DAY6|Q9DAY6_MOUSE</t>
  </si>
  <si>
    <t>sp|Q4PZA2|ECE1_MOUSE</t>
  </si>
  <si>
    <t>Endothelin-converting enzyme 1 (ECE-1)</t>
  </si>
  <si>
    <t>ECE1_MOUSE</t>
  </si>
  <si>
    <t>Q4PZA2</t>
  </si>
  <si>
    <t>B1AXF9; Q4PZ99; Q4PZA1; Q6P9Q9</t>
  </si>
  <si>
    <t>MGI:1101357</t>
  </si>
  <si>
    <t>Alternative splicing; Cell membrane; Disulfide bond; Glycoprotein; Hydrolase; Membrane; Metal-binding; Metalloprotease; Phosphoprotein; Protease; Signal-anchor; Transmembrane; Transmembrane helix; Zinc</t>
  </si>
  <si>
    <t>apoptotic process {GO:0006915}; axonogenesis involved in innervation {GO:0060385}; blood vessel diameter maintenance {GO:0097746}; bradykinin catabolic process {GO:0010815}; calcitonin catabolic process {GO:0010816}; ear development {GO:0043583}; embryonic digit morphogenesis {GO:0042733}; embryonic heart tube development {GO:0035050}; endothelin maturation {GO:0034959}; gene expression {GO:0010467}; heart development {GO:0007507}; hormone catabolic process {GO:0042447}; neuron projection development {GO:0031175}; peptide hormone processing {GO:0016486}; pharyngeal system development {GO:0060037}; positive regulation of cAMP-mediated signaling {GO:0043950}; positive regulation of cardiac muscle hypertrophy {GO:0010613}; positive regulation of G protein-coupled receptor signaling pathway {GO:0045745}; positive regulation of receptor recycling {GO:0001921}; protein processing {GO:0016485}; regulation of blood pressure {GO:0008217}; regulation of ERK1 and ERK2 cascade {GO:0070372}; response to hypoxia {GO:0001666}; semaphorin-plexin signaling pathway involved in axon guidance {GO:1902287}; substance P catabolic process {GO:0010814}; sympathetic neuron axon guidance {GO:0097492}</t>
  </si>
  <si>
    <t>cell surface {GO:0009986}; cytoplasmic vesicle {GO:0031410}; early endosome {GO:0005769}; endosome {GO:0005768}; external side of plasma membrane {GO:0009897}; Golgi apparatus {GO:0005794}; integral component of membrane {GO:0016021}; membrane {GO:0016020}; perinuclear region of cytoplasm {GO:0048471}; plasma membrane {GO:0005886}; secretory granule {GO:0030141}; vesicle {GO:0031982}; Weibel-Palade body {GO:0033093}</t>
  </si>
  <si>
    <t>endopeptidase activity {GO:0004175}; identical protein binding {GO:0042802}; metalloendopeptidase activity {GO:0004222}; protein homodimerization activity {GO:0042803}; zinc ion binding {GO:0008270}</t>
  </si>
  <si>
    <t>sp|Q8CHU3|EPN2_MOUSE</t>
  </si>
  <si>
    <t>Epsin-2</t>
  </si>
  <si>
    <t>EPS-15-interacting protein 2; Intersectin-EH-binding protein 2 (Ibp2)</t>
  </si>
  <si>
    <t>EPN2_MOUSE</t>
  </si>
  <si>
    <t>Q8CHU3</t>
  </si>
  <si>
    <t>O70447; Q5NCM4; Q8BZ85</t>
  </si>
  <si>
    <t>MGI:1333766</t>
  </si>
  <si>
    <t>Alternative splicing; Cytoplasm; Endocytosis; Lipid-binding; Methylation; Phosphoprotein; Repeat; Ubl conjugation</t>
  </si>
  <si>
    <t>embryonic organ development {GO:0048568}; endocytosis {GO:0006897}; in utero embryonic development {GO:0001701}; negative regulation of sprouting angiogenesis {GO:1903671}; negative regulation of vascular endothelial growth factor receptor signaling pathway {GO:0030948}; Notch signaling pathway {GO:0007219}; positive regulation of Notch signaling pathway {GO:0045747}; regulation of endocytosis {GO:0030100}</t>
  </si>
  <si>
    <t>clathrin coat of endocytic vesicle {GO:0030128}; clathrin vesicle coat {GO:0030125}; endosome {GO:0005768}; intracellular membrane-bounded organelle {GO:0043231}; plasma membrane {GO:0005886}</t>
  </si>
  <si>
    <t>sp|Q8VE04|MOB3B_MOUSE</t>
  </si>
  <si>
    <t>MOB kinase activator 3B</t>
  </si>
  <si>
    <t>Mob1 homolog 2b; Mps one binder kinase activator-like 2B</t>
  </si>
  <si>
    <t>MOB3B_MOUSE</t>
  </si>
  <si>
    <t>Q8VE04</t>
  </si>
  <si>
    <t>Q3U2L2; Q8BU65</t>
  </si>
  <si>
    <t>Mobkl2b</t>
  </si>
  <si>
    <t>MGI:2664539</t>
  </si>
  <si>
    <t>positive regulation of protein phosphorylation {GO:0001934}; regulation of hippo signaling {GO:0035330}; signal transduction {GO:0007165}</t>
  </si>
  <si>
    <t>sp|Q80XK6|ATG2B_MOUSE</t>
  </si>
  <si>
    <t>Autophagy-related protein 2 homolog B</t>
  </si>
  <si>
    <t>ATG2B_MOUSE</t>
  </si>
  <si>
    <t>Q80XK6</t>
  </si>
  <si>
    <t>A0PJL7; Q8BIQ4; Q8BIV0; Q8R1H5; Q9CWK6</t>
  </si>
  <si>
    <t>MGI:1923809</t>
  </si>
  <si>
    <t>Alternative splicing; Autophagy; Endoplasmic reticulum; Lipid droplet; Lipid transport; Membrane; Phosphoprotein; Transport</t>
  </si>
  <si>
    <t>Autophagy; Lipid transport; Transport</t>
  </si>
  <si>
    <t>autophagosome assembly {GO:0000045}; autophagy of mitochondrion {GO:0000422}; late nucleophagy {GO:0044805}; piecemeal microautophagy of the nucleus {GO:0034727}; reticulophagy {GO:0061709}</t>
  </si>
  <si>
    <t>endoplasmic reticulum membrane {GO:0005789}; extrinsic component of membrane {GO:0019898}; lipid droplet {GO:0005811}; phagophore assembly site {GO:0000407}; phagophore assembly site membrane {GO:0034045}</t>
  </si>
  <si>
    <t>lipid transfer activity {GO:0120013}; phosphatidylinositol-3-phosphate binding {GO:0032266}</t>
  </si>
  <si>
    <t>sp|P70279|SURF6_MOUSE</t>
  </si>
  <si>
    <t>Surfeit locus protein 6</t>
  </si>
  <si>
    <t>SURF6_MOUSE</t>
  </si>
  <si>
    <t>P70279</t>
  </si>
  <si>
    <t>Q8BPI4; Q8BRL7; Q8R0Q7</t>
  </si>
  <si>
    <t>Surf-6</t>
  </si>
  <si>
    <t>MGI:98447</t>
  </si>
  <si>
    <t>Citrullination; DNA-binding; Nucleus; Phosphoprotein; RNA-binding</t>
  </si>
  <si>
    <t>Citrullination; Phosphoprotein</t>
  </si>
  <si>
    <t>ribosomal large subunit biogenesis {GO:0042273}; ribosomal small subunit biogenesis {GO:0042274}; ribosome assembly {GO:0042255}; ribosome biogenesis {GO:0042254}</t>
  </si>
  <si>
    <t>chromosome {GO:0005694}; granular component {GO:0001652}; nucleolus {GO:0005730}; nucleoplasm {GO:0005654}</t>
  </si>
  <si>
    <t>sp|Q99MD6|TRXR3_MOUSE</t>
  </si>
  <si>
    <t>Thioredoxin reductase 3</t>
  </si>
  <si>
    <t>Thioredoxin and glutathione reductase; Thioredoxin reductase TR2</t>
  </si>
  <si>
    <t>TRXR3_MOUSE</t>
  </si>
  <si>
    <t>Q99MD6</t>
  </si>
  <si>
    <t>Q9CZE5</t>
  </si>
  <si>
    <t>MGI:2386711</t>
  </si>
  <si>
    <t>3D-structure; Cytoplasm; Developmental protein; Differentiation; Disulfide bond; Electron transport; Endoplasmic reticulum; FAD; Flavoprotein; Methylation; Microsome; NADP; Nucleus; Oxidoreductase; Phosphoprotein; Redox-active center; Selenocysteine; Spermatogenesis; Transport</t>
  </si>
  <si>
    <t>Differentiation; Electron transport; Spermatogenesis; Transport</t>
  </si>
  <si>
    <t>Cytoplasm; Endoplasmic reticulum; Microsome; Nucleus</t>
  </si>
  <si>
    <t>Disulfide bond; Methylation; Phosphoprotein</t>
  </si>
  <si>
    <t>blastocyst formation {GO:0001825}; cell differentiation {GO:0030154}; cell redox homeostasis {GO:0045454}; glutathione metabolic process {GO:0006749}; spermatogenesis {GO:0007283}</t>
  </si>
  <si>
    <t>flavin adenine dinucleotide binding {GO:0050660}; glutathione oxidoreductase activity {GO:0097573}; thioredoxin-disulfide reductase activity {GO:0004791}</t>
  </si>
  <si>
    <t>sp|Q9CYL5|GAPR1_MOUSE</t>
  </si>
  <si>
    <t>Golgi-associated plant pathogenesis-related protein 1 (GAPR-1; Golgi-associated PR-1 protein)</t>
  </si>
  <si>
    <t>Glioma pathogenesis-related protein 2 (GliPR 2)</t>
  </si>
  <si>
    <t>GAPR1_MOUSE</t>
  </si>
  <si>
    <t>Q9CYL5</t>
  </si>
  <si>
    <t>Q3TJ42; Q8BTK4</t>
  </si>
  <si>
    <t>Gapr1</t>
  </si>
  <si>
    <t>MGI:1917770</t>
  </si>
  <si>
    <t>Coiled coil; Golgi apparatus; Lipoprotein; Membrane; Myristate</t>
  </si>
  <si>
    <t>positive regulation of epithelial cell migration {GO:0010634}; positive regulation of epithelial to mesenchymal transition {GO:0010718}; positive regulation of ERK1 and ERK2 cascade {GO:0070374}</t>
  </si>
  <si>
    <t>extracellular space {GO:0005615}; Golgi membrane {GO:0000139}</t>
  </si>
  <si>
    <t>sp|P09470|ACE_MOUSE</t>
  </si>
  <si>
    <t>Angiotensin-converting enzyme, soluble form</t>
  </si>
  <si>
    <t>Dipeptidyl carboxypeptidase I; Kininase II; CD_antigen=CD143</t>
  </si>
  <si>
    <t>ACE_MOUSE</t>
  </si>
  <si>
    <t>P09470</t>
  </si>
  <si>
    <t>P22967; Q6GTS2</t>
  </si>
  <si>
    <t>MGI:87874</t>
  </si>
  <si>
    <t>Alternative promoter usage; Calmodulin-binding; Carboxypeptidase; Cell membrane; Cytoplasm; Disulfide bond; Glycoprotein; Hydrolase; Membrane; Metal-binding; Metalloprotease; Phosphoprotein; Protease; Repeat; Secreted; Signal; Transmembrane; Transmembrane helix; Zinc</t>
  </si>
  <si>
    <t>Calmodulin-binding; Carboxypeptidase; Hydrolase; Metalloprotease; Protease</t>
  </si>
  <si>
    <t>aging {GO:0007568}; amyloid-beta metabolic process {GO:0050435}; angiogenesis involved in coronary vascular morphogenesis {GO:0060978}; angiotensin maturation {GO:0002003}; animal organ regeneration {GO:0031100}; arachidonic acid secretion {GO:0050482}; bradykinin catabolic process {GO:0010815}; brain development {GO:0007420}; cell proliferation in bone marrow {GO:0071838}; cellular response to aldosterone {GO:1904045}; cellular response to glucose stimulus {GO:0071333}; eating behavior {GO:0042755}; embryo development ending in birth or egg hatching {GO:0009792}; female pregnancy {GO:0007565}; heart contraction {GO:0060047}; hormone catabolic process {GO:0042447}; hormone metabolic process {GO:0042445}; kidney development {GO:0001822}; lung alveolus development {GO:0048286}; male gonad development {GO:0008584}; negative regulation of calcium ion import {GO:0090281}; negative regulation of gap junction assembly {GO:1903597}; negative regulation of gene expression {GO:0010629}; negative regulation of glucose import {GO:0046325}; negative regulation of protein binding {GO:0032091}; negative regulation of renal sodium excretion {GO:0035814}; neutrophil mediated immunity {GO:0002446}; peptide catabolic process {GO:0043171}; peptide metabolic process {GO:0006518}; positive regulation of apoptotic process {GO:0043065}; positive regulation of blood pressure {GO:0045777}; positive regulation of inflammatory response {GO:0050729}; positive regulation of neurogenesis {GO:0050769}; positive regulation of peptidyl-cysteine S-nitrosylation {GO:2000170}; positive regulation of peptidyl-tyrosine autophosphorylation {GO:1900086}; positive regulation of protein binding {GO:0032092}; positive regulation of protein tyrosine kinase activity {GO:0061098}; positive regulation of systemic arterial blood pressure {GO:0003084}; positive regulation of vasoconstriction {GO:0045907}; post-transcriptional regulation of gene expression {GO:0010608}; regulation of angiotensin metabolic process {GO:0060177}; regulation of blood pressure {GO:0008217}; regulation of hematopoietic stem cell proliferation {GO:1902033}; regulation of smooth muscle cell migration {GO:0014910}; regulation of synaptic plasticity {GO:0048167}; regulation of systemic arterial blood pressure by renin-angiotensin {GO:0003081}; response to dexamethasone {GO:0071548}; response to hypoxia {GO:0001666}; response to laminar fluid shear stress {GO:0034616}; response to lipopolysaccharide {GO:0032496}; response to nutrient levels {GO:0031667}; response to thyroid hormone {GO:0097066}; response to xenobiotic stimulus {GO:0009410}; sensory perception of pain {GO:0019233}; spermatogenesis {GO:0007283}; substance P catabolic process {GO:0010814}; vasoconstriction {GO:0042310}</t>
  </si>
  <si>
    <t>basal plasma membrane {GO:0009925}; brush border membrane {GO:0031526}; cytoplasm {GO:0005737}; endosome {GO:0005768}; external side of plasma membrane {GO:0009897}; extracellular exosome {GO:0070062}; extracellular space {GO:0005615}; integral component of plasma membrane {GO:0005887}; lysosome {GO:0005764}; plasma membrane {GO:0005886}; sperm midpiece {GO:0097225}; vesicle {GO:0031982}</t>
  </si>
  <si>
    <t>actin binding {GO:0003779}; bradykinin receptor binding {GO:0031711}; carboxypeptidase activity {GO:0004180}; chloride ion binding {GO:0031404}; endopeptidase activity {GO:0004175}; exopeptidase activity {GO:0008238}; heterocyclic compound binding {GO:1901363}; metallodipeptidase activity {GO:0070573}; metalloendopeptidase activity {GO:0004222}; metallopeptidase activity {GO:0008237}; mitogen-activated protein kinase binding {GO:0051019}; mitogen-activated protein kinase kinase binding {GO:0031434}; peptidase activity {GO:0008233}; peptidyl-dipeptidase activity {GO:0008241}; tripeptidyl-peptidase activity {GO:0008240}; zinc ion binding {GO:0008270}</t>
  </si>
  <si>
    <t>Metabolism of Angiotensinogen to Angiotensins {R-MMU-2022377}</t>
  </si>
  <si>
    <t>sp|Q9R087|GPC6_MOUSE</t>
  </si>
  <si>
    <t>Secreted glypican-6</t>
  </si>
  <si>
    <t>GPC6_MOUSE</t>
  </si>
  <si>
    <t>Q9R087</t>
  </si>
  <si>
    <t>MGI:1346322</t>
  </si>
  <si>
    <t>Cell membrane; Glycoprotein; GPI-anchor; Heparan sulfate; Lipoprotein; Membrane; Proteoglycan; Secreted; Signal</t>
  </si>
  <si>
    <t>GPI-anchor; Glycoprotein; Heparan sulfate; Lipoprotein; Proteoglycan</t>
  </si>
  <si>
    <t>cell migration {GO:0016477}; regulation of neurotransmitter receptor localization to postsynaptic specialization membrane {GO:0098696}; regulation of presynapse assembly {GO:1905606}; regulation of protein localization to membrane {GO:1905475}; regulation of signal transduction {GO:0009966}; synaptic membrane adhesion {GO:0099560}</t>
  </si>
  <si>
    <t>anchored component of plasma membrane {GO:0046658}; cell surface {GO:0009986}; collagen-containing extracellular matrix {GO:0062023}; extracellular space {GO:0005615}; glutamatergic synapse {GO:0098978}; Golgi lumen {GO:0005796}; integral component of plasma membrane {GO:0005887}; synapse {GO:0045202}</t>
  </si>
  <si>
    <t>A tetrasaccharide linker sequence is required for GAG synthesis {R-MMU-1971475}; HS-GAG biosynthesis {R-MMU-2022928}; HS-GAG degradation {R-MMU-2024096}; Retinoid metabolism and transport {R-MMU-975634}</t>
  </si>
  <si>
    <t>sp|Q8CGU1|CACO1_MOUSE</t>
  </si>
  <si>
    <t>Calcium-binding and coiled-coil domain-containing protein 1</t>
  </si>
  <si>
    <t>Coiled-coil coactivator protein</t>
  </si>
  <si>
    <t>CACO1_MOUSE</t>
  </si>
  <si>
    <t>Q8CGU1</t>
  </si>
  <si>
    <t>Q5DTX0; Q9D935</t>
  </si>
  <si>
    <t>CocoA; Kiaa1536</t>
  </si>
  <si>
    <t>MGI:1914738</t>
  </si>
  <si>
    <t>Activator; Coiled coil; Cytoplasm; Metal-binding; Nucleus; Phosphoprotein; Transcription; Transcription regulation; Wnt signaling pathway; Zinc; Zinc-finger</t>
  </si>
  <si>
    <t>intracellular steroid hormone receptor signaling pathway {GO:0030518}; positive regulation of DNA-templated transcription {GO:0045893}; positive regulation of gene expression {GO:0010628}; positive regulation of transcription by RNA polymerase II {GO:0045944}; signal transduction {GO:0007165}; Wnt signaling pathway {GO:0016055}</t>
  </si>
  <si>
    <t>chromatin {GO:0000785}; cytosol {GO:0005829}; intracellular membrane-bounded organelle {GO:0043231}; nucleus {GO:0005634}</t>
  </si>
  <si>
    <t>armadillo repeat domain binding {GO:0070016}; beta-catenin binding {GO:0008013}; chromatin binding {GO:0003682}; metal ion binding {GO:0046872}; nuclear receptor coactivator activity {GO:0030374}; protein C-terminus binding {GO:0008022}; RNA polymerase II cis-regulatory region sequence-specific DNA binding {GO:0000978}; sequence-specific DNA binding {GO:0043565}; transcription cis-regulatory region binding {GO:0000976}; transcription coactivator activity {GO:0003713}; transcription coregulator activity {GO:0003712}</t>
  </si>
  <si>
    <t>sp|Q9CZT6|CMS1_MOUSE</t>
  </si>
  <si>
    <t>Protein CMSS1</t>
  </si>
  <si>
    <t>Cms1 ribosomal small subunit homolog</t>
  </si>
  <si>
    <t>CMS1_MOUSE</t>
  </si>
  <si>
    <t>Q9CZT6</t>
  </si>
  <si>
    <t>Q9CY77</t>
  </si>
  <si>
    <t>MGI:1913747</t>
  </si>
  <si>
    <t>sp|Q8CEE7|RDH13_MOUSE</t>
  </si>
  <si>
    <t>Retinol dehydrogenase 13</t>
  </si>
  <si>
    <t>RDH13_MOUSE</t>
  </si>
  <si>
    <t>Q8CEE7</t>
  </si>
  <si>
    <t>Q8CC07</t>
  </si>
  <si>
    <t>MGI:1918732</t>
  </si>
  <si>
    <t>Acetylation; Lipid metabolism; Membrane; Mitochondrion; Mitochondrion inner membrane; NADP; Oxidoreductase</t>
  </si>
  <si>
    <t>eye photoreceptor cell development {GO:0042462}; response to high light intensity {GO:0009644}; retina layer formation {GO:0010842}; retinal metabolic process {GO:0042574}</t>
  </si>
  <si>
    <t>NADP-retinol dehydrogenase activity {GO:0052650}</t>
  </si>
  <si>
    <t>sp|Q5U4C3|SFR19_MOUSE</t>
  </si>
  <si>
    <t>Splicing factor, arginine/serine-rich 19</t>
  </si>
  <si>
    <t>SR-related and CTD-associated factor 1</t>
  </si>
  <si>
    <t>SFR19_MOUSE</t>
  </si>
  <si>
    <t>Q5U4C3</t>
  </si>
  <si>
    <t>Q3UR01</t>
  </si>
  <si>
    <t>Sfrs19</t>
  </si>
  <si>
    <t>MGI:2141980</t>
  </si>
  <si>
    <t>Alternative splicing; Isopeptide bond; mRNA processing; mRNA splicing; Nucleus; Phosphoprotein; Repeat; RNA-binding; Ubl conjugation</t>
  </si>
  <si>
    <t>mRNA processing {GO:0006397}; RNA splicing {GO:0008380}; transcription by RNA polymerase II {GO:0006366}</t>
  </si>
  <si>
    <t>protein domain specific binding {GO:0019904}; RNA binding {GO:0003723}; RNA polymerase II C-terminal domain binding {GO:0099122}</t>
  </si>
  <si>
    <t>sp|P59279|RAB2B_MOUSE</t>
  </si>
  <si>
    <t>Ras-related protein Rab-2B</t>
  </si>
  <si>
    <t>RAB2B_MOUSE</t>
  </si>
  <si>
    <t>P59279</t>
  </si>
  <si>
    <t>Q3TV67</t>
  </si>
  <si>
    <t>MGI:1923588</t>
  </si>
  <si>
    <t>Cell membrane; Cytoplasmic vesicle; Endoplasmic reticulum; ER-Golgi transport; Golgi apparatus; GTP-binding; Hydrolase; Lipoprotein; Membrane; Nucleotide-binding; Prenylation; Protein transport; Transport</t>
  </si>
  <si>
    <t>Lipoprotein; Prenylation</t>
  </si>
  <si>
    <t>defense response to virus {GO:0051607}; Golgi organization {GO:0007030}; innate immune response {GO:0045087}; positive regulation of exocytosis {GO:0045921}; positive regulation of type I interferon production {GO:0032481}; protein transport {GO:0015031}; vesicle-mediated transport {GO:0016192}</t>
  </si>
  <si>
    <t>acrosomal vesicle {GO:0001669}; endoplasmic reticulum membrane {GO:0005789}; Golgi apparatus {GO:0005794}; Golgi membrane {GO:0000139}; plasma membrane {GO:0005886}; presynapse {GO:0098793}</t>
  </si>
  <si>
    <t>sp|Q99KH8|STK24_MOUSE</t>
  </si>
  <si>
    <t>Serine/threonine-protein kinase 24 12 kDa subunit</t>
  </si>
  <si>
    <t>Mammalian STE20-like protein kinase 3 (MST-3); STE20-like kinase MST3; Mammalian STE20-like protein kinase 3 N-terminal (MST3/N); Mammalian STE20-like protein kinase 3 C-terminal (MST3/C)</t>
  </si>
  <si>
    <t>STK24_MOUSE</t>
  </si>
  <si>
    <t>Q99KH8</t>
  </si>
  <si>
    <t>Mst3; Stk3</t>
  </si>
  <si>
    <t>MGI:2385007</t>
  </si>
  <si>
    <t>Acetylation; Apoptosis; ATP-binding; Cytoplasm; Kinase; Magnesium; Membrane; Metal-binding; Nucleotide-binding; Nucleus; Phosphoprotein; Serine/threonine-protein kinase; Transferase</t>
  </si>
  <si>
    <t>cellular response to starvation {GO:0009267}; execution phase of apoptosis {GO:0097194}; intrinsic apoptotic signaling pathway in response to oxidative stress {GO:0008631}; negative regulation of cell migration {GO:0030336}; positive regulation of axon regeneration {GO:0048680}; protein autophosphorylation {GO:0046777}; protein phosphorylation {GO:0006468}; regulation of axon regeneration {GO:0048679}; response to hydrogen peroxide {GO:0042542}</t>
  </si>
  <si>
    <t>cytoplasm {GO:0005737}; cytosol {GO:0005829}; Golgi apparatus {GO:0005794}; Golgi membrane {GO:0000139}; nucleolus {GO:0005730}; nucleus {GO:0005634}</t>
  </si>
  <si>
    <t>Apoptotic cleavage of cellular proteins {R-MMU-111465}; Apoptotic execution phase {R-MMU-75153}</t>
  </si>
  <si>
    <t>sp|Q5XKN4|JAGN1_MOUSE</t>
  </si>
  <si>
    <t>Protein jagunal homolog 1</t>
  </si>
  <si>
    <t>JAGN1_MOUSE</t>
  </si>
  <si>
    <t>Q5XKN4</t>
  </si>
  <si>
    <t>Q9CQ67; Q9CX52</t>
  </si>
  <si>
    <t>MGI:1915017</t>
  </si>
  <si>
    <t>Endoplasmic reticulum; Immunity; Membrane; Phosphoprotein; Protein transport; Transmembrane; Transmembrane helix; Transport</t>
  </si>
  <si>
    <t>Immunity; Protein transport; Transport</t>
  </si>
  <si>
    <t>cellular response to tunicamycin {GO:1904577}; defense response to fungus {GO:0050832}; endoplasmic reticulum organization {GO:0007029}; granulocyte colony-stimulating factor signaling pathway {GO:0038158}; negative regulation of insulin secretion involved in cellular response to glucose stimulus {GO:0061179}; neutrophil mediated immunity {GO:0002446}; neutrophil migration {GO:1990266}; protein transport {GO:0015031}; vesicle-mediated transport {GO:0016192}</t>
  </si>
  <si>
    <t>sp|O89053|COR1A_MOUSE</t>
  </si>
  <si>
    <t>Coronin-1A</t>
  </si>
  <si>
    <t>Coronin-like protein A (Clipin-A); Coronin-like protein p57; Tryptophan aspartate-containing coat protein (TACO)</t>
  </si>
  <si>
    <t>COR1A_MOUSE</t>
  </si>
  <si>
    <t>O89053</t>
  </si>
  <si>
    <t>Q7TMU0; Q9R1Y8; Q9R288</t>
  </si>
  <si>
    <t>Coro1</t>
  </si>
  <si>
    <t>MGI:1345961</t>
  </si>
  <si>
    <t>3D-structure; Acetylation; Actin-binding; Coiled coil; Cytoplasm; Cytoplasmic vesicle; Cytoskeleton; Membrane; Phosphoprotein; Repeat; Ubl conjugation; WD repeat</t>
  </si>
  <si>
    <t>Cytoplasm; Cytoplasmic vesicle; Cytoskeleton; Membrane</t>
  </si>
  <si>
    <t>actin cytoskeleton organization {GO:0030036}; actin filament organization {GO:0007015}; calcium ion transport {GO:0006816}; cell migration {GO:0016477}; cell-substrate adhesion {GO:0031589}; cellular response to interleukin-4 {GO:0071353}; early endosome to recycling endosome transport {GO:0061502}; epithelial cell migration {GO:0010631}; establishment of localization in cell {GO:0051649}; homeostasis of number of cells within a tissue {GO:0048873}; leukocyte chemotaxis {GO:0030595}; natural killer cell degranulation {GO:0043320}; negative regulation of actin nucleation {GO:0051126}; negative regulation of neuron apoptotic process {GO:0043524}; negative regulation of vesicle fusion {GO:0031339}; nerve growth factor signaling pathway {GO:0038180}; neuron apoptotic process {GO:0051402}; phagocytosis {GO:0006909}; phagolysosome assembly {GO:0001845}; positive chemotaxis {GO:0050918}; positive regulation of T cell activation {GO:0050870}; positive regulation of T cell migration {GO:2000406}; positive regulation of T cell proliferation {GO:0042102}; regulation of actin cytoskeleton organization {GO:0032956}; regulation of actin filament polymerization {GO:0030833}; regulation of actin polymerization or depolymerization {GO:0008064}; regulation of cell shape {GO:0008360}; regulation of release of sequestered calcium ion into cytosol {GO:0051279}; response to cytokine {GO:0034097}; T cell activation {GO:0042110}; T cell homeostasis {GO:0043029}; T cell migration {GO:0072678}; T cell proliferation {GO:0042098}; thymocyte migration {GO:0072679}; uropod organization {GO:0032796}; vesicle fusion {GO:0006906}</t>
  </si>
  <si>
    <t>actin cytoskeleton {GO:0015629}; actin filament {GO:0005884}; axon {GO:0030424}; cell leading edge {GO:0031252}; cell-cell junction {GO:0005911}; cortical actin cytoskeleton {GO:0030864}; cytoplasm {GO:0005737}; cytosol {GO:0005829}; early endosome {GO:0005769}; glutamatergic synapse {GO:0098978}; immunological synapse {GO:0001772}; lamellipodium {GO:0030027}; phagocytic cup {GO:0001891}; phagocytic vesicle {GO:0045335}; phagocytic vesicle membrane {GO:0030670}; plasma membrane {GO:0005886}; protein-containing complex {GO:0032991}; stereocilium tip {GO:0032426}; synapse {GO:0045202}</t>
  </si>
  <si>
    <t>actin binding {GO:0003779}; actin filament binding {GO:0051015}; actin monomer binding {GO:0003785}; cytoskeletal protein binding {GO:0008092}; identical protein binding {GO:0042802}; myosin heavy chain binding {GO:0032036}; phosphatidylinositol 3-kinase binding {GO:0043548}; protein C-terminus binding {GO:0008022}; protein homodimerization activity {GO:0042803}</t>
  </si>
  <si>
    <t>sp|P63147|UBE2B_MOUSE</t>
  </si>
  <si>
    <t>Ubiquitin-conjugating enzyme E2 B</t>
  </si>
  <si>
    <t>E2 ubiquitin-conjugating enzyme B; E214K; RAD6 homolog B (HR6B; mHR6B); Ubiquitin carrier protein B; Ubiquitin-protein ligase B</t>
  </si>
  <si>
    <t>UBE2B_MOUSE</t>
  </si>
  <si>
    <t>P63147</t>
  </si>
  <si>
    <t>P23567; Q3UGS2; Q9D0J6</t>
  </si>
  <si>
    <t>Rad6b</t>
  </si>
  <si>
    <t>MGI:102944</t>
  </si>
  <si>
    <t>ATP-binding; Cell membrane; DNA damage; DNA repair; Membrane; Nucleotide-binding; Nucleus; Transferase; Ubl conjugation pathway</t>
  </si>
  <si>
    <t>apoptotic process {GO:0006915}; cellular response to DNA damage stimulus {GO:0006974}; chiasma assembly {GO:0051026}; DNA repair {GO:0006281}; ectopic germ cell programmed cell death {GO:0035234}; histone H2A ubiquitination {GO:0033522}; histone lysine demethylation {GO:0070076}; histone ubiquitination {GO:0016574}; in utero embryonic development {GO:0001701}; meiotic telomere clustering {GO:0045141}; negative regulation of apoptotic process {GO:0043066}; negative regulation of cAMP-mediated signaling {GO:0043951}; negative regulation of developmental process {GO:0051093}; negative regulation of post-translational protein modification {GO:1901874}; negative regulation of reproductive process {GO:2000242}; positive regulation of canonical Wnt signaling pathway {GO:0090263}; positive regulation of reciprocal meiotic recombination {GO:0010845}; postreplication repair {GO:0006301}; proteasome-mediated ubiquitin-dependent protein catabolic process {GO:0043161}; protein autoubiquitination {GO:0051865}; protein K11-linked ubiquitination {GO:0070979}; protein K48-linked ubiquitination {GO:0070936}; protein K63-linked ubiquitination {GO:0070534}; protein monoubiquitination {GO:0006513}; protein polyubiquitination {GO:0000209}; protein stabilization {GO:0050821}; protein ubiquitination {GO:0016567}; regulation of histone modification {GO:0031056}; response to UV {GO:0009411}; response to xenobiotic stimulus {GO:0009410}; sperm axoneme assembly {GO:0007288}; spermatogenesis {GO:0007283}; synaptonemal complex organization {GO:0070193}; ubiquitin-dependent protein catabolic process {GO:0006511}</t>
  </si>
  <si>
    <t>chromatin {GO:0000785}; cytoplasm {GO:0005737}; HULC complex {GO:0033503}; nucleus {GO:0005634}; plasma membrane {GO:0005886}; replication fork {GO:0005657}; XY body {GO:0001741}</t>
  </si>
  <si>
    <t>Recognition of DNA damage by PCNA-containing replication complex {R-MMU-110314}; Synthesis of active ubiquitin: roles of E1 and E2 enzymes {R-MMU-8866652}; E3 ubiquitin ligases ubiquitinate target proteins {R-MMU-8866654}; Antigen processing: Ubiquitination &amp; Proteasome degradation {R-MMU-983168}</t>
  </si>
  <si>
    <t>sp|Q5SW19|CLU_MOUSE</t>
  </si>
  <si>
    <t>Clustered mitochondria protein homolog</t>
  </si>
  <si>
    <t>CLU_MOUSE</t>
  </si>
  <si>
    <t>Q5SW19</t>
  </si>
  <si>
    <t>A8Y5E2; Q3U014; Q3U4M5; Q3V3Q8; Q505Q6; Q6GQX1; Q6PAT1; Q8CHD9</t>
  </si>
  <si>
    <t>Kiaa0664</t>
  </si>
  <si>
    <t>MGI:1921398</t>
  </si>
  <si>
    <t>Alternative splicing; Cytoplasm; Phosphoprotein; Repeat; TPR repeat</t>
  </si>
  <si>
    <t>intracellular distribution of mitochondria {GO:0048312}; mitochondrion organization {GO:0007005}</t>
  </si>
  <si>
    <t>sp|Q80U35|ARHGH_MOUSE</t>
  </si>
  <si>
    <t>Rho guanine nucleotide exchange factor 17</t>
  </si>
  <si>
    <t>ARHGH_MOUSE</t>
  </si>
  <si>
    <t>Q80U35</t>
  </si>
  <si>
    <t>Q8BZY4</t>
  </si>
  <si>
    <t>Kiaa0337</t>
  </si>
  <si>
    <t>MGI:2673002</t>
  </si>
  <si>
    <t>Alternative splicing; Guanine-nucleotide releasing factor; Phosphoprotein</t>
  </si>
  <si>
    <t>NRAGE signals death through JNK {R-MMU-193648}; G alpha (12/13) signalling events {R-MMU-416482}; RHOA GTPase cycle {R-MMU-8980692}; RHOB GTPase cycle {R-MMU-9013026}; RHOC GTPase cycle {R-MMU-9013106}</t>
  </si>
  <si>
    <t>sp|Q3UNZ8|QORL2_MOUSE</t>
  </si>
  <si>
    <t>Quinone oxidoreductase-like protein 2</t>
  </si>
  <si>
    <t>Zeta-crystallin homolog 2</t>
  </si>
  <si>
    <t>QORL2_MOUSE</t>
  </si>
  <si>
    <t>Q3UNZ8</t>
  </si>
  <si>
    <t>Q3UAM2</t>
  </si>
  <si>
    <t>MGI:2448516</t>
  </si>
  <si>
    <t>Acetylation; Alternative splicing; Oxidoreductase</t>
  </si>
  <si>
    <t>oxidoreductase activity {GO:0016491}; oxidoreductase activity, acting on the CH-OH group of donors, NAD or NADP as acceptor {GO:0016616}</t>
  </si>
  <si>
    <t>sp|P09813|APOA2_MOUSE</t>
  </si>
  <si>
    <t>Proapolipoprotein A-II</t>
  </si>
  <si>
    <t>Apolipoprotein A2 (ProapoA-II)</t>
  </si>
  <si>
    <t>APOA2_MOUSE</t>
  </si>
  <si>
    <t>P09813</t>
  </si>
  <si>
    <t>Q3UKX6; Q61317</t>
  </si>
  <si>
    <t>MGI:88050</t>
  </si>
  <si>
    <t>Amyloid; Cleavage on pair of basic residues; Disease variant; HDL; Lipid transport; Oxidation; Secreted; Signal; Transport</t>
  </si>
  <si>
    <t>Amyloid; HDL; Secreted</t>
  </si>
  <si>
    <t>Cleavage on pair of basic residues; Oxidation</t>
  </si>
  <si>
    <t>animal organ regeneration {GO:0031100}; cholesterol efflux {GO:0033344}; cholesterol homeostasis {GO:0042632}; cholesterol metabolic process {GO:0008203}; cholesterol transport {GO:0030301}; diacylglycerol catabolic process {GO:0046340}; high-density lipoprotein particle assembly {GO:0034380}; high-density lipoprotein particle clearance {GO:0034384}; high-density lipoprotein particle remodeling {GO:0034375}; lipid transport {GO:0006869}; lipoprotein metabolic process {GO:0042157}; low-density lipoprotein particle remodeling {GO:0034374}; negative regulation of cholesterol import {GO:0060621}; negative regulation of cholesterol transport {GO:0032375}; negative regulation of cholesterol transporter activity {GO:0060695}; negative regulation of cytokine production involved in immune response {GO:0002719}; negative regulation of lipase activity {GO:0060192}; negative regulation of lipid catabolic process {GO:0050995}; negative regulation of very-low-density lipoprotein particle remodeling {GO:0010903}; peptidyl-methionine modification {GO:0018206}; phosphatidylcholine biosynthetic process {GO:0006656}; phospholipid catabolic process {GO:0009395}; phospholipid efflux {GO:0033700}; positive regulation of CoA-transferase activity {GO:1905920}; positive regulation of interleukin-8 production {GO:0032757}; positive regulation of lipid catabolic process {GO:0050996}; positive regulation of phagocytosis {GO:0050766}; protein oxidation {GO:0018158}; protein stabilization {GO:0050821}; regulation of intestinal cholesterol absorption {GO:0030300}; regulation of protein stability {GO:0031647}; response to glucose {GO:0009749}; reverse cholesterol transport {GO:0043691}; triglyceride-rich lipoprotein particle remodeling {GO:0034370}</t>
  </si>
  <si>
    <t>chylomicron {GO:0042627}; cytosol {GO:0005829}; extracellular region {GO:0005576}; extracellular space {GO:0005615}; high-density lipoprotein particle {GO:0034364}; spherical high-density lipoprotein particle {GO:0034366}; very-low-density lipoprotein particle {GO:0034361}</t>
  </si>
  <si>
    <t>apolipoprotein receptor binding {GO:0034190}; cholesterol binding {GO:0015485}; cholesterol transfer activity {GO:0120020}; enzyme binding {GO:0019899}; heat shock protein binding {GO:0031072}; high-density lipoprotein particle binding {GO:0008035}; high-density lipoprotein particle receptor binding {GO:0070653}; lipase inhibitor activity {GO:0055102}; lipid binding {GO:0008289}; lipid transporter activity {GO:0005319}; phosphatidylcholine binding {GO:0031210}; phosphatidylcholine-sterol O-acyltransferase activator activity {GO:0060228}; phospholipid binding {GO:0005543}; protein heterodimerization activity {GO:0046982}; protein homodimerization activity {GO:0042803}; signaling receptor binding {GO:0005102}</t>
  </si>
  <si>
    <t>Regulation of Insulin-like Growth Factor (IGF) transport and uptake by Insulin-like Growth Factor Binding Proteins (IGFBPs) {R-MMU-381426}; Post-translational protein phosphorylation {R-MMU-8957275}; Chylomicron assembly {R-MMU-8963888}; Chylomicron remodeling {R-MMU-8963901}; Retinoid metabolism and transport {R-MMU-975634}</t>
  </si>
  <si>
    <t>sp|Q91Z96|BMP2K_MOUSE</t>
  </si>
  <si>
    <t>BMP-2-inducible protein kinase (BIKe)</t>
  </si>
  <si>
    <t>BMP2K_MOUSE</t>
  </si>
  <si>
    <t>Q91Z96</t>
  </si>
  <si>
    <t>Q8C8L7</t>
  </si>
  <si>
    <t>Bike</t>
  </si>
  <si>
    <t>MGI:2155456</t>
  </si>
  <si>
    <t>Alternative splicing; ATP-binding; Kinase; Nucleotide-binding; Nucleus; Phosphoprotein; Serine/threonine-protein kinase; Transferase</t>
  </si>
  <si>
    <t>positive regulation of Notch signaling pathway {GO:0045747}; protein phosphorylation {GO:0006468}; regulation of bone mineralization {GO:0030500}; regulation of clathrin-dependent endocytosis {GO:2000369}</t>
  </si>
  <si>
    <t>AP-2 adaptor complex binding {GO:0035612}; ATP binding {GO:0005524}; phosphatase regulator activity {GO:0019208}; protein kinase activity {GO:0004672}; protein serine kinase activity {GO:0106310}; protein serine/threonine kinase activity {GO:0004674}</t>
  </si>
  <si>
    <t>sp|Q8BTI7|ANR52_MOUSE</t>
  </si>
  <si>
    <t>Serine/threonine-protein phosphatase 6 regulatory ankyrin repeat subunit C (PP6-ARS-C; Serine/threonine-protein phosphatase 6 regulatory subunit ARS-C)</t>
  </si>
  <si>
    <t>ANR52_MOUSE</t>
  </si>
  <si>
    <t>Q8BTI7</t>
  </si>
  <si>
    <t>Q148Z3</t>
  </si>
  <si>
    <t>MGI:2444029</t>
  </si>
  <si>
    <t>ANK repeat; Phosphoprotein; Repeat</t>
  </si>
  <si>
    <t>sp|O88990|ACTN3_MOUSE</t>
  </si>
  <si>
    <t>Alpha-actinin-3</t>
  </si>
  <si>
    <t>Alpha-actinin skeletal muscle isoform 3; F-actin cross-linking protein</t>
  </si>
  <si>
    <t>ACTN3_MOUSE</t>
  </si>
  <si>
    <t>O88990</t>
  </si>
  <si>
    <t>Q14DS8</t>
  </si>
  <si>
    <t>MGI:99678</t>
  </si>
  <si>
    <t>Acetylation; Actin-binding; Calcium; Metal-binding; Repeat</t>
  </si>
  <si>
    <t>actin cytoskeleton organization {GO:0030036}; bone morphogenesis {GO:0060349}; focal adhesion assembly {GO:0048041}; muscle cell development {GO:0055001}; muscle contraction {GO:0006936}; negative regulation of calcineurin-NFAT signaling cascade {GO:0070885}; negative regulation of cold-induced thermogenesis {GO:0120163}; negative regulation of glycolytic process {GO:0045820}; negative regulation of oxidative phosphorylation {GO:0090324}; negative regulation of relaxation of muscle {GO:1901078}; positive regulation of bone mineralization involved in bone maturation {GO:1900159}; positive regulation of fast-twitch skeletal muscle fiber contraction {GO:0031448}; positive regulation of glucose catabolic process to lactate via pyruvate {GO:1904025}; positive regulation of skeletal muscle fiber development {GO:0048743}; positive regulation of skeletal muscle tissue growth {GO:0048633}; regulation of aerobic respiration {GO:1903715}; regulation of muscle system process {GO:0090257}; regulation of the force of skeletal muscle contraction {GO:0014728}; response to denervation involved in regulation of muscle adaptation {GO:0014894}; skeletal muscle atrophy {GO:0014732}; transition between fast and slow fiber {GO:0014883}</t>
  </si>
  <si>
    <t>brush border {GO:0005903}; cell junction {GO:0030054}; cell projection {GO:0042995}; cortical actin cytoskeleton {GO:0030864}; focal adhesion {GO:0005925}; plasma membrane {GO:0005886}; sarcomere {GO:0030017}; striated muscle thin filament {GO:0005865}; Z disc {GO:0030018}</t>
  </si>
  <si>
    <t>actin filament binding {GO:0051015}; calcium ion binding {GO:0005509}; identical protein binding {GO:0042802}; protein-macromolecule adaptor activity {GO:0030674}; transmembrane transporter binding {GO:0044325}</t>
  </si>
  <si>
    <t>sp|Q8BJL0|SMAL1_MOUSE</t>
  </si>
  <si>
    <t>SWI/SNF-related matrix-associated actin-dependent regulator of chromatin subfamily A-like protein 1</t>
  </si>
  <si>
    <t>HepA-related protein (mharp); Sucrose nonfermenting protein 2-like 1</t>
  </si>
  <si>
    <t>SMAL1_MOUSE</t>
  </si>
  <si>
    <t>Q8BJL0</t>
  </si>
  <si>
    <t>Q3TEQ9; Q3U4W0; Q3V3A8; Q8BVK7; Q8BXW4; Q8K309; Q9EQK8; Q9QYC4</t>
  </si>
  <si>
    <t>Harp</t>
  </si>
  <si>
    <t>MGI:1859183</t>
  </si>
  <si>
    <t>3D-structure; Acetylation; Alternative splicing; ATP-binding; Coiled coil; Helicase; Hydrolase; Nucleotide-binding; Nucleus; Phosphoprotein; Repeat</t>
  </si>
  <si>
    <t>cellular response to DNA damage stimulus {GO:0006974}; DNA repair {GO:0006281}; double-strand break repair via nonhomologous end joining {GO:0006303}; regulation of transcription by RNA polymerase II {GO:0006357}; replication fork processing {GO:0031297}; replication fork protection {GO:0048478}</t>
  </si>
  <si>
    <t>DNA replication factor A complex {GO:0005662}; nuclear replication fork {GO:0043596}; nucleoplasm {GO:0005654}; nucleus {GO:0005634}; site of double-strand break {GO:0035861}</t>
  </si>
  <si>
    <t>ATP binding {GO:0005524}; ATP-dependent activity, acting on DNA {GO:0008094}; ATP-dependent chromatin remodeler activity {GO:0140658}; ATP-dependent DNA/DNA annealing activity {GO:0036310}; helicase activity {GO:0004386}; hydrolase activity {GO:0016787}</t>
  </si>
  <si>
    <t>sp|Q09143|CTR1_MOUSE</t>
  </si>
  <si>
    <t>High affinity cationic amino acid transporter 1 (CAT-1; CAT1)</t>
  </si>
  <si>
    <t>Ecotropic retroviral leukemia receptor; Ecotropic retrovirus receptor (ERR; EcoR); Solute carrier family 7 member 1; System Y+ basic amino acid transporter</t>
  </si>
  <si>
    <t>CTR1_MOUSE</t>
  </si>
  <si>
    <t>Q09143</t>
  </si>
  <si>
    <t>P30824</t>
  </si>
  <si>
    <t>Atrc1; Rec-1</t>
  </si>
  <si>
    <t>MGI:88117</t>
  </si>
  <si>
    <t>Amino-acid transport; Cell membrane; Glycoprotein; Membrane; Phosphoprotein; Receptor; Transmembrane; Transmembrane helix; Transport</t>
  </si>
  <si>
    <t>amino acid import across plasma membrane {GO:0089718}; amino acid transport {GO:0006865}; L-amino acid transport {GO:0015807}; L-arginine import across plasma membrane {GO:0097638}; L-arginine transmembrane transport {GO:1903826}; L-histidine import across plasma membrane {GO:1903810}; L-ornithine transmembrane transport {GO:1903352}; lysine transport {GO:0015819}; ornithine transport {GO:0015822}; positive regulation of T cell proliferation {GO:0042102}; regulation of TOR signaling {GO:0032006}</t>
  </si>
  <si>
    <t>apical plasma membrane {GO:0016324}; basal plasma membrane {GO:0009925}; basolateral plasma membrane {GO:0016323}; integral component of membrane {GO:0016021}; plasma membrane {GO:0005886}; protein-containing complex {GO:0032991}</t>
  </si>
  <si>
    <t>amino acid transmembrane transporter activity {GO:0015171}; basic amino acid transmembrane transporter activity {GO:0015174}; L-arginine transmembrane transporter activity {GO:0061459}; L-histidine transmembrane transporter activity {GO:0005290}; L-lysine transmembrane transporter activity {GO:0015189}; L-ornithine transmembrane transporter activity {GO:0000064}; virus receptor activity {GO:0001618}</t>
  </si>
  <si>
    <t>sp|Q9Z175|LOXL3_MOUSE</t>
  </si>
  <si>
    <t>Lysyl oxidase homolog 3</t>
  </si>
  <si>
    <t>Lysyl oxidase-like protein 3; Lysyl oxidase-related protein 2</t>
  </si>
  <si>
    <t>LOXL3_MOUSE</t>
  </si>
  <si>
    <t>Q9Z175</t>
  </si>
  <si>
    <t>Q91VN8; Q9JJ39</t>
  </si>
  <si>
    <t>MGI:1337004</t>
  </si>
  <si>
    <t>Copper; Cytoplasm; Disulfide bond; Glycoprotein; LTQ; Metal-binding; Nucleus; Oxidoreductase; Repeat; Secreted; Signal; TPQ</t>
  </si>
  <si>
    <t>Disulfide bond; Glycoprotein; LTQ; TPQ</t>
  </si>
  <si>
    <t>collagen fibril organization {GO:0030199}; epithelial to mesenchymal transition {GO:0001837}; fibronectin fibril organization {GO:1905590}; inflammatory response {GO:0006954}; lung development {GO:0030324}; negative regulation of DNA-templated transcription {GO:0045892}; negative regulation of T-helper 17 cell lineage commitment {GO:2000329}; peptidyl-lysine oxidation {GO:0018057}; positive regulation of integrin-mediated signaling pathway {GO:2001046}; roof of mouth development {GO:0060021}; somite development {GO:0061053}; spinal cord development {GO:0021510}</t>
  </si>
  <si>
    <t>collagen-containing extracellular matrix {GO:0062023}; cytoplasm {GO:0005737}; extracellular region {GO:0005576}; extracellular space {GO:0005615}; membrane {GO:0016020}; nucleus {GO:0005634}</t>
  </si>
  <si>
    <t>copper ion binding {GO:0005507}; fibronectin binding {GO:0001968}; protein-lysine 6-oxidase activity {GO:0004720}; scavenger receptor activity {GO:0005044}</t>
  </si>
  <si>
    <t>Elastic fibre formation {R-MMU-1566948}; Crosslinking of collagen fibrils {R-MMU-2243919}</t>
  </si>
  <si>
    <t>sp|Q91W45|PAI2B_MOUSE</t>
  </si>
  <si>
    <t>Polyadenylate-binding protein-interacting protein 2B (PABP-interacting protein 2B; PAIP-2B; Poly(A)-binding protein-interacting protein 2B)</t>
  </si>
  <si>
    <t>PAI2B_MOUSE</t>
  </si>
  <si>
    <t>Q91W45</t>
  </si>
  <si>
    <t>B9EJI7; Q69ZQ4; Q8BL93</t>
  </si>
  <si>
    <t>Kiaa1155</t>
  </si>
  <si>
    <t>MGI:2386865</t>
  </si>
  <si>
    <t>Repressor; Translation regulation; Ubl conjugation</t>
  </si>
  <si>
    <t>negative regulation of translation {GO:0017148}; negative regulation of translational initiation {GO:0045947}</t>
  </si>
  <si>
    <t>mRNA regulatory element binding translation repressor activity {GO:0000900}; poly(A) binding {GO:0008143}; translation repressor activity {GO:0030371}</t>
  </si>
  <si>
    <t>sp|P39038|CADH4_MOUSE</t>
  </si>
  <si>
    <t>Cadherin-4</t>
  </si>
  <si>
    <t>Retinal cadherin (R-CAD; R-cadherin)</t>
  </si>
  <si>
    <t>CADH4_MOUSE</t>
  </si>
  <si>
    <t>P39038</t>
  </si>
  <si>
    <t>MGI:99218</t>
  </si>
  <si>
    <t>Calcium; Cell adhesion; Cell membrane; Cleavage on pair of basic residues; Glycoprotein; Membrane; Metal-binding; Repeat; Signal; Transmembrane; Transmembrane helix</t>
  </si>
  <si>
    <t>Cleavage on pair of basic residues; Glycoprotein</t>
  </si>
  <si>
    <t>axon extension {GO:0048675}; axon guidance {GO:0007411}; cell-cell adhesion via plasma-membrane adhesion molecules {GO:0098742}; heterophilic cell-cell adhesion via plasma membrane cell adhesion molecules {GO:0007157}; homophilic cell adhesion via plasma membrane adhesion molecules {GO:0007156}; positive regulation of axon extension {GO:0045773}</t>
  </si>
  <si>
    <t>catenin complex {GO:0016342}; integral component of plasma membrane {GO:0005887}; plasma membrane {GO:0005886}</t>
  </si>
  <si>
    <t>cadherin binding {GO:0045296}; calcium ion binding {GO:0005509}</t>
  </si>
  <si>
    <t>Adherens junctions interactions {R-MMU-418990}; Myogenesis {R-MMU-525793}</t>
  </si>
  <si>
    <t>sp|Q02257|PLAK_MOUSE</t>
  </si>
  <si>
    <t>Junction plakoglobin</t>
  </si>
  <si>
    <t>Desmoplakin III; Desmoplakin-3</t>
  </si>
  <si>
    <t>PLAK_MOUSE</t>
  </si>
  <si>
    <t>Q02257</t>
  </si>
  <si>
    <t>Q8CGD3</t>
  </si>
  <si>
    <t>MGI:96650</t>
  </si>
  <si>
    <t>Acetylation; Cell adhesion; Cell junction; Cytoplasm; Cytoskeleton; Glycoprotein; Membrane; Phosphoprotein; Repeat</t>
  </si>
  <si>
    <t>Cell junction; Cytoplasm; Cytoskeleton; Membrane</t>
  </si>
  <si>
    <t>bundle of His cell-Purkinje myocyte adhesion involved in cell communication {GO:0086073}; canonical Wnt signaling pathway {GO:0060070}; cell adhesion {GO:0007155}; cell migration {GO:0016477}; cell-cell adhesion {GO:0098609}; cellular response to indole-3-methanol {GO:0071681}; desmosome assembly {GO:0002159}; detection of mechanical stimulus {GO:0050982}; negative regulation of blood vessel endothelial cell migration {GO:0043537}; positive regulation of angiogenesis {GO:0045766}; positive regulation of cell-matrix adhesion {GO:0001954}; positive regulation of DNA-binding transcription factor activity {GO:0051091}; positive regulation of protein import into nucleus {GO:0042307}; positive regulation of transcription by RNA polymerase II {GO:0045944}; protein localization to plasma membrane {GO:0072659}; regulation of cell population proliferation {GO:0042127}; regulation of heart rate by cardiac conduction {GO:0086091}; regulation of ventricular cardiac muscle cell action potential {GO:0098911}; skin development {GO:0043588}</t>
  </si>
  <si>
    <t>actin cytoskeleton {GO:0015629}; adherens junction {GO:0005912}; apicolateral plasma membrane {GO:0016327}; catenin complex {GO:0016342}; cell-cell junction {GO:0005911}; cornified envelope {GO:0001533}; cytoplasm {GO:0005737}; cytoplasmic side of plasma membrane {GO:0009898}; cytosol {GO:0005829}; desmosome {GO:0030057}; fascia adherens {GO:0005916}; gamma-catenin-TCF7L2 complex {GO:0071665}; intercalated disc {GO:0014704}; intermediate filament {GO:0005882}; lateral plasma membrane {GO:0016328}; nucleus {GO:0005634}; plasma membrane {GO:0005886}; protein-DNA complex {GO:0032993}; Z disc {GO:0030018}</t>
  </si>
  <si>
    <t>alpha-catenin binding {GO:0045294}; cadherin binding {GO:0045296}; cell adhesion molecule binding {GO:0050839}; cytoskeletal protein-membrane anchor activity {GO:0106006}; DNA-binding transcription factor binding {GO:0140297}; protein kinase binding {GO:0019901}; protein phosphatase binding {GO:0019903}; protein tyrosine kinase binding {GO:1990782}; protein-containing complex binding {GO:0044877}; structural molecule activity {GO:0005198}; transcription coactivator activity {GO:0003713}</t>
  </si>
  <si>
    <t>Adherens junctions interactions {R-MMU-418990}; VEGFR2 mediated vascular permeability {R-MMU-5218920}; Neutrophil degranulation {R-MMU-6798695}; Keratinization {R-MMU-6805567}; Formation of the cornified envelope {R-MMU-6809371}; RHOA GTPase cycle {R-MMU-8980692}; RHOB GTPase cycle {R-MMU-9013026}; RHOC GTPase cycle {R-MMU-9013106}; RHOQ GTPase cycle {R-MMU-9013406}; RHOH GTPase cycle {R-MMU-9013407}</t>
  </si>
  <si>
    <t>sp|Q8BIK4|DOCK9_MOUSE</t>
  </si>
  <si>
    <t>Dedicator of cytokinesis protein 9</t>
  </si>
  <si>
    <t>Cdc42 guanine nucleotide exchange factor zizimin-1 (Zizimin-1)</t>
  </si>
  <si>
    <t>DOCK9_MOUSE</t>
  </si>
  <si>
    <t>Q8BIK4</t>
  </si>
  <si>
    <t>Q921Y6</t>
  </si>
  <si>
    <t>MGI:106321</t>
  </si>
  <si>
    <t>Alternative splicing; Guanine-nucleotide releasing factor; Membrane; Phosphoprotein</t>
  </si>
  <si>
    <t>sp|Q8C525|M21D2_MOUSE</t>
  </si>
  <si>
    <t>Nucleotidyltransferase MB21D2</t>
  </si>
  <si>
    <t>Mab-21 domain-containing protein 2</t>
  </si>
  <si>
    <t>M21D2_MOUSE</t>
  </si>
  <si>
    <t>Q8C525</t>
  </si>
  <si>
    <t>Q5U4H4</t>
  </si>
  <si>
    <t>MGI:1917028</t>
  </si>
  <si>
    <t>Nucleotidyltransferase; Phosphoprotein; Transferase</t>
  </si>
  <si>
    <t>nucleotidyltransferase activity {GO:0016779}; protein-containing complex binding {GO:0044877}</t>
  </si>
  <si>
    <t>sp|P53395|ODB2_MOUSE</t>
  </si>
  <si>
    <t>Lipoamide acyltransferase component of branched-chain alpha-keto acid dehydrogenase complex, mitochondrial</t>
  </si>
  <si>
    <t>Branched-chain alpha-keto acid dehydrogenase complex component E2 (BCKAD-E2; BCKADE2); Dihydrolipoamide acetyltransferase component of branched-chain alpha-keto acid dehydrogenase complex; Dihydrolipoamide branched chain transacylase; Dihydrolipoyllysine-residue (2-methylpropanoyl)transferase</t>
  </si>
  <si>
    <t>ODB2_MOUSE</t>
  </si>
  <si>
    <t>P53395</t>
  </si>
  <si>
    <t>Q3TMF5</t>
  </si>
  <si>
    <t>MGI:105386</t>
  </si>
  <si>
    <t>Acetylation; Acyltransferase; Lipoyl; Mitochondrion; Phosphoprotein; Transferase; Transit peptide</t>
  </si>
  <si>
    <t>cytoplasm {GO:0005737}; cytosol {GO:0005829}; microtubule cytoskeleton {GO:0015630}; mitochondrial alpha-ketoglutarate dehydrogenase complex {GO:0005947}; mitochondrial nucleoid {GO:0042645}; mitochondrion {GO:0005739}</t>
  </si>
  <si>
    <t>acetyltransferase activity {GO:0016407}; dihydrolipoyllysine-residue (2-methylpropanoyl)transferase activity {GO:0043754}; lipoic acid binding {GO:0031405}; ubiquitin protein ligase binding {GO:0031625}</t>
  </si>
  <si>
    <t>Glyoxylate metabolism and glycine degradation {R-MMU-389661}; Branched-chain amino acid catabolism {R-MMU-70895}; RHOH GTPase cycle {R-MMU-9013407}</t>
  </si>
  <si>
    <t>sp|Q9D7E4|CS025_MOUSE</t>
  </si>
  <si>
    <t>UPF0449 protein C19orf25 homolog</t>
  </si>
  <si>
    <t>CS025_MOUSE</t>
  </si>
  <si>
    <t>Q9D7E4</t>
  </si>
  <si>
    <t>MGI:1913624</t>
  </si>
  <si>
    <t>sp|Q9CZJ2|HS12B_MOUSE</t>
  </si>
  <si>
    <t>Heat shock 70 kDa protein 12B</t>
  </si>
  <si>
    <t>HS12B_MOUSE</t>
  </si>
  <si>
    <t>Q9CZJ2</t>
  </si>
  <si>
    <t>MGI:1919880</t>
  </si>
  <si>
    <t>ATP-binding; Nucleotide-binding; Phosphoprotein</t>
  </si>
  <si>
    <t>sp|Q3TKY6|CWC27_MOUSE</t>
  </si>
  <si>
    <t>Spliceosome-associated protein CWC27 homolog</t>
  </si>
  <si>
    <t>Probable inactive peptidyl-prolyl cis-trans isomerase CWC27 homolog (PPIase CWC27)</t>
  </si>
  <si>
    <t>CWC27_MOUSE</t>
  </si>
  <si>
    <t>Q3TKY6</t>
  </si>
  <si>
    <t>Q8BG42; Q8R158; Q9CXT1</t>
  </si>
  <si>
    <t>Sdccag10</t>
  </si>
  <si>
    <t>MGI:1914535</t>
  </si>
  <si>
    <t>Acetylation; Coiled coil; Nucleus</t>
  </si>
  <si>
    <t>catalytic step 2 spliceosome {GO:0071013}; nucleoplasm {GO:0005654}; nucleus {GO:0005634}; U2-type precatalytic spliceosome {GO:0071005}</t>
  </si>
  <si>
    <t>sp|Q8BL48|UNK_MOUSE</t>
  </si>
  <si>
    <t>RING finger protein unkempt homolog</t>
  </si>
  <si>
    <t>Zinc finger CCCH domain-containing protein 5</t>
  </si>
  <si>
    <t>UNK_MOUSE</t>
  </si>
  <si>
    <t>Q8BL48</t>
  </si>
  <si>
    <t>A2A853; Q8BVI6; Q99JZ8; Q99LL9</t>
  </si>
  <si>
    <t>Kiaa1753; Zc3h5; Zc3hdc5</t>
  </si>
  <si>
    <t>MGI:2442456</t>
  </si>
  <si>
    <t>3D-structure; Alternative splicing; Coiled coil; Cytoplasm; Metal-binding; Phosphoprotein; Repeat; Repressor; RNA-binding; Translation regulation; Zinc; Zinc-finger</t>
  </si>
  <si>
    <t>cell morphogenesis involved in neuron differentiation {GO:0048667}; in utero embryonic development {GO:0001701}; negative regulation of cytoplasmic translation {GO:2000766}; neuron migration {GO:0001764}</t>
  </si>
  <si>
    <t>metal ion binding {GO:0046872}; mRNA CDS binding {GO:1990715}; polysome binding {GO:1905538}</t>
  </si>
  <si>
    <t>sp|Q8VDM1|ZGPAT_MOUSE</t>
  </si>
  <si>
    <t>Zinc finger CCCH-type with G patch domain-containing protein</t>
  </si>
  <si>
    <t>ZGPAT_MOUSE</t>
  </si>
  <si>
    <t>Q8VDM1</t>
  </si>
  <si>
    <t>A2AU20; A2AU21; Q3TW85; Q69Z90; Q8BWW2</t>
  </si>
  <si>
    <t>Kiaa1847</t>
  </si>
  <si>
    <t>MGI:2449939</t>
  </si>
  <si>
    <t>Acetylation; DNA-binding; Metal-binding; Nucleus; Phosphoprotein; Repressor; Transcription; Transcription regulation; Zinc; Zinc-finger</t>
  </si>
  <si>
    <t>negative regulation of DNA-templated transcription {GO:0045892}; negative regulation of epidermal growth factor-activated receptor activity {GO:0007175}; negative regulation of transcription by RNA polymerase II {GO:0000122}; regulation of transcription by RNA polymerase II {GO:0006357}</t>
  </si>
  <si>
    <t>nucleoplasm {GO:0005654}; nucleus {GO:0005634}; plasma membrane {GO:0005886}</t>
  </si>
  <si>
    <t>DNA-binding transcription factor activity {GO:0003700}; DNA-binding transcription factor activity, RNA polymerase II-specific {GO:0000981}; DNA-binding transcription repressor activity, RNA polymerase II-specific {GO:0001227}; metal ion binding {GO:0046872}; RNA polymerase II cis-regulatory region sequence-specific DNA binding {GO:0000978}; sequence-specific DNA binding {GO:0043565}</t>
  </si>
  <si>
    <t>sp|Q9WVS8|MK07_MOUSE</t>
  </si>
  <si>
    <t>Mitogen-activated protein kinase 7 (MAP kinase 7; MAPK 7)</t>
  </si>
  <si>
    <t>Big MAP kinase 1 (BMK-1); Extracellular signal-regulated kinase 5 (ERK-5)</t>
  </si>
  <si>
    <t>MK07_MOUSE</t>
  </si>
  <si>
    <t>Q9WVS8</t>
  </si>
  <si>
    <t>Q3U2N7; Q3UG52; Q497T0; Q5NCN6; Q5NCN7; Q5NCN9; Q6QLU8; Q9R1D9; Q9WVF3; Q9WVF4</t>
  </si>
  <si>
    <t>Bmk1; Erk5</t>
  </si>
  <si>
    <t>MGI:1346347</t>
  </si>
  <si>
    <t>Acetylation; Alternative splicing; ATP-binding; Cell cycle; Cytoplasm; Differentiation; Kinase; Nucleotide-binding; Nucleus; Phosphoprotein; Serine/threonine-protein kinase; Transferase</t>
  </si>
  <si>
    <t>Cell cycle; Differentiation</t>
  </si>
  <si>
    <t>calcineurin-NFAT signaling cascade {GO:0033173}; cell cycle {GO:0007049}; cell differentiation {GO:0030154}; cellular response to growth factor stimulus {GO:0071363}; cellular response to hydrogen peroxide {GO:0070301}; cellular response to laminar fluid shear stress {GO:0071499}; cellular response to transforming growth factor beta stimulus {GO:0071560}; ERK5 cascade {GO:0070375}; intracellular signal transduction {GO:0035556}; MAPK cascade {GO:0000165}; negative regulation of apoptotic process {GO:0043066}; negative regulation of calcineurin-NFAT signaling cascade {GO:0070885}; negative regulation of endothelial cell apoptotic process {GO:2000352}; negative regulation of extrinsic apoptotic signaling pathway in absence of ligand {GO:2001240}; negative regulation of heterotypic cell-cell adhesion {GO:0034115}; negative regulation of oxidative stress-induced intrinsic apoptotic signaling pathway {GO:1902176}; negative regulation of response to cytokine stimulus {GO:0060761}; peptidyl-serine phosphorylation {GO:0018105}; positive regulation of protein metabolic process {GO:0051247}; positive regulation of transcription by RNA polymerase II {GO:0045944}; positive regulation of transcription from RNA polymerase II promoter in response to stress {GO:0036003}; protein autophosphorylation {GO:0046777}; protein phosphorylation {GO:0006468}; regulation of angiogenesis {GO:0045765}</t>
  </si>
  <si>
    <t>cytoplasm {GO:0005737}; cytosol {GO:0005829}; nucleoplasm {GO:0005654}; nucleus {GO:0005634}; PML body {GO:0016605}</t>
  </si>
  <si>
    <t>ATP binding {GO:0005524}; MAP kinase activity {GO:0004707}; mitogen-activated protein kinase binding {GO:0051019}; protein kinase activity {GO:0004672}; protein serine kinase activity {GO:0106310}; protein serine/threonine kinase activity {GO:0004674}</t>
  </si>
  <si>
    <t>ERK/MAPK targets {R-MMU-198753}; Signalling to ERK5 {R-MMU-198765}; ERKs are inactivated {R-MMU-202670}; Senescence-Associated Secretory Phenotype (SASP) {R-MMU-2559582}; Gastrin-CREB signalling pathway via PKC and MAPK {R-MMU-881907}; RET signaling {R-MMU-8853659}</t>
  </si>
  <si>
    <t>sp|O88895|HDAC3_MOUSE</t>
  </si>
  <si>
    <t>Histone deacetylase 3 (HD3)</t>
  </si>
  <si>
    <t>Protein deacetylase HDAC3; Protein deacylase HDAC3</t>
  </si>
  <si>
    <t>HDAC3_MOUSE</t>
  </si>
  <si>
    <t>O88895</t>
  </si>
  <si>
    <t>O88896; Q3UM33</t>
  </si>
  <si>
    <t>MGI:1343091</t>
  </si>
  <si>
    <t>Alternative splicing; Biological rhythms; Chromatin regulator; Cytoplasm; Hydrolase; Nucleus; Phosphoprotein; Repressor; Transcription; Transcription regulation; Ubl conjugation</t>
  </si>
  <si>
    <t>cellular response to fluid shear stress {GO:0071498}; chromatin organization {GO:0006325}; circadian regulation of gene expression {GO:0032922}; cornified envelope assembly {GO:1903575}; epidermis development {GO:0008544}; establishment of skin barrier {GO:0061436}; gene expression {GO:0010467}; histone deacetylation {GO:0016575}; histone H4 deacetylation {GO:0070933}; histone H4-K12 deacetylation {GO:1990679}; in utero embryonic development {GO:0001701}; negative regulation of cardiac muscle cell differentiation {GO:2000726}; negative regulation of DNA-binding transcription factor activity {GO:0043433}; negative regulation of DNA-templated transcription {GO:0045892}; negative regulation of interleukin-1 production {GO:0032692}; negative regulation of JNK cascade {GO:0046329}; negative regulation of protein export from nucleus {GO:0046826}; negative regulation of transcription by RNA polymerase II {GO:0000122}; negative regulation of tumor necrosis factor production {GO:0032720}; positive regulation of cold-induced thermogenesis {GO:0120162}; positive regulation of neuron apoptotic process {GO:0043525}; positive regulation of protein import into nucleus {GO:0042307}; positive regulation of protein phosphorylation {GO:0001934}; positive regulation of protein ubiquitination {GO:0031398}; positive regulation of TOR signaling {GO:0032008}; positive regulation of transcription by RNA polymerase II {GO:0045944}; positive regulation of type B pancreatic cell apoptotic process {GO:2000676}; protein deacetylation {GO:0006476}; regulation of circadian rhythm {GO:0042752}; regulation of mitotic cell cycle {GO:0007346}; regulation of multicellular organism growth {GO:0040014}; regulation of protein stability {GO:0031647}; regulation of transcription by RNA polymerase II {GO:0006357}; spindle assembly {GO:0051225}; transcription by RNA polymerase II {GO:0006366}</t>
  </si>
  <si>
    <t>chromatin {GO:0000785}; cytoplasm {GO:0005737}; cytosol {GO:0005829}; Golgi apparatus {GO:0005794}; histone deacetylase complex {GO:0000118}; mitotic spindle {GO:0072686}; nucleoplasm {GO:0005654}; nucleus {GO:0005634}; plasma membrane {GO:0005886}; transcription repressor complex {GO:0017053}</t>
  </si>
  <si>
    <t>chromatin binding {GO:0003682}; chromatin DNA binding {GO:0031490}; cyclin binding {GO:0030332}; deacetylase activity {GO:0019213}; DNA binding {GO:0003677}; DNA-binding transcription factor binding {GO:0140297}; enzyme binding {GO:0019899}; GTPase binding {GO:0051020}; histone deacetylase activity {GO:0004407}; histone deacetylase binding {GO:0042826}; histone decrotonylase activity {GO:0160009}; NF-kappaB binding {GO:0051059}; protein de-2-hydroxyisobutyrylase activity {GO:0160010}; protein decrotonylase activity {GO:0160008}; protein lysine deacetylase activity {GO:0033558}; transcription corepressor activity {GO:0003714}; transcription corepressor binding {GO:0001222}</t>
  </si>
  <si>
    <t>Notch-HLH transcription pathway {R-MMU-350054}; Transcriptional regulation of white adipocyte differentiation {R-MMU-381340}; Regulation of lipid metabolism by PPARalpha {R-MMU-400206}; NR1H3 &amp; NR1H2 regulate gene expression linked to cholesterol transport and efflux {R-MMU-9029569}; STAT3 nuclear events downstream of ALK signaling {R-MMU-9701898}; Cytoprotection by HMOX1 {R-MMU-9707564}</t>
  </si>
  <si>
    <t>sp|Q8BG94|COMD7_MOUSE</t>
  </si>
  <si>
    <t>COMM domain-containing protein 7</t>
  </si>
  <si>
    <t>COMD7_MOUSE</t>
  </si>
  <si>
    <t>Q8BG94</t>
  </si>
  <si>
    <t>Q99J75</t>
  </si>
  <si>
    <t>MGI:1914197</t>
  </si>
  <si>
    <t>Cytoplasmic vesicle; Transcription; Transcription regulation; Ubl conjugation pathway</t>
  </si>
  <si>
    <t>negative regulation of DNA-templated transcription {GO:0045892}; negative regulation of NF-kappaB transcription factor activity {GO:0032088}; tumor necrosis factor-mediated signaling pathway {GO:0033209}</t>
  </si>
  <si>
    <t>cytoplasmic vesicle {GO:0031410}</t>
  </si>
  <si>
    <t>sp|Q9CQ89|CUTA_MOUSE</t>
  </si>
  <si>
    <t>Protein CutA</t>
  </si>
  <si>
    <t>Brain acetylcholinesterase putative membrane anchor</t>
  </si>
  <si>
    <t>CUTA_MOUSE</t>
  </si>
  <si>
    <t>Q9CQ89</t>
  </si>
  <si>
    <t>Q3TXB6; Q8CI44; Q9D1L4</t>
  </si>
  <si>
    <t>MGI:1914925</t>
  </si>
  <si>
    <t>Alternative splicing; Signal</t>
  </si>
  <si>
    <t>protein localization {GO:0008104}; response to metal ion {GO:0010038}</t>
  </si>
  <si>
    <t>sp|Q6KAU4|MB12B_MOUSE</t>
  </si>
  <si>
    <t>Multivesicular body subunit 12B</t>
  </si>
  <si>
    <t>ESCRT-I complex subunit MVB12B; Protein FAM125B</t>
  </si>
  <si>
    <t>MB12B_MOUSE</t>
  </si>
  <si>
    <t>Q6KAU4</t>
  </si>
  <si>
    <t>A2ARF1; Q6PB42</t>
  </si>
  <si>
    <t>Fam125b</t>
  </si>
  <si>
    <t>MGI:1919793</t>
  </si>
  <si>
    <t>Endosome; Membrane; Phosphoprotein; Protein transport; Transport</t>
  </si>
  <si>
    <t>protein transport {GO:0015031}; regulation of epidermal growth factor receptor signaling pathway {GO:0042058}; viral budding {GO:0046755}; virus maturation {GO:0019075}</t>
  </si>
  <si>
    <t>cytosol {GO:0005829}; early endosome {GO:0005769}; ESCRT I complex {GO:0000813}; late endosome {GO:0005770}; late endosome membrane {GO:0031902}; nucleus {GO:0005634}; plasma membrane {GO:0005886}; vesicle {GO:0031982}</t>
  </si>
  <si>
    <t>sp|Q99KD5|UN45A_MOUSE</t>
  </si>
  <si>
    <t>Protein unc-45 homolog A (Unc-45A)</t>
  </si>
  <si>
    <t>Stromal membrane-associated protein 1 (SMAP-1)</t>
  </si>
  <si>
    <t>UN45A_MOUSE</t>
  </si>
  <si>
    <t>Q99KD5</t>
  </si>
  <si>
    <t>Q3TKV6; Q8BFT3; Q8C157</t>
  </si>
  <si>
    <t>Smap1</t>
  </si>
  <si>
    <t>MGI:2142246</t>
  </si>
  <si>
    <t>Acetylation; Chaperone; Cytoplasm; Developmental protein; Differentiation; Myogenesis; Nucleus; Repeat; TPR repeat</t>
  </si>
  <si>
    <t>cell differentiation {GO:0030154}; chaperone-mediated protein folding {GO:0061077}; muscle organ development {GO:0007517}</t>
  </si>
  <si>
    <t>cytoplasm {GO:0005737}; cytosol {GO:0005829}; Golgi apparatus {GO:0005794}; nuclear speck {GO:0016607}; perinuclear region of cytoplasm {GO:0048471}</t>
  </si>
  <si>
    <t>Hsp90 protein binding {GO:0051879}</t>
  </si>
  <si>
    <t>sp|E9PYH6|SET1A_MOUSE</t>
  </si>
  <si>
    <t>Histone-lysine N-methyltransferase SETD1A</t>
  </si>
  <si>
    <t>SET domain-containing protein 1A</t>
  </si>
  <si>
    <t>SET1A_MOUSE</t>
  </si>
  <si>
    <t>E9PYH6</t>
  </si>
  <si>
    <t>MGI:2446244</t>
  </si>
  <si>
    <t>Activator; Chromatin regulator; Chromosome; DNA damage; Methyltransferase; Nucleus; Phosphoprotein; RNA-binding; S-adenosyl-L-methionine; Transcription; Transcription regulation; Transferase</t>
  </si>
  <si>
    <t>Activator; Chromatin regulator; Methyltransferase; RNA-binding; Transferase</t>
  </si>
  <si>
    <t>brain development {GO:0007420}; cellular response to DNA damage stimulus {GO:0006974}; epigenetic maintenance of chromatin in transcription-competent conformation {GO:0045815}; histone H3-K4 dimethylation {GO:0044648}; histone H3-K4 methylation {GO:0051568}; histone H3-K4 monomethylation {GO:0097692}; histone H3-K4 trimethylation {GO:0080182}; positive regulation of gene expression {GO:0010628}; positive regulation of neural precursor cell proliferation {GO:2000179}; positive regulation of stem cell proliferation {GO:2000648}; regulation of chromatin organization {GO:1902275}; regulation of erythrocyte differentiation {GO:0045646}; regulation of hematopoietic stem cell differentiation {GO:1902036}; stem cell population maintenance {GO:0019827}; stem cell proliferation {GO:0072089}</t>
  </si>
  <si>
    <t>chromatin {GO:0000785}; euchromatin {GO:0000791}; histone methyltransferase complex {GO:0035097}; nuclear speck {GO:0016607}; nucleus {GO:0005634}; Set1C/COMPASS complex {GO:0048188}</t>
  </si>
  <si>
    <t>beta-catenin binding {GO:0008013}; histone methyltransferase activity (H3-K4 specific) {GO:0042800}; RNA binding {GO:0003723}; RNA polymerase II-specific DNA-binding transcription factor binding {GO:0061629}</t>
  </si>
  <si>
    <t>PKMTs methylate histone lysines {R-MMU-3214841}; RUNX1 regulates genes involved in megakaryocyte differentiation and platelet function {R-MMU-8936459}</t>
  </si>
  <si>
    <t>sp|Q6GYP7|RGPA1_MOUSE</t>
  </si>
  <si>
    <t>Ral GTPase-activating protein subunit alpha-1</t>
  </si>
  <si>
    <t>GAP-related-interacting partner to E12 (GRIPE); GTPase-activating RapGAP domain-like 1; Tuberin-like protein 1; p240</t>
  </si>
  <si>
    <t>RGPA1_MOUSE</t>
  </si>
  <si>
    <t>Q6GYP7</t>
  </si>
  <si>
    <t>Q6GYP6; Q6ZQ28; Q8BNJ5; Q8C9G8; Q8CIW4; Q9JMC4</t>
  </si>
  <si>
    <t>Garnl1; Kiaa0884; Tulip1</t>
  </si>
  <si>
    <t>MGI:1931050</t>
  </si>
  <si>
    <t>Alternative splicing; Coiled coil; Cytoplasm; GTPase activation; Nucleus; Phosphoprotein</t>
  </si>
  <si>
    <t>activation of GTPase activity {GO:0090630}; regulation of DNA-templated transcription {GO:0006355}; regulation of small GTPase mediated signal transduction {GO:0051056}</t>
  </si>
  <si>
    <t>GTPase activator activity {GO:0005096}; protein heterodimerization activity {GO:0046982}</t>
  </si>
  <si>
    <t>sp|Q9CQV4|RETR3_MOUSE</t>
  </si>
  <si>
    <t>Reticulophagy regulator 3</t>
  </si>
  <si>
    <t>RETR3_MOUSE</t>
  </si>
  <si>
    <t>Q9CQV4</t>
  </si>
  <si>
    <t>Q3TQL8; Q3U9Q7; Q8BQC4; Q922X3</t>
  </si>
  <si>
    <t>Fam134c</t>
  </si>
  <si>
    <t>MGI:1915248</t>
  </si>
  <si>
    <t>Alternative splicing; Membrane; Phosphoprotein; Transmembrane; Transmembrane helix</t>
  </si>
  <si>
    <t>collagen catabolic process {GO:0030574}; endoplasmic reticulum organization {GO:0007029}; positive regulation of neuron projection development {GO:0010976}; reticulophagy {GO:0061709}</t>
  </si>
  <si>
    <t>endoplasmic reticulum {GO:0005783}; integral component of membrane {GO:0016021}; protein-containing complex {GO:0032991}</t>
  </si>
  <si>
    <t>endoplasmic reticulum-autophagosome adaptor activity {GO:0140506}</t>
  </si>
  <si>
    <t>sp|B1AY10|NFX1_MOUSE</t>
  </si>
  <si>
    <t>Transcriptional repressor NF-X1 (m-Nfx.1)</t>
  </si>
  <si>
    <t>Nuclear transcription factor, X box-binding protein 1</t>
  </si>
  <si>
    <t>NFX1_MOUSE</t>
  </si>
  <si>
    <t>B1AY10</t>
  </si>
  <si>
    <t>Q3U2A7; Q3UK95; Q3UMW1; Q7TPT4; Q8CC59; Q9DBC8; Q9JKW7</t>
  </si>
  <si>
    <t>MGI:1921414</t>
  </si>
  <si>
    <t>Alternative splicing; DNA-binding; Metal-binding; Nucleus; Phosphoprotein; Repeat; Repressor; Transcription; Transcription regulation; Transferase; Ubl conjugation pathway; Zinc; Zinc-finger</t>
  </si>
  <si>
    <t>negative regulation of MHC class II biosynthetic process {GO:0045347}; negative regulation of transcription by RNA polymerase II {GO:0000122}; protein autoubiquitination {GO:0051865}; regulation of DNA-templated transcription {GO:0006355}</t>
  </si>
  <si>
    <t>cytosol {GO:0005829}; nucleolus {GO:0005730}; nucleoplasm {GO:0005654}; nucleus {GO:0005634}; plasma membrane {GO:0005886}</t>
  </si>
  <si>
    <t>DNA-binding transcription factor activity, RNA polymerase II-specific {GO:0000981}; DNA-binding transcription repressor activity, RNA polymerase II-specific {GO:0001227}; RNA polymerase II transcription regulatory region sequence-specific DNA binding {GO:0000977}; ubiquitin protein ligase activity {GO:0061630}; zinc ion binding {GO:0008270}</t>
  </si>
  <si>
    <t>sp|Q9ET22|DPP2_MOUSE</t>
  </si>
  <si>
    <t>Dipeptidyl peptidase 2</t>
  </si>
  <si>
    <t>Dipeptidyl aminopeptidase II; Dipeptidyl peptidase 7; Dipeptidyl peptidase II (DPP II); Quiescent cell proline dipeptidase</t>
  </si>
  <si>
    <t>DPP2_MOUSE</t>
  </si>
  <si>
    <t>Q9ET22</t>
  </si>
  <si>
    <t>Q8R082</t>
  </si>
  <si>
    <t>Dpp2; Qpp</t>
  </si>
  <si>
    <t>MGI:1933213</t>
  </si>
  <si>
    <t>Aminopeptidase; Cytoplasmic vesicle; Glycoprotein; Hydrolase; Lysosome; Protease; Secreted; Serine protease; Signal; Zymogen</t>
  </si>
  <si>
    <t>Cytoplasmic vesicle; Lysosome; Secreted</t>
  </si>
  <si>
    <t>lysosomal protein catabolic process {GO:1905146}; protein catabolic process {GO:0030163}; proteolysis {GO:0006508}</t>
  </si>
  <si>
    <t>cytoplasmic vesicle {GO:0031410}; cytosol {GO:0005829}; extracellular region {GO:0005576}; Golgi apparatus {GO:0005794}; intracellular membrane-bounded organelle {GO:0043231}; lysosome {GO:0005764}; vesicle {GO:0031982}</t>
  </si>
  <si>
    <t>sp|P61406|EST1A_MOUSE</t>
  </si>
  <si>
    <t>Telomerase-binding protein EST1A</t>
  </si>
  <si>
    <t>Ever shorter telomeres 1A; Nonsense mediated mRNA decay factor SMG6; Smg-6 homolog</t>
  </si>
  <si>
    <t>EST1A_MOUSE</t>
  </si>
  <si>
    <t>P61406</t>
  </si>
  <si>
    <t>Q5NC64</t>
  </si>
  <si>
    <t>MGI:2144117</t>
  </si>
  <si>
    <t>Chromosome; Coiled coil; Cytoplasm; DNA-binding; Endonuclease; Hydrolase; Manganese; Metal-binding; Methylation; Nonsense-mediated mRNA decay; Nuclease; Nucleus; Phosphoprotein; Telomere</t>
  </si>
  <si>
    <t>Chromosome; Cytoplasm; Nucleus; Telomere</t>
  </si>
  <si>
    <t>DNA-binding; Endonuclease; Hydrolase; Nuclease</t>
  </si>
  <si>
    <t>negative regulation of telomere capping {GO:1904354}; nuclear-transcribed mRNA catabolic process, nonsense-mediated decay {GO:0000184}; regulation of telomere maintenance {GO:0032204}</t>
  </si>
  <si>
    <t>chromosome, telomeric region {GO:0000781}; cytoplasm {GO:0005737}; cytosol {GO:0005829}; exon-exon junction complex {GO:0035145}; nucleolus {GO:0005730}; nucleus {GO:0005634}; telomerase holoenzyme complex {GO:0005697}</t>
  </si>
  <si>
    <t>DNA polymerase binding {GO:0070182}; endoribonuclease activity {GO:0004521}; metal ion binding {GO:0046872}; ribonucleoprotein complex binding {GO:0043021}; RNA binding {GO:0003723}; telomerase RNA binding {GO:0070034}; telomeric DNA binding {GO:0042162}</t>
  </si>
  <si>
    <t>sp|Q91WK0|LRRF2_MOUSE</t>
  </si>
  <si>
    <t>Leucine-rich repeat flightless-interacting protein 2 (LRR FLII-interacting protein 2)</t>
  </si>
  <si>
    <t>LRRF2_MOUSE</t>
  </si>
  <si>
    <t>Q91WK0</t>
  </si>
  <si>
    <t>Q8BVD1; Q9CU89</t>
  </si>
  <si>
    <t>MGI:1918518</t>
  </si>
  <si>
    <t>Alternative splicing; Coiled coil; Phosphoprotein; Wnt signaling pathway</t>
  </si>
  <si>
    <t>MyD88-dependent toll-like receptor 4 signaling pathway {GO:0035660}; MyD88-independent toll-like receptor signaling pathway {GO:0002756}; positive regulation of NF-kappaB transcription factor activity {GO:0051092}; positive regulation of tumor necrosis factor production {GO:0032760}; Wnt signaling pathway {GO:0016055}</t>
  </si>
  <si>
    <t>LRR domain binding {GO:0030275}</t>
  </si>
  <si>
    <t>sp|Q9CQ39|MED21_MOUSE</t>
  </si>
  <si>
    <t>Mediator of RNA polymerase II transcription subunit 21</t>
  </si>
  <si>
    <t>Mediator complex subunit 21; RNA polymerase II holoenzyme component SRB7 (RNAPII complex component SRB7)</t>
  </si>
  <si>
    <t>MED21_MOUSE</t>
  </si>
  <si>
    <t>Q9CQ39</t>
  </si>
  <si>
    <t>Q921I5</t>
  </si>
  <si>
    <t>Srb7; Surb7</t>
  </si>
  <si>
    <t>MGI:1347064</t>
  </si>
  <si>
    <t>3D-structure; Activator; Nucleus; Transcription; Transcription regulation</t>
  </si>
  <si>
    <t>blastocyst development {GO:0001824}; positive regulation of transcription by RNA polymerase II {GO:0045944}; positive regulation of transcription elongation by RNA polymerase II {GO:0032968}; positive regulation of transcription initiation by RNA polymerase II {GO:0060261}; protein ubiquitination {GO:0016567}; regulation of transcription by RNA polymerase II {GO:0006357}; RNA polymerase II preinitiation complex assembly {GO:0051123}; somatic stem cell population maintenance {GO:0035019}; transcription by RNA polymerase II {GO:0006366}</t>
  </si>
  <si>
    <t>core mediator complex {GO:0070847}; mediator complex {GO:0016592}; nucleoplasm {GO:0005654}; nucleus {GO:0005634}; ubiquitin ligase complex {GO:0000151}</t>
  </si>
  <si>
    <t>transcription coactivator activity {GO:0003713}; transcription coregulator activity {GO:0003712}; ubiquitin protein ligase activity {GO:0061630}</t>
  </si>
  <si>
    <t>sp|Q8BHL3|TB10B_MOUSE</t>
  </si>
  <si>
    <t>TBC1 domain family member 10B</t>
  </si>
  <si>
    <t>Protein wz3-85</t>
  </si>
  <si>
    <t>TB10B_MOUSE</t>
  </si>
  <si>
    <t>Q8BHL3</t>
  </si>
  <si>
    <t>Q6GQW9; Q6PIZ5; Q91XR3</t>
  </si>
  <si>
    <t>MGI:1915699</t>
  </si>
  <si>
    <t>Coiled coil; Cytoplasm; GTPase activation; Methylation; Phosphoprotein</t>
  </si>
  <si>
    <t>activation of GTPase activity {GO:0090630}; regulation of GTPase activity {GO:0043087}; retrograde transport, endosome to Golgi {GO:0042147}</t>
  </si>
  <si>
    <t>sp|Q61062|DVL3_MOUSE</t>
  </si>
  <si>
    <t>Segment polarity protein dishevelled homolog DVL-3 (Dishevelled-3)</t>
  </si>
  <si>
    <t>DSH homolog 3</t>
  </si>
  <si>
    <t>DVL3_MOUSE</t>
  </si>
  <si>
    <t>Q61062</t>
  </si>
  <si>
    <t>G5E820</t>
  </si>
  <si>
    <t>MGI:108100</t>
  </si>
  <si>
    <t>Cytoplasm; Developmental protein; Methylation; Phosphoprotein; Ubl conjugation; Wnt signaling pathway</t>
  </si>
  <si>
    <t>canonical Wnt signaling pathway {GO:0060070}; cochlea morphogenesis {GO:0090103}; heart morphogenesis {GO:0003007}; intracellular signal transduction {GO:0035556}; midbrain dopaminergic neuron differentiation {GO:1904948}; non-canonical Wnt signaling pathway {GO:0035567}; non-canonical Wnt signaling pathway via JNK cascade {GO:0038031}; outflow tract septum morphogenesis {GO:0003148}; planar cell polarity pathway involved in neural tube closure {GO:0090179}; positive regulation of DNA-templated transcription {GO:0045893}; positive regulation of GTPase activity {GO:0043547}; positive regulation of JUN kinase activity {GO:0043507}; positive regulation of neuron projection arborization {GO:0150012}; positive regulation of protein phosphorylation {GO:0001934}; positive regulation of transcription by RNA polymerase II {GO:0045944}; protein stabilization {GO:0050821}; regulation of protein localization {GO:0032880}; Wnt signaling pathway, planar cell polarity pathway {GO:0060071}</t>
  </si>
  <si>
    <t>chromatin {GO:0000785}; cytoplasm {GO:0005737}; cytosol {GO:0005829}; glutamatergic synapse {GO:0098978}; synapse {GO:0045202}; Wnt signalosome {GO:1990909}</t>
  </si>
  <si>
    <t>beta-catenin binding {GO:0008013}; frizzled binding {GO:0005109}; protease binding {GO:0002020}; protein-macromolecule adaptor activity {GO:0030674}; signaling receptor binding {GO:0005102}; small GTPase binding {GO:0031267}</t>
  </si>
  <si>
    <t>WNT mediated activation of DVL {R-MMU-201688}; PCP/CE pathway {R-MMU-4086400}; Degradation of DVL {R-MMU-4641258}; Disassembly of the destruction complex and recruitment of AXIN to the membrane {R-MMU-4641262}; RHO GTPases Activate Formins {R-MMU-5663220}</t>
  </si>
  <si>
    <t>sp|P19221|THRB_MOUSE</t>
  </si>
  <si>
    <t>Thrombin heavy chain</t>
  </si>
  <si>
    <t>Coagulation factor II</t>
  </si>
  <si>
    <t>THRB_MOUSE</t>
  </si>
  <si>
    <t>P19221</t>
  </si>
  <si>
    <t>Cf2</t>
  </si>
  <si>
    <t>MGI:88380</t>
  </si>
  <si>
    <t>3D-structure; Acute phase; Blood coagulation; Calcium; Cleavage on pair of basic residues; Disulfide bond; Gamma-carboxyglutamic acid; Glycoprotein; Hemostasis; Hydrolase; Kringle; Protease; Repeat; Serine protease; Signal; Zymogen</t>
  </si>
  <si>
    <t>Acute phase; Blood coagulation; Hemostasis</t>
  </si>
  <si>
    <t>Cleavage on pair of basic residues; Disulfide bond; Gamma-carboxyglutamic acid; Glycoprotein; Zymogen</t>
  </si>
  <si>
    <t>acute-phase response {GO:0006953}; antimicrobial humoral immune response mediated by antimicrobial peptide {GO:0061844}; blood coagulation {GO:0007596}; blood coagulation, common pathway {GO:0072377}; cell surface receptor signaling pathway {GO:0007166}; cytolysis by host of symbiont cells {GO:0051838}; fibrinolysis {GO:0042730}; negative regulation of astrocyte differentiation {GO:0048712}; negative regulation of cytokine production involved in inflammatory response {GO:1900016}; negative regulation of proteolysis {GO:0045861}; neutrophil-mediated killing of gram-negative bacterium {GO:0070945}; platelet activation {GO:0030168}; positive regulation of blood coagulation {GO:0030194}; positive regulation of cell growth {GO:0030307}; positive regulation of cell population proliferation {GO:0008284}; positive regulation of collagen biosynthetic process {GO:0032967}; positive regulation of lipid kinase activity {GO:0090218}; positive regulation of phosphatidylinositol 3-kinase signaling {GO:0014068}; positive regulation of phospholipase C-activating G protein-coupled receptor signaling pathway {GO:1900738}; positive regulation of protein localization to nucleus {GO:1900182}; positive regulation of protein phosphorylation {GO:0001934}; positive regulation of reactive oxygen species metabolic process {GO:2000379}; positive regulation of release of sequestered calcium ion into cytosol {GO:0051281}; proteolysis {GO:0006508}; regulation of cell shape {GO:0008360}; regulation of cytosolic calcium ion concentration {GO:0051480}; regulation of gene expression {GO:0010468}; response to wounding {GO:0009611}; thrombin-activated receptor signaling pathway {GO:0070493}; zymogen activation {GO:0031638}</t>
  </si>
  <si>
    <t>collagen-containing extracellular matrix {GO:0062023}; external side of plasma membrane {GO:0009897}; extracellular space {GO:0005615}; serine-type endopeptidase complex {GO:1905370}</t>
  </si>
  <si>
    <t>calcium ion binding {GO:0005509}; heparin binding {GO:0008201}; lipopolysaccharide binding {GO:0001530}; peptidase activity {GO:0008233}; serine-type endopeptidase activity {GO:0004252}; signaling receptor binding {GO:0005102}; thrombospondin receptor activity {GO:0070053}</t>
  </si>
  <si>
    <t>Intrinsic Pathway of Fibrin Clot Formation {R-MMU-140837}; Common Pathway of Fibrin Clot Formation {R-MMU-140875}; Gamma-carboxylation of protein precursors {R-MMU-159740}; Transport of gamma-carboxylated protein precursors from the endoplasmic reticulum to the Golgi apparatus {R-MMU-159763}; Removal of aminoterminal propeptides from gamma-carboxylated proteins {R-MMU-159782}; Cell surface interactions at the vascular wall {R-MMU-202733}; Peptide ligand-binding receptors {R-MMU-375276}; G alpha (q) signalling events {R-MMU-416476}; Thrombin signalling through proteinase activated receptors (PARs) {R-MMU-456926}; Platelet Aggregation (Plug Formation) {R-MMU-76009}; Regulation of Complement cascade {R-MMU-977606}</t>
  </si>
  <si>
    <t>sp|Q9CQL7|MOFA1_MOUSE</t>
  </si>
  <si>
    <t>MORF4 family-associated protein 1</t>
  </si>
  <si>
    <t>Protein associated with MRG of 14 kDa</t>
  </si>
  <si>
    <t>MOFA1_MOUSE</t>
  </si>
  <si>
    <t>Q9CQL7</t>
  </si>
  <si>
    <t>Q9CX68</t>
  </si>
  <si>
    <t>Pam14</t>
  </si>
  <si>
    <t>MGI:1914818</t>
  </si>
  <si>
    <t>Coiled coil; Cytoplasm; Nucleus</t>
  </si>
  <si>
    <t>sp|Q8BQM9|MD12L_MOUSE</t>
  </si>
  <si>
    <t>Mediator of RNA polymerase II transcription subunit 12-like protein</t>
  </si>
  <si>
    <t>Mediator complex subunit 12-like protein</t>
  </si>
  <si>
    <t>MD12L_MOUSE</t>
  </si>
  <si>
    <t>Q8BQM9</t>
  </si>
  <si>
    <t>Q6ZPF2; Q8C9E3</t>
  </si>
  <si>
    <t>Kiaa3007</t>
  </si>
  <si>
    <t>MGI:2139916</t>
  </si>
  <si>
    <t>Activator; Alternative splicing; Nucleus; Phosphoprotein; Repressor; Transcription; Transcription regulation</t>
  </si>
  <si>
    <t>mediator complex {GO:0016592}</t>
  </si>
  <si>
    <t>beta-catenin binding {GO:0008013}; transcription coactivator activity {GO:0003713}</t>
  </si>
  <si>
    <t>sp|Q9EPL9|ACOX3_MOUSE</t>
  </si>
  <si>
    <t>Peroxisomal acyl-coenzyme A oxidase 3</t>
  </si>
  <si>
    <t>Branched-chain acyl-CoA oxidase (BRCACox); Pristanoyl-CoA oxidase</t>
  </si>
  <si>
    <t>ACOX3_MOUSE</t>
  </si>
  <si>
    <t>Q9EPL9</t>
  </si>
  <si>
    <t>Q7TPP6; Q80UQ0</t>
  </si>
  <si>
    <t>MGI:1933156</t>
  </si>
  <si>
    <t>FAD; Fatty acid metabolism; Flavoprotein; Lipid metabolism; Oxidoreductase; Peroxisome; Phosphoprotein</t>
  </si>
  <si>
    <t>fatty acid beta-oxidation {GO:0006635}; fatty acid beta-oxidation using acyl-CoA oxidase {GO:0033540}; lipid homeostasis {GO:0055088}</t>
  </si>
  <si>
    <t>acyl-CoA oxidase activity {GO:0003997}; FAD binding {GO:0071949}; fatty acid binding {GO:0005504}; flavin adenine dinucleotide binding {GO:0050660}; pristanoyl-CoA oxidase activity {GO:0016402}</t>
  </si>
  <si>
    <t>sp|P62482|KCAB2_MOUSE</t>
  </si>
  <si>
    <t>Voltage-gated potassium channel subunit beta-2</t>
  </si>
  <si>
    <t>K(+) channel subunit beta-2; Kv-beta-2; Neuroimmune protein F5</t>
  </si>
  <si>
    <t>KCAB2_MOUSE</t>
  </si>
  <si>
    <t>P62482</t>
  </si>
  <si>
    <t>P97381; Q60942; Q64284</t>
  </si>
  <si>
    <t>Ckbeta2; I2rf5; Kcnb3</t>
  </si>
  <si>
    <t>MGI:109239</t>
  </si>
  <si>
    <t>Acetylation; Cell membrane; Cell projection; Cytoplasm; Cytoskeleton; Ion channel; Ion transport; Membrane; Methylation; NADP; Oxidoreductase; Phosphoprotein; Potassium; Potassium transport; Synapse; Synaptosome; Transport; Voltage-gated channel</t>
  </si>
  <si>
    <t>Ion transport; Potassium transport; Transport</t>
  </si>
  <si>
    <t>Cell membrane; Cell projection; Cytoplasm; Cytoskeleton; Membrane; Synapse; Synaptosome</t>
  </si>
  <si>
    <t>NADP; Potassium</t>
  </si>
  <si>
    <t>Ion channel; Oxidoreductase; Voltage-gated channel</t>
  </si>
  <si>
    <t>hematopoietic progenitor cell differentiation {GO:0002244}; NADPH oxidation {GO:0070995}; neuromuscular process {GO:0050905}; regulation of action potential {GO:0098900}; regulation of potassium ion transmembrane transport {GO:1901379}; regulation of protein localization to cell surface {GO:2000008}</t>
  </si>
  <si>
    <t>anchoring junction {GO:0070161}; axon {GO:0030424}; axon initial segment {GO:0043194}; axon terminus {GO:0043679}; cytosol {GO:0005829}; extrinsic component of cytoplasmic side of plasma membrane {GO:0031234}; juxtaparanode region of axon {GO:0044224}; membrane {GO:0016020}; microtubule {GO:0005874}; neuron projection {GO:0043005}; pinceau fiber {GO:1990031}; postsynaptic density {GO:0014069}; potassium channel complex {GO:0034705}; voltage-gated potassium channel complex {GO:0008076}</t>
  </si>
  <si>
    <t>aldo-keto reductase (NADP) activity {GO:0004033}; potassium channel regulator activity {GO:0015459}; protein-containing complex binding {GO:0044877}; transmembrane transporter binding {GO:0044325}; voltage-gated potassium channel activity {GO:0005249}</t>
  </si>
  <si>
    <t>Voltage gated Potassium channels {R-MMU-1296072}; Neutrophil degranulation {R-MMU-6798695}</t>
  </si>
  <si>
    <t>sp|Q8BG40|KTNB1_MOUSE</t>
  </si>
  <si>
    <t>Katanin p80 WD40 repeat-containing subunit B1 (Katanin p80 subunit B1)</t>
  </si>
  <si>
    <t>p80 katanin</t>
  </si>
  <si>
    <t>KTNB1_MOUSE</t>
  </si>
  <si>
    <t>Q8BG40</t>
  </si>
  <si>
    <t>Q8CD18; Q8R1J0; Q9CWV2</t>
  </si>
  <si>
    <t>MGI:1921437</t>
  </si>
  <si>
    <t>3D-structure; Cell cycle; Cell division; Cytoplasm; Cytoskeleton; Microtubule; Mitosis; Phosphoprotein; Repeat; WD repeat</t>
  </si>
  <si>
    <t>cell division {GO:0051301}; microtubule depolymerization {GO:0007019}; microtubule severing {GO:0051013}; mitotic chromosome movement towards spindle pole {GO:0007079}; negative regulation of microtubule depolymerization {GO:0007026}; positive regulation of cell death {GO:0010942}; positive regulation of microtubule depolymerization {GO:0031117}; positive regulation of neuron projection development {GO:0010976}</t>
  </si>
  <si>
    <t>axon {GO:0030424}; centrosome {GO:0005813}; cytoplasm {GO:0005737}; cytosol {GO:0005829}; growth cone {GO:0030426}; katanin complex {GO:0008352}; microtubule {GO:0005874}; microtubule cytoskeleton {GO:0015630}; midbody {GO:0030496}; neuronal cell body {GO:0043025}; plasma membrane {GO:0005886}; spindle {GO:0005819}; spindle pole {GO:0000922}</t>
  </si>
  <si>
    <t>ATPase regulator activity {GO:0060590}; dynein complex binding {GO:0070840}; microtubule binding {GO:0008017}; protein heterodimerization activity {GO:0046982}</t>
  </si>
  <si>
    <t>sp|Q91WM3|U3IP2_MOUSE</t>
  </si>
  <si>
    <t>U3 small nucleolar RNA-interacting protein 2</t>
  </si>
  <si>
    <t>RRP9 homolog; U3 small nucleolar ribonucleoprotein-associated 55 kDa protein (U3 snoRNP-associated 55 kDa protein; U3-55K)</t>
  </si>
  <si>
    <t>U3IP2_MOUSE</t>
  </si>
  <si>
    <t>Q91WM3</t>
  </si>
  <si>
    <t>Q8CFB7</t>
  </si>
  <si>
    <t>Rnu3ip2; U3-55k</t>
  </si>
  <si>
    <t>MGI:2384313</t>
  </si>
  <si>
    <t>Acetylation; Isopeptide bond; Methylation; Nucleus; Phosphoprotein; Repeat; Ribonucleoprotein; RNA-binding; rRNA processing; Ubl conjugation; WD repeat</t>
  </si>
  <si>
    <t>box C/D RNP complex {GO:0031428}; nucleolus {GO:0005730}; small-subunit processome {GO:0032040}</t>
  </si>
  <si>
    <t>snoRNA binding {GO:0030515}; U3 snoRNA binding {GO:0034511}</t>
  </si>
  <si>
    <t>sp|P23708|NFYA_MOUSE</t>
  </si>
  <si>
    <t>Nuclear transcription factor Y subunit alpha</t>
  </si>
  <si>
    <t>CAAT box DNA-binding protein subunit A; Nuclear transcription factor Y subunit A (NF-YA)</t>
  </si>
  <si>
    <t>NFYA_MOUSE</t>
  </si>
  <si>
    <t>P23708</t>
  </si>
  <si>
    <t>MGI:97316</t>
  </si>
  <si>
    <t>Activator; Alternative splicing; Biological rhythms; DNA-binding; Nucleus; Phosphoprotein; Transcription; Transcription regulation</t>
  </si>
  <si>
    <t>histone H3-K4 trimethylation {GO:0080182}; positive regulation of DNA-templated transcription {GO:0045893}; positive regulation of transcription by RNA polymerase II {GO:0045944}; regulation of DNA-templated transcription {GO:0006355}; regulation of histone acetylation {GO:0035065}; regulation of transcription by RNA polymerase II {GO:0006357}; rhythmic process {GO:0048511}</t>
  </si>
  <si>
    <t>CCAAT-binding factor complex {GO:0016602}; nucleoplasm {GO:0005654}; nucleus {GO:0005634}; protein-DNA complex {GO:0032993}; RNA polymerase II transcription regulator complex {GO:0090575}</t>
  </si>
  <si>
    <t>DNA binding {GO:0003677}; DNA-binding transcription activator activity, RNA polymerase II-specific {GO:0001228}; DNA-binding transcription factor activity {GO:0003700}; DNA-binding transcription factor activity, RNA polymerase II-specific {GO:0000981}; RNA polymerase II cis-regulatory region sequence-specific DNA binding {GO:0000978}; sequence-specific DNA binding {GO:0043565}; transcription cis-regulatory region binding {GO:0000976}; transcription coregulator binding {GO:0001221}</t>
  </si>
  <si>
    <t>sp|Q61235|SNTB2_MOUSE</t>
  </si>
  <si>
    <t>Beta-2-syntrophin</t>
  </si>
  <si>
    <t>59 kDa dystrophin-associated protein A1 basic component 2; Syntrophin-3 (SNT3); Syntrophin-like (SNTL)</t>
  </si>
  <si>
    <t>SNTB2_MOUSE</t>
  </si>
  <si>
    <t>Q61235</t>
  </si>
  <si>
    <t>Snt2b2</t>
  </si>
  <si>
    <t>MGI:101771</t>
  </si>
  <si>
    <t>Actin-binding; Calcium; Calmodulin-binding; Cell junction; Cytoplasm; Cytoplasmic vesicle; Cytoskeleton; Membrane; Microtubule; Phosphoprotein; Repeat</t>
  </si>
  <si>
    <t>Cell junction; Cytoplasm; Cytoplasmic vesicle; Cytoskeleton; Membrane; Microtubule</t>
  </si>
  <si>
    <t>anchoring junction {GO:0070161}; cytoplasm {GO:0005737}; dystrophin-associated glycoprotein complex {GO:0016010}; Golgi apparatus {GO:0005794}; microtubule {GO:0005874}; nucleoplasm {GO:0005654}; plasma membrane {GO:0005886}; protein-containing complex {GO:0032991}; synapse {GO:0045202}; transport vesicle membrane {GO:0030658}</t>
  </si>
  <si>
    <t>actin binding {GO:0003779}; calmodulin binding {GO:0005516}; structural molecule activity {GO:0005198}</t>
  </si>
  <si>
    <t>sp|A2A4P0|DHX8_MOUSE</t>
  </si>
  <si>
    <t>ATP-dependent RNA helicase DHX8</t>
  </si>
  <si>
    <t>DEAH box protein 8</t>
  </si>
  <si>
    <t>DHX8_MOUSE</t>
  </si>
  <si>
    <t>A2A4P0</t>
  </si>
  <si>
    <t>MGI:1306823</t>
  </si>
  <si>
    <t>ATP-binding; Helicase; Hydrolase; Isopeptide bond; mRNA processing; mRNA splicing; Nucleotide-binding; Nucleus; Phosphoprotein; Spliceosome; Ubl conjugation</t>
  </si>
  <si>
    <t>mRNA splicing, via spliceosome {GO:0000398}; spliceosomal complex disassembly {GO:0000390}</t>
  </si>
  <si>
    <t>catalytic step 2 spliceosome {GO:0071013}; cytosol {GO:0005829}; nuclear body {GO:0016604}; nucleoplasm {GO:0005654}; nucleus {GO:0005634}; U2-type catalytic step 2 spliceosome {GO:0071007}</t>
  </si>
  <si>
    <t>sp|Q9D8V7|SC11C_MOUSE</t>
  </si>
  <si>
    <t>Signal peptidase complex catalytic subunit SEC11C</t>
  </si>
  <si>
    <t>Microsomal signal peptidase 21 kDa subunit (SPase 21 kDa subunit); SEC11 homolog C; SEC11-like protein 3; SPC21</t>
  </si>
  <si>
    <t>SC11C_MOUSE</t>
  </si>
  <si>
    <t>Q9D8V7</t>
  </si>
  <si>
    <t>Sec11l3; Spc21</t>
  </si>
  <si>
    <t>MGI:1913536</t>
  </si>
  <si>
    <t>sp|Q91VE0|S27A4_MOUSE</t>
  </si>
  <si>
    <t>Long-chain fatty acid transport protein 4 (FATP-4; Fatty acid transport protein 4)</t>
  </si>
  <si>
    <t>Arachidonate--CoA ligase; Long-chain-fatty-acid--CoA ligase; Solute carrier family 27 member 4; Very long-chain acyl-CoA synthetase 4 (ACSVL4)</t>
  </si>
  <si>
    <t>S27A4_MOUSE</t>
  </si>
  <si>
    <t>Q91VE0</t>
  </si>
  <si>
    <t>O88562; Q3TD48</t>
  </si>
  <si>
    <t>MGI:1347347</t>
  </si>
  <si>
    <t>Endoplasmic reticulum; Fatty acid metabolism; Ligase; Lipid metabolism; Lipid transport; Membrane; Nucleotide-binding; Transmembrane; Transmembrane helix; Transport</t>
  </si>
  <si>
    <t>Fatty acid metabolism; Lipid metabolism; Lipid transport; Transport</t>
  </si>
  <si>
    <t>activation of GTPase activity {GO:0090630}; establishment of localization in cell {GO:0051649}; fatty acid metabolic process {GO:0006631}; fatty acid transport {GO:0015908}; glucose import in response to insulin stimulus {GO:0044381}; lipid transport across blood-brain barrier {GO:1990379}; long-chain fatty acid import into cell {GO:0044539}; long-chain fatty acid metabolic process {GO:0001676}; long-chain fatty acid transport {GO:0015909}; medium-chain fatty acid transport {GO:0001579}; negative regulation of all-trans-retinyl-ester hydrolase, 11-cis retinol forming activity {GO:0062003}; negative regulation of insulin receptor signaling pathway {GO:0046627}; positive regulation of apoptotic process {GO:0043065}; response to nutrient {GO:0007584}; skin development {GO:0043588}; very long-chain fatty acid catabolic process {GO:0042760}; very long-chain fatty acid metabolic process {GO:0000038}</t>
  </si>
  <si>
    <t>brush border membrane {GO:0031526}; endoplasmic reticulum {GO:0005783}; endoplasmic reticulum membrane {GO:0005789}; integral component of membrane {GO:0016021}; microvillus {GO:0005902}; plasma membrane {GO:0005886}</t>
  </si>
  <si>
    <t>arachidonate-CoA ligase activity {GO:0047676}; long-chain fatty acid transporter activity {GO:0005324}; long-chain fatty acid-CoA ligase activity {GO:0004467}; nucleotide binding {GO:0000166}; oleate transmembrane transporter activity {GO:1901480}; oleoyl-CoA ligase activity {GO:0090434}; palmitoyl-CoA ligase activity {GO:0090433}; very long-chain fatty acid-CoA ligase activity {GO:0031957}</t>
  </si>
  <si>
    <t>Transport of fatty acids {R-MMU-804914}</t>
  </si>
  <si>
    <t>sp|Q8BRH0|TMTC3_MOUSE</t>
  </si>
  <si>
    <t>Protein O-mannosyl-transferase TMTC3</t>
  </si>
  <si>
    <t>Transmembrane and TPR repeat-containing protein 3</t>
  </si>
  <si>
    <t>TMTC3_MOUSE</t>
  </si>
  <si>
    <t>Q8BRH0</t>
  </si>
  <si>
    <t>Q3TMN6</t>
  </si>
  <si>
    <t>MGI:3036255</t>
  </si>
  <si>
    <t>Alternative splicing; Endoplasmic reticulum; Glycoprotein; Membrane; Phosphoprotein; Repeat; TPR repeat; Transferase; Transmembrane; Transmembrane helix</t>
  </si>
  <si>
    <t>bud outgrowth involved in lung branching {GO:0060447}; cell differentiation {GO:0030154}; lung alveolus development {GO:0048286}; lung development {GO:0030324}; muscle cell development {GO:0055001}; positive regulation of proteasomal protein catabolic process {GO:1901800}; post-embryonic development {GO:0009791}; protein O-linked mannosylation {GO:0035269}; regulation of gene expression {GO:0010468}; response to endoplasmic reticulum stress {GO:0034976}</t>
  </si>
  <si>
    <t>dolichyl-phosphate-mannose-protein mannosyltransferase activity {GO:0004169}; mannosyltransferase activity {GO:0000030}</t>
  </si>
  <si>
    <t>sp|Q9QYY8|SPAST_MOUSE</t>
  </si>
  <si>
    <t>Spastin</t>
  </si>
  <si>
    <t>SPAST_MOUSE</t>
  </si>
  <si>
    <t>Q9QYY8</t>
  </si>
  <si>
    <t>Q6ZPY6; Q80VE0; Q9CVK0</t>
  </si>
  <si>
    <t>MGI:1858896</t>
  </si>
  <si>
    <t>Allosteric enzyme; Alternative splicing; ATP-binding; Cell cycle; Cell division; Cell projection; Cytoplasm; Cytoskeleton; Developmental protein; Differentiation; Endoplasmic reticulum; Endosome; Isomerase; Lipid droplet; Membrane; Microtubule; Neurogenesis; Nucleotide-binding; Nucleus; Phosphoprotein</t>
  </si>
  <si>
    <t>Cell cycle; Cell division; Differentiation; Neurogenesis</t>
  </si>
  <si>
    <t>Cell projection; Cytoplasm; Cytoskeleton; Endoplasmic reticulum; Endosome; Lipid droplet; Membrane; Microtubule; Nucleus</t>
  </si>
  <si>
    <t>Allosteric enzyme; Developmental protein; Isomerase</t>
  </si>
  <si>
    <t>anterograde axonal transport {GO:0008089}; axonal transport of mitochondrion {GO:0019896}; axonogenesis {GO:0007409}; cytokinetic process {GO:0032506}; endoplasmic reticulum to Golgi vesicle-mediated transport {GO:0006888}; exit from mitosis {GO:0010458}; membrane fission {GO:0090148}; metabolic process {GO:0008152}; microtubule bundle formation {GO:0001578}; microtubule severing {GO:0051013}; mitotic cytokinesis {GO:0000281}; mitotic spindle disassembly {GO:0051228}; nuclear membrane reassembly {GO:0031468}; positive regulation of cytokinesis {GO:0032467}; positive regulation of microtubule depolymerization {GO:0031117}; protein hexamerization {GO:0034214}; protein homooligomerization {GO:0051260}</t>
  </si>
  <si>
    <t>axon {GO:0030424}; axon cytoplasm {GO:1904115}; centrosome {GO:0005813}; cytoplasm {GO:0005737}; cytoplasmic vesicle {GO:0031410}; cytosol {GO:0005829}; endoplasmic reticulum {GO:0005783}; endoplasmic reticulum membrane {GO:0005789}; endoplasmic reticulum tubular network {GO:0071782}; endosome {GO:0005768}; integral component of membrane {GO:0016021}; lipid droplet {GO:0005811}; microtubule {GO:0005874}; microtubule cytoskeleton {GO:0015630}; midbody {GO:0030496}; nuclear membrane {GO:0031965}; nucleoplasm {GO:0005654}; nucleus {GO:0005634}; perinuclear region of cytoplasm {GO:0048471}; spindle pole {GO:0000922}</t>
  </si>
  <si>
    <t>alpha-tubulin binding {GO:0043014}; ATP binding {GO:0005524}; ATP hydrolysis activity {GO:0016887}; beta-tubulin binding {GO:0048487}; isomerase activity {GO:0016853}; microtubule binding {GO:0008017}; microtubule severing ATPase activity {GO:0008568}</t>
  </si>
  <si>
    <t>sp|Q8C5Q4|GRSF1_MOUSE</t>
  </si>
  <si>
    <t>G-rich sequence factor 1 (GRSF-1)</t>
  </si>
  <si>
    <t>GRSF1_MOUSE</t>
  </si>
  <si>
    <t>Q8C5Q4</t>
  </si>
  <si>
    <t>Q8BR05; Q8BRG7</t>
  </si>
  <si>
    <t>MGI:106479</t>
  </si>
  <si>
    <t>Mitochondrion; mRNA processing; Phosphoprotein; Repeat; RNA-binding; Transit peptide; tRNA processing</t>
  </si>
  <si>
    <t>anterior/posterior pattern specification {GO:0009952}; morphogenesis of embryonic epithelium {GO:0016331}; mRNA processing {GO:0006397}; positive regulation of mitochondrial RNA catabolic process {GO:0000962}; regulation of RNA splicing {GO:0043484}; tRNA processing {GO:0008033}</t>
  </si>
  <si>
    <t>mitochondrial nucleoid {GO:0042645}; mitochondrion {GO:0005739}; nucleoplasm {GO:0005654}; ribonucleoprotein complex {GO:1990904}; ribonucleoprotein granule {GO:0035770}</t>
  </si>
  <si>
    <t>sp|P97797|SHPS1_MOUSE</t>
  </si>
  <si>
    <t>Tyrosine-protein phosphatase non-receptor type substrate 1 (SHP substrate 1; SHPS-1)</t>
  </si>
  <si>
    <t>Brain Ig-like molecule with tyrosine-based activation motifs (Bit); CD172 antigen-like family member A; Inhibitory receptor SHPS-1; MyD-1 antigen; Signal-regulatory protein alpha-1 (Sirp-alpha-1; mSIRP-alpha1); p84; CD_antigen=CD172a</t>
  </si>
  <si>
    <t>SHPS1_MOUSE</t>
  </si>
  <si>
    <t>P97797</t>
  </si>
  <si>
    <t>A0A0R4J1Z7; E0CYM8; E9QPT7; O08907; O35924; O88555; O88556; P97796; Q8R559; Q9QX57; Q9WTN4</t>
  </si>
  <si>
    <t>Bit; Myd1; Ptpns1; Shps1; Sirp</t>
  </si>
  <si>
    <t>MGI:108563</t>
  </si>
  <si>
    <t>3D-structure; Alternative splicing; Disulfide bond; Glycoprotein; Immunoglobulin domain; Membrane; Phosphoprotein; Repeat; SH3-binding; Signal; Transmembrane; Transmembrane helix</t>
  </si>
  <si>
    <t>Immunoglobulin domain; Repeat; SH3-binding; Signal; Transmembrane; Transmembrane helix</t>
  </si>
  <si>
    <t>actin filament organization {GO:0007015}; cell migration {GO:0016477}; cell-matrix adhesion {GO:0007160}; cellular response to hydrogen peroxide {GO:0070301}; cellular response to interferon-gamma {GO:0071346}; cellular response to interleukin-1 {GO:0071347}; cellular response to interleukin-12 {GO:0071349}; cellular response to lipopolysaccharide {GO:0071222}; cytoskeleton organization {GO:0007010}; granulocyte migration {GO:0097530}; hematopoietic progenitor cell differentiation {GO:0002244}; monocyte extravasation {GO:0035696}; negative regulation of chemokine (C-C motif) ligand 5 production {GO:0071650}; negative regulation of cytokine production involved in inflammatory response {GO:1900016}; negative regulation of ERK1 and ERK2 cascade {GO:0070373}; negative regulation of I-kappaB phosphorylation {GO:1903720}; negative regulation of inflammatory response {GO:0050728}; negative regulation of interferon-beta production {GO:0032688}; negative regulation of interleukin-6 production {GO:0032715}; negative regulation of JNK cascade {GO:0046329}; negative regulation of macrophage inflammatory protein 1 alpha production {GO:0071641}; negative regulation of nitric oxide biosynthetic process {GO:0045019}; negative regulation of phagocytosis {GO:0050765}; negative regulation of protein phosphorylation {GO:0001933}; negative regulation of tumor necrosis factor production {GO:0032720}; phagocytosis, engulfment {GO:0006911}; phagocytosis, recognition {GO:0006910}; positive regulation of phagocytosis {GO:0050766}; positive regulation of T cell activation {GO:0050870}; regulation of gene expression {GO:0010468}; regulation of interferon-gamma production {GO:0032649}; regulation of interleukin-1 beta production {GO:0032651}; regulation of interleukin-6 production {GO:0032675}; regulation of nitric oxide biosynthetic process {GO:0045428}; regulation of tumor necrosis factor production {GO:0032680}</t>
  </si>
  <si>
    <t>cell-cell adhesion mediator activity {GO:0098632}; GTPase regulator activity {GO:0030695}; protein antigen binding {GO:1990405}; protein binding involved in heterotypic cell-cell adhesion {GO:0086080}; protein phosphatase binding {GO:0019903}; protein phosphorylated amino acid binding {GO:0045309}; protein tyrosine kinase binding {GO:1990782}; SH3 domain binding {GO:0017124}</t>
  </si>
  <si>
    <t>Cell surface interactions at the vascular wall {R-MMU-202733}; DAP12 interactions {R-MMU-2172127}; Signal regulatory protein family interactions {R-MMU-391160}; Neutrophil degranulation {R-MMU-6798695}</t>
  </si>
  <si>
    <t>sp|Q9Z2R6|U119A_MOUSE</t>
  </si>
  <si>
    <t>Protein unc-119 homolog A</t>
  </si>
  <si>
    <t>Retinal protein 4 (mRG4)</t>
  </si>
  <si>
    <t>U119A_MOUSE</t>
  </si>
  <si>
    <t>Q9Z2R6</t>
  </si>
  <si>
    <t>Unc119h</t>
  </si>
  <si>
    <t>MGI:1328357</t>
  </si>
  <si>
    <t>Cone-rod dystrophy; Cytoplasm; Cytoskeleton; Endocytosis; Lipid-binding; Phosphoprotein; Protein transport; Sensory transduction; Transport; Vision</t>
  </si>
  <si>
    <t>Endocytosis; Protein transport; Sensory transduction; Transport; Vision</t>
  </si>
  <si>
    <t>Cone-rod dystrophy</t>
  </si>
  <si>
    <t>endocytosis {GO:0006897}; lipoprotein transport {GO:0042953}; mitotic cytokinesis {GO:0000281}; negative regulation of caveolin-mediated endocytosis {GO:2001287}; negative regulation of clathrin-dependent endocytosis {GO:1900186}; nervous system development {GO:0007399}; positive regulation of protein tyrosine kinase activity {GO:0061098}; response to stimulus {GO:0050896}; visual perception {GO:0007601}</t>
  </si>
  <si>
    <t>centrosome {GO:0005813}; cytoplasm {GO:0005737}; intercellular bridge {GO:0045171}; spindle midzone {GO:0051233}; spindle pole {GO:0000922}</t>
  </si>
  <si>
    <t>sp|P36552|HEM6_MOUSE</t>
  </si>
  <si>
    <t>Oxygen-dependent coproporphyrinogen-III oxidase, mitochondrial (COX; Coprogen oxidase; Coproporphyrinogenase)</t>
  </si>
  <si>
    <t>HEM6_MOUSE</t>
  </si>
  <si>
    <t>P36552</t>
  </si>
  <si>
    <t>Q7TQ36; Q8VD08</t>
  </si>
  <si>
    <t>Cpo</t>
  </si>
  <si>
    <t>MGI:104841</t>
  </si>
  <si>
    <t>Acetylation; Heme biosynthesis; Mitochondrion; Oxidoreductase; Phosphoprotein; Porphyrin biosynthesis; Transit peptide</t>
  </si>
  <si>
    <t>heme biosynthetic process {GO:0006783}; potassium ion transport {GO:0006813}; protoporphyrinogen IX biosynthetic process {GO:0006782}; response to arsenic-containing substance {GO:0046685}; response to insecticide {GO:0017085}; response to iron ion {GO:0010039}; response to lead ion {GO:0010288}; response to methylmercury {GO:0051597}; sodium ion transport {GO:0006814}</t>
  </si>
  <si>
    <t>cytoplasm {GO:0005737}; cytosol {GO:0005829}; membrane {GO:0016020}; mitochondrial inner membrane {GO:0005743}; mitochondrial intermembrane space {GO:0005758}; mitochondrion {GO:0005739}</t>
  </si>
  <si>
    <t>coproporphyrinogen oxidase activity {GO:0004109}; identical protein binding {GO:0042802}; P-type sodium:potassium-exchanging transporter activity {GO:0005391}; protein homodimerization activity {GO:0042803}; structural constituent of eye lens {GO:0005212}</t>
  </si>
  <si>
    <t>Porphyrin-containing compound metabolism; protoporphyrin-IX biosynthesis; protoporphyrinogen-IX from coproporphyrinogen-III (O2 route): step 1/1..</t>
  </si>
  <si>
    <t>sp|Q9DC63|FBX3_MOUSE</t>
  </si>
  <si>
    <t>F-box only protein 3</t>
  </si>
  <si>
    <t>FBX3_MOUSE</t>
  </si>
  <si>
    <t>Q9DC63</t>
  </si>
  <si>
    <t>A2BHN5; A2BHN7; Q3TKB0; Q3U9C1; Q8C7I0; Q8CEJ0; Q91VI9; Q9D2J5; Q9JIE4</t>
  </si>
  <si>
    <t>Fba; Fbx3</t>
  </si>
  <si>
    <t>MGI:1929084</t>
  </si>
  <si>
    <t>Alternative splicing; Nucleus; Ubl conjugation pathway</t>
  </si>
  <si>
    <t>sp|Q8JZS9|RM48_MOUSE</t>
  </si>
  <si>
    <t>39S ribosomal protein L48, mitochondrial (L48mt; MRP-L48)</t>
  </si>
  <si>
    <t>RM48_MOUSE</t>
  </si>
  <si>
    <t>Q8JZS9</t>
  </si>
  <si>
    <t>Q4VA35</t>
  </si>
  <si>
    <t>MGI:1289321</t>
  </si>
  <si>
    <t>sp|P97364|SPS2_MOUSE</t>
  </si>
  <si>
    <t>Selenide, water dikinase 2</t>
  </si>
  <si>
    <t>Selenium donor protein 2; Selenophosphate synthase 2</t>
  </si>
  <si>
    <t>SPS2_MOUSE</t>
  </si>
  <si>
    <t>P97364</t>
  </si>
  <si>
    <t>Q3TGI4; Q80ZY9</t>
  </si>
  <si>
    <t>Sps2</t>
  </si>
  <si>
    <t>MGI:108388</t>
  </si>
  <si>
    <t>Acetylation; ATP-binding; Kinase; Magnesium; Metal-binding; Nucleotide-binding; Phosphoprotein; Selenium; Selenocysteine; Transferase; Ubl conjugation</t>
  </si>
  <si>
    <t>phosphorylation {GO:0016310}; selenium compound metabolic process {GO:0001887}; selenocysteine biosynthetic process {GO:0016260}</t>
  </si>
  <si>
    <t>ATP binding {GO:0005524}; metal ion binding {GO:0046872}; selenide, water dikinase activity {GO:0004756}</t>
  </si>
  <si>
    <t>Selenocysteine synthesis {R-MMU-2408557}</t>
  </si>
  <si>
    <t>tr|E9Q7M2|E9Q7M2_MOUSE</t>
  </si>
  <si>
    <t>sp|O88396|GRPE2_MOUSE</t>
  </si>
  <si>
    <t>GrpE protein homolog 2, mitochondrial</t>
  </si>
  <si>
    <t>Mt-GrpE#2</t>
  </si>
  <si>
    <t>GRPE2_MOUSE</t>
  </si>
  <si>
    <t>O88396</t>
  </si>
  <si>
    <t>Q3ULH8; Q9CQ97</t>
  </si>
  <si>
    <t>Mt-grpel2</t>
  </si>
  <si>
    <t>MGI:1334416</t>
  </si>
  <si>
    <t>mitochondrial inner membrane {GO:0005743}; mitochondrion {GO:0005739}; PAM complex, Tim23 associated import motor {GO:0001405}</t>
  </si>
  <si>
    <t>adenyl-nucleotide exchange factor activity {GO:0000774}; chaperone binding {GO:0051087}; protein homodimerization activity {GO:0042803}; unfolded protein binding {GO:0051082}</t>
  </si>
  <si>
    <t>sp|Q80VC6|TSAP1_MOUSE</t>
  </si>
  <si>
    <t>tRNA selenocysteine 1-associated protein 1</t>
  </si>
  <si>
    <t>SECp43; tRNA selenocysteine-associated protein 1</t>
  </si>
  <si>
    <t>TSAP1_MOUSE</t>
  </si>
  <si>
    <t>Q80VC6</t>
  </si>
  <si>
    <t>Q05DN9; Q4FZE9; Q7TMM7</t>
  </si>
  <si>
    <t>Secp43; Trspap1</t>
  </si>
  <si>
    <t>MGI:1919037</t>
  </si>
  <si>
    <t>Cytoplasm; Nucleus; Protein biosynthesis; Repeat; RNA-binding</t>
  </si>
  <si>
    <t>selenocysteine incorporation {GO:0001514}</t>
  </si>
  <si>
    <t>tRNA binding {GO:0000049}</t>
  </si>
  <si>
    <t>sp|Q8BZ36|RINT1_MOUSE</t>
  </si>
  <si>
    <t>RAD50-interacting protein 1</t>
  </si>
  <si>
    <t>RAD50 interactor 1 (RINT-1)</t>
  </si>
  <si>
    <t>RINT1_MOUSE</t>
  </si>
  <si>
    <t>Q8BZ36</t>
  </si>
  <si>
    <t>Q3UXS1; Q6P1I2; Q8C193</t>
  </si>
  <si>
    <t>MGI:1916233</t>
  </si>
  <si>
    <t>Alternative splicing; Cell cycle; Coiled coil; Cytoplasm; Endoplasmic reticulum; ER-Golgi transport; Membrane; Protein transport; Transport</t>
  </si>
  <si>
    <t>Cell cycle; ER-Golgi transport; Protein transport; Transport</t>
  </si>
  <si>
    <t>endoplasmic reticulum to Golgi vesicle-mediated transport {GO:0006888}; mitotic G2 DNA damage checkpoint signaling {GO:0007095}; protein transport {GO:0015031}; regulation of ER to Golgi vesicle-mediated transport {GO:0060628}; retrograde vesicle-mediated transport, Golgi to endoplasmic reticulum {GO:0006890}</t>
  </si>
  <si>
    <t>Dsl1/NZR complex {GO:0070939}; endoplasmic reticulum {GO:0005783}; endoplasmic reticulum membrane {GO:0005789}</t>
  </si>
  <si>
    <t>sp|Q8R4R6|NUP35_MOUSE</t>
  </si>
  <si>
    <t>Nucleoporin NUP35</t>
  </si>
  <si>
    <t>35 kDa nucleoporin; Mitotic phosphoprotein 44 (MP-44); Nuclear pore complex protein Nup53; Nucleoporin NUP53</t>
  </si>
  <si>
    <t>NUP35_MOUSE</t>
  </si>
  <si>
    <t>Q8R4R6</t>
  </si>
  <si>
    <t>A2ATJ3; Q9D7J2</t>
  </si>
  <si>
    <t>Mp44; Nup53</t>
  </si>
  <si>
    <t>MGI:1916732</t>
  </si>
  <si>
    <t>3D-structure; Membrane; mRNA transport; Nuclear pore complex; Nucleus; Phosphoprotein; Protein transport; Translocation; Transport</t>
  </si>
  <si>
    <t>cellular response to leukemia inhibitory factor {GO:1990830}; mRNA transport {GO:0051028}; NLS-bearing protein import into nucleus {GO:0006607}; nuclear pore organization {GO:0006999}; nucleocytoplasmic transport {GO:0006913}; regulation of DNA-templated transcription {GO:0006355}</t>
  </si>
  <si>
    <t>nuclear envelope {GO:0005635}; nuclear lamina {GO:0005652}; nuclear membrane {GO:0031965}; nuclear pore {GO:0005643}; nuclear pore central transport channel {GO:0044613}; nuclear pore nuclear basket {GO:0044615}; nucleoplasm {GO:0005654}; plasma membrane {GO:0005886}</t>
  </si>
  <si>
    <t>identical protein binding {GO:0042802}; phospholipid binding {GO:0005543}; single-stranded DNA binding {GO:0003697}; structural constituent of nuclear pore {GO:0017056}</t>
  </si>
  <si>
    <t>sp|P03888|NU1M_MOUSE</t>
  </si>
  <si>
    <t>NADH-ubiquinone oxidoreductase chain 1</t>
  </si>
  <si>
    <t>NADH dehydrogenase subunit 1</t>
  </si>
  <si>
    <t>NU1M_MOUSE</t>
  </si>
  <si>
    <t>P03888</t>
  </si>
  <si>
    <t>Q9G0S6</t>
  </si>
  <si>
    <t>mt-Nd1; Nd1</t>
  </si>
  <si>
    <t>MGI:101787</t>
  </si>
  <si>
    <t>3D-structure; Electron transport; Membrane; Mitochondrion; Mitochondrion inner membrane; NAD; Respiratory chain; Translocase; Transmembrane; Transmembrane helix; Transport; Ubiquinone</t>
  </si>
  <si>
    <t>aerobic respiration {GO:0009060}; mitochondrial electron transport, NADH to ubiquinone {GO:0006120}; mitochondrial respiratory chain complex I assembly {GO:0032981}; proton motive force-driven mitochondrial ATP synthesis {GO:0042776}; response to hydroperoxide {GO:0033194}; response to organic cyclic compound {GO:0014070}; response to xenobiotic stimulus {GO:0009410}</t>
  </si>
  <si>
    <t>dendrite {GO:0030425}; mitochondrial inner membrane {GO:0005743}; mitochondrial membrane {GO:0031966}; mitochondrial respiratory chain complex I {GO:0005747}; mitochondrion {GO:0005739}; neuronal cell body {GO:0043025}</t>
  </si>
  <si>
    <t>sp|Q60866|PTER_MOUSE</t>
  </si>
  <si>
    <t>Phosphotriesterase-related protein</t>
  </si>
  <si>
    <t>Parathion hydrolase-related protein</t>
  </si>
  <si>
    <t>PTER_MOUSE</t>
  </si>
  <si>
    <t>Q60866</t>
  </si>
  <si>
    <t>A2AUR4; A2AUR6; Q8BTA3</t>
  </si>
  <si>
    <t>MGI:107372</t>
  </si>
  <si>
    <t>Alternative splicing; Hydrolase; Metal-binding</t>
  </si>
  <si>
    <t>catabolic process {GO:0009056}; epithelial cell differentiation {GO:0030855}</t>
  </si>
  <si>
    <t>sp|Q9CS72|FLIP1_MOUSE</t>
  </si>
  <si>
    <t>Filamin-A-interacting protein 1 (FILIP)</t>
  </si>
  <si>
    <t>FLIP1_MOUSE</t>
  </si>
  <si>
    <t>Q9CS72</t>
  </si>
  <si>
    <t>Q059P4</t>
  </si>
  <si>
    <t>MGI:1917848</t>
  </si>
  <si>
    <t>Coiled coil; Cytoplasm; Cytoskeleton; Phosphoprotein</t>
  </si>
  <si>
    <t>modification of postsynaptic structure {GO:0099010}</t>
  </si>
  <si>
    <t>actin cytoskeleton {GO:0015629}; cytoplasm {GO:0005737}; glutamatergic synapse {GO:0098978}; nucleolus {GO:0005730}; plasma membrane {GO:0005886}; postsynaptic actin cytoskeleton {GO:0098871}</t>
  </si>
  <si>
    <t>sp|Q9CS74|ECD_MOUSE</t>
  </si>
  <si>
    <t>Protein ecdysoneless homolog</t>
  </si>
  <si>
    <t>ECD_MOUSE</t>
  </si>
  <si>
    <t>Q9CS74</t>
  </si>
  <si>
    <t>MGI:1917851</t>
  </si>
  <si>
    <t>Activator; Cytoplasm; mRNA processing; mRNA splicing; Nucleus; Phosphoprotein; Transcription; Transcription regulation</t>
  </si>
  <si>
    <t>fibroblast proliferation {GO:0048144}; mRNA processing {GO:0006397}; positive regulation of transcription by RNA polymerase II {GO:0045944}; regulation of G1/S transition of mitotic cell cycle {GO:2000045}; RNA splicing {GO:0008380}</t>
  </si>
  <si>
    <t>histone acetyltransferase binding {GO:0035035}</t>
  </si>
  <si>
    <t>sp|O35075|VP26C_MOUSE</t>
  </si>
  <si>
    <t>Vacuolar protein sorting-associated protein 26C</t>
  </si>
  <si>
    <t>Down syndrome critical region protein 3 homolog; Down syndrome critical region protein A homolog</t>
  </si>
  <si>
    <t>VP26C_MOUSE</t>
  </si>
  <si>
    <t>O35075</t>
  </si>
  <si>
    <t>Q542V5</t>
  </si>
  <si>
    <t>Dcra; Dscr3; Dscra</t>
  </si>
  <si>
    <t>MGI:1206040</t>
  </si>
  <si>
    <t>endocytic recycling {GO:0032456}; intracellular protein transport {GO:0006886}</t>
  </si>
  <si>
    <t>sp|O55236|MCE1_MOUSE</t>
  </si>
  <si>
    <t>mRNA guanylyltransferase</t>
  </si>
  <si>
    <t>HCE; MCE1; mRNA 5'-phosphatase; GTP--RNA guanylyltransferase (GTase)</t>
  </si>
  <si>
    <t>MCE1_MOUSE</t>
  </si>
  <si>
    <t>O55236</t>
  </si>
  <si>
    <t>Cap1a</t>
  </si>
  <si>
    <t>MGI:1329041</t>
  </si>
  <si>
    <t>3D-structure; GTP-binding; Hydrolase; mRNA capping; mRNA processing; Multifunctional enzyme; Nucleotide-binding; Nucleotidyltransferase; Nucleus; Protein phosphatase; Transferase</t>
  </si>
  <si>
    <t>Hydrolase; Multifunctional enzyme; Nucleotidyltransferase; Protein phosphatase; Transferase</t>
  </si>
  <si>
    <t>7-methylguanosine mRNA capping {GO:0006370}; protein dephosphorylation {GO:0006470}; RNA processing {GO:0006396}</t>
  </si>
  <si>
    <t>ATP binding {GO:0005524}; GTP binding {GO:0005525}; inorganic triphosphate phosphatase activity {GO:0050355}; mRNA 5'-phosphatase activity {GO:0140818}; mRNA guanylyltransferase activity {GO:0004484}; polynucleotide 5'-phosphatase activity {GO:0004651}; protein tyrosine/serine/threonine phosphatase activity {GO:0008138}; RNA guanylyltransferase activity {GO:0008192}</t>
  </si>
  <si>
    <t>sp|G5E897|PLGT3_MOUSE</t>
  </si>
  <si>
    <t>Protein O-glucosyltransferase 3</t>
  </si>
  <si>
    <t>KDEL motif-containing protein 2; Protein O-xylosyltransferase POGLUT3</t>
  </si>
  <si>
    <t>PLGT3_MOUSE</t>
  </si>
  <si>
    <t>G5E897</t>
  </si>
  <si>
    <t>Q8C6F3</t>
  </si>
  <si>
    <t>Kdelc2</t>
  </si>
  <si>
    <t>MGI:1923765</t>
  </si>
  <si>
    <t>endomembrane system {GO:0012505}; endoplasmic reticulum lumen {GO:0005788}</t>
  </si>
  <si>
    <t>sp|Q9DBT3|CCD97_MOUSE</t>
  </si>
  <si>
    <t>Coiled-coil domain-containing protein 97</t>
  </si>
  <si>
    <t>CCD97_MOUSE</t>
  </si>
  <si>
    <t>Q9DBT3</t>
  </si>
  <si>
    <t>Q922V3</t>
  </si>
  <si>
    <t>D7Ertd462e</t>
  </si>
  <si>
    <t>MGI:1196455</t>
  </si>
  <si>
    <t>sp|Q06335|APLP2_MOUSE</t>
  </si>
  <si>
    <t>Amyloid beta precursor like protein 2</t>
  </si>
  <si>
    <t>Amyloid beta (A4) precursor-like protein 2; Amyloid protein homolog; Amyloid-like protein 2 (APLP-2); CDEI box-binding protein (CDEBP); Sperm membrane protein YWK-II</t>
  </si>
  <si>
    <t>APLP2_MOUSE</t>
  </si>
  <si>
    <t>Q06335</t>
  </si>
  <si>
    <t>Q80US7</t>
  </si>
  <si>
    <t>APPL2</t>
  </si>
  <si>
    <t>MGI:88047</t>
  </si>
  <si>
    <t>Alternative splicing; Cell membrane; Copper; Disulfide bond; DNA-binding; Glycoprotein; Membrane; Metal-binding; Nucleus; Phosphoprotein; Signal; Transmembrane; Transmembrane helix</t>
  </si>
  <si>
    <t>axonogenesis {GO:0007409}; cellular copper ion homeostasis {GO:0006878}; central nervous system development {GO:0007417}; cholesterol metabolic process {GO:0008203}; extracellular matrix organization {GO:0030198}; forebrain development {GO:0030900}; locomotory behavior {GO:0007626}; mating behavior {GO:0007617}; midbrain development {GO:0030901}; neuromuscular process controlling balance {GO:0050885}; regulation of cellular protein metabolic process {GO:0032268}; regulation of epidermal growth factor-activated receptor activity {GO:0007176}; regulation of protein binding {GO:0043393}; suckling behavior {GO:0001967}</t>
  </si>
  <si>
    <t>integral component of membrane {GO:0016021}; nucleus {GO:0005634}; plasma membrane {GO:0005886}</t>
  </si>
  <si>
    <t>DNA binding {GO:0003677}; heparin binding {GO:0008201}; identical protein binding {GO:0042802}; serine-type endopeptidase inhibitor activity {GO:0004867}; transition metal ion binding {GO:0046914}</t>
  </si>
  <si>
    <t>Platelet degranulation {R-MMU-114608}; Regulation of Insulin-like Growth Factor (IGF) transport and uptake by Insulin-like Growth Factor Binding Proteins (IGFBPs) {R-MMU-381426}; Post-translational protein phosphorylation {R-MMU-8957275}</t>
  </si>
  <si>
    <t>sp|Q9D666|SUN1_MOUSE</t>
  </si>
  <si>
    <t>SUN domain-containing protein 1</t>
  </si>
  <si>
    <t>Protein unc-84 homolog A; Sad1/unc-84 protein-like 1</t>
  </si>
  <si>
    <t>SUN1_MOUSE</t>
  </si>
  <si>
    <t>Q9D666</t>
  </si>
  <si>
    <t>D3Z0V9; Q3TIW3; Q3TV96; Q6B4H0; Q80SU8; Q8BZ99; Q99P23</t>
  </si>
  <si>
    <t>Unc84a</t>
  </si>
  <si>
    <t>MGI:1924303</t>
  </si>
  <si>
    <t>3D-structure; Alternative splicing; Coiled coil; Cytoplasmic vesicle; Differentiation; Disulfide bond; Meiosis; Membrane; Nucleus; Phosphoprotein; Signal-anchor; Spermatogenesis; Transmembrane; Transmembrane helix</t>
  </si>
  <si>
    <t>Cytoplasmic vesicle; Membrane; Nucleus</t>
  </si>
  <si>
    <t>centrosome localization {GO:0051642}; homologous chromosome pairing at meiosis {GO:0007129}; meiotic attachment of telomere to nuclear envelope {GO:0070197}; nuclear envelope organization {GO:0006998}; nuclear matrix anchoring at nuclear membrane {GO:0090292}; nucleokinesis involved in cell motility in cerebral cortex radial glia guided migration {GO:0021817}; spermatogenesis {GO:0007283}</t>
  </si>
  <si>
    <t>cytoplasm {GO:0005737}; integral component of membrane {GO:0016021}; integral component of nuclear inner membrane {GO:0005639}; intracellular membrane-bounded organelle {GO:0043231}; meiotic nuclear membrane microtubule tethering complex {GO:0034993}; nuclear envelope {GO:0005635}; nuclear membrane {GO:0031965}; nucleus {GO:0005634}; outer acrosomal membrane {GO:0002081}</t>
  </si>
  <si>
    <t>cytoskeleton-nuclear membrane anchor activity {GO:0140444}; lamin binding {GO:0005521}; protein-membrane adaptor activity {GO:0043495}</t>
  </si>
  <si>
    <t>sp|Q63961|EGLN_MOUSE</t>
  </si>
  <si>
    <t>Endoglin</t>
  </si>
  <si>
    <t>Cell surface MJ7/18 antigen; CD_antigen=CD105</t>
  </si>
  <si>
    <t>EGLN_MOUSE</t>
  </si>
  <si>
    <t>Q63961</t>
  </si>
  <si>
    <t>Q61520; Q8K100</t>
  </si>
  <si>
    <t>Edg</t>
  </si>
  <si>
    <t>MGI:95392</t>
  </si>
  <si>
    <t>Angiogenesis; Cell adhesion; Cell membrane; Disulfide bond; Glycoprotein; Membrane; Phosphoprotein; Signal; Transmembrane; Transmembrane helix</t>
  </si>
  <si>
    <t>Angiogenesis; Cell adhesion</t>
  </si>
  <si>
    <t>angiogenesis {GO:0001525}; artery morphogenesis {GO:0048844}; atrial cardiac muscle tissue morphogenesis {GO:0055009}; atrioventricular canal morphogenesis {GO:1905222}; bone development {GO:0060348}; branching involved in blood vessel morphogenesis {GO:0001569}; cardiac atrium morphogenesis {GO:0003209}; cardiac ventricle morphogenesis {GO:0003208}; cell adhesion {GO:0007155}; cell chemotaxis {GO:0060326}; cell migration {GO:0016477}; cell migration involved in endocardial cushion formation {GO:0003273}; cell motility {GO:0048870}; cellular response to mechanical stimulus {GO:0071260}; central nervous system vasculogenesis {GO:0022009}; detection of hypoxia {GO:0070483}; dorsal aorta morphogenesis {GO:0035912}; endocardial cushion morphogenesis {GO:0003203}; epithelial to mesenchymal transition {GO:0001837}; epithelial to mesenchymal transition involved in endocardial cushion formation {GO:0003198}; extracellular matrix constituent secretion {GO:0070278}; extracellular matrix disassembly {GO:0022617}; heart development {GO:0007507}; heart looping {GO:0001947}; negative regulation of cell migration {GO:0030336}; negative regulation of endothelial cell proliferation {GO:0001937}; negative regulation of gene expression {GO:0010629}; negative regulation of nitric-oxide synthase activity {GO:0051001}; negative regulation of pathway-restricted SMAD protein phosphorylation {GO:0060394}; negative regulation of protein autophosphorylation {GO:0031953}; negative regulation of transcription by RNA polymerase II {GO:0000122}; outflow tract septum morphogenesis {GO:0003148}; positive regulation of angiogenesis {GO:0045766}; positive regulation of BMP signaling pathway {GO:0030513}; positive regulation of collagen biosynthetic process {GO:0032967}; positive regulation of epithelial to mesenchymal transition involved in endocardial cushion formation {GO:1905007}; positive regulation of gene expression {GO:0010628}; positive regulation of pathway-restricted SMAD protein phosphorylation {GO:0010862}; positive regulation of protein kinase B signaling {GO:0051897}; positive regulation of protein phosphorylation {GO:0001934}; positive regulation of systemic arterial blood pressure {GO:0003084}; positive regulation of transcription by RNA polymerase II {GO:0045944}; positive regulation of vascular associated smooth muscle cell differentiation {GO:1905065}; regulation of DNA-templated transcription {GO:0006355}; regulation of transforming growth factor beta receptor signaling pathway {GO:0017015}; response to corticosteroid {GO:0031960}; response to hypoxia {GO:0001666}; response to xenobiotic stimulus {GO:0009410}; smooth muscle tissue development {GO:0048745}; transforming growth factor beta receptor signaling pathway {GO:0007179}; vascular associated smooth muscle cell development {GO:0097084}; vasculogenesis {GO:0001570}; venous blood vessel morphogenesis {GO:0048845}; ventricular trabecula myocardium morphogenesis {GO:0003222}; wound healing {GO:0042060}</t>
  </si>
  <si>
    <t>cell surface {GO:0009986}; endothelial microparticle {GO:0072563}; external side of plasma membrane {GO:0009897}; extracellular space {GO:0005615}; integral component of membrane {GO:0016021}; nuclear body {GO:0016604}; plasma membrane {GO:0005886}; receptor complex {GO:0043235}</t>
  </si>
  <si>
    <t>BMP binding {GO:0036122}; coreceptor activity {GO:0015026}; galactose binding {GO:0005534}; glycosaminoglycan binding {GO:0005539}; identical protein binding {GO:0042802}; protein homodimerization activity {GO:0042803}; transforming growth factor beta binding {GO:0050431}; transforming growth factor beta receptor activity {GO:0005024}; type I transforming growth factor beta receptor binding {GO:0034713}; type II transforming growth factor beta receptor binding {GO:0005114}</t>
  </si>
  <si>
    <t>sp|Q91VS8|FARP2_MOUSE</t>
  </si>
  <si>
    <t>FERM, ARHGEF and pleckstrin domain-containing protein 2</t>
  </si>
  <si>
    <t>FERM domain including RhoGEF (FIR); FERM, RhoGEF and pleckstrin domain-containing protein 2</t>
  </si>
  <si>
    <t>FARP2_MOUSE</t>
  </si>
  <si>
    <t>Q91VS8</t>
  </si>
  <si>
    <t>E9QJS4; Q3TAP2; Q69ZZ0</t>
  </si>
  <si>
    <t>Kiaa0793</t>
  </si>
  <si>
    <t>MGI:2385126</t>
  </si>
  <si>
    <t>3D-structure; Guanine-nucleotide releasing factor; Phosphoprotein; Repeat</t>
  </si>
  <si>
    <t>actin cytoskeleton reorganization {GO:0031532}; cell adhesion {GO:0007155}; hair cycle process {GO:0022405}; neuron remodeling {GO:0016322}; osteoclast differentiation {GO:0030316}; podosome assembly {GO:0071800}; Rac protein signal transduction {GO:0016601}; regulation of integrin activation {GO:0033623}; semaphorin-plexin signaling pathway {GO:0071526}</t>
  </si>
  <si>
    <t>cytoplasm {GO:0005737}; cytoskeleton {GO:0005856}; cytosol {GO:0005829}</t>
  </si>
  <si>
    <t>cytoskeletal protein binding {GO:0008092}; guanyl-nucleotide exchange factor activity {GO:0005085}</t>
  </si>
  <si>
    <t>SEMA3A-Plexin repulsion signaling by inhibiting Integrin adhesion {R-MMU-399955}; RAC1 GTPase cycle {R-MMU-9013149}</t>
  </si>
  <si>
    <t>tr|G3UW40|G3UW40_MOUSE</t>
  </si>
  <si>
    <t>sp|Q78YZ6|SCOC_MOUSE</t>
  </si>
  <si>
    <t>Short coiled-coil protein</t>
  </si>
  <si>
    <t>SCOC_MOUSE</t>
  </si>
  <si>
    <t>Q78YZ6</t>
  </si>
  <si>
    <t>B2RV68; Q32NY7; Q3TJC8; Q58E48; Q5U450; Q9WU55</t>
  </si>
  <si>
    <t>Scoco</t>
  </si>
  <si>
    <t>MGI:1927654</t>
  </si>
  <si>
    <t>Alternative splicing; Coiled coil; Cytoplasm; Golgi apparatus; Membrane</t>
  </si>
  <si>
    <t>positive regulation of macroautophagy {GO:0016239}; regulation of protein complex stability {GO:0061635}</t>
  </si>
  <si>
    <t>cytosol {GO:0005829}; endosome {GO:0005768}; Golgi apparatus {GO:0005794}; Golgi membrane {GO:0000139}; nucleoplasm {GO:0005654}; trans-Golgi network {GO:0005802}</t>
  </si>
  <si>
    <t>sp|Q8CJH3|PLXB1_MOUSE</t>
  </si>
  <si>
    <t>Plexin-B1</t>
  </si>
  <si>
    <t>PLXB1_MOUSE</t>
  </si>
  <si>
    <t>Q8CJH3</t>
  </si>
  <si>
    <t>E9QKS4; Q6ZQC3; Q80ZZ1</t>
  </si>
  <si>
    <t>Kiaa0407</t>
  </si>
  <si>
    <t>MGI:2154238</t>
  </si>
  <si>
    <t>Cell membrane; Coiled coil; Disulfide bond; Glycoprotein; Membrane; Phosphoprotein; Receptor; Repeat; Signal; Transmembrane; Transmembrane helix</t>
  </si>
  <si>
    <t>inhibitory synapse assembly {GO:1904862}; negative regulation of cell adhesion {GO:0007162}; negative regulation of osteoblast proliferation {GO:0033689}; neuron projection morphogenesis {GO:0048812}; ossification involved in bone maturation {GO:0043931}; positive regulation of axonogenesis {GO:0050772}; positive regulation of GTPase activity {GO:0043547}; positive regulation of phosphatidylinositol 3-kinase signaling {GO:0014068}; regulation of cell migration {GO:0030334}; regulation of cell shape {GO:0008360}; regulation of cytoskeleton organization {GO:0051493}; regulation of GTPase activity {GO:0043087}; semaphorin-plexin signaling pathway {GO:0071526}; semaphorin-plexin signaling pathway involved in axon guidance {GO:1902287}; semaphorin-plexin signaling pathway involved in bone trabecula morphogenesis {GO:1900220}</t>
  </si>
  <si>
    <t>integral component of plasma membrane {GO:0005887}; semaphorin receptor complex {GO:0002116}</t>
  </si>
  <si>
    <t>GTPase activating protein binding {GO:0032794}; semaphorin receptor activity {GO:0017154}</t>
  </si>
  <si>
    <t>G alpha (12/13) signalling events {R-MMU-416482}; Sema4D mediated inhibition of cell attachment and migration {R-MMU-416550}; Sema4D induced cell migration and growth-cone collapse {R-MMU-416572}; RHOD GTPase cycle {R-MMU-9013405}</t>
  </si>
  <si>
    <t>sp|Q0GNC1|INF2_MOUSE</t>
  </si>
  <si>
    <t>Inverted formin-2</t>
  </si>
  <si>
    <t>INF2_MOUSE</t>
  </si>
  <si>
    <t>Q0GNC1</t>
  </si>
  <si>
    <t>Q14C56; Q499F7; Q6P9T3</t>
  </si>
  <si>
    <t>MGI:1917685</t>
  </si>
  <si>
    <t>Acetylation; Actin-binding; Alternative splicing; Coiled coil; Cytoplasm; Phosphoprotein</t>
  </si>
  <si>
    <t>actin cytoskeleton organization {GO:0030036}; regulation of cellular component size {GO:0032535}; regulation of mitochondrial fission {GO:0090140}; regulation of small GTPase mediated signal transduction {GO:0051056}</t>
  </si>
  <si>
    <t>actin binding {GO:0003779}; small GTPase binding {GO:0031267}</t>
  </si>
  <si>
    <t>sp|Q8R2Q4|RRF2M_MOUSE</t>
  </si>
  <si>
    <t>Ribosome-releasing factor 2, mitochondrial (RRF2mt)</t>
  </si>
  <si>
    <t>Elongation factor G 2, mitochondrial (EF-G2mt; mEF-G 2)</t>
  </si>
  <si>
    <t>RRF2M_MOUSE</t>
  </si>
  <si>
    <t>Q8R2Q4</t>
  </si>
  <si>
    <t>B2RR55; Q8BXS5</t>
  </si>
  <si>
    <t>Efg2</t>
  </si>
  <si>
    <t>MGI:2444783</t>
  </si>
  <si>
    <t>Alternative splicing; GTP-binding; Mitochondrion; Nucleotide-binding; Protein biosynthesis</t>
  </si>
  <si>
    <t>mitochondrial translation {GO:0032543}; ribosome disassembly {GO:0032790}</t>
  </si>
  <si>
    <t>sp|Q99LI2|CLCC1_MOUSE</t>
  </si>
  <si>
    <t>Chloride channel CLIC-like protein 1</t>
  </si>
  <si>
    <t>CLCC1_MOUSE</t>
  </si>
  <si>
    <t>Q99LI2</t>
  </si>
  <si>
    <t>A2AEK9</t>
  </si>
  <si>
    <t>MGI:2385186</t>
  </si>
  <si>
    <t>Chloride; Chloride channel; Endoplasmic reticulum; Golgi apparatus; Ion channel; Ion transport; Membrane; Nucleus; Phosphoprotein; Signal; Transmembrane; Transmembrane helix; Transport</t>
  </si>
  <si>
    <t>Endoplasmic reticulum; Golgi apparatus; Membrane; Nucleus</t>
  </si>
  <si>
    <t>Chloride channel; Ion channel</t>
  </si>
  <si>
    <t>chloride transport {GO:0006821}</t>
  </si>
  <si>
    <t>chloride channel complex {GO:0034707}; cytoplasm {GO:0005737}; endoplasmic reticulum {GO:0005783}; endoplasmic reticulum membrane {GO:0005789}; Golgi apparatus {GO:0005794}; Golgi membrane {GO:0000139}; intracellular membrane-bounded organelle {GO:0043231}; mitochondria-associated endoplasmic reticulum membrane {GO:0044233}; nuclear membrane {GO:0031965}; nucleus {GO:0005634}</t>
  </si>
  <si>
    <t>chloride channel activity {GO:0005254}</t>
  </si>
  <si>
    <t>sp|Q8K0T4|KATL1_MOUSE</t>
  </si>
  <si>
    <t>Katanin p60 ATPase-containing subunit A-like 1 (Katanin p60 subunit A-like 1)</t>
  </si>
  <si>
    <t>p60 katanin-like 1</t>
  </si>
  <si>
    <t>KATL1_MOUSE</t>
  </si>
  <si>
    <t>Q8K0T4</t>
  </si>
  <si>
    <t>MGI:2387638</t>
  </si>
  <si>
    <t>Acetylation; ATP-binding; Cytoplasm; Cytoskeleton; Isomerase; Microtubule; Nucleotide-binding; Phosphoprotein</t>
  </si>
  <si>
    <t>microtubule severing {GO:0051013}; spermatogenesis {GO:0007283}</t>
  </si>
  <si>
    <t>centrosome {GO:0005813}; cytoplasm {GO:0005737}; katanin complex {GO:0008352}; microtubule {GO:0005874}; microtubule cytoskeleton {GO:0015630}; spindle {GO:0005819}; spindle pole {GO:0000922}</t>
  </si>
  <si>
    <t>ATP binding {GO:0005524}; ATP hydrolysis activity {GO:0016887}; identical protein binding {GO:0042802}; isomerase activity {GO:0016853}; microtubule binding {GO:0008017}; microtubule severing ATPase activity {GO:0008568}</t>
  </si>
  <si>
    <t>sp|Q8QZY6|TSN14_MOUSE</t>
  </si>
  <si>
    <t>Tetraspanin-14 (Tspan-14)</t>
  </si>
  <si>
    <t>Transmembrane 4 superfamily member 14</t>
  </si>
  <si>
    <t>TSN14_MOUSE</t>
  </si>
  <si>
    <t>Q8QZY6</t>
  </si>
  <si>
    <t>D14Ertd226e; Tm4sf14</t>
  </si>
  <si>
    <t>MGI:1196325</t>
  </si>
  <si>
    <t>Cell membrane; Glycoprotein; Membrane; Transmembrane; Transmembrane helix</t>
  </si>
  <si>
    <t>positive regulation of Notch signaling pathway {GO:0045747}; protein localization to plasma membrane {GO:0072659}; protein maturation {GO:0051604}</t>
  </si>
  <si>
    <t>cell surface {GO:0009986}; integral component of plasma membrane {GO:0005887}; plasma membrane {GO:0005886}; tetraspanin-enriched microdomain {GO:0097197}</t>
  </si>
  <si>
    <t>sp|Q9EQ28|DPOD3_MOUSE</t>
  </si>
  <si>
    <t>DNA polymerase delta subunit 3</t>
  </si>
  <si>
    <t>DNA polymerase delta subunit p66</t>
  </si>
  <si>
    <t>DPOD3_MOUSE</t>
  </si>
  <si>
    <t>Q9EQ28</t>
  </si>
  <si>
    <t>MGI:1915217</t>
  </si>
  <si>
    <t>Acetylation; Cytoplasm; DNA damage; DNA excision; DNA repair; DNA replication; Isopeptide bond; Nucleus; Phosphoprotein; Ubl conjugation</t>
  </si>
  <si>
    <t>DNA biosynthetic process {GO:0071897}; DNA strand elongation involved in DNA replication {GO:0006271}; DNA synthesis involved in UV-damage excision repair {GO:1904161}; DNA-templated DNA replication {GO:0006261}; error-prone translesion synthesis {GO:0042276}; nucleotide-excision repair, DNA gap filling {GO:0006297}</t>
  </si>
  <si>
    <t>cytoplasm {GO:0005737}; delta DNA polymerase complex {GO:0043625}; nucleoplasm {GO:0005654}; zeta DNA polymerase complex {GO:0016035}</t>
  </si>
  <si>
    <t>protein-macromolecule adaptor activity {GO:0030674}</t>
  </si>
  <si>
    <t>sp|Q76I79|SSH1_MOUSE</t>
  </si>
  <si>
    <t>Protein phosphatase Slingshot homolog 1</t>
  </si>
  <si>
    <t>SSH-like protein 1 (SSH-1L; mSSH-1L)</t>
  </si>
  <si>
    <t>SSH1_MOUSE</t>
  </si>
  <si>
    <t>Q76I79</t>
  </si>
  <si>
    <t>Q3TDG3; Q69ZM4; Q811E5</t>
  </si>
  <si>
    <t>Kiaa1298; Ssh1l</t>
  </si>
  <si>
    <t>MGI:2686240</t>
  </si>
  <si>
    <t>Acetylation; Actin-binding; Alternative splicing; Cytoplasm; Cytoskeleton; Hydrolase; Phosphoprotein; Protein phosphatase</t>
  </si>
  <si>
    <t>Actin-binding; Hydrolase; Protein phosphatase</t>
  </si>
  <si>
    <t>actin cytoskeleton organization {GO:0030036}; cell morphogenesis {GO:0000902}; cellular response to ATP {GO:0071318}; excitatory chemical synaptic transmission {GO:0098976}; negative regulation of actin filament polymerization {GO:0030837}; positive regulation of AMPA glutamate receptor clustering {GO:1904719}; positive regulation of excitatory postsynaptic potential {GO:2000463}; positive regulation of neuron death {GO:1901216}; positive regulation of synaptic plasticity {GO:0031915}; positive regulation of vascular associated smooth muscle cell migration {GO:1904754}; protein dephosphorylation {GO:0006470}; regulation of cellular protein metabolic process {GO:0032268}</t>
  </si>
  <si>
    <t>cell leading edge {GO:0031252}; cell projection {GO:0042995}; cleavage furrow {GO:0032154}; cytoplasm {GO:0005737}; cytoskeleton {GO:0005856}; cytosol {GO:0005829}; growth cone {GO:0030426}; midbody {GO:0030496}; plasma membrane {GO:0005886}; synapse {GO:0045202}</t>
  </si>
  <si>
    <t>actin binding {GO:0003779}; myosin phosphatase activity {GO:0017018}; phosphoprotein phosphatase activity {GO:0004721}; protein tyrosine phosphatase activity {GO:0004725}; protein tyrosine/serine/threonine phosphatase activity {GO:0008138}</t>
  </si>
  <si>
    <t>sp|Q9JI38|PUS3_MOUSE</t>
  </si>
  <si>
    <t>tRNA pseudouridine(38/39) synthase</t>
  </si>
  <si>
    <t>tRNA pseudouridine synthase 3; tRNA pseudouridylate synthase 3; tRNA-uridine isomerase 3</t>
  </si>
  <si>
    <t>PUS3_MOUSE</t>
  </si>
  <si>
    <t>Q9JI38</t>
  </si>
  <si>
    <t>Q8BVA6; Q8K0Y3</t>
  </si>
  <si>
    <t>MGI:1914299</t>
  </si>
  <si>
    <t>Acetylation; Isomerase; Nucleus; tRNA processing</t>
  </si>
  <si>
    <t>mRNA pseudouridine synthesis {GO:1990481}; tRNA pseudouridine synthesis {GO:0031119}</t>
  </si>
  <si>
    <t>pseudouridine synthase activity {GO:0009982}; RNA binding {GO:0003723}; tRNA pseudouridine synthase activity {GO:0106029}</t>
  </si>
  <si>
    <t>sp|Q8CB27|OTU1_MOUSE</t>
  </si>
  <si>
    <t>Ubiquitin thioesterase OTU1</t>
  </si>
  <si>
    <t>OTU1_MOUSE</t>
  </si>
  <si>
    <t>Q8CB27</t>
  </si>
  <si>
    <t>B2RSW9; Q8BPM9; Q8CB24</t>
  </si>
  <si>
    <t>MGI:2442596</t>
  </si>
  <si>
    <t>3D-structure; Cytoplasm; Hydrolase; Metal-binding; Protease; Thiol protease; Ubl conjugation pathway; Unfolded protein response; Zinc; Zinc-finger</t>
  </si>
  <si>
    <t>Ubl conjugation pathway; Unfolded protein response</t>
  </si>
  <si>
    <t>endoplasmic reticulum unfolded protein response {GO:0030968}; macroautophagy {GO:0016236}; negative regulation of retrograde protein transport, ER to cytosol {GO:1904153}; protein deubiquitination {GO:0016579}; protein K11-linked deubiquitination {GO:0035871}; protein K27-linked deubiquitination {GO:1990167}; protein K29-linked deubiquitination {GO:0035523}; protein K33-linked deubiquitination {GO:1990168}; protein K48-linked deubiquitination {GO:0071108}; protein K63-linked deubiquitination {GO:0070536}; ubiquitin-dependent ERAD pathway {GO:0030433}</t>
  </si>
  <si>
    <t>cysteine-type deubiquitinase activity {GO:0004843}; Lys48-specific deubiquitinase activity {GO:1990380}; metal ion binding {GO:0046872}; ubiquitin protein ligase binding {GO:0031625}</t>
  </si>
  <si>
    <t>sp|E9Q784|ZC3HD_MOUSE</t>
  </si>
  <si>
    <t>Zinc finger CCCH domain-containing protein 13</t>
  </si>
  <si>
    <t>ZC3HD_MOUSE</t>
  </si>
  <si>
    <t>E9Q784</t>
  </si>
  <si>
    <t>B9EHN9</t>
  </si>
  <si>
    <t>MGI:1914552</t>
  </si>
  <si>
    <t>Coiled coil; Developmental protein; Isopeptide bond; Metal-binding; mRNA processing; mRNA splicing; Nucleus; Phosphoprotein; Repeat; Ubl conjugation; Zinc; Zinc-finger</t>
  </si>
  <si>
    <t>mRNA methylation {GO:0080009}; mRNA processing {GO:0006397}; regulation of stem cell population maintenance {GO:2000036}; RNA splicing {GO:0008380}</t>
  </si>
  <si>
    <t>nuclear speck {GO:0016607}; nucleoplasm {GO:0005654}; nucleus {GO:0005634}; RNA N6-methyladenosine methyltransferase complex {GO:0036396}</t>
  </si>
  <si>
    <t>tr|Q3TE80|Q3TE80_MOUSE</t>
  </si>
  <si>
    <t>sp|Q9JLZ3|AUHM_MOUSE</t>
  </si>
  <si>
    <t>Methylglutaconyl-CoA hydratase, mitochondrial (3-MG-CoA hydratase)</t>
  </si>
  <si>
    <t>AU-specific RNA-binding enoyl-CoA hydratase (AU-binding enoyl-CoA hydratase; muAUH); Itaconyl-CoA hydratase</t>
  </si>
  <si>
    <t>AUHM_MOUSE</t>
  </si>
  <si>
    <t>Q9JLZ3</t>
  </si>
  <si>
    <t>Q80YD7; Q8QZS0; Q9CY78; Q9D155</t>
  </si>
  <si>
    <t>MGI:1338011</t>
  </si>
  <si>
    <t>Acetylation; Alternative splicing; Branched-chain amino acid catabolism; Lyase; Mitochondrion; RNA-binding; Transit peptide</t>
  </si>
  <si>
    <t>fatty acid beta-oxidation {GO:0006635}; leucine catabolic process {GO:0006552}</t>
  </si>
  <si>
    <t>enoyl-CoA hydratase activity {GO:0004300}; itaconyl-CoA hydratase activity {GO:0050011}; methylglutaconyl-CoA hydratase activity {GO:0004490}; mRNA 3'-UTR binding {GO:0003730}; RNA binding {GO:0003723}</t>
  </si>
  <si>
    <t>Amino-acid degradation; L-leucine degradation; (S)-3-hydroxy- 3-methylglutaryl-CoA from 3-isovaleryl-CoA: step 3/3.</t>
  </si>
  <si>
    <t>sp|Q08274|DMWD_MOUSE</t>
  </si>
  <si>
    <t>Dystrophia myotonica WD repeat-containing protein</t>
  </si>
  <si>
    <t>Dystrophia myotonica-containing WD repeat motif protein; Protein DMR-N9</t>
  </si>
  <si>
    <t>DMWD_MOUSE</t>
  </si>
  <si>
    <t>Q08274</t>
  </si>
  <si>
    <t>E9QLY4</t>
  </si>
  <si>
    <t>Dm9</t>
  </si>
  <si>
    <t>MGI:94907</t>
  </si>
  <si>
    <t>Acetylation; Cell projection; Methylation; Nucleus; Phosphoprotein; Repeat; WD repeat</t>
  </si>
  <si>
    <t>Cell projection; Nucleus</t>
  </si>
  <si>
    <t>dendrite {GO:0030425}; nucleus {GO:0005634}; perikaryon {GO:0043204}</t>
  </si>
  <si>
    <t>sp|Q8BVU0|LRCH3_MOUSE</t>
  </si>
  <si>
    <t>DISP complex protein LRCH3</t>
  </si>
  <si>
    <t>Leucine-rich repeat and calponin homology domain-containing protein 3</t>
  </si>
  <si>
    <t>LRCH3_MOUSE</t>
  </si>
  <si>
    <t>Q8BVU0</t>
  </si>
  <si>
    <t>B2RXA0; Q3U222; Q3UZ74</t>
  </si>
  <si>
    <t>MGI:1917394</t>
  </si>
  <si>
    <t>Cytoplasm; Leucine-rich repeat; Phosphoprotein; Repeat</t>
  </si>
  <si>
    <t>septin cytoskeleton organization {GO:0032185}</t>
  </si>
  <si>
    <t>sp|Q99LB7|SARDH_MOUSE</t>
  </si>
  <si>
    <t>Sarcosine dehydrogenase, mitochondrial (SarDH)</t>
  </si>
  <si>
    <t>SARDH_MOUSE</t>
  </si>
  <si>
    <t>Q99LB7</t>
  </si>
  <si>
    <t>MGI:2183102</t>
  </si>
  <si>
    <t>Acetylation; FAD; Flavoprotein; Mitochondrion; Oxidoreductase; Phosphoprotein; Transit peptide</t>
  </si>
  <si>
    <t>sarcosine catabolic process {GO:1901053}; tetrahydrofolate interconversion {GO:0035999}</t>
  </si>
  <si>
    <t>flavin adenine dinucleotide binding {GO:0050660}; folic acid binding {GO:0005542}; oxidoreductase activity {GO:0016491}; sarcosine dehydrogenase activity {GO:0008480}</t>
  </si>
  <si>
    <t>Amine and polyamine degradation; sarcosine degradation; formaldehyde and glycine from sarcosine: step 1/1.</t>
  </si>
  <si>
    <t>Choline catabolism {R-MMU-6798163}</t>
  </si>
  <si>
    <t>tr|E9PYD1|E9PYD1_MOUSE</t>
  </si>
  <si>
    <t>sp|Q571H0|NPA1P_MOUSE</t>
  </si>
  <si>
    <t>Nucleolar pre-ribosomal-associated protein 1</t>
  </si>
  <si>
    <t>URB1 ribosome biogenesis 1 homolog</t>
  </si>
  <si>
    <t>NPA1P_MOUSE</t>
  </si>
  <si>
    <t>Q571H0</t>
  </si>
  <si>
    <t>Q9CYN4</t>
  </si>
  <si>
    <t>Kiaa0539; Npa1</t>
  </si>
  <si>
    <t>MGI:2146468</t>
  </si>
  <si>
    <t>maturation of 5.8S rRNA from tricistronic rRNA transcript (SSU-rRNA, 5.8S rRNA, LSU-rRNA) {GO:0000466}; maturation of LSU-rRNA from tricistronic rRNA transcript (SSU-rRNA, 5.8S rRNA, LSU-rRNA) {GO:0000463}</t>
  </si>
  <si>
    <t>fibrillar center {GO:0001650}; nucleolus {GO:0005730}</t>
  </si>
  <si>
    <t>sp|P30282|CCND3_MOUSE</t>
  </si>
  <si>
    <t>G1/S-specific cyclin-D3</t>
  </si>
  <si>
    <t>CCND3_MOUSE</t>
  </si>
  <si>
    <t>P30282</t>
  </si>
  <si>
    <t>Q62391; Q99KP2</t>
  </si>
  <si>
    <t>MGI:88315</t>
  </si>
  <si>
    <t>Cell cycle; Cell division; Cyclin; Cytoplasm; Nucleus; Phosphoprotein; Transcription; Transcription regulation; Ubl conjugation</t>
  </si>
  <si>
    <t>cell division {GO:0051301}; G1/S transition of mitotic cell cycle {GO:0000082}; hyaluronan biosynthetic process {GO:0030213}; mitotic cell cycle phase transition {GO:0044772}; negative regulation of transcription by RNA polymerase II {GO:0000122}; positive regulation of cell population proliferation {GO:0008284}; positive regulation of cyclin-dependent protein serine/threonine kinase activity {GO:0045737}; positive regulation of G1/S transition of mitotic cell cycle {GO:1900087}; positive regulation of protein phosphorylation {GO:0001934}; regulation of cell cycle {GO:0051726}; regulation of cell population proliferation {GO:0042127}; regulation of cyclin-dependent protein serine/threonine kinase activity {GO:0000079}; regulation of insulin receptor signaling pathway {GO:0046626}; response to peptide hormone {GO:0043434}; signal transduction {GO:0007165}; T cell proliferation {GO:0042098}</t>
  </si>
  <si>
    <t>cyclin D3-CDK4 complex {GO:0097130}; cyclin-dependent protein kinase holoenzyme complex {GO:0000307}; cytoplasm {GO:0005737}; nucleoplasm {GO:0005654}; nucleus {GO:0005634}</t>
  </si>
  <si>
    <t>cyclin-dependent protein serine/threonine kinase activity {GO:0004693}; cyclin-dependent protein serine/threonine kinase regulator activity {GO:0016538}; protein kinase binding {GO:0019901}</t>
  </si>
  <si>
    <t>MAPK6/MAPK4 signaling {R-MMU-5687128}; Cyclin D associated events in G1 {R-MMU-69231}; Regulation of RUNX1 Expression and Activity {R-MMU-8934593}; Drug-mediated inhibition of CDK4/CDK6 activity {R-MMU-9754119}</t>
  </si>
  <si>
    <t>sp|Q9D0P0|EBPL_MOUSE</t>
  </si>
  <si>
    <t>Emopamil-binding protein-like</t>
  </si>
  <si>
    <t>Emopamil-binding-related protein</t>
  </si>
  <si>
    <t>EBPL_MOUSE</t>
  </si>
  <si>
    <t>Q9D0P0</t>
  </si>
  <si>
    <t>Q3TQR1; Q9CRQ2; Q9CY81</t>
  </si>
  <si>
    <t>Ebrp; Erp</t>
  </si>
  <si>
    <t>MGI:1915427</t>
  </si>
  <si>
    <t>sterol metabolic process {GO:0016125}</t>
  </si>
  <si>
    <t>cholestenol delta-isomerase activity {GO:0047750}</t>
  </si>
  <si>
    <t>sp|Q921L3|TMCO1_MOUSE</t>
  </si>
  <si>
    <t>Calcium load-activated calcium channel (CLAC channel)</t>
  </si>
  <si>
    <t>Transmembrane and coiled-coil domain-containing protein 1</t>
  </si>
  <si>
    <t>TMCO1_MOUSE</t>
  </si>
  <si>
    <t>Q921L3</t>
  </si>
  <si>
    <t>Q3TS11</t>
  </si>
  <si>
    <t>MGI:1921173</t>
  </si>
  <si>
    <t>Calcium; Calcium channel; Calcium transport; Coiled coil; Endoplasmic reticulum; Golgi apparatus; Ion channel; Ion transport; Membrane; Phosphoprotein; Transmembrane; Transmembrane helix; Transport</t>
  </si>
  <si>
    <t>calcium ion transmembrane transport {GO:0070588}; cellular calcium ion homeostasis {GO:0006874}; endoplasmic reticulum calcium ion homeostasis {GO:0032469}; ER overload response {GO:0006983}</t>
  </si>
  <si>
    <t>cytoplasm {GO:0005737}; endoplasmic reticulum {GO:0005783}; Golgi membrane {GO:0000139}; integral component of endoplasmic reticulum membrane {GO:0030176}</t>
  </si>
  <si>
    <t>calcium channel activity {GO:0005262}; ribosome binding {GO:0043022}</t>
  </si>
  <si>
    <t>sp|Q6QI06|RICTR_MOUSE</t>
  </si>
  <si>
    <t>Rapamycin-insensitive companion of mTOR</t>
  </si>
  <si>
    <t>AVO3 homolog (mAVO3); Protein pianissimo</t>
  </si>
  <si>
    <t>RICTR_MOUSE</t>
  </si>
  <si>
    <t>Q6QI06</t>
  </si>
  <si>
    <t>E9QPE0; Q0VAV4; Q69Z40; Q6PDL2; Q6RI74; Q8BPH9; Q8CBF2</t>
  </si>
  <si>
    <t>MGI:1926007</t>
  </si>
  <si>
    <t>Alternative splicing; Developmental protein; Isopeptide bond; Phosphoprotein; Ubl conjugation</t>
  </si>
  <si>
    <t>actin cytoskeleton reorganization {GO:0031532}; cellular response to nutrient levels {GO:0031669}; cytoskeleton organization {GO:0007010}; embryo development ending in birth or egg hatching {GO:0009792}; negative regulation of apoptotic process {GO:0043066}; peptidyl-serine phosphorylation {GO:0018105}; phosphorylation {GO:0016310}; positive regulation of actin filament polymerization {GO:0030838}; positive regulation of cell growth {GO:0030307}; positive regulation of endothelial cell proliferation {GO:0001938}; positive regulation of peptidyl-tyrosine phosphorylation {GO:0050731}; positive regulation of protein kinase B signaling {GO:0051897}; positive regulation of TOR signaling {GO:0032008}; regulation of actin cytoskeleton organization {GO:0032956}; regulation of establishment of cell polarity {GO:2000114}; regulation of gene expression {GO:0010468}; regulation of GTPase activity {GO:0043087}; regulation of inflammatory response {GO:0050727}; regulation of peptidyl-serine phosphorylation {GO:0033135}; regulation of phosphorylation {GO:0042325}; regulation of protein kinase B signaling {GO:0051896}; regulation of protein phosphorylation {GO:0001932}; TORC2 signaling {GO:0038203}</t>
  </si>
  <si>
    <t>TORC2 complex {GO:0031932}</t>
  </si>
  <si>
    <t>molecular adaptor activity {GO:0060090}; protein kinase binding {GO:0019901}; protein serine/threonine kinase activator activity {GO:0043539}; ribosome binding {GO:0043022}</t>
  </si>
  <si>
    <t>PIP3 activates AKT signaling {R-MMU-1257604}; CD28 dependent PI3K/Akt signaling {R-MMU-389357}; VEGFR2 mediated vascular permeability {R-MMU-5218920}; Regulation of TP53 Degradation {R-MMU-6804757}</t>
  </si>
  <si>
    <t>tr|A0A286YCV9|A0A286YCV9_MOUSE</t>
  </si>
  <si>
    <t>sp|Q8K2A7|INT10_MOUSE</t>
  </si>
  <si>
    <t>Integrator complex subunit 10 (Int10)</t>
  </si>
  <si>
    <t>INT10_MOUSE</t>
  </si>
  <si>
    <t>Q8K2A7</t>
  </si>
  <si>
    <t>Q8BYC2; Q8BZI9; Q9D5U1</t>
  </si>
  <si>
    <t>MGI:1918135</t>
  </si>
  <si>
    <t>Isopeptide bond; Nucleus; Phosphoprotein; Ubl conjugation</t>
  </si>
  <si>
    <t>sp|Q9JHE7|TSSC4_MOUSE</t>
  </si>
  <si>
    <t>Protein TSSC4</t>
  </si>
  <si>
    <t>TSSC4_MOUSE</t>
  </si>
  <si>
    <t>Q9JHE7</t>
  </si>
  <si>
    <t>MGI:1861712</t>
  </si>
  <si>
    <t>sp|O35943|FRDA_MOUSE</t>
  </si>
  <si>
    <t>Frataxin mature form (Fxn)</t>
  </si>
  <si>
    <t>FRDA_MOUSE</t>
  </si>
  <si>
    <t>O35943</t>
  </si>
  <si>
    <t>Frda</t>
  </si>
  <si>
    <t>MGI:1096879</t>
  </si>
  <si>
    <t>Cytoplasm; Heme biosynthesis; Ion transport; Iron; Iron storage; Iron transport; Metal-binding; Mitochondrion; Oxidoreductase; Transit peptide; Transport</t>
  </si>
  <si>
    <t>Heme biosynthesis; Ion transport; Iron storage; Iron transport; Transport</t>
  </si>
  <si>
    <t>adult walking behavior {GO:0007628}; aerobic respiration {GO:0009060}; cellular iron ion homeostasis {GO:0006879}; cellular response to hydrogen peroxide {GO:0070301}; embryo development ending in birth or egg hatching {GO:0009792}; heme biosynthetic process {GO:0006783}; ion transport {GO:0006811}; iron incorporation into metallo-sulfur cluster {GO:0018283}; iron-sulfur cluster assembly {GO:0016226}; mitochondrion organization {GO:0007005}; muscle cell cellular homeostasis {GO:0046716}; negative regulation of apoptotic process {GO:0043066}; negative regulation of multicellular organism growth {GO:0040015}; negative regulation of organ growth {GO:0046621}; negative regulation of release of cytochrome c from mitochondria {GO:0090201}; organ growth {GO:0035265}; oxidative phosphorylation {GO:0006119}; positive regulation of aconitate hydratase activity {GO:1904234}; positive regulation of axon extension {GO:0045773}; positive regulation of catalytic activity {GO:0043085}; positive regulation of cell growth {GO:0030307}; positive regulation of cell population proliferation {GO:0008284}; positive regulation of lyase activity {GO:0051349}; positive regulation of succinate dehydrogenase activity {GO:1904231}; proprioception {GO:0019230}; protein autoprocessing {GO:0016540}; regulation of ferrochelatase activity {GO:0010722}; response to iron ion {GO:0010039}</t>
  </si>
  <si>
    <t>cytosol {GO:0005829}; iron-sulfur cluster assembly complex {GO:1990229}; L-cysteine desulfurase complex {GO:1990221}; mitochondrion {GO:0005739}</t>
  </si>
  <si>
    <t>2 iron, 2 sulfur cluster binding {GO:0051537}; enzyme binding {GO:0019899}; ferric iron binding {GO:0008199}; ferrous iron binding {GO:0008198}; ferroxidase activity {GO:0004322}; iron chaperone activity {GO:0034986}</t>
  </si>
  <si>
    <t>Mitochondrial protein import {R-MMU-1268020}; Mitochondrial iron-sulfur cluster biogenesis {R-MMU-1362409}</t>
  </si>
  <si>
    <t>sp|Q99N57|RAF1_MOUSE</t>
  </si>
  <si>
    <t>RAF proto-oncogene serine/threonine-protein kinase</t>
  </si>
  <si>
    <t>Proto-oncogene c-RAF (cRaf); Raf-1</t>
  </si>
  <si>
    <t>RAF1_MOUSE</t>
  </si>
  <si>
    <t>Q99N57</t>
  </si>
  <si>
    <t>Q3UR68; Q58E75; Q91WH1; Q99N58; Q9QUU8</t>
  </si>
  <si>
    <t>Craf</t>
  </si>
  <si>
    <t>MGI:97847</t>
  </si>
  <si>
    <t>Alternative splicing; ATP-binding; Cell membrane; Cytoplasm; Kinase; Membrane; Metal-binding; Methylation; Mitochondrion; Nucleotide-binding; Nucleus; Phosphoprotein; Proto-oncogene; Serine/threonine-protein kinase; Transferase; Zinc; Zinc-finger</t>
  </si>
  <si>
    <t>activation of adenylate cyclase activity {GO:0007190}; cell differentiation {GO:0030154}; cellular glucose homeostasis {GO:0001678}; death-inducing signaling complex assembly {GO:0071550}; extrinsic apoptotic signaling pathway via death domain receptors {GO:0008625}; face development {GO:0060324}; insulin secretion involved in cellular response to glucose stimulus {GO:0035773}; intermediate filament cytoskeleton organization {GO:0045104}; intracellular signal transduction {GO:0035556}; MAPK cascade {GO:0000165}; negative regulation of apoptotic process {GO:0043066}; negative regulation of cell population proliferation {GO:0008285}; negative regulation of extrinsic apoptotic signaling pathway via death domain receptors {GO:1902042}; negative regulation of protein-containing complex assembly {GO:0031333}; neurotrophin TRK receptor signaling pathway {GO:0048011}; positive regulation of MAPK cascade {GO:0043410}; positive regulation of peptidyl-serine phosphorylation {GO:0033138}; positive regulation of protein phosphorylation {GO:0001934}; positive regulation of transcription by RNA polymerase II {GO:0045944}; protein phosphorylation {GO:0006468}; response to hypoxia {GO:0001666}; response to muscle stretch {GO:0035994}; somatic stem cell population maintenance {GO:0035019}; thymus development {GO:0048538}; thyroid gland development {GO:0030878}</t>
  </si>
  <si>
    <t>cytoplasm {GO:0005737}; cytosol {GO:0005829}; Golgi apparatus {GO:0005794}; mitochondrion {GO:0005739}; nucleus {GO:0005634}; plasma membrane {GO:0005886}; pseudopodium {GO:0031143}</t>
  </si>
  <si>
    <t>adenylate cyclase activator activity {GO:0010856}; adenylate cyclase binding {GO:0008179}; ATP binding {GO:0005524}; enzyme binding {GO:0019899}; identical protein binding {GO:0042802}; MAP kinase kinase kinase activity {GO:0004709}; metal ion binding {GO:0046872}; mitogen-activated protein kinase kinase binding {GO:0031434}; protein kinase activity {GO:0004672}; protein serine kinase activity {GO:0106310}; protein serine/threonine kinase activity {GO:0004674}; protein-containing complex binding {GO:0044877}; small GTPase binding {GO:0031267}</t>
  </si>
  <si>
    <t>Stimuli-sensing channels {R-MMU-2672351}; Rap1 signalling {R-MMU-392517}; GP1b-IX-V activation signalling {R-MMU-430116}; CD209 (DC-SIGN) signaling {R-MMU-5621575}; RAF activation {R-MMU-5673000}; MAP2K and MAPK activation {R-MMU-5674135}; Negative feedback regulation of MAPK pathway {R-MMU-5674499}; Negative regulation of MAPK pathway {R-MMU-5675221}</t>
  </si>
  <si>
    <t>sp|Q3TDK6|ROGDI_MOUSE</t>
  </si>
  <si>
    <t>Protein rogdi homolog</t>
  </si>
  <si>
    <t>Leucine-zipper-containing LZF</t>
  </si>
  <si>
    <t>ROGDI_MOUSE</t>
  </si>
  <si>
    <t>Q3TDK6</t>
  </si>
  <si>
    <t>Q8BL37; Q922N4; Q923H8</t>
  </si>
  <si>
    <t>Lzf</t>
  </si>
  <si>
    <t>MGI:1913299</t>
  </si>
  <si>
    <t>Acetylation; Alternative splicing; Cell projection; Cytoplasmic vesicle; Nucleus; Synapse</t>
  </si>
  <si>
    <t>Cell projection; Cytoplasmic vesicle; Nucleus; Synapse</t>
  </si>
  <si>
    <t>brain development {GO:0007420}; hemopoiesis {GO:0030097}; neurogenesis {GO:0022008}; odontogenesis of dentin-containing tooth {GO:0042475}; positive regulation of cell population proliferation {GO:0008284}</t>
  </si>
  <si>
    <t>anchoring junction {GO:0070161}; axon {GO:0030424}; dendrite {GO:0030425}; nuclear envelope {GO:0005635}; perikaryon {GO:0043204}; presynapse {GO:0098793}; RAVE complex {GO:0043291}; synaptic vesicle {GO:0008021}</t>
  </si>
  <si>
    <t>sp|P05480|SRC_MOUSE</t>
  </si>
  <si>
    <t>Proto-oncogene tyrosine-protein kinase Src</t>
  </si>
  <si>
    <t>Proto-oncogene c-Src; pp60c-src (p60-Src)</t>
  </si>
  <si>
    <t>SRC_MOUSE</t>
  </si>
  <si>
    <t>P05480</t>
  </si>
  <si>
    <t>F8WI90; Q2M4I4</t>
  </si>
  <si>
    <t>MGI:98397</t>
  </si>
  <si>
    <t>3D-structure; Alternative splicing; ATP-binding; Cell adhesion; Cell cycle; Cell junction; Cell membrane; Cytoplasm; Cytoskeleton; Immunity; Kinase; Lipoprotein; Membrane; Mitochondrion; Mitochondrion inner membrane; Myristate; Nucleotide-binding; Nucleus; Phosphoprotein; Proto-oncogene; SH2 domain; SH3 domain; Transferase; Tyrosine-protein kinase; Ubl conjugation</t>
  </si>
  <si>
    <t>Cell adhesion; Cell cycle; Immunity</t>
  </si>
  <si>
    <t>Cell junction; Cell membrane; Cytoplasm; Cytoskeleton; Membrane; Mitochondrion; Mitochondrion inner membrane; Nucleus</t>
  </si>
  <si>
    <t>activation of protein kinase B activity {GO:0032148}; adherens junction organization {GO:0034332}; angiotensin-activated signaling pathway involved in heart process {GO:0086098}; bone resorption {GO:0045453}; branching involved in mammary gland duct morphogenesis {GO:0060444}; cell adhesion {GO:0007155}; cell cycle {GO:0007049}; cell differentiation {GO:0030154}; cell migration {GO:0016477}; cell population proliferation {GO:0008283}; cell-cell adhesion {GO:0098609}; cellular response to fatty acid {GO:0071398}; cellular response to fluid shear stress {GO:0071498}; cellular response to hydrogen peroxide {GO:0070301}; cellular response to hypoxia {GO:0071456}; cellular response to insulin stimulus {GO:0032869}; cellular response to lipopolysaccharide {GO:0071222}; cellular response to peptide hormone stimulus {GO:0071375}; cellular response to platelet-derived growth factor stimulus {GO:0036120}; cellular response to progesterone stimulus {GO:0071393}; cellular response to prolactin {GO:1990646}; cellular response to reactive oxygen species {GO:0034614}; cellular response to transforming growth factor beta stimulus {GO:0071560}; DNA biosynthetic process {GO:0071897}; epidermal growth factor receptor signaling pathway {GO:0007173}; focal adhesion assembly {GO:0048041}; forebrain development {GO:0030900}; innate immune response {GO:0045087}; integrin-mediated signaling pathway {GO:0007229}; interleukin-6-mediated signaling pathway {GO:0070102}; intestinal epithelial cell development {GO:0060576}; intracellular signal transduction {GO:0035556}; learning or memory {GO:0007611}; myoblast proliferation {GO:0051450}; negative regulation of anoikis {GO:2000811}; negative regulation of apoptotic process {GO:0043066}; negative regulation of cysteine-type endopeptidase activity involved in apoptotic process {GO:0043154}; negative regulation of DNA-templated transcription {GO:0045892}; negative regulation of extrinsic apoptotic signaling pathway {GO:2001237}; negative regulation of focal adhesion assembly {GO:0051895}; negative regulation of intrinsic apoptotic signaling pathway {GO:2001243}; negative regulation of mitochondrial depolarization {GO:0051902}; negative regulation of protein-containing complex assembly {GO:0031333}; negative regulation of telomerase activity {GO:0051974}; negative regulation of telomere maintenance via telomerase {GO:0032211}; neurotrophin TRK receptor signaling pathway {GO:0048011}; odontogenesis {GO:0042476}; oogenesis {GO:0048477}; osteoclast development {GO:0036035}; peptidyl-serine phosphorylation {GO:0018105}; peptidyl-tyrosine autophosphorylation {GO:0038083}; peptidyl-tyrosine phosphorylation {GO:0018108}; phosphorylation {GO:0016310}; positive regulation of apoptotic process {GO:0043065}; positive regulation of bone resorption {GO:0045780}; positive regulation of canonical Wnt signaling pathway {GO:0090263}; positive regulation of cell adhesion {GO:0045785}; positive regulation of cyclin-dependent protein serine/threonine kinase activity {GO:0045737}; positive regulation of cytokine production {GO:0001819}; positive regulation of dephosphorylation {GO:0035306}; positive regulation of DNA biosynthetic process {GO:2000573}; positive regulation of DNA-templated transcription {GO:0045893}; positive regulation of epithelial cell migration {GO:0010634}; positive regulation of ERK1 and ERK2 cascade {GO:0070374}; positive regulation of gene expression {GO:0010628}; positive regulation of glucose metabolic process {GO:0010907}; positive regulation of hippo signaling {GO:0035332}; positive regulation of insulin receptor signaling pathway {GO:0046628}; positive regulation of intracellular signal transduction {GO:1902533}; positive regulation of lamellipodium morphogenesis {GO:2000394}; positive regulation of male germ cell proliferation {GO:2000256}; positive regulation of MAP kinase activity {GO:0043406}; positive regulation of Notch signaling pathway {GO:0045747}; positive regulation of ovarian follicle development {GO:2000386}; positive regulation of peptidyl-tyrosine phosphorylation {GO:0050731}; positive regulation of phosphatidylinositol 3-kinase activity {GO:0043552}; positive regulation of platelet-derived growth factor receptor-beta signaling pathway {GO:2000588}; positive regulation of podosome assembly {GO:0071803}; positive regulation of protein autophosphorylation {GO:0031954}; positive regulation of protein kinase B signaling {GO:0051897}; positive regulation of protein localization to nucleus {GO:1900182}; positive regulation of protein processing {GO:0010954}; positive regulation of protein serine/threonine kinase activity {GO:0071902}; positive regulation of protein transport {GO:0051222}; positive regulation of Ras protein signal transduction {GO:0046579}; positive regulation of small GTPase mediated signal transduction {GO:0051057}; positive regulation of smooth muscle cell migration {GO:0014911}; positive regulation of vascular associated smooth muscle cell proliferation {GO:1904707}; primary ovarian follicle growth {GO:0001545}; progesterone receptor signaling pathway {GO:0050847}; protein autophosphorylation {GO:0046777}; protein destabilization {GO:0031648}; protein phosphorylation {GO:0006468}; regulation of caveolin-mediated endocytosis {GO:2001286}; regulation of cell projection assembly {GO:0060491}; regulation of cell-cell adhesion {GO:0022407}; regulation of early endosome to late endosome transport {GO:2000641}; regulation of epithelial cell migration {GO:0010632}; regulation of intracellular estrogen receptor signaling pathway {GO:0033146}; regulation of postsynaptic neurotransmitter receptor activity {GO:0098962}; regulation of protein binding {GO:0043393}; response to acidic pH {GO:0010447}; response to electrical stimulus {GO:0051602}; response to interleukin-1 {GO:0070555}; response to mechanical stimulus {GO:0009612}; response to mineralocorticoid {GO:0051385}; response to nutrient levels {GO:0031667}; response to virus {GO:0009615}; response to xenobiotic stimulus {GO:0009410}; skeletal muscle cell proliferation {GO:0014856}; spermatogenesis {GO:0007283}; stress fiber assembly {GO:0043149}; substrate adhesion-dependent cell spreading {GO:0034446}; transcytosis {GO:0045056}; transforming growth factor beta receptor signaling pathway {GO:0007179}; transmembrane receptor protein tyrosine kinase signaling pathway {GO:0007169}; uterus development {GO:0060065}</t>
  </si>
  <si>
    <t>actin filament {GO:0005884}; caveola {GO:0005901}; cell junction {GO:0030054}; cytoplasm {GO:0005737}; cytoskeleton {GO:0005856}; cytosol {GO:0005829}; dendritic filopodium {GO:1902737}; dendritic growth cone {GO:0044294}; extrinsic component of cytoplasmic side of plasma membrane {GO:0031234}; focal adhesion {GO:0005925}; glutamatergic synapse {GO:0098978}; late endosome {GO:0005770}; lysosome {GO:0005764}; membrane {GO:0016020}; mitochondrial inner membrane {GO:0005743}; mitochondrion {GO:0005739}; neuron projection {GO:0043005}; neuronal cell body {GO:0043025}; nucleoplasm {GO:0005654}; nucleus {GO:0005634}; perinuclear region of cytoplasm {GO:0048471}; plasma membrane {GO:0005886}; podosome {GO:0002102}; postsynaptic density {GO:0014069}; postsynaptic specialization, intracellular component {GO:0099091}; ruffle membrane {GO:0032587}; synaptic membrane {GO:0097060}</t>
  </si>
  <si>
    <t>ATP binding {GO:0005524}; BMP receptor binding {GO:0070700}; cell adhesion molecule binding {GO:0050839}; connexin binding {GO:0071253}; enzyme binding {GO:0019899}; ephrin receptor binding {GO:0046875}; growth factor receptor binding {GO:0070851}; heme binding {GO:0020037}; insulin receptor binding {GO:0005158}; integrin binding {GO:0005178}; kinase activity {GO:0016301}; non-membrane spanning protein tyrosine kinase activity {GO:0004715}; nuclear estrogen receptor binding {GO:0030331}; phospholipase activator activity {GO:0016004}; phospholipase binding {GO:0043274}; phosphoprotein binding {GO:0051219}; protein C-terminus binding {GO:0008022}; protein domain specific binding {GO:0019904}; protein kinase activity {GO:0004672}; protein kinase binding {GO:0019901}; protein kinase C binding {GO:0005080}; protein tyrosine kinase activity {GO:0004713}; protein-containing complex binding {GO:0044877}; scaffold protein binding {GO:0097110}; SH2 domain binding {GO:0042169}; signaling receptor binding {GO:0005102}; transmembrane transporter binding {GO:0044325}</t>
  </si>
  <si>
    <t>Signaling by ERBB2 {R-MMU-1227986}; Nuclear signaling by ERBB4 {R-MMU-1251985}; Downregulation of ERBB4 signaling {R-MMU-1253288}; PIP3 activates AKT signaling {R-MMU-1257604}; Spry regulation of FGF signaling {R-MMU-1295596}; Signaling by SCF-KIT {R-MMU-1433557}; Regulation of KIT signaling {R-MMU-1433559}; Signaling by EGFR {R-MMU-177929}; GAB1 signalosome {R-MMU-180292}; Downstream signal transduction {R-MMU-186763}; Regulation of gap junction activity {R-MMU-191650}; FCGR activation {R-MMU-2029481}; PECAM1 interactions {R-MMU-210990}; Integrin signaling {R-MMU-354192}; GRB2:SOS provides linkage to MAPK signaling for Integrins {R-MMU-354194}; p130Cas linkage to MAPK signaling for integrins {R-MMU-372708}; CD28 co-stimulation {R-MMU-389356}; CTLA4 inhibitory signaling {R-MMU-389513}; EPHB-mediated forward signaling {R-MMU-3928662}; EPHA-mediated growth cone collapse {R-MMU-3928663}; Ephrin signaling {R-MMU-3928664}; EPH-ephrin mediated repulsion of cells {R-MMU-3928665}; ADP signalling through P2Y purinoceptor 1 {R-MMU-418592}; G alpha (i) signalling events {R-MMU-418594}; DCC mediated attractive signaling {R-MMU-418885}; GP1b-IX-V activation signalling {R-MMU-430116}; Recycling pathway of L1 {R-MMU-437239}; VEGFA-VEGFR2 Pathway {R-MMU-4420097}; Thrombin signalling through proteinase activated receptors (PARs) {R-MMU-456926}; VEGFR2 mediated cell proliferation {R-MMU-5218921}; CLEC7A (Dectin-1) signaling {R-MMU-5607764}; RHO GTPases Activate Formins {R-MMU-5663220}; RAF activation {R-MMU-5673000}; MAP2K and MAPK activation {R-MMU-5674135}; PI5P, PP2A and IER3 Regulate PI3K/AKT Signaling {R-MMU-6811558}; Cyclin D associated events in G1 {R-MMU-69231}; RET signaling {R-MMU-8853659}; MET activates PTK2 signaling {R-MMU-8874081}; Receptor Mediated Mitophagy {R-MMU-8934903}; Regulation of RUNX3 expression and activity {R-MMU-8941858}; Extra-nuclear estrogen signaling {R-MMU-9009391}; Activated NTRK3 signals through PI3K {R-MMU-9603381}</t>
  </si>
  <si>
    <t>sp|O09110|MP2K3_MOUSE</t>
  </si>
  <si>
    <t>Dual specificity mitogen-activated protein kinase kinase 3 (MAP kinase kinase 3; MAPKK 3)</t>
  </si>
  <si>
    <t>MAPK/ERK kinase 3 (MEK 3)</t>
  </si>
  <si>
    <t>MP2K3_MOUSE</t>
  </si>
  <si>
    <t>O09110</t>
  </si>
  <si>
    <t>P97293; Q91VX1</t>
  </si>
  <si>
    <t>Mkk3; Prkmk3</t>
  </si>
  <si>
    <t>MGI:1346868</t>
  </si>
  <si>
    <t>3D-structure; Acetylation; Alternative splicing; ATP-binding; Kinase; Nucleotide-binding; Phosphoprotein; Serine/threonine-protein kinase; Transferase; Tyrosine-protein kinase</t>
  </si>
  <si>
    <t>cardiac muscle contraction {GO:0060048}; cellular response to lipopolysaccharide {GO:0071222}; cellular response to sorbitol {GO:0072709}; cellular response to vascular endothelial growth factor stimulus {GO:0035924}; heart development {GO:0007507}; inflammatory response {GO:0006954}; MAPK cascade {GO:0000165}; negative regulation of hippo signaling {GO:0035331}; p38MAPK cascade {GO:0038066}; positive regulation of blood vessel endothelial cell migration {GO:0043536}; positive regulation of DNA-templated transcription {GO:0045893}; positive regulation of MAPK cascade {GO:0043410}; positive regulation of nitric-oxide synthase biosynthetic process {GO:0051770}; positive regulation of protein kinase activity {GO:0045860}; positive regulation of protein phosphorylation {GO:0001934}; regulation of cytokine production {GO:0001817}; response to ischemia {GO:0002931}</t>
  </si>
  <si>
    <t>ATP binding {GO:0005524}; MAP kinase kinase activity {GO:0004708}; protein kinase binding {GO:0019901}; protein serine kinase activity {GO:0106310}; protein serine/threonine kinase activity {GO:0004674}; protein tyrosine kinase activity {GO:0004713}</t>
  </si>
  <si>
    <t>Oxidative Stress Induced Senescence {R-MMU-2559580}; activated TAK1 mediates p38 MAPK activation {R-MMU-450302}</t>
  </si>
  <si>
    <t>sp|Q6P9N1|HYCCI_MOUSE</t>
  </si>
  <si>
    <t>Hyccin</t>
  </si>
  <si>
    <t>Down-regulated by CTNNB1 protein A; Protein FAM126A</t>
  </si>
  <si>
    <t>HYCCI_MOUSE</t>
  </si>
  <si>
    <t>Q6P9N1</t>
  </si>
  <si>
    <t>D3Z481; Q3TTP7; Q99NC4</t>
  </si>
  <si>
    <t>Drctnnb1a</t>
  </si>
  <si>
    <t>MGI:2149839</t>
  </si>
  <si>
    <t>Alternative splicing; Cell membrane; Cytoplasm; Membrane; Phosphoprotein</t>
  </si>
  <si>
    <t>myelination {GO:0042552}; phosphatidylinositol phosphate biosynthetic process {GO:0046854}; protein localization to plasma membrane {GO:0072659}</t>
  </si>
  <si>
    <t>cytoplasm {GO:0005737}; cytosol {GO:0005829}; neuron projection {GO:0043005}; plasma membrane {GO:0005886}</t>
  </si>
  <si>
    <t>sp|Q8K0U4|HS12A_MOUSE</t>
  </si>
  <si>
    <t>sp|Q99K95|RTF2_MOUSE</t>
  </si>
  <si>
    <t>Replication termination factor 2 (RTF2)</t>
  </si>
  <si>
    <t>Replication termination factor 2 domain-containing protein 1</t>
  </si>
  <si>
    <t>RTF2_MOUSE</t>
  </si>
  <si>
    <t>Q99K95</t>
  </si>
  <si>
    <t>A2APA0; Q543D3; Q80X88; Q9CV27</t>
  </si>
  <si>
    <t>Rtfdc1</t>
  </si>
  <si>
    <t>MGI:1913654</t>
  </si>
  <si>
    <t>Chromosome; Phosphoprotein</t>
  </si>
  <si>
    <t>cellular response to hydroxyurea {GO:0072711}; mitotic DNA replication termination {GO:1902979}; regulation of DNA stability {GO:0097752}</t>
  </si>
  <si>
    <t>nucleus {GO:0005634}; replication fork {GO:0005657}</t>
  </si>
  <si>
    <t>sp|Q8BR70|YIPF6_MOUSE</t>
  </si>
  <si>
    <t>Protein YIPF6</t>
  </si>
  <si>
    <t>YIP1 family member 6</t>
  </si>
  <si>
    <t>YIPF6_MOUSE</t>
  </si>
  <si>
    <t>Q8BR70</t>
  </si>
  <si>
    <t>Q8C531</t>
  </si>
  <si>
    <t>MGI:1925179</t>
  </si>
  <si>
    <t>endoplasmic reticulum to Golgi vesicle-mediated transport {GO:0006888}; intestinal epithelial cell development {GO:0060576}</t>
  </si>
  <si>
    <t>cis-Golgi network {GO:0005801}; COPII-coated ER to Golgi transport vesicle {GO:0030134}; endoplasmic reticulum {GO:0005783}; Golgi medial cisterna {GO:0005797}; Golgi membrane {GO:0000139}; Golgi trans cisterna {GO:0000138}; integral component of membrane {GO:0016021}; trans-Golgi network {GO:0005802}</t>
  </si>
  <si>
    <t>sp|Q69ZW3|EHBP1_MOUSE</t>
  </si>
  <si>
    <t>EH domain-binding protein 1</t>
  </si>
  <si>
    <t>EHBP1_MOUSE</t>
  </si>
  <si>
    <t>Q69ZW3</t>
  </si>
  <si>
    <t>E9QMJ9; Q5SQK3; Q91ZJ6</t>
  </si>
  <si>
    <t>Kiaa0903</t>
  </si>
  <si>
    <t>MGI:2667252</t>
  </si>
  <si>
    <t>Alternative splicing; Coiled coil; Cytoplasm; Endocytosis; Endosome; Lipoprotein; Membrane; Phosphoprotein; Prenylation; Protein transport; Transport</t>
  </si>
  <si>
    <t>actin cytoskeleton organization {GO:0030036}; endocytosis {GO:0006897}; protein transport {GO:0015031}</t>
  </si>
  <si>
    <t>cytosol {GO:0005829}; endosome {GO:0005768}; filamentous actin {GO:0031941}; microtubule organizing center {GO:0005815}; nucleoplasm {GO:0005654}; plasma membrane {GO:0005886}</t>
  </si>
  <si>
    <t>sp|Q921D4|MED6_MOUSE</t>
  </si>
  <si>
    <t>Mediator of RNA polymerase II transcription subunit 6</t>
  </si>
  <si>
    <t>Mediator complex subunit 6</t>
  </si>
  <si>
    <t>MED6_MOUSE</t>
  </si>
  <si>
    <t>Q921D4</t>
  </si>
  <si>
    <t>Q3TAK5; Q8BTP9</t>
  </si>
  <si>
    <t>MGI:1917042</t>
  </si>
  <si>
    <t>3D-structure; Acetylation; Activator; Isopeptide bond; Nucleus; Transcription; Transcription regulation; Ubl conjugation</t>
  </si>
  <si>
    <t>positive regulation of transcription by RNA polymerase II {GO:0045944}; positive regulation of transcription elongation by RNA polymerase II {GO:0032968}; positive regulation of transcription initiation by RNA polymerase II {GO:0060261}; protein ubiquitination {GO:0016567}; regulation of transcription by RNA polymerase II {GO:0006357}; RNA polymerase II preinitiation complex assembly {GO:0051123}; somatic stem cell population maintenance {GO:0035019}</t>
  </si>
  <si>
    <t>DNA binding {GO:0003677}; transcription coactivator activity {GO:0003713}; transcription coactivator binding {GO:0001223}; ubiquitin protein ligase activity {GO:0061630}</t>
  </si>
  <si>
    <t>sp|Q62217|SEM5A_MOUSE</t>
  </si>
  <si>
    <t>Semaphorin-5A</t>
  </si>
  <si>
    <t>Semaphorin-F (Sema F)</t>
  </si>
  <si>
    <t>SEM5A_MOUSE</t>
  </si>
  <si>
    <t>Q62217</t>
  </si>
  <si>
    <t>Semaf; SemF</t>
  </si>
  <si>
    <t>MGI:107556</t>
  </si>
  <si>
    <t>Developmental protein; Differentiation; Disulfide bond; Glycoprotein; Membrane; Neurogenesis; Repeat; Signal; Transmembrane; Transmembrane helix</t>
  </si>
  <si>
    <t>axon extension {GO:0048675}; axon guidance {GO:0007411}; axonal fasciculation {GO:0007413}; blood vessel endothelial cell proliferation involved in sprouting angiogenesis {GO:0002043}; branching involved in blood vessel morphogenesis {GO:0001569}; branching morphogenesis of an epithelial tube {GO:0048754}; cell chemotaxis {GO:0060326}; detection of light stimulus involved in visual perception {GO:0050908}; diencephalon development {GO:0021536}; negative regulation of axon extension involved in axon guidance {GO:0048843}; negative regulation of cell adhesion {GO:0007162}; negative regulation of endothelial cell apoptotic process {GO:2000352}; neural crest cell migration {GO:0001755}; neuron projection extension {GO:1990138}; neuron projection guidance {GO:0097485}; positive chemotaxis {GO:0050918}; positive regulation of actin filament depolymerization {GO:0030836}; positive regulation of angiogenesis {GO:0045766}; positive regulation of axon extension involved in axon guidance {GO:0048842}; positive regulation of canonical Wnt signaling pathway {GO:0090263}; positive regulation of cell migration {GO:0030335}; positive regulation of endothelial cell chemotaxis {GO:2001028}; positive regulation of endothelial cell proliferation {GO:0001938}; positive regulation of extracellular matrix disassembly {GO:0090091}; positive regulation of protein kinase B signaling {GO:0051897}; semaphorin-plexin signaling pathway {GO:0071526}; signal clustering {GO:1990256}</t>
  </si>
  <si>
    <t>axon guidance receptor activity {GO:0008046}; chemorepellent activity {GO:0045499}; chondroitin sulfate proteoglycan binding {GO:0035373}; heparan sulfate proteoglycan binding {GO:0043395}; semaphorin receptor binding {GO:0030215}; syndecan binding {GO:0045545}</t>
  </si>
  <si>
    <t>Other semaphorin interactions {R-MMU-416700}; O-glycosylation of TSR domain-containing proteins {R-MMU-5173214}</t>
  </si>
  <si>
    <t>sp|Q8VHX6|FLNC_MOUSE</t>
  </si>
  <si>
    <t>Filamin-C (FLN-C)</t>
  </si>
  <si>
    <t>ABP-280-like protein; ABP-L; Actin-binding-like protein; Filamin-2; Gamma-filamin</t>
  </si>
  <si>
    <t>FLNC_MOUSE</t>
  </si>
  <si>
    <t>Q8VHX6</t>
  </si>
  <si>
    <t>B2RY80; B9EKT2; Q6PAI6; Q9JJ38</t>
  </si>
  <si>
    <t>Abpl; Fln2</t>
  </si>
  <si>
    <t>MGI:95557</t>
  </si>
  <si>
    <t>Actin-binding; Alternative splicing; Cytoplasm; Cytoskeleton; Membrane; Methylation; Phosphoprotein; Repeat; Ubl conjugation</t>
  </si>
  <si>
    <t>actin filament-based process {GO:0030029}; muscle cell development {GO:0055001}; sarcomere organization {GO:0045214}</t>
  </si>
  <si>
    <t>actin cytoskeleton {GO:0015629}; cytoplasm {GO:0005737}; cytosol {GO:0005829}; plasma membrane {GO:0005886}; sarcolemma {GO:0042383}; sarcoplasm {GO:0016528}; Z disc {GO:0030018}</t>
  </si>
  <si>
    <t>actin binding {GO:0003779}; actin filament binding {GO:0051015}; ankyrin binding {GO:0030506}; cytoskeletal protein binding {GO:0008092}; identical protein binding {GO:0042802}</t>
  </si>
  <si>
    <t>Cell-extracellular matrix interactions {R-MMU-446353}</t>
  </si>
  <si>
    <t>sp|O35704|SPTC1_MOUSE</t>
  </si>
  <si>
    <t>Serine palmitoyltransferase 1</t>
  </si>
  <si>
    <t>Long chain base biosynthesis protein 1 (LCB 1); Serine-palmitoyl-CoA transferase 1 (SPT 1; SPT1)</t>
  </si>
  <si>
    <t>SPTC1_MOUSE</t>
  </si>
  <si>
    <t>O35704</t>
  </si>
  <si>
    <t>O54813; Q8BH11</t>
  </si>
  <si>
    <t>Lcb1</t>
  </si>
  <si>
    <t>MGI:1099431</t>
  </si>
  <si>
    <t>Acyltransferase; Endoplasmic reticulum; Lipid metabolism; Membrane; Phosphoprotein; Pyridoxal phosphate; Sphingolipid metabolism; Transferase; Transmembrane; Transmembrane helix</t>
  </si>
  <si>
    <t>ceramide biosynthetic process {GO:0046513}; lipophagy {GO:0061724}; positive regulation of lipophagy {GO:1904504}; regulation of fat cell apoptotic process {GO:1904649}; sphinganine biosynthetic process {GO:0046511}; sphingolipid biosynthetic process {GO:0030148}; sphingolipid metabolic process {GO:0006665}; sphingomyelin biosynthetic process {GO:0006686}; sphingosine biosynthetic process {GO:0046512}</t>
  </si>
  <si>
    <t>endoplasmic reticulum {GO:0005783}; endoplasmic reticulum membrane {GO:0005789}; integral component of membrane {GO:0016021}; serine C-palmitoyltransferase complex {GO:0017059}; SPOTS complex {GO:0035339}</t>
  </si>
  <si>
    <t>sp|Q9WV34|MPP2_MOUSE</t>
  </si>
  <si>
    <t>MAGUK p55 subfamily member 2</t>
  </si>
  <si>
    <t>Discs large homolog 2; Protein MPP2</t>
  </si>
  <si>
    <t>MPP2_MOUSE</t>
  </si>
  <si>
    <t>Q9WV34</t>
  </si>
  <si>
    <t>B1AQF8; Q3T9W1; Q3TT52; Q3URK8</t>
  </si>
  <si>
    <t>Dlgh2</t>
  </si>
  <si>
    <t>MGI:1858257</t>
  </si>
  <si>
    <t>Alternative splicing; Cell projection; Cytoplasm; Cytoskeleton; Membrane; Phosphoprotein; Repeat; SH3 domain; Synapse</t>
  </si>
  <si>
    <t>Cell projection; Cytoplasm; Cytoskeleton; Membrane; Synapse</t>
  </si>
  <si>
    <t>excitatory postsynaptic potential {GO:0060079}; long-term synaptic potentiation {GO:0060291}; protein homooligomerization {GO:0051260}</t>
  </si>
  <si>
    <t>anchored component of postsynaptic density membrane {GO:0099031}; cell-cell junction {GO:0005911}; cytoplasm {GO:0005737}; cytoskeleton {GO:0005856}; dendrite membrane {GO:0032590}; dendritic shaft {GO:0043198}; dendritic spine {GO:0043197}; glutamatergic synapse {GO:0098978}; plasma membrane {GO:0005886}; postsynaptic density {GO:0014069}; Schaffer collateral - CA1 synapse {GO:0098685}</t>
  </si>
  <si>
    <t>PDZ domain binding {GO:0030165}; structural constituent of postsynaptic density {GO:0098919}; transmembrane transporter binding {GO:0044325}</t>
  </si>
  <si>
    <t>sp|Q8BZT9|LACC1_MOUSE</t>
  </si>
  <si>
    <t>Purine nucleoside phosphorylase LACC1</t>
  </si>
  <si>
    <t>Adenosine deaminase LACC1; Fatty acid metabolism-immunity nexus; Guanosine phosphorylase LACC1; Laccase domain-containing protein 1; S-methyl-5'-thioadenosine phosphorylase LACC1</t>
  </si>
  <si>
    <t>LACC1_MOUSE</t>
  </si>
  <si>
    <t>Q8BZT9</t>
  </si>
  <si>
    <t>Q14AQ3; Q3U600</t>
  </si>
  <si>
    <t>MGI:2445077</t>
  </si>
  <si>
    <t>Acetylation; Cytoplasm; Endoplasmic reticulum; Hydrolase; Immunity; Inflammatory response; Innate immunity; Metal-binding; Nucleus; Peroxisome; Phosphoprotein; Transferase; Zinc</t>
  </si>
  <si>
    <t>Cytoplasm; Endoplasmic reticulum; Nucleus; Peroxisome</t>
  </si>
  <si>
    <t>inflammatory response {GO:0006954}; innate immune response {GO:0045087}; nucleotide-binding oligomerization domain containing 2 signaling pathway {GO:0070431}; pattern recognition receptor signaling pathway {GO:0002221}; positive regulation of cytokine production involved in immune response {GO:0002720}; regulation of cellular pH {GO:0030641}; regulation of inflammatory response {GO:0050727}; regulation of purine nucleotide metabolic process {GO:1900542}</t>
  </si>
  <si>
    <t>cytoplasm {GO:0005737}; endoplasmic reticulum {GO:0005783}; nucleus {GO:0005634}; peroxisome {GO:0005777}</t>
  </si>
  <si>
    <t>adenosine deaminase activity {GO:0004000}; copper ion binding {GO:0005507}; guanosine phosphorylase activity {GO:0047975}; purine-nucleoside phosphorylase activity {GO:0004731}; S-methyl-5-thioadenosine phosphorylase activity {GO:0017061}</t>
  </si>
  <si>
    <t>sp|Q08122|TLE3_MOUSE</t>
  </si>
  <si>
    <t>Transducin-like enhancer protein 3</t>
  </si>
  <si>
    <t>ESG; Grg-3</t>
  </si>
  <si>
    <t>TLE3_MOUSE</t>
  </si>
  <si>
    <t>Q08122</t>
  </si>
  <si>
    <t>Q6PHP0; Q923A4</t>
  </si>
  <si>
    <t>Esg</t>
  </si>
  <si>
    <t>MGI:104634</t>
  </si>
  <si>
    <t>Acetylation; Alternative splicing; Developmental protein; Differentiation; Nucleus; Phosphoprotein; Repeat; Repressor; Spermatogenesis; Transcription; Transcription regulation; Ubl conjugation; WD repeat; Wnt signaling pathway</t>
  </si>
  <si>
    <t>Differentiation; Spermatogenesis; Transcription; Transcription regulation; Wnt signaling pathway</t>
  </si>
  <si>
    <t>cell differentiation {GO:0030154}; negative regulation of canonical Wnt signaling pathway {GO:0090090}; negative regulation of cold-induced thermogenesis {GO:0120163}; regulation of DNA-templated transcription {GO:0006355}; spermatogenesis {GO:0007283}; Wnt signaling pathway {GO:0016055}</t>
  </si>
  <si>
    <t>beta-catenin-TCF complex {GO:1990907}; nucleoplasm {GO:0005654}; nucleus {GO:0005634}; transcription regulator complex {GO:0005667}</t>
  </si>
  <si>
    <t>Formation of the beta-catenin:TCF transactivating complex {R-MMU-201722}; Deactivation of the beta-catenin transactivating complex {R-MMU-3769402}; Repression of WNT target genes {R-MMU-4641265}; Estrogen-dependent gene expression {R-MMU-9018519}</t>
  </si>
  <si>
    <t>sp|Q80X95|RRAGA_MOUSE</t>
  </si>
  <si>
    <t>Ras-related GTP-binding protein A (Rag A; RagA)</t>
  </si>
  <si>
    <t>RRAGA_MOUSE</t>
  </si>
  <si>
    <t>Q80X95</t>
  </si>
  <si>
    <t>B1AXR0; Q8C1S2; Q8CFU3</t>
  </si>
  <si>
    <t>MGI:1915691</t>
  </si>
  <si>
    <t>Apoptosis; Cytoplasm; GTP-binding; Hydrolase; Isopeptide bond; Lysosome; Nucleotide-binding; Nucleus; Phosphoprotein; Ubl conjugation</t>
  </si>
  <si>
    <t>apoptotic process {GO:0006915}; cell death {GO:0008219}; cellular response to amino acid starvation {GO:0034198}; cellular response to amino acid stimulus {GO:0071230}; cellular response to starvation {GO:0009267}; negative regulation of autophagy {GO:0010507}; negative regulation of cytolysis {GO:0045918}; positive regulation of TOR signaling {GO:0032008}; positive regulation of TORC1 signaling {GO:1904263}; protein localization {GO:0008104}; regulation of autophagy {GO:0010506}; regulation of cytolysis {GO:0042268}; regulation of TORC1 signaling {GO:1903432}; response to amino acid {GO:0043200}; tumor necrosis factor-mediated signaling pathway {GO:0033209}</t>
  </si>
  <si>
    <t>cytoplasm {GO:0005737}; GATOR1 complex {GO:1990130}; Gtr1-Gtr2 GTPase complex {GO:1990131}; lysosome {GO:0005764}; nucleoplasm {GO:0005654}; nucleus {GO:0005634}</t>
  </si>
  <si>
    <t>GTP binding {GO:0005525}; GTPase activity {GO:0003924}; phosphoprotein binding {GO:0051219}; protein heterodimerization activity {GO:0046982}; protein homodimerization activity {GO:0042803}; ubiquitin protein ligase binding {GO:0031625}</t>
  </si>
  <si>
    <t>Macroautophagy {R-MMU-1632852}; MTOR signalling {R-MMU-165159}; mTORC1-mediated signalling {R-MMU-166208}; Energy dependent regulation of mTOR by LKB1-AMPK {R-MMU-380972}; TP53 Regulates Metabolic Genes {R-MMU-5628897}; E3 ubiquitin ligases ubiquitinate target proteins {R-MMU-8866654}; Regulation of PTEN gene transcription {R-MMU-8943724}; Amino acids regulate mTORC1 {R-MMU-9639288}</t>
  </si>
  <si>
    <t>sp|Q5NCQ5|DPH1_MOUSE</t>
  </si>
  <si>
    <t>2-(3-amino-3-carboxypropyl)histidine synthase subunit 1</t>
  </si>
  <si>
    <t>Diphthamide biosynthesis protein 1; Diphtheria toxin resistance protein 1; Ovarian cancer-associated gene 1 protein homolog; S-adenosyl-L-methionine:L-histidine 3-amino-3-carboxypropyltransferase 1</t>
  </si>
  <si>
    <t>DPH1_MOUSE</t>
  </si>
  <si>
    <t>Q5NCQ5</t>
  </si>
  <si>
    <t>Q80UX6; Q8R445</t>
  </si>
  <si>
    <t>MGI:2151233</t>
  </si>
  <si>
    <t>Cytoplasm; Iron; Iron-sulfur; Metal-binding; Nucleus; Phosphoprotein; S-adenosyl-L-methionine; Transferase; Tumor suppressor</t>
  </si>
  <si>
    <t>Iron; Iron-sulfur; Metal-binding; S-adenosyl-L-methionine</t>
  </si>
  <si>
    <t>fibroblast proliferation {GO:0048144}; peptidyl-diphthamide biosynthetic process from peptidyl-histidine {GO:0017183}</t>
  </si>
  <si>
    <t>cell junction {GO:0030054}; cytoplasm {GO:0005737}; nucleoplasm {GO:0005654}; protein-containing complex {GO:0032991}</t>
  </si>
  <si>
    <t>2-(3-amino-3-carboxypropyl)histidine synthase activity {GO:0090560}; 4 iron, 4 sulfur cluster binding {GO:0051539}</t>
  </si>
  <si>
    <t>sp|Q8BGV8|MID51_MOUSE</t>
  </si>
  <si>
    <t>Mitochondrial dynamics protein MID51</t>
  </si>
  <si>
    <t>Mitochondrial dynamics protein of 51 kDa homolog; Mitochondrial elongation factor 1; Smith-Magenis syndrome chromosomal region candidate gene 7 protein-like</t>
  </si>
  <si>
    <t>MID51_MOUSE</t>
  </si>
  <si>
    <t>Q8BGV8</t>
  </si>
  <si>
    <t>Q8C4Y9</t>
  </si>
  <si>
    <t>Mid51; Smcr7l</t>
  </si>
  <si>
    <t>MGI:2146020</t>
  </si>
  <si>
    <t>3D-structure; Membrane; Mitochondrion; Mitochondrion outer membrane; Nucleotide-binding; Phosphoprotein; Transmembrane; Transmembrane helix</t>
  </si>
  <si>
    <t>cellular response to hypoxia {GO:0071456}; mitochondrial fission {GO:0000266}; positive regulation of mitochondrial fission {GO:0090141}; positive regulation of mitochondrial translation {GO:0070131}; positive regulation of protein targeting to membrane {GO:0090314}</t>
  </si>
  <si>
    <t>integral component of membrane {GO:0016021}; mitochondrial large ribosomal subunit {GO:0005762}; mitochondrial matrix {GO:0005759}; mitochondrial outer membrane {GO:0005741}; mitochondrion {GO:0005739}</t>
  </si>
  <si>
    <t>ADP binding {GO:0043531}; GDP binding {GO:0019003}; identical protein binding {GO:0042802}</t>
  </si>
  <si>
    <t>sp|Q9JHH9|COPZ2_MOUSE</t>
  </si>
  <si>
    <t>Coatomer subunit zeta-2</t>
  </si>
  <si>
    <t>Zeta-2-coat protein (Zeta-2 COP)</t>
  </si>
  <si>
    <t>COPZ2_MOUSE</t>
  </si>
  <si>
    <t>Q9JHH9</t>
  </si>
  <si>
    <t>A2A6D6</t>
  </si>
  <si>
    <t>MGI:1929008</t>
  </si>
  <si>
    <t>Cytoplasm; Cytoplasmic vesicle; ER-Golgi transport; Golgi apparatus; Membrane; Protein transport; Transport</t>
  </si>
  <si>
    <t>intra-Golgi vesicle-mediated transport {GO:0006891}; intracellular protein transport {GO:0006886}; retrograde vesicle-mediated transport, Golgi to endoplasmic reticulum {GO:0006890}</t>
  </si>
  <si>
    <t>COPI vesicle coat {GO:0030126}; COPI-coated vesicle {GO:0030137}; cytosol {GO:0005829}; endoplasmic reticulum-Golgi intermediate compartment membrane {GO:0033116}; Golgi membrane {GO:0000139}</t>
  </si>
  <si>
    <t>sp|Q3TRR0|MAP9_MOUSE</t>
  </si>
  <si>
    <t>Microtubule-associated protein 9</t>
  </si>
  <si>
    <t>Aster-associated protein</t>
  </si>
  <si>
    <t>MAP9_MOUSE</t>
  </si>
  <si>
    <t>Q3TRR0</t>
  </si>
  <si>
    <t>Q3UUD1; Q3UX85; Q3UXE7; Q5M8N8; Q6P8K1; Q8BMM4; Q8BYP7</t>
  </si>
  <si>
    <t>Asap; Mtap9</t>
  </si>
  <si>
    <t>MGI:2442208</t>
  </si>
  <si>
    <t>Acetylation; Alternative splicing; Cell cycle; Cell division; Coiled coil; Cytoplasm; Cytoskeleton; Microtubule; Mitosis; Phosphoprotein</t>
  </si>
  <si>
    <t>mitotic cytokinesis {GO:0000281}; mitotic spindle assembly {GO:0090307}; regulation of mitotic centrosome separation {GO:0046602}; regulation of mitotic cytokinesis {GO:1902412}; regulation of mitotic spindle organization {GO:0060236}</t>
  </si>
  <si>
    <t>aster {GO:0005818}; astral microtubule {GO:0000235}; axon {GO:0030424}; cytoplasm {GO:0005737}; microtubule cytoskeleton {GO:0015630}; mitotic spindle {GO:0072686}; mitotic spindle midzone {GO:1990023}; spindle midzone {GO:0051233}</t>
  </si>
  <si>
    <t>sp|Q8C0J2|A16L1_MOUSE</t>
  </si>
  <si>
    <t>Autophagy-related protein 16-1</t>
  </si>
  <si>
    <t>APG16-like 1</t>
  </si>
  <si>
    <t>A16L1_MOUSE</t>
  </si>
  <si>
    <t>Q8C0J2</t>
  </si>
  <si>
    <t>Q6KAT7; Q80U97; Q80U98; Q80U99; Q80Y53; Q9DB63</t>
  </si>
  <si>
    <t>MGI:1924290</t>
  </si>
  <si>
    <t>3D-structure; Alternative splicing; Autophagy; Coiled coil; Cytoplasm; Endosome; Lysosome; Membrane; Phosphoprotein; Protein transport; Repeat; Transport; WD repeat</t>
  </si>
  <si>
    <t>Cytoplasm; Endosome; Lysosome; Membrane</t>
  </si>
  <si>
    <t>autophagosome assembly {GO:0000045}; C-terminal protein lipidation {GO:0006501}; corpus callosum development {GO:0022038}; defense response to virus {GO:0051607}; lysosomal microautophagy {GO:0016237}; macroautophagy {GO:0016236}; negative stranded viral RNA replication {GO:0039689}; positive regulation of autophagy {GO:0010508}; protein lipidation {GO:0006497}; protein lipidation involved in autophagosome assembly {GO:0061739}; protein localization to phagophore assembly site {GO:0034497}; protein transport {GO:0015031}; xenophagy {GO:0098792}</t>
  </si>
  <si>
    <t>Atg12-Atg5-Atg16 complex {GO:0034274}; autophagosome {GO:0005776}; autophagosome membrane {GO:0000421}; axoneme {GO:0005930}; cytoplasm {GO:0005737}; cytosol {GO:0005829}; endolysosome membrane {GO:0036020}; phagophore assembly site membrane {GO:0034045}; sperm midpiece {GO:0097225}; vacuole-isolation membrane contact site {GO:0120095}</t>
  </si>
  <si>
    <t>GTPase binding {GO:0051020}; identical protein binding {GO:0042802}</t>
  </si>
  <si>
    <t>sp|Q3UPH7|ARH40_MOUSE</t>
  </si>
  <si>
    <t>Rho guanine nucleotide exchange factor 40</t>
  </si>
  <si>
    <t>Protein SOLO</t>
  </si>
  <si>
    <t>ARH40_MOUSE</t>
  </si>
  <si>
    <t>Q3UPH7</t>
  </si>
  <si>
    <t>Q3U1X1; Q3UGT7; Q3UYX3; Q6KAS1; Q6PD04; Q6PDY3</t>
  </si>
  <si>
    <t>Solo</t>
  </si>
  <si>
    <t>MGI:2685515</t>
  </si>
  <si>
    <t>Alternative splicing; Coiled coil; Cytoplasm; Guanine-nucleotide releasing factor; Phosphoprotein</t>
  </si>
  <si>
    <t>sp|P47713|PA24A_MOUSE</t>
  </si>
  <si>
    <t>Lysophospholipase</t>
  </si>
  <si>
    <t>Phospholipase A2 group IVA; Phosphatidylcholine 2-acylhydrolase</t>
  </si>
  <si>
    <t>PA24A_MOUSE</t>
  </si>
  <si>
    <t>P47713</t>
  </si>
  <si>
    <t>Cpla2; Pla2g4</t>
  </si>
  <si>
    <t>MGI:1195256</t>
  </si>
  <si>
    <t>Calcium; Cytoplasm; Fatty acid biosynthesis; Fatty acid metabolism; Glycerol metabolism; Golgi apparatus; Hydrolase; Isopeptide bond; Leukotriene biosynthesis; Lipid biosynthesis; Lipid degradation; Lipid metabolism; Lipid-binding; Membrane; Metal-binding; Nucleus; Phospholipid degradation; Phospholipid metabolism; Phosphoprotein; Prostaglandin biosynthesis; Prostaglandin metabolism; Ubl conjugation</t>
  </si>
  <si>
    <t>Fatty acid biosynthesis; Fatty acid metabolism; Glycerol metabolism; Leukotriene biosynthesis; Lipid biosynthesis; Lipid degradation; Lipid metabolism; Phospholipid degradation; Phospholipid metabolism; Prostaglandin biosynthesis; Prostaglandin metabolism</t>
  </si>
  <si>
    <t>arachidonic acid metabolic process {GO:0019369}; arachidonic acid secretion {GO:0050482}; cellular response to antibiotic {GO:0071236}; decidualization {GO:0046697}; establishment of localization in cell {GO:0051649}; glycerol metabolic process {GO:0006071}; glycerophospholipid catabolic process {GO:0046475}; icosanoid biosynthetic process {GO:0046456}; leukotriene biosynthetic process {GO:0019370}; monoacylglycerol biosynthetic process {GO:0006640}; ovulation from ovarian follicle {GO:0001542}; phosphatidylcholine acyl-chain remodeling {GO:0036151}; phosphatidylcholine catabolic process {GO:0034638}; phosphatidylglycerol catabolic process {GO:0034478}; platelet activating factor biosynthetic process {GO:0006663}; positive regulation of apoptotic process {GO:0043065}; positive regulation of cell population proliferation {GO:0008284}; positive regulation of inflammatory response {GO:0050729}; positive regulation of macrophage activation {GO:0043032}; positive regulation of platelet activation {GO:0010572}; positive regulation of prostaglandin biosynthetic process {GO:0031394}; positive regulation of prostaglandin secretion {GO:0032308}; positive regulation of T-helper 1 type immune response {GO:0002827}; positive regulation of vesicle fusion {GO:0031340}; prostaglandin biosynthetic process {GO:0001516}; regulation of cell population proliferation {GO:0042127}; response to calcium ion {GO:0051592}; response to organic substance {GO:0010033}; surfactant homeostasis {GO:0043129}</t>
  </si>
  <si>
    <t>cytoplasm {GO:0005737}; cytosol {GO:0005829}; endoplasmic reticulum {GO:0005783}; Golgi apparatus {GO:0005794}; Golgi membrane {GO:0000139}; intracellular membrane-bounded organelle {GO:0043231}; nuclear envelope {GO:0005635}; nucleus {GO:0005634}; perinuclear region of cytoplasm {GO:0048471}; zymogen granule {GO:0042588}</t>
  </si>
  <si>
    <t>calcium ion binding {GO:0005509}; calcium-dependent phospholipase A2 activity {GO:0047498}; calcium-dependent phospholipid binding {GO:0005544}; calcium-independent phospholipase A2 activity {GO:0047499}; ceramide 1-phosphate binding {GO:1902387}; histone acetyltransferase binding {GO:0035035}; lysophospholipase activity {GO:0004622}; O-acyltransferase activity {GO:0008374}; phosphatidyl phospholipase B activity {GO:0102545}; phosphatidylinositol-3-phosphate binding {GO:0032266}; phosphatidylinositol-4-phosphate binding {GO:0070273}; phosphatidylinositol-5-phosphate binding {GO:0010314}; phospholipase A2 activity {GO:0004623}</t>
  </si>
  <si>
    <t>phospho-PLA2 pathway {R-MMU-111995}; Acyl chain remodelling of PC {R-MMU-1482788}; Acyl chain remodeling of CL {R-MMU-1482798}; Acyl chain remodelling of PS {R-MMU-1482801}; Acyl chain remodelling of PE {R-MMU-1482839}; Acyl chain remodelling of PI {R-MMU-1482922}; Acyl chain remodelling of PG {R-MMU-1482925}; Hydrolysis of LPC {R-MMU-1483115}; Synthesis of PA {R-MMU-1483166}; Arachidonic acid metabolism {R-MMU-2142753}; ADP signalling through P2Y purinoceptor 1 {R-MMU-418592}; Platelet sensitization by LDL {R-MMU-432142}; COPI-independent Golgi-to-ER retrograde traffic {R-MMU-6811436}</t>
  </si>
  <si>
    <t>tr|A0A087WRT4|A0A087WRT4_MOUSE</t>
  </si>
  <si>
    <t>sp|Q80UP5|AN13A_MOUSE</t>
  </si>
  <si>
    <t>Ankyrin repeat domain-containing protein 13A</t>
  </si>
  <si>
    <t>AN13A_MOUSE</t>
  </si>
  <si>
    <t>Q80UP5</t>
  </si>
  <si>
    <t>Q2VPQ7; Q6P7F2</t>
  </si>
  <si>
    <t>Ankrd13</t>
  </si>
  <si>
    <t>MGI:1915670</t>
  </si>
  <si>
    <t>ANK repeat; Cell membrane; Endosome; Membrane; Phosphoprotein; Repeat; Ubl conjugation</t>
  </si>
  <si>
    <t>negative regulation of protein localization to endosome {GO:1905667}; negative regulation of receptor internalization {GO:0002091}</t>
  </si>
  <si>
    <t>cytoplasm {GO:0005737}; late endosome {GO:0005770}; perinuclear region of cytoplasm {GO:0048471}; plasma membrane {GO:0005886}</t>
  </si>
  <si>
    <t>ubiquitin-dependent protein binding {GO:0140036}</t>
  </si>
  <si>
    <t>sp|Q8R2N2|UTP4_MOUSE</t>
  </si>
  <si>
    <t>U3 small nucleolar RNA-associated protein 4 homolog</t>
  </si>
  <si>
    <t>Cirhin; Testis-expressed gene 292 protein</t>
  </si>
  <si>
    <t>UTP4_MOUSE</t>
  </si>
  <si>
    <t>Q8R2N2</t>
  </si>
  <si>
    <t>Q62306; Q62307; Q69Z48; Q6NVG9; Q8VEL5</t>
  </si>
  <si>
    <t>Cirh1a; Kiaa1988; Tex292</t>
  </si>
  <si>
    <t>MGI:1096573</t>
  </si>
  <si>
    <t>Chromosome; Isopeptide bond; Nucleus; Phosphoprotein; Repeat; Ribosome biogenesis; rRNA processing; Transcription; Transcription regulation; Ubl conjugation; WD repeat</t>
  </si>
  <si>
    <t>maturation of SSU-rRNA {GO:0030490}; maturation of SSU-rRNA from tricistronic rRNA transcript (SSU-rRNA, 5.8S rRNA, LSU-rRNA) {GO:0000462}; regulation of DNA-templated transcription {GO:0006355}</t>
  </si>
  <si>
    <t>90S preribosome {GO:0030686}; chromosome {GO:0005694}; fibrillar center {GO:0001650}; nucleolus {GO:0005730}; small-subunit processome {GO:0032040}; t-UTP complex {GO:0034455}</t>
  </si>
  <si>
    <t>sp|P60605|UB2G2_MOUSE</t>
  </si>
  <si>
    <t>Ubiquitin-conjugating enzyme E2 G2</t>
  </si>
  <si>
    <t>E2 ubiquitin-conjugating enzyme G2; Ubiquitin carrier protein G2; Ubiquitin-protein ligase G2</t>
  </si>
  <si>
    <t>UB2G2_MOUSE</t>
  </si>
  <si>
    <t>P60605</t>
  </si>
  <si>
    <t>P56554</t>
  </si>
  <si>
    <t>MGI:1343188</t>
  </si>
  <si>
    <t>3D-structure; Acetylation; ATP-binding; Endoplasmic reticulum; Lipid droplet; Nucleotide-binding; Transferase; Ubl conjugation pathway</t>
  </si>
  <si>
    <t>cellular response to interferon-beta {GO:0035458}; negative regulation of retrograde protein transport, ER to cytosol {GO:1904153}; protein catabolic process {GO:0030163}; protein K48-linked ubiquitination {GO:0070936}; protein polyubiquitination {GO:0000209}; ubiquitin-dependent ERAD pathway {GO:0030433}; ubiquitin-dependent protein catabolic process {GO:0006511}</t>
  </si>
  <si>
    <t>cytosol {GO:0005829}; endoplasmic reticulum {GO:0005783}; lipid droplet {GO:0005811}</t>
  </si>
  <si>
    <t>ATP binding {GO:0005524}; identical protein binding {GO:0042802}; ubiquitin conjugating enzyme activity {GO:0061631}; ubiquitin-protein transferase activity {GO:0004842}</t>
  </si>
  <si>
    <t>sp|Q91W18|TDRD3_MOUSE</t>
  </si>
  <si>
    <t>Tudor domain-containing protein 3</t>
  </si>
  <si>
    <t>TDRD3_MOUSE</t>
  </si>
  <si>
    <t>Q91W18</t>
  </si>
  <si>
    <t>E9Q2Q4; Q6NZG7; Q8BZW6; Q8C1A4</t>
  </si>
  <si>
    <t>MGI:2444023</t>
  </si>
  <si>
    <t>3D-structure; Alternative splicing; Chromatin regulator; Cytoplasm; Isopeptide bond; Nucleus; Phosphoprotein; Ubl conjugation</t>
  </si>
  <si>
    <t>chromatin organization {GO:0006325}; DNA topological change {GO:0006265}; mRNA processing {GO:0006397}</t>
  </si>
  <si>
    <t>cytosol {GO:0005829}; DNA topoisomerase III-beta-TDRD3 complex {GO:0140225}; exon-exon junction complex {GO:0035145}; Golgi apparatus {GO:0005794}; nucleoplasm {GO:0005654}; nucleus {GO:0005634}</t>
  </si>
  <si>
    <t>chromatin binding {GO:0003682}; methylated histone binding {GO:0035064}; RNA binding {GO:0003723}; transcription coactivator activity {GO:0003713}</t>
  </si>
  <si>
    <t>sp|Q5XG71|UTP20_MOUSE</t>
  </si>
  <si>
    <t>Small subunit processome component 20 homolog</t>
  </si>
  <si>
    <t>Down-regulated in metastasis protein</t>
  </si>
  <si>
    <t>UTP20_MOUSE</t>
  </si>
  <si>
    <t>Q5XG71</t>
  </si>
  <si>
    <t>Q80V22; Q8BXH9; Q8CHL6; Q99K11</t>
  </si>
  <si>
    <t>Drim</t>
  </si>
  <si>
    <t>MGI:1917933</t>
  </si>
  <si>
    <t>Coiled coil; Nucleus; Phosphoprotein; Repeat; rRNA processing</t>
  </si>
  <si>
    <t>90S preribosome {GO:0030686}; nucleolus {GO:0005730}; plasma membrane {GO:0005886}; small-subunit processome {GO:0032040}</t>
  </si>
  <si>
    <t>sp|Q3TFQ1|SPRY7_MOUSE</t>
  </si>
  <si>
    <t>SPRY domain-containing protein 7</t>
  </si>
  <si>
    <t>Chronic lymphocytic leukemia deletion region gene 6 protein homolog (CLL deletion region gene 6 protein homolog)</t>
  </si>
  <si>
    <t>SPRY7_MOUSE</t>
  </si>
  <si>
    <t>Q3TFQ1</t>
  </si>
  <si>
    <t>Q8K1Y1; Q9CU44; Q9D368; Q9D3D1</t>
  </si>
  <si>
    <t>Clld6</t>
  </si>
  <si>
    <t>MGI:1913924</t>
  </si>
  <si>
    <t>sp|Q8C3F2|F120C_MOUSE</t>
  </si>
  <si>
    <t>Constitutive coactivator of PPAR-gamma-like protein 2</t>
  </si>
  <si>
    <t>Protein FAM120C</t>
  </si>
  <si>
    <t>F120C_MOUSE</t>
  </si>
  <si>
    <t>Q8C3F2</t>
  </si>
  <si>
    <t>Q3U0F6</t>
  </si>
  <si>
    <t>ORF34</t>
  </si>
  <si>
    <t>MGI:2387687</t>
  </si>
  <si>
    <t>Alternative splicing; Methylation</t>
  </si>
  <si>
    <t>sp|P32507|NECT2_MOUSE</t>
  </si>
  <si>
    <t>Nectin-2</t>
  </si>
  <si>
    <t>Herpes virus entry mediator B (Herpesvirus entry mediator B; HveB); Murine herpes virus entry protein B (mHveB); Nectin cell adhesion molecule 2; Poliovirus receptor homolog; Poliovirus receptor-related protein 2; CD_antigen=CD112</t>
  </si>
  <si>
    <t>NECT2_MOUSE</t>
  </si>
  <si>
    <t>P32507</t>
  </si>
  <si>
    <t>Q62096</t>
  </si>
  <si>
    <t>Mph; Pvr; Pvrl2; Pvs</t>
  </si>
  <si>
    <t>MGI:97822</t>
  </si>
  <si>
    <t>3D-structure; Alternative splicing; Cell adhesion; Cell membrane; Disulfide bond; Glycoprotein; Immunoglobulin domain; Membrane; Phosphoprotein; Receptor; Repeat; Signal; Transmembrane; Transmembrane helix</t>
  </si>
  <si>
    <t>acrosome assembly {GO:0001675}; adhesion of symbiont to host {GO:0044406}; cell part morphogenesis {GO:0032990}; cilium organization {GO:0044782}; coreceptor-mediated virion attachment to host cell {GO:0046814}; cytoskeleton organization {GO:0007010}; establishment of localization in cell {GO:0051649}; establishment of mitochondrion localization {GO:0051654}; fertilization {GO:0009566}; fusion of virus membrane with host plasma membrane {GO:0019064}; homophilic cell adhesion via plasma membrane adhesion molecules {GO:0007156}; positive regulation of immunoglobulin mediated immune response {GO:0002891}; positive regulation of mast cell activation {GO:0033005}; positive regulation of natural killer cell mediated cytotoxicity {GO:0045954}; positive regulation of natural killer cell mediated cytotoxicity directed against tumor cell target {GO:0002860}; positive regulation of T cell receptor signaling pathway {GO:0050862}; regulation of viral entry into host cell {GO:0046596}; sperm mitochondrion organization {GO:0030382}; spermatid development {GO:0007286}; spermatid nucleus differentiation {GO:0007289}; susceptibility to natural killer cell mediated cytotoxicity {GO:0042271}; susceptibility to T cell mediated cytotoxicity {GO:0060370}</t>
  </si>
  <si>
    <t>apical junction complex {GO:0043296}; cell surface {GO:0009986}; cell-cell contact zone {GO:0044291}; cell-cell junction {GO:0005911}; integral component of membrane {GO:0016021}; plasma membrane {GO:0005886}; zonula adherens {GO:0005915}</t>
  </si>
  <si>
    <t>cell adhesion molecule binding {GO:0050839}; identical protein binding {GO:0042802}; protein homodimerization activity {GO:0042803}</t>
  </si>
  <si>
    <t>Immunoregulatory interactions between a Lymphoid and a non-Lymphoid cell {R-MMU-198933}; Adherens junctions interactions {R-MMU-418990}; Nectin/Necl trans heterodimerization {R-MMU-420597}</t>
  </si>
  <si>
    <t>sp|Q9EP52|TWSG1_MOUSE</t>
  </si>
  <si>
    <t>Twisted gastrulation protein homolog 1</t>
  </si>
  <si>
    <t>TWSG1_MOUSE</t>
  </si>
  <si>
    <t>Q9EP52</t>
  </si>
  <si>
    <t>Q8CCB1; Q8CEM6; Q99K77; Q9ERN7</t>
  </si>
  <si>
    <t>Tsg</t>
  </si>
  <si>
    <t>MGI:2137520</t>
  </si>
  <si>
    <t>Developmental protein; Glycoprotein; Secreted; Signal</t>
  </si>
  <si>
    <t>BMP signaling pathway {GO:0030509}; camera-type eye development {GO:0043010}; chondrocyte differentiation {GO:0002062}; forebrain development {GO:0030900}; hemopoiesis {GO:0030097}; mesoderm formation {GO:0001707}; negative regulation of BMP signaling pathway {GO:0030514}; negative regulation of CD4-positive, alpha-beta T cell activation {GO:2000515}; negative regulation of CD4-positive, alpha-beta T cell proliferation {GO:2000562}; negative regulation of cytokine production {GO:0001818}; negative regulation of osteoblast differentiation {GO:0045668}; ossification {GO:0001503}; positive regulation of BMP signaling pathway {GO:0030513}; positive regulation of pathway-restricted SMAD protein phosphorylation {GO:0010862}; regulation of BMP signaling pathway {GO:0030510}; salivary gland morphogenesis {GO:0007435}; tissue development {GO:0009888}; transforming growth factor beta receptor signaling pathway {GO:0007179}</t>
  </si>
  <si>
    <t>heparin binding {GO:0008201}; transforming growth factor beta binding {GO:0050431}</t>
  </si>
  <si>
    <t>sp|Q99N94|RM09_MOUSE</t>
  </si>
  <si>
    <t>39S ribosomal protein L9, mitochondrial (L9mt; MRP-L9)</t>
  </si>
  <si>
    <t>RM09_MOUSE</t>
  </si>
  <si>
    <t>Q99N94</t>
  </si>
  <si>
    <t>Q3TSJ0; Q8BQZ2</t>
  </si>
  <si>
    <t>MGI:2137211</t>
  </si>
  <si>
    <t>sp|Q8BMI3|GGA3_MOUSE</t>
  </si>
  <si>
    <t>ADP-ribosylation factor-binding protein GGA3</t>
  </si>
  <si>
    <t>Golgi-localized, gamma ear-containing, ARF-binding protein 3</t>
  </si>
  <si>
    <t>GGA3_MOUSE</t>
  </si>
  <si>
    <t>Q8BMI3</t>
  </si>
  <si>
    <t>Q3V1Y0; Q80U71</t>
  </si>
  <si>
    <t>Kiaa0154</t>
  </si>
  <si>
    <t>MGI:2384159</t>
  </si>
  <si>
    <t>Endosome; Golgi apparatus; Membrane; Phosphoprotein; Protein transport; Transport; Ubl conjugation</t>
  </si>
  <si>
    <t>endocytic recycling {GO:0032456}; Golgi to plasma membrane protein transport {GO:0043001}; Golgi to plasma membrane transport {GO:0006893}; negative regulation of amyloid-beta formation {GO:1902430}; positive regulation of protein catabolic process {GO:0045732}; protein catabolic process {GO:0030163}; protein destabilization {GO:0031648}; protein localization to cell surface {GO:0034394}; protein localization to lysosome {GO:0061462}; protein targeting to lysosome {GO:0006622}; regulation of protein stability {GO:0031647}</t>
  </si>
  <si>
    <t>early endosome {GO:0005769}; early endosome membrane {GO:0031901}; Golgi apparatus {GO:0005794}; lysosome {GO:0005764}; protein-containing complex {GO:0032991}; recycling endosome {GO:0055037}; recycling endosome membrane {GO:0055038}; trans-Golgi network {GO:0005802}</t>
  </si>
  <si>
    <t>phosphatidylinositol binding {GO:0035091}; protein-containing complex binding {GO:0044877}; small GTPase binding {GO:0031267}; ubiquitin binding {GO:0043130}</t>
  </si>
  <si>
    <t>MET receptor recycling {R-MMU-8875656}</t>
  </si>
  <si>
    <t>sp|Q9R1R2|TRIM3_MOUSE</t>
  </si>
  <si>
    <t>Tripartite motif-containing protein 3</t>
  </si>
  <si>
    <t>RING finger protein 22; RING finger protein HAC1</t>
  </si>
  <si>
    <t>TRIM3_MOUSE</t>
  </si>
  <si>
    <t>Q9R1R2</t>
  </si>
  <si>
    <t>Q3UMU5</t>
  </si>
  <si>
    <t>Hac1; Rnf22</t>
  </si>
  <si>
    <t>MGI:1860040</t>
  </si>
  <si>
    <t>Acetylation; Cell projection; Coiled coil; Cytoplasm; Endosome; Golgi apparatus; Metal-binding; Phosphoprotein; Protein transport; Repeat; Transport; Zinc; Zinc-finger</t>
  </si>
  <si>
    <t>Cell projection; Cytoplasm; Endosome; Golgi apparatus</t>
  </si>
  <si>
    <t>proteasome-mediated ubiquitin-dependent protein catabolic process {GO:0043161}; protein polyubiquitination {GO:0000209}; protein transport {GO:0015031}; protein ubiquitination {GO:0016567}</t>
  </si>
  <si>
    <t>cytoplasm {GO:0005737}; dendrite {GO:0030425}; early endosome {GO:0005769}; glutamatergic synapse {GO:0098978}; Golgi apparatus {GO:0005794}; postsynapse {GO:0098794}</t>
  </si>
  <si>
    <t>identical protein binding {GO:0042802}; ubiquitin protein ligase activity {GO:0061630}; ubiquitin-protein transferase activity {GO:0004842}; zinc ion binding {GO:0008270}</t>
  </si>
  <si>
    <t>sp|Q9CQG2|MET16_MOUSE</t>
  </si>
  <si>
    <t>RNA N6-adenosine-methyltransferase METTL16</t>
  </si>
  <si>
    <t>Methyltransferase 10 domain-containing protein; Methyltransferase-like protein 16; N6-adenosine-methyltransferase METTL16; U6 small nuclear RNA (adenine-(43)-N(6))-methyltransferase</t>
  </si>
  <si>
    <t>MET16_MOUSE</t>
  </si>
  <si>
    <t>Q9CQG2</t>
  </si>
  <si>
    <t>Q3UMA9; Q9D062</t>
  </si>
  <si>
    <t>MGI:1914743</t>
  </si>
  <si>
    <t>Alternative splicing; Cytoplasm; Methyltransferase; Nucleus; Phosphoprotein; RNA-binding; S-adenosyl-L-methionine; Transferase</t>
  </si>
  <si>
    <t>mRNA catabolic process {GO:0006402}; mRNA destabilization {GO:0061157}; mRNA methylation {GO:0080009}; negative regulation of 3'-UTR-mediated mRNA stabilization {GO:1905869}; post-transcriptional regulation of gene expression {GO:0010608}; regulation of mRNA splicing, via spliceosome {GO:0048024}; RNA methylation {GO:0001510}; rRNA base methylation {GO:0070475}; S-adenosylmethionine biosynthetic process {GO:0006556}; snRNA (adenine-N6)-methylation {GO:0120049}</t>
  </si>
  <si>
    <t>23S rRNA (adenine(1618)-N(6))-methyltransferase activity {GO:0052907}; mRNA (N6-adenosine)-methyltransferase activity {GO:0001734}; RNA binding {GO:0003723}; RNA stem-loop binding {GO:0035613}; U6 snRNA (adenine-(43)-N(6))-methyltransferase activity {GO:0120048}; U6 snRNA 3'-end binding {GO:0030629}</t>
  </si>
  <si>
    <t>sp|Q8BHB4|WDR3_MOUSE</t>
  </si>
  <si>
    <t>WD repeat-containing protein 3</t>
  </si>
  <si>
    <t>WDR3_MOUSE</t>
  </si>
  <si>
    <t>Q8BHB4</t>
  </si>
  <si>
    <t>MGI:2443143</t>
  </si>
  <si>
    <t>Isopeptide bond; Nucleus; Phosphoprotein; Repeat; Ubl conjugation; WD repeat</t>
  </si>
  <si>
    <t>maturation of SSU-rRNA {GO:0030490}</t>
  </si>
  <si>
    <t>nuclear membrane {GO:0031965}; nucleolus {GO:0005730}; nucleoplasm {GO:0005654}; Pwp2p-containing subcomplex of 90S preribosome {GO:0034388}; small-subunit processome {GO:0032040}</t>
  </si>
  <si>
    <t>sp|O88845|AKA10_MOUSE</t>
  </si>
  <si>
    <t>A-kinase anchor protein 10, mitochondrial (AKAP-10)</t>
  </si>
  <si>
    <t>Dual specificity A kinase-anchoring protein 2 (D-AKAP-2); Protein kinase A-anchoring protein 10 (PRKA10)</t>
  </si>
  <si>
    <t>AKA10_MOUSE</t>
  </si>
  <si>
    <t>O88845</t>
  </si>
  <si>
    <t>Q5SUB5; Q5SUB7; Q7TPE7; Q8BQL6</t>
  </si>
  <si>
    <t>MGI:1890218</t>
  </si>
  <si>
    <t>Alternative splicing; Cytoplasm; Membrane; Mitochondrion; Phosphoprotein; Repeat; Transit peptide</t>
  </si>
  <si>
    <t>cytosol {GO:0005829}; mitochondrion {GO:0005739}; plasma membrane {GO:0005886}; protein-containing complex {GO:0032991}</t>
  </si>
  <si>
    <t>protein kinase A binding {GO:0051018}</t>
  </si>
  <si>
    <t>sp|Q91VT1|NSE2_MOUSE</t>
  </si>
  <si>
    <t>E3 SUMO-protein ligase NSE2</t>
  </si>
  <si>
    <t>E3 SUMO-protein transferase NSE2; MMS21 homolog; Non-structural maintenance of chromosomes element 2 homolog (Non-SMC element 2 homolog)</t>
  </si>
  <si>
    <t>NSE2_MOUSE</t>
  </si>
  <si>
    <t>Q91VT1</t>
  </si>
  <si>
    <t>Q8BQ88; Q9D1D3</t>
  </si>
  <si>
    <t>Mms21</t>
  </si>
  <si>
    <t>MGI:1915751</t>
  </si>
  <si>
    <t>Acetylation; Alternative splicing; Cell cycle; Cell division; Chromosome; DNA damage; DNA recombination; DNA repair; Isopeptide bond; Metal-binding; Mitosis; Nucleus; Phosphoprotein; Telomere; Transferase; Ubl conjugation; Ubl conjugation pathway; Zinc; Zinc-finger</t>
  </si>
  <si>
    <t>Cell cycle; Cell division; DNA damage; DNA recombination; DNA repair; Mitosis; Ubl conjugation pathway</t>
  </si>
  <si>
    <t>cell cycle {GO:0007049}; cell division {GO:0051301}; cellular senescence {GO:0090398}; double-strand break repair via homologous recombination {GO:0000724}; positive regulation of maintenance of mitotic sister chromatid cohesion {GO:0034184}; positive regulation of mitotic metaphase/anaphase transition {GO:0045842}; protein sumoylation {GO:0016925}; telomere maintenance via recombination {GO:0000722}</t>
  </si>
  <si>
    <t>chromosome, telomeric region {GO:0000781}; nuclear body {GO:0016604}; nucleoplasm {GO:0005654}; nucleus {GO:0005634}; PML body {GO:0016605}; Smc5-Smc6 complex {GO:0030915}</t>
  </si>
  <si>
    <t>SUMO ligase activity {GO:0061665}; SUMO transferase activity {GO:0019789}; ubiquitin-protein transferase activity {GO:0004842}; zinc ion binding {GO:0008270}</t>
  </si>
  <si>
    <t>SUMOylation of DNA damage response and repair proteins {R-MMU-3108214}</t>
  </si>
  <si>
    <t>sp|Q8C0D9|CEP68_MOUSE</t>
  </si>
  <si>
    <t>Centrosomal protein of 68 kDa (Cep68)</t>
  </si>
  <si>
    <t>CEP68_MOUSE</t>
  </si>
  <si>
    <t>Q8C0D9</t>
  </si>
  <si>
    <t>Q3US49; Q5SW85; Q8R2V0</t>
  </si>
  <si>
    <t>MGI:2667663</t>
  </si>
  <si>
    <t>Alternative splicing; Cytoplasm; Cytoskeleton; Phosphoprotein; Ubl conjugation</t>
  </si>
  <si>
    <t>centriole-centriole cohesion {GO:0010457}; centrosome cycle {GO:0007098}; protein localization to organelle {GO:0033365}</t>
  </si>
  <si>
    <t>cell junction {GO:0030054}; centriolar satellite {GO:0034451}; centrosome {GO:0005813}; cytosol {GO:0005829}; nucleoplasm {GO:0005654}</t>
  </si>
  <si>
    <t>protein domain specific binding {GO:0019904}; protein kinase binding {GO:0019901}</t>
  </si>
  <si>
    <t>sp|Q6A098|SBP2L_MOUSE</t>
  </si>
  <si>
    <t>Selenocysteine insertion sequence-binding protein 2-like (SECIS-binding protein 2-like)</t>
  </si>
  <si>
    <t>SBP2L_MOUSE</t>
  </si>
  <si>
    <t>Q6A098</t>
  </si>
  <si>
    <t>Kiaa0256</t>
  </si>
  <si>
    <t>MGI:1917604</t>
  </si>
  <si>
    <t>mRNA 3'-UTR binding {GO:0003730}; ribonucleoprotein complex binding {GO:0043021}; selenocysteine insertion sequence binding {GO:0035368}</t>
  </si>
  <si>
    <t>sp|Q3URS9|MITOK_MOUSE</t>
  </si>
  <si>
    <t>Mitochondrial potassium channel (MITOK)</t>
  </si>
  <si>
    <t>Coiled-coil domain-containing protein 51</t>
  </si>
  <si>
    <t>MITOK_MOUSE</t>
  </si>
  <si>
    <t>Q3URS9</t>
  </si>
  <si>
    <t>Q4QQL1; Q9CXS1</t>
  </si>
  <si>
    <t>MGI:1913908</t>
  </si>
  <si>
    <t>Alternative splicing; Coiled coil; Ion channel; Ion transport; Membrane; Mitochondrion; Mitochondrion inner membrane; Potassium; Potassium channel; Potassium transport; Transit peptide; Transmembrane; Transmembrane helix; Transport</t>
  </si>
  <si>
    <t>Potassium</t>
  </si>
  <si>
    <t>Ion channel; Potassium channel</t>
  </si>
  <si>
    <t>cell volume homeostasis {GO:0006884}; mitochondrial potassium ion transmembrane transport {GO:0140141}; potassium ion transmembrane transport {GO:0071805}</t>
  </si>
  <si>
    <t>integral component of mitochondrial inner membrane {GO:0031305}; mitochondrial ATP-gated potassium channel complex {GO:0062157}; mitochondrial inner membrane {GO:0005743}; mitochondrion {GO:0005739}; potassium channel complex {GO:0034705}</t>
  </si>
  <si>
    <t>mitochondrial ATP-gated potassium channel activity {GO:0062156}</t>
  </si>
  <si>
    <t>sp|Q9Z2L7|CRLF3_MOUSE</t>
  </si>
  <si>
    <t>Cytokine receptor-like factor 3</t>
  </si>
  <si>
    <t>Cytokine receptor-like molecule 9 (CREME-9); Cytokine receptor-related factor 4</t>
  </si>
  <si>
    <t>CRLF3_MOUSE</t>
  </si>
  <si>
    <t>Q9Z2L7</t>
  </si>
  <si>
    <t>Q5SYK6; Q91W21; Q9R262</t>
  </si>
  <si>
    <t>Creme9; Cytor4</t>
  </si>
  <si>
    <t>MGI:1860086</t>
  </si>
  <si>
    <t>3D-structure; Alternative splicing; Coiled coil; Cytoplasm</t>
  </si>
  <si>
    <t>negative regulation of cell growth {GO:0030308}; negative regulation of G1/S transition of mitotic cell cycle {GO:2000134}; positive regulation of DNA-templated transcription {GO:0045893}; positive regulation of receptor signaling pathway via JAK-STAT {GO:0046427}; positive regulation of transcription by RNA polymerase II {GO:0045944}</t>
  </si>
  <si>
    <t>sp|Q60751|IGF1R_MOUSE</t>
  </si>
  <si>
    <t>Insulin-like growth factor 1 receptor beta chain</t>
  </si>
  <si>
    <t>Insulin-like growth factor I receptor (IGF-I receptor); CD_antigen=CD221</t>
  </si>
  <si>
    <t>IGF1R_MOUSE</t>
  </si>
  <si>
    <t>Q60751</t>
  </si>
  <si>
    <t>O70438; Q62123</t>
  </si>
  <si>
    <t>MGI:96433</t>
  </si>
  <si>
    <t>3D-structure; ATP-binding; Cell membrane; Cleavage on pair of basic residues; Disulfide bond; Glycoprotein; Isopeptide bond; Kinase; Membrane; Nucleotide-binding; Phosphoprotein; Receptor; Repeat; Signal; Transferase; Transmembrane; Transmembrane helix; Tyrosine-protein kinase; Ubl conjugation</t>
  </si>
  <si>
    <t>Cleavage on pair of basic residues; Disulfide bond; Glycoprotein; Isopeptide bond; Phosphoprotein; Ubl conjugation</t>
  </si>
  <si>
    <t>adrenal gland development {GO:0030325}; amyloid-beta clearance {GO:0097242}; animal organ morphogenesis {GO:0009887}; axonogenesis {GO:0007409}; brain development {GO:0007420}; cellular response to amyloid-beta {GO:1904646}; cellular response to glucose stimulus {GO:0071333}; cellular response to insulin stimulus {GO:0032869}; cellular response to insulin-like growth factor stimulus {GO:1990314}; cellular response to transforming growth factor beta stimulus {GO:0071560}; cerebellum development {GO:0021549}; dendritic spine maintenance {GO:0097062}; epidermis development {GO:0008544}; establishment of cell polarity {GO:0030010}; estrous cycle {GO:0044849}; exocrine pancreas development {GO:0031017}; glucose homeostasis {GO:0042593}; immune response {GO:0006955}; insulin receptor signaling pathway {GO:0008286}; insulin-like growth factor receptor signaling pathway {GO:0048009}; male sex determination {GO:0030238}; mammary gland development {GO:0030879}; MAPK cascade {GO:0000165}; mitotic nuclear division {GO:0140014}; negative regulation of apoptotic process {GO:0043066}; negative regulation of cholangiocyte apoptotic process {GO:1904193}; negative regulation of DNA-binding transcription factor activity {GO:0043433}; negative regulation of hepatocyte apoptotic process {GO:1903944}; negative regulation of MAPK cascade {GO:0043409}; negative regulation of muscle cell apoptotic process {GO:0010656}; negative regulation of protein kinase B signaling {GO:0051898}; neuron projection development {GO:0031175}; peptidyl-tyrosine autophosphorylation {GO:0038083}; phosphatidylinositol-mediated signaling {GO:0048015}; positive regulation of axon regeneration {GO:0048680}; positive regulation of cell migration {GO:0030335}; positive regulation of cell population proliferation {GO:0008284}; positive regulation of cold-induced thermogenesis {GO:0120162}; positive regulation of cytokinesis {GO:0032467}; positive regulation of developmental growth {GO:0048639}; positive regulation of DNA metabolic process {GO:0051054}; positive regulation of DNA-templated transcription {GO:0045893}; positive regulation of kinase activity {GO:0033674}; positive regulation of MAPK cascade {GO:0043410}; positive regulation of meiotic cell cycle {GO:0051446}; positive regulation of mitotic nuclear division {GO:0045840}; positive regulation of osteoblast proliferation {GO:0033690}; positive regulation of phosphatidylinositol 3-kinase signaling {GO:0014068}; positive regulation of protein kinase B signaling {GO:0051897}; positive regulation of protein-containing complex disassembly {GO:0043243}; positive regulation of smooth muscle cell proliferation {GO:0048661}; positive regulation of steroid hormone biosynthetic process {GO:0090031}; prostate gland epithelium morphogenesis {GO:0060740}; protein autophosphorylation {GO:0046777}; protein kinase B signaling {GO:0043491}; protein phosphorylation {GO:0006468}; regulation of JNK cascade {GO:0046328}; response to ethanol {GO:0045471}; response to L-glutamate {GO:1902065}; transcytosis {GO:0045056}; transmembrane receptor protein tyrosine kinase signaling pathway {GO:0007169}</t>
  </si>
  <si>
    <t>alphav-beta3 integrin-IGF-1-IGF1R complex {GO:0035867}; axon {GO:0030424}; caveola {GO:0005901}; cytoplasm {GO:0005737}; insulin receptor complex {GO:0005899}; integral component of membrane {GO:0016021}; integral component of plasma membrane {GO:0005887}; intracellular membrane-bounded organelle {GO:0043231}; membrane {GO:0016020}; neuron projection {GO:0043005}; neuronal cell body {GO:0043025}; nucleus {GO:0005634}; plasma membrane {GO:0005886}; protein kinase complex {GO:1902911}; receptor complex {GO:0043235}; T-tubule {GO:0030315}</t>
  </si>
  <si>
    <t>ATP binding {GO:0005524}; G-protein alpha-subunit binding {GO:0001965}; identical protein binding {GO:0042802}; insulin binding {GO:0043559}; insulin receptor activity {GO:0005009}; insulin receptor binding {GO:0005158}; insulin receptor substrate binding {GO:0043560}; insulin-like growth factor binding {GO:0005520}; insulin-like growth factor I binding {GO:0031994}; insulin-like growth factor receptor activity {GO:0005010}; phosphatidylinositol 3-kinase binding {GO:0043548}; protein transporter activity {GO:0140318}; protein tyrosine kinase activity {GO:0004713}; protein-containing complex binding {GO:0044877}; structural molecule activity {GO:0005198}; transmembrane receptor protein tyrosine kinase activity {GO:0004714}</t>
  </si>
  <si>
    <t>Signaling by Type 1 Insulin-like Growth Factor 1 Receptor (IGF1R) {R-MMU-2404192}; IRS-related events triggered by IGF1R {R-MMU-2428928}; SHC-related events triggered by IGF1R {R-MMU-2428933}; Extra-nuclear estrogen signaling {R-MMU-9009391}</t>
  </si>
  <si>
    <t>sp|P97313|PRKDC_MOUSE</t>
  </si>
  <si>
    <t>DNA-dependent protein kinase catalytic subunit (DNA-PK catalytic subunit; DNA-PKcs)</t>
  </si>
  <si>
    <t>p460</t>
  </si>
  <si>
    <t>PRKDC_MOUSE</t>
  </si>
  <si>
    <t>P97313</t>
  </si>
  <si>
    <t>E9QN15; O88187; P97928; Q307W9; Q3V2W8; Q8C2A7; Q9Z341</t>
  </si>
  <si>
    <t>Xrcc7</t>
  </si>
  <si>
    <t>MGI:104779</t>
  </si>
  <si>
    <t>Acetylation; Alternative splicing; ATP-binding; Biological rhythms; Disease variant; DNA damage; DNA repair; Immunity; Innate immunity; Kinase; Nucleotide-binding; Nucleus; Phosphoprotein; Repeat; Ribosome biogenesis; S-nitrosylation; SCID; Serine/threonine-protein kinase; TPR repeat; Transferase; Ubl conjugation</t>
  </si>
  <si>
    <t>Biological rhythms; DNA damage; DNA repair; Immunity; Innate immunity; Ribosome biogenesis</t>
  </si>
  <si>
    <t>Disease variant; SCID</t>
  </si>
  <si>
    <t>activation of innate immune response {GO:0002218}; B cell lineage commitment {GO:0002326}; brain development {GO:0007420}; cellular response to DNA damage stimulus {GO:0006974}; cellular response to insulin stimulus {GO:0032869}; double-strand break repair {GO:0006302}; double-strand break repair via nonhomologous end joining {GO:0006303}; ectopic germ cell programmed cell death {GO:0035234}; heart development {GO:0007507}; immature B cell differentiation {GO:0002327}; immunoglobulin V(D)J recombination {GO:0033152}; innate immune response {GO:0045087}; intrinsic apoptotic signaling pathway in response to DNA damage {GO:0008630}; lymphocyte differentiation {GO:0030098}; maturation of 5.8S rRNA {GO:0000460}; mitotic G1 DNA damage checkpoint signaling {GO:0031571}; negative regulation of apoptotic process {GO:0043066}; negative regulation of cellular senescence {GO:2000773}; negative regulation of immunoglobulin production {GO:0002638}; negative regulation of protein phosphorylation {GO:0001933}; negative regulation of response to gamma radiation {GO:2001229}; peptidyl-serine phosphorylation {GO:0018105}; peptidyl-threonine phosphorylation {GO:0018107}; positive regulation of apoptotic process {GO:0043065}; positive regulation of developmental growth {GO:0048639}; positive regulation of double-strand break repair via nonhomologous end joining {GO:2001034}; positive regulation of erythrocyte differentiation {GO:0045648}; positive regulation of fibroblast proliferation {GO:0048146}; positive regulation of immune system process {GO:0002684}; positive regulation of lymphocyte differentiation {GO:0045621}; positive regulation of platelet formation {GO:1905221}; positive regulation of transcription by RNA polymerase II {GO:0045944}; positive regulation of translation {GO:0045727}; pro-B cell differentiation {GO:0002328}; protein destabilization {GO:0031648}; protein phosphorylation {GO:0006468}; regulation of circadian rhythm {GO:0042752}; regulation of epithelial cell proliferation {GO:0050678}; regulation of hematopoietic stem cell differentiation {GO:1902036}; regulation of smooth muscle cell proliferation {GO:0048660}; response to activity {GO:0014823}; response to gamma radiation {GO:0010332}; response to ionizing radiation {GO:0010212}; rhythmic process {GO:0048511}; small-subunit processome assembly {GO:0034462}; somitogenesis {GO:0001756}; spleen development {GO:0048536}; T cell differentiation in thymus {GO:0033077}; T cell lineage commitment {GO:0002360}; T cell receptor V(D)J recombination {GO:0033153}; telomere capping {GO:0016233}; telomere maintenance {GO:0000723}; thymus development {GO:0048538}; V(D)J recombination {GO:0033151}</t>
  </si>
  <si>
    <t>DNA-dependent protein kinase complex {GO:0070418}; DNA-dependent protein kinase-DNA ligase 4 complex {GO:0005958}; nonhomologous end joining complex {GO:0070419}; nucleolus {GO:0005730}; nucleoplasm {GO:0005654}; nucleus {GO:0005634}; protein-containing complex {GO:0032991}; protein-DNA complex {GO:0032993}; small-subunit processome {GO:0032040}; transcription regulator complex {GO:0005667}</t>
  </si>
  <si>
    <t>ATP binding {GO:0005524}; DNA-dependent protein kinase activity {GO:0004677}; double-stranded DNA binding {GO:0003690}; enzyme binding {GO:0019899}; protein domain specific binding {GO:0019904}; protein kinase activity {GO:0004672}; protein serine kinase activity {GO:0106310}; protein serine/threonine kinase activity {GO:0004674}; RNA polymerase II-specific DNA-binding transcription factor binding {GO:0061629}; U3 snoRNA binding {GO:0034511}</t>
  </si>
  <si>
    <t>Nonhomologous End-Joining (NHEJ) {R-MMU-5693571}; E3 ubiquitin ligases ubiquitinate target proteins {R-MMU-8866654}</t>
  </si>
  <si>
    <t>sp|O35144|TERF2_MOUSE</t>
  </si>
  <si>
    <t>Telomeric repeat-binding factor 2</t>
  </si>
  <si>
    <t>TTAGGG repeat-binding factor 2; Telomeric DNA-binding protein</t>
  </si>
  <si>
    <t>TERF2_MOUSE</t>
  </si>
  <si>
    <t>O35144</t>
  </si>
  <si>
    <t>D3YVG5; Q80VE2; Q8BQJ9</t>
  </si>
  <si>
    <t>Trf2</t>
  </si>
  <si>
    <t>MGI:1195972</t>
  </si>
  <si>
    <t>Alternative splicing; Cell cycle; Chromosome; DNA-binding; Isopeptide bond; Methylation; Nucleus; Phosphoprotein; Telomere; Ubl conjugation</t>
  </si>
  <si>
    <t>anterograde axonal transport {GO:0008089}; anterograde axonal transport of messenger ribonucleoprotein complex {GO:0099087}; cell cycle {GO:0007049}; in utero embryonic development {GO:0001701}; negative regulation of beta-galactosidase activity {GO:1903770}; negative regulation of cellular senescence {GO:2000773}; negative regulation of exonuclease activity {GO:1905778}; negative regulation of gene expression {GO:0010629}; negative regulation of t-circle formation {GO:1904430}; negative regulation of telomere capping {GO:1904354}; negative regulation of telomere maintenance {GO:0032205}; negative regulation of telomere maintenance via recombination {GO:0032208}; negative regulation of telomere maintenance via telomerase {GO:0032211}; negative regulation of telomere maintenance via telomere lengthening {GO:1904357}; negative regulation of telomeric D-loop disassembly {GO:1905839}; positive regulation of gene expression {GO:0010628}; positive regulation of nitric-oxide synthase activity {GO:0051000}; positive regulation of telomere maintenance {GO:0032206}; protection from non-homologous end joining at telomere {GO:0031848}; protein localization to chromosome, telomeric region {GO:0070198}; regulation of telomere maintenance {GO:0032204}; regulation of telomere maintenance via telomerase {GO:0032210}; telomere capping {GO:0016233}; telomere maintenance {GO:0000723}; telomeric D-loop disassembly {GO:0061820}; telomeric loop formation {GO:0031627}</t>
  </si>
  <si>
    <t>axon cytoplasm {GO:1904115}; chromosome, telomeric region {GO:0000781}; male germ cell nucleus {GO:0001673}; nuclear body {GO:0016604}; nuclear telomere cap complex {GO:0000783}; nucleoplasm {GO:0005654}; nucleus {GO:0005634}; shelterin complex {GO:0070187}</t>
  </si>
  <si>
    <t>double-stranded telomeric DNA binding {GO:0003691}; enzyme binding {GO:0019899}; G-rich strand telomeric DNA binding {GO:0098505}; protein C-terminus binding {GO:0008022}; protein homodimerization activity {GO:0042803}; protein-containing complex binding {GO:0044877}; telomerase activity {GO:0003720}; telomeric DNA binding {GO:0042162}</t>
  </si>
  <si>
    <t>Telomere Extension By Telomerase {R-MMU-171319}; Polymerase switching on the C-strand of the telomere {R-MMU-174411}; Processive synthesis on the C-strand of the telomere {R-MMU-174414}; Telomere C-strand (Lagging Strand) Synthesis {R-MMU-174417}; Telomere C-strand synthesis initiation {R-MMU-174430}; Removal of the Flap Intermediate from the C-strand {R-MMU-174437}</t>
  </si>
  <si>
    <t>sp|Q8CIF4|BTD_MOUSE</t>
  </si>
  <si>
    <t>Biotinidase (Biotinase)</t>
  </si>
  <si>
    <t>BTD_MOUSE</t>
  </si>
  <si>
    <t>Q8CIF4</t>
  </si>
  <si>
    <t>Q3UXQ4; Q9DAV0</t>
  </si>
  <si>
    <t>MGI:1347001</t>
  </si>
  <si>
    <t>Glycoprotein; Hydrolase; Secreted; Signal</t>
  </si>
  <si>
    <t>biotin metabolic process {GO:0006768}</t>
  </si>
  <si>
    <t>apical part of cell {GO:0045177}; extracellular space {GO:0005615}; nucleolus {GO:0005730}; perikaryon {GO:0043204}</t>
  </si>
  <si>
    <t>biotinidase activity {GO:0047708}</t>
  </si>
  <si>
    <t>sp|P30051|TEAD1_MOUSE</t>
  </si>
  <si>
    <t>Transcriptional enhancer factor TEF-1</t>
  </si>
  <si>
    <t>NTEF-1; Protein GT-IIC; TEA domain family member 1 (TEAD-1); Transcription factor 13 (TCF-13)</t>
  </si>
  <si>
    <t>TEAD1_MOUSE</t>
  </si>
  <si>
    <t>P30051</t>
  </si>
  <si>
    <t>Tcf13; Tef-1; Tef1</t>
  </si>
  <si>
    <t>MGI:101876</t>
  </si>
  <si>
    <t>cellular response to retinoic acid {GO:0071300}; embryonic heart tube morphogenesis {GO:0003143}; embryonic organ development {GO:0048568}; heart development {GO:0007507}; hippo signaling {GO:0035329}; lateral mesoderm development {GO:0048368}; notochord development {GO:0030903}; paraxial mesoderm development {GO:0048339}; positive regulation of cell growth {GO:0030307}; positive regulation of DNA-templated transcription {GO:0045893}; positive regulation of miRNA transcription {GO:1902895}; positive regulation of protein serine/threonine kinase activity {GO:0071902}; positive regulation of stem cell population maintenance {GO:1902459}; positive regulation of transcription by RNA polymerase II {GO:0045944}; protein-containing complex assembly {GO:0065003}; regulation of cell population proliferation {GO:0042127}; regulation of DNA-templated transcription {GO:0006355}; regulation of gene expression {GO:0010468}; regulation of transcription by RNA polymerase II {GO:0006357}; transition between fast and slow fiber {GO:0014883}</t>
  </si>
  <si>
    <t>nucleoplasm {GO:0005654}; nucleus {GO:0005634}; TEAD-YAP complex {GO:0140552}; transcription regulator complex {GO:0005667}</t>
  </si>
  <si>
    <t>cis-regulatory region sequence-specific DNA binding {GO:0000987}; DNA-binding transcription factor activity {GO:0003700}; DNA-binding transcription factor activity, RNA polymerase II-specific {GO:0000981}; RNA polymerase II cis-regulatory region sequence-specific DNA binding {GO:0000978}; sequence-specific double-stranded DNA binding {GO:1990837}</t>
  </si>
  <si>
    <t>YAP1- and WWTR1 (TAZ)-stimulated gene expression {R-MMU-2032785}; RUNX3 regulates YAP1-mediated transcription {R-MMU-8951671}</t>
  </si>
  <si>
    <t>sp|Q8BY02|NKRF_MOUSE</t>
  </si>
  <si>
    <t>NF-kappa-B-repressing factor (NFkB-repressing factor)</t>
  </si>
  <si>
    <t>Transcription factor NRF</t>
  </si>
  <si>
    <t>NKRF_MOUSE</t>
  </si>
  <si>
    <t>Q8BY02</t>
  </si>
  <si>
    <t>A2A3V7; Q8BJU5; Q9CRL2</t>
  </si>
  <si>
    <t>Nrf</t>
  </si>
  <si>
    <t>MGI:1924536</t>
  </si>
  <si>
    <t>DNA-binding; Isopeptide bond; Nucleus; Phosphoprotein; Repressor; Transcription; Transcription regulation; Ubl conjugation</t>
  </si>
  <si>
    <t>negative regulation of DNA-templated transcription {GO:0045892}; positive regulation of transcription by RNA polymerase II {GO:0045944}</t>
  </si>
  <si>
    <t>ATPase activator activity {GO:0001671}; DNA-binding transcription activator activity, RNA polymerase II-specific {GO:0001228}; RNA polymerase II cis-regulatory region sequence-specific DNA binding {GO:0000978}</t>
  </si>
  <si>
    <t>sp|Q80U44|ZFY16_MOUSE</t>
  </si>
  <si>
    <t>Zinc finger FYVE domain-containing protein 16</t>
  </si>
  <si>
    <t>Endofin; Endosomal-associated FYVE domain protein</t>
  </si>
  <si>
    <t>ZFY16_MOUSE</t>
  </si>
  <si>
    <t>Q80U44</t>
  </si>
  <si>
    <t>Q8BRD2; Q8CG97</t>
  </si>
  <si>
    <t>Kiaa0305</t>
  </si>
  <si>
    <t>MGI:2145181</t>
  </si>
  <si>
    <t>Cytoplasm; Endosome; Membrane; Metal-binding; Phosphoprotein; Zinc; Zinc-finger</t>
  </si>
  <si>
    <t>endosomal transport {GO:0016197}; protein targeting to lysosome {GO:0006622}</t>
  </si>
  <si>
    <t>cytosol {GO:0005829}; early endosome {GO:0005769}; early endosome membrane {GO:0031901}; intracellular membrane-bounded organelle {GO:0043231}</t>
  </si>
  <si>
    <t>1-phosphatidylinositol binding {GO:0005545}; metal ion binding {GO:0046872}; phosphatidylinositol-3,4,5-trisphosphate binding {GO:0005547}</t>
  </si>
  <si>
    <t>Signaling by BMP {R-MMU-201451}</t>
  </si>
  <si>
    <t>sp|Q8R1F9|RPP40_MOUSE</t>
  </si>
  <si>
    <t>Ribonuclease P protein subunit p40 (RNaseP protein p40)</t>
  </si>
  <si>
    <t>RPP40_MOUSE</t>
  </si>
  <si>
    <t>Q8R1F9</t>
  </si>
  <si>
    <t>Q8BX66</t>
  </si>
  <si>
    <t>MGI:1346084</t>
  </si>
  <si>
    <t>Nucleus; rRNA processing; tRNA processing</t>
  </si>
  <si>
    <t>endonucleolytic cleavage in ITS1 to separate SSU-rRNA from 5.8S rRNA and LSU-rRNA from tricistronic rRNA transcript (SSU-rRNA, 5.8S rRNA, LSU-rRNA) {GO:0000447}; endonucleolytic cleavage involved in tRNA processing {GO:1905267}; tRNA 5'-leader removal {GO:0001682}</t>
  </si>
  <si>
    <t>multimeric ribonuclease P complex {GO:0030681}; nucleolar ribonuclease P complex {GO:0005655}; ribonuclease MRP complex {GO:0000172}</t>
  </si>
  <si>
    <t>ribonuclease P activity {GO:0004526}; ribonuclease P RNA binding {GO:0033204}</t>
  </si>
  <si>
    <t>sp|Q61048|WBP4_MOUSE</t>
  </si>
  <si>
    <t>WW domain-binding protein 4 (WBP-4)</t>
  </si>
  <si>
    <t>Formin-binding protein 21; WW domain-containing-binding protein 4</t>
  </si>
  <si>
    <t>WBP4_MOUSE</t>
  </si>
  <si>
    <t>Q61048</t>
  </si>
  <si>
    <t>Q3TUU8; Q8K1Z9; Q9CS45</t>
  </si>
  <si>
    <t>Fbp21; Fnbp21</t>
  </si>
  <si>
    <t>MGI:109568</t>
  </si>
  <si>
    <t>Metal-binding; mRNA processing; mRNA splicing; Nucleus; Phosphoprotein; Repeat; Spliceosome; Zinc; Zinc-finger</t>
  </si>
  <si>
    <t>mRNA cis splicing, via spliceosome {GO:0045292}; mRNA splicing, via spliceosome {GO:0000398}; RNA splicing {GO:0008380}</t>
  </si>
  <si>
    <t>nuclear speck {GO:0016607}; nucleus {GO:0005634}; precatalytic spliceosome {GO:0071011}; spliceosomal complex {GO:0005681}; U2-type precatalytic spliceosome {GO:0071005}</t>
  </si>
  <si>
    <t>proline-rich region binding {GO:0070064}; RNA binding {GO:0003723}; zinc ion binding {GO:0008270}</t>
  </si>
  <si>
    <t>sp|Q61188|EZH2_MOUSE</t>
  </si>
  <si>
    <t>Histone-lysine N-methyltransferase EZH2</t>
  </si>
  <si>
    <t>ENX-1; Enhancer of zeste homolog 2</t>
  </si>
  <si>
    <t>EZH2_MOUSE</t>
  </si>
  <si>
    <t>Q61188</t>
  </si>
  <si>
    <t>Q99L74; Q9R090</t>
  </si>
  <si>
    <t>Enx1h</t>
  </si>
  <si>
    <t>MGI:107940</t>
  </si>
  <si>
    <t>3D-structure; Alternative splicing; Biological rhythms; Chromatin regulator; Chromosome; Glycoprotein; Isopeptide bond; Methyltransferase; Nucleus; Phosphoprotein; Repressor; S-adenosyl-L-methionine; Transcription; Transcription regulation; Transferase; Ubl conjugation</t>
  </si>
  <si>
    <t>Glycoprotein; Isopeptide bond; Phosphoprotein; Ubl conjugation</t>
  </si>
  <si>
    <t>B cell differentiation {GO:0030183}; cardiac muscle hypertrophy in response to stress {GO:0014898}; cell development {GO:0048468}; cellular response to hydrogen peroxide {GO:0070301}; cellular response to trichostatin A {GO:0035984}; cerebellar cortex development {GO:0021695}; chromatin remodeling {GO:0006338}; DNA methylation {GO:0006306}; epidermal cell differentiation {GO:0009913}; G1 to G0 transition {GO:0070314}; G1/S transition of mitotic cell cycle {GO:0000082}; hepatocyte homeostasis {GO:0036333}; heterochromatin assembly {GO:0031507}; hippocampus development {GO:0021766}; histone H3-K27 methylation {GO:0070734}; histone H3-K27 trimethylation {GO:0098532}; histone methylation {GO:0016571}; immunoglobulin heavy chain V-D-J recombination {GO:0071707}; keratinocyte differentiation {GO:0030216}; liver regeneration {GO:0097421}; negative regulation of cytokine production involved in inflammatory response {GO:1900016}; negative regulation of DNA-binding transcription factor activity {GO:0043433}; negative regulation of DNA-templated transcription {GO:0045892}; negative regulation of epidermal cell differentiation {GO:0045605}; negative regulation of G1/S transition of mitotic cell cycle {GO:2000134}; negative regulation of gene expression {GO:0010629}; negative regulation of gene expression, epigenetic {GO:0045814}; negative regulation of keratinocyte differentiation {GO:0045617}; negative regulation of retinoic acid receptor signaling pathway {GO:0048387}; negative regulation of stem cell differentiation {GO:2000737}; negative regulation of striated muscle cell differentiation {GO:0051154}; negative regulation of transcription by RNA polymerase II {GO:0000122}; negative regulation of transcription elongation by RNA polymerase II {GO:0034244}; positive regulation of cell cycle G1/S phase transition {GO:1902808}; positive regulation of cell population proliferation {GO:0008284}; positive regulation of dendrite development {GO:1900006}; positive regulation of epithelial to mesenchymal transition {GO:0010718}; positive regulation of GTPase activity {GO:0043547}; positive regulation of MAP kinase activity {GO:0043406}; positive regulation of protein serine/threonine kinase activity {GO:0071902}; protein localization to chromatin {GO:0071168}; regulation of cell population proliferation {GO:0042127}; regulation of circadian rhythm {GO:0042752}; regulation of gene expression {GO:0010468}; regulation of gliogenesis {GO:0014013}; regulation of neurogenesis {GO:0050767}; regulation of protein phosphorylation {GO:0001932}; regulation of transcription by RNA polymerase II {GO:0006357}; response to estradiol {GO:0032355}; response to tetrachloromethane {GO:1904772}; rhythmic process {GO:0048511}; skeletal muscle satellite cell maintenance involved in skeletal muscle regeneration {GO:0014834}; stem cell differentiation {GO:0048863}; subtelomeric heterochromatin assembly {GO:0031509}; synaptic transmission, GABAergic {GO:0051932}</t>
  </si>
  <si>
    <t>chromatin {GO:0000785}; chromatin silencing complex {GO:0005677}; chromosome, telomeric region {GO:0000781}; cytoplasm {GO:0005737}; ESC/E(Z) complex {GO:0035098}; nucleoplasm {GO:0005654}; nucleus {GO:0005634}; pericentric heterochromatin {GO:0005721}; pronucleus {GO:0045120}; synapse {GO:0045202}</t>
  </si>
  <si>
    <t>chromatin binding {GO:0003682}; chromatin DNA binding {GO:0031490}; DNA binding {GO:0003677}; histone methyltransferase activity {GO:0042054}; histone methyltransferase activity (H3-K27 specific) {GO:0046976}; histone-lysine N-methyltransferase activity {GO:0018024}; lncRNA binding {GO:0106222}; primary miRNA binding {GO:0070878}; promoter-specific chromatin binding {GO:1990841}; protein-lysine N-methyltransferase activity {GO:0016279}; ribonucleoprotein complex binding {GO:0043021}; RNA binding {GO:0003723}; RNA polymerase II cis-regulatory region sequence-specific DNA binding {GO:0000978}; RNA polymerase II core promoter sequence-specific DNA binding {GO:0000979}; sequence-specific DNA binding {GO:0043565}; transcription cis-regulatory region binding {GO:0000976}; transcription corepressor activity {GO:0003714}; transcription corepressor binding {GO:0001222}</t>
  </si>
  <si>
    <t>sp|Q9QZV9|NXT1_MOUSE</t>
  </si>
  <si>
    <t>NTF2-related export protein 1</t>
  </si>
  <si>
    <t>NXT1_MOUSE</t>
  </si>
  <si>
    <t>Q9QZV9</t>
  </si>
  <si>
    <t>Q3THE3; Q9D1P7</t>
  </si>
  <si>
    <t>MGI:1929619</t>
  </si>
  <si>
    <t>Acetylation; Cytoplasm; mRNA transport; Nucleus; Protein transport; Transport</t>
  </si>
  <si>
    <t>mRNA export from nucleus {GO:0006406}; nucleocytoplasmic transport {GO:0006913}; protein export from nucleus {GO:0006611}; protein import into nucleus {GO:0006606}; RNA export from nucleus {GO:0006405}</t>
  </si>
  <si>
    <t>cytosol {GO:0005829}; nuclear pore {GO:0005643}; nuclear pore central transport channel {GO:0044613}; nuclear RNA export factor complex {GO:0042272}; nuclear speck {GO:0016607}; nucleoplasm {GO:0005654}; nucleus {GO:0005634}</t>
  </si>
  <si>
    <t>sp|Q8BFP9|PDK1_MOUSE</t>
  </si>
  <si>
    <t>[Pyruvate dehydrogenase (acetyl-transferring)] kinase isozyme 1, mitochondrial</t>
  </si>
  <si>
    <t>Pyruvate dehydrogenase kinase isoform 1 (PDH kinase 1)</t>
  </si>
  <si>
    <t>PDK1_MOUSE</t>
  </si>
  <si>
    <t>Q8BFP9</t>
  </si>
  <si>
    <t>Q3U5E5</t>
  </si>
  <si>
    <t>MGI:1926119</t>
  </si>
  <si>
    <t>ATP-binding; Carbohydrate metabolism; Glucose metabolism; Kinase; Mitochondrion; Nucleotide-binding; Phosphoprotein; Transferase; Transit peptide</t>
  </si>
  <si>
    <t>cell population proliferation {GO:0008283}; cell surface receptor signaling pathway {GO:0007166}; glucose metabolic process {GO:0006006}; hypoxia-inducible factor-1alpha signaling pathway {GO:0097411}; intracellular signal transduction {GO:0035556}; intrinsic apoptotic signaling pathway in response to oxidative stress {GO:0008631}; peptidyl-serine phosphorylation {GO:0018105}; protein phosphorylation {GO:0006468}; regulation of acetyl-CoA biosynthetic process from pyruvate {GO:0010510}; regulation of glucose metabolic process {GO:0010906}</t>
  </si>
  <si>
    <t>mitochondrial pyruvate dehydrogenase complex {GO:0005967}; mitochondrion {GO:0005739}; plasma membrane {GO:0005886}; pyruvate dehydrogenase complex {GO:0045254}</t>
  </si>
  <si>
    <t>ATP binding {GO:0005524}; identical protein binding {GO:0042802}; protein kinase activity {GO:0004672}; protein serine/threonine kinase activity {GO:0004674}; protein-containing complex binding {GO:0044877}; pyruvate dehydrogenase (acetyl-transferring) kinase activity {GO:0004740}</t>
  </si>
  <si>
    <t>sp|Q8BUH8|SENP7_MOUSE</t>
  </si>
  <si>
    <t>Sentrin-specific protease 7</t>
  </si>
  <si>
    <t>SUMO-1-specific protease 2; Sentrin/SUMO-specific protease SENP7</t>
  </si>
  <si>
    <t>SENP7_MOUSE</t>
  </si>
  <si>
    <t>Q8BUH8</t>
  </si>
  <si>
    <t>Q6P398; Q80TA3</t>
  </si>
  <si>
    <t>MGI:1913565</t>
  </si>
  <si>
    <t>Cytoplasm; Hydrolase; Immunity; Innate immunity; Phosphoprotein; Protease; Thiol protease; Ubl conjugation pathway</t>
  </si>
  <si>
    <t>antiviral innate immune response {GO:0140374}; protein desumoylation {GO:0016926}</t>
  </si>
  <si>
    <t>SUMO-specific endopeptidase activity {GO:0070139}</t>
  </si>
  <si>
    <t>sp|P58544|BTBD1_MOUSE</t>
  </si>
  <si>
    <t>BTB/POZ domain-containing protein 1</t>
  </si>
  <si>
    <t>Glucose signal-repressing protein</t>
  </si>
  <si>
    <t>BTBD1_MOUSE</t>
  </si>
  <si>
    <t>P58544</t>
  </si>
  <si>
    <t>Q6GQU7; Q8BTZ0; Q8K0J0</t>
  </si>
  <si>
    <t>Gsrp</t>
  </si>
  <si>
    <t>MGI:1933765</t>
  </si>
  <si>
    <t>Cytoplasm; Differentiation; Methylation; Myogenesis; Ubl conjugation pathway</t>
  </si>
  <si>
    <t>Differentiation; Myogenesis; Ubl conjugation pathway</t>
  </si>
  <si>
    <t>muscle organ development {GO:0007517}; neurogenesis {GO:0022008}; protein ubiquitination {GO:0016567}</t>
  </si>
  <si>
    <t>cytoplasmic ribonucleoprotein granule {GO:0036464}; cytosol {GO:0005829}; nucleoplasm {GO:0005654}; P-body {GO:0000932}; protein-containing complex {GO:0032991}</t>
  </si>
  <si>
    <t>cullin family protein binding {GO:0097602}; identical protein binding {GO:0042802}</t>
  </si>
  <si>
    <t>sp|Q8BXK8|AGAP1_MOUSE</t>
  </si>
  <si>
    <t>Arf-GAP with GTPase, ANK repeat and PH domain-containing protein 1 (AGAP-1)</t>
  </si>
  <si>
    <t>Centaurin-gamma-2 (Cnt-g2)</t>
  </si>
  <si>
    <t>AGAP1_MOUSE</t>
  </si>
  <si>
    <t>Q8BXK8</t>
  </si>
  <si>
    <t>Q3UHA0; Q6ZPX9; Q8BZG0</t>
  </si>
  <si>
    <t>Centg2; Kiaa1099</t>
  </si>
  <si>
    <t>MGI:2653690</t>
  </si>
  <si>
    <t>Acetylation; ANK repeat; Cytoplasm; GTP-binding; GTPase activation; Metal-binding; Nucleotide-binding; Phosphoprotein; Protein transport; Repeat; Transport; Zinc; Zinc-finger</t>
  </si>
  <si>
    <t>activation of GTPase activity {GO:0090630}; protein transport {GO:0015031}</t>
  </si>
  <si>
    <t>GTP binding {GO:0005525}; GTPase activator activity {GO:0005096}; GTPase activity {GO:0003924}; metal ion binding {GO:0046872}; phospholipid binding {GO:0005543}</t>
  </si>
  <si>
    <t>sp|P07607|TYSY_MOUSE</t>
  </si>
  <si>
    <t>Thymidylate synthase (TS; TSase)</t>
  </si>
  <si>
    <t>TYSY_MOUSE</t>
  </si>
  <si>
    <t>P07607</t>
  </si>
  <si>
    <t>MGI:98878</t>
  </si>
  <si>
    <t>3D-structure; Cytoplasm; Isopeptide bond; Membrane; Methyltransferase; Mitochondrion; Mitochondrion inner membrane; Nucleotide biosynthesis; Nucleus; Phosphoprotein; Transferase; Ubl conjugation</t>
  </si>
  <si>
    <t>aging {GO:0007568}; cartilage development {GO:0051216}; circadian rhythm {GO:0007623}; developmental growth {GO:0048589}; dTMP biosynthetic process {GO:0006231}; dTTP biosynthetic process {GO:0006235}; intestinal epithelial cell maturation {GO:0060574}; liver regeneration {GO:0097421}; methylation {GO:0032259}; negative regulation of translation {GO:0017148}; regulation of translation {GO:0006417}; response to cytokine {GO:0034097}; response to ethanol {GO:0045471}; response to folic acid {GO:0051593}; response to glucocorticoid {GO:0051384}; response to organophosphorus {GO:0046683}; response to progesterone {GO:0032570}; response to toxic substance {GO:0009636}; response to vitamin A {GO:0033189}; response to xenobiotic stimulus {GO:0009410}; tetrahydrofolate interconversion {GO:0035999}; uracil metabolic process {GO:0019860}</t>
  </si>
  <si>
    <t>cytoplasm {GO:0005737}; cytosol {GO:0005829}; mitochondrial inner membrane {GO:0005743}; mitochondrial matrix {GO:0005759}; mitochondrion {GO:0005739}; nucleolus {GO:0005730}; nucleus {GO:0005634}</t>
  </si>
  <si>
    <t>folic acid binding {GO:0005542}; heterocyclic compound binding {GO:1901363}; mRNA binding {GO:0003729}; mRNA regulatory element binding translation repressor activity {GO:0000900}; protein homodimerization activity {GO:0042803}; sequence-specific mRNA binding {GO:1990825}; thymidylate synthase activity {GO:0004799}</t>
  </si>
  <si>
    <t>sp|P60487|PLPP_MOUSE</t>
  </si>
  <si>
    <t>Chronophin</t>
  </si>
  <si>
    <t>Pyridoxal 5'-phosphate phosphatase; Pyridoxal phosphate phosphatase (PLP phosphatase)</t>
  </si>
  <si>
    <t>PLPP_MOUSE</t>
  </si>
  <si>
    <t>P60487</t>
  </si>
  <si>
    <t>MGI:1919282</t>
  </si>
  <si>
    <t>3D-structure; Cell membrane; Cell projection; Cytoplasm; Cytoskeleton; Hydrolase; Magnesium; Membrane; Metal-binding; Pyridoxal phosphate</t>
  </si>
  <si>
    <t>Magnesium; Metal-binding; Pyridoxal phosphate</t>
  </si>
  <si>
    <t>actin rod assembly {GO:0031247}; cellular response to ATP {GO:0071318}; dephosphorylation {GO:0016311}; positive regulation of actin filament depolymerization {GO:0030836}; protein dephosphorylation {GO:0006470}; pyridoxal phosphate catabolic process {GO:0032361}; regulation of cytokinesis {GO:0032465}; regulation of mitotic nuclear division {GO:0007088}</t>
  </si>
  <si>
    <t>actin cytoskeleton {GO:0015629}; cell-cell junction {GO:0005911}; cleavage furrow {GO:0032154}; contractile ring {GO:0070938}; cytoplasm {GO:0005737}; cytosol {GO:0005829}; lamellipodium {GO:0030027}; lamellipodium membrane {GO:0031258}; midbody {GO:0030496}; plasma membrane {GO:0005886}; ruffle membrane {GO:0032587}</t>
  </si>
  <si>
    <t>glycerol-3-phosphatase activity {GO:0043136}; growth factor binding {GO:0019838}; heat shock protein binding {GO:0031072}; magnesium ion binding {GO:0000287}; myosin phosphatase activity {GO:0017018}; phosphatase activity {GO:0016791}; phosphoprotein phosphatase activity {GO:0004721}; protein homodimerization activity {GO:0042803}; pyridoxal phosphatase activity {GO:0033883}</t>
  </si>
  <si>
    <t>sp|Q14CH7|SYAM_MOUSE</t>
  </si>
  <si>
    <t>Alanine--tRNA ligase, mitochondrial</t>
  </si>
  <si>
    <t>Alanyl-tRNA synthetase (AlaRS)</t>
  </si>
  <si>
    <t>SYAM_MOUSE</t>
  </si>
  <si>
    <t>Q14CH7</t>
  </si>
  <si>
    <t>Q68FH3; Q69ZM9</t>
  </si>
  <si>
    <t>Aarsl; Gm89; Kiaa1270</t>
  </si>
  <si>
    <t>MGI:2681839</t>
  </si>
  <si>
    <t>Aminoacyl-tRNA synthetase; ATP-binding; Ligase; Metal-binding; Mitochondrion; Nucleotide-binding; Protein biosynthesis; RNA-binding; Transit peptide; tRNA-binding; Zinc</t>
  </si>
  <si>
    <t>alanyl-tRNA aminoacylation {GO:0006419}; mitochondrial alanyl-tRNA aminoacylation {GO:0070143}; tRNA modification {GO:0006400}</t>
  </si>
  <si>
    <t>alanine-tRNA ligase activity {GO:0004813}; amino acid binding {GO:0016597}; aminoacyl-tRNA editing activity {GO:0002161}; ATP binding {GO:0005524}; tRNA binding {GO:0000049}; zinc ion binding {GO:0008270}</t>
  </si>
  <si>
    <t>sp|Q8BKT8|HAUS7_MOUSE</t>
  </si>
  <si>
    <t>HAUS augmin-like complex subunit 7</t>
  </si>
  <si>
    <t>26S proteasome-associated UCH37-interacting protein 1; UCHL5-interacting protein</t>
  </si>
  <si>
    <t>HAUS7_MOUSE</t>
  </si>
  <si>
    <t>Q8BKT8</t>
  </si>
  <si>
    <t>A2AIF2; Q924Z7</t>
  </si>
  <si>
    <t>Uchl5ip; Uip1</t>
  </si>
  <si>
    <t>MGI:1920988</t>
  </si>
  <si>
    <t>Alternative splicing; Cell cycle; Cell division; Cytoplasm; Cytoskeleton; Microtubule; Mitosis</t>
  </si>
  <si>
    <t>cell division {GO:0051301}; centrosome cycle {GO:0007098}; spindle assembly {GO:0051225}</t>
  </si>
  <si>
    <t>centrosome {GO:0005813}; cytoplasm {GO:0005737}; HAUS complex {GO:0070652}; mitotic spindle microtubule {GO:1990498}; nucleolus {GO:0005730}; plasma membrane {GO:0005886}</t>
  </si>
  <si>
    <t>microtubule minus-end binding {GO:0051011}; thioesterase binding {GO:0031996}</t>
  </si>
  <si>
    <t>sp|P63034|CYH2_MOUSE</t>
  </si>
  <si>
    <t>Cytohesin-2</t>
  </si>
  <si>
    <t>ARF nucleotide-binding site opener (Protein ARNO); PH, SEC7 and coiled-coil domain-containing protein 2 (CLM2); SEC7 homolog B (mSec7-2)</t>
  </si>
  <si>
    <t>CYH2_MOUSE</t>
  </si>
  <si>
    <t>P63034</t>
  </si>
  <si>
    <t>E9QJX3; O89099; P97695; Q3UP39</t>
  </si>
  <si>
    <t>Pscd2; Sec7b</t>
  </si>
  <si>
    <t>MGI:1334255</t>
  </si>
  <si>
    <t>3D-structure; Alternative splicing; Cell junction; Cell membrane; Cell projection; Coiled coil; Cytoplasm; Guanine-nucleotide releasing factor; Lipid-binding; Membrane; Tight junction</t>
  </si>
  <si>
    <t>Cell junction; Cell membrane; Cell projection; Cytoplasm; Membrane; Tight junction</t>
  </si>
  <si>
    <t>negative regulation of dendrite development {GO:2000171}; regulation of ARF protein signal transduction {GO:0032012}; regulation of cell adhesion {GO:0030155}</t>
  </si>
  <si>
    <t>adherens junction {GO:0005912}; bicellular tight junction {GO:0005923}; cytoplasm {GO:0005737}; extrinsic component of postsynaptic specialization membrane {GO:0098892}; growth cone {GO:0030426}; plasma membrane {GO:0005886}; ruffle {GO:0001726}</t>
  </si>
  <si>
    <t>guanyl-nucleotide exchange factor activity {GO:0005085}; inositol 1,4,5 trisphosphate binding {GO:0070679}; lipid binding {GO:0008289}</t>
  </si>
  <si>
    <t>Intra-Golgi traffic {R-MMU-6811438}</t>
  </si>
  <si>
    <t>sp|Q80TR8|DCAF1_MOUSE</t>
  </si>
  <si>
    <t>DDB1- and CUL4-associated factor 1</t>
  </si>
  <si>
    <t>Serine/threonine-protein kinase VPRBP</t>
  </si>
  <si>
    <t>DCAF1_MOUSE</t>
  </si>
  <si>
    <t>Q80TR8</t>
  </si>
  <si>
    <t>Q3UXD5; Q6P1E2; Q8CDY3</t>
  </si>
  <si>
    <t>Kiaa0800; Vprbp</t>
  </si>
  <si>
    <t>MGI:2445220</t>
  </si>
  <si>
    <t>Acetylation; Alternative splicing; ATP-binding; Chromatin regulator; Cytoplasm; Host-virus interaction; Kinase; Nucleotide-binding; Nucleus; Phosphoprotein; Repeat; Serine/threonine-protein kinase; Transcription; Transcription regulation; Transferase; Ubl conjugation pathway; WD repeat</t>
  </si>
  <si>
    <t>Host-virus interaction; Transcription; Transcription regulation; Ubl conjugation pathway</t>
  </si>
  <si>
    <t>B cell differentiation {GO:0030183}; cell competition in a multicellular organism {GO:0035212}; chromatin organization {GO:0006325}; negative regulation of transcription by RNA polymerase II {GO:0000122}; phosphorylation {GO:0016310}; post-translational protein modification {GO:0043687}; protein ubiquitination {GO:0016567}; V(D)J recombination {GO:0033151}</t>
  </si>
  <si>
    <t>COP9 signalosome {GO:0008180}; Cul4-RING E3 ubiquitin ligase complex {GO:0080008}; cytoplasm {GO:0005737}; fibrillar center {GO:0001650}; nucleoplasm {GO:0005654}; nucleus {GO:0005634}</t>
  </si>
  <si>
    <t>ATP binding {GO:0005524}; histone kinase activity (H2A-T120 specific) {GO:1990244}; nuclear estrogen receptor binding {GO:0030331}; protein serine kinase activity {GO:0106310}</t>
  </si>
  <si>
    <t>sp|O88665|BRD7_MOUSE</t>
  </si>
  <si>
    <t>Bromodomain-containing protein 7</t>
  </si>
  <si>
    <t>75 kDa bromodomain protein</t>
  </si>
  <si>
    <t>BRD7_MOUSE</t>
  </si>
  <si>
    <t>O88665</t>
  </si>
  <si>
    <t>Q3UQ56; Q3UU06; Q9CT78</t>
  </si>
  <si>
    <t>Bp75</t>
  </si>
  <si>
    <t>MGI:1349766</t>
  </si>
  <si>
    <t>Acetylation; Bromodomain; Cell cycle; Coiled coil; Isopeptide bond; Nucleus; Phosphoprotein; Transcription; Transcription regulation; Tumor suppressor; Ubl conjugation; Wnt signaling pathway</t>
  </si>
  <si>
    <t>Cell cycle; Transcription; Transcription regulation; Wnt signaling pathway</t>
  </si>
  <si>
    <t>Bromodomain; Coiled coil</t>
  </si>
  <si>
    <t>cell cycle {GO:0007049}; chromatin remodeling {GO:0006338}; negative regulation of cell population proliferation {GO:0008285}; negative regulation of DNA-templated transcription {GO:0045892}; negative regulation of G1/S transition of mitotic cell cycle {GO:2000134}; positive regulation of cell differentiation {GO:0045597}; positive regulation of DNA-templated transcription {GO:0045893}; positive regulation of double-strand break repair {GO:2000781}; positive regulation of histone acetylation {GO:0035066}; positive regulation of myoblast differentiation {GO:0045663}; positive regulation of T cell differentiation {GO:0045582};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{GO:0006357}; Wnt signaling pathway {GO:0016055}</t>
  </si>
  <si>
    <t>chromatin {GO:0000785}; cytosol {GO:0005829}; kinetochore {GO:0000776}; nuclear matrix {GO:0016363}; nucleoplasm {GO:0005654}; nucleus {GO:0005634}; RSC-type complex {GO:0016586}</t>
  </si>
  <si>
    <t>histone binding {GO:0042393}; lysine-acetylated histone binding {GO:0070577}; p53 binding {GO:0002039}; transcription cis-regulatory region binding {GO:0000976}; transcription coactivator activity {GO:0003713}; transcription corepressor activity {GO:0003714}</t>
  </si>
  <si>
    <t>Regulation of TP53 Activity through Acetylation {R-MMU-6804758}</t>
  </si>
  <si>
    <t>sp|Q5RJG7|ISPD_MOUSE</t>
  </si>
  <si>
    <t>D-ribitol-5-phosphate cytidylyltransferase</t>
  </si>
  <si>
    <t>2-C-methyl-D-erythritol 4-phosphate cytidylyltransferase-like protein; Isoprenoid synthase domain-containing protein</t>
  </si>
  <si>
    <t>ISPD_MOUSE</t>
  </si>
  <si>
    <t>Q5RJG7</t>
  </si>
  <si>
    <t>Q148Q0; Q501J8; Q8BR14; Q8C934; Q8CAE0; Q8CIF0</t>
  </si>
  <si>
    <t>Ispd</t>
  </si>
  <si>
    <t>MGI:1923097</t>
  </si>
  <si>
    <t>Alternative splicing; Cytoplasm; Nucleotidyltransferase; Transferase</t>
  </si>
  <si>
    <t>axon guidance {GO:0007411}; isoprenoid biosynthetic process {GO:0008299}; protein glycosylation {GO:0006486}; protein O-linked mannosylation {GO:0035269}</t>
  </si>
  <si>
    <t>cytidylyltransferase activity {GO:0070567}; D-ribitol-5-phosphate cytidylyltransferase activity {GO:0047349}; protein homodimerization activity {GO:0042803}</t>
  </si>
  <si>
    <t>sp|Q8R2P1|KLH25_MOUSE</t>
  </si>
  <si>
    <t>Kelch-like protein 25</t>
  </si>
  <si>
    <t>KLH25_MOUSE</t>
  </si>
  <si>
    <t>Q8R2P1</t>
  </si>
  <si>
    <t>MGI:2668031</t>
  </si>
  <si>
    <t>Kelch repeat; Repeat; Translation regulation; Ubl conjugation pathway</t>
  </si>
  <si>
    <t>Translation regulation; Ubl conjugation pathway</t>
  </si>
  <si>
    <t>negative regulation of fatty acid biosynthetic process {GO:0045717}; positive regulation of CD4-positive, CD25-positive, alpha-beta regulatory T cell differentiation {GO:0032831}; positive regulation of fatty acid oxidation {GO:0046321}; protein ubiquitination {GO:0016567}; regulation of translational initiation {GO:0006446}; ubiquitin-dependent protein catabolic process {GO:0006511}</t>
  </si>
  <si>
    <t>Cul3-RING ubiquitin ligase complex {GO:0031463}; cytoplasm {GO:0005737}</t>
  </si>
  <si>
    <t>sp|P97801|SMN_MOUSE</t>
  </si>
  <si>
    <t>Survival motor neuron protein</t>
  </si>
  <si>
    <t>SMN_MOUSE</t>
  </si>
  <si>
    <t>P97801</t>
  </si>
  <si>
    <t>O09092</t>
  </si>
  <si>
    <t>Smn</t>
  </si>
  <si>
    <t>MGI:109257</t>
  </si>
  <si>
    <t>Cell projection; Cytoplasm; Isopeptide bond; mRNA processing; mRNA splicing; Neurogenesis; Nucleus; Phosphoprotein; RNA-binding; Ubl conjugation</t>
  </si>
  <si>
    <t>axonogenesis {GO:0007409}; DNA-templated transcription termination {GO:0006353}; microtubule depolymerization {GO:0007019}; positive regulation of RNA splicing {GO:0033120}; regulation of neuron projection development {GO:0010975}; spliceosomal snRNP assembly {GO:0000387}</t>
  </si>
  <si>
    <t>Cajal body {GO:0015030}; COPI-coated vesicle {GO:0030137}; cytoplasm {GO:0005737}; cytoplasmic ribonucleoprotein granule {GO:0036464}; cytosol {GO:0005829}; Gemini of coiled bodies {GO:0097504}; Golgi apparatus {GO:0005794}; growth cone {GO:0030426}; neuron projection {GO:0043005}; nuclear body {GO:0016604}; nucleolus {GO:0005730}; nucleoplasm {GO:0005654}; nucleus {GO:0005634}; perikaryon {GO:0043204}; SMN complex {GO:0032797}; SMN-Sm protein complex {GO:0034719}; Z disc {GO:0030018}</t>
  </si>
  <si>
    <t>fibroblast growth factor binding {GO:0017134}; identical protein binding {GO:0042802}; RNA binding {GO:0003723}</t>
  </si>
  <si>
    <t>sp|P59808|SASH1_MOUSE</t>
  </si>
  <si>
    <t>SAM and SH3 domain-containing protein 1</t>
  </si>
  <si>
    <t>SASH1_MOUSE</t>
  </si>
  <si>
    <t>P59808</t>
  </si>
  <si>
    <t>MGI:1917347</t>
  </si>
  <si>
    <t>Cytoplasm; Phosphoprotein; Repeat; SH3 domain; Tumor suppressor</t>
  </si>
  <si>
    <t>positive regulation of angiogenesis {GO:0045766}; positive regulation of endothelial cell migration {GO:0010595}; positive regulation of JUN kinase activity {GO:0043507}; positive regulation of lipopolysaccharide-mediated signaling pathway {GO:0031666}; positive regulation of NIK/NF-kappaB signaling {GO:1901224}; positive regulation of p38MAPK cascade {GO:1900745}; protein polyubiquitination {GO:0000209}; regulation of epithelial cell migration {GO:0010632}; regulation of protein autoubiquitination {GO:1902498}; regulation of protein K63-linked ubiquitination {GO:1900044}</t>
  </si>
  <si>
    <t>cytoplasm {GO:0005737}; membrane {GO:0016020}; protein-containing complex {GO:0032991}</t>
  </si>
  <si>
    <t>G-protein alpha-subunit binding {GO:0001965}; mitogen-activated protein kinase kinase kinase binding {GO:0031435}; molecular adaptor activity {GO:0060090}; protein C-terminus binding {GO:0008022}; protein kinase binding {GO:0019901}</t>
  </si>
  <si>
    <t>sp|Q64261|CDK6_MOUSE</t>
  </si>
  <si>
    <t>Cyclin-dependent kinase 6</t>
  </si>
  <si>
    <t>CR2 protein kinase (CRK2); Cell division protein kinase 6; Serine/threonine-protein kinase PLSTIRE</t>
  </si>
  <si>
    <t>CDK6_MOUSE</t>
  </si>
  <si>
    <t>Q64261</t>
  </si>
  <si>
    <t>Q9R1D2; Q9R1D3</t>
  </si>
  <si>
    <t>Cdkn6; Crk2</t>
  </si>
  <si>
    <t>MGI:1277162</t>
  </si>
  <si>
    <t>Acetylation; ATP-binding; Cell cycle; Cell division; Cell projection; Cytoplasm; Cytoskeleton; Differentiation; Kinase; Nucleotide-binding; Nucleus; Phosphoprotein; Serine/threonine-protein kinase; Transferase</t>
  </si>
  <si>
    <t>cell cycle {GO:0007049}; cell dedifferentiation {GO:0043697}; cell division {GO:0051301}; gliogenesis {GO:0042063}; hematopoietic progenitor cell differentiation {GO:0002244}; hematopoietic stem cell differentiation {GO:0060218}; hemopoiesis {GO:0030097}; negative regulation of cell cycle {GO:0045786}; negative regulation of cellular senescence {GO:2000773}; negative regulation of epithelial cell proliferation {GO:0050680}; negative regulation of monocyte differentiation {GO:0045656}; negative regulation of myeloid cell differentiation {GO:0045638}; negative regulation of osteoblast differentiation {GO:0045668}; negative regulation of transcription by RNA polymerase II {GO:0000122}; Notch signaling pathway {GO:0007219}; positive regulation of cell-matrix adhesion {GO:0001954}; positive regulation of fibroblast proliferation {GO:0048146}; positive regulation of gene expression {GO:0010628}; protein phosphorylation {GO:0006468}; regulation of cell cycle {GO:0051726}; regulation of erythrocyte differentiation {GO:0045646}; regulation of gene expression {GO:0010468}; regulation of hematopoietic stem cell differentiation {GO:1902036}; response to virus {GO:0009615}; T cell differentiation in thymus {GO:0033077}; type B pancreatic cell development {GO:0003323}</t>
  </si>
  <si>
    <t>centrosome {GO:0005813}; cyclin D2-CDK6 complex {GO:0097132}; cyclin-dependent protein kinase holoenzyme complex {GO:0000307}; cytoplasm {GO:0005737}; cytosol {GO:0005829}; mediator complex {GO:0016592}; nucleoplasm {GO:0005654}; nucleus {GO:0005634}; ruffle {GO:0001726}</t>
  </si>
  <si>
    <t>ATP binding {GO:0005524}; cyclin binding {GO:0030332}; cyclin-dependent protein serine/threonine kinase activity {GO:0004693}; FBXO family protein binding {GO:0098770}; kinase activity {GO:0016301}; protein serine kinase activity {GO:0106310}; RNA polymerase II CTD heptapeptide repeat kinase activity {GO:0008353}</t>
  </si>
  <si>
    <t>Oxidative Stress Induced Senescence {R-MMU-2559580}; Senescence-Associated Secretory Phenotype (SASP) {R-MMU-2559582}; Oncogene Induced Senescence {R-MMU-2559585}; Cyclin D associated events in G1 {R-MMU-69231}; Regulation of RUNX1 Expression and Activity {R-MMU-8934593}; Drug-mediated inhibition of CDK4/CDK6 activity {R-MMU-9754119}</t>
  </si>
  <si>
    <t>sp|Q8JZM4|DNER_MOUSE</t>
  </si>
  <si>
    <t>Delta and Notch-like epidermal growth factor-related receptor</t>
  </si>
  <si>
    <t>Brain EGF repeat-containing transmembrane protein</t>
  </si>
  <si>
    <t>DNER_MOUSE</t>
  </si>
  <si>
    <t>Q8JZM4</t>
  </si>
  <si>
    <t>Q3U697; Q8R226; Q8R4T6; Q8VD97</t>
  </si>
  <si>
    <t>Bet; Bret</t>
  </si>
  <si>
    <t>MGI:2152889</t>
  </si>
  <si>
    <t>Activator; Calcium; Cell membrane; Developmental protein; Differentiation; Disulfide bond; EGF-like domain; Glycoprotein; Membrane; Notch signaling pathway; Phosphoprotein; Receptor; Repeat; Signal; Transmembrane; Transmembrane helix</t>
  </si>
  <si>
    <t>Differentiation; Notch signaling pathway</t>
  </si>
  <si>
    <t>Activator; Developmental protein; Receptor</t>
  </si>
  <si>
    <t>central nervous system development {GO:0007417}; glial cell differentiation {GO:0010001}; Notch receptor processing {GO:0007220}; Notch signaling pathway {GO:0007219}; skeletal muscle fiber development {GO:0048741}</t>
  </si>
  <si>
    <t>dendrite {GO:0030425}; early endosome {GO:0005769}; integral component of membrane {GO:0016021}; neuronal cell body {GO:0043025}; plasma membrane {GO:0005886}</t>
  </si>
  <si>
    <t>calcium ion binding {GO:0005509}; Notch binding {GO:0005112}</t>
  </si>
  <si>
    <t>sp|Q6ZQ03|FNBP4_MOUSE</t>
  </si>
  <si>
    <t>Formin-binding protein 4</t>
  </si>
  <si>
    <t>Formin-binding protein 30</t>
  </si>
  <si>
    <t>FNBP4_MOUSE</t>
  </si>
  <si>
    <t>Q6ZQ03</t>
  </si>
  <si>
    <t>Q3TPA6; Q8BNC8; Q9JHC1</t>
  </si>
  <si>
    <t>Fbp30; Kiaa1014</t>
  </si>
  <si>
    <t>MGI:1860513</t>
  </si>
  <si>
    <t>Acetylation; Alternative splicing; Isopeptide bond; Phosphoprotein; Repeat; Ubl conjugation</t>
  </si>
  <si>
    <t>sp|Q8K1J5|SDE2_MOUSE</t>
  </si>
  <si>
    <t>Replication stress response regulator SDE2</t>
  </si>
  <si>
    <t>SDE2_MOUSE</t>
  </si>
  <si>
    <t>Q8K1J5</t>
  </si>
  <si>
    <t>Q8BJX1</t>
  </si>
  <si>
    <t>MGI:2384788</t>
  </si>
  <si>
    <t>Cell cycle; Cell division; Coiled coil; DNA replication; DNA-binding; Mitosis; Nucleus; Phosphoprotein; Ubl conjugation</t>
  </si>
  <si>
    <t>cell division {GO:0051301}; cellular response to UV {GO:0034644}; DNA replication {GO:0006260}; mitotic G1 DNA damage checkpoint signaling {GO:0031571}; protein processing {GO:0016485}; protein ubiquitination {GO:0016567}</t>
  </si>
  <si>
    <t>cytosol {GO:0005829}; Golgi apparatus {GO:0005794}; nuclear speck {GO:0016607}; nucleoplasm {GO:0005654}; nucleus {GO:0005634}; plasma membrane {GO:0005886}</t>
  </si>
  <si>
    <t>damaged DNA binding {GO:0003684}</t>
  </si>
  <si>
    <t>sp|P58022|LOXL2_MOUSE</t>
  </si>
  <si>
    <t>Lysyl oxidase homolog 2</t>
  </si>
  <si>
    <t>Lysyl oxidase-like protein 2</t>
  </si>
  <si>
    <t>LOXL2_MOUSE</t>
  </si>
  <si>
    <t>P58022</t>
  </si>
  <si>
    <t>Q8BRE6; Q8BS86; Q8C4K0; Q9JJ39</t>
  </si>
  <si>
    <t>MGI:2137913</t>
  </si>
  <si>
    <t>Alternative splicing; Basement membrane; Calcium; Chromatin regulator; Chromosome; Copper; Disulfide bond; Endoplasmic reticulum; Extracellular matrix; Glycoprotein; LTQ; Metal-binding; Nucleus; Oxidoreductase; Repeat; Repressor; Secreted; Signal; TPQ; Transcription; Transcription regulation</t>
  </si>
  <si>
    <t>Basement membrane; Chromosome; Endoplasmic reticulum; Extracellular matrix; Nucleus; Secreted</t>
  </si>
  <si>
    <t>Chromatin regulator; Oxidoreductase; Repressor</t>
  </si>
  <si>
    <t>collagen fibril organization {GO:0030199}; endothelial cell migration {GO:0043542}; endothelial cell proliferation {GO:0001935}; epithelial to mesenchymal transition {GO:0001837}; heterochromatin organization {GO:0070828}; negative regulation of DNA-templated transcription {GO:0045892}; negative regulation of stem cell population maintenance {GO:1902455}; negative regulation of transcription by RNA polymerase II {GO:0000122}; peptidyl-lysine oxidation {GO:0018057}; positive regulation of chondrocyte differentiation {GO:0032332}; positive regulation of epithelial to mesenchymal transition {GO:0010718}; protein modification process {GO:0036211}; response to copper ion {GO:0046688}; response to hypoxia {GO:0001666}; sprouting angiogenesis {GO:0002040}</t>
  </si>
  <si>
    <t>basement membrane {GO:0005604}; chromatin {GO:0000785}; collagen-containing extracellular matrix {GO:0062023}; endoplasmic reticulum {GO:0005783}; extracellular space {GO:0005615}; membrane {GO:0016020}; nucleoplasm {GO:0005654}; nucleus {GO:0005634}</t>
  </si>
  <si>
    <t>calcium ion binding {GO:0005509}; copper ion binding {GO:0005507}; oligosaccharide binding {GO:0070492}; protein-lysine 6-oxidase activity {GO:0004720}; scavenger receptor activity {GO:0005044}</t>
  </si>
  <si>
    <t>sp|Q7TMC8|FCSK_MOUSE</t>
  </si>
  <si>
    <t>L-fucose kinase (Fucokinase)</t>
  </si>
  <si>
    <t>FCSK_MOUSE</t>
  </si>
  <si>
    <t>Q7TMC8</t>
  </si>
  <si>
    <t>Q7TSB1; Q8C7W3; Q8CI18</t>
  </si>
  <si>
    <t>Fuk</t>
  </si>
  <si>
    <t>MGI:1916071</t>
  </si>
  <si>
    <t>Alternative splicing; ATP-binding; Kinase; Nucleotide-binding; Transferase</t>
  </si>
  <si>
    <t>carbohydrate phosphorylation {GO:0046835}; GDP-L-fucose salvage {GO:0042352}; response to dopamine {GO:1903350}</t>
  </si>
  <si>
    <t>ATP binding {GO:0005524}; fucokinase activity {GO:0050201}</t>
  </si>
  <si>
    <t>sp|P98192|GNPAT_MOUSE</t>
  </si>
  <si>
    <t>Dihydroxyacetone phosphate acyltransferase (DAP-AT; DHAP-AT)</t>
  </si>
  <si>
    <t>Acyl-CoA:dihydroxyacetonephosphateacyltransferase; Glycerone-phosphate O-acyltransferase</t>
  </si>
  <si>
    <t>GNPAT_MOUSE</t>
  </si>
  <si>
    <t>P98192</t>
  </si>
  <si>
    <t>Q9WUT6</t>
  </si>
  <si>
    <t>Dhapat</t>
  </si>
  <si>
    <t>MGI:1343460</t>
  </si>
  <si>
    <t>Acetylation; Acyltransferase; Membrane; Peroxisome; Phosphoprotein; Transferase</t>
  </si>
  <si>
    <t>cerebellum morphogenesis {GO:0021587}; ether lipid biosynthetic process {GO:0008611}; fatty acid metabolic process {GO:0006631}; glycerophospholipid metabolic process {GO:0006650}; membrane organization {GO:0061024}; myelination {GO:0042552}; paranodal junction assembly {GO:0030913}; phospholipid biosynthetic process {GO:0008654}; response to fatty acid {GO:0070542}; response to nutrient {GO:0007584}; response to starvation {GO:0042594}; response to xenobiotic stimulus {GO:0009410}; synapse assembly {GO:0007416}</t>
  </si>
  <si>
    <t>mitochondrial membrane {GO:0031966}; mitochondrion {GO:0005739}; peroxisomal matrix {GO:0005782}; peroxisomal membrane {GO:0005778}; peroxisome {GO:0005777}</t>
  </si>
  <si>
    <t>catalytic activity {GO:0003824}; glycerone-phosphate O-acyltransferase activity {GO:0016287}</t>
  </si>
  <si>
    <t>Membrane lipid metabolism; glycerophospholipid metabolism.</t>
  </si>
  <si>
    <t>Synthesis of PA {R-MMU-1483166}; Plasmalogen biosynthesis {R-MMU-75896}; Peroxisomal protein import {R-MMU-9033241}</t>
  </si>
  <si>
    <t>sp|Q4VBD2|TAPT1_MOUSE</t>
  </si>
  <si>
    <t>Transmembrane anterior posterior transformation protein 1</t>
  </si>
  <si>
    <t>TAPT1_MOUSE</t>
  </si>
  <si>
    <t>Q4VBD2</t>
  </si>
  <si>
    <t>Q8CDI4</t>
  </si>
  <si>
    <t>MGI:2683537</t>
  </si>
  <si>
    <t>Acetylation; Cell projection; Chondrogenesis; Cilium; Cilium biogenesis/degradation; Cytoplasm; Cytoskeleton; Developmental protein; Differentiation; Membrane; Osteogenesis; Phosphoprotein; Transmembrane; Transmembrane helix</t>
  </si>
  <si>
    <t>Chondrogenesis; Cilium biogenesis/degradation; Differentiation; Osteogenesis</t>
  </si>
  <si>
    <t>Cell projection; Cilium; Cytoplasm; Cytoskeleton; Membrane</t>
  </si>
  <si>
    <t>anatomical structure development {GO:0048856}; cartilage development {GO:0051216}; cell projection organization {GO:0030030}; embryonic skeletal system development {GO:0048706}; maintenance of protein localization in endoplasmic reticulum {GO:0035437}; neural crest cell development {GO:0014032}; ossification {GO:0001503}; positive regulation of bone development {GO:1903012}; positive regulation of cartilage development {GO:0061036}; positive regulation of cilium assembly {GO:0045724}</t>
  </si>
  <si>
    <t>centrosome {GO:0005813}; ciliary basal body {GO:0036064}; cytosol {GO:0005829}; integral component of endoplasmic reticulum membrane {GO:0030176}; nucleoplasm {GO:0005654}</t>
  </si>
  <si>
    <t>sp|Q8BKR5|PPR37_MOUSE</t>
  </si>
  <si>
    <t>Protein phosphatase 1 regulatory subunit 37</t>
  </si>
  <si>
    <t>Leucine-rich repeat-containing protein 68</t>
  </si>
  <si>
    <t>PPR37_MOUSE</t>
  </si>
  <si>
    <t>Q8BKR5</t>
  </si>
  <si>
    <t>Lrrc68</t>
  </si>
  <si>
    <t>MGI:2687042</t>
  </si>
  <si>
    <t>Leucine-rich repeat; Phosphoprotein; Protein phosphatase inhibitor; Repeat</t>
  </si>
  <si>
    <t>protein phosphatase inhibitor activity {GO:0004864}</t>
  </si>
  <si>
    <t>sp|Q9WUN2|TBK1_MOUSE</t>
  </si>
  <si>
    <t>Serine/threonine-protein kinase TBK1</t>
  </si>
  <si>
    <t>T2K; TANK-binding kinase 1</t>
  </si>
  <si>
    <t>TBK1_MOUSE</t>
  </si>
  <si>
    <t>Q9WUN2</t>
  </si>
  <si>
    <t>Q9CT90; Q9DC03</t>
  </si>
  <si>
    <t>MGI:1929658</t>
  </si>
  <si>
    <t>3D-structure; Antiviral defense; ATP-binding; Coiled coil; Cytoplasm; Immunity; Innate immunity; Isopeptide bond; Kinase; Nucleotide-binding; Phosphoprotein; Serine/threonine-protein kinase; Transferase; Ubl conjugation</t>
  </si>
  <si>
    <t>activation of innate immune response {GO:0002218}; defense response to Gram-positive bacterium {GO:0050830}; defense response to virus {GO:0051607}; dendritic cell proliferation {GO:0044565}; innate immune response {GO:0045087}; negative regulation of gene expression {GO:0010629}; peptidyl-serine phosphorylation {GO:0018105}; peptidyl-threonine phosphorylation {GO:0018107}; positive regulation of I-kappaB kinase/NF-kappaB signaling {GO:0043123}; positive regulation of interferon-alpha production {GO:0032727}; positive regulation of interferon-beta production {GO:0032728}; positive regulation of macroautophagy {GO:0016239}; positive regulation of transcription by RNA polymerase II {GO:0045944}; positive regulation of type I interferon-mediated signaling pathway {GO:0060340}; positive regulation of xenophagy {GO:1904417}; protein phosphorylation {GO:0006468}; regulation of gene expression {GO:0010468}; regulation of type I interferon production {GO:0032479}</t>
  </si>
  <si>
    <t>ATP binding {GO:0005524}; identical protein binding {GO:0042802}; nucleic acid binding {GO:0003676}; phosphoprotein binding {GO:0051219}; protein phosphatase binding {GO:0019903}; protein serine kinase activity {GO:0106310}; protein serine/threonine kinase activity {GO:0004674}</t>
  </si>
  <si>
    <t>DDX58/IFIH1-mediated induction of interferon-alpha/beta {R-MMU-168928}; Regulation of innate immune responses to cytosolic DNA {R-MMU-3134975}; STAT6-mediated induction of chemokines {R-MMU-3249367}; IRF3-mediated induction of type I IFN {R-MMU-3270619}; Interleukin-37 signaling {R-MMU-9008059}; Negative regulators of DDX58/IFIH1 signaling {R-MMU-936440}; Activation of IRF3/IRF7 mediated by TBK1/IKK epsilon {R-MMU-936964}</t>
  </si>
  <si>
    <t>sp|Q9D9V4|RSPH9_MOUSE</t>
  </si>
  <si>
    <t>Radial spoke head protein 9 homolog</t>
  </si>
  <si>
    <t>RSPH9_MOUSE</t>
  </si>
  <si>
    <t>Q9D9V4</t>
  </si>
  <si>
    <t>MGI:1922814</t>
  </si>
  <si>
    <t>3D-structure; Cell projection; Cilium; Cilium biogenesis/degradation; Cytoplasm; Cytoskeleton; Flagellum</t>
  </si>
  <si>
    <t>axonemal central apparatus assembly {GO:1904158}; axoneme assembly {GO:0035082}; cilium movement {GO:0003341}; cilium movement involved in cell motility {GO:0060294}; motile cilium assembly {GO:0044458}; radial spoke assembly {GO:0062177}</t>
  </si>
  <si>
    <t>9+2 motile cilium {GO:0097729}; axoneme {GO:0005930}; kinocilium {GO:0060091}; motile cilium {GO:0031514}</t>
  </si>
  <si>
    <t>sp|Q3U0S6|RAIN_MOUSE</t>
  </si>
  <si>
    <t>Ras-interacting protein 1 (Rain)</t>
  </si>
  <si>
    <t>RAIN_MOUSE</t>
  </si>
  <si>
    <t>Q3U0S6</t>
  </si>
  <si>
    <t>E9QLI7; Q6GQW4</t>
  </si>
  <si>
    <t>MGI:1917153</t>
  </si>
  <si>
    <t>Angiogenesis; Cytoplasm; Golgi apparatus; Methylation; Phosphoprotein</t>
  </si>
  <si>
    <t>angiogenesis {GO:0001525}; branching morphogenesis of an epithelial tube {GO:0048754}; negative regulation of autophagy {GO:0010507}; negative regulation of membrane permeability {GO:1905709}; negative regulation of Rho protein signal transduction {GO:0035024}; negative regulation of Rho-dependent protein serine/threonine kinase activity {GO:2000299}; positive regulation of cell population proliferation {GO:0008284}; positive regulation of integrin activation {GO:0033625}; regulation of GTPase activity {GO:0043087}; signal transduction {GO:0007165}; vasculogenesis {GO:0001570}</t>
  </si>
  <si>
    <t>cell-cell junction {GO:0005911}; Golgi apparatus {GO:0005794}; Golgi stack {GO:0005795}; perinuclear region of cytoplasm {GO:0048471}; protein-containing complex {GO:0032991}</t>
  </si>
  <si>
    <t>GTPase binding {GO:0051020}; protein homodimerization activity {GO:0042803}; small GTPase binding {GO:0031267}</t>
  </si>
  <si>
    <t>sp|P70452|STX4_MOUSE</t>
  </si>
  <si>
    <t>Syntaxin-4</t>
  </si>
  <si>
    <t>STX4_MOUSE</t>
  </si>
  <si>
    <t>P70452</t>
  </si>
  <si>
    <t>Q3TSL5; Q3UKQ8; Q80WT8</t>
  </si>
  <si>
    <t>Stx4a</t>
  </si>
  <si>
    <t>MGI:893577</t>
  </si>
  <si>
    <t>3D-structure; Cell membrane; Cell projection; Coiled coil; Membrane; Neurotransmitter transport; Phosphoprotein; Transmembrane; Transmembrane helix; Transport</t>
  </si>
  <si>
    <t>cellular response to interferon-gamma {GO:0071346}; cellular response to oxidative stress {GO:0034599}; cornified envelope assembly {GO:1903575}; exocytic insertion of neurotransmitter receptor to postsynaptic membrane {GO:0098967}; exocytosis {GO:0006887}; intracellular protein transport {GO:0006886}; long-term synaptic potentiation {GO:0060291}; membrane fusion {GO:0061025}; organelle fusion {GO:0048284}; positive regulation of catalytic activity {GO:0043085}; positive regulation of cell adhesion {GO:0045785}; positive regulation of cell migration {GO:0030335}; positive regulation of cell population proliferation {GO:0008284}; positive regulation of chemotaxis {GO:0050921}; positive regulation of eosinophil degranulation {GO:0043311}; positive regulation of immunoglobulin production {GO:0002639}; positive regulation of insulin secretion involved in cellular response to glucose stimulus {GO:0035774}; positive regulation of protein localization to cell surface {GO:2000010}; positive regulation of protein localization to plasma membrane {GO:1903078}; protein localization to cell surface {GO:0034394}; protein-containing complex assembly {GO:0065003}; regulation of exocytosis {GO:0017157}; regulation of extrinsic apoptotic signaling pathway via death domain receptors {GO:1902041}; SNARE complex assembly {GO:0035493}; synaptic vesicle docking {GO:0016081}; synaptic vesicle exocytosis {GO:0016079}; synaptic vesicle fusion to presynaptic active zone membrane {GO:0031629}; vesicle docking {GO:0048278}; vesicle fusion {GO:0006906}; vesicle-mediated transport in synapse {GO:0099003}</t>
  </si>
  <si>
    <t>apical plasma membrane {GO:0016324}; basolateral plasma membrane {GO:0016323}; cell surface {GO:0009986}; cytoplasm {GO:0005737}; dendritic spine {GO:0043197}; endomembrane system {GO:0012505}; endosome {GO:0005768}; extracellular space {GO:0005615}; glutamatergic synapse {GO:0098978}; integral component of membrane {GO:0016021}; lamellipodium {GO:0030027}; lateral loop {GO:0043219}; membrane {GO:0016020}; myelin sheath adaxonal region {GO:0035749}; neuron projection membrane {GO:0032589}; perinuclear region of cytoplasm {GO:0048471}; phagocytic vesicle {GO:0045335}; plasma membrane {GO:0005886}; postsynapse {GO:0098794}; presynaptic active zone membrane {GO:0048787}; sarcolemma {GO:0042383}; SNARE complex {GO:0031201}; somatodendritic compartment {GO:0036477}; specific granule {GO:0042581}; storage vacuole {GO:0000322}; synapse {GO:0045202}; synaptic vesicle {GO:0008021}; trans-Golgi network {GO:0005802}</t>
  </si>
  <si>
    <t>small GTPase binding {GO:0031267}; SNAP receptor activity {GO:0005484}; SNARE binding {GO:0000149}; spectrin binding {GO:0030507}; sphingomyelin phosphodiesterase activator activity {GO:0016230}</t>
  </si>
  <si>
    <t>Disinhibition of SNARE formation {R-MMU-114516}; ER-Phagosome pathway {R-MMU-1236974}; trans-Golgi Network Vesicle Budding {R-MMU-199992}; Other interleukin signaling {R-MMU-449836}</t>
  </si>
  <si>
    <t>sp|Q8CJ67|STAU2_MOUSE</t>
  </si>
  <si>
    <t>Double-stranded RNA-binding protein Staufen homolog 2</t>
  </si>
  <si>
    <t>STAU2_MOUSE</t>
  </si>
  <si>
    <t>Q8CJ67</t>
  </si>
  <si>
    <t>Q8BSY8; Q8CJ66; Q8R175; Q91Z19; Q9D5N7</t>
  </si>
  <si>
    <t>MGI:1352508</t>
  </si>
  <si>
    <t>3D-structure; Alternative splicing; Cytoplasm; Endoplasmic reticulum; Microtubule; Nucleus; Phosphoprotein; Repeat; RNA-binding; Transport</t>
  </si>
  <si>
    <t>Cytoplasm; Endoplasmic reticulum; Microtubule; Nucleus</t>
  </si>
  <si>
    <t>anterograde dendritic transport of messenger ribonucleoprotein complex {GO:0098964}; cellular response to oxidative stress {GO:0034599}; eye morphogenesis {GO:0048592}; germ cell development {GO:0007281}; intracellular mRNA localization {GO:0008298}; positive regulation of dendritic spine morphogenesis {GO:0061003}; positive regulation of long-term synaptic depression {GO:1900454}; positive regulation of synapse assembly {GO:0051965}; protein localization to synapse {GO:0035418}; regulation of actin cytoskeleton organization {GO:0032956}; regulation of filopodium assembly {GO:0051489}; regulation of gene expression {GO:0010468}</t>
  </si>
  <si>
    <t>axon {GO:0030424}; cytoplasm {GO:0005737}; cytoplasmic stress granule {GO:0010494}; dendrite {GO:0030425}; dendrite cytoplasm {GO:0032839}; dendritic shaft {GO:0043198}; endoplasmic reticulum {GO:0005783}; messenger ribonucleoprotein complex {GO:1990124}; microtubule {GO:0005874}; neuron projection {GO:0043005}; neuronal cell body {GO:0043025}; nuclear membrane {GO:0031965}; nucleolus {GO:0005730}; nucleus {GO:0005634}; plasma membrane {GO:0005886}</t>
  </si>
  <si>
    <t>double-stranded RNA binding {GO:0003725}; Hsp70 protein binding {GO:0030544}; kinesin binding {GO:0019894}; mitogen-activated protein kinase binding {GO:0051019}; mRNA binding {GO:0003729}; ribosome binding {GO:0043022}</t>
  </si>
  <si>
    <t>sp|Q8R3I2|MBOA2_MOUSE</t>
  </si>
  <si>
    <t>Lysophospholipid acyltransferase 2 (LPLAT 2)</t>
  </si>
  <si>
    <t>1-acylglycerophosphocholine O-acyltransferase; 1-acylglycerophosphoethanolamine O-acyltransferase; Lysophosphatidylcholine acyltransferase (LPCAT; Lyso-PC acyltransferase); Lysophosphatidylcholine acyltransferase 4 (Lyso-PC acyltransferase 4; mLPCAT4); Lysophosphatidylethanolamine acyltransferase (LPEAT; Lyso-PE acyltransferase); Membrane-bound O-acyltransferase domain-containing protein 2 (O-acyltransferase domain-containing protein 2)</t>
  </si>
  <si>
    <t>MBOA2_MOUSE</t>
  </si>
  <si>
    <t>Q8R3I2</t>
  </si>
  <si>
    <t>A9EDS7; Q8BHH5; Q8BM56; Q8R192; Q9CZ73</t>
  </si>
  <si>
    <t>MGI:1914466</t>
  </si>
  <si>
    <t>Acyltransferase; Alternative splicing; Endoplasmic reticulum; Lipid biosynthesis; Lipid metabolism; Membrane; Phospholipid biosynthesis; Phospholipid metabolism; Transferase; Transmembrane; Transmembrane helix</t>
  </si>
  <si>
    <t>lipid modification {GO:0030258}; phosphatidylcholine acyl-chain remodeling {GO:0036151}; phosphatidylethanolamine acyl-chain remodeling {GO:0036152}; phosphatidylserine acyl-chain remodeling {GO:0036150}; phospholipid biosynthetic process {GO:0008654}; regulation of chondrocyte differentiation {GO:0032330}</t>
  </si>
  <si>
    <t>Acyl chain remodelling of PC {R-MMU-1482788}; Acyl chain remodelling of PE {R-MMU-1482839}</t>
  </si>
  <si>
    <t>sp|Q5DTX6|JCAD_MOUSE</t>
  </si>
  <si>
    <t>Junctional cadherin 5-associated protein</t>
  </si>
  <si>
    <t>Junctional protein associated with coronary artery disease (JCAD)</t>
  </si>
  <si>
    <t>JCAD_MOUSE</t>
  </si>
  <si>
    <t>Q5DTX6</t>
  </si>
  <si>
    <t>Gm328; Kiaa1462</t>
  </si>
  <si>
    <t>MGI:2685174</t>
  </si>
  <si>
    <t>Cell adhesion; Cell junction; Phosphoprotein</t>
  </si>
  <si>
    <t>cell adhesion {GO:0007155}; positive regulation of blood vessel endothelial cell proliferation involved in sprouting angiogenesis {GO:1903589}; positive regulation of cell migration involved in sprouting angiogenesis {GO:0090050}; positive regulation of MAPK cascade {GO:0043410}; positive regulation of sprouting angiogenesis {GO:1903672}; positive regulation of vascular endothelial growth factor signaling pathway {GO:1900748}</t>
  </si>
  <si>
    <t>adherens junction {GO:0005912}; cell junction {GO:0030054}; cell-cell junction {GO:0005911}; perinuclear region of cytoplasm {GO:0048471}; ruffle membrane {GO:0032587}</t>
  </si>
  <si>
    <t>sp|Q4FK66|PR38A_MOUSE</t>
  </si>
  <si>
    <t>Pre-mRNA-splicing factor 38A</t>
  </si>
  <si>
    <t>PR38A_MOUSE</t>
  </si>
  <si>
    <t>Q4FK66</t>
  </si>
  <si>
    <t>Q6PB58; Q8BVY2</t>
  </si>
  <si>
    <t>MGI:1916962</t>
  </si>
  <si>
    <t>Alternative splicing; Coiled coil; mRNA processing; mRNA splicing; Nucleus; Phosphoprotein; Spliceosome</t>
  </si>
  <si>
    <t>nucleoplasm {GO:0005654}; nucleus {GO:0005634}; precatalytic spliceosome {GO:0071011}; U2-type precatalytic spliceosome {GO:0071005}</t>
  </si>
  <si>
    <t>sp|P62069|UBP46_MOUSE</t>
  </si>
  <si>
    <t>Ubiquitin carboxyl-terminal hydrolase 46</t>
  </si>
  <si>
    <t>Deubiquitinating enzyme 46; Ubiquitin thioesterase 46; Ubiquitin-specific-processing protease 46</t>
  </si>
  <si>
    <t>UBP46_MOUSE</t>
  </si>
  <si>
    <t>P62069</t>
  </si>
  <si>
    <t>Q3ULU5; Q80V95; Q9H7U4; Q9H9T8</t>
  </si>
  <si>
    <t>MGI:1916977</t>
  </si>
  <si>
    <t>Behavior; Hydrolase; Metal-binding; Protease; Thiol protease; Ubl conjugation pathway; Zinc</t>
  </si>
  <si>
    <t>Behavior; Ubl conjugation pathway</t>
  </si>
  <si>
    <t>adult feeding behavior {GO:0008343}; behavioral fear response {GO:0001662}; behavioral response to ethanol {GO:0048149}; positive regulation of T cell receptor signaling pathway {GO:0050862}; protein deubiquitination {GO:0016579}; regulation of postsynaptic neurotransmitter receptor internalization {GO:0099149}; regulation of synaptic transmission, GABAergic {GO:0032228}; righting reflex {GO:0060013}; ubiquitin-dependent protein catabolic process {GO:0006511}</t>
  </si>
  <si>
    <t>cytosol {GO:0005829}; glutamatergic synapse {GO:0098978}; nucleus {GO:0005634}; synapse {GO:0045202}</t>
  </si>
  <si>
    <t>cysteine-type deubiquitinase activity {GO:0004843}; cysteine-type endopeptidase activity {GO:0004197}; deubiquitinase activity {GO:0101005}; metal ion binding {GO:0046872}</t>
  </si>
  <si>
    <t>sp|Q923W1|TGS1_MOUSE</t>
  </si>
  <si>
    <t>Trimethylguanosine synthase</t>
  </si>
  <si>
    <t>Nuclear receptor coactivator 6-interacting protein; PRIP-interacting protein with methyltransferase motif (PIMT; PIPMT)</t>
  </si>
  <si>
    <t>TGS1_MOUSE</t>
  </si>
  <si>
    <t>Q923W1</t>
  </si>
  <si>
    <t>A2AJF7; Q6DI60; Q6PEA7; Q8R0W9</t>
  </si>
  <si>
    <t>Ncoa6ip; Pimt</t>
  </si>
  <si>
    <t>MGI:2151797</t>
  </si>
  <si>
    <t>Cytoplasm; Methyltransferase; Nucleus; Phosphoprotein; S-adenosyl-L-methionine; Transcription; Transcription regulation; Transferase</t>
  </si>
  <si>
    <t>7-methylguanosine cap hypermethylation {GO:0036261}; 7-methylguanosine RNA capping {GO:0009452}</t>
  </si>
  <si>
    <t>Cajal body {GO:0015030}; cytoplasm {GO:0005737}; cytosol {GO:0005829}; nucleolus {GO:0005730}; nucleus {GO:0005634}</t>
  </si>
  <si>
    <t>RNA trimethylguanosine synthase activity {GO:0071164}</t>
  </si>
  <si>
    <t>snRNP Assembly {R-MMU-191859}; Regulation of lipid metabolism by PPARalpha {R-MMU-400206}; Cytoprotection by HMOX1 {R-MMU-9707564}</t>
  </si>
  <si>
    <t>sp|P48453|PP2BB_MOUSE</t>
  </si>
  <si>
    <t>Serine/threonine-protein phosphatase 2B catalytic subunit beta isoform</t>
  </si>
  <si>
    <t>CAM-PRP catalytic subunit; Calmodulin-dependent calcineurin A subunit beta isoform (CNA beta)</t>
  </si>
  <si>
    <t>PP2BB_MOUSE</t>
  </si>
  <si>
    <t>P48453</t>
  </si>
  <si>
    <t>Q6NZR4</t>
  </si>
  <si>
    <t>Calnb</t>
  </si>
  <si>
    <t>MGI:107163</t>
  </si>
  <si>
    <t>Acetylation; Alternative splicing; Calmodulin-binding; Cytoplasm; Hydrolase; Iron; Metal-binding; Phosphoprotein; Protein phosphatase; Zinc</t>
  </si>
  <si>
    <t>calcineurin-mediated signaling {GO:0097720}; calcineurin-NFAT signaling cascade {GO:0033173}; calcium-ion regulated exocytosis {GO:0017156}; heart development {GO:0007507}; locomotion involved in locomotory behavior {GO:0031987}; lymphangiogenesis {GO:0001946}; negative regulation of calcium ion import across plasma membrane {GO:1905949}; negative regulation of signaling {GO:0023057}; negative regulation of T cell mediated cytotoxicity {GO:0001915}; negative regulation of voltage-gated calcium channel activity {GO:1901386}; positive regulation of calcineurin-NFAT signaling cascade {GO:0070886}; positive regulation of calcium ion import across plasma membrane {GO:1905665}; positive regulation of insulin secretion involved in cellular response to glucose stimulus {GO:0035774}; positive regulation of transcription by RNA polymerase II {GO:0045944}; positive regulation of voltage-gated calcium channel activity {GO:1901387}; protein dephosphorylation {GO:0006470}; protein phosphorylation {GO:0006468}; regulation of gene expression {GO:0010468}; regulation of insulin secretion {GO:0050796}; regulation of synaptic vesicle endocytosis {GO:1900242}; response to cytokine {GO:0034097}; skeletal muscle fiber development {GO:0048741}; T cell differentiation {GO:0030217}; T cell homeostasis {GO:0043029}; T cell mediated cytotoxicity {GO:0001913}</t>
  </si>
  <si>
    <t>calcineurin complex {GO:0005955}; cytoplasm {GO:0005737}; cytosol {GO:0005829}; glutamatergic synapse {GO:0098978}; plasma membrane {GO:0005886}; protein serine/threonine phosphatase complex {GO:0008287}; protein-containing complex {GO:0032991}; synapse {GO:0045202}; T-tubule {GO:0030315}; Z disc {GO:0030018}</t>
  </si>
  <si>
    <t>calcium ion binding {GO:0005509}; calcium-dependent protein serine/threonine phosphatase activity {GO:0004723}; calmodulin binding {GO:0005516}; calmodulin-dependent protein phosphatase activity {GO:0033192}; enzyme binding {GO:0019899}; myosin phosphatase activity {GO:0017018}; protein dimerization activity {GO:0046983}; protein phosphatase 2B binding {GO:0030346}; protein serine/threonine phosphatase activity {GO:0004722}; protein-containing complex binding {GO:0044877}</t>
  </si>
  <si>
    <t>sp|O55091|IMPCT_MOUSE</t>
  </si>
  <si>
    <t>Protein IMPACT</t>
  </si>
  <si>
    <t>Imprinted and ancient gene protein</t>
  </si>
  <si>
    <t>IMPCT_MOUSE</t>
  </si>
  <si>
    <t>O55091</t>
  </si>
  <si>
    <t>Q3UUR6; Q9EQH0</t>
  </si>
  <si>
    <t>MGI:1098233</t>
  </si>
  <si>
    <t>Actin-binding; Cytoplasm; Differentiation; Neurogenesis; Phosphoprotein; Repressor; Stress response; Translation regulation</t>
  </si>
  <si>
    <t>Differentiation; Neurogenesis; Stress response; Translation regulation</t>
  </si>
  <si>
    <t>Actin-binding; Repressor</t>
  </si>
  <si>
    <t>cellular response to acidic pH {GO:0071468}; cellular response to amino acid starvation {GO:0034198}; cellular response to benomyl {GO:0072755}; cellular response to glucose starvation {GO:0042149}; cellular response to hydrogen peroxide {GO:0070301}; cellular response to leucine starvation {GO:1990253}; cellular response to UV-C {GO:0071494}; GCN2-mediated signaling {GO:0140469}; negative regulation of cell death {GO:0060548}; negative regulation of protein autophosphorylation {GO:0031953}; negative regulation of protein phosphorylation {GO:0001933}; negative regulation of protein-containing complex assembly {GO:0031333}; negative regulation of transcription by RNA polymerase II {GO:0000122}; negative regulation of transcription from RNA polymerase II promoter in response to stress {GO:0097201}; neuron projection extension {GO:1990138}; positive regulation of neuron differentiation {GO:0045666}; positive regulation of translational initiation in response to starvation {GO:0071264}; regulation of translational initiation {GO:0006446}</t>
  </si>
  <si>
    <t>cytosol {GO:0005829}; polysome {GO:0005844}</t>
  </si>
  <si>
    <t>actin binding {GO:0003779}; ribosome binding {GO:0043022}</t>
  </si>
  <si>
    <t>sp|E9Q5F9|SETD2_MOUSE</t>
  </si>
  <si>
    <t>Histone-lysine N-methyltransferase SETD2</t>
  </si>
  <si>
    <t>Lysine N-methyltransferase 3A; Protein-lysine N-methyltransferase SETD2; SET domain-containing protein 2</t>
  </si>
  <si>
    <t>SETD2_MOUSE</t>
  </si>
  <si>
    <t>E9Q5F9</t>
  </si>
  <si>
    <t>Q69ZC0; Q6PCY9; Q8K0F3</t>
  </si>
  <si>
    <t>MGI:1918177</t>
  </si>
  <si>
    <t>Activator; Alternative splicing; Antiviral defense; Chromatin regulator; Chromosome; Coiled coil; Developmental protein; Differentiation; DNA damage; DNA repair; Immunity; Innate immunity; Isopeptide bond; Metal-binding; Methyltransferase; Nucleus; Phosphoprotein; S-adenosyl-L-methionine; Transcription; Transcription regulation; Transferase; Ubl conjugation; Zinc</t>
  </si>
  <si>
    <t>Antiviral defense; DNA damage; DNA repair; Differentiation; Immunity; Innate immunity; Transcription; Transcription regulation</t>
  </si>
  <si>
    <t>Activator; Chromatin regulator; Developmental protein; Methyltransferase; Transferase</t>
  </si>
  <si>
    <t>angiogenesis {GO:0001525}; cell migration involved in vasculogenesis {GO:0035441}; coronary vasculature morphogenesis {GO:0060977}; defense response to virus {GO:0051607}; embryonic cranial skeleton morphogenesis {GO:0048701}; embryonic organ development {GO:0048568}; embryonic placenta morphogenesis {GO:0060669}; endodermal cell differentiation {GO:0035987}; forebrain development {GO:0030900}; histone H3-K36 dimethylation {GO:0097676}; histone H3-K36 methylation {GO:0010452}; histone H3-K36 trimethylation {GO:0097198}; mesoderm morphogenesis {GO:0048332}; microtubule cytoskeleton organization involved in mitosis {GO:1902850}; mismatch repair {GO:0006298}; morphogenesis of a branching structure {GO:0001763}; neural tube closure {GO:0001843}; nucleosome organization {GO:0034728}; peptidyl-lysine monomethylation {GO:0018026}; peptidyl-lysine trimethylation {GO:0018023}; pericardium development {GO:0060039}; positive regulation of interferon-alpha production {GO:0032727}; positive regulation of ossification {GO:0045778}; regulation of cytokinesis {GO:0032465}; regulation of DNA-templated transcription {GO:0006355}; regulation of double-strand break repair via homologous recombination {GO:0010569}; regulation of gene expression {GO:0010468}; regulation of mRNA export from nucleus {GO:0010793}; regulation of protein localization to chromatin {GO:1905634}; response to type I interferon {GO:0034340}; stem cell development {GO:0048864}; stem cell differentiation {GO:0048863}; transcription elongation by RNA polymerase II promoter {GO:0006368}; vasculogenesis {GO:0001570}</t>
  </si>
  <si>
    <t>chromosome {GO:0005694}; nucleus {GO:0005634}</t>
  </si>
  <si>
    <t>alpha-tubulin binding {GO:0043014}; histone methyltransferase activity (H3-K36 specific) {GO:0046975}; histone-lysine N-methyltransferase activity {GO:0018024}; metal ion binding {GO:0046872}; protein-lysine N-methyltransferase activity {GO:0016279}</t>
  </si>
  <si>
    <t>sp|Q9D0R9|WDR89_MOUSE</t>
  </si>
  <si>
    <t>WD repeat-containing protein 89</t>
  </si>
  <si>
    <t>WDR89_MOUSE</t>
  </si>
  <si>
    <t>Q9D0R9</t>
  </si>
  <si>
    <t>MGI:1919588</t>
  </si>
  <si>
    <t>corpus callosum development {GO:0022038}</t>
  </si>
  <si>
    <t>sp|Q99JR8|SMRD2_MOUSE</t>
  </si>
  <si>
    <t>SWI/SNF-related matrix-associated actin-dependent regulator of chromatin subfamily D member 2</t>
  </si>
  <si>
    <t>60 kDa BRG-1/Brm-associated factor subunit B; BRG1-associated factor 60B (BAF60B)</t>
  </si>
  <si>
    <t>SMRD2_MOUSE</t>
  </si>
  <si>
    <t>Q99JR8</t>
  </si>
  <si>
    <t>B1ARI7; B1ARJ6</t>
  </si>
  <si>
    <t>Baf60b</t>
  </si>
  <si>
    <t>MGI:1933621</t>
  </si>
  <si>
    <t>Alternative splicing; Chromatin regulator; Isopeptide bond; Methylation; Nucleus; Phosphoprotein; Transcription; Transcription regulation; Ubl conjugation</t>
  </si>
  <si>
    <t>chromatin remodeling {GO:0006338}; nucleosome disassembly {GO:0006337}; positive regulation of cell differentiation {GO:0045597}; positive regulation of double-strand break repair {GO:2000781}; positive regulation of myoblast differentiation {GO:0045663}; positive regulation of T cell differentiation {GO:0045582};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</t>
  </si>
  <si>
    <t>bBAF complex {GO:0140092}; brahma complex {GO:0035060}; chromatin {GO:0000785}; kinetochore {GO:0000776}; nuclear matrix {GO:0016363}; nucleoplasm {GO:0005654}; nucleus {GO:0005634}; RSC-type complex {GO:0016586}; SWI/SNF complex {GO:0016514}</t>
  </si>
  <si>
    <t>sp|Q8BWT5|DIP2A_MOUSE</t>
  </si>
  <si>
    <t>Disco-interacting protein 2 homolog A (DIP2 homolog A)</t>
  </si>
  <si>
    <t>DIP2A_MOUSE</t>
  </si>
  <si>
    <t>Q8BWT5</t>
  </si>
  <si>
    <t>E0CXM7; Q8CHI0</t>
  </si>
  <si>
    <t>Dip2; Kiaa0184</t>
  </si>
  <si>
    <t>MGI:2385920</t>
  </si>
  <si>
    <t>Cell membrane; Cell projection; Developmental protein; Ligase; Membrane; Mitochondrion; Neurogenesis; Phosphoprotein; Synapse</t>
  </si>
  <si>
    <t>Cell membrane; Cell projection; Membrane; Mitochondrion; Synapse</t>
  </si>
  <si>
    <t>Developmental protein; Ligase</t>
  </si>
  <si>
    <t>acetyl-CoA biosynthetic process {GO:0006085}; dendritic spine morphogenesis {GO:0060997}; negative regulation of gene expression {GO:0010629}; positive regulation of peptidyl-lysine acetylation {GO:2000758}</t>
  </si>
  <si>
    <t>anchoring junction {GO:0070161}; cell surface {GO:0009986}; dendritic spine {GO:0043197}; membrane {GO:0016020}; mitochondrion {GO:0005739}; plasma membrane {GO:0005886}</t>
  </si>
  <si>
    <t>acetate-CoA ligase activity {GO:0003987}</t>
  </si>
  <si>
    <t>tr|A0A494BB10|A0A494BB10_MOUSE</t>
  </si>
  <si>
    <t>sp|Q9QXY9|PEX3_MOUSE</t>
  </si>
  <si>
    <t>Peroxisomal biogenesis factor 3</t>
  </si>
  <si>
    <t>Peroxin-3; Peroxisomal assembly protein PEX3</t>
  </si>
  <si>
    <t>PEX3_MOUSE</t>
  </si>
  <si>
    <t>Q9QXY9</t>
  </si>
  <si>
    <t>MGI:1929646</t>
  </si>
  <si>
    <t>Membrane; Peroxisome; Peroxisome biogenesis; Transmembrane; Transmembrane helix</t>
  </si>
  <si>
    <t>peroxisome membrane biogenesis {GO:0016557}; peroxisome organization {GO:0007031}; protein import into peroxisome membrane {GO:0045046}</t>
  </si>
  <si>
    <t>cytosol {GO:0005829}; endoplasmic reticulum {GO:0005783}; integral component of peroxisomal membrane {GO:0005779}; integral component of plasma membrane {GO:0005887}; nucleoplasm {GO:0005654}; peroxisomal membrane {GO:0005778}; peroxisome {GO:0005777}; protein-containing complex {GO:0032991}; protein-lipid complex {GO:0032994}</t>
  </si>
  <si>
    <t>lipid binding {GO:0008289}; protein-macromolecule adaptor activity {GO:0030674}</t>
  </si>
  <si>
    <t>sp|Q8CBY3|LENG8_MOUSE</t>
  </si>
  <si>
    <t>Leukocyte receptor cluster member 8 homolog</t>
  </si>
  <si>
    <t>LENG8_MOUSE</t>
  </si>
  <si>
    <t>Q8CBY3</t>
  </si>
  <si>
    <t>Q3TCN4; Q8C3P0; Q8CGB8</t>
  </si>
  <si>
    <t>MGI:2142195</t>
  </si>
  <si>
    <t>sp|Q4U2R1|HERC2_MOUSE</t>
  </si>
  <si>
    <t>E3 ubiquitin-protein ligase HERC2</t>
  </si>
  <si>
    <t>HECT domain and RCC1-like domain-containing protein 2; HECT-type E3 ubiquitin transferase HERC2</t>
  </si>
  <si>
    <t>HERC2_MOUSE</t>
  </si>
  <si>
    <t>Q4U2R1</t>
  </si>
  <si>
    <t>E9PZT6; O88473; Q3TRJ8; Q3TS47; Q3TST2; Q3UFQ6; Q3URH7; Q5DU32; Q7TPR5; Q80VV7; Q9QYT1; Q9Z168; Q9Z171</t>
  </si>
  <si>
    <t>MGI:103234</t>
  </si>
  <si>
    <t>Alternative splicing; Coiled coil; Cytoplasm; Cytoskeleton; DNA damage; DNA repair; Metal-binding; Nucleus; Phosphoprotein; Repeat; Transferase; Ubl conjugation; Ubl conjugation pathway; Zinc; Zinc-finger</t>
  </si>
  <si>
    <t>cellular response to DNA damage stimulus {GO:0006974}; DNA repair {GO:0006281}; proteasome-mediated ubiquitin-dependent protein catabolic process {GO:0043161}; protein ubiquitination {GO:0016567}; spermatogenesis {GO:0007283}</t>
  </si>
  <si>
    <t>centriole {GO:0005814}; cytoplasm {GO:0005737}; cytosol {GO:0005829}; membrane {GO:0016020}; mitochondrial inner membrane {GO:0005743}; nucleus {GO:0005634}; plasma membrane {GO:0005886}</t>
  </si>
  <si>
    <t>SUMO binding {GO:0032183}; ubiquitin protein ligase activity {GO:0061630}; ubiquitin protein ligase binding {GO:0031625}; zinc ion binding {GO:0008270}</t>
  </si>
  <si>
    <t>SUMOylation of DNA damage response and repair proteins {R-MMU-3108214}; Recruitment and ATM-mediated phosphorylation of repair and signaling proteins at DNA double strand breaks {R-MMU-5693565}; Nonhomologous End-Joining (NHEJ) {R-MMU-5693571}; Processing of DNA double-strand break ends {R-MMU-5693607}; G2/M DNA damage checkpoint {R-MMU-69473}; Antigen processing: Ubiquitination &amp; Proteasome degradation {R-MMU-983168}</t>
  </si>
  <si>
    <t>sp|Q91XU0|WRIP1_MOUSE</t>
  </si>
  <si>
    <t>ATPase WRNIP1</t>
  </si>
  <si>
    <t>Werner helicase-interacting protein 1</t>
  </si>
  <si>
    <t>WRIP1_MOUSE</t>
  </si>
  <si>
    <t>Q91XU0</t>
  </si>
  <si>
    <t>Q3TCT7; Q6PDF0; Q8BUW5; Q8BWP6; Q8BY55; Q921W3; Q9EQL3</t>
  </si>
  <si>
    <t>Whip</t>
  </si>
  <si>
    <t>MGI:1926153</t>
  </si>
  <si>
    <t>Acetylation; Alternative splicing; ATP-binding; Cytoplasm; DNA damage; DNA repair; DNA replication; Hydrolase; Immunity; Innate immunity; Isopeptide bond; Metal-binding; Nucleotide-binding; Nucleus; Phosphoprotein; Ubl conjugation; Zinc; Zinc-finger</t>
  </si>
  <si>
    <t>DNA damage; DNA repair; DNA replication; Immunity; Innate immunity</t>
  </si>
  <si>
    <t>DNA synthesis involved in DNA repair {GO:0000731}; DNA-templated DNA replication {GO:0006261}; innate immune response {GO:0045087}; regulation of DNA repair {GO:0006282}; regulation of DNA-templated DNA replication initiation {GO:0030174}</t>
  </si>
  <si>
    <t>chromosome, telomeric region {GO:0000781}; nucleus {GO:0005634}; perinuclear region of cytoplasm {GO:0048471}</t>
  </si>
  <si>
    <t>ATP binding {GO:0005524}; ATP hydrolysis activity {GO:0016887}; DNA binding {GO:0003677}; enzyme activator activity {GO:0008047}; identical protein binding {GO:0042802}; metal ion binding {GO:0046872}; single-stranded DNA helicase activity {GO:0017116}</t>
  </si>
  <si>
    <t>sp|Q6P1G0|HEAT6_MOUSE</t>
  </si>
  <si>
    <t>HEAT repeat-containing protein 6</t>
  </si>
  <si>
    <t>HEAT6_MOUSE</t>
  </si>
  <si>
    <t>Q6P1G0</t>
  </si>
  <si>
    <t>Q3UUN8; Q99KZ5; Q9CSQ4</t>
  </si>
  <si>
    <t>MGI:1919790</t>
  </si>
  <si>
    <t>sp|Q9CQS8|SC61B_MOUSE</t>
  </si>
  <si>
    <t>Protein transport protein Sec61 subunit beta</t>
  </si>
  <si>
    <t>SC61B_MOUSE</t>
  </si>
  <si>
    <t>Q9CQS8</t>
  </si>
  <si>
    <t>MGI:1913462</t>
  </si>
  <si>
    <t>Acetylation; Endoplasmic reticulum; Lipoprotein; Membrane; Palmitate; Phosphoprotein; Protein transport; Translocation; Transmembrane; Transmembrane helix; Transport</t>
  </si>
  <si>
    <t>post-translational protein targeting to membrane, translocation {GO:0031204}; retrograde protein transport, ER to cytosol {GO:0030970}; SRP-dependent cotranslational protein targeting to membrane, translocation {GO:0006616}; ubiquitin-dependent ERAD pathway {GO:0030433}</t>
  </si>
  <si>
    <t>endoplasmic reticulum {GO:0005783}; endoplasmic reticulum membrane {GO:0005789}; endoplasmic reticulum quality control compartment {GO:0044322}; integral component of membrane {GO:0016021}; membrane {GO:0016020}; Sec61 translocon complex {GO:0005784}</t>
  </si>
  <si>
    <t>epidermal growth factor binding {GO:0048408}; ribosome binding {GO:0043022}</t>
  </si>
  <si>
    <t>sp|P46062|SIPA1_MOUSE</t>
  </si>
  <si>
    <t>Signal-induced proliferation-associated protein 1 (Sipa-1)</t>
  </si>
  <si>
    <t>GTPase-activating protein Spa-1</t>
  </si>
  <si>
    <t>SIPA1_MOUSE</t>
  </si>
  <si>
    <t>P46062</t>
  </si>
  <si>
    <t>P70204</t>
  </si>
  <si>
    <t>Spa-1; Spa1</t>
  </si>
  <si>
    <t>MGI:107576</t>
  </si>
  <si>
    <t>Coiled coil; Cytoplasm; GTPase activation; Membrane; Nucleus; Phosphoprotein</t>
  </si>
  <si>
    <t>activation of GTPase activity {GO:0090630}; cellular response to water deprivation {GO:0042631}; regulation of cell cycle {GO:0051726}; regulation of small GTPase mediated signal transduction {GO:0051056}</t>
  </si>
  <si>
    <t>cytoplasm {GO:0005737}; membrane {GO:0016020}; nucleus {GO:0005634}; perinuclear region of cytoplasm {GO:0048471}; protein-containing complex {GO:0032991}; transport vesicle {GO:0030133}</t>
  </si>
  <si>
    <t>GTPase activator activity {GO:0005096}; protein C-terminus binding {GO:0008022}</t>
  </si>
  <si>
    <t>Rap1 signalling {R-MMU-392517}</t>
  </si>
  <si>
    <t>sp|Q8BHN7|CL029_MOUSE</t>
  </si>
  <si>
    <t>Uncharacterized protein C12orf29 homolog</t>
  </si>
  <si>
    <t>CL029_MOUSE</t>
  </si>
  <si>
    <t>Q8BHN7</t>
  </si>
  <si>
    <t>Q8BHP8; Q8BHV9</t>
  </si>
  <si>
    <t>MGI:1921197</t>
  </si>
  <si>
    <t>sp|Q9DBC3|CMTR1_MOUSE</t>
  </si>
  <si>
    <t>Cap-specific mRNA (nucleoside-2'-O-)-methyltransferase 1</t>
  </si>
  <si>
    <t>Cap methyltransferase 1; Cap1 2'O-ribose methyltransferase 1 (MTr1); FtsJ methyltransferase domain-containing protein 2</t>
  </si>
  <si>
    <t>CMTR1_MOUSE</t>
  </si>
  <si>
    <t>Q9DBC3</t>
  </si>
  <si>
    <t>Q3U3G5; Q3U7Y9; Q6A0D5; Q8C7V0</t>
  </si>
  <si>
    <t>Ftsjd2; Kiaa0082</t>
  </si>
  <si>
    <t>MGI:1921407</t>
  </si>
  <si>
    <t>Acetylation; Methyltransferase; mRNA capping; mRNA processing; Nucleus; Phosphoprotein; S-adenosyl-L-methionine; Transferase</t>
  </si>
  <si>
    <t>7-methylguanosine mRNA capping {GO:0006370}; cap1 mRNA methylation {GO:0097309}; mRNA methylation {GO:0080009}</t>
  </si>
  <si>
    <t>cytoplasm {GO:0005737}; intracellular membrane-bounded organelle {GO:0043231}; nucleoplasm {GO:0005654}; nucleus {GO:0005634}</t>
  </si>
  <si>
    <t>mRNA (nucleoside-2'-O-)-methyltransferase activity {GO:0004483}; nucleic acid binding {GO:0003676}</t>
  </si>
  <si>
    <t>sp|P11881|ITPR1_MOUSE</t>
  </si>
  <si>
    <t>Inositol 1,4,5-trisphosphate receptor type 1</t>
  </si>
  <si>
    <t>IP3 receptor isoform 1 (IP3R 1; InsP3R1); Inositol 1,4,5-trisphosphate-binding protein P400; Protein PCD-6; Purkinje cell protein 1; Type 1 inositol 1,4,5-trisphosphate receptor (Type 1 InsP3 receptor)</t>
  </si>
  <si>
    <t>ITPR1_MOUSE</t>
  </si>
  <si>
    <t>P11881</t>
  </si>
  <si>
    <t>P20943; Q99LG5</t>
  </si>
  <si>
    <t>Insp3r; Pcd6; Pcp1</t>
  </si>
  <si>
    <t>MGI:96623</t>
  </si>
  <si>
    <t>3D-structure; Alternative splicing; Apoptosis; Calcium; Calcium channel; Calcium transport; Cytoplasm; Cytoplasmic vesicle; Endoplasmic reticulum; Ion channel; Ion transport; Isopeptide bond; Ligand-gated ion channel; Lipoprotein; Membrane; Palmitate; Phosphoprotein; Receptor; Repeat; Transmembrane; Transmembrane helix; Transport; Ubl conjugation</t>
  </si>
  <si>
    <t>Apoptosis; Calcium transport; Ion transport; Transport</t>
  </si>
  <si>
    <t>Calcium channel; Ion channel; Ligand-gated ion channel; Receptor</t>
  </si>
  <si>
    <t>Isopeptide bond; Lipoprotein; Palmitate; Phosphoprotein; Ubl conjugation</t>
  </si>
  <si>
    <t>calcium ion transport {GO:0006816}; cell morphogenesis {GO:0000902}; cellular response to cAMP {GO:0071320}; endoplasmic reticulum calcium ion homeostasis {GO:0032469}; epithelial fluid transport {GO:0042045}; intrinsic apoptotic signaling pathway in response to endoplasmic reticulum stress {GO:0070059}; liver regeneration {GO:0097421}; negative regulation of calcium-mediated signaling {GO:0050849}; negative regulation of neuron death {GO:1901215}; positive regulation of apoptotic process {GO:0043065}; positive regulation of calcium ion transport {GO:0051928}; positive regulation of cytosolic calcium ion concentration {GO:0007204}; positive regulation of hepatocyte proliferation {GO:2000347}; positive regulation of neuron projection development {GO:0010976}; post-embryonic development {GO:0009791}; release of sequestered calcium ion into cytosol {GO:0051209}; response to hypoxia {GO:0001666}; voluntary musculoskeletal movement {GO:0050882}</t>
  </si>
  <si>
    <t>calcineurin complex {GO:0005955}; cytoplasm {GO:0005737}; cytoplasmic vesicle membrane {GO:0030659}; dendrite {GO:0030425}; endoplasmic reticulum {GO:0005783}; endoplasmic reticulum membrane {GO:0005789}; GABA-ergic synapse {GO:0098982}; integral component of endoplasmic reticulum membrane {GO:0030176}; intracellular membrane-bounded organelle {GO:0043231}; membrane raft {GO:0045121}; neuronal cell body {GO:0043025}; nuclear envelope {GO:0005635}; nuclear inner membrane {GO:0005637}; nucleolus {GO:0005730}; perinuclear region of cytoplasm {GO:0048471}; plasma membrane {GO:0005886}; platelet dense granule membrane {GO:0031088}; platelet dense tubular network {GO:0031094}; postsynapse {GO:0098794}; postsynaptic density {GO:0014069}; presynapse {GO:0098793}; protein-containing complex {GO:0032991}; sarcoplasmic reticulum {GO:0016529}; Schaffer collateral - CA1 synapse {GO:0098685}; secretory granule membrane {GO:0030667}; smooth endoplasmic reticulum membrane {GO:0030868}; synapse {GO:0045202}; synaptic membrane {GO:0097060}; transport vesicle membrane {GO:0030658}</t>
  </si>
  <si>
    <t>calcium channel inhibitor activity {GO:0019855}; calcium ion binding {GO:0005509}; calcium-release channel activity {GO:0015278}; identical protein binding {GO:0042802}; inositol 1,4,5 trisphosphate binding {GO:0070679}; inositol 1,4,5-trisphosphate receptor activity involved in regulation of postsynaptic cytosolic calcium levels {GO:0098695}; inositol 1,4,5-trisphosphate-sensitive calcium-release channel activity {GO:0005220}; phosphatidylinositol binding {GO:0035091}; protein C-terminus binding {GO:0008022}; protein domain specific binding {GO:0019904}; protein phosphatase binding {GO:0019903}; protein-containing complex binding {GO:0044877}; transmembrane transporter binding {GO:0044325}</t>
  </si>
  <si>
    <t>Effects of PIP2 hydrolysis {R-MMU-114508}; Elevation of cytosolic Ca2+ levels {R-MMU-139853}; Glucagon-like Peptide-1 (GLP1) regulates insulin secretion {R-MMU-381676}; cGMP effects {R-MMU-418457}; Ion homeostasis {R-MMU-5578775}; Antigen activates B Cell Receptor (BCR) leading to generation of second messengers {R-MMU-983695}</t>
  </si>
  <si>
    <t>sp|P63024|VAMP3_MOUSE</t>
  </si>
  <si>
    <t>Vesicle-associated membrane protein 3 (VAMP-3)</t>
  </si>
  <si>
    <t>Cellubrevin (CEB); Synaptobrevin-3</t>
  </si>
  <si>
    <t>VAMP3_MOUSE</t>
  </si>
  <si>
    <t>P63024</t>
  </si>
  <si>
    <t>Q3TH70; Q64271</t>
  </si>
  <si>
    <t>Syb3</t>
  </si>
  <si>
    <t>MGI:1321389</t>
  </si>
  <si>
    <t>Coiled coil; Endosome; Isopeptide bond; Membrane; Protein transport; Synapse; Synaptosome; Transmembrane; Transmembrane helix; Transport; Ubl conjugation</t>
  </si>
  <si>
    <t>Endosome; Membrane; Synapse; Synaptosome</t>
  </si>
  <si>
    <t>calcium-ion regulated exocytosis {GO:0017156}; cellular response to interferon-gamma {GO:0071346}; establishment of localization in cell {GO:0051649}; Golgi to plasma membrane protein transport {GO:0043001}; negative regulation of secretion by cell {GO:1903531}; positive regulation of receptor recycling {GO:0001921}; protein-containing complex assembly {GO:0065003}; retrograde transport, endosome to Golgi {GO:0042147}; SNARE complex assembly {GO:0035493}; substrate adhesion-dependent cell spreading {GO:0034446}; vesicle fusion {GO:0006906}; vesicle-mediated transport {GO:0016192}</t>
  </si>
  <si>
    <t>anchoring junction {GO:0070161}; apical plasma membrane {GO:0016324}; cell surface {GO:0009986}; clathrin-coated vesicle {GO:0030136}; clathrin-coated vesicle membrane {GO:0030665}; cytoplasmic vesicle {GO:0031410}; cytosol {GO:0005829}; early endosome {GO:0005769}; integral component of synaptic vesicle membrane {GO:0030285}; intracellular membrane-bounded organelle {GO:0043231}; intracellular organelle {GO:0043229}; intracellular vesicle {GO:0097708}; neuron projection {GO:0043005}; perinuclear region of cytoplasm {GO:0048471}; phagocytic vesicle {GO:0045335}; plasma membrane {GO:0005886}; recycling endosome {GO:0055037}; secretory granule {GO:0030141}; SNARE complex {GO:0031201}</t>
  </si>
  <si>
    <t>SNAP receptor activity {GO:0005484}; SNARE binding {GO:0000149}; syntaxin binding {GO:0019905}; syntaxin-1 binding {GO:0017075}</t>
  </si>
  <si>
    <t>ER-Phagosome pathway {R-MMU-1236974}; Retrograde transport at the Trans-Golgi-Network {R-MMU-6811440}; Cargo recognition for clathrin-mediated endocytosis {R-MMU-8856825}; Clathrin-mediated endocytosis {R-MMU-8856828}; RHOA GTPase cycle {R-MMU-8980692}; RHOB GTPase cycle {R-MMU-9013026}; RHOC GTPase cycle {R-MMU-9013106}; RAC1 GTPase cycle {R-MMU-9013149}; RAC2 GTPase cycle {R-MMU-9013404}; RHOD GTPase cycle {R-MMU-9013405}; RHOQ GTPase cycle {R-MMU-9013406}; RHOH GTPase cycle {R-MMU-9013407}; RHOG GTPase cycle {R-MMU-9013408}; RAC3 GTPase cycle {R-MMU-9013423}; RHOF GTPase cycle {R-MMU-9035034}</t>
  </si>
  <si>
    <t>tr|E9Q8I7|E9Q8I7_MOUSE</t>
  </si>
  <si>
    <t>sp|Q04207|TF65_MOUSE</t>
  </si>
  <si>
    <t>Transcription factor p65</t>
  </si>
  <si>
    <t>Nuclear factor NF-kappa-B p65 subunit; Nuclear factor of kappa light polypeptide gene enhancer in B-cells 3</t>
  </si>
  <si>
    <t>TF65_MOUSE</t>
  </si>
  <si>
    <t>Q04207</t>
  </si>
  <si>
    <t>Q62025</t>
  </si>
  <si>
    <t>Nfkb3</t>
  </si>
  <si>
    <t>MGI:103290</t>
  </si>
  <si>
    <t>3D-structure; Acetylation; Activator; Alternative splicing; Cytoplasm; DNA-binding; Isopeptide bond; Methylation; Nucleus; Phosphoprotein; S-nitrosylation; Transcription; Transcription regulation; Ubl conjugation</t>
  </si>
  <si>
    <t>animal organ morphogenesis {GO:0009887}; cellular response to angiotensin {GO:1904385}; cellular response to hepatocyte growth factor stimulus {GO:0035729}; cellular response to hydrogen peroxide {GO:0070301}; cellular response to interleukin-1 {GO:0071347}; cellular response to interleukin-6 {GO:0071354}; cellular response to lipopolysaccharide {GO:0071222}; cellular response to lipoteichoic acid {GO:0071223}; cellular response to nicotine {GO:0071316}; cellular response to peptidoglycan {GO:0071224}; cellular response to tumor necrosis factor {GO:0071356}; cellular response to vascular endothelial growth factor stimulus {GO:0035924}; chromatin organization {GO:0006325}; cytokine-mediated signaling pathway {GO:0019221}; defense response {GO:0006952}; defense response to tumor cell {GO:0002357}; DNA-templated transcription {GO:0006351}; hair follicle development {GO:0001942}; I-kappaB kinase/NF-kappaB signaling {GO:0007249}; inflammatory response {GO:0006954}; innate immune response {GO:0045087}; interleukin-1-mediated signaling pathway {GO:0070498}; liver development {GO:0001889}; negative regulation of apoptotic process {GO:0043066}; negative regulation of DNA-templated transcription {GO:0045892}; negative regulation of extrinsic apoptotic signaling pathway {GO:2001237}; negative regulation of insulin receptor signaling pathway {GO:0046627}; negative regulation of miRNA transcription {GO:1902894}; negative regulation of NIK/NF-kappaB signaling {GO:1901223}; negative regulation of protein catabolic process {GO:0042177}; negative regulation of protein sumoylation {GO:0033234}; negative regulation of transcription by RNA polymerase II {GO:0000122}; neuropeptide signaling pathway {GO:0007218}; NIK/NF-kappaB signaling {GO:0038061}; nucleotide-binding oligomerization domain containing 2 signaling pathway {GO:0070431}; positive regulation of amyloid-beta formation {GO:1902004}; positive regulation of cell population proliferation {GO:0008284}; positive regulation of chondrocyte differentiation {GO:0032332}; positive regulation of DNA-templated transcription {GO:0045893}; positive regulation of gene expression {GO:0010628}; positive regulation of I-kappaB kinase/NF-kappaB signaling {GO:0043123}; positive regulation of interleukin-12 production {GO:0032735}; positive regulation of interleukin-8 production {GO:0032757}; positive regulation of leukocyte adhesion to vascular endothelial cell {GO:1904996}; positive regulation of miRNA metabolic process {GO:2000630}; positive regulation of miRNA transcription {GO:1902895}; positive regulation of NF-kappaB transcription factor activity {GO:0051092}; positive regulation of NIK/NF-kappaB signaling {GO:1901224}; positive regulation of Schwann cell differentiation {GO:0014040}; positive regulation of T cell receptor signaling pathway {GO:0050862}; positive regulation of transcription by RNA polymerase II {GO:0045944}; positive regulation of transcription from RNA polymerase II promoter involved in cellular response to chemical stimulus {GO:1901522}; postsynapse to nucleus signaling pathway {GO:0099527}; protein catabolic process {GO:0030163}; regulation of DNA-templated transcription {GO:0006355}; regulation of DNA-templated transcription in response to stress {GO:0043620}; regulation of inflammatory response {GO:0050727}; regulation of NIK/NF-kappaB signaling {GO:1901222}; regulation of transcription by RNA polymerase II {GO:0006357}; response to bacterium {GO:0009617}; response to cytokine {GO:0034097}; response to interleukin-1 {GO:0070555}; response to muramyl dipeptide {GO:0032495}; response to muscle stretch {GO:0035994}; response to organic substance {GO:0010033}; response to UV-B {GO:0010224}; tumor necrosis factor-mediated signaling pathway {GO:0033209}</t>
  </si>
  <si>
    <t>chromatin {GO:0000785}; cytoplasm {GO:0005737}; cytosol {GO:0005829}; glutamatergic synapse {GO:0098978}; NF-kappaB complex {GO:0071159}; NF-kappaB p50/p65 complex {GO:0035525}; nucleus {GO:0005634}; protein-containing complex {GO:0032991}; synapse {GO:0045202}; transcription regulator complex {GO:0005667}</t>
  </si>
  <si>
    <t>actinin binding {GO:0042805}; ankyrin repeat binding {GO:0071532}; chromatin binding {GO:0003682}; chromatin DNA binding {GO:0031490}; DNA binding {GO:0003677}; DNA-binding transcription activator activity, RNA polymerase II-specific {GO:0001228}; DNA-binding transcription factor activity {GO:0003700}; DNA-binding transcription factor activity, RNA polymerase II-specific {GO:0000981}; DNA-binding transcription factor binding {GO:0140297}; DNA-binding transcription repressor activity, RNA polymerase II-specific {GO:0001227}; double-stranded DNA binding {GO:0003690}; enzyme binding {GO:0019899}; general transcription initiation factor binding {GO:0140296}; histone deacetylase binding {GO:0042826}; identical protein binding {GO:0042802}; NF-kappaB binding {GO:0051059}; peptide binding {GO:0042277}; phosphate ion binding {GO:0042301}; protein homodimerization activity {GO:0042803}; protein kinase binding {GO:0019901}; protein N-terminus binding {GO:0047485}; protein-containing complex binding {GO:0044877}; RNA polymerase II cis-regulatory region sequence-specific DNA binding {GO:0000978}; RNA polymerase II core promoter sequence-specific DNA binding {GO:0000979}; RNA polymerase II transcription regulatory region sequence-specific DNA binding {GO:0000977}; sequence-specific DNA binding {GO:0043565}; transcription cis-regulatory region binding {GO:0000976}; transcription coactivator binding {GO:0001223}; ubiquitin protein ligase binding {GO:0031625}</t>
  </si>
  <si>
    <t>Activation of NF-kappaB in B cells {R-MMU-1169091}; RIP-mediated NFkB activation via ZBP1 {R-MMU-1810476}; Regulated proteolysis of p75NTR {R-MMU-193692}; Downstream TCR signaling {R-MMU-202424}; NF-kB is activated and signals survival {R-MMU-209560}; FCERI mediated NF-kB activation {R-MMU-2871837}; DEx/H-box helicases activate type I IFN and inflammatory cytokines production {R-MMU-3134963}; PKMTs methylate histone lysines {R-MMU-3214841}; TAK1-dependent IKK and NF-kappa-B activation {R-MMU-445989}; Interleukin-1 processing {R-MMU-448706}; SUMOylation of immune response proteins {R-MMU-4755510}; CLEC7A (Dectin-1) signaling {R-MMU-5607764}; CD209 (DC-SIGN) signaling {R-MMU-5621575}; Interleukin-1 signaling {R-MMU-9020702}; TRAF6 mediated NF-kB activation {R-MMU-933542}</t>
  </si>
  <si>
    <t>sp|Q9DAZ9|ANCHR_MOUSE</t>
  </si>
  <si>
    <t>Abscission/NoCut checkpoint regulator (ANCHR)</t>
  </si>
  <si>
    <t>Zinc finger FYVE domain-containing protein 19</t>
  </si>
  <si>
    <t>ANCHR_MOUSE</t>
  </si>
  <si>
    <t>Q9DAZ9</t>
  </si>
  <si>
    <t>A2AV55; Q8VCV7</t>
  </si>
  <si>
    <t>Anchr</t>
  </si>
  <si>
    <t>MGI:1919258</t>
  </si>
  <si>
    <t>3D-structure; Cell cycle; Cell division; Coiled coil; Cytoplasm; Cytoskeleton; Isopeptide bond; Lipid-binding; Metal-binding; Phosphoprotein; Ubl conjugation; Zinc; Zinc-finger</t>
  </si>
  <si>
    <t>abscission {GO:0009838}; cell division {GO:0051301}; mitotic cytokinesis checkpoint signaling {GO:0044878}; negative regulation of cytokinesis {GO:0032466}</t>
  </si>
  <si>
    <t>centrosome {GO:0005813}; cleavage furrow {GO:0032154}; cytoplasm {GO:0005737}; Flemming body {GO:0090543}; midbody {GO:0030496}</t>
  </si>
  <si>
    <t>metal ion binding {GO:0046872}; phosphatidylinositol-3-phosphate binding {GO:0032266}</t>
  </si>
  <si>
    <t>sp|Q9CR59|G45IP_MOUSE</t>
  </si>
  <si>
    <t>Growth arrest and DNA damage-inducible proteins-interacting protein 1</t>
  </si>
  <si>
    <t>39S ribosomal protein L59, mitochondrial (MRP-L59)</t>
  </si>
  <si>
    <t>G45IP_MOUSE</t>
  </si>
  <si>
    <t>Q9CR59</t>
  </si>
  <si>
    <t>Q8BT05</t>
  </si>
  <si>
    <t>Mrpl59</t>
  </si>
  <si>
    <t>MGI:1914947</t>
  </si>
  <si>
    <t>Cell cycle; Coiled coil; Mitochondrion; Nucleus; Ribonucleoprotein; Ribosomal protein</t>
  </si>
  <si>
    <t>cell cycle {GO:0007049}; mitochondrial translation {GO:0032543}</t>
  </si>
  <si>
    <t>mitochondrial inner membrane {GO:0005743}; mitochondrial large ribosomal subunit {GO:0005762}; mitochondrion {GO:0005739}; nucleoplasm {GO:0005654}</t>
  </si>
  <si>
    <t>sp|Q9CXU9|EIF1B_MOUSE</t>
  </si>
  <si>
    <t>Eukaryotic translation initiation factor 1b (eIF1b)</t>
  </si>
  <si>
    <t>EIF1B_MOUSE</t>
  </si>
  <si>
    <t>Q9CXU9</t>
  </si>
  <si>
    <t>MGI:1916219</t>
  </si>
  <si>
    <t>eukaryotic 43S preinitiation complex {GO:0016282}</t>
  </si>
  <si>
    <t>ribosomal small subunit binding {GO:0043024}; RNA binding {GO:0003723}; translation initiation factor activity {GO:0003743}</t>
  </si>
  <si>
    <t>sp|Q8VE19|MIO_MOUSE</t>
  </si>
  <si>
    <t>GATOR complex protein MIOS</t>
  </si>
  <si>
    <t>MIO_MOUSE</t>
  </si>
  <si>
    <t>Q8VE19</t>
  </si>
  <si>
    <t>E9QM00</t>
  </si>
  <si>
    <t>MGI:2182066</t>
  </si>
  <si>
    <t>Lysosome; Membrane; Phosphoprotein; Repeat; WD repeat</t>
  </si>
  <si>
    <t>cellular response to amino acid starvation {GO:0034198}; positive regulation of TOR signaling {GO:0032008}; positive regulation of TORC1 signaling {GO:1904263}; protein-containing complex localization {GO:0031503}</t>
  </si>
  <si>
    <t>cell junction {GO:0030054}; cytoplasm {GO:0005737}; cytosol {GO:0005829}; GATOR2 complex {GO:0061700}; lysosomal membrane {GO:0005765}; nucleoplasm {GO:0005654}</t>
  </si>
  <si>
    <t>sp|Q61025|IFT20_MOUSE</t>
  </si>
  <si>
    <t>Intraflagellar transport protein 20 homolog (mIFT20)</t>
  </si>
  <si>
    <t>IFT20_MOUSE</t>
  </si>
  <si>
    <t>Q61025</t>
  </si>
  <si>
    <t>Q5SYG9; Q99M35</t>
  </si>
  <si>
    <t>MGI:1915585</t>
  </si>
  <si>
    <t>Alternative splicing; Cell projection; Cilium; Cilium biogenesis/degradation; Coiled coil; Cytoplasm; Cytoplasmic vesicle; Cytoskeleton; Differentiation; Golgi apparatus; Spermatogenesis</t>
  </si>
  <si>
    <t>Cilium biogenesis/degradation; Differentiation; Spermatogenesis</t>
  </si>
  <si>
    <t>Cell projection; Cilium; Cytoplasm; Cytoplasmic vesicle; Cytoskeleton; Golgi apparatus</t>
  </si>
  <si>
    <t>cardiac muscle cell differentiation {GO:0055007}; centrosome localization {GO:0051642}; cilium assembly {GO:0060271}; cochlea development {GO:0090102}; establishment of epithelial cell apical/basal polarity {GO:0045198}; establishment of planar polarity {GO:0001736}; inner ear receptor cell stereocilium organization {GO:0060122}; intraciliary anterograde transport {GO:0035720}; intraciliary transport {GO:0042073}; kidney development {GO:0001822}; neural precursor cell proliferation {GO:0061351}; neurogenesis {GO:0022008}; opsin transport {GO:0036372}; photoreceptor cell outer segment organization {GO:0035845}; positive regulation of cilium assembly {GO:0045724}; protein localization to cilium {GO:0061512}; protein localization to Golgi apparatus {GO:0034067}; protein localization to plasma membrane {GO:0072659}; regulation of autophagosome assembly {GO:2000785}; regulation of canonical Wnt signaling pathway {GO:0060828}; regulation of cilium assembly {GO:1902017}; regulation of platelet-derived growth factor receptor-alpha signaling pathway {GO:2000583}; smoothened signaling pathway {GO:0007224}; spermatogenesis {GO:0007283}; stem cell proliferation {GO:0072089}; visual learning {GO:0008542}</t>
  </si>
  <si>
    <t>acrosomal vesicle {GO:0001669}; centriole {GO:0005814}; centrosome {GO:0005813}; ciliary basal body {GO:0036064}; ciliary base {GO:0097546}; cilium {GO:0005929}; cis-Golgi network {GO:0005801}; cytoplasm {GO:0005737}; cytoplasmic vesicle {GO:0031410}; dendrite terminus {GO:0044292}; Golgi apparatus {GO:0005794}; intraciliary transport particle B {GO:0030992}; kinociliary basal body {GO:1902636}; manchette {GO:0002177}; microvillus {GO:0005902}; motile cilium {GO:0031514}; neuron projection {GO:0043005}; photoreceptor connecting cilium {GO:0032391}; photoreceptor outer segment {GO:0001750}; stereocilium {GO:0032420}</t>
  </si>
  <si>
    <t>opsin binding {GO:0002046}; small GTPase binding {GO:0031267}</t>
  </si>
  <si>
    <t>sp|Q8C547|HTR5B_MOUSE</t>
  </si>
  <si>
    <t>HEAT repeat-containing protein 5B</t>
  </si>
  <si>
    <t>HTR5B_MOUSE</t>
  </si>
  <si>
    <t>Q8C547</t>
  </si>
  <si>
    <t>Q3TPS4; Q5DTY0; Q5PRF1; Q8C6W1; Q8C773</t>
  </si>
  <si>
    <t>Kiaa1414</t>
  </si>
  <si>
    <t>MGI:2444098</t>
  </si>
  <si>
    <t>Alternative splicing; Cytoplasm; Cytoplasmic vesicle; Phosphoprotein; Protein transport; Repeat; Transport</t>
  </si>
  <si>
    <t>endocytosis {GO:0006897}; protein localization {GO:0008104}; protein transport {GO:0015031}; retrograde transport, endosome to Golgi {GO:0042147}</t>
  </si>
  <si>
    <t>clathrin-coated vesicle {GO:0030136}; cytosol {GO:0005829}; endocytic vesicle {GO:0030139}; intracellular membrane-bounded organelle {GO:0043231}; nuclear speck {GO:0016607}; perinuclear region of cytoplasm {GO:0048471}</t>
  </si>
  <si>
    <t>sp|Q8CI43|MYL6B_MOUSE</t>
  </si>
  <si>
    <t>Myosin light chain 6B</t>
  </si>
  <si>
    <t>Smooth muscle and nonmuscle myosin light chain alkali 6B</t>
  </si>
  <si>
    <t>MYL6B_MOUSE</t>
  </si>
  <si>
    <t>Q8CI43</t>
  </si>
  <si>
    <t>MGI:1917789</t>
  </si>
  <si>
    <t>Motor protein; Muscle protein; Myosin; Repeat</t>
  </si>
  <si>
    <t>myosin complex {GO:0016459}; myosin II complex {GO:0016460}; unconventional myosin complex {GO:0016461}</t>
  </si>
  <si>
    <t>calcium ion binding {GO:0005509}; cytoskeletal motor activity {GO:0003774}; structural constituent of muscle {GO:0008307}</t>
  </si>
  <si>
    <t>sp|Q6Y685|TACC1_MOUSE</t>
  </si>
  <si>
    <t>Transforming acidic coiled-coil-containing protein 1</t>
  </si>
  <si>
    <t>TACC1_MOUSE</t>
  </si>
  <si>
    <t>Q6Y685</t>
  </si>
  <si>
    <t>Q05A66; Q6Y686</t>
  </si>
  <si>
    <t>MGI:2443510</t>
  </si>
  <si>
    <t>Acetylation; Activator; Alternative splicing; Cell cycle; Cell division; Coiled coil; Cytoplasm; Cytoskeleton; Nucleus; Phosphoprotein; Repeat</t>
  </si>
  <si>
    <t>cell division {GO:0051301}; cell population proliferation {GO:0008283}; cerebral cortex development {GO:0021987}; interkinetic nuclear migration {GO:0022027}; microtubule cytoskeleton organization {GO:0000226}; mitotic spindle organization {GO:0007052}; neurogenesis {GO:0022008}; regulation of microtubule-based process {GO:0032886}; stem cell proliferation {GO:0072089}</t>
  </si>
  <si>
    <t>cytoplasm {GO:0005737}; cytosol {GO:0005829}; microtubule organizing center {GO:0005815}; midbody {GO:0030496}; nucleus {GO:0005634}</t>
  </si>
  <si>
    <t>nuclear estrogen receptor binding {GO:0030331}; nuclear glucocorticoid receptor binding {GO:0035259}; nuclear receptor binding {GO:0016922}; nuclear receptor coactivator activity {GO:0030374}; nuclear retinoic acid receptor binding {GO:0042974}; nuclear retinoid X receptor binding {GO:0046965}; nuclear thyroid hormone receptor binding {GO:0046966}; peroxisome proliferator activated receptor binding {GO:0042975}; protein domain specific binding {GO:0019904}</t>
  </si>
  <si>
    <t>sp|Q8BTV1|TUSC3_MOUSE</t>
  </si>
  <si>
    <t>Tumor suppressor candidate 3</t>
  </si>
  <si>
    <t>Dolichyl-diphosphooligosaccharide--protein glycosyltransferase subunit TUSC3 (Oligosaccharyl transferase subunit TUSC3); Magnesium uptake/transporter TUSC3; Protein N33</t>
  </si>
  <si>
    <t>TUSC3_MOUSE</t>
  </si>
  <si>
    <t>Q8BTV1</t>
  </si>
  <si>
    <t>N33</t>
  </si>
  <si>
    <t>MGI:1933134</t>
  </si>
  <si>
    <t>Disulfide bond; Endoplasmic reticulum; Glycoprotein; Magnesium; Membrane; Signal; Transmembrane; Transmembrane helix; Transport</t>
  </si>
  <si>
    <t>cognition {GO:0050890}; magnesium ion transport {GO:0015693}; protein N-linked glycosylation via asparagine {GO:0018279}</t>
  </si>
  <si>
    <t>integral component of membrane {GO:0016021}; mitochondrion {GO:0005739}; oligosaccharyltransferase complex {GO:0008250}</t>
  </si>
  <si>
    <t>magnesium ion transmembrane transporter activity {GO:0015095}; oligosaccharyltransferase complex binding {GO:0062062}</t>
  </si>
  <si>
    <t>sp|O88384|VTI1B_MOUSE</t>
  </si>
  <si>
    <t>Vesicle transport through interaction with t-SNAREs homolog 1B</t>
  </si>
  <si>
    <t>Vesicle transport v-SNARE protein Vti1-like 1; Vti1-rp1</t>
  </si>
  <si>
    <t>VTI1B_MOUSE</t>
  </si>
  <si>
    <t>O88384</t>
  </si>
  <si>
    <t>Vti1l1</t>
  </si>
  <si>
    <t>MGI:1855688</t>
  </si>
  <si>
    <t>3D-structure; Acetylation; Coiled coil; Endosome; Lysosome; Membrane; Methylation; Phosphoprotein; Protein transport; Transmembrane; Transmembrane helix; Transport</t>
  </si>
  <si>
    <t>Golgi to vacuole transport {GO:0006896}; intra-Golgi vesicle-mediated transport {GO:0006891}; intracellular protein transport {GO:0006886}; macroautophagy {GO:0016236}; regulation of protein localization to plasma membrane {GO:1903076}; retrograde transport, endosome to Golgi {GO:0042147}; vesicle fusion {GO:0006906}; vesicle fusion with Golgi apparatus {GO:0048280}</t>
  </si>
  <si>
    <t>anchored component of membrane {GO:0031225}; cytosol {GO:0005829}; early endosome membrane {GO:0031901}; endoplasmic reticulum membrane {GO:0005789}; ER to Golgi transport vesicle membrane {GO:0012507}; Golgi apparatus {GO:0005794}; integral component of membrane {GO:0016021}; intracellular membrane-bounded organelle {GO:0043231}; late endosome membrane {GO:0031902}; lysosomal membrane {GO:0005765}; neuronal cell body {GO:0043025}; perinuclear region of cytoplasm {GO:0048471}; recycling endosome {GO:0055037}; recycling endosome membrane {GO:0055038}; SNARE complex {GO:0031201}; synaptic vesicle {GO:0008021}; vesicle {GO:0031982}</t>
  </si>
  <si>
    <t>chloride channel inhibitor activity {GO:0019869}; SNAP receptor activity {GO:0005484}; SNARE binding {GO:0000149}</t>
  </si>
  <si>
    <t>tr|Q8BIV1|Q8BIV1_MOUSE</t>
  </si>
  <si>
    <t>sp|O08664|BCL7C_MOUSE</t>
  </si>
  <si>
    <t>B-cell CLL/lymphoma 7 protein family member C</t>
  </si>
  <si>
    <t>B-cell chronic lymphocytic leukemia/lymphoma 7C protein</t>
  </si>
  <si>
    <t>BCL7C_MOUSE</t>
  </si>
  <si>
    <t>O08664</t>
  </si>
  <si>
    <t>Q99LS2</t>
  </si>
  <si>
    <t>MGI:1332237</t>
  </si>
  <si>
    <t>Apoptosis; Phosphoprotein</t>
  </si>
  <si>
    <t>apoptotic process {GO:0006915}; chromatin remodeling {GO:0006338}; negative regulation of cell differentiation {GO:0045596}; positive regulation of cell population proliferation {GO:0008284}; positive regulation of double-strand break repair {GO:2000781}; positive regulation of stem cell population maintenance {GO:1902459}; regulation of G0 to G1 transition {GO:0070316}; regulation of G1/S transition of mitotic cell cycle {GO:2000045}; regulation of mitotic metaphase/anaphase transition {GO:0030071}; regulation of nucleotide-excision repair {GO:2000819}; regulation of transcription by RNA polymerase II {GO:0006357}</t>
  </si>
  <si>
    <t>chromatin {GO:0000785}; GBAF complex {GO:0140288}; SWI/SNF complex {GO:0016514}</t>
  </si>
  <si>
    <t>sp|Q8K2D6|DCTD_MOUSE</t>
  </si>
  <si>
    <t>Deoxycytidylate deaminase</t>
  </si>
  <si>
    <t>dCMP deaminase</t>
  </si>
  <si>
    <t>DCTD_MOUSE</t>
  </si>
  <si>
    <t>Q8K2D6</t>
  </si>
  <si>
    <t>Q8BP55</t>
  </si>
  <si>
    <t>MGI:2444529</t>
  </si>
  <si>
    <t>Allosteric enzyme; Hydrolase; Metal-binding; Nucleotide biosynthesis; Phosphoprotein; Zinc</t>
  </si>
  <si>
    <t>dTMP biosynthetic process {GO:0006231}; dUMP biosynthetic process {GO:0006226}</t>
  </si>
  <si>
    <t>dCMP deaminase activity {GO:0004132}; identical protein binding {GO:0042802}; zinc ion binding {GO:0008270}</t>
  </si>
  <si>
    <t>sp|Q91YJ2|SNX4_MOUSE</t>
  </si>
  <si>
    <t>Sorting nexin-4</t>
  </si>
  <si>
    <t>SNX4_MOUSE</t>
  </si>
  <si>
    <t>Q91YJ2</t>
  </si>
  <si>
    <t>MGI:1916400</t>
  </si>
  <si>
    <t>Acetylation; Endosome; Lipid-binding; Membrane; Protein transport; Transport</t>
  </si>
  <si>
    <t>endocytic recycling {GO:0032456}; positive regulation of autophagosome assembly {GO:2000786}; positive regulation of histamine secretion by mast cell {GO:1903595}; protein transport {GO:0015031}</t>
  </si>
  <si>
    <t>cytoplasm {GO:0005737}; cytoplasmic dynein complex {GO:0005868}; early endosome {GO:0005769}; early endosome membrane {GO:0031901}; membrane {GO:0016020}; plasma membrane {GO:0005886}; protein-containing complex {GO:0032991}; SNARE complex {GO:0031201}</t>
  </si>
  <si>
    <t>epidermal growth factor receptor binding {GO:0005154}; insulin receptor binding {GO:0005158}; leptin receptor binding {GO:1990460}; phosphatidylinositol binding {GO:0035091}; phosphatidylinositol-3-phosphate binding {GO:0032266}; transferrin receptor binding {GO:1990459}</t>
  </si>
  <si>
    <t>sp|Q3U308|CTU2_MOUSE</t>
  </si>
  <si>
    <t>Cytoplasmic tRNA 2-thiolation protein 2</t>
  </si>
  <si>
    <t>CTU2_MOUSE</t>
  </si>
  <si>
    <t>Q3U308</t>
  </si>
  <si>
    <t>Q8BTG9; Q8CI68</t>
  </si>
  <si>
    <t>Ncs2</t>
  </si>
  <si>
    <t>MGI:1914215</t>
  </si>
  <si>
    <t>Acetylation; Cytoplasm; Phosphoprotein; tRNA processing</t>
  </si>
  <si>
    <t>protein urmylation {GO:0032447}; tRNA thio-modification {GO:0034227}; tRNA wobble position uridine thiolation {GO:0002143}; tRNA wobble uridine modification {GO:0002098}</t>
  </si>
  <si>
    <t>nucleotidyltransferase activity {GO:0016779}; sulfurtransferase activity {GO:0016783}; tRNA binding {GO:0000049}</t>
  </si>
  <si>
    <t>sp|Q9CXX9|CUED2_MOUSE</t>
  </si>
  <si>
    <t>CUE domain-containing protein 2</t>
  </si>
  <si>
    <t>CUED2_MOUSE</t>
  </si>
  <si>
    <t>Q9CXX9</t>
  </si>
  <si>
    <t>Q99LC1</t>
  </si>
  <si>
    <t>MGI:1914366</t>
  </si>
  <si>
    <t>Cytoplasm; Nucleus; Ubl conjugation pathway</t>
  </si>
  <si>
    <t>negative regulation of cytokine production involved in inflammatory response {GO:1900016}; negative regulation of macrophage cytokine production {GO:0010936}</t>
  </si>
  <si>
    <t>cytosol {GO:0005829}; nuclear membrane {GO:0031965}; nucleoplasm {GO:0005654}</t>
  </si>
  <si>
    <t>sp|Q91YU8|SSF1_MOUSE</t>
  </si>
  <si>
    <t>Suppressor of SWI4 1 homolog (Ssf-1)</t>
  </si>
  <si>
    <t>Peter Pan homolog</t>
  </si>
  <si>
    <t>SSF1_MOUSE</t>
  </si>
  <si>
    <t>Q91YU8</t>
  </si>
  <si>
    <t>Q8BYM4</t>
  </si>
  <si>
    <t>Ssf1</t>
  </si>
  <si>
    <t>MGI:2178445</t>
  </si>
  <si>
    <t>regulation of cell growth by extracellular stimulus {GO:0001560}; ribosomal large subunit assembly {GO:0000027}; rRNA processing {GO:0006364}</t>
  </si>
  <si>
    <t>nucleolus {GO:0005730}; nucleus {GO:0005634}; preribosome, large subunit precursor {GO:0030687}</t>
  </si>
  <si>
    <t>rRNA binding {GO:0019843}</t>
  </si>
  <si>
    <t>sp|P59470|RPC2_MOUSE</t>
  </si>
  <si>
    <t>DNA-directed RNA polymerase III subunit RPC2 (RNA polymerase III subunit C2)</t>
  </si>
  <si>
    <t>C128; DNA-directed RNA polymerase III 127.6 kDa polypeptide; DNA-directed RNA polymerase III subunit B</t>
  </si>
  <si>
    <t>RPC2_MOUSE</t>
  </si>
  <si>
    <t>P59470</t>
  </si>
  <si>
    <t>Q6NVF3</t>
  </si>
  <si>
    <t>MGI:1917678</t>
  </si>
  <si>
    <t>Antiviral defense; DNA-directed RNA polymerase; Immunity; Innate immunity; Metal-binding; Nucleotidyltransferase; Nucleus; Transcription; Transferase; Zinc; Zinc-finger</t>
  </si>
  <si>
    <t>Antiviral defense; Immunity; Innate immunity; Transcription</t>
  </si>
  <si>
    <t>defense response to virus {GO:0051607}; DNA-templated transcription {GO:0006351}; innate immune response {GO:0045087}; positive regulation of innate immune response {GO:0045089}; positive regulation of interferon-beta production {GO:0032728}</t>
  </si>
  <si>
    <t>RNA polymerase III complex {GO:0005666}</t>
  </si>
  <si>
    <t>DNA binding {GO:0003677}; DNA-directed 5'-3' RNA polymerase activity {GO:0003899}; metal ion binding {GO:0046872}; ribonucleoside binding {GO:0032549}</t>
  </si>
  <si>
    <t>RNA Polymerase III Transcription Initiation From Type 1 Promoter {R-MMU-76061}; RNA Polymerase III Transcription Initiation From Type 2 Promoter {R-MMU-76066}; RNA Polymerase III Transcription Initiation From Type 3 Promoter {R-MMU-76071}</t>
  </si>
  <si>
    <t>sp|Q8K1F9|LCTL_MOUSE</t>
  </si>
  <si>
    <t>Lactase-like protein</t>
  </si>
  <si>
    <t>Klotho/lactase-phlorizin hydrolase-related protein</t>
  </si>
  <si>
    <t>LCTL_MOUSE</t>
  </si>
  <si>
    <t>Q8K1F9</t>
  </si>
  <si>
    <t>Q8BPR1; Q8K2M9</t>
  </si>
  <si>
    <t>Klph</t>
  </si>
  <si>
    <t>MGI:2183549</t>
  </si>
  <si>
    <t>Alternative splicing; Endoplasmic reticulum; Glycoprotein; Membrane; Sensory transduction; Signal; Transmembrane; Transmembrane helix; Vision</t>
  </si>
  <si>
    <t>carbohydrate metabolic process {GO:0005975}; lens morphogenesis in camera-type eye {GO:0002089}; response to stimulus {GO:0050896}; visual perception {GO:0007601}</t>
  </si>
  <si>
    <t>brush border {GO:0005903}; endoplasmic reticulum {GO:0005783}; endoplasmic reticulum membrane {GO:0005789}; integral component of membrane {GO:0016021}</t>
  </si>
  <si>
    <t>hydrolase activity, hydrolyzing O-glycosyl compounds {GO:0004553}</t>
  </si>
  <si>
    <t>sp|P20664|PRI1_MOUSE</t>
  </si>
  <si>
    <t>DNA primase small subunit</t>
  </si>
  <si>
    <t>DNA primase 49 kDa subunit (p49)</t>
  </si>
  <si>
    <t>PRI1_MOUSE</t>
  </si>
  <si>
    <t>P20664</t>
  </si>
  <si>
    <t>MGI:97757</t>
  </si>
  <si>
    <t>Acetylation; DNA replication; DNA-directed RNA polymerase; Magnesium; Manganese; Metal-binding; Nucleotidyltransferase; Primosome; Transcription; Transferase; Zinc</t>
  </si>
  <si>
    <t>DNA replication; Transcription</t>
  </si>
  <si>
    <t>DNA-directed RNA polymerase; Primosome</t>
  </si>
  <si>
    <t>DNA replication initiation {GO:0006270}; DNA replication, synthesis of RNA primer {GO:0006269}</t>
  </si>
  <si>
    <t>alpha DNA polymerase:primase complex {GO:0005658}</t>
  </si>
  <si>
    <t>DNA primase activity {GO:0003896}; magnesium ion binding {GO:0000287}; ribonucleotide binding {GO:0032553}; zinc ion binding {GO:0008270}</t>
  </si>
  <si>
    <t>Inhibition of replication initiation of damaged DNA by RB1/E2F1 {R-MMU-113501}; Polymerase switching on the C-strand of the telomere {R-MMU-174411}; Telomere C-strand synthesis initiation {R-MMU-174430}; DNA replication initiation {R-MMU-68952}; Activation of the pre-replicative complex {R-MMU-68962}; Polymerase switching {R-MMU-69091}; Removal of the Flap Intermediate {R-MMU-69166}; Processive synthesis on the lagging strand {R-MMU-69183}</t>
  </si>
  <si>
    <t>sp|P40694|SMBP2_MOUSE</t>
  </si>
  <si>
    <t>DNA-binding protein SMUBP-2</t>
  </si>
  <si>
    <t>ATP-dependent helicase IGHMBP2; Cardiac transcription factor 1 (CATF1); Immunoglobulin mu-binding protein 2</t>
  </si>
  <si>
    <t>SMBP2_MOUSE</t>
  </si>
  <si>
    <t>P40694</t>
  </si>
  <si>
    <t>Smbp-2; Smbp2</t>
  </si>
  <si>
    <t>MGI:99954</t>
  </si>
  <si>
    <t>Acetylation; Activator; ATP-binding; Cell projection; Cytoplasm; DNA-binding; Helicase; Hydrolase; Metal-binding; Nucleotide-binding; Nucleus; Phosphoprotein; Ribonucleoprotein; RNA-binding; Transcription; Transcription regulation; tRNA-binding; Zinc; Zinc-finger</t>
  </si>
  <si>
    <t>Activator; DNA-binding; Helicase; Hydrolase; RNA-binding; Ribonucleoprotein; tRNA-binding</t>
  </si>
  <si>
    <t>DNA duplex unwinding {GO:0032508}; negative regulation of transcription by RNA polymerase II {GO:0000122}; neuromuscular process {GO:0050905}; RNA secondary structure unwinding {GO:0010501}; spinal cord motor neuron differentiation {GO:0021522}; translation {GO:0006412}</t>
  </si>
  <si>
    <t>axon {GO:0030424}; cytoplasm {GO:0005737}; growth cone {GO:0030426}; neuronal cell body {GO:0043025}; nuclear body {GO:0016604}; nucleoplasm {GO:0005654}; nucleus {GO:0005634}; perinuclear region of cytoplasm {GO:0048471}; ribonucleoprotein complex {GO:1990904}</t>
  </si>
  <si>
    <t>5'-3' DNA helicase activity {GO:0043139}; 5'-3' RNA helicase activity {GO:0032574}; ATP binding {GO:0005524}; ATP hydrolysis activity {GO:0016887}; ATP-dependent activity, acting on DNA {GO:0008094}; ATP-dependent activity, acting on RNA {GO:0008186}; DNA binding {GO:0003677}; double-stranded DNA helicase activity {GO:0036121}; G-rich single-stranded DNA binding {GO:1990955}; identical protein binding {GO:0042802}; protein self-association {GO:0043621}; ribosome binding {GO:0043022}; RNA binding {GO:0003723}; single-stranded DNA binding {GO:0003697}; single-stranded RNA binding {GO:0003727}; tRNA binding {GO:0000049}; zinc ion binding {GO:0008270}</t>
  </si>
  <si>
    <t>sp|Q9CR84|AT5G1_MOUSE</t>
  </si>
  <si>
    <t>ATP synthase F(0) complex subunit C1, mitochondrial</t>
  </si>
  <si>
    <t>ATP synthase lipid-binding protein; ATP synthase membrane subunit c locus 1; ATP synthase proteolipid P1; ATPase protein 9; ATPase subunit c</t>
  </si>
  <si>
    <t>AT5G1_MOUSE</t>
  </si>
  <si>
    <t>Q9CR84</t>
  </si>
  <si>
    <t>Q3TIE9</t>
  </si>
  <si>
    <t>Atp5g1</t>
  </si>
  <si>
    <t>MGI:107653</t>
  </si>
  <si>
    <t>CF(0); Hydrogen ion transport; Ion transport; Lipid-binding; Membrane; Methylation; Mitochondrion; Transit peptide; Transmembrane; Transmembrane helix; Transport</t>
  </si>
  <si>
    <t>CF(0); Membrane; Mitochondrion</t>
  </si>
  <si>
    <t>proton motive force-driven ATP synthesis {GO:0015986}</t>
  </si>
  <si>
    <t>cation channel complex {GO:0034703}; distal axon {GO:0150034}; mitochondrial inner membrane {GO:0005743}; mitochondrial proton-transporting ATP synthase complex {GO:0005753}; mitochondrial proton-transporting ATP synthase complex, coupling factor F(o) {GO:0000276}; mitochondrion {GO:0005739}; neuronal cell body {GO:0043025}; proton-transporting ATP synthase complex, coupling factor F(o) {GO:0045263}</t>
  </si>
  <si>
    <t>ligand-gated channel activity {GO:0022834}; lipid binding {GO:0008289}; proton transmembrane transporter activity {GO:0015078}</t>
  </si>
  <si>
    <t>sp|Q9Z0L8|GGH_MOUSE</t>
  </si>
  <si>
    <t>Gamma-glutamyl hydrolase</t>
  </si>
  <si>
    <t>Conjugase; FGPH; Folylpolyglutamate hydrolase; GH; Gamma-Glu-x carboxypeptidase</t>
  </si>
  <si>
    <t>GGH_MOUSE</t>
  </si>
  <si>
    <t>Q9Z0L8</t>
  </si>
  <si>
    <t>B1AWC1; Q9Z0L7</t>
  </si>
  <si>
    <t>MGI:1329035</t>
  </si>
  <si>
    <t>Alternative splicing; Glycoprotein; Hydrolase; Lysosome; Secreted; Signal</t>
  </si>
  <si>
    <t>poly-gamma-glutamate metabolic process {GO:0070500}; response to ethanol {GO:0045471}; response to insulin {GO:0032868}; response to xenobiotic stimulus {GO:0009410}; response to zinc ion {GO:0010043}; tetrahydrofolylpolyglutamate metabolic process {GO:0046900}</t>
  </si>
  <si>
    <t>cytosol {GO:0005829}; extracellular space {GO:0005615}; lysosome {GO:0005764}; melanosome {GO:0042470}; vacuole {GO:0005773}</t>
  </si>
  <si>
    <t>gamma-glutamyl-peptidase activity {GO:0034722}</t>
  </si>
  <si>
    <t>sp|P61226|RAP2B_MOUSE</t>
  </si>
  <si>
    <t>Ras-related protein Rap-2b</t>
  </si>
  <si>
    <t>RAP2B_MOUSE</t>
  </si>
  <si>
    <t>P61226</t>
  </si>
  <si>
    <t>P17964; Q96EG5; Q9CXG0</t>
  </si>
  <si>
    <t>MGI:1921262</t>
  </si>
  <si>
    <t>Endosome; GTP-binding; Hydrolase; Lipoprotein; Membrane; Methylation; Nucleotide-binding; Palmitate; Prenylation</t>
  </si>
  <si>
    <t>negative regulation of cell migration {GO:0030336}; platelet activation {GO:0030168}; platelet aggregation {GO:0070527}; positive regulation of protein autophosphorylation {GO:0031954}; Rap protein signal transduction {GO:0032486}; regulation of protein tyrosine kinase activity {GO:0061097}</t>
  </si>
  <si>
    <t>bicellular tight junction {GO:0005923}; cell-cell contact zone {GO:0044291}; cytosol {GO:0005829}; extracellular exosome {GO:0070062}; membrane {GO:0016020}; membrane raft {GO:0045121}; plasma membrane {GO:0005886}; recycling endosome {GO:0055037}; recycling endosome membrane {GO:0055038}</t>
  </si>
  <si>
    <t>G protein activity {GO:0003925}; GDP binding {GO:0019003}; GTP binding {GO:0005525}; GTPase activity {GO:0003924}; protein domain specific binding {GO:0019904}</t>
  </si>
  <si>
    <t>sp|Q8BJ56|PLPL2_MOUSE</t>
  </si>
  <si>
    <t>Patatin-like phospholipase domain-containing protein 2</t>
  </si>
  <si>
    <t>Adipose triglyceride lipase; Calcium-independent phospholipase A2-zeta (iPLA2-zeta); Desnutrin</t>
  </si>
  <si>
    <t>PLPL2_MOUSE</t>
  </si>
  <si>
    <t>Q8BJ56</t>
  </si>
  <si>
    <t>O89080; Q05BJ0; Q3UD97; Q643S0; Q6P234; Q9D1Q9; Q9DCF6</t>
  </si>
  <si>
    <t>Atgl</t>
  </si>
  <si>
    <t>MGI:1914103</t>
  </si>
  <si>
    <t>Alternative splicing; Cell membrane; Cytoplasm; Glycoprotein; Hydrolase; Lipid degradation; Lipid droplet; Lipid metabolism; Membrane; Phosphoprotein; Signal-anchor; Transmembrane; Transmembrane helix</t>
  </si>
  <si>
    <t>cellular lipid catabolic process {GO:0044242}; diacylglycerol biosynthetic process {GO:0006651}; lipid droplet disassembly {GO:1905691}; lipid droplet organization {GO:0034389}; lipid homeostasis {GO:0055088}; lipid storage {GO:0019915}; negative regulation of sequestering of triglyceride {GO:0010891}; positive regulation of triglyceride catabolic process {GO:0010898}; triglyceride catabolic process {GO:0019433}</t>
  </si>
  <si>
    <t>cytoplasm {GO:0005737}; cytosol {GO:0005829}; integral component of membrane {GO:0016021}; lipid droplet {GO:0005811}; membrane {GO:0016020}; nucleoplasm {GO:0005654}; plasma membrane {GO:0005886}</t>
  </si>
  <si>
    <t>acylglycerol O-acyltransferase activity {GO:0016411}; diolein transacylation activity {GO:0051265}; mono-olein transacylation activity {GO:0051264}; phospholipase A2 activity {GO:0004623}; retinyl-palmitate esterase activity {GO:0050253}; triglyceride lipase activity {GO:0004806}</t>
  </si>
  <si>
    <t>Glycerolipid metabolism; triacylglycerol degradation.</t>
  </si>
  <si>
    <t>Acyl chain remodeling of DAG and TAG {R-MMU-1482883}; Regulation of Insulin-like Growth Factor (IGF) transport and uptake by Insulin-like Growth Factor Binding Proteins (IGFBPs) {R-MMU-381426}; Post-translational protein phosphorylation {R-MMU-8957275}</t>
  </si>
  <si>
    <t>sp|Q91ZD4|VANG2_MOUSE</t>
  </si>
  <si>
    <t>Vang-like protein 2</t>
  </si>
  <si>
    <t>Loop-tail protein 1; Loop-tail-associated protein; Van Gogh-like protein 2</t>
  </si>
  <si>
    <t>VANG2_MOUSE</t>
  </si>
  <si>
    <t>Q91ZD4</t>
  </si>
  <si>
    <t>Q923Z8</t>
  </si>
  <si>
    <t>Lpp1; Ltap</t>
  </si>
  <si>
    <t>MGI:2135272</t>
  </si>
  <si>
    <t>Cell membrane; Developmental protein; Disease variant; Membrane; Transmembrane; Transmembrane helix</t>
  </si>
  <si>
    <t>anterior/posterior pattern specification {GO:0009952}; apical protein localization {GO:0045176}; branching involved in blood vessel morphogenesis {GO:0001569}; cardiac vascular smooth muscle cell differentiation {GO:0060947}; cell migration involved in kidney development {GO:0035787}; cochlea development {GO:0090102}; cochlea morphogenesis {GO:0090103}; convergent extension involved in axis elongation {GO:0060028}; convergent extension involved in neural plate elongation {GO:0022007}; convergent extension involved in organogenesis {GO:0060029}; digestive tract morphogenesis {GO:0048546}; dopaminergic neuron axon guidance {GO:0036514}; epicardial cell to mesenchymal cell transition {GO:0003347}; establishment of body hair planar orientation {GO:0048105}; establishment of epithelial cell polarity {GO:0090162}; establishment of planar polarity {GO:0001736}; establishment of planar polarity involved in neural tube closure {GO:0090177}; establishment or maintenance of epithelial cell apical/basal polarity {GO:0045197}; glomerulus development {GO:0032835}; hair follicle development {GO:0001942}; heart looping {GO:0001947}; heparan sulfate proteoglycan biosynthetic process {GO:0015012}; inner ear receptor cell development {GO:0060119}; inner ear receptor cell stereocilium organization {GO:0060122}; kidney morphogenesis {GO:0060993}; lateral sprouting involved in lung morphogenesis {GO:0060490}; membranous septum morphogenesis {GO:0003149}; muscular septum morphogenesis {GO:0003150}; neural tube closure {GO:0001843}; non-canonical Wnt signaling pathway {GO:0035567}; non-motile cilium assembly {GO:1905515}; orthogonal dichotomous subdivision of terminal units involved in lung branching morphogenesis {GO:0060488}; outflow tract septum morphogenesis {GO:0003148}; planar cell polarity pathway involved in axis elongation {GO:0003402}; planar cell polarity pathway involved in axon guidance {GO:1904938}; planar cell polarity pathway involved in heart morphogenesis {GO:0061346}; planar cell polarity pathway involved in neural tube closure {GO:0090179}; planar dichotomous subdivision of terminal units involved in lung branching morphogenesis {GO:0060489}; positive regulation of JUN kinase activity {GO:0043507}; post-anal tail morphogenesis {GO:0036342}; regulation of actin cytoskeleton organization {GO:0032956}; regulation of establishment of planar polarity {GO:0090175}; regulation of Wnt signaling pathway {GO:0030111}; Rho protein signal transduction {GO:0007266}; serotonergic neuron axon guidance {GO:0036515}; somatic stem cell division {GO:0048103}; somatic stem cell population maintenance {GO:0035019}; Wnt signaling pathway, planar cell polarity pathway {GO:0060071}; wound healing {GO:0042060}</t>
  </si>
  <si>
    <t>apical cytoplasm {GO:0090651}; apical plasma membrane {GO:0016324}; basolateral plasma membrane {GO:0016323}; cell periphery {GO:0071944}; cell pole {GO:0060187}; cell-cell junction {GO:0005911}; COPII-coated ER to Golgi transport vesicle {GO:0030134}; integral component of membrane {GO:0016021}; lateral plasma membrane {GO:0016328}; plasma membrane {GO:0005886}; stress fiber {GO:0001725}</t>
  </si>
  <si>
    <t>RND3 GTPase cycle {R-MMU-9696264}; RND2 GTPase cycle {R-MMU-9696270}; RND1 GTPase cycle {R-MMU-9696273}</t>
  </si>
  <si>
    <t>sp|Q99MP8|BRAP_MOUSE</t>
  </si>
  <si>
    <t>sp|Q99N84|RT18B_MOUSE</t>
  </si>
  <si>
    <t>28S ribosomal protein S18b, mitochondrial (MRP-S18-b; Mrps18-b; S18mt-b)</t>
  </si>
  <si>
    <t>28S ribosomal protein S18-2, mitochondrial (MRP-S18-2)</t>
  </si>
  <si>
    <t>RT18B_MOUSE</t>
  </si>
  <si>
    <t>Q99N84</t>
  </si>
  <si>
    <t>Q3TLA9; Q9CRK0; Q9DCR8</t>
  </si>
  <si>
    <t>MGI:1914223</t>
  </si>
  <si>
    <t>Alternative splicing; Mitochondrion; Phosphoprotein; Ribonucleoprotein; Ribosomal protein; Transit peptide</t>
  </si>
  <si>
    <t>cell junction {GO:0030054}; mitochondrial inner membrane {GO:0005743}; mitochondrial small ribosomal subunit {GO:0005763}; mitochondrion {GO:0005739}; nucleoplasm {GO:0005654}</t>
  </si>
  <si>
    <t>sp|Q8CES0|NAA30_MOUSE</t>
  </si>
  <si>
    <t>N-alpha-acetyltransferase 30</t>
  </si>
  <si>
    <t>N-acetyltransferase 12; N-acetyltransferase MAK3 homolog; NatC catalytic subunit</t>
  </si>
  <si>
    <t>NAA30_MOUSE</t>
  </si>
  <si>
    <t>Q8CES0</t>
  </si>
  <si>
    <t>B2RY23; Q7TN07</t>
  </si>
  <si>
    <t>Mak3; Nat12</t>
  </si>
  <si>
    <t>MGI:1922259</t>
  </si>
  <si>
    <t>cytoplasm {GO:0005737}; cytosol {GO:0005829}; NatC complex {GO:0031417}; nucleus {GO:0005634}; polysome {GO:0005844}</t>
  </si>
  <si>
    <t>sp|P70414|NAC1_MOUSE</t>
  </si>
  <si>
    <t>Sodium/calcium exchanger 1</t>
  </si>
  <si>
    <t>Na(+)/Ca(2+)-exchange protein 1; Solute carrier family 8 member 1</t>
  </si>
  <si>
    <t>NAC1_MOUSE</t>
  </si>
  <si>
    <t>P70414</t>
  </si>
  <si>
    <t>Ncx</t>
  </si>
  <si>
    <t>MGI:107956</t>
  </si>
  <si>
    <t>Antiport; Calcium; Calcium transport; Calmodulin-binding; Cell membrane; Glycoprotein; Ion transport; Membrane; Metal-binding; Phosphoprotein; Repeat; Signal; Sodium; Sodium transport; Transmembrane; Transmembrane helix; Transport</t>
  </si>
  <si>
    <t>Antiport; Calcium transport; Ion transport; Sodium transport; Transport</t>
  </si>
  <si>
    <t>Calcium; Metal-binding; Sodium</t>
  </si>
  <si>
    <t>calcium ion export {GO:1901660}; calcium ion homeostasis {GO:0055074}; calcium ion import {GO:0070509}; calcium ion import across plasma membrane {GO:0098703}; calcium ion transmembrane transport {GO:0070588}; calcium ion transport {GO:0006816}; calcium ion transport into cytosol {GO:0060402}; cardiac muscle cell development {GO:0055013}; cardiac muscle contraction {GO:0060048}; cell communication by electrical coupling involved in cardiac conduction {GO:0086064}; cellular calcium ion homeostasis {GO:0006874}; cellular response to caffeine {GO:0071313}; cellular response to cAMP {GO:0071320}; cellular response to reactive oxygen species {GO:0034614}; cellular sodium ion homeostasis {GO:0006883}; embryonic heart tube development {GO:0035050}; embryonic placenta development {GO:0001892}; heart morphogenesis {GO:0003007}; metal ion transport {GO:0030001}; muscle cell development {GO:0055001}; negative regulation of cytosolic calcium ion concentration {GO:0051481}; negative regulation of protein serine/threonine kinase activity {GO:0071901}; positive regulation of bone mineralization {GO:0030501}; positive regulation of cytosolic calcium ion concentration {GO:0007204}; positive regulation of fibroblast migration {GO:0010763}; positive regulation of the force of heart contraction {GO:0098735}; post-embryonic development {GO:0009791}; regulation of calcium ion transport {GO:0051924}; regulation of cardiac muscle cell membrane potential {GO:0086036}; regulation of cardiac muscle contraction by regulation of the release of sequestered calcium ion {GO:0010881}; regulation of gene expression {GO:0010468}; regulation of heart rate {GO:0002027}; regulation of sodium ion transport {GO:0002028}; regulation of the force of heart contraction {GO:0002026}; relaxation of smooth muscle {GO:0044557}; response to ATP {GO:0033198}; response to hypoxia {GO:0001666}; response to muscle stretch {GO:0035994}; sodium ion export across plasma membrane {GO:0036376}; sodium ion import across plasma membrane {GO:0098719}; sodium ion transmembrane transport {GO:0035725}; sodium ion transport {GO:0006814}; vascular associated smooth muscle contraction {GO:0014829}</t>
  </si>
  <si>
    <t>axon {GO:0030424}; axon terminus {GO:0043679}; basolateral plasma membrane {GO:0016323}; cell periphery {GO:0071944}; cell projection {GO:0042995}; dendrite {GO:0030425}; dendritic shaft {GO:0043198}; dendritic spine {GO:0043197}; integral component of membrane {GO:0016021}; integral component of plasma membrane {GO:0005887}; integral component of postsynaptic membrane {GO:0099055}; intercalated disc {GO:0014704}; intrinsic component of plasma membrane {GO:0031226}; membrane {GO:0016020}; microtubule {GO:0005874}; mitochondrion {GO:0005739}; neuronal cell body {GO:0043025}; nucleoplasm {GO:0005654}; plasma membrane {GO:0005886}; postsynapse {GO:0098794}; postsynaptic density {GO:0014069}; postsynaptic membrane {GO:0045211}; sarcolemma {GO:0042383}; synapse {GO:0045202}; T-tubule {GO:0030315}; Z disc {GO:0030018}</t>
  </si>
  <si>
    <t>ankyrin binding {GO:0030506}; calcium ion binding {GO:0005509}; calcium:cation antiporter activity involved in regulation of postsynaptic cytosolic calcium ion concentration {GO:1905060}; calcium:sodium antiporter activity {GO:0005432}; calcium:sodium antiporter activity involved in regulation of cardiac muscle cell membrane potential {GO:0086038}; calmodulin binding {GO:0005516}; cytoskeletal protein binding {GO:0008092}; ion antiporter activity involved in regulation of postsynaptic membrane potential {GO:0099580}; transmembrane transporter binding {GO:0044325}</t>
  </si>
  <si>
    <t>Reduction of cytosolic Ca++ levels {R-MMU-418359}; Sodium/Calcium exchangers {R-MMU-425561}; Ion homeostasis {R-MMU-5578775}</t>
  </si>
  <si>
    <t>sp|Q80WT5|AFTIN_MOUSE</t>
  </si>
  <si>
    <t>Aftiphilin</t>
  </si>
  <si>
    <t>AFTIN_MOUSE</t>
  </si>
  <si>
    <t>Q80WT5</t>
  </si>
  <si>
    <t>Q5SSE6; Q99KJ1</t>
  </si>
  <si>
    <t>Afth</t>
  </si>
  <si>
    <t>MGI:1923012</t>
  </si>
  <si>
    <t>intracellular transport {GO:0046907}; protein transport {GO:0015031}</t>
  </si>
  <si>
    <t>AP-1 adaptor complex {GO:0030121}; cytosol {GO:0005829}; Golgi apparatus {GO:0005794}; intracellular membrane-bounded organelle {GO:0043231}; nucleoplasm {GO:0005654}; perinuclear region of cytoplasm {GO:0048471}; trans-Golgi network membrane {GO:0032588}</t>
  </si>
  <si>
    <t>clathrin binding {GO:0030276}</t>
  </si>
  <si>
    <t>sp|Q8K207|CA021_MOUSE</t>
  </si>
  <si>
    <t>Uncharacterized protein C1orf21 homolog</t>
  </si>
  <si>
    <t>CA021_MOUSE</t>
  </si>
  <si>
    <t>Q8K207</t>
  </si>
  <si>
    <t>MGI:1916649</t>
  </si>
  <si>
    <t>sp|P61028|RAB8B_MOUSE</t>
  </si>
  <si>
    <t>Ras-related protein Rab-8B</t>
  </si>
  <si>
    <t>RAB8B_MOUSE</t>
  </si>
  <si>
    <t>P61028</t>
  </si>
  <si>
    <t>Q3U1Z3</t>
  </si>
  <si>
    <t>MGI:2442982</t>
  </si>
  <si>
    <t>Cell membrane; Cytoplasmic vesicle; GTP-binding; Lipoprotein; Membrane; Methylation; Nucleotide-binding; Phosphoprotein; Prenylation; Protein transport; Transport</t>
  </si>
  <si>
    <t>antigen processing and presentation {GO:0019882}; cell-substrate junction organization {GO:0150115}; endocytic recycling {GO:0032456}; Golgi vesicle fusion to target membrane {GO:0048210}; positive regulation of cell projection organization {GO:0031346}; positive regulation of corticotropin secretion {GO:0051461}; protein import into peroxisome membrane {GO:0045046}; protein localization to plasma membrane {GO:0072659}; protein secretion {GO:0009306}; regulation of exocytosis {GO:0017157}; vesicle docking involved in exocytosis {GO:0006904}</t>
  </si>
  <si>
    <t>cell tip {GO:0051286}; cytoplasmic vesicle {GO:0031410}; endosome {GO:0005768}; intracellular membrane-bounded organelle {GO:0043231}; mitochondrion {GO:0005739}; perinuclear region of cytoplasm {GO:0048471}; peroxisomal membrane {GO:0005778}; phagocytic vesicle {GO:0045335}; phagocytic vesicle membrane {GO:0030670}; plasma membrane {GO:0005886}; presynapse {GO:0098793}; synaptic vesicle {GO:0008021}; trans-Golgi network transport vesicle {GO:0030140}</t>
  </si>
  <si>
    <t>GDP binding {GO:0019003}; GTP binding {GO:0005525}; GTPase activity {GO:0003924}; signaling receptor binding {GO:0005102}; TPR domain binding {GO:0030911}</t>
  </si>
  <si>
    <t>sp|Q8C6B9|AROS_MOUSE</t>
  </si>
  <si>
    <t>Active regulator of SIRT1</t>
  </si>
  <si>
    <t>40S ribosomal protein S19-binding protein 1 (RPS19-binding protein 1; S19BP)</t>
  </si>
  <si>
    <t>AROS_MOUSE</t>
  </si>
  <si>
    <t>Q8C6B9</t>
  </si>
  <si>
    <t>Q2WFQ7</t>
  </si>
  <si>
    <t>Aros</t>
  </si>
  <si>
    <t>MGI:1913788</t>
  </si>
  <si>
    <t>Citrullination; Nucleus; Phosphoprotein</t>
  </si>
  <si>
    <t>cytosol {GO:0005829}; nucleolus {GO:0005730}; nucleoplasm {GO:0005654}</t>
  </si>
  <si>
    <t>sp|Q99N89|RM43_MOUSE</t>
  </si>
  <si>
    <t>39S ribosomal protein L43, mitochondrial (L43mt; MRP-L43)</t>
  </si>
  <si>
    <t>Mitochondrial ribosomal protein bMRP36a</t>
  </si>
  <si>
    <t>RM43_MOUSE</t>
  </si>
  <si>
    <t>Q99N89</t>
  </si>
  <si>
    <t>MGI:2137229</t>
  </si>
  <si>
    <t>sp|Q8CFX1|G6PE_MOUSE</t>
  </si>
  <si>
    <t>6-phosphogluconolactonase</t>
  </si>
  <si>
    <t>Glucose 1-dehydrogenase; Glucose-6-phosphate dehydrogenase (6PGL)</t>
  </si>
  <si>
    <t>G6PE_MOUSE</t>
  </si>
  <si>
    <t>Q8CFX1</t>
  </si>
  <si>
    <t>A2A7A9; B2KGW7; Q8BLH1</t>
  </si>
  <si>
    <t>MGI:2140356</t>
  </si>
  <si>
    <t>Carbohydrate metabolism; Endoplasmic reticulum; Glucose metabolism; Glycoprotein; Hydrolase; Multifunctional enzyme; NAD; NADP; Oxidoreductase; Pyrrolidone carboxylic acid; Signal</t>
  </si>
  <si>
    <t>Hydrolase; Multifunctional enzyme; Oxidoreductase</t>
  </si>
  <si>
    <t>Glycoprotein; Pyrrolidone carboxylic acid</t>
  </si>
  <si>
    <t>carbohydrate metabolic process {GO:0005975}; glucose metabolic process {GO:0006006}; NADP metabolic process {GO:0006739}; pentose-phosphate shunt {GO:0006098}; pentose-phosphate shunt, oxidative branch {GO:0009051}; regulation of cortisol biosynthetic process {GO:2000064}</t>
  </si>
  <si>
    <t>cytoplasm {GO:0005737}; endoplasmic reticulum {GO:0005783}; endoplasmic reticulum lumen {GO:0005788}; intracellular membrane-bounded organelle {GO:0043231}; mitochondrion {GO:0005739}; sarcoplasmic reticulum {GO:0016529}</t>
  </si>
  <si>
    <t>6-phosphogluconolactonase activity {GO:0017057}; carbohydrate binding {GO:0030246}; glucose 1-dehydrogenase (NAD+) activity {GO:0047934}; glucose 1-dehydrogenase (NADP+) activity {GO:0047935}; glucose 1-dehydrogenase [NAD(P)] activity {GO:0047936}; glucose-6-phosphate dehydrogenase activity {GO:0004345}; NADP binding {GO:0050661}</t>
  </si>
  <si>
    <t>Carbohydrate degradation; pentose phosphate pathway; D- ribulose 5-phosphate from D-glucose 6-phosphate (oxidative stage): step 2/3..</t>
  </si>
  <si>
    <t>sp|P35601|RFC1_MOUSE</t>
  </si>
  <si>
    <t>Replication factor C subunit 1</t>
  </si>
  <si>
    <t>A1-P145; Activator 1 140 kDa subunit (A1 140 kDa subunit); Activator 1 large subunit; Activator 1 subunit 1; Differentiation-specific element-binding protein; ISRE-binding protein; Replication factor C 140 kDa subunit (RF-C 140 kDa subunit; RFC140); Replication factor C large subunit</t>
  </si>
  <si>
    <t>RFC1_MOUSE</t>
  </si>
  <si>
    <t>P35601</t>
  </si>
  <si>
    <t>Ibf-1; Recc1</t>
  </si>
  <si>
    <t>MGI:97891</t>
  </si>
  <si>
    <t>Activator; Alternative splicing; ATP-binding; DNA replication; DNA-binding; Isopeptide bond; Nucleotide-binding; Nucleus; Phosphoprotein; Transcription; Transcription regulation; Ubl conjugation</t>
  </si>
  <si>
    <t>DNA clamp unloading {GO:0090618}; DNA repair {GO:0006281}; DNA replication {GO:0006260}; negative regulation of DNA-templated transcription {GO:0045892}; negative regulation of transcription by RNA polymerase II {GO:0000122}; positive regulation of DNA-templated transcription {GO:0045893}</t>
  </si>
  <si>
    <t>cytoplasm {GO:0005737}; DNA replication factor C complex {GO:0005663}; Elg1 RFC-like complex {GO:0031391}; nucleolus {GO:0005730}; nucleoplasm {GO:0005654}; nucleus {GO:0005634}; protein-containing complex {GO:0032991}</t>
  </si>
  <si>
    <t>ATP binding {GO:0005524}; ATP hydrolysis activity {GO:0016887}; DNA binding {GO:0003677}; DNA clamp loader activity {GO:0003689}; DNA clamp unloader activity {GO:0061860}; double-stranded DNA binding {GO:0003690}; protein domain specific binding {GO:0019904}; sequence-specific DNA binding {GO:0043565}</t>
  </si>
  <si>
    <t>Translesion synthesis by REV1 {R-MMU-110312}; Recognition of DNA damage by PCNA-containing replication complex {R-MMU-110314}; Translesion Synthesis by POLH {R-MMU-110320}; Polymerase switching on the C-strand of the telomere {R-MMU-174411}; PCNA-Dependent Long Patch Base Excision Repair {R-MMU-5651801}; Translesion synthesis by POLK {R-MMU-5655862}; Translesion synthesis by POLI {R-MMU-5656121}; Termination of translesion DNA synthesis {R-MMU-5656169}; HDR through Homologous Recombination (HRR) {R-MMU-5685942}; Gap-filling DNA repair synthesis and ligation in GG-NER {R-MMU-5696397}; Dual Incision in GG-NER {R-MMU-5696400}; Dual incision in TC-NER {R-MMU-6782135}; Gap-filling DNA repair synthesis and ligation in TC-NER {R-MMU-6782210}; Polymerase switching {R-MMU-69091}</t>
  </si>
  <si>
    <t>sp|Q8BWW9|PKN2_MOUSE</t>
  </si>
  <si>
    <t>Serine/threonine-protein kinase N2</t>
  </si>
  <si>
    <t>PKN gamma; Protein kinase C-like 2; Protein-kinase C-related kinase 2</t>
  </si>
  <si>
    <t>PKN2_MOUSE</t>
  </si>
  <si>
    <t>Q8BWW9</t>
  </si>
  <si>
    <t>Q3TBR3; Q80WS2; Q8BJL7; Q8BL62</t>
  </si>
  <si>
    <t>Prk2; Prkcl2</t>
  </si>
  <si>
    <t>MGI:109211</t>
  </si>
  <si>
    <t>Acetylation; Alternative splicing; Apoptosis; ATP-binding; Cell adhesion; Cell cycle; Cell division; Cell junction; Cell projection; Cilium biogenesis/degradation; Coiled coil; Cytoplasm; Cytoskeleton; Kinase; Membrane; Nucleotide-binding; Nucleus; Phosphoprotein; Repeat; Serine/threonine-protein kinase; Transcription; Transcription regulation; Transferase</t>
  </si>
  <si>
    <t>Apoptosis; Cell adhesion; Cell cycle; Cell division; Cilium biogenesis/degradation; Transcription; Transcription regulation</t>
  </si>
  <si>
    <t>Cell junction; Cell projection; Cytoplasm; Cytoskeleton; Membrane; Nucleus</t>
  </si>
  <si>
    <t>apical junction assembly {GO:0043297}; apoptotic process {GO:0006915}; cell adhesion {GO:0007155}; cell cycle {GO:0007049}; cell division {GO:0051301}; cell projection organization {GO:0030030}; epithelial cell migration {GO:0010631}; intracellular signal transduction {GO:0035556}; peptidyl-serine phosphorylation {GO:0018105}; positive regulation of cytokinesis {GO:0032467}; positive regulation of mitotic cell cycle {GO:0045931}; positive regulation of viral genome replication {GO:0045070}; protein phosphorylation {GO:0006468}; regulation of cell motility {GO:2000145}</t>
  </si>
  <si>
    <t>apical junction complex {GO:0043296}; centrosome {GO:0005813}; cleavage furrow {GO:0032154}; cytoplasm {GO:0005737}; cytosol {GO:0005829}; intermediate filament cytoskeleton {GO:0045111}; lamellipodium {GO:0030027}; midbody {GO:0030496}; nuclear body {GO:0016604}; nucleoplasm {GO:0005654}; nucleus {GO:0005634}; perinuclear region of cytoplasm {GO:0048471}; plasma membrane {GO:0005886}; protein-containing complex {GO:0032991}</t>
  </si>
  <si>
    <t>ATP binding {GO:0005524}; calcium-dependent protein kinase C activity {GO:0004698}; histone deacetylase binding {GO:0042826}; kinase activity {GO:0016301}; protein serine kinase activity {GO:0106310}; protein serine/threonine kinase activity {GO:0004674}; RNA polymerase binding {GO:0070063}; small GTPase binding {GO:0031267}</t>
  </si>
  <si>
    <t>RHO GTPases activate PKNs {R-MMU-5625740}; RHOA GTPase cycle {R-MMU-8980692}; RHOB GTPase cycle {R-MMU-9013026}; RHOC GTPase cycle {R-MMU-9013106}; RAC1 GTPase cycle {R-MMU-9013149}</t>
  </si>
  <si>
    <t>sp|Q6NVF0|OCRL_MOUSE</t>
  </si>
  <si>
    <t>Inositol polyphosphate 5-phosphatase OCRL</t>
  </si>
  <si>
    <t>Inositol polyphosphate 5-phosphatase OCRL-1; Phosphatidylinositol 3,4,5-triphosphate 5-phosphatase</t>
  </si>
  <si>
    <t>OCRL_MOUSE</t>
  </si>
  <si>
    <t>Q6NVF0</t>
  </si>
  <si>
    <t>Q8BXC9</t>
  </si>
  <si>
    <t>MGI:109589</t>
  </si>
  <si>
    <t>Alternative splicing; Cell projection; Cilium; Cilium biogenesis/degradation; Coated pit; Cytoplasmic vesicle; Endosome; Golgi apparatus; Hydrolase; Lipid metabolism; Membrane</t>
  </si>
  <si>
    <t>Cilium biogenesis/degradation; Lipid metabolism</t>
  </si>
  <si>
    <t>Cell projection; Cilium; Coated pit; Cytoplasmic vesicle; Endosome; Golgi apparatus; Membrane</t>
  </si>
  <si>
    <t>cilium assembly {GO:0060271}; in utero embryonic development {GO:0001701}; inositol phosphate dephosphorylation {GO:0046855}; phosphatidylinositol dephosphorylation {GO:0046856}; regulation of GTPase activity {GO:0043087}; signal transduction {GO:0007165}</t>
  </si>
  <si>
    <t>clathrin-coated pit {GO:0005905}; clathrin-coated vesicle {GO:0030136}; cytoplasm {GO:0005737}; early endosome {GO:0005769}; early endosome membrane {GO:0031901}; Golgi apparatus {GO:0005794}; membrane {GO:0016020}; nucleus {GO:0005634}; phagocytic vesicle membrane {GO:0030670}; photoreceptor outer segment {GO:0001750}; plasma membrane {GO:0005886}; trans-Golgi network {GO:0005802}</t>
  </si>
  <si>
    <t>GTPase activator activity {GO:0005096}; inositol phosphate phosphatase activity {GO:0052745}; inositol-1,3,4,5-tetrakisphosphate 5-phosphatase activity {GO:0052659}; inositol-1,4,5-trisphosphate 5-phosphatase activity {GO:0052658}; inositol-polyphosphate 5-phosphatase activity {GO:0004445}; phosphatidylinositol-3,4,5-trisphosphate 5-phosphatase activity {GO:0034485}; phosphatidylinositol-4,5-bisphosphate 5-phosphatase activity {GO:0004439}; small GTPase binding {GO:0031267}</t>
  </si>
  <si>
    <t>Synthesis of PIPs at the plasma membrane {R-MMU-1660499}; Synthesis of PIPs at the Golgi membrane {R-MMU-1660514}; Synthesis of IP2, IP, and Ins in the cytosol {R-MMU-1855183}; Synthesis of IP3 and IP4 in the cytosol {R-MMU-1855204}; Golgi Associated Vesicle Biogenesis {R-MMU-432722}; Clathrin-mediated endocytosis {R-MMU-8856828}; RHOJ GTPase cycle {R-MMU-9013409}; RAC3 GTPase cycle {R-MMU-9013423}</t>
  </si>
  <si>
    <t>tr|Q91UZ1|Q91UZ1_MOUSE</t>
  </si>
  <si>
    <t>sp|Q9JJH1|RNAS4_MOUSE</t>
  </si>
  <si>
    <t>Ribonuclease 4 (RNase 4)</t>
  </si>
  <si>
    <t>RNAS4_MOUSE</t>
  </si>
  <si>
    <t>Q9JJH1</t>
  </si>
  <si>
    <t>MGI:1926217</t>
  </si>
  <si>
    <t>Disulfide bond; Endonuclease; Hydrolase; Nuclease; Pyrrolidone carboxylic acid; Secreted; Signal</t>
  </si>
  <si>
    <t>cellular response to starvation {GO:0009267}; defense response to Gram-positive bacterium {GO:0050830}; RNA phosphodiester bond hydrolysis {GO:0090501}</t>
  </si>
  <si>
    <t>endonuclease activity {GO:0004519}; nucleic acid binding {GO:0003676}; ribonuclease activity {GO:0004540}</t>
  </si>
  <si>
    <t>sp|Q8CFE4|SCYL2_MOUSE</t>
  </si>
  <si>
    <t>SCY1-like protein 2</t>
  </si>
  <si>
    <t>Coated vesicle-associated kinase of 104 kDa</t>
  </si>
  <si>
    <t>SCYL2_MOUSE</t>
  </si>
  <si>
    <t>Q8CFE4</t>
  </si>
  <si>
    <t>Q3UT57; Q3UWU9; Q8K0M4</t>
  </si>
  <si>
    <t>MGI:1289172</t>
  </si>
  <si>
    <t>Alternative splicing; Cytoplasmic vesicle; Endosome; Golgi apparatus; Membrane; Phosphoprotein</t>
  </si>
  <si>
    <t>brain development {GO:0007420}; endosome to lysosome transport {GO:0008333}; negative regulation of canonical Wnt signaling pathway {GO:0090090}; positive regulation of clathrin-dependent endocytosis {GO:2000370}; positive regulation of receptor internalization {GO:0002092}; protein phosphorylation {GO:0006468}; pyramidal neuron development {GO:0021860}; receptor internalization involved in canonical Wnt signaling pathway {GO:2000286}</t>
  </si>
  <si>
    <t>clathrin-coated vesicle {GO:0030136}; endosome membrane {GO:0010008}; Golgi apparatus {GO:0005794}</t>
  </si>
  <si>
    <t>ATP binding {GO:0005524}; protein kinase activity {GO:0004672}; signaling receptor binding {GO:0005102}</t>
  </si>
  <si>
    <t>sp|Q9WTU0|PHF2_MOUSE</t>
  </si>
  <si>
    <t>Lysine-specific demethylase PHF2</t>
  </si>
  <si>
    <t>GRC5; PHD finger protein 2</t>
  </si>
  <si>
    <t>PHF2_MOUSE</t>
  </si>
  <si>
    <t>Q9WTU0</t>
  </si>
  <si>
    <t>Q6A023; Q80WA8</t>
  </si>
  <si>
    <t>Kiaa0662</t>
  </si>
  <si>
    <t>MGI:1338034</t>
  </si>
  <si>
    <t>Acetylation; Activator; Centromere; Chromatin regulator; Chromosome; Dioxygenase; Iron; Isopeptide bond; Kinetochore; Metal-binding; Nucleus; Oxidoreductase; Phosphoprotein; Transcription; Transcription regulation; Ubl conjugation; Zinc; Zinc-finger</t>
  </si>
  <si>
    <t>Activator; Chromatin regulator; Dioxygenase; Oxidoreductase</t>
  </si>
  <si>
    <t>epigenetic maintenance of chromatin in transcription-competent conformation {GO:0045815}; histone H3-K9 demethylation {GO:0033169}; histone H4-K20 demethylation {GO:0035574}; negative regulation of ribosomal DNA heterochromatin assembly {GO:0061188}; protein demethylation {GO:0006482}; regulation of transcription by RNA polymerase II {GO:0006357}</t>
  </si>
  <si>
    <t>kinetochore {GO:0000776}; nucleolus {GO:0005730}; nucleoplasm {GO:0005654}</t>
  </si>
  <si>
    <t>histone demethylase activity {GO:0032452}; histone H3-methyl-lysine-9 demethylase activity {GO:0032454}; histone H4-methyl-lysine-20 demethylase activity {GO:0035575}; iron ion binding {GO:0005506}; methylated histone binding {GO:0035064}; transcription coactivator activity {GO:0003713}; transcription coregulator activity {GO:0003712}; zinc ion binding {GO:0008270}</t>
  </si>
  <si>
    <t>sp|Q8BW70|UBP38_MOUSE</t>
  </si>
  <si>
    <t>Ubiquitin carboxyl-terminal hydrolase 38</t>
  </si>
  <si>
    <t>Deubiquitinating enzyme 38; Ubiquitin thioesterase 38; Ubiquitin-specific-processing protease 38</t>
  </si>
  <si>
    <t>UBP38_MOUSE</t>
  </si>
  <si>
    <t>Q8BW70</t>
  </si>
  <si>
    <t>Q8BWL1; Q8BX03</t>
  </si>
  <si>
    <t>MGI:1922091</t>
  </si>
  <si>
    <t>Hydrolase; Protease; Thiol protease; Ubl conjugation pathway</t>
  </si>
  <si>
    <t>sp|Q9EQQ0|SUV92_MOUSE</t>
  </si>
  <si>
    <t>Histone-lysine N-methyltransferase SUV39H2</t>
  </si>
  <si>
    <t>Histone H3-K9 methyltransferase 2 (H3-K9-HMTase 2); Suppressor of variegation 3-9 homolog 2 (Su(var)3-9 homolog 2)</t>
  </si>
  <si>
    <t>SUV92_MOUSE</t>
  </si>
  <si>
    <t>Q9EQQ0</t>
  </si>
  <si>
    <t>Q8BNK2; Q9CUK3; Q9JLP7</t>
  </si>
  <si>
    <t>MGI:1890396</t>
  </si>
  <si>
    <t>Biological rhythms; Cell cycle; Centromere; Chromatin regulator; Chromosome; Differentiation; Metal-binding; Methyltransferase; Nucleus; Phosphoprotein; Repressor; S-adenosyl-L-methionine; Transcription; Transcription regulation; Transferase; Zinc</t>
  </si>
  <si>
    <t>Biological rhythms; Cell cycle; Differentiation; Transcription; Transcription regulation</t>
  </si>
  <si>
    <t>cell differentiation {GO:0030154}; cellular response to hypoxia {GO:0071456}; chromatin organization {GO:0006325}; chromatin remodeling {GO:0006338}; histone H3-K9 dimethylation {GO:0036123}; histone H3-K9 methylation {GO:0051567}; histone H3-K9 trimethylation {GO:0036124}; histone lysine methylation {GO:0034968}; male meiotic nuclear division {GO:0007140}; negative regulation of circadian rhythm {GO:0042754}; negative regulation of DNA-templated transcription {GO:0045892}; negative regulation of transcription by RNA polymerase II {GO:0000122}; rhythmic process {GO:0048511}</t>
  </si>
  <si>
    <t>chromatin {GO:0000785}; chromosome, centromeric region {GO:0000775}; heterochromatin {GO:0000792}; nucleus {GO:0005634}</t>
  </si>
  <si>
    <t>chromatin binding {GO:0003682}; histone methyltransferase activity (H3-K9 specific) {GO:0046974}; histone-lysine N-methyltransferase activity {GO:0018024}; methyltransferase activity {GO:0008168}; protein methyltransferase activity {GO:0008276}; RNA polymerase II transcription regulatory region sequence-specific DNA binding {GO:0000977}; S-adenosyl-L-methionine binding {GO:1904047}; transcription cis-regulatory region binding {GO:0000976}; zinc ion binding {GO:0008270}</t>
  </si>
  <si>
    <t>sp|Q9D8N2|DEN10_MOUSE</t>
  </si>
  <si>
    <t>DENN domain-containing protein 10</t>
  </si>
  <si>
    <t>Protein FAM45A</t>
  </si>
  <si>
    <t>DEN10_MOUSE</t>
  </si>
  <si>
    <t>Q9D8N2</t>
  </si>
  <si>
    <t>Q3UL11; Q91WS5</t>
  </si>
  <si>
    <t>MGI:1915144</t>
  </si>
  <si>
    <t>Endosome; Guanine-nucleotide releasing factor</t>
  </si>
  <si>
    <t>endosome transport via multivesicular body sorting pathway {GO:0032509}; protein transport {GO:0015031}; regulation of early endosome to late endosome transport {GO:2000641}</t>
  </si>
  <si>
    <t>late endosome {GO:0005770}</t>
  </si>
  <si>
    <t>sp|Q8BH65|DEN6A_MOUSE</t>
  </si>
  <si>
    <t>Protein DENND6A</t>
  </si>
  <si>
    <t>DENN domain-containing protein 6A</t>
  </si>
  <si>
    <t>DEN6A_MOUSE</t>
  </si>
  <si>
    <t>Q8BH65</t>
  </si>
  <si>
    <t>Q3UX21; Q6KAP4; Q8BSG0; Q8C4Z7; Q8K2E8; Q8R136</t>
  </si>
  <si>
    <t>MGI:2442980</t>
  </si>
  <si>
    <t>Alternative splicing; Cytoplasm; Endosome; Guanine-nucleotide releasing factor; Methylation; Phosphoprotein</t>
  </si>
  <si>
    <t>positive regulation of cell-cell adhesion mediated by cadherin {GO:2000049}</t>
  </si>
  <si>
    <t>cytoplasm {GO:0005737}; intracellular membrane-bounded organelle {GO:0043231}; recycling endosome {GO:0055037}</t>
  </si>
  <si>
    <t>sp|A2AA28|MET23_MOUSE</t>
  </si>
  <si>
    <t>Histone-arginine methyltransferase METTL23</t>
  </si>
  <si>
    <t>Methyltransferase-like protein 23</t>
  </si>
  <si>
    <t>MET23_MOUSE</t>
  </si>
  <si>
    <t>A2AA28</t>
  </si>
  <si>
    <t>Q8R2Z2; Q9D1J5</t>
  </si>
  <si>
    <t>MGI:1921569</t>
  </si>
  <si>
    <t>Chromatin regulator; Cytoplasm; Developmental protein; Methyltransferase; Nucleus; S-adenosyl-L-methionine; Transferase</t>
  </si>
  <si>
    <t>Chromatin regulator; Developmental protein; Methyltransferase; Transferase</t>
  </si>
  <si>
    <t>chromatin organization {GO:0006325}; chromatin reprogramming in the zygote {GO:0044725}; cognition {GO:0050890}; DNA demethylation of male pronucleus {GO:0044727}; histone H3-R17 methylation {GO:0034971}; positive regulation of transcription by RNA polymerase II {GO:0045944}</t>
  </si>
  <si>
    <t>cytoplasm {GO:0005737}; female pronucleus {GO:0001939}; male pronucleus {GO:0001940}; nucleus {GO:0005634}; protein-containing complex {GO:0032991}</t>
  </si>
  <si>
    <t>DNA-binding transcription factor binding {GO:0140297}; heat shock protein binding {GO:0031072}; histone methyltransferase activity (H3-R17 specific) {GO:0035642}; protein-arginine omega-N asymmetric methyltransferase activity {GO:0035242}</t>
  </si>
  <si>
    <t>sp|Q3TIR1|TPC13_MOUSE</t>
  </si>
  <si>
    <t>Trafficking protein particle complex subunit 13</t>
  </si>
  <si>
    <t>TPC13_MOUSE</t>
  </si>
  <si>
    <t>Q3TIR1</t>
  </si>
  <si>
    <t>Q3TQS3; Q3UE00; Q8BN93; Q8VDJ6; Q9CWW3; Q9CXV2</t>
  </si>
  <si>
    <t>MGI:1914225</t>
  </si>
  <si>
    <t>endoplasmic reticulum to Golgi vesicle-mediated transport {GO:0006888}; vesicle coating {GO:0006901}; vesicle tethering {GO:0099022}</t>
  </si>
  <si>
    <t>cytoplasm {GO:0005737}; TRAPPII protein complex {GO:1990071}; TRAPPIII protein complex {GO:1990072}</t>
  </si>
  <si>
    <t>sp|Q8VDQ9|KRI1_MOUSE</t>
  </si>
  <si>
    <t>Protein KRI1 homolog</t>
  </si>
  <si>
    <t>KRI1_MOUSE</t>
  </si>
  <si>
    <t>Q8VDQ9</t>
  </si>
  <si>
    <t>MGI:2384899</t>
  </si>
  <si>
    <t>endonucleolytic cleavage in ITS1 to separate SSU-rRNA from 5.8S rRNA and LSU-rRNA from tricistronic rRNA transcript (SSU-rRNA, 5.8S rRNA, LSU-rRNA) {GO:0000447}</t>
  </si>
  <si>
    <t>90S preribosome {GO:0030686}; nucleolus {GO:0005730}</t>
  </si>
  <si>
    <t>sp|Q8BGS0|MAK16_MOUSE</t>
  </si>
  <si>
    <t>Protein MAK16 homolog</t>
  </si>
  <si>
    <t>Protein RBM13</t>
  </si>
  <si>
    <t>MAK16_MOUSE</t>
  </si>
  <si>
    <t>Q8BGS0</t>
  </si>
  <si>
    <t>Q921E0; Q9D5G6</t>
  </si>
  <si>
    <t>Rbm13</t>
  </si>
  <si>
    <t>MGI:1915170</t>
  </si>
  <si>
    <t>Acetylation; Alternative splicing; Isopeptide bond; Nucleus; Phosphoprotein; Ubl conjugation</t>
  </si>
  <si>
    <t>intracellular membrane-bounded organelle {GO:0043231}; nucleolus {GO:0005730}; preribosome, large subunit precursor {GO:0030687}</t>
  </si>
  <si>
    <t>sp|Q65Z40|WAPL_MOUSE</t>
  </si>
  <si>
    <t>Wings apart-like protein homolog</t>
  </si>
  <si>
    <t>Dioxin-inducible factor 2 (DIF-2); WAPL cohesin release factor</t>
  </si>
  <si>
    <t>WAPL_MOUSE</t>
  </si>
  <si>
    <t>Q65Z40</t>
  </si>
  <si>
    <t>B9EIG8; Q6ZQE9</t>
  </si>
  <si>
    <t>Kiaa0261; Wapal</t>
  </si>
  <si>
    <t>MGI:2675859</t>
  </si>
  <si>
    <t>Acetylation; Cell cycle; Cell division; Chromosome; Coiled coil; Cytoplasm; Mitosis; Nucleus; Phosphoprotein</t>
  </si>
  <si>
    <t>cell division {GO:0051301}; mitotic cell cycle {GO:0000278}; negative regulation of chromatin binding {GO:0035562}; negative regulation of DNA replication {GO:0008156}; negative regulation of sister chromatid cohesion {GO:0045875}; positive regulation of fibroblast proliferation {GO:0048146}; protein localization to chromatin {GO:0071168}; regulation of chromosome condensation {GO:0060623}; regulation of chromosome segregation {GO:0051983}; regulation of cohesin loading {GO:0071922}; response to toxic substance {GO:0009636}</t>
  </si>
  <si>
    <t>chromatin {GO:0000785}; cytoplasm {GO:0005737}; cytosol {GO:0005829}; intercellular bridge {GO:0045171}; intracellular membrane-bounded organelle {GO:0043231}; mitotic spindle {GO:0072686}; nucleoplasm {GO:0005654}; nucleus {GO:0005634}; synaptonemal complex {GO:0000795}</t>
  </si>
  <si>
    <t>sp|Q8VD65|PI3R4_MOUSE</t>
  </si>
  <si>
    <t>Phosphoinositide 3-kinase regulatory subunit 4 (PI3-kinase regulatory subunit 4)</t>
  </si>
  <si>
    <t>PI3R4_MOUSE</t>
  </si>
  <si>
    <t>Q8VD65</t>
  </si>
  <si>
    <t>Q56A65; Q8C948; Q8C9D7; Q9CVC5</t>
  </si>
  <si>
    <t>Vps15</t>
  </si>
  <si>
    <t>MGI:1922919</t>
  </si>
  <si>
    <t>ATP-binding; Cytoplasmic vesicle; Endosome; Kinase; Lipoprotein; Membrane; Myristate; Nucleotide-binding; Phosphoprotein; Repeat; Serine/threonine-protein kinase; Transferase; WD repeat</t>
  </si>
  <si>
    <t>Cytoplasmic vesicle; Endosome; Membrane</t>
  </si>
  <si>
    <t>autophagosome maturation {GO:0097352}; autophagy of peroxisome {GO:0030242}; cellular response to glucose starvation {GO:0042149}; early endosome to late endosome transport {GO:0045022}; late endosome to vacuole transport {GO:0045324}; macroautophagy {GO:0016236}; phosphatidylinositol-3-phosphate biosynthetic process {GO:0036092}; positive regulation of phosphatidylinositol 3-kinase activity {GO:0043552}; protein phosphorylation {GO:0006468}; protein targeting to lysosome {GO:0006622}; protein targeting to vacuole {GO:0006623}; receptor catabolic process {GO:0032801}; regulation of autophagy {GO:0010506}; regulation of cytokinesis {GO:0032465}; regulation of macroautophagy {GO:0016241}</t>
  </si>
  <si>
    <t>autophagosome {GO:0005776}; axoneme {GO:0005930}; cytosol {GO:0005829}; intracellular membrane-bounded organelle {GO:0043231}; late endosome {GO:0005770}; microtubule cytoskeleton {GO:0015630}; nucleus-vacuole junction {GO:0071561}; phosphatidylinositol 3-kinase complex, class III {GO:0035032}; phosphatidylinositol 3-kinase complex, class III, type I {GO:0034271}; phosphatidylinositol 3-kinase complex, class III, type II {GO:0034272}</t>
  </si>
  <si>
    <t>ATP binding {GO:0005524}; protein serine kinase activity {GO:0106310}; protein serine/threonine kinase activity {GO:0004674}</t>
  </si>
  <si>
    <t>sp|Q8CHE4|PHLP1_MOUSE</t>
  </si>
  <si>
    <t>PH domain leucine-rich repeat-containing protein phosphatase 1</t>
  </si>
  <si>
    <t>Pleckstrin homology domain-containing family E member 1 (PH domain-containing family E member 1); Suprachiasmatic nucleus circadian oscillatory protein</t>
  </si>
  <si>
    <t>PHLP1_MOUSE</t>
  </si>
  <si>
    <t>Q8CHE4</t>
  </si>
  <si>
    <t>Q6PCN0; Q8QZU8; Q8R5E5; Q99KL6</t>
  </si>
  <si>
    <t>Kiaa0606; Phlpp; Plekhe1; Scop</t>
  </si>
  <si>
    <t>MGI:2138327</t>
  </si>
  <si>
    <t>Acetylation; Alternative splicing; Apoptosis; Cytoplasm; Hydrolase; Leucine-rich repeat; Manganese; Membrane; Metal-binding; Nucleus; Phosphoprotein; Protein phosphatase; Repeat</t>
  </si>
  <si>
    <t>apoptotic process {GO:0006915}; entrainment of circadian clock {GO:0009649}; negative regulation of ERK1 and ERK2 cascade {GO:0070373}; negative regulation of protein kinase B signaling {GO:0051898}; negative regulation of protein kinase C signaling {GO:0090038}; positive regulation of protein kinase B signaling {GO:0051897}; positive regulation of protein kinase C signaling {GO:0090037}; protein dephosphorylation {GO:0006470}; regulation of apoptotic process {GO:0042981}; regulation of JNK cascade {GO:0046328}; regulation of MAPK cascade {GO:0043408}; regulation of p38MAPK cascade {GO:1900744}; regulation of protein phosphorylation {GO:0001932}; regulation of T cell anergy {GO:0002667}; signal transduction {GO:0007165}</t>
  </si>
  <si>
    <t>cytoplasm {GO:0005737}; intracellular membrane-bounded organelle {GO:0043231}; nuclear membrane {GO:0031965}; nucleoplasm {GO:0005654}; plasma membrane {GO:0005886}</t>
  </si>
  <si>
    <t>Negative regulation of the PI3K/AKT network {R-MMU-199418}</t>
  </si>
  <si>
    <t>tr|Q91XX3|Q91XX3_MOUSE</t>
  </si>
  <si>
    <t>tr|Q6NV99|Q6NV99_MOUSE</t>
  </si>
  <si>
    <t>sp|Q6A078|CE290_MOUSE</t>
  </si>
  <si>
    <t>Centrosomal protein of 290 kDa (Cep290)</t>
  </si>
  <si>
    <t>Bardet-Biedl syndrome 14 protein homolog; Nephrocystin-6</t>
  </si>
  <si>
    <t>CE290_MOUSE</t>
  </si>
  <si>
    <t>Q6A078</t>
  </si>
  <si>
    <t>Q8BIB8</t>
  </si>
  <si>
    <t>MGI:2384917</t>
  </si>
  <si>
    <t>Activator; Alternative splicing; Cell projection; Cilium; Cilium biogenesis/degradation; Coiled coil; Cytoplasm; Cytoplasmic vesicle; Cytoskeleton; Nucleus; Protein transport; Transcription; Transcription regulation; Transport; Ubl conjugation</t>
  </si>
  <si>
    <t>Cilium biogenesis/degradation; Protein transport; Transcription; Transcription regulation; Transport</t>
  </si>
  <si>
    <t>Cell projection; Cilium; Cytoplasm; Cytoplasmic vesicle; Cytoskeleton; Nucleus</t>
  </si>
  <si>
    <t>camera-type eye development {GO:0043010}; ciliary basal body-plasma membrane docking {GO:0097711}; ciliary transition zone assembly {GO:1905349}; cilium assembly {GO:0060271}; determination of left/right symmetry {GO:0007368}; establishment or maintenance of cell polarity {GO:0007163}; eye photoreceptor cell development {GO:0042462}; heart development {GO:0007507}; hindbrain development {GO:0030902}; kidney development {GO:0001822}; microtubule cytoskeleton organization {GO:0000226}; non-motile cilium assembly {GO:1905515}; otic vesicle formation {GO:0030916}; photoreceptor cell maintenance {GO:0045494}; positive regulation of DNA-templated transcription {GO:0045893}; positive regulation of intracellular protein transport {GO:0090316}; pronephros development {GO:0048793}; protein transport {GO:0015031}; regulation of establishment of protein localization {GO:0070201}; retina development in camera-type eye {GO:0060041}</t>
  </si>
  <si>
    <t>centriolar satellite {GO:0034451}; centriole {GO:0005814}; centrosome {GO:0005813}; ciliary basal body {GO:0036064}; ciliary transition zone {GO:0035869}; cytoplasm {GO:0005737}; cytoplasmic vesicle {GO:0031410}; cytosol {GO:0005829}; MKS complex {GO:0036038}; nucleus {GO:0005634}; photoreceptor connecting cilium {GO:0032391}; photoreceptor distal connecting cilium {GO:0120206}; photoreceptor outer segment {GO:0001750}; photoreceptor proximal connecting cilium {GO:0120205}; protein-containing complex {GO:0032991}; rod photoreceptor outer segment {GO:0120200}</t>
  </si>
  <si>
    <t>sp|Q9EP89|LACTB_MOUSE</t>
  </si>
  <si>
    <t>Serine beta-lactamase-like protein LACTB, mitochondrial</t>
  </si>
  <si>
    <t>LACTB_MOUSE</t>
  </si>
  <si>
    <t>Q9EP89</t>
  </si>
  <si>
    <t>Lact1</t>
  </si>
  <si>
    <t>MGI:1933395</t>
  </si>
  <si>
    <t>Acetylation; Hydrolase; Lipid metabolism; Mitochondrion; Protease; Transit peptide; Tumor suppressor</t>
  </si>
  <si>
    <t>lipid metabolic process {GO:0006629}; proteolysis {GO:0006508}; regulation of lipid metabolic process {GO:0019216}</t>
  </si>
  <si>
    <t>identical protein binding {GO:0042802}; peptidase activity {GO:0008233}</t>
  </si>
  <si>
    <t>sp|Q80UG2|PLXA4_MOUSE</t>
  </si>
  <si>
    <t>Plexin-A4</t>
  </si>
  <si>
    <t>PLXA4_MOUSE</t>
  </si>
  <si>
    <t>Q80UG2</t>
  </si>
  <si>
    <t>E9QN64; Q5DTW8; Q8BKK9</t>
  </si>
  <si>
    <t>Kiaa1550</t>
  </si>
  <si>
    <t>MGI:2179061</t>
  </si>
  <si>
    <t>3D-structure; Acetylation; Cell membrane; Disulfide bond; Glycoprotein; Membrane; Receptor; Repeat; Signal; Transmembrane; Transmembrane helix</t>
  </si>
  <si>
    <t>anterior commissure morphogenesis {GO:0021960}; axon guidance {GO:0007411}; branchiomotor neuron axon guidance {GO:0021785}; chemorepulsion of branchiomotor axon {GO:0021793}; cranial nerve morphogenesis {GO:0021602}; embryonic heart tube development {GO:0035050}; facial nerve morphogenesis {GO:0021610}; facial nerve structural organization {GO:0021612}; glossopharyngeal nerve morphogenesis {GO:0021615}; motor neuron axon guidance {GO:0008045}; negative regulation of cell adhesion {GO:0007162}; nervous system development {GO:0007399}; neuron projection morphogenesis {GO:0048812}; positive regulation of axonogenesis {GO:0050772}; postganglionic parasympathetic fiber development {GO:0021784}; regulation of axon extension involved in axon guidance {GO:0048841}; regulation of cell migration {GO:0030334}; regulation of cell shape {GO:0008360}; regulation of GTPase activity {GO:0043087}; regulation of negative chemotaxis {GO:0050923}; semaphorin-plexin signaling pathway {GO:0071526}; semaphorin-plexin signaling pathway involved in axon guidance {GO:1902287}; sympathetic nervous system development {GO:0048485}; sympathetic neuron axon guidance {GO:0097492}; trigeminal nerve morphogenesis {GO:0021636}; trigeminal nerve structural organization {GO:0021637}; vagus nerve morphogenesis {GO:0021644}</t>
  </si>
  <si>
    <t>integral component of plasma membrane {GO:0005887}; plasma membrane {GO:0005886}; semaphorin receptor complex {GO:0002116}</t>
  </si>
  <si>
    <t>Sema3A PAK dependent Axon repulsion {R-MMU-399954}; SEMA3A-Plexin repulsion signaling by inhibiting Integrin adhesion {R-MMU-399955}; CRMPs in Sema3A signaling {R-MMU-399956}</t>
  </si>
  <si>
    <t>sp|Q62559|IFT52_MOUSE</t>
  </si>
  <si>
    <t>Intraflagellar transport protein 52 homolog</t>
  </si>
  <si>
    <t>Protein NGD5</t>
  </si>
  <si>
    <t>IFT52_MOUSE</t>
  </si>
  <si>
    <t>Q62559</t>
  </si>
  <si>
    <t>Q3TK21; Q8BTX3; Q8CI16</t>
  </si>
  <si>
    <t>Ngd5</t>
  </si>
  <si>
    <t>MGI:2387217</t>
  </si>
  <si>
    <t>3D-structure; Cell projection; Cilium; Cilium biogenesis/degradation</t>
  </si>
  <si>
    <t>cilium assembly {GO:0060271}; determination of left/right symmetry {GO:0007368}; dorsal/ventral pattern formation {GO:0009953}; embryonic digit morphogenesis {GO:0042733}; heart looping {GO:0001947}; intraciliary anterograde transport {GO:0035720}; intraciliary transport {GO:0042073}; keratinocyte proliferation {GO:0043616}; negative regulation of keratinocyte proliferation {GO:0010839}; neural tube formation {GO:0001841}; non-motile cilium assembly {GO:1905515}; regulation of protein processing {GO:0070613}; smoothened signaling pathway {GO:0007224}</t>
  </si>
  <si>
    <t>centriole {GO:0005814}; centrosome {GO:0005813}; ciliary basal body {GO:0036064}; ciliary base {GO:0097546}; ciliary tip {GO:0097542}; cilium {GO:0005929}; dendrite terminus {GO:0044292}; intraciliary transport particle B {GO:0030992}; photoreceptor cell cilium {GO:0097733}; photoreceptor connecting cilium {GO:0032391}</t>
  </si>
  <si>
    <t>sp|Q8K3W3|CASC3_MOUSE</t>
  </si>
  <si>
    <t>Protein CASC3</t>
  </si>
  <si>
    <t>Cancer susceptibility candidate gene 3 protein homolog; Metastatic lymph node gene 51 protein homolog (MLN 51 homolog); Protein barentsz (Btz; mBtz)</t>
  </si>
  <si>
    <t>CASC3_MOUSE</t>
  </si>
  <si>
    <t>Q8K3W3</t>
  </si>
  <si>
    <t>A3KFP7; Q3UT99; Q8K219; Q99NF0</t>
  </si>
  <si>
    <t>Mln51</t>
  </si>
  <si>
    <t>MGI:2179723</t>
  </si>
  <si>
    <t>ADP-ribosylation; Cell projection; Coiled coil; Cytoplasm; mRNA processing; mRNA splicing; mRNA transport; Nonsense-mediated mRNA decay; Nucleus; Phosphoprotein; RNA-binding; Spliceosome; Stress response; Translation regulation; Transport; Ubl conjugation</t>
  </si>
  <si>
    <t>Nonsense-mediated mRNA decay; Stress response; Translation regulation; Transport; mRNA processing; mRNA splicing; mRNA transport</t>
  </si>
  <si>
    <t>ADP-ribosylation; Phosphoprotein; Ubl conjugation</t>
  </si>
  <si>
    <t>intracellular mRNA localization {GO:0008298}; mRNA export from nucleus {GO:0006406}; mRNA splicing, via spliceosome {GO:0000398}; nuclear-transcribed mRNA catabolic process, nonsense-mediated decay {GO:0000184}; regulation of nuclear-transcribed mRNA catabolic process, nonsense-mediated decay {GO:2000622}; regulation of translation {GO:0006417}</t>
  </si>
  <si>
    <t>cytoplasm {GO:0005737}; cytoplasmic stress granule {GO:0010494}; dendrite {GO:0030425}; exon-exon junction complex {GO:0035145}; nuclear membrane {GO:0031965}; nuclear speck {GO:0016607}; nucleus {GO:0005634}; perinuclear region of cytoplasm {GO:0048471}; ribonucleoprotein complex {GO:1990904}; U2-type catalytic step 1 spliceosome {GO:0071006}</t>
  </si>
  <si>
    <t>enzyme binding {GO:0019899}; identical protein binding {GO:0042802}; mRNA binding {GO:0003729}; ubiquitin protein ligase binding {GO:0031625}</t>
  </si>
  <si>
    <t>Transport of Mature mRNA derived from an Intron-Containing Transcript {R-MMU-159236}; mRNA 3'-end processing {R-MMU-72187}; RNA Polymerase II Transcription Termination {R-MMU-73856}; Nonsense Mediated Decay (NMD) enhanced by the Exon Junction Complex (EJC) {R-MMU-975957}</t>
  </si>
  <si>
    <t>sp|Q80TE4|SI1L2_MOUSE</t>
  </si>
  <si>
    <t>Signal-induced proliferation-associated 1-like protein 2 (SIPA1-like protein 2)</t>
  </si>
  <si>
    <t>SI1L2_MOUSE</t>
  </si>
  <si>
    <t>Q80TE4</t>
  </si>
  <si>
    <t>E9QPK7; Q6PDY1</t>
  </si>
  <si>
    <t>Kiaa0545</t>
  </si>
  <si>
    <t>MGI:2676970</t>
  </si>
  <si>
    <t>Alternative splicing; Coiled coil; GTPase activation; Phosphoprotein</t>
  </si>
  <si>
    <t>activation of GTPase activity {GO:0090630}; regulation of small GTPase mediated signal transduction {GO:0051056}</t>
  </si>
  <si>
    <t>sp|Q9R0M0|CELR2_MOUSE</t>
  </si>
  <si>
    <t>Cadherin EGF LAG seven-pass G-type receptor 2</t>
  </si>
  <si>
    <t>Flamingo homolog</t>
  </si>
  <si>
    <t>CELR2_MOUSE</t>
  </si>
  <si>
    <t>Q9R0M0</t>
  </si>
  <si>
    <t>A2AEE7; Q99K26; Q9Z2R4</t>
  </si>
  <si>
    <t>MGI:1858235</t>
  </si>
  <si>
    <t>Alternative splicing; Calcium; Cell membrane; Developmental protein; Disulfide bond; EGF-like domain; G-protein coupled receptor; Glycoprotein; Hydroxylation; Laminin EGF-like domain; Membrane; Receptor; Repeat; Signal; Transducer; Transmembrane; Transmembrane helix</t>
  </si>
  <si>
    <t>EGF-like domain; Laminin EGF-like domain; Repeat; Signal; Transmembrane; Transmembrane helix</t>
  </si>
  <si>
    <t>Developmental protein; G-protein coupled receptor; Receptor; Transducer</t>
  </si>
  <si>
    <t>cell-cell adhesion {GO:0098609}; cerebrospinal fluid secretion {GO:0033326}; cilium assembly {GO:0060271}; cilium movement {GO:0003341}; dendrite morphogenesis {GO:0048813}; homophilic cell adhesion via plasma membrane adhesion molecules {GO:0007156}; motor neuron migration {GO:0097475}; neural plate anterior/posterior regionalization {GO:0021999}; regulation of cell-cell adhesion {GO:0022407}; regulation of DNA-templated transcription {GO:0006355}; regulation of protein localization {GO:0032880}; ventricular system development {GO:0021591}; Wnt signaling pathway {GO:0016055}</t>
  </si>
  <si>
    <t>cytoplasm {GO:0005737}; integral component of membrane {GO:0016021}; plasma membrane {GO:0005886}</t>
  </si>
  <si>
    <t>calcium ion binding {GO:0005509}; G protein-coupled receptor activity {GO:0004930}</t>
  </si>
  <si>
    <t>sp|Q9CX66|NOPC1_MOUSE</t>
  </si>
  <si>
    <t>NOP protein chaperone 1</t>
  </si>
  <si>
    <t>NOPC1_MOUSE</t>
  </si>
  <si>
    <t>Q9CX66</t>
  </si>
  <si>
    <t>Q3TS58; Q3TV68</t>
  </si>
  <si>
    <t>MGI:106381</t>
  </si>
  <si>
    <t>Chaperone; Nucleus; Phosphoprotein</t>
  </si>
  <si>
    <t>box C/D snoRNP assembly {GO:0000492}</t>
  </si>
  <si>
    <t>box C/D snoRNP complex binding {GO:0062064}</t>
  </si>
  <si>
    <t>sp|Q9JKX4|AATF_MOUSE</t>
  </si>
  <si>
    <t>Protein AATF</t>
  </si>
  <si>
    <t>Apoptosis-antagonizing transcription factor; Rb-binding protein Che-1; Traube protein</t>
  </si>
  <si>
    <t>AATF_MOUSE</t>
  </si>
  <si>
    <t>Q9JKX4</t>
  </si>
  <si>
    <t>Q7TQN1; Q8C5Q2; Q99P89</t>
  </si>
  <si>
    <t>Che1; Trb</t>
  </si>
  <si>
    <t>MGI:1929608</t>
  </si>
  <si>
    <t>Acetylation; Alternative splicing; Nucleus; Phosphoprotein</t>
  </si>
  <si>
    <t>cell adhesion {GO:0007155}; cellular response to DNA damage stimulus {GO:0006974}; embryonic cleavage {GO:0040016}; negative regulation of amyloid precursor protein biosynthetic process {GO:0042985}; negative regulation of apoptotic process {GO:0043066}; negative regulation of apoptotic signaling pathway {GO:2001234}; negative regulation of reactive oxygen species metabolic process {GO:2000378}; negative regulation of superoxide anion generation {GO:0032929}; positive regulation of DNA-templated transcription {GO:0045893}; positive regulation of transcription by RNA polymerase II {GO:0045944}; regulation of mitotic cell cycle {GO:0007346}; regulation of transcription by RNA polymerase II {GO:0006357}; ribosome biogenesis {GO:0042254}</t>
  </si>
  <si>
    <t>cytoplasm {GO:0005737}; cytosol {GO:0005829}; Golgi apparatus {GO:0005794}; nucleolus {GO:0005730}; nucleoplasm {GO:0005654}; nucleus {GO:0005634}; transcription regulator complex {GO:0005667}</t>
  </si>
  <si>
    <t>leucine zipper domain binding {GO:0043522}; protein kinase binding {GO:0019901}; tau protein binding {GO:0048156}</t>
  </si>
  <si>
    <t>sp|Q9CYK2|QPCT_MOUSE</t>
  </si>
  <si>
    <t>Glutaminyl-peptide cyclotransferase</t>
  </si>
  <si>
    <t>Glutaminyl cyclase (QC); Glutaminyl-tRNA cyclotransferase</t>
  </si>
  <si>
    <t>QPCT_MOUSE</t>
  </si>
  <si>
    <t>Q9CYK2</t>
  </si>
  <si>
    <t>Q8BH20; Q8VE07</t>
  </si>
  <si>
    <t>MGI:1917786</t>
  </si>
  <si>
    <t>3D-structure; Acyltransferase; Alternative splicing; Disulfide bond; Glycoprotein; Metal-binding; Secreted; Signal; Transferase; Zinc</t>
  </si>
  <si>
    <t>peptidyl-pyroglutamic acid biosynthetic process, using glutaminyl-peptide cyclotransferase {GO:0017186}</t>
  </si>
  <si>
    <t>glutaminyl-peptide cyclotransferase activity {GO:0016603}; zinc ion binding {GO:0008270}</t>
  </si>
  <si>
    <t>sp|Q8CFE2|HPF1_MOUSE</t>
  </si>
  <si>
    <t>Histone PARylation factor 1</t>
  </si>
  <si>
    <t>HPF1_MOUSE</t>
  </si>
  <si>
    <t>Q8CFE2</t>
  </si>
  <si>
    <t>MGI:1919862</t>
  </si>
  <si>
    <t>3D-structure; Acetylation; ADP-ribosylation; Chromosome; DNA damage; DNA repair; Nucleus</t>
  </si>
  <si>
    <t>ADP-ribosylation; Acetylation</t>
  </si>
  <si>
    <t>cellular response to DNA damage stimulus {GO:0006974}; double-strand break repair {GO:0006302}; peptidyl-serine ADP-ribosylation {GO:0018312}; regulation of histone modification {GO:0031056}; regulation of protein ADP-ribosylation {GO:0010835}</t>
  </si>
  <si>
    <t>chromatin {GO:0000785}; nucleus {GO:0005634}; site of DNA damage {GO:0090734}</t>
  </si>
  <si>
    <t>chromatin binding {GO:0003682}; histone binding {GO:0042393}; poly-ADP-D-ribose binding {GO:0072572}; protein ADP-ribosyltransferase-substrate adaptor activity {GO:0140768}</t>
  </si>
  <si>
    <t>sp|Q8C863|ITCH_MOUSE</t>
  </si>
  <si>
    <t>E3 ubiquitin-protein ligase Itchy</t>
  </si>
  <si>
    <t>HECT-type E3 ubiquitin transferase Itchy homolog</t>
  </si>
  <si>
    <t>ITCH_MOUSE</t>
  </si>
  <si>
    <t>Q8C863</t>
  </si>
  <si>
    <t>O54971</t>
  </si>
  <si>
    <t>MGI:1202301</t>
  </si>
  <si>
    <t>3D-structure; Acetylation; Alternative splicing; Antiviral defense; Apoptosis; Cell membrane; Cytoplasm; Endosome; Immunity; Innate immunity; Membrane; Nucleus; Phosphoprotein; Repeat; Transferase; Ubl conjugation; Ubl conjugation pathway</t>
  </si>
  <si>
    <t>Antiviral defense; Apoptosis; Immunity; Innate immunity; Ubl conjugation pathway</t>
  </si>
  <si>
    <t>apoptotic process {GO:0006915}; CD4-positive, alpha-beta T cell proliferation {GO:0035739}; defense response to virus {GO:0051607}; innate immune response {GO:0045087}; negative regulation of apoptotic process {GO:0043066}; negative regulation of CD4-positive, alpha-beta T cell proliferation {GO:2000562}; negative regulation of defense response to virus {GO:0050687}; negative regulation of JNK cascade {GO:0046329}; negative regulation of NF-kappaB transcription factor activity {GO:0032088}; positive regulation of protein catabolic process {GO:0045732}; positive regulation of receptor catabolic process {GO:2000646}; positive regulation of T cell anergy {GO:0002669}; proteasome-mediated ubiquitin-dependent protein catabolic process {GO:0043161}; protein autoubiquitination {GO:0051865}; protein catabolic process {GO:0030163}; protein K29-linked ubiquitination {GO:0035519}; protein K48-linked ubiquitination {GO:0070936}; protein K63-linked ubiquitination {GO:0070534}; protein polyubiquitination {GO:0000209}; protein ubiquitination {GO:0016567}; regulation of protein deubiquitination {GO:0090085}; T cell anergy {GO:0002870}; ubiquitin-dependent protein catabolic process {GO:0006511}</t>
  </si>
  <si>
    <t>cell cortex {GO:0005938}; cytoplasm {GO:0005737}; cytoplasmic vesicle {GO:0031410}; cytosol {GO:0005829}; early endosome {GO:0005769}; early endosome membrane {GO:0031901}; intracellular membrane-bounded organelle {GO:0043231}; membrane {GO:0016020}; nucleoplasm {GO:0005654}; nucleus {GO:0005634}; plasma membrane {GO:0005886}; protein-containing complex {GO:0032991}; ubiquitin ligase complex {GO:0000151}</t>
  </si>
  <si>
    <t>arrestin family protein binding {GO:1990763}; CXCR chemokine receptor binding {GO:0045236}; ligase activity {GO:0016874}; ribonucleoprotein complex binding {GO:0043021}; ubiquitin protein ligase activity {GO:0061630}; ubiquitin-like protein ligase binding {GO:0044389}; ubiquitin-protein transferase activity {GO:0004842}</t>
  </si>
  <si>
    <t xml:space="preserve">Protein modification; protein ubiquitination.  </t>
  </si>
  <si>
    <t>Downregulation of ERBB4 signaling {R-MMU-1253288}; NOD1/2 Signaling Pathway {R-MMU-168638}; Activated NOTCH1 Transmits Signal to the Nucleus {R-MMU-2122948}; Degradation of GLI1 by the proteasome {R-MMU-5610780}; Hedgehog 'on' state {R-MMU-5632684}; RUNX1 regulates transcription of genes involved in differentiation of HSCs {R-MMU-8939236}; Antigen processing: Ubiquitination &amp; Proteasome degradation {R-MMU-983168}</t>
  </si>
  <si>
    <t>sp|Q921J4|UBE2S_MOUSE</t>
  </si>
  <si>
    <t>Ubiquitin-conjugating enzyme E2 S</t>
  </si>
  <si>
    <t>E2 ubiquitin-conjugating enzyme S; Ubiquitin carrier protein S; Ubiquitin-conjugating enzyme E2-24 kDa; Ubiquitin-conjugating enzyme E2-EPF5; Ubiquitin-protein ligase S</t>
  </si>
  <si>
    <t>UBE2S_MOUSE</t>
  </si>
  <si>
    <t>Q921J4</t>
  </si>
  <si>
    <t>Q3U4V7; Q8CF67</t>
  </si>
  <si>
    <t>E2epf</t>
  </si>
  <si>
    <t>MGI:1925141</t>
  </si>
  <si>
    <t>Acetylation; ATP-binding; Cell cycle; Cell division; Nucleotide-binding; Phosphoprotein; Transferase; Ubl conjugation; Ubl conjugation pathway</t>
  </si>
  <si>
    <t>Cell cycle; Cell division; Ubl conjugation pathway</t>
  </si>
  <si>
    <t>anaphase-promoting complex-dependent catabolic process {GO:0031145}; cell division {GO:0051301}; exit from mitosis {GO:0010458}; free ubiquitin chain polymerization {GO:0010994}; positive regulation of ubiquitin protein ligase activity {GO:1904668}; protein K11-linked ubiquitination {GO:0070979}; protein K27-linked ubiquitination {GO:0044314}; protein K29-linked ubiquitination {GO:0035519}; protein K6-linked ubiquitination {GO:0085020}; protein K63-linked ubiquitination {GO:0070534}; protein polyubiquitination {GO:0000209}; ubiquitin-dependent protein catabolic process {GO:0006511}</t>
  </si>
  <si>
    <t>anaphase-promoting complex binding {GO:0010997}; ATP binding {GO:0005524}; ubiquitin conjugating enzyme activity {GO:0061631}; ubiquitin-protein transferase activity {GO:0004842}</t>
  </si>
  <si>
    <t>Inactivation of APC/C via direct inhibition of the APC/C complex {R-MMU-141430}; APC/C:Cdc20 mediated degradation of Cyclin B {R-MMU-174048}; Autodegradation of Cdh1 by Cdh1:APC/C {R-MMU-174084}; APC/C:Cdc20 mediated degradation of Securin {R-MMU-174154}; APC/C:Cdh1 mediated degradation of Cdc20 and other APC/C:Cdh1 targeted proteins in late mitosis/early G1 {R-MMU-174178}; Cdc20:Phospho-APC/C mediated degradation of Cyclin A {R-MMU-174184}; Conversion from APC/C:Cdc20 to APC/C:Cdh1 in late anaphase {R-MMU-176407}; Regulation of APC/C activators between G1/S and early anaphase {R-MMU-176408}; APC/C:Cdc20 mediated degradation of mitotic proteins {R-MMU-176409}; Phosphorylation of the APC/C {R-MMU-176412}; APC-Cdc20 mediated degradation of Nek2A {R-MMU-179409}; Separation of Sister Chromatids {R-MMU-2467813}; Senescence-Associated Secretory Phenotype (SASP) {R-MMU-2559582}; Assembly of the pre-replicative complex {R-MMU-68867}; CDK-mediated phosphorylation and removal of Cdc6 {R-MMU-69017}; Synthesis of active ubiquitin: roles of E1 and E2 enzymes {R-MMU-8866652}; Antigen processing: Ubiquitination &amp; Proteasome degradation {R-MMU-983168}</t>
  </si>
  <si>
    <t>sp|Q9CPZ8|COXM1_MOUSE</t>
  </si>
  <si>
    <t>COX assembly mitochondrial protein homolog (Cmc1p)</t>
  </si>
  <si>
    <t>COXM1_MOUSE</t>
  </si>
  <si>
    <t>Q9CPZ8</t>
  </si>
  <si>
    <t>Q6PH95; Q80ZR0</t>
  </si>
  <si>
    <t>MGI:1915149</t>
  </si>
  <si>
    <t>Acetylation; Copper; Disulfide bond; Metal-binding; Mitochondrion</t>
  </si>
  <si>
    <t>sp|Q8VE65|TAF12_MOUSE</t>
  </si>
  <si>
    <t>Transcription initiation factor TFIID subunit 12</t>
  </si>
  <si>
    <t>Transcription initiation factor TFIID 20 kDa subunits (TAFII-20; TAFII20)</t>
  </si>
  <si>
    <t>TAF12_MOUSE</t>
  </si>
  <si>
    <t>Q8VE65</t>
  </si>
  <si>
    <t>Q3V0S7; Q9CZ11; Q9D8Q0</t>
  </si>
  <si>
    <t>MGI:1913714</t>
  </si>
  <si>
    <t>Isopeptide bond; Nucleus; Phosphoprotein; Transcription; Transcription regulation; Ubl conjugation</t>
  </si>
  <si>
    <t>DNA-templated transcription initiation {GO:0006352}; histone acetylation {GO:0016573}; histone H3 acetylation {GO:0043966}; monoubiquitinated histone deubiquitination {GO:0035521}; monoubiquitinated histone H2A deubiquitination {GO:0035522}; mRNA transcription by RNA polymerase II {GO:0042789}; positive regulation of DNA-binding transcription factor activity {GO:0051091}; positive regulation of DNA-templated transcription {GO:0045893}; positive regulation of transcription by RNA polymerase II {GO:0045944}; positive regulation of transcription initiation by RNA polymerase II {GO:0060261}; protein phosphorylation {GO:0006468}; regulation of DNA repair {GO:0006282}; regulation of DNA-templated transcription {GO:0006355}; regulation of RNA splicing {GO:0043484}; regulation of transcription by RNA polymerase II {GO:0006357}; RNA polymerase II preinitiation complex assembly {GO:0051123}; transcription initiation at RNA polymerase II promoter {GO:0006367}</t>
  </si>
  <si>
    <t>nucleus {GO:0005634}; SAGA complex {GO:0000124}; SLIK (SAGA-like) complex {GO:0046695}; transcription factor TFIID complex {GO:0005669}; transcription factor TFTC complex {GO:0033276}</t>
  </si>
  <si>
    <t>DNA binding {GO:0003677}; DNA-binding transcription factor binding {GO:0140297}; protein heterodimerization activity {GO:0046982}; RNA polymerase II general transcription initiation factor activity {GO:0016251}; TBP-class protein binding {GO:0017025}; transcription coactivator activity {GO:0003713}</t>
  </si>
  <si>
    <t>sp|Q8CCH2|NHLC3_MOUSE</t>
  </si>
  <si>
    <t>NHL repeat-containing protein 3</t>
  </si>
  <si>
    <t>NHLC3_MOUSE</t>
  </si>
  <si>
    <t>Q8CCH2</t>
  </si>
  <si>
    <t>Q8CDW5</t>
  </si>
  <si>
    <t>MGI:2444520</t>
  </si>
  <si>
    <t>Glycoprotein; Repeat; Signal</t>
  </si>
  <si>
    <t>proteasome-mediated ubiquitin-dependent protein catabolic process {GO:0043161}; protein polyubiquitination {GO:0000209}</t>
  </si>
  <si>
    <t>sp|Q60996|2A5G_MOUSE</t>
  </si>
  <si>
    <t>Serine/threonine-protein phosphatase 2A 56 kDa regulatory subunit gamma isoform</t>
  </si>
  <si>
    <t>PP2A B subunit isoform B'-alpha-3; PP2A B subunit isoform B'-gamma; PP2A B subunit isoform B56-gamma; PP2A B subunit isoform PR61-gamma; PP2A B subunit isoform R5-gamma</t>
  </si>
  <si>
    <t>2A5G_MOUSE</t>
  </si>
  <si>
    <t>Q60996</t>
  </si>
  <si>
    <t>O35708; Q6TQF7; Q99KW8; Q99N67; Q99N68</t>
  </si>
  <si>
    <t>MGI:1349475</t>
  </si>
  <si>
    <t>Acetylation; Alternative splicing; Centromere; Chromosome; Nucleus</t>
  </si>
  <si>
    <t>DNA damage response, signal transduction by p53 class mediator resulting in cell cycle arrest {GO:0006977}; intrinsic apoptotic signaling pathway in response to DNA damage by p53 class mediator {GO:0042771}; negative regulation of cell population proliferation {GO:0008285}; proteasome-mediated ubiquitin-dependent protein catabolic process {GO:0043161}; protein dephosphorylation {GO:0006470}</t>
  </si>
  <si>
    <t>chromosome, centromeric region {GO:0000775}; cytosol {GO:0005829}; Golgi apparatus {GO:0005794}; nucleoplasm {GO:0005654}; nucleus {GO:0005634}; protein phosphatase type 2A complex {GO:0000159}</t>
  </si>
  <si>
    <t>protein phosphatase activator activity {GO:0072542}; protein phosphatase regulator activity {GO:0019888}</t>
  </si>
  <si>
    <t>Amplification of signal from unattached kinetochores via a MAD2 inhibitory signal {R-MMU-141444}; Degradation of beta-catenin by the destruction complex {R-MMU-195253}; Beta-catenin phosphorylation cascade {R-MMU-196299}; Separation of Sister Chromatids {R-MMU-2467813}; Resolution of Sister Chromatid Cohesion {R-MMU-2500257}; CTLA4 inhibitory signaling {R-MMU-389513}; Platelet sensitization by LDL {R-MMU-432142}; Disassembly of the destruction complex and recruitment of AXIN to the membrane {R-MMU-4641262}; RHO GTPases Activate Formins {R-MMU-5663220}; RAF activation {R-MMU-5673000}; Negative regulation of MAPK pathway {R-MMU-5675221}; Regulation of TP53 Degradation {R-MMU-6804757}; PI5P, PP2A and IER3 Regulate PI3K/AKT Signaling {R-MMU-6811558}; Mitotic Prometaphase {R-MMU-68877}; EML4 and NUDC in mitotic spindle formation {R-MMU-9648025}</t>
  </si>
  <si>
    <t>sp|P43136|NR2F6_MOUSE</t>
  </si>
  <si>
    <t>Nuclear receptor subfamily 2 group F member 6</t>
  </si>
  <si>
    <t>COUP transcription factor 3 (COUP-TF3); V-erbA-related protein 2 (EAR-2)</t>
  </si>
  <si>
    <t>NR2F6_MOUSE</t>
  </si>
  <si>
    <t>P43136</t>
  </si>
  <si>
    <t>Q61504; Q922G8</t>
  </si>
  <si>
    <t>Ear-2; Ear2; Erbal2</t>
  </si>
  <si>
    <t>MGI:1352453</t>
  </si>
  <si>
    <t>DNA-binding; Metal-binding; Nucleus; Phosphoprotein; Receptor; Repressor; Transcription; Transcription regulation; Zinc; Zinc-finger</t>
  </si>
  <si>
    <t>DNA-binding; Receptor; Repressor</t>
  </si>
  <si>
    <t>anatomical structure development {GO:0048856}; cell differentiation {GO:0030154}; detection of temperature stimulus involved in sensory perception of pain {GO:0050965}; entrainment of circadian clock by photoperiod {GO:0043153}; negative regulation of transcription by RNA polymerase II {GO:0000122}; neuron development {GO:0048666}; regulation of transcription by RNA polymerase II {GO:0006357}</t>
  </si>
  <si>
    <t>DNA-binding transcription factor activity {GO:0003700}; DNA-binding transcription repressor activity, RNA polymerase II-specific {GO:0001227}; nuclear receptor activity {GO:0004879}; RNA polymerase II cis-regulatory region sequence-specific DNA binding {GO:0000978}; sequence-specific DNA binding {GO:0043565}; sequence-specific double-stranded DNA binding {GO:1990837}; zinc ion binding {GO:0008270}</t>
  </si>
  <si>
    <t>Nuclear Receptor transcription pathway {R-MMU-383280}</t>
  </si>
  <si>
    <t>tr|E9PZP8|E9PZP8_MOUSE</t>
  </si>
  <si>
    <t>sp|Q9Z0M5|LICH_MOUSE</t>
  </si>
  <si>
    <t>Lysosomal acid lipase/cholesteryl ester hydrolase (Acid cholesteryl ester hydrolase; LAL)</t>
  </si>
  <si>
    <t>Cholesteryl esterase; Lipase A; Sterol esterase</t>
  </si>
  <si>
    <t>LICH_MOUSE</t>
  </si>
  <si>
    <t>Q9Z0M5</t>
  </si>
  <si>
    <t>Q8C2G7</t>
  </si>
  <si>
    <t>Lip1</t>
  </si>
  <si>
    <t>MGI:96789</t>
  </si>
  <si>
    <t>Glycoprotein; Hydrolase; Lipid degradation; Lipid metabolism; Lysosome; Signal</t>
  </si>
  <si>
    <t>cell morphogenesis {GO:0000902}; epithelial cell proliferation {GO:0050673}; fatty acid metabolic process {GO:0006631}; homeostasis of number of cells within a tissue {GO:0048873}; inflammatory response {GO:0006954}; lipid catabolic process {GO:0016042}; lung development {GO:0030324}; macrophage homeostasis {GO:0061519}; sterol metabolic process {GO:0016125}; tissue remodeling {GO:0048771}</t>
  </si>
  <si>
    <t>cytosol {GO:0005829}; fibrillar center {GO:0001650}; intracellular membrane-bounded organelle {GO:0043231}; lysosome {GO:0005764}; nucleoplasm {GO:0005654}</t>
  </si>
  <si>
    <t>lipase activity {GO:0016298}; sterol esterase activity {GO:0004771}</t>
  </si>
  <si>
    <t>LDL clearance {R-MMU-8964038}</t>
  </si>
  <si>
    <t>sp|Q9D2Z4|SENP8_MOUSE</t>
  </si>
  <si>
    <t>Sentrin-specific protease 8</t>
  </si>
  <si>
    <t>Deneddylase-1; NEDD8-specific protease 1; Sentrin/SUMO-specific protease SENP8</t>
  </si>
  <si>
    <t>SENP8_MOUSE</t>
  </si>
  <si>
    <t>Q9D2Z4</t>
  </si>
  <si>
    <t>Q543P0</t>
  </si>
  <si>
    <t>Den1; Nedp1</t>
  </si>
  <si>
    <t>MGI:1918849</t>
  </si>
  <si>
    <t>Acetylation; Hydrolase; Protease; Thiol protease; Ubl conjugation pathway</t>
  </si>
  <si>
    <t>protein desumoylation {GO:0016926}</t>
  </si>
  <si>
    <t>cysteine-type peptidase activity {GO:0008234}; deNEDDylase activity {GO:0019784}; deSUMOylase activity {GO:0016929}</t>
  </si>
  <si>
    <t>UCH proteinases {R-MMU-5689603}; Neddylation {R-MMU-8951664}</t>
  </si>
  <si>
    <t>sp|P47877|IBP2_MOUSE</t>
  </si>
  <si>
    <t>Insulin-like growth factor-binding protein 2 (IBP-2; IGF-binding protein 2; IGFBP-2; mIGFBP-2)</t>
  </si>
  <si>
    <t>IBP2_MOUSE</t>
  </si>
  <si>
    <t>P47877</t>
  </si>
  <si>
    <t>Q61722; Q91VK7</t>
  </si>
  <si>
    <t>Igfbp-2</t>
  </si>
  <si>
    <t>MGI:96437</t>
  </si>
  <si>
    <t>Disulfide bond; Glycoprotein; Growth factor binding; Growth regulation; Secreted; Signal</t>
  </si>
  <si>
    <t>aging {GO:0007568}; cellular response to hormone stimulus {GO:0032870}; female pregnancy {GO:0007565}; positive regulation of activated T cell proliferation {GO:0042104}; regulation of insulin-like growth factor receptor signaling pathway {GO:0043567}; response to estradiol {GO:0032355}; response to estrogen {GO:0043627}; response to glucocorticoid {GO:0051384}; response to lithium ion {GO:0010226}; response to mechanical stimulus {GO:0009612}; response to nutrient {GO:0007584}; response to retinoic acid {GO:0032526}; response to xenobiotic stimulus {GO:0009410}; signal transduction {GO:0007165}</t>
  </si>
  <si>
    <t>apical plasma membrane {GO:0016324}; cytoplasmic vesicle {GO:0031410}; extracellular region {GO:0005576}; extracellular space {GO:0005615}</t>
  </si>
  <si>
    <t>insulin-like growth factor binding {GO:0005520}; insulin-like growth factor I binding {GO:0031994}; insulin-like growth factor II binding {GO:0031995}</t>
  </si>
  <si>
    <t>Regulation of Insulin-like Growth Factor (IGF) transport and uptake by Insulin-like Growth Factor Binding Proteins (IGFBPs) {R-MMU-381426}</t>
  </si>
  <si>
    <t>sp|Q3UHU5|MTCL1_MOUSE</t>
  </si>
  <si>
    <t>Microtubule cross-linking factor 1</t>
  </si>
  <si>
    <t>Coiled-coil domain-containing protein 165; PAR-1-interacting protein; SOGA family member 2</t>
  </si>
  <si>
    <t>MTCL1_MOUSE</t>
  </si>
  <si>
    <t>Q3UHU5</t>
  </si>
  <si>
    <t>Q6PAM2; Q80TR7</t>
  </si>
  <si>
    <t>Ccdc165; Kiaa0802; Soga2</t>
  </si>
  <si>
    <t>MGI:1915867</t>
  </si>
  <si>
    <t>Alternative splicing; Cell membrane; Coiled coil; Cytoplasm; Cytoskeleton; Membrane; Phosphoprotein</t>
  </si>
  <si>
    <t>establishment or maintenance of epithelial cell apical/basal polarity {GO:0045197}; microtubule bundle formation {GO:0001578}; positive regulation of protein targeting to membrane {GO:0090314}; regulation of autophagy {GO:0010506}</t>
  </si>
  <si>
    <t>apical plasma membrane {GO:0016324}; apicolateral plasma membrane {GO:0016327}; cytoplasm {GO:0005737}; cytoskeleton {GO:0005856}; extracellular space {GO:0005615}; lateral plasma membrane {GO:0016328}; microtubule bundle {GO:0097427}; midbody {GO:0030496}; spindle pole {GO:0000922}</t>
  </si>
  <si>
    <t>microtubule binding {GO:0008017}; protein homodimerization activity {GO:0042803}</t>
  </si>
  <si>
    <t>sp|Q69ZC8|GPAM1_MOUSE</t>
  </si>
  <si>
    <t>GPALPP motifs-containing protein 1</t>
  </si>
  <si>
    <t>GPAM1_MOUSE</t>
  </si>
  <si>
    <t>Q69ZC8</t>
  </si>
  <si>
    <t>Q8K2V8</t>
  </si>
  <si>
    <t>Kiaa1704</t>
  </si>
  <si>
    <t>MGI:1914717</t>
  </si>
  <si>
    <t>sp|Q64127|TIF1A_MOUSE</t>
  </si>
  <si>
    <t>Transcription intermediary factor 1-alpha (TIF1-alpha)</t>
  </si>
  <si>
    <t>E3 ubiquitin-protein ligase Trim24; RING-type E3 ubiquitin transferase TIF1-alpha; Tripartite motif-containing protein 24</t>
  </si>
  <si>
    <t>TIF1A_MOUSE</t>
  </si>
  <si>
    <t>Q64127</t>
  </si>
  <si>
    <t>Q64126</t>
  </si>
  <si>
    <t>Tif1; Tif1a</t>
  </si>
  <si>
    <t>MGI:109275</t>
  </si>
  <si>
    <t>Alternative splicing; Bromodomain; Chromosomal rearrangement; Coiled coil; Cytoplasm; DNA-binding; Isopeptide bond; Metal-binding; Methylation; Nucleus; Phosphoprotein; Proto-oncogene; Repeat; Repressor; Transcription; Transcription regulation; Transferase; Tumor suppressor; Ubl conjugation; Ubl conjugation pathway; Zinc; Zinc-finger</t>
  </si>
  <si>
    <t>Alternative splicing; Chromosomal rearrangement</t>
  </si>
  <si>
    <t>calcium ion homeostasis {GO:0055074}; cellular response to estrogen stimulus {GO:0071391}; epithelial cell proliferation {GO:0050673}; negative regulation of DNA-templated transcription {GO:0045892}; negative regulation of epithelial cell proliferation {GO:0050680}; positive regulation of DNA-templated transcription {GO:0045893}; positive regulation of gene expression {GO:0010628}; protein autophosphorylation {GO:0046777}; protein catabolic process {GO:0030163}; protein phosphorylation {GO:0006468}; protein ubiquitination {GO:0016567}; regulation of apoptotic process {GO:0042981}; regulation of protein stability {GO:0031647}; regulation of signal transduction by p53 class mediator {GO:1901796}; regulation of vitamin D receptor signaling pathway {GO:0070562}</t>
  </si>
  <si>
    <t>cytoplasm {GO:0005737}; euchromatin {GO:0000791}; male germ cell nucleus {GO:0001673}; nucleoplasm {GO:0005654}; nucleus {GO:0005634}; perichromatin fibrils {GO:0005726}</t>
  </si>
  <si>
    <t>chromatin binding {GO:0003682}; estrogen response element binding {GO:0034056}; lysine-acetylated histone binding {GO:0070577}; nuclear receptor binding {GO:0016922}; p53 binding {GO:0002039}; protein kinase activity {GO:0004672}; sequence-specific DNA binding {GO:0043565}; transcription coactivator activity {GO:0003713}; ubiquitin protein ligase activity {GO:0061630}; ubiquitin-protein transferase activity {GO:0004842}; zinc ion binding {GO:0008270}</t>
  </si>
  <si>
    <t>sp|Q8BK62|OLFL3_MOUSE</t>
  </si>
  <si>
    <t>Olfactomedin-like protein 3</t>
  </si>
  <si>
    <t>OLFL3_MOUSE</t>
  </si>
  <si>
    <t>Q8BK62</t>
  </si>
  <si>
    <t>A9R9W9; Q3V2F2; Q8C1T0; Q99K37</t>
  </si>
  <si>
    <t>MGI:1914877</t>
  </si>
  <si>
    <t>Coiled coil; Developmental protein; Disulfide bond; Glycoprotein; Secreted; Signal</t>
  </si>
  <si>
    <t>sp|Q9DBC0|SELO_MOUSE</t>
  </si>
  <si>
    <t>Protein adenylyltransferase SelO, mitochondrial</t>
  </si>
  <si>
    <t>Selenoprotein O (SelO)</t>
  </si>
  <si>
    <t>SELO_MOUSE</t>
  </si>
  <si>
    <t>Q9DBC0</t>
  </si>
  <si>
    <t>E9QPP4; Q80ZK3</t>
  </si>
  <si>
    <t>MGI:1919007</t>
  </si>
  <si>
    <t>ATP-binding; Magnesium; Metal-binding; Mitochondrion; Nucleotide-binding; Nucleotidyltransferase; Phosphoprotein; Selenocysteine; Transferase; Transit peptide</t>
  </si>
  <si>
    <t>protein adenylylation {GO:0018117}</t>
  </si>
  <si>
    <t>chromosome {GO:0005694}; mitochondrion {GO:0005739}</t>
  </si>
  <si>
    <t>ATP binding {GO:0005524}; metal ion binding {GO:0046872}; protein adenylyltransferase activity {GO:0070733}</t>
  </si>
  <si>
    <t>sp|Q80XQ2|TBCD5_MOUSE</t>
  </si>
  <si>
    <t>TBC1 domain family member 5</t>
  </si>
  <si>
    <t>TBCD5_MOUSE</t>
  </si>
  <si>
    <t>Q80XQ2</t>
  </si>
  <si>
    <t>E9PZJ9</t>
  </si>
  <si>
    <t>MGI:1919488</t>
  </si>
  <si>
    <t>Autophagy; Cytoplasmic vesicle; Endosome; GTPase activation; Membrane; Methylation; Phosphoprotein; Protein transport; Transport</t>
  </si>
  <si>
    <t>activation of GTPase activity {GO:0090630}; autophagy {GO:0006914}; macroautophagy {GO:0016236}; positive regulation of receptor internalization {GO:0002092}; protein transport {GO:0015031}; response to starvation {GO:0042594}; retrograde transport, endosome to Golgi {GO:0042147}</t>
  </si>
  <si>
    <t>AP-2 adaptor complex {GO:0030122}; Atg1/ULK1 kinase complex {GO:1990316}; autophagosome {GO:0005776}; cytosol {GO:0005829}; endosome membrane {GO:0010008}; Golgi apparatus {GO:0005794}; intracellular membrane-bounded organelle {GO:0043231}; retromer complex {GO:0030904}</t>
  </si>
  <si>
    <t>AP-2 adaptor complex binding {GO:0035612}; GTPase activator activity {GO:0005096}; protein-containing complex binding {GO:0044877}; retromer complex binding {GO:1905394}</t>
  </si>
  <si>
    <t>sp|Q99L43|CDS2_MOUSE</t>
  </si>
  <si>
    <t>Phosphatidate cytidylyltransferase 2</t>
  </si>
  <si>
    <t>CDP-DAG synthase 2; CDP-DG synthase 2; CDP-diacylglycerol synthase 2 (CDS 2); CDP-diglyceride pyrophosphorylase 2; CDP-diglyceride synthase 2; CTP:phosphatidate cytidylyltransferase 2</t>
  </si>
  <si>
    <t>CDS2_MOUSE</t>
  </si>
  <si>
    <t>Q99L43</t>
  </si>
  <si>
    <t>Q3TMD1; Q6NSU1</t>
  </si>
  <si>
    <t>MGI:1332236</t>
  </si>
  <si>
    <t>Endoplasmic reticulum; Lipid biosynthesis; Lipid metabolism; Membrane; Nucleotidyltransferase; Phospholipid biosynthesis; Phospholipid metabolism; Phosphoprotein; Transferase; Transmembrane; Transmembrane helix</t>
  </si>
  <si>
    <t>CDP-diacylglycerol biosynthetic process {GO:0016024}; glycosylation {GO:0070085}; lipid droplet formation {GO:0140042}; phototransduction {GO:0007602}</t>
  </si>
  <si>
    <t>phosphatidate cytidylyltransferase activity {GO:0004605}</t>
  </si>
  <si>
    <t>Phospholipid metabolism; CDP-diacylglycerol biosynthesis; CDP- diacylglycerol from sn-glycerol 3-phosphate: step 3/3.</t>
  </si>
  <si>
    <t>Synthesis of PG {R-MMU-1483148}</t>
  </si>
  <si>
    <t>tr|Q3TAQ9|Q3TAQ9_MOUSE</t>
  </si>
  <si>
    <t>sp|P97326|CADH6_MOUSE</t>
  </si>
  <si>
    <t>Cadherin-6</t>
  </si>
  <si>
    <t>Kidney cadherin (K-cadherin)</t>
  </si>
  <si>
    <t>CADH6_MOUSE</t>
  </si>
  <si>
    <t>P97326</t>
  </si>
  <si>
    <t>P70393; Q3KNY8</t>
  </si>
  <si>
    <t>MGI:107435</t>
  </si>
  <si>
    <t>3D-structure; Calcium; Cell adhesion; Cell membrane; Cleavage on pair of basic residues; Glycoprotein; Membrane; Metal-binding; Phosphoprotein; Repeat; Signal; Transmembrane; Transmembrane helix</t>
  </si>
  <si>
    <t>adherens junction organization {GO:0034332}; calcium-dependent cell-cell adhesion via plasma membrane cell adhesion molecules {GO:0016339}; cell morphogenesis {GO:0000902}; cell-cell adhesion via plasma-membrane adhesion molecules {GO:0098742}; cell-cell junction assembly {GO:0007043}; homophilic cell adhesion via plasma membrane adhesion molecules {GO:0007156}; Notch signaling pathway {GO:0007219}</t>
  </si>
  <si>
    <t>adherens junction {GO:0005912}; catenin complex {GO:0016342}; cell junction {GO:0030054}; integral component of membrane {GO:0016021}; nucleoplasm {GO:0005654}; plasma membrane {GO:0005886}</t>
  </si>
  <si>
    <t>sp|Q924K8|MTA3_MOUSE</t>
  </si>
  <si>
    <t>Metastasis-associated protein MTA3</t>
  </si>
  <si>
    <t>MTA3_MOUSE</t>
  </si>
  <si>
    <t>Q924K8</t>
  </si>
  <si>
    <t>Q8VC18</t>
  </si>
  <si>
    <t>MGI:2151172</t>
  </si>
  <si>
    <t>3D-structure; Alternative splicing; Cytoplasm; DNA-binding; Metal-binding; Nucleus; Phosphoprotein; Zinc; Zinc-finger</t>
  </si>
  <si>
    <t>cell population proliferation {GO:0008283}; chromatin remodeling {GO:0006338}; G2/M transition of mitotic cell cycle {GO:0000086}; granulosa cell proliferation {GO:1990739}; histone deacetylation {GO:0016575}; negative regulation of DNA-templated transcription {GO:0045892}; negative regulation of transcription by RNA polymerase II {GO:0000122}; positive regulation of DNA-templated transcription {GO:0045893}; positive regulation of G2/M transition of mitotic cell cycle {GO:0010971}; positive regulation of granulosa cell proliferation {GO:1904197}; regulation of cell fate specification {GO:0042659}; regulation of stem cell differentiation {GO:2000736}</t>
  </si>
  <si>
    <t>cytoplasm {GO:0005737}; intracellular membrane-bounded organelle {GO:0043231}; nucleoplasm {GO:0005654}; nucleus {GO:0005634}; NuRD complex {GO:0016581}</t>
  </si>
  <si>
    <t>chromatin binding {GO:0003682}; histone deacetylase binding {GO:0042826}; metal ion binding {GO:0046872}; NuRD complex binding {GO:0120325}; protein-containing complex binding {GO:0044877}; sequence-specific DNA binding {GO:0043565}; transcription coactivator activity {GO:0003713}; transcription corepressor activity {GO:0003714}</t>
  </si>
  <si>
    <t>HDACs deacetylate histones {R-MMU-3214815}; RNA Polymerase I Transcription Initiation {R-MMU-73762}; Regulation of PTEN gene transcription {R-MMU-8943724}</t>
  </si>
  <si>
    <t>sp|Q9Z0Z4|HEPH_MOUSE</t>
  </si>
  <si>
    <t>Hephaestin</t>
  </si>
  <si>
    <t>HEPH_MOUSE</t>
  </si>
  <si>
    <t>Q9Z0Z4</t>
  </si>
  <si>
    <t>A2AI63; Q6ZQ65; Q80Y80; Q8C4S2</t>
  </si>
  <si>
    <t>Kiaa0698</t>
  </si>
  <si>
    <t>MGI:1332240</t>
  </si>
  <si>
    <t>Alternative splicing; Copper; Copper transport; Disulfide bond; Glycoprotein; Ion transport; Iron; Iron transport; Membrane; Metal-binding; Oxidoreductase; Phosphoprotein; Repeat; Signal; Transmembrane; Transmembrane helix; Transport</t>
  </si>
  <si>
    <t>Copper transport; Ion transport; Iron transport; Transport</t>
  </si>
  <si>
    <t>Copper; Iron; Metal-binding</t>
  </si>
  <si>
    <t>cellular iron ion homeostasis {GO:0006879}; copper ion transport {GO:0006825}; iron ion homeostasis {GO:0055072}; iron ion transport {GO:0006826}</t>
  </si>
  <si>
    <t>basolateral plasma membrane {GO:0016323}; extracellular region {GO:0005576}; integral component of membrane {GO:0016021}; perinuclear region of cytoplasm {GO:0048471}; plasma membrane {GO:0005886}</t>
  </si>
  <si>
    <t>copper ion binding {GO:0005507}; ferrous iron binding {GO:0008198}; ferroxidase activity {GO:0004322}; oxidoreductase activity {GO:0016491}</t>
  </si>
  <si>
    <t>Metal ion SLC transporters {R-MMU-425410}; Iron uptake and transport {R-MMU-917937}</t>
  </si>
  <si>
    <t>sp|Q9CQE6|ASF1A_MOUSE</t>
  </si>
  <si>
    <t>Histone chaperone ASF1A</t>
  </si>
  <si>
    <t>Anti-silencing function protein 1 homolog A</t>
  </si>
  <si>
    <t>ASF1A_MOUSE</t>
  </si>
  <si>
    <t>Q9CQE6</t>
  </si>
  <si>
    <t>MGI:1913653</t>
  </si>
  <si>
    <t>Chaperone; Chromatin regulator; Chromosome; DNA damage; Nucleus; Phosphoprotein; Transcription; Transcription regulation</t>
  </si>
  <si>
    <t>DNA repair {GO:0006281}; DNA replication-dependent chromatin assembly {GO:0006335}; DNA replication-independent chromatin assembly {GO:0006336}; muscle cell differentiation {GO:0042692}; nucleosome assembly {GO:0006334}; osteoblast differentiation {GO:0001649}</t>
  </si>
  <si>
    <t>chromatin {GO:0000785}; nucleoplasm {GO:0005654}; nucleus {GO:0005634}; protein-containing complex {GO:0032991}</t>
  </si>
  <si>
    <t>chromatin binding {GO:0003682}; histone binding {GO:0042393}; histone chaperone activity {GO:0140713}; structural constituent of chromatin {GO:0030527}</t>
  </si>
  <si>
    <t>sp|Q9D920|BORC5_MOUSE</t>
  </si>
  <si>
    <t>BLOC-1-related complex subunit 5</t>
  </si>
  <si>
    <t>BORC5_MOUSE</t>
  </si>
  <si>
    <t>Q9D920</t>
  </si>
  <si>
    <t>Q8BJB0</t>
  </si>
  <si>
    <t>MGI:1915024</t>
  </si>
  <si>
    <t>Lipoprotein; Lysosome; Membrane; Myristate; Phosphoprotein</t>
  </si>
  <si>
    <t>lysosome localization {GO:0032418}; organelle transport along microtubule {GO:0072384}; positive regulation of anterograde synaptic vesicle transport {GO:1903744}; regulation of endosome size {GO:0051036}; regulation of lysosome size {GO:0062196}</t>
  </si>
  <si>
    <t>BORC complex {GO:0099078}; cytoplasmic side of lysosomal membrane {GO:0098574}; intracellular membrane-bounded organelle {GO:0043231}; intrinsic component of membrane {GO:0031224}; plasma membrane {GO:0005886}; plus-end kinesin complex {GO:0005873}; synaptic vesicle membrane {GO:0030672}</t>
  </si>
  <si>
    <t>sp|Q80YV3|TRRAP_MOUSE</t>
  </si>
  <si>
    <t>Transformation/transcription domain-associated protein</t>
  </si>
  <si>
    <t>Tra1 homolog</t>
  </si>
  <si>
    <t>TRRAP_MOUSE</t>
  </si>
  <si>
    <t>Q80YV3</t>
  </si>
  <si>
    <t>Q8C0Z5; Q8K104</t>
  </si>
  <si>
    <t>MGI:2153272</t>
  </si>
  <si>
    <t>Acetylation; Activator; Chromatin regulator; Isopeptide bond; Nucleus; Phosphoprotein; Repeat; Transcription; Transcription regulation; Ubl conjugation</t>
  </si>
  <si>
    <t>chromatin organization {GO:0006325}; DNA repair {GO:0006281}; histone acetylation {GO:0016573}; histone deubiquitination {GO:0016578}; histone H2A acetylation {GO:0043968}; histone H3 acetylation {GO:0043966}; histone H4 acetylation {GO:0043967}; monoubiquitinated histone deubiquitination {GO:0035521}; monoubiquitinated histone H2A deubiquitination {GO:0035522}; positive regulation of DNA-templated transcription {GO:0045893}; positive regulation of double-strand break repair via homologous recombination {GO:1905168}; regulation of apoptotic process {GO:0042981}; regulation of cell cycle {GO:0051726}; regulation of DNA repair {GO:0006282}; regulation of DNA-templated transcription {GO:0006355}; regulation of double-strand break repair {GO:2000779}; regulation of RNA splicing {GO:0043484}; regulation of transcription by RNA polymerase II {GO:0006357}</t>
  </si>
  <si>
    <t>Golgi apparatus {GO:0005794}; histone acetyltransferase complex {GO:0000123}; NuA4 histone acetyltransferase complex {GO:0035267}; nucleoplasm {GO:0005654}; nucleosome {GO:0000786}; nucleus {GO:0005634}; SAGA complex {GO:0000124}; Swr1 complex {GO:0000812}; transcription factor TFTC complex {GO:0033276}; transcription regulator complex {GO:0005667}</t>
  </si>
  <si>
    <t>transcription coactivator activity {GO:0003713}; transcription coregulator activity {GO:0003712}</t>
  </si>
  <si>
    <t>sp|Q8K3G5|VRK3_MOUSE</t>
  </si>
  <si>
    <t>Inactive serine/threonine-protein kinase VRK3</t>
  </si>
  <si>
    <t>Serine/threonine-protein pseudokinase VRK3; Vaccinia-related kinase 3</t>
  </si>
  <si>
    <t>VRK3_MOUSE</t>
  </si>
  <si>
    <t>Q8K3G5</t>
  </si>
  <si>
    <t>Q921W6</t>
  </si>
  <si>
    <t>MGI:2182465</t>
  </si>
  <si>
    <t>Nucleotide-binding; Nucleus; Phosphoprotein</t>
  </si>
  <si>
    <t>negative regulation of ERK1 and ERK2 cascade {GO:0070373}; peptidyl-serine phosphorylation {GO:0018105}; positive regulation of phosphoprotein phosphatase activity {GO:0032516}; signal transduction {GO:0007165}; skeletal muscle tissue development {GO:0007519}</t>
  </si>
  <si>
    <t>cytoplasm {GO:0005737}; intracellular membrane-bounded organelle {GO:0043231}; nucleolus {GO:0005730}; nucleoplasm {GO:0005654}; nucleus {GO:0005634}</t>
  </si>
  <si>
    <t>ATP binding {GO:0005524}; protein phosphatase binding {GO:0019903}; protein serine/threonine kinase activity {GO:0004674}</t>
  </si>
  <si>
    <t>sp|Q925E7|2ABD_MOUSE</t>
  </si>
  <si>
    <t>Serine/threonine-protein phosphatase 2A 55 kDa regulatory subunit B delta isoform</t>
  </si>
  <si>
    <t>PP2A subunit B isoform B55-delta; PP2A subunit B isoform PR55-delta; PP2A subunit B isoform R2-delta; PP2A subunit B isoform delta</t>
  </si>
  <si>
    <t>2ABD_MOUSE</t>
  </si>
  <si>
    <t>Q925E7</t>
  </si>
  <si>
    <t>Q6ZPN5</t>
  </si>
  <si>
    <t>D7Ertd753e; Kiaa1541</t>
  </si>
  <si>
    <t>MGI:1289252</t>
  </si>
  <si>
    <t>Cell cycle; Cell division; Cytoplasm; Mitosis; Phosphoprotein; Repeat; WD repeat</t>
  </si>
  <si>
    <t>cell division {GO:0051301}; exit from mitosis {GO:0010458}; mitotic cell cycle {GO:0000278}</t>
  </si>
  <si>
    <t>cytosol {GO:0005829}; protein phosphatase type 2A complex {GO:0000159}</t>
  </si>
  <si>
    <t>sp|Q3UHH1|ZSWM8_MOUSE</t>
  </si>
  <si>
    <t>Zinc finger SWIM domain-containing protein 8</t>
  </si>
  <si>
    <t>ZSWM8_MOUSE</t>
  </si>
  <si>
    <t>Q3UHH1</t>
  </si>
  <si>
    <t>B2RX90; Q5U4B9; Q6PCY6; Q80Y41; Q8CE12; Q8CHC3; Q9D789</t>
  </si>
  <si>
    <t>MGI:1919156</t>
  </si>
  <si>
    <t>Alternative splicing; Cytoplasm; Metal-binding; Phosphoprotein; Ubl conjugation pathway; Zinc; Zinc-finger</t>
  </si>
  <si>
    <t>positive regulation of miRNA catabolic process {GO:2000627}; proteasome-mediated ubiquitin-dependent protein catabolic process {GO:0043161}; protein ubiquitination {GO:0016567}</t>
  </si>
  <si>
    <t>Cul2-RING ubiquitin ligase complex {GO:0031462}; Cul3-RING ubiquitin ligase complex {GO:0031463}; cullin-RING ubiquitin ligase complex {GO:0031461}; cytosol {GO:0005829}</t>
  </si>
  <si>
    <t>ubiquitin ligase-substrate adaptor activity {GO:1990756}; zinc ion binding {GO:0008270}</t>
  </si>
  <si>
    <t>sp|Q8BJZ4|RT35_MOUSE</t>
  </si>
  <si>
    <t>28S ribosomal protein S35, mitochondrial (MRP-S35; S35mt)</t>
  </si>
  <si>
    <t>RT35_MOUSE</t>
  </si>
  <si>
    <t>Q8BJZ4</t>
  </si>
  <si>
    <t>B2KFS5; Q8VCG7</t>
  </si>
  <si>
    <t>MGI:2385255</t>
  </si>
  <si>
    <t>sp|Q8BXR9|OSBL6_MOUSE</t>
  </si>
  <si>
    <t>Oxysterol-binding protein-related protein 6 (ORP-6; OSBP-related protein 6)</t>
  </si>
  <si>
    <t>OSBL6_MOUSE</t>
  </si>
  <si>
    <t>Q8BXR9</t>
  </si>
  <si>
    <t>Q8BYW2</t>
  </si>
  <si>
    <t>MGI:2139014</t>
  </si>
  <si>
    <t>Acetylation; Alternative splicing; Cell membrane; Cytoplasm; Endoplasmic reticulum; Endosome; Lipid transport; Lipid-binding; Membrane; Nucleus; Phosphoprotein; Transport</t>
  </si>
  <si>
    <t>Cell membrane; Cytoplasm; Endoplasmic reticulum; Endosome; Membrane; Nucleus</t>
  </si>
  <si>
    <t>regulation of cholesterol transport {GO:0032374}</t>
  </si>
  <si>
    <t>cytosol {GO:0005829}; early endosome membrane {GO:0031901}; endoplasmic reticulum membrane {GO:0005789}; intracellular membrane-bounded organelle {GO:0043231}; membrane {GO:0016020}; nuclear membrane {GO:0031965}; perinuclear endoplasmic reticulum {GO:0097038}; plasma membrane {GO:0005886}</t>
  </si>
  <si>
    <t>sp|Q8BJL1|FBX30_MOUSE</t>
  </si>
  <si>
    <t>F-box only protein 30</t>
  </si>
  <si>
    <t>Muscle ubiquitin ligase of SCF complex in atrophy-1 (MUSA1)</t>
  </si>
  <si>
    <t>FBX30_MOUSE</t>
  </si>
  <si>
    <t>Q8BJL1</t>
  </si>
  <si>
    <t>Q3UXU4; Q8CI21; Q9D9X5</t>
  </si>
  <si>
    <t>MGI:1919115</t>
  </si>
  <si>
    <t>Metal-binding; Phosphoprotein; Ubl conjugation; Ubl conjugation pathway; Zinc; Zinc-finger</t>
  </si>
  <si>
    <t>sp|Q9JMA2|TGT_MOUSE</t>
  </si>
  <si>
    <t>Queuine tRNA-ribosyltransferase catalytic subunit 1</t>
  </si>
  <si>
    <t>Guanine insertion enzyme; tRNA-guanine transglycosylase</t>
  </si>
  <si>
    <t>TGT_MOUSE</t>
  </si>
  <si>
    <t>Q9JMA2</t>
  </si>
  <si>
    <t>Q80VS3</t>
  </si>
  <si>
    <t>Tgt; Tgut</t>
  </si>
  <si>
    <t>MGI:1931441</t>
  </si>
  <si>
    <t>3D-structure; Acetylation; Cytoplasm; Glycosyltransferase; Membrane; Metal-binding; Mitochondrion; Mitochondrion outer membrane; Nucleus; Phosphoprotein; Transferase; tRNA processing; Zinc</t>
  </si>
  <si>
    <t>cytoplasm {GO:0005737}; mitochondrial outer membrane {GO:0005741}; nucleus {GO:0005634}; protein-containing complex {GO:0032991}; transferase complex {GO:1990234}</t>
  </si>
  <si>
    <t>metal ion binding {GO:0046872}; protein heterodimerization activity {GO:0046982}; protein homodimerization activity {GO:0042803}; queuine tRNA-ribosyltransferase activity {GO:0008479}</t>
  </si>
  <si>
    <t>sp|Q3U3Q1|ULK3_MOUSE</t>
  </si>
  <si>
    <t>Serine/threonine-protein kinase ULK3</t>
  </si>
  <si>
    <t>Unc-51-like kinase 3</t>
  </si>
  <si>
    <t>ULK3_MOUSE</t>
  </si>
  <si>
    <t>Q3U3Q1</t>
  </si>
  <si>
    <t>B2RXB9; Q8K1X6; Q9DBR8</t>
  </si>
  <si>
    <t>MGI:1918992</t>
  </si>
  <si>
    <t>Alternative splicing; ATP-binding; Autophagy; Cytoplasm; Kinase; Nucleotide-binding; Phosphoprotein; Repeat; Serine/threonine-protein kinase; Transferase</t>
  </si>
  <si>
    <t>autophagosome organization {GO:1905037}; fibroblast activation {GO:0072537}; negative regulation of smoothened signaling pathway {GO:0045879}; peptidyl-serine phosphorylation {GO:0018105}; positive regulation of smoothened signaling pathway {GO:0045880}; protein autophosphorylation {GO:0046777}; smoothened signaling pathway {GO:0007224}</t>
  </si>
  <si>
    <t>autophagosome {GO:0005776}; cytoplasm {GO:0005737}; phagophore assembly site {GO:0000407}</t>
  </si>
  <si>
    <t>Hedgehog 'on' state {R-MMU-5632684}</t>
  </si>
  <si>
    <t>sp|Q4VAC9|PKHG3_MOUSE</t>
  </si>
  <si>
    <t>Pleckstrin homology domain-containing family G member 3 (PH domain-containing family G member 3)</t>
  </si>
  <si>
    <t>PKHG3_MOUSE</t>
  </si>
  <si>
    <t>Q4VAC9</t>
  </si>
  <si>
    <t>E9QL46; Q3TSI8; Q6A041; Q8BJP5; Q8K0L5; Q8K0T6</t>
  </si>
  <si>
    <t>Kiaa0599</t>
  </si>
  <si>
    <t>MGI:2388284</t>
  </si>
  <si>
    <t>Alternative splicing; Cytoplasm; Cytoskeleton; Phosphoprotein</t>
  </si>
  <si>
    <t>regulation of cell migration {GO:0030334}; regulation of establishment of cell polarity {GO:2000114}</t>
  </si>
  <si>
    <t>actin binding {GO:0003779}; guanyl-nucleotide exchange factor activity {GO:0005085}</t>
  </si>
  <si>
    <t>RHOA GTPase cycle {R-MMU-8980692}; CDC42 GTPase cycle {R-MMU-9013148}; RAC1 GTPase cycle {R-MMU-9013149}; RHOQ GTPase cycle {R-MMU-9013406}; RHOG GTPase cycle {R-MMU-9013408}</t>
  </si>
  <si>
    <t>sp|Q8K2C6|SIR5_MOUSE</t>
  </si>
  <si>
    <t>NAD-dependent protein deacylase sirtuin-5, mitochondrial</t>
  </si>
  <si>
    <t>Regulatory protein SIR2 homolog 5; SIR2-like protein 5</t>
  </si>
  <si>
    <t>SIR5_MOUSE</t>
  </si>
  <si>
    <t>Q8K2C6</t>
  </si>
  <si>
    <t>Sir2l5</t>
  </si>
  <si>
    <t>MGI:1915596</t>
  </si>
  <si>
    <t>Cytoplasm; Metal-binding; Mitochondrion; NAD; Nucleus; Transferase; Transit peptide; Zinc</t>
  </si>
  <si>
    <t>negative regulation of cardiac muscle cell apoptotic process {GO:0010667}; negative regulation of reactive oxygen species metabolic process {GO:2000378}; peptidyl-lysine demalonylation {GO:0036047}; peptidyl-lysine desuccinylation {GO:0036049}; protein deacetylation {GO:0006476}; protein deglutarylation {GO:0061698}; protein demalonylation {GO:0036046}; protein desuccinylation {GO:0036048}; regulation of ketone biosynthetic process {GO:0010566}; regulation of succinate dehydrogenase activity {GO:1904229}; response to ischemia {GO:0002931}</t>
  </si>
  <si>
    <t>cytosol {GO:0005829}; mitochondrial inner membrane {GO:0005743}; mitochondrial intermembrane space {GO:0005758}; mitochondrial matrix {GO:0005759}; mitochondrion {GO:0005739}; nucleus {GO:0005634}</t>
  </si>
  <si>
    <t>NAD+ binding {GO:0070403}; NAD-dependent protein deacetylase activity {GO:0034979}; protein-glutaryllysine deglutarylase activity {GO:0061697}; protein-malonyllysine demalonylase activity {GO:0036054}; protein-succinyllysine desuccinylase activity {GO:0036055}; transferase activity {GO:0016740}; zinc ion binding {GO:0008270}</t>
  </si>
  <si>
    <t>sp|B9EJ86|OSBL8_MOUSE</t>
  </si>
  <si>
    <t>Oxysterol-binding protein-related protein 8 (ORP-8; OSBP-related protein 8)</t>
  </si>
  <si>
    <t>OSBL8_MOUSE</t>
  </si>
  <si>
    <t>B9EJ86</t>
  </si>
  <si>
    <t>G3X9N6; Q69ZJ4</t>
  </si>
  <si>
    <t>MGI:2443807</t>
  </si>
  <si>
    <t>Acetylation; Endoplasmic reticulum; Lipid transport; Lipid-binding; Membrane; Nucleus; Phosphoprotein; Transmembrane; Transmembrane helix; Transport</t>
  </si>
  <si>
    <t>activation of protein kinase B activity {GO:0032148}; fat cell differentiation {GO:0045444}; negative regulation of cell migration {GO:0030336}; negative regulation of sequestering of triglyceride {GO:0010891}; phospholipid transport {GO:0015914}; positive regulation of glucose import {GO:0046326}; positive regulation of insulin receptor signaling pathway {GO:0046628}; positive regulation of protein kinase B signaling {GO:0051897}; protein localization to nuclear pore {GO:0090204}</t>
  </si>
  <si>
    <t>cortical endoplasmic reticulum {GO:0032541}; cytosol {GO:0005829}; endoplasmic reticulum {GO:0005783}; endoplasmic reticulum membrane {GO:0005789}; integral component of membrane {GO:0016021}; intracellular membrane-bounded organelle {GO:0043231}; membrane {GO:0016020}; nuclear membrane {GO:0031965}</t>
  </si>
  <si>
    <t>cholesterol binding {GO:0015485}; phosphatidylinositol-4-phosphate binding {GO:0070273}; phosphatidylserine binding {GO:0001786}; phosphatidylserine transfer activity {GO:0140343}; sterol binding {GO:0032934}; sterol transporter activity {GO:0015248}</t>
  </si>
  <si>
    <t>Acyl chain remodelling of PS {R-MMU-1482801}</t>
  </si>
  <si>
    <t>sp|Q5SVR0|TBC9B_MOUSE</t>
  </si>
  <si>
    <t>TBC1 domain family member 9B</t>
  </si>
  <si>
    <t>TBC9B_MOUSE</t>
  </si>
  <si>
    <t>Q5SVR0</t>
  </si>
  <si>
    <t>Q3UGF5; Q6A019; Q6P1G9; Q6PDP2; Q80ZU6; Q8C7K9; Q8CBR7; Q8CCW2; Q9CSQ2</t>
  </si>
  <si>
    <t>Kiaa0676</t>
  </si>
  <si>
    <t>MGI:1924045</t>
  </si>
  <si>
    <t>Alternative splicing; GTPase activation; Membrane; Phosphoprotein; Repeat; Transmembrane; Transmembrane helix</t>
  </si>
  <si>
    <t>calcium ion binding {GO:0005509}; GTPase activator activity {GO:0005096}</t>
  </si>
  <si>
    <t>sp|A3KMP2|TTC38_MOUSE</t>
  </si>
  <si>
    <t>Tetratricopeptide repeat protein 38 (TPR repeat protein 38)</t>
  </si>
  <si>
    <t>TTC38_MOUSE</t>
  </si>
  <si>
    <t>A3KMP2</t>
  </si>
  <si>
    <t>Q05C02; Q05CK3; Q3UZU5</t>
  </si>
  <si>
    <t>MGI:2146198</t>
  </si>
  <si>
    <t>sp|Q6ZPF4|FMNL3_MOUSE</t>
  </si>
  <si>
    <t>Formin-like protein 3</t>
  </si>
  <si>
    <t>FMNL3_MOUSE</t>
  </si>
  <si>
    <t>Q6ZPF4</t>
  </si>
  <si>
    <t>Q3TCF9; Q3U2E4</t>
  </si>
  <si>
    <t>Frl2; Kiaa2014</t>
  </si>
  <si>
    <t>MGI:109569</t>
  </si>
  <si>
    <t>3D-structure; Alternative splicing; Angiogenesis; Cell membrane; Cytoplasm; Developmental protein; Lipoprotein; Membrane; Myristate; Phosphoprotein</t>
  </si>
  <si>
    <t>angiogenesis {GO:0001525}; cell migration {GO:0016477}; cortical actin cytoskeleton organization {GO:0030866}; cytoskeleton organization {GO:0007010}; regulation of cell shape {GO:0008360}</t>
  </si>
  <si>
    <t>cytoplasm {GO:0005737}; cytosol {GO:0005829}; Golgi apparatus {GO:0005794}; intracellular membrane-bounded organelle {GO:0043231}; plasma membrane {GO:0005886}</t>
  </si>
  <si>
    <t>actin filament binding {GO:0051015}; GTPase activating protein binding {GO:0032794}; small GTPase binding {GO:0031267}</t>
  </si>
  <si>
    <t>RHO GTPases Activate Formins {R-MMU-5663220}; RHOA GTPase cycle {R-MMU-8980692}; RHOC GTPase cycle {R-MMU-9013106}</t>
  </si>
  <si>
    <t>sp|Q6VN19|RBP10_MOUSE</t>
  </si>
  <si>
    <t>Ran-binding protein 10 (RanBP10)</t>
  </si>
  <si>
    <t>RBP10_MOUSE</t>
  </si>
  <si>
    <t>Q6VN19</t>
  </si>
  <si>
    <t>Q69ZJ1; Q8C328; Q8R1E6</t>
  </si>
  <si>
    <t>Kiaa1464</t>
  </si>
  <si>
    <t>MGI:1921584</t>
  </si>
  <si>
    <t>3D-structure; Acetylation; Cytoplasm; Nucleus; Phosphoprotein</t>
  </si>
  <si>
    <t>cell surface receptor signaling pathway {GO:0007166}; cytoskeleton organization {GO:0007010}; microtubule cytoskeleton organization {GO:0000226}</t>
  </si>
  <si>
    <t>cytoplasm {GO:0005737}; microtubule cytoskeleton {GO:0015630}; nucleus {GO:0005634}; ubiquitin ligase complex {GO:0000151}</t>
  </si>
  <si>
    <t>beta-tubulin binding {GO:0048487}; guanyl-nucleotide exchange factor activity {GO:0005085}; small GTPase binding {GO:0031267}</t>
  </si>
  <si>
    <t>MET activates RAS signaling {R-MMU-8851805}</t>
  </si>
  <si>
    <t>sp|Q99K41|EMIL1_MOUSE</t>
  </si>
  <si>
    <t>EMILIN-1</t>
  </si>
  <si>
    <t>Elastin microfibril interface-located protein 1 (Elastin microfibril interfacer 1)</t>
  </si>
  <si>
    <t>EMIL1_MOUSE</t>
  </si>
  <si>
    <t>Q99K41</t>
  </si>
  <si>
    <t>MGI:1926189</t>
  </si>
  <si>
    <t>Cell adhesion; Coiled coil; Collagen; Disulfide bond; Extracellular matrix; Glycoprotein; Secreted; Signal</t>
  </si>
  <si>
    <t>Coiled coil; Collagen; Signal</t>
  </si>
  <si>
    <t>aortic valve morphogenesis {GO:0003180}; cell adhesion mediated by integrin {GO:0033627}; cell migration {GO:0016477}; cell-matrix adhesion {GO:0007160}; elastic fiber assembly {GO:0048251}; extracellular matrix organization {GO:0030198}; negative regulation of angiogenesis {GO:0016525}; negative regulation of cell activation {GO:0050866}; negative regulation of cell migration {GO:0030336}; negative regulation of collagen biosynthetic process {GO:0032966}; negative regulation of collagen fibril organization {GO:1904027}; negative regulation of ERK1 and ERK2 cascade {GO:0070373}; negative regulation of gene expression {GO:0010629}; negative regulation of macrophage migration {GO:1905522}; negative regulation of pathway-restricted SMAD protein phosphorylation {GO:0060394}; negative regulation of transforming growth factor beta receptor signaling pathway {GO:0030512}; negative regulation of vascular endothelial growth factor receptor signaling pathway {GO:0030948}; positive regulation of angiogenesis {GO:0045766}; positive regulation of apoptotic process {GO:0043065}; positive regulation of cell-substrate adhesion {GO:0010811}; positive regulation of defense response to bacterium {GO:1900426}; positive regulation of extracellular matrix assembly {GO:1901203}; positive regulation of gene expression {GO:0010628}; positive regulation of platelet aggregation {GO:1901731}; regulation of blood pressure {GO:0008217}; regulation of cell population proliferation {GO:0042127}</t>
  </si>
  <si>
    <t>collagen trimer {GO:0005581}; collagen-containing extracellular matrix {GO:0062023}; EMILIN complex {GO:1990971}; extracellular matrix {GO:0031012}; extracellular region {GO:0005576}; extracellular space {GO:0005615}; integrin alpha4-beta1 complex {GO:0034668}</t>
  </si>
  <si>
    <t>extracellular matrix constituent conferring elasticity {GO:0030023}; identical protein binding {GO:0042802}; integrin binding involved in cell-matrix adhesion {GO:0098640}; molecular adaptor activity {GO:0060090}</t>
  </si>
  <si>
    <t>Molecules associated with elastic fibres {R-MMU-2129379}</t>
  </si>
  <si>
    <t>sp|A2AJT4|PNISR_MOUSE</t>
  </si>
  <si>
    <t>Arginine/serine-rich protein PNISR</t>
  </si>
  <si>
    <t>Serine/arginine-rich-splicing regulatory protein 130 (SRrp130); Splicing factor, arginine/serine-rich 130; Splicing factor, arginine/serine-rich 18</t>
  </si>
  <si>
    <t>PNISR_MOUSE</t>
  </si>
  <si>
    <t>A2AJT4</t>
  </si>
  <si>
    <t>Q9CS92</t>
  </si>
  <si>
    <t>Sfrs18; Srrp130</t>
  </si>
  <si>
    <t>MGI:1913875</t>
  </si>
  <si>
    <t>Coiled coil; Isopeptide bond; Nucleus; Phosphoprotein; Ubl conjugation</t>
  </si>
  <si>
    <t>cytosol {GO:0005829}; nuclear speck {GO:0016607}; nucleoplasm {GO:0005654}; plasma membrane {GO:0005886}; presynaptic active zone {GO:0048786}</t>
  </si>
  <si>
    <t>sp|Q6ZQH8|NU188_MOUSE</t>
  </si>
  <si>
    <t>Nucleoporin NUP188</t>
  </si>
  <si>
    <t>NU188_MOUSE</t>
  </si>
  <si>
    <t>Q6ZQH8</t>
  </si>
  <si>
    <t>Q4VA15; Q80UL4; Q8C7A1; Q8R3F1</t>
  </si>
  <si>
    <t>Kiaa0169</t>
  </si>
  <si>
    <t>MGI:2446190</t>
  </si>
  <si>
    <t>Acetylation; mRNA transport; Nuclear pore complex; Nucleus; Phosphoprotein; Protein transport; Translocation; Transport</t>
  </si>
  <si>
    <t>mRNA transport {GO:0051028}; nucleocytoplasmic transport {GO:0006913}; protein import into nucleus {GO:0006606}; RNA export from nucleus {GO:0006405}</t>
  </si>
  <si>
    <t>nuclear envelope {GO:0005635}; nuclear pore {GO:0005643}; nuclear pore inner ring {GO:0044611}</t>
  </si>
  <si>
    <t>sp|Q8BGF6|ELMD2_MOUSE</t>
  </si>
  <si>
    <t>ELMO domain-containing protein 2</t>
  </si>
  <si>
    <t>ELMD2_MOUSE</t>
  </si>
  <si>
    <t>Q8BGF6</t>
  </si>
  <si>
    <t>Q6AXC7; Q8BHP5</t>
  </si>
  <si>
    <t>MGI:2445165</t>
  </si>
  <si>
    <t>positive regulation of GTPase activity {GO:0043547}; regulation of defense response to virus {GO:0050688}</t>
  </si>
  <si>
    <t>sp|O88491|NSD1_MOUSE</t>
  </si>
  <si>
    <t>Histone-lysine N-methyltransferase, H3 lysine-36 specific</t>
  </si>
  <si>
    <t>H3-K36-HMTase; Nuclear receptor-binding SET domain-containing protein 1 (NR-binding SET domain-containing protein)</t>
  </si>
  <si>
    <t>NSD1_MOUSE</t>
  </si>
  <si>
    <t>O88491</t>
  </si>
  <si>
    <t>Q8C480; Q9CT70</t>
  </si>
  <si>
    <t>MGI:1276545</t>
  </si>
  <si>
    <t>3D-structure; Activator; Chromatin regulator; Chromosome; Developmental protein; Isopeptide bond; Metal-binding; Methyltransferase; Nucleus; Phosphoprotein; Receptor; Repeat; Repressor; S-adenosyl-L-methionine; Transcription; Transcription regulation; Transferase; Ubl conjugation; Zinc; Zinc-finger</t>
  </si>
  <si>
    <t>Activator; Chromatin regulator; Developmental protein; Methyltransferase; Receptor; Repressor; Transferase</t>
  </si>
  <si>
    <t>chromatin organization {GO:0006325}; gastrulation with mouth forming second {GO:0001702}; histone methylation {GO:0016571}; negative regulation of transcription by RNA polymerase II {GO:0000122}; positive regulation of DNA-templated transcription {GO:0045893}; regulation of DNA-templated transcription {GO:0006355}; regulation of histone H3-K36 methylation {GO:0000414}; regulation of peptidyl-serine phosphorylation {GO:0033135}; regulation of RNA polymerase II regulatory region sequence-specific DNA binding {GO:1903025}</t>
  </si>
  <si>
    <t>chromatin {GO:0000785}; histone methyltransferase complex {GO:0035097}; nucleus {GO:0005634}</t>
  </si>
  <si>
    <t>chromatin binding {GO:0003682}; histone methyltransferase activity {GO:0042054}; histone methyltransferase activity (H3-K36 specific) {GO:0046975}; histone methyltransferase activity (H4-K20 specific) {GO:0042799}; nuclear androgen receptor binding {GO:0050681}; nuclear estrogen receptor binding {GO:0030331}; nuclear retinoic acid receptor binding {GO:0042974}; nuclear retinoid X receptor binding {GO:0046965}; nuclear thyroid hormone receptor binding {GO:0046966}; RNA polymerase II cis-regulatory region sequence-specific DNA binding {GO:0000978}; transcription coregulator activity {GO:0003712}; transcription corepressor activity {GO:0003714}; zinc ion binding {GO:0008270}</t>
  </si>
  <si>
    <t>sp|Q5SSH7|ZZEF1_MOUSE</t>
  </si>
  <si>
    <t>Zinc finger ZZ-type and EF-hand domain-containing protein 1</t>
  </si>
  <si>
    <t>ZZEF1_MOUSE</t>
  </si>
  <si>
    <t>Q5SSH7</t>
  </si>
  <si>
    <t>Q499C8; Q6ZQC5; Q8C710; Q8CI54</t>
  </si>
  <si>
    <t>Kiaa0399</t>
  </si>
  <si>
    <t>MGI:2444286</t>
  </si>
  <si>
    <t>Acetylation; Activator; Alternative splicing; Lipoprotein; Metal-binding; Myristate; Phosphoprotein; Repeat; Transcription; Transcription regulation; Zinc; Zinc-finger</t>
  </si>
  <si>
    <t>neuroblast proliferation {GO:0007405}; protein ubiquitination {GO:0016567}; regulation of peptidyl-tyrosine phosphorylation {GO:0050730}; regulation of synaptic plasticity {GO:0048167}; synaptic transmission, glutamatergic {GO:0035249}; visual learning {GO:0008542}</t>
  </si>
  <si>
    <t>cell surface {GO:0009986}; postsynapse {GO:0098794}; presynaptic active zone {GO:0048786}; synapse {GO:0045202}</t>
  </si>
  <si>
    <t>calcium ion binding {GO:0005509}; histone reader activity {GO:0140566}; lysine-acetylated histone binding {GO:0070577}; methylated histone binding {GO:0035064}; ubiquitin-like protein ligase activity {GO:0061659}; zinc ion binding {GO:0008270}</t>
  </si>
  <si>
    <t>sp|Q8BFV2|PCID2_MOUSE</t>
  </si>
  <si>
    <t>PCI domain-containing protein 2</t>
  </si>
  <si>
    <t>CSN12-like protein</t>
  </si>
  <si>
    <t>PCID2_MOUSE</t>
  </si>
  <si>
    <t>Q8BFV2</t>
  </si>
  <si>
    <t>Q147Z6; Q8C951</t>
  </si>
  <si>
    <t>MGI:2443003</t>
  </si>
  <si>
    <t>Acetylation; Cytoplasm; mRNA transport; Nuclear pore complex; Nucleus; Phosphoprotein; Protein transport; Translocation; Transport</t>
  </si>
  <si>
    <t>negative regulation of apoptotic process {GO:0043066}; negative regulation of cysteine-type endopeptidase activity {GO:2000117}; negative regulation of lymphoid progenitor cell differentiation {GO:1905457}; poly(A)+ mRNA export from nucleus {GO:0016973}; positive regulation of B cell differentiation {GO:0045579}; positive regulation of DNA-templated transcription {GO:0045893}; positive regulation of mitotic cell cycle spindle assembly checkpoint {GO:0090267}; post-transcriptional tethering of RNA polymerase II gene DNA at nuclear periphery {GO:0000973}; regulation of histone exchange {GO:1900049}; regulation of mRNA stability {GO:0043488}; spleen development {GO:0048536}; transcription elongation by RNA polymerase II promoter {GO:0006368}</t>
  </si>
  <si>
    <t>cytoplasm {GO:0005737}; nuclear pore nuclear basket {GO:0044615}; nucleus {GO:0005634}; transcription export complex 2 {GO:0070390}</t>
  </si>
  <si>
    <t>double-stranded DNA binding {GO:0003690}; RNA binding {GO:0003723}</t>
  </si>
  <si>
    <t>sp|Q6VGS5|DAPLE_MOUSE</t>
  </si>
  <si>
    <t>Protein Daple</t>
  </si>
  <si>
    <t>Coiled-coil domain-containing protein 88C; Dvl-associating protein with a high frequency of leucine residues</t>
  </si>
  <si>
    <t>DAPLE_MOUSE</t>
  </si>
  <si>
    <t>Q6VGS5</t>
  </si>
  <si>
    <t>Q3UVI2</t>
  </si>
  <si>
    <t>Daple</t>
  </si>
  <si>
    <t>MGI:1915589</t>
  </si>
  <si>
    <t>Alternative splicing; Cell junction; Coiled coil; Cytoplasm; Guanine-nucleotide releasing factor; Phosphoprotein; Wnt signaling pathway</t>
  </si>
  <si>
    <t>apical constriction {GO:0003383}; cytoplasmic microtubule organization {GO:0031122}; cytoskeleton-dependent intracellular transport {GO:0030705}; negative regulation of canonical Wnt signaling pathway {GO:0090090}; non-canonical Wnt signaling pathway {GO:0035567}; protein destabilization {GO:0031648}; regulation of protein phosphorylation {GO:0001932}; small GTPase mediated signal transduction {GO:0007264}; stress-activated protein kinase signaling cascade {GO:0031098}</t>
  </si>
  <si>
    <t>anchoring junction {GO:0070161}; cell junction {GO:0030054}; centrosome {GO:0005813}; cytoplasm {GO:0005737}; cytosol {GO:0005829}</t>
  </si>
  <si>
    <t>dynein light intermediate chain binding {GO:0051959}; frizzled binding {GO:0005109}; G-protein alpha-subunit binding {GO:0001965}; guanyl-nucleotide exchange factor activity {GO:0005085}; identical protein binding {GO:0042802}; microtubule binding {GO:0008017}; PDZ domain binding {GO:0030165}; protein self-association {GO:0043621}</t>
  </si>
  <si>
    <t>sp|P98200|AT8A2_MOUSE</t>
  </si>
  <si>
    <t>Phospholipid-transporting ATPase IB</t>
  </si>
  <si>
    <t>ATPase class I type 8A member 2; P4-ATPase flippase complex alpha subunit ATP8A2</t>
  </si>
  <si>
    <t>AT8A2_MOUSE</t>
  </si>
  <si>
    <t>P98200</t>
  </si>
  <si>
    <t>B2RQF2</t>
  </si>
  <si>
    <t>MGI:1354710</t>
  </si>
  <si>
    <t>ATP-binding; Cell membrane; Cell projection; Disease variant; Endosome; Golgi apparatus; Lipid transport; Magnesium; Membrane; Metal-binding; Nucleotide-binding; Phosphoprotein; Translocase; Transmembrane; Transmembrane helix; Transport</t>
  </si>
  <si>
    <t>Cell membrane; Cell projection; Endosome; Golgi apparatus; Membrane</t>
  </si>
  <si>
    <t>aging {GO:0007568}; aminophospholipid translocation {GO:0140331}; axonogenesis {GO:0007409}; detection of light stimulus involved in visual perception {GO:0050908}; eating behavior {GO:0042755}; inner ear morphogenesis {GO:0042472}; involuntary skeletal muscle contraction {GO:0003011}; neurofilament cytoskeleton organization {GO:0060052}; neuromuscular process controlling posture {GO:0050884}; neuron development {GO:0048666}; neuron projection development {GO:0031175}; phospholipid translocation {GO:0045332}; positive regulation of multicellular organism growth {GO:0040018}; positive regulation of neuron projection development {GO:0010976}; positive regulation of phospholipid translocation {GO:0061092}; response to auditory stimulus {GO:0010996}; retina layer formation {GO:0010842}; skin development {GO:0043588}</t>
  </si>
  <si>
    <t>cell projection {GO:0042995}; endosome {GO:0005768}; endosome membrane {GO:0010008}; Golgi apparatus {GO:0005794}; Golgi membrane {GO:0000139}; integral component of membrane {GO:0016021}; membrane {GO:0016020}; nucleoplasm {GO:0005654}; phospholipid-translocating ATPase complex {GO:1990531}; plasma membrane {GO:0005886}</t>
  </si>
  <si>
    <t>aminophospholipid flippase activity {GO:0015247}; ATP binding {GO:0005524}; ATP hydrolysis activity {GO:0016887}; ATPase-coupled intramembrane lipid transporter activity {GO:0140326}; magnesium ion binding {GO:0000287}; phosphatidylethanolamine flippase activity {GO:0090555}; phosphatidylserine flippase activity {GO:0140346}; phosphatidylserine floppase activity {GO:0090556}</t>
  </si>
  <si>
    <t>sp|P35285|RB22A_MOUSE</t>
  </si>
  <si>
    <t>Ras-related protein Rab-22A (Rab-22)</t>
  </si>
  <si>
    <t>Rab-14</t>
  </si>
  <si>
    <t>RB22A_MOUSE</t>
  </si>
  <si>
    <t>P35285</t>
  </si>
  <si>
    <t>Q3UCA7; Q91VD4</t>
  </si>
  <si>
    <t>Rab22</t>
  </si>
  <si>
    <t>MGI:105072</t>
  </si>
  <si>
    <t>3D-structure; Cell membrane; Cell projection; Cytoplasmic vesicle; Endocytosis; Endosome; GTP-binding; Lipoprotein; Membrane; Nucleotide-binding; Prenylation; Protein transport; Transport</t>
  </si>
  <si>
    <t>Cell membrane; Cell projection; Cytoplasmic vesicle; Endosome; Membrane</t>
  </si>
  <si>
    <t>endocytosis {GO:0006897}; endosome organization {GO:0007032}; intracellular protein transport {GO:0006886}; regulation of vesicle size {GO:0097494}</t>
  </si>
  <si>
    <t>actin cytoskeleton {GO:0015629}; early endosome {GO:0005769}; endosome membrane {GO:0010008}; late endosome {GO:0005770}; phagocytic vesicle {GO:0045335}; phagocytic vesicle membrane {GO:0030670}; plasma membrane {GO:0005886}; ruffle {GO:0001726}</t>
  </si>
  <si>
    <t>sp|Q3TNH5|F172A_MOUSE</t>
  </si>
  <si>
    <t>Cotranscriptional regulator FAM172A</t>
  </si>
  <si>
    <t>F172A_MOUSE</t>
  </si>
  <si>
    <t>Q3TNH5</t>
  </si>
  <si>
    <t>Q3TLW0</t>
  </si>
  <si>
    <t>MGI:1915925</t>
  </si>
  <si>
    <t>Alternative splicing; Cytoplasm; Disease variant; Endoplasmic reticulum; Glycoprotein; mRNA processing; mRNA splicing; Nucleus; Signal</t>
  </si>
  <si>
    <t>heterochromatin assembly by small RNA {GO:0031048}; mRNA processing {GO:0006397}; neural crest cell development {GO:0014032}; regulation of alternative mRNA splicing, via spliceosome {GO:0000381}; RNA splicing {GO:0008380}</t>
  </si>
  <si>
    <t>sp|Q91YY4|ATPF2_MOUSE</t>
  </si>
  <si>
    <t>ATP synthase mitochondrial F1 complex assembly factor 2</t>
  </si>
  <si>
    <t>ATPF2_MOUSE</t>
  </si>
  <si>
    <t>Q91YY4</t>
  </si>
  <si>
    <t>Q8BP08</t>
  </si>
  <si>
    <t>MGI:2180561</t>
  </si>
  <si>
    <t>Chaperone; Mitochondrion; Transit peptide</t>
  </si>
  <si>
    <t>mitochondrial proton-transporting ATP synthase complex assembly {GO:0033615}</t>
  </si>
  <si>
    <t>cytosol {GO:0005829}; mitochondrion {GO:0005739}; nuclear speck {GO:0016607}</t>
  </si>
  <si>
    <t>sp|Q6NXJ0|WWC2_MOUSE</t>
  </si>
  <si>
    <t>Protein WWC2</t>
  </si>
  <si>
    <t>WW domain-containing protein 2</t>
  </si>
  <si>
    <t>WWC2_MOUSE</t>
  </si>
  <si>
    <t>Q6NXJ0</t>
  </si>
  <si>
    <t>Q3UGG4; Q3UH10; Q7TMY1; Q8CE61; Q9JJ63</t>
  </si>
  <si>
    <t>D8Ertd594e</t>
  </si>
  <si>
    <t>MGI:1261872</t>
  </si>
  <si>
    <t>Coiled coil; Phosphoprotein; Repeat</t>
  </si>
  <si>
    <t>cell migration {GO:0016477}; negative regulation of hippo signaling {GO:0035331}; negative regulation of organ growth {GO:0046621}; negative regulation of transcription by RNA polymerase II {GO:0000122}; regulation of DNA-templated transcription {GO:0006355}; regulation of hippo signaling {GO:0035330}</t>
  </si>
  <si>
    <t>kinase binding {GO:0019900}; molecular adaptor activity {GO:0060090}</t>
  </si>
  <si>
    <t>sp|P70280|VAMP7_MOUSE</t>
  </si>
  <si>
    <t>Vesicle-associated membrane protein 7 (VAMP-7)</t>
  </si>
  <si>
    <t>Synaptobrevin-like protein 1</t>
  </si>
  <si>
    <t>VAMP7_MOUSE</t>
  </si>
  <si>
    <t>P70280</t>
  </si>
  <si>
    <t>Sybl1</t>
  </si>
  <si>
    <t>MGI:1096399</t>
  </si>
  <si>
    <t>3D-structure; Acetylation; Coiled coil; Cytoplasmic vesicle; Endoplasmic reticulum; Endosome; Exocytosis; Golgi apparatus; Lysosome; Membrane; Phosphoprotein; Protein transport; Signal-anchor; Synapse; Synaptosome; Transmembrane; Transmembrane helix; Transport</t>
  </si>
  <si>
    <t>Cytoplasmic vesicle; Endoplasmic reticulum; Endosome; Golgi apparatus; Lysosome; Membrane; Synapse; Synaptosome</t>
  </si>
  <si>
    <t>calcium-ion regulated exocytosis {GO:0017156}; endoplasmic reticulum to Golgi vesicle-mediated transport {GO:0006888}; endosome to lysosome transport {GO:0008333}; eosinophil degranulation {GO:0043308}; exocytosis {GO:0006887}; Golgi to plasma membrane protein transport {GO:0043001}; natural killer cell degranulation {GO:0043320}; neutrophil degranulation {GO:0043312}; phagocytosis, engulfment {GO:0006911}; positive regulation of dendrite morphogenesis {GO:0050775}; positive regulation of histamine secretion by mast cell {GO:1903595}; regulation of protein targeting to vacuolar membrane {GO:1900483}; SNARE complex assembly {GO:0035493}; triglyceride transport {GO:0034197}; vesicle fusion {GO:0006906}; vesicle fusion with Golgi apparatus {GO:0048280}; vesicle transport along microtubule {GO:0047496}; vesicle-mediated transport {GO:0016192}</t>
  </si>
  <si>
    <t>anchoring junction {GO:0070161}; apical part of cell {GO:0045177}; azurophil granule membrane {GO:0035577}; cell surface {GO:0009986}; cytoplasm {GO:0005737}; endoplasmic reticulum membrane {GO:0005789}; filopodium {GO:0030175}; Golgi apparatus {GO:0005794}; hippocampal mossy fiber to CA3 synapse {GO:0098686}; integral component of synaptic vesicle membrane {GO:0030285}; intracellular membrane-bounded organelle {GO:0043231}; lamellipodium {GO:0030027}; late endosome membrane {GO:0031902}; lysosomal membrane {GO:0005765}; membrane {GO:0016020}; neuron projection {GO:0043005}; perinuclear region of cytoplasm {GO:0048471}; phagocytic vesicle {GO:0045335}; phagocytic vesicle membrane {GO:0030670}; plasma membrane {GO:0005886}; platelet alpha granule {GO:0031091}; pseudopodium {GO:0031143}; secretory granule {GO:0030141}; secretory granule membrane {GO:0030667}; SNARE complex {GO:0031201}; synaptic vesicle {GO:0008021}; trans-Golgi network {GO:0005802}; transport vesicle {GO:0030133}</t>
  </si>
  <si>
    <t>tr|E9Q9B7|E9Q9B7_MOUSE</t>
  </si>
  <si>
    <t>sp|P70166|CPEB1_MOUSE</t>
  </si>
  <si>
    <t>Cytoplasmic polyadenylation element-binding protein 1 (CPE-BP1; CPE-binding protein 1; mCPEB; mCPEB-1)</t>
  </si>
  <si>
    <t>CPEB1_MOUSE</t>
  </si>
  <si>
    <t>P70166</t>
  </si>
  <si>
    <t>Q8C5P9</t>
  </si>
  <si>
    <t>Cpeb</t>
  </si>
  <si>
    <t>MGI:108442</t>
  </si>
  <si>
    <t>Activator; Cytoplasm; Membrane; Metal-binding; mRNA processing; Phosphoprotein; Repeat; Repressor; Ribonucleoprotein; RNA-binding; Synapse; Translation regulation; Zinc</t>
  </si>
  <si>
    <t>Translation regulation; mRNA processing</t>
  </si>
  <si>
    <t>Cytoplasm; Membrane; Synapse</t>
  </si>
  <si>
    <t>cellular response to amino acid stimulus {GO:0071230}; cellular response to hypoxia {GO:0071456}; cellular response to insulin stimulus {GO:0032869}; mRNA processing {GO:0006397}; mRNA transport {GO:0051028}; negative regulation of cell population proliferation {GO:0008285}; negative regulation of cytoplasmic translation {GO:2000766}; negative regulation of translation {GO:0017148}; positive regulation of cell migration {GO:0030335}; positive regulation of mRNA polyadenylation {GO:1900365}; positive regulation of neuron projection development {GO:0010976}; positive regulation of nitric-oxide synthase biosynthetic process {GO:0051770}; positive regulation of translation {GO:0045727}; regulation of neuronal synaptic plasticity {GO:0048168}; regulation of translation {GO:0006417}; synaptonemal complex assembly {GO:0007130}</t>
  </si>
  <si>
    <t>anchoring junction {GO:0070161}; centrosome {GO:0005813}; cytoplasm {GO:0005737}; cytosol {GO:0005829}; growth cone {GO:0030426}; meiotic spindle {GO:0072687}; membrane {GO:0016020}; messenger ribonucleoprotein complex {GO:1990124}; neuron projection {GO:0043005}; neuronal cell body {GO:0043025}; nucleoplasm {GO:0005654}; nucleus {GO:0005634}; P-body {GO:0000932}; perinuclear region of cytoplasm {GO:0048471}; postsynaptic density {GO:0014069}; synapse {GO:0045202}</t>
  </si>
  <si>
    <t>metal ion binding {GO:0046872}; mRNA 3'-UTR AU-rich region binding {GO:0035925}; mRNA 3'-UTR binding {GO:0003730}; mRNA binding {GO:0003729}; mRNA regulatory element binding translation repressor activity {GO:0000900}; ribosome binding {GO:0043022}; RNA binding {GO:0003723}; translation factor activity, RNA binding {GO:0008135}</t>
  </si>
  <si>
    <t>sp|Q8BRG8|TM209_MOUSE</t>
  </si>
  <si>
    <t>Transmembrane protein 209</t>
  </si>
  <si>
    <t>TM209_MOUSE</t>
  </si>
  <si>
    <t>Q8BRG8</t>
  </si>
  <si>
    <t>Q80WQ3; Q8BP02; Q8C202; Q8CDY5</t>
  </si>
  <si>
    <t>MGI:1919899</t>
  </si>
  <si>
    <t>Alternative splicing; Glycoprotein; Membrane; Phosphoprotein; Transmembrane; Transmembrane helix</t>
  </si>
  <si>
    <t>sp|Q5EBG6|HSPB6_MOUSE</t>
  </si>
  <si>
    <t>Heat shock protein beta-6 (HspB6)</t>
  </si>
  <si>
    <t>HSPB6_MOUSE</t>
  </si>
  <si>
    <t>Q5EBG6</t>
  </si>
  <si>
    <t>Gm479</t>
  </si>
  <si>
    <t>MGI:2685325</t>
  </si>
  <si>
    <t>Chaperone; Cytoplasm; Nucleus; Phosphoprotein; Secreted; Stress response</t>
  </si>
  <si>
    <t>chaperone-mediated protein folding {GO:0061077}; negative regulation of apoptotic process {GO:0043066}; negative regulation of cardiac muscle cell apoptotic process {GO:0010667}; positive regulation of angiogenesis {GO:0045766}; protein refolding {GO:0042026}; response to heat {GO:0009408}</t>
  </si>
  <si>
    <t>cytoplasm {GO:0005737}; cytosol {GO:0005829}; extracellular region {GO:0005576}; Golgi apparatus {GO:0005794}; nucleolus {GO:0005730}; nucleus {GO:0005634}</t>
  </si>
  <si>
    <t>chaperone binding {GO:0051087}; protein folding chaperone {GO:0044183}; protein homodimerization activity {GO:0042803}; structural constituent of eye lens {GO:0005212}; unfolded protein binding {GO:0051082}</t>
  </si>
  <si>
    <t>sp|Q61245|COBA1_MOUSE</t>
  </si>
  <si>
    <t>Collagen alpha-1(XI) chain</t>
  </si>
  <si>
    <t>COBA1_MOUSE</t>
  </si>
  <si>
    <t>Q61245</t>
  </si>
  <si>
    <t>Q64047; Q80WR4</t>
  </si>
  <si>
    <t>MGI:88446</t>
  </si>
  <si>
    <t>Alternative splicing; Calcium; Collagen; Disease variant; Disulfide bond; Extracellular matrix; Glycoprotein; Hydroxylation; Metal-binding; Repeat; Secreted; Signal</t>
  </si>
  <si>
    <t>cartilage condensation {GO:0001502}; cartilage development {GO:0051216}; chondrocyte development {GO:0002063}; collagen fibril organization {GO:0030199}; detection of mechanical stimulus involved in sensory perception of sound {GO:0050910}; embryonic skeletal system morphogenesis {GO:0048704}; endodermal cell differentiation {GO:0035987}; extracellular matrix organization {GO:0030198}; heart morphogenesis {GO:0003007}; inner ear morphogenesis {GO:0042472}; ossification {GO:0001503}; proteoglycan metabolic process {GO:0006029}; sensory perception of sound {GO:0007605}; skeletal system morphogenesis {GO:0048705}; tendon development {GO:0035989}; ventricular cardiac muscle tissue morphogenesis {GO:0055010}; visual perception {GO:0007601}</t>
  </si>
  <si>
    <t>collagen trimer {GO:0005581}; collagen type XI trimer {GO:0005592}; collagen-containing extracellular matrix {GO:0062023}; extracellular matrix {GO:0031012}; extracellular space {GO:0005615}</t>
  </si>
  <si>
    <t>extracellular matrix structural constituent {GO:0005201}; heparan sulfate binding {GO:1904399}; heparin binding {GO:0008201}; metal ion binding {GO:0046872}</t>
  </si>
  <si>
    <t>Collagen degradation {R-MMU-1442490}; Collagen biosynthesis and modifying enzymes {R-MMU-1650814}; Assembly of collagen fibrils and other multimeric structures {R-MMU-2022090}; Non-integrin membrane-ECM interactions {R-MMU-3000171}; MET activates PTK2 signaling {R-MMU-8874081}; Collagen chain trimerization {R-MMU-8948216}</t>
  </si>
  <si>
    <t>sp|Q8BM85|TBCK_MOUSE</t>
  </si>
  <si>
    <t>TBC domain-containing protein kinase-like protein</t>
  </si>
  <si>
    <t>TBCK_MOUSE</t>
  </si>
  <si>
    <t>Q8BM85</t>
  </si>
  <si>
    <t>Q8BWD3; Q8BY53</t>
  </si>
  <si>
    <t>MGI:2445052</t>
  </si>
  <si>
    <t>Alternative splicing; Cytoplasm; Cytoskeleton</t>
  </si>
  <si>
    <t>actin cytoskeleton organization {GO:0030036}; activation of GTPase activity {GO:0090630}; cell population proliferation {GO:0008283}; regulation of TOR signaling {GO:0032006}</t>
  </si>
  <si>
    <t>cytoplasm {GO:0005737}; midbody {GO:0030496}; mitotic spindle {GO:0072686}</t>
  </si>
  <si>
    <t>sp|Q80UU1|ANKZ1_MOUSE</t>
  </si>
  <si>
    <t>Ankyrin repeat and zinc finger domain-containing protein 1</t>
  </si>
  <si>
    <t>ANKZ1_MOUSE</t>
  </si>
  <si>
    <t>Q80UU1</t>
  </si>
  <si>
    <t>B9EKG0; Q9CZF5</t>
  </si>
  <si>
    <t>D1Ertd161e</t>
  </si>
  <si>
    <t>MGI:1098746</t>
  </si>
  <si>
    <t>Alternative splicing; ANK repeat; Coiled coil; Cytoplasm; Metal-binding; Phosphoprotein; Repeat; Zinc; Zinc-finger</t>
  </si>
  <si>
    <t>cellular response to hydrogen peroxide {GO:0070301}; ubiquitin-dependent ERAD pathway {GO:0030433}</t>
  </si>
  <si>
    <t>sp|Q8BFR6|ZFAN1_MOUSE</t>
  </si>
  <si>
    <t>AN1-type zinc finger protein 1</t>
  </si>
  <si>
    <t>Zinc finger AN1-type-containing protein 1</t>
  </si>
  <si>
    <t>ZFAN1_MOUSE</t>
  </si>
  <si>
    <t>Q8BFR6</t>
  </si>
  <si>
    <t>Q8R3Y6; Q9D7H5</t>
  </si>
  <si>
    <t>MGI:1913611</t>
  </si>
  <si>
    <t>3D-structure; Cytoplasm; Metal-binding; Repeat; Zinc; Zinc-finger</t>
  </si>
  <si>
    <t>cellular response to arsenite ion {GO:1903843}; positive regulation of intracellular protein transport {GO:0090316}; stress granule disassembly {GO:0035617}</t>
  </si>
  <si>
    <t>cytoplasm {GO:0005737}; cytoplasmic stress granule {GO:0010494}</t>
  </si>
  <si>
    <t>proteasome binding {GO:0070628}; zinc ion binding {GO:0008270}</t>
  </si>
  <si>
    <t>sp|Q7TPE5|S7A6O_MOUSE</t>
  </si>
  <si>
    <t>Probable RNA polymerase II nuclear localization protein SLC7A6OS</t>
  </si>
  <si>
    <t>Solute carrier family 7 member 6 opposite strand transcript homolog</t>
  </si>
  <si>
    <t>S7A6O_MOUSE</t>
  </si>
  <si>
    <t>Q7TPE5</t>
  </si>
  <si>
    <t>MGI:1916951</t>
  </si>
  <si>
    <t>Cytoplasm; Nucleus; Phosphoprotein; Protein transport; Transport</t>
  </si>
  <si>
    <t>developmental process {GO:0032502}; hematopoietic progenitor cell differentiation {GO:0002244}; protein transport {GO:0015031}</t>
  </si>
  <si>
    <t>sp|Q924H7|WAC_MOUSE</t>
  </si>
  <si>
    <t>WW domain-containing adapter protein with coiled-coil</t>
  </si>
  <si>
    <t>WAC_MOUSE</t>
  </si>
  <si>
    <t>Q924H7</t>
  </si>
  <si>
    <t>Q3U0K1; Q66JM9; Q69Z92; Q8C2W2; Q8C8Q8</t>
  </si>
  <si>
    <t>Kiaa1844</t>
  </si>
  <si>
    <t>MGI:2387357</t>
  </si>
  <si>
    <t>Acetylation; Alternative splicing; Chromatin regulator; Coiled coil; Nucleus; Phosphoprotein; Transcription; Transcription regulation</t>
  </si>
  <si>
    <t>cellular response to DNA damage stimulus {GO:0006974}; chromatin organization {GO:0006325}; histone H2B conserved C-terminal lysine ubiquitination {GO:0071894}; histone monoubiquitination {GO:0010390}; mitotic G1 DNA damage checkpoint signaling {GO:0031571}; negative regulation of proteasomal ubiquitin-dependent protein catabolic process {GO:0032435}; positive regulation of DNA-templated transcription {GO:0045893}; positive regulation of macroautophagy {GO:0016239}; positive regulation of TORC1 signaling {GO:1904263}; regulation of autophagy {GO:0010506}</t>
  </si>
  <si>
    <t>nuclear speck {GO:0016607}; nucleoplasm {GO:0005654}; nucleus {GO:0005634}; spliceosomal complex {GO:0005681}</t>
  </si>
  <si>
    <t>sp|Q8CGN4|BCOR_MOUSE</t>
  </si>
  <si>
    <t>BCL-6 corepressor (BCoR)</t>
  </si>
  <si>
    <t>BCOR_MOUSE</t>
  </si>
  <si>
    <t>Q8CGN4</t>
  </si>
  <si>
    <t>B1AXK3; B1AXK4; B1AXK5; B1AXK6; Q6PDK5; Q6ZPM3; Q8BKF5; Q8CGN1; Q8CGN2; Q8CGN3</t>
  </si>
  <si>
    <t>Kiaa1575</t>
  </si>
  <si>
    <t>MGI:1918708</t>
  </si>
  <si>
    <t>Acetylation; Alternative splicing; ANK repeat; Chromatin regulator; Isopeptide bond; Nucleus; Phosphoprotein; Repeat; Repressor; Transcription; Transcription regulation; Ubl conjugation</t>
  </si>
  <si>
    <t>blastocyst hatching {GO:0001835}; chromatin organization {GO:0006325}; heart development {GO:0007507}; histone H2A monoubiquitination {GO:0035518}; negative regulation of bone mineralization {GO:0030502}; negative regulation of histone H3-K36 methylation {GO:0000415}; negative regulation of histone H3-K4 methylation {GO:0051572}; negative regulation of tooth mineralization {GO:0070171}; negative regulation of transcription by RNA polymerase II {GO:0000122}; odontogenesis {GO:0042476}; roof of mouth development {GO:0060021}; specification of axis polarity {GO:0065001}</t>
  </si>
  <si>
    <t>BCOR complex {GO:0140261}; nucleoplasm {GO:0005654}; nucleus {GO:0005634}</t>
  </si>
  <si>
    <t>DNA-binding transcription factor binding {GO:0140297}; heat shock protein binding {GO:0031072}; histone deacetylase binding {GO:0042826}; RNA polymerase II transcription regulatory region sequence-specific DNA binding {GO:0000977}; transcription cis-regulatory region binding {GO:0000976}; transcription corepressor activity {GO:0003714}; ubiquitin-protein transferase activity {GO:0004842}</t>
  </si>
  <si>
    <t>sp|Q8C129|LCAP_MOUSE</t>
  </si>
  <si>
    <t>Leucyl-cystinyl aminopeptidase (Cystinyl aminopeptidase)</t>
  </si>
  <si>
    <t>Oxytocinase (OTase)</t>
  </si>
  <si>
    <t>LCAP_MOUSE</t>
  </si>
  <si>
    <t>Q8C129</t>
  </si>
  <si>
    <t>MGI:2387123</t>
  </si>
  <si>
    <t>Acetylation; Aminopeptidase; Cell membrane; Glycoprotein; Hydrolase; Membrane; Metal-binding; Metalloprotease; Phosphoprotein; Protease; Signal-anchor; Transmembrane; Transmembrane helix; Zinc</t>
  </si>
  <si>
    <t>negative regulation of cold-induced thermogenesis {GO:0120163}; neuropeptide catabolic process {GO:0010813}; peptide catabolic process {GO:0043171}; positive regulation of blood pressure {GO:0045777}; protein catabolic process {GO:0030163}; proteolysis {GO:0006508}; regulation of blood pressure {GO:0008217}; regulation of long-term neuronal synaptic plasticity {GO:0048169}; response to hormone {GO:0009725}; signal transduction {GO:0007165}; SMAD protein signal transduction {GO:0060395}</t>
  </si>
  <si>
    <t>cell surface {GO:0009986}; cytoplasm {GO:0005737}; cytoplasmic vesicle membrane {GO:0030659}; insulin-responsive compartment {GO:0032593}; integral component of plasma membrane {GO:0005887}; intracellular membrane-bounded organelle {GO:0043231}; intracellular organelle {GO:0043229}; membrane {GO:0016020}; neuronal cell body {GO:0043025}; perinuclear region of cytoplasm {GO:0048471}; plasma membrane {GO:0005886}; vesicle {GO:0031982}</t>
  </si>
  <si>
    <t>Endosomal/Vacuolar pathway {R-MMU-1236977}; Antigen processing: Ubiquitination &amp; Proteasome degradation {R-MMU-983168}</t>
  </si>
  <si>
    <t>sp|Q3UIL6|PKHA7_MOUSE</t>
  </si>
  <si>
    <t>Pleckstrin homology domain-containing family A member 7 (PH domain-containing family A member 7)</t>
  </si>
  <si>
    <t>Heart adapter protein 1</t>
  </si>
  <si>
    <t>PKHA7_MOUSE</t>
  </si>
  <si>
    <t>Q3UIL6</t>
  </si>
  <si>
    <t>B6RSP2; B6RSP3; Q3TUE4; Q5XG70; Q8BYE3</t>
  </si>
  <si>
    <t>Hadp1</t>
  </si>
  <si>
    <t>MGI:2445094</t>
  </si>
  <si>
    <t>Alternative splicing; Cell junction; Coiled coil; Cytoplasm; Cytoskeleton; Phosphoprotein; Repeat</t>
  </si>
  <si>
    <t>cell-cell adhesion mediated by cadherin {GO:0044331}; epithelial cell-cell adhesion {GO:0090136}; pore complex assembly {GO:0046931}; vasodilation {GO:0042311}; zonula adherens maintenance {GO:0045218}</t>
  </si>
  <si>
    <t>cell junction {GO:0030054}; cell-cell junction {GO:0005911}; centrosome {GO:0005813}; cytosol {GO:0005829}; nucleoplasm {GO:0005654}; pore complex {GO:0046930}; zonula adherens {GO:0005915}</t>
  </si>
  <si>
    <t>delta-catenin binding {GO:0070097}</t>
  </si>
  <si>
    <t>sp|Q9D083|SPC24_MOUSE</t>
  </si>
  <si>
    <t>Kinetochore protein Spc24</t>
  </si>
  <si>
    <t>SPC24_MOUSE</t>
  </si>
  <si>
    <t>Q9D083</t>
  </si>
  <si>
    <t>Q3TIF5; Q8CD13</t>
  </si>
  <si>
    <t>Spbc24</t>
  </si>
  <si>
    <t>MGI:1914879</t>
  </si>
  <si>
    <t>Alternative splicing; Cell cycle; Cell division; Centromere; Chromosome; Coiled coil; Kinetochore; Mitosis; Nucleus; Phosphoprotein</t>
  </si>
  <si>
    <t>attachment of spindle microtubules to kinetochore {GO:0008608}; cell division {GO:0051301}; chromosome segregation {GO:0007059}; mitotic spindle assembly checkpoint signaling {GO:0007094}</t>
  </si>
  <si>
    <t>kinetochore {GO:0000776}; Ndc80 complex {GO:0031262}; NMS complex {GO:0031617}; nucleolus {GO:0005730}; nucleoplasm {GO:0005654}</t>
  </si>
  <si>
    <t>sp|P69566|RANB9_MOUSE</t>
  </si>
  <si>
    <t>Ran-binding protein 9 (RanBP9)</t>
  </si>
  <si>
    <t>B-cell antigen receptor Ig beta-associated protein 1 (IBAP-1); Ran-binding protein M (RanBPM)</t>
  </si>
  <si>
    <t>RANB9_MOUSE</t>
  </si>
  <si>
    <t>P69566</t>
  </si>
  <si>
    <t>P84500; Q3V136</t>
  </si>
  <si>
    <t>Ranbpm</t>
  </si>
  <si>
    <t>MGI:1928741</t>
  </si>
  <si>
    <t>Acetylation; Alternative splicing; Cell membrane; Cytoplasm; Membrane; Nucleus; Phosphoprotein; Ubl conjugation</t>
  </si>
  <si>
    <t>cell surface receptor signaling pathway {GO:0007166}; cytoskeleton organization {GO:0007010}; negative regulation of ERK1 and ERK2 cascade {GO:0070373}; positive regulation of amyloid precursor protein catabolic process {GO:1902993}</t>
  </si>
  <si>
    <t>cytoplasm {GO:0005737}; cytosol {GO:0005829}; nuclear body {GO:0016604}; nucleoplasm {GO:0005654}; nucleus {GO:0005634}; plasma membrane {GO:0005886}; ubiquitin ligase complex {GO:0000151}</t>
  </si>
  <si>
    <t>enzyme binding {GO:0019899}; small GTPase binding {GO:0031267}</t>
  </si>
  <si>
    <t>L1CAM interactions {R-MMU-373760}; RAF/MAP kinase cascade {R-MMU-5673001}; MET activates RAS signaling {R-MMU-8851805}</t>
  </si>
  <si>
    <t>sp|Q8BS95|GPHR_MOUSE</t>
  </si>
  <si>
    <t>Golgi pH regulator</t>
  </si>
  <si>
    <t>Protein GPR89</t>
  </si>
  <si>
    <t>GPHR_MOUSE</t>
  </si>
  <si>
    <t>Q8BS95</t>
  </si>
  <si>
    <t>Q9D455</t>
  </si>
  <si>
    <t>MGI:1914799</t>
  </si>
  <si>
    <t>Glycoprotein; Golgi apparatus; Ion channel; Ion transport; Membrane; Protein transport; Transmembrane; Transmembrane helix; Transport; Voltage-gated channel</t>
  </si>
  <si>
    <t>intracellular pH reduction {GO:0051452}; protein transport {GO:0015031}; regulation of ion transmembrane transport {GO:0034765}; skin development {GO:0043588}; T cell differentiation {GO:0030217}</t>
  </si>
  <si>
    <t>Golgi cisterna membrane {GO:0032580}; Golgi membrane {GO:0000139}; Golgi-associated vesicle membrane {GO:0030660}; integral component of membrane {GO:0016021}</t>
  </si>
  <si>
    <t>voltage-gated anion channel activity {GO:0008308}</t>
  </si>
  <si>
    <t>sp|Q91YK2|RRP1B_MOUSE</t>
  </si>
  <si>
    <t>Ribosomal RNA processing protein 1 homolog B</t>
  </si>
  <si>
    <t>RRP1-like protein B</t>
  </si>
  <si>
    <t>RRP1B_MOUSE</t>
  </si>
  <si>
    <t>Q91YK2</t>
  </si>
  <si>
    <t>B0V2W7</t>
  </si>
  <si>
    <t>MGI:1919712</t>
  </si>
  <si>
    <t>Acetylation; Activator; Apoptosis; Chromosome; Citrullination; mRNA processing; mRNA splicing; Nucleus; Phosphoprotein; Transcription; Transcription regulation</t>
  </si>
  <si>
    <t>apoptotic process {GO:0006915}; cellular response to virus {GO:0098586}; mRNA processing {GO:0006397}; negative regulation of GTPase activity {GO:0034260}; positive regulation by host of viral transcription {GO:0043923}; positive regulation of apoptotic process {GO:0043065}; positive regulation of transcription by RNA polymerase II {GO:0045944}; regulation of RNA splicing {GO:0043484}; RNA splicing {GO:0008380}; rRNA processing {GO:0006364}</t>
  </si>
  <si>
    <t>chromosome {GO:0005694}; euchromatin {GO:0000791}; granular component {GO:0001652}; heterochromatin {GO:0000792}; nucleolus {GO:0005730}; nucleoplasm {GO:0005654}; nucleus {GO:0005634}; preribosome, large subunit precursor {GO:0030687}; preribosome, small subunit precursor {GO:0030688}</t>
  </si>
  <si>
    <t>sp|Q5RJH6|SMG7_MOUSE</t>
  </si>
  <si>
    <t>Nonsense-mediated mRNA decay factor SMG7</t>
  </si>
  <si>
    <t>SMG-7 homolog</t>
  </si>
  <si>
    <t>SMG7_MOUSE</t>
  </si>
  <si>
    <t>Q5RJH6</t>
  </si>
  <si>
    <t>Q63ZW5; Q6ZQF3</t>
  </si>
  <si>
    <t>MGI:2682334</t>
  </si>
  <si>
    <t>Acetylation; Alternative splicing; Cytoplasm; Nonsense-mediated mRNA decay; Nucleus; Phosphoprotein; Repeat; TPR repeat</t>
  </si>
  <si>
    <t>nuclear-transcribed mRNA catabolic process, nonsense-mediated decay {GO:0000184}</t>
  </si>
  <si>
    <t>cytoplasm {GO:0005737}; cytosol {GO:0005829}; intermediate filament cytoskeleton {GO:0045111}; nucleus {GO:0005634}; telomerase holoenzyme complex {GO:0005697}</t>
  </si>
  <si>
    <t>protein phosphatase 2A binding {GO:0051721}; telomerase RNA binding {GO:0070034}; telomeric DNA binding {GO:0042162}</t>
  </si>
  <si>
    <t>sp|P58059|RT21_MOUSE</t>
  </si>
  <si>
    <t>28S ribosomal protein S21, mitochondrial (MRP-S21; S21mt)</t>
  </si>
  <si>
    <t>RT21_MOUSE</t>
  </si>
  <si>
    <t>P58059</t>
  </si>
  <si>
    <t>Rpms21</t>
  </si>
  <si>
    <t>MGI:1913542</t>
  </si>
  <si>
    <t>sp|Q8BTG3|T11L1_MOUSE</t>
  </si>
  <si>
    <t>T-complex protein 11-like protein 1</t>
  </si>
  <si>
    <t>T11L1_MOUSE</t>
  </si>
  <si>
    <t>Q8BTG3</t>
  </si>
  <si>
    <t>MGI:2444263</t>
  </si>
  <si>
    <t>microtubule {GO:0005874}</t>
  </si>
  <si>
    <t>sp|Q8BFT2|HAUS4_MOUSE</t>
  </si>
  <si>
    <t>HAUS augmin-like complex subunit 4</t>
  </si>
  <si>
    <t>HAUS4_MOUSE</t>
  </si>
  <si>
    <t>Q8BFT2</t>
  </si>
  <si>
    <t>Q99KI1</t>
  </si>
  <si>
    <t>D14Ertd500e</t>
  </si>
  <si>
    <t>MGI:1261794</t>
  </si>
  <si>
    <t>Cell cycle; Cell division; Cytoplasm; Cytoskeleton; Microtubule; Mitosis</t>
  </si>
  <si>
    <t>centrosome {GO:0005813}; cytoplasm {GO:0005737}; HAUS complex {GO:0070652}; mitotic spindle microtubule {GO:1990498}</t>
  </si>
  <si>
    <t>microtubule minus-end binding {GO:0051011}</t>
  </si>
  <si>
    <t>sp|Q5U3K5|RABL6_MOUSE</t>
  </si>
  <si>
    <t>Rab-like protein 6</t>
  </si>
  <si>
    <t>GTP-binding protein Parf; Rab-like protein 1 (RBEL1)</t>
  </si>
  <si>
    <t>RABL6_MOUSE</t>
  </si>
  <si>
    <t>Q5U3K5</t>
  </si>
  <si>
    <t>A2AJB0; Q3TAT5; Q3TRU4; Q6PDP8; Q8BFS4; Q8CGJ9</t>
  </si>
  <si>
    <t>Parf</t>
  </si>
  <si>
    <t>MGI:2442633</t>
  </si>
  <si>
    <t>Acetylation; Cytoplasm; GTP-binding; Nucleotide-binding; Nucleus; Phosphoprotein</t>
  </si>
  <si>
    <t>centrosome {GO:0005813}; cytoplasm {GO:0005737}; cytosol {GO:0005829}; nucleus {GO:0005634}</t>
  </si>
  <si>
    <t>sp|P63139|NFYB_MOUSE</t>
  </si>
  <si>
    <t>Nuclear transcription factor Y subunit beta</t>
  </si>
  <si>
    <t>CAAT box DNA-binding protein subunit B; Nuclear transcription factor Y subunit B (NF-YB)</t>
  </si>
  <si>
    <t>NFYB_MOUSE</t>
  </si>
  <si>
    <t>P63139</t>
  </si>
  <si>
    <t>P22569; Q3UK54</t>
  </si>
  <si>
    <t>MGI:97317</t>
  </si>
  <si>
    <t>Activator; Alternative splicing; DNA-binding; Isopeptide bond; Nucleus; Transcription; Transcription regulation; Ubl conjugation</t>
  </si>
  <si>
    <t>cellular response to leukemia inhibitory factor {GO:1990830}; histone H3-K4 trimethylation {GO:0080182}; positive regulation of DNA-templated transcription {GO:0045893}; positive regulation of transcription by RNA polymerase II {GO:0045944}; regulation of DNA-templated transcription {GO:0006355}; regulation of histone acetylation {GO:0035065}; regulation of transcription by RNA polymerase II {GO:0006357}</t>
  </si>
  <si>
    <t>DNA binding {GO:0003677}; DNA-binding transcription activator activity, RNA polymerase II-specific {GO:0001228}; DNA-binding transcription factor activity {GO:0003700}; DNA-binding transcription factor activity, RNA polymerase II-specific {GO:0000981}; DNA-binding transcription factor binding {GO:0140297}; protein heterodimerization activity {GO:0046982}; protein-containing complex binding {GO:0044877}; RNA polymerase II cis-regulatory region sequence-specific DNA binding {GO:0000978}; sequence-specific DNA binding {GO:0043565}; transcription cis-regulatory region binding {GO:0000976}</t>
  </si>
  <si>
    <t>sp|Q91YI1|ATG13_MOUSE</t>
  </si>
  <si>
    <t>Autophagy-related protein 13</t>
  </si>
  <si>
    <t>ATG13_MOUSE</t>
  </si>
  <si>
    <t>Q91YI1</t>
  </si>
  <si>
    <t>A2AH18; Q80TU9</t>
  </si>
  <si>
    <t>D2Ertd391e; Kiaa0652</t>
  </si>
  <si>
    <t>MGI:1196429</t>
  </si>
  <si>
    <t>Acetylation; Alternative splicing; Autophagy; Cytoplasm; Phosphoprotein</t>
  </si>
  <si>
    <t>autophagosome assembly {GO:0000045}; mitophagy {GO:0000423}; negative regulation of cell population proliferation {GO:0008285}; piecemeal microautophagy of the nucleus {GO:0034727}; positive regulation of autophagy {GO:0010508}; protein autophosphorylation {GO:0046777}; protein localization to phagophore assembly site {GO:0034497}; protein phosphorylation {GO:0006468}; regulation of protein lipidation {GO:1903059}; response to mitochondrial depolarisation {GO:0098780}</t>
  </si>
  <si>
    <t>Atg1/ULK1 kinase complex {GO:1990316}; cytosol {GO:0005829}; extrinsic component of membrane {GO:0019898}; mitochondrion {GO:0005739}; phagophore assembly site {GO:0000407}</t>
  </si>
  <si>
    <t>protein kinase binding {GO:0019901}</t>
  </si>
  <si>
    <t>sp|Q8BGN2|CD033_MOUSE</t>
  </si>
  <si>
    <t>UPF0462 protein C4orf33 homolog</t>
  </si>
  <si>
    <t>CD033_MOUSE</t>
  </si>
  <si>
    <t>Q8BGN2</t>
  </si>
  <si>
    <t>Q8C8S9; Q9CZE4; Q9D5M7</t>
  </si>
  <si>
    <t>MGI:1289213</t>
  </si>
  <si>
    <t>sp|Q9QWT9|KIFC1_MOUSE</t>
  </si>
  <si>
    <t>Kinesin-like protein KIFC1</t>
  </si>
  <si>
    <t>KIFC1_MOUSE</t>
  </si>
  <si>
    <t>Q9QWT9</t>
  </si>
  <si>
    <t>O08671; O35230; Q497Y3; Q4A1N2; Q6PG90; Q8BV06; Q99L84; Q9JKZ0</t>
  </si>
  <si>
    <t>MGI:109596</t>
  </si>
  <si>
    <t>Alternative splicing; ATP-binding; Cell cycle; Cell division; Coiled coil; Cytoplasm; Cytoskeleton; Endosome; Microtubule; Mitosis; Motor protein; Nucleotide-binding; Nucleus; Phosphoprotein</t>
  </si>
  <si>
    <t>Cytoplasm; Cytoskeleton; Endosome; Microtubule; Nucleus</t>
  </si>
  <si>
    <t>cell division {GO:0051301}; microtubule-based movement {GO:0007018}; minus-end-directed vesicle transport along microtubule {GO:0072382}; mitotic metaphase plate congression {GO:0007080}; mitotic spindle assembly {GO:0090307}; negative regulation of centrosome duplication {GO:0010826}; vesicle transport along microtubule {GO:0047496}</t>
  </si>
  <si>
    <t>early endosome {GO:0005769}; endocytic vesicle {GO:0030139}; kinesin complex {GO:0005871}; microtubule {GO:0005874}; microtubule organizing center {GO:0005815}; mitotic spindle {GO:0072686}; nucleus {GO:0005634}; spindle pole centrosome {GO:0031616}</t>
  </si>
  <si>
    <t>ATP binding {GO:0005524}; ATP hydrolysis activity {GO:0016887}; microtubule binding {GO:0008017}; microtubule motor activity {GO:0003777}; minus-end-directed microtubule motor activity {GO:0008569}</t>
  </si>
  <si>
    <t>sp|Q8C0S1|DI3L1_MOUSE</t>
  </si>
  <si>
    <t>DIS3-like exonuclease 1</t>
  </si>
  <si>
    <t>DI3L1_MOUSE</t>
  </si>
  <si>
    <t>Q8C0S1</t>
  </si>
  <si>
    <t>Q69Z56</t>
  </si>
  <si>
    <t>Kiaa1955</t>
  </si>
  <si>
    <t>MGI:2143272</t>
  </si>
  <si>
    <t>Alternative splicing; Cytoplasm; Exonuclease; Exosome; Hydrolase; Magnesium; Nuclease; Phosphoprotein; RNA-binding</t>
  </si>
  <si>
    <t>Cytoplasm; Exosome</t>
  </si>
  <si>
    <t>RNA catabolic process {GO:0006401}; RNA processing {GO:0006396}; rRNA catabolic process {GO:0016075}</t>
  </si>
  <si>
    <t>centrosome {GO:0005813}; cytoplasmic exosome (RNase complex) {GO:0000177}; cytosol {GO:0005829}; exosome (RNase complex) {GO:0000178}; plasma membrane {GO:0005886}</t>
  </si>
  <si>
    <t>3'-5'-exoribonuclease activity {GO:0000175}; enzyme binding {GO:0019899}; RNA binding {GO:0003723}</t>
  </si>
  <si>
    <t>sp|Q68FE2|ATG9A_MOUSE</t>
  </si>
  <si>
    <t>Autophagy-related protein 9A</t>
  </si>
  <si>
    <t>APG9-like 1</t>
  </si>
  <si>
    <t>ATG9A_MOUSE</t>
  </si>
  <si>
    <t>Q68FE2</t>
  </si>
  <si>
    <t>Q3ZAQ4</t>
  </si>
  <si>
    <t>MGI:2138446</t>
  </si>
  <si>
    <t>Acetylation; Alternative splicing; Autophagy; Cytoplasmic vesicle; Endoplasmic reticulum; Endosome; Glycoprotein; Golgi apparatus; Lipid transport; Membrane; Mitochondrion; Phosphoprotein; Transmembrane; Transmembrane helix; Transport</t>
  </si>
  <si>
    <t>Cytoplasmic vesicle; Endoplasmic reticulum; Endosome; Golgi apparatus; Membrane; Mitochondrion</t>
  </si>
  <si>
    <t>autophagosome assembly {GO:0000045}; autophagy {GO:0006914}; autophagy of mitochondrion {GO:0000422}; bone morphogenesis {GO:0060349}; innate immune response {GO:0045087}; late nucleophagy {GO:0044805}; negative regulation of interferon-beta production {GO:0032688}; negative regulation of macrophage cytokine production {GO:0010936}; positive regulation of necrotic cell death {GO:0010940}; protein localization to Golgi apparatus {GO:0034067}; protein localization to phagophore assembly site {GO:0034497}</t>
  </si>
  <si>
    <t>autophagosome {GO:0005776}; cytoplasm {GO:0005737}; endoplasmic reticulum membrane {GO:0005789}; endosome {GO:0005768}; Golgi apparatus {GO:0005794}; Golgi membrane {GO:0000139}; integral component of membrane {GO:0016021}; intracellular membrane-bounded organelle {GO:0043231}; late endosome {GO:0005770}; late endosome membrane {GO:0031902}; mitochondrial membrane {GO:0031966}; mitochondrion {GO:0005739}; phagophore assembly site {GO:0000407}; phagophore assembly site membrane {GO:0034045}; recycling endosome {GO:0055037}; recycling endosome membrane {GO:0055038}; synaptic vesicle {GO:0008021}; trans-Golgi network {GO:0005802}</t>
  </si>
  <si>
    <t>phospholipid scramblase activity {GO:0017128}</t>
  </si>
  <si>
    <t>sp|O35379|MRP1_MOUSE</t>
  </si>
  <si>
    <t>Multidrug resistance-associated protein 1</t>
  </si>
  <si>
    <t>ATP-binding cassette sub-family C member 1; Glutathione-S-conjugate-translocating ATPase ABCC1; Leukotriene C(4) transporter (LTC4 transporter)</t>
  </si>
  <si>
    <t>MRP1_MOUSE</t>
  </si>
  <si>
    <t>O35379</t>
  </si>
  <si>
    <t>MGI:102676</t>
  </si>
  <si>
    <t>ATP-binding; Cell membrane; Glycoprotein; Hydrolase; Lipid transport; Membrane; Nucleotide-binding; Phosphoprotein; Repeat; Translocase; Transmembrane; Transmembrane helix; Transport</t>
  </si>
  <si>
    <t>carboxylic acid transmembrane transport {GO:1905039}; cell chemotaxis {GO:0060326}; cellular response to amyloid-beta {GO:1904646}; cobalamin transport {GO:0015889}; export across plasma membrane {GO:0140115}; glutathione transmembrane transport {GO:0034775}; leukotriene transport {GO:0071716}; long-chain fatty acid import across plasma membrane {GO:0015911}; negative regulation of cell death {GO:0060548}; negative regulation of neuron death {GO:1901215}; phospholipid efflux {GO:0033700}; phospholipid translocation {GO:0045332}; positive regulation of cell migration {GO:0030335}; positive regulation of inflammatory response {GO:0050729}; response to oxidative stress {GO:0006979}; response to xenobiotic stimulus {GO:0009410}; sphingolipid translocation {GO:0099039}; transepithelial transport {GO:0070633}; transmembrane transport {GO:0055085}; xenobiotic detoxification by transmembrane export across the plasma membrane {GO:1990961}; xenobiotic transport {GO:0042908}; xenobiotic transport across blood-brain barrier {GO:1990962}</t>
  </si>
  <si>
    <t>apical plasma membrane {GO:0016324}; basal plasma membrane {GO:0009925}; basolateral plasma membrane {GO:0016323}; cytoplasm {GO:0005737}; integral component of plasma membrane {GO:0005887}; lateral plasma membrane {GO:0016328}; membrane {GO:0016020}; plasma membrane {GO:0005886}</t>
  </si>
  <si>
    <t>ABC-type glutathione S-conjugate transporter activity {GO:0015431}; ABC-type transporter activity {GO:0140359}; ABC-type vitamin B12 transporter activity {GO:0015420}; ABC-type xenobiotic transporter activity {GO:0008559}; amide transmembrane transporter activity {GO:0042887}; ATP binding {GO:0005524}; ATPase-coupled lipid transmembrane transporter activity {GO:0034040}; ATPase-coupled transmembrane transporter activity {GO:0042626}; carboxylic acid transmembrane transporter activity {GO:0046943}; efflux transmembrane transporter activity {GO:0015562}; glutathione transmembrane transporter activity {GO:0034634}; hydrolase activity {GO:0016787}; long-chain fatty acid transporter activity {GO:0005324}; xenobiotic transmembrane transporter activity {GO:0042910}</t>
  </si>
  <si>
    <t>Heme degradation {R-MMU-189483}; Synthesis of Leukotrienes (LT) and Eoxins (EX) {R-MMU-2142691}; ABC-family proteins mediated transport {R-MMU-382556}; Cytoprotection by HMOX1 {R-MMU-9707564}; Paracetamol ADME {R-MMU-9753281}; Transport of RCbl within the body {R-MMU-9758890}</t>
  </si>
  <si>
    <t>sp|Q5XG73|ACBD5_MOUSE</t>
  </si>
  <si>
    <t>Acyl-CoA-binding domain-containing protein 5</t>
  </si>
  <si>
    <t>ACBD5_MOUSE</t>
  </si>
  <si>
    <t>Q5XG73</t>
  </si>
  <si>
    <t>A2AQX9; A2AQY0; Q6P7V7; Q7TSC2; Q8BKU6; Q8CI99; Q9CW41</t>
  </si>
  <si>
    <t>MGI:1921409</t>
  </si>
  <si>
    <t>Acetylation; Alternative splicing; Autophagy; Coiled coil; Lipid-binding; Membrane; Peroxisome; Phosphoprotein; Transmembrane; Transmembrane helix; Transport</t>
  </si>
  <si>
    <t>Autophagy; Transport</t>
  </si>
  <si>
    <t>autophagy of peroxisome {GO:0030242}; fatty acid metabolic process {GO:0006631}</t>
  </si>
  <si>
    <t>cytoplasm {GO:0005737}; integral component of membrane {GO:0016021}; nucleoplasm {GO:0005654}; peroxisomal membrane {GO:0005778}; peroxisome {GO:0005777}</t>
  </si>
  <si>
    <t>Peroxisomal lipid metabolism {R-MMU-390918}; RHOA GTPase cycle {R-MMU-8980692}; RHOC GTPase cycle {R-MMU-9013106}; Class I peroxisomal membrane protein import {R-MMU-9603798}</t>
  </si>
  <si>
    <t>sp|Q3U487|HECD3_MOUSE</t>
  </si>
  <si>
    <t>E3 ubiquitin-protein ligase HECTD3</t>
  </si>
  <si>
    <t>HECT domain-containing protein 3; HECT-type E3 ubiquitin transferase HECTD3</t>
  </si>
  <si>
    <t>HECD3_MOUSE</t>
  </si>
  <si>
    <t>Q3U487</t>
  </si>
  <si>
    <t>B1AUL1; Q3TN76; Q641P3; Q8BQ74; Q8R1L6</t>
  </si>
  <si>
    <t>MGI:1923858</t>
  </si>
  <si>
    <t>Acetylation; Alternative splicing; Cytoplasm; Phosphoprotein; Transferase; Ubl conjugation pathway</t>
  </si>
  <si>
    <t>syntaxin binding {GO:0019905}; ubiquitin-protein transferase activity {GO:0004842}</t>
  </si>
  <si>
    <t>sp|A1A5B6|TBC25_MOUSE</t>
  </si>
  <si>
    <t>TBC1 domain family member 25</t>
  </si>
  <si>
    <t>TBC25_MOUSE</t>
  </si>
  <si>
    <t>A1A5B6</t>
  </si>
  <si>
    <t>Q8BIM6; Q8BIW8</t>
  </si>
  <si>
    <t>MGI:2444862</t>
  </si>
  <si>
    <t>Autophagy; Cytoplasm; Cytoplasmic vesicle; GTPase activation; Phosphoprotein</t>
  </si>
  <si>
    <t>activation of GTPase activity {GO:0090630}; autophagy {GO:0006914}; regulation of autophagosome maturation {GO:1901096}</t>
  </si>
  <si>
    <t>autophagosome {GO:0005776}; cytoplasmic vesicle {GO:0031410}</t>
  </si>
  <si>
    <t>sp|Q6P9Q4|FHOD1_MOUSE</t>
  </si>
  <si>
    <t>FH1/FH2 domain-containing protein 1</t>
  </si>
  <si>
    <t>Formin homolog overexpressed in spleen 1 (FHOS); Formin homology 2 domain-containing protein 1</t>
  </si>
  <si>
    <t>FHOD1_MOUSE</t>
  </si>
  <si>
    <t>Q6P9Q4</t>
  </si>
  <si>
    <t>Q8BMK2</t>
  </si>
  <si>
    <t>Fhos1</t>
  </si>
  <si>
    <t>MGI:2679008</t>
  </si>
  <si>
    <t>Actin-binding; Cell projection; Cytoplasm; Cytoskeleton; Phosphoprotein</t>
  </si>
  <si>
    <t>actin filament network formation {GO:0051639}; cortical actin cytoskeleton organization {GO:0030866}; establishment of centrosome localization {GO:0051660}; nuclear migration {GO:0007097}; positive regulation of stress fiber assembly {GO:0051496}; positive regulation of transcription by RNA polymerase II {GO:0045944}; regulation of stress fiber assembly {GO:0051492}</t>
  </si>
  <si>
    <t>bleb {GO:0032059}; cytoplasm {GO:0005737}; cytoskeleton {GO:0005856}; cytosol {GO:0005829}; intercalated disc {GO:0014704}; nucleoplasm {GO:0005654}; nucleus {GO:0005634}; stress fiber {GO:0001725}</t>
  </si>
  <si>
    <t>actin filament binding {GO:0051015}; identical protein binding {GO:0042802}; protein domain specific binding {GO:0019904}; protein self-association {GO:0043621}</t>
  </si>
  <si>
    <t>sp|Q9D0N7|CAF1B_MOUSE</t>
  </si>
  <si>
    <t>Chromatin assembly factor 1 subunit B (CAF-1 subunit B)</t>
  </si>
  <si>
    <t>Chromatin assembly factor I p60 subunit (CAF-I 60 kDa subunit; CAF-I p60)</t>
  </si>
  <si>
    <t>CAF1B_MOUSE</t>
  </si>
  <si>
    <t>Q9D0N7</t>
  </si>
  <si>
    <t>MGI:1314881</t>
  </si>
  <si>
    <t>Acetylation; Cell cycle; Cytoplasm; DNA damage; DNA repair; DNA replication; Nucleus; Phosphoprotein; Repeat; Transcription; Transcription regulation; WD repeat</t>
  </si>
  <si>
    <t>Cell cycle; DNA damage; DNA repair; DNA replication; Transcription; Transcription regulation</t>
  </si>
  <si>
    <t>cell cycle {GO:0007049}; chromatin assembly {GO:0031497}; DNA repair {GO:0006281}; DNA replication {GO:0006260}; DNA replication-dependent chromatin assembly {GO:0006335}; nucleosome assembly {GO:0006334}</t>
  </si>
  <si>
    <t>CAF-1 complex {GO:0033186}; chromatin {GO:0000785}; cytoplasm {GO:0005737}; nucleoplasm {GO:0005654}; nucleus {GO:0005634}; protein-containing complex {GO:0032991}</t>
  </si>
  <si>
    <t>sp|Q3UHC7|DAB2P_MOUSE</t>
  </si>
  <si>
    <t>Disabled homolog 2-interacting protein (DAB2-interacting protein)</t>
  </si>
  <si>
    <t>ASK-interacting protein 1; DOC-2/DAB-2 interactive protein</t>
  </si>
  <si>
    <t>DAB2P_MOUSE</t>
  </si>
  <si>
    <t>Q3UHC7</t>
  </si>
  <si>
    <t>A2AUW9; A2AUX2; A5X2X2; B7ZD28; Q3TPD5; Q3UH44; Q6JTV1; Q6Y636; Q80T97</t>
  </si>
  <si>
    <t>Kiaa1743</t>
  </si>
  <si>
    <t>MGI:1916851</t>
  </si>
  <si>
    <t>Alternative splicing; Angiogenesis; Apoptosis; Cell cycle; Cell membrane; Cell projection; Coiled coil; Cytoplasm; Developmental protein; Growth regulation; GTPase activation; Immunity; Inflammatory response; Innate immunity; Membrane; Phosphoprotein; Stress response; Tumor suppressor; Unfolded protein response</t>
  </si>
  <si>
    <t>Angiogenesis; Apoptosis; Cell cycle; Growth regulation; Immunity; Inflammatory response; Innate immunity; Stress response; Unfolded protein response</t>
  </si>
  <si>
    <t>Developmental protein; GTPase activation</t>
  </si>
  <si>
    <t>angiogenesis {GO:0001525}; cell cycle {GO:0007049}; cell motility involved in cerebral cortex radial glia guided migration {GO:0021814}; cellular response to epidermal growth factor stimulus {GO:0071364}; cellular response to interleukin-1 {GO:0071347}; cellular response to lipopolysaccharide {GO:0071222}; cellular response to tumor necrosis factor {GO:0071356}; cellular response to vascular endothelial growth factor stimulus {GO:0035924}; extrinsic apoptotic signaling pathway via death domain receptors {GO:0008625}; I-kappaB phosphorylation {GO:0007252}; inflammatory response {GO:0006954}; innate immune response {GO:0045087}; intrinsic apoptotic signaling pathway in response to endoplasmic reticulum stress {GO:0070059}; layer formation in cerebral cortex {GO:0021819}; negative regulation of angiogenesis {GO:0016525}; negative regulation of canonical Wnt signaling pathway {GO:0090090}; negative regulation of cell growth {GO:0030308}; negative regulation of cell population proliferation {GO:0008285}; negative regulation of DNA-templated transcription {GO:0045892}; negative regulation of endothelial cell migration {GO:0010596}; negative regulation of epidermal growth factor receptor signaling pathway {GO:0042059}; negative regulation of epithelial cell migration {GO:0010633}; negative regulation of epithelial cell proliferation {GO:0050680}; negative regulation of epithelial to mesenchymal transition {GO:0010719}; negative regulation of ERK1 and ERK2 cascade {GO:0070373}; negative regulation of fibroblast proliferation {GO:0048147}; negative regulation of G0 to G1 transition {GO:0070317}; negative regulation of GTPase activity {GO:0034260}; negative regulation of I-kappaB kinase/NF-kappaB signaling {GO:0043124}; negative regulation of MAP kinase activity {GO:0043407}; negative regulation of NF-kappaB transcription factor activity {GO:0032088}; negative regulation of phosphatidylinositol 3-kinase activity {GO:0043553}; negative regulation of phosphatidylinositol 3-kinase signaling {GO:0014067}; negative regulation of protein catabolic process {GO:0042177}; negative regulation of protein phosphorylation {GO:0001933}; negative regulation of protein serine/threonine kinase activity {GO:0071901}; negative regulation of Ras protein signal transduction {GO:0046580}; negative regulation of toll-like receptor 4 signaling pathway {GO:0034144}; negative regulation of transcription by RNA polymerase II {GO:0000122}; negative regulation of vascular endothelial growth factor receptor signaling pathway {GO:0030948}; negative regulation of vascular endothelial growth factor signaling pathway {GO:1900747}; neuron projection morphogenesis {GO:0048812}; positive regulation of apoptotic process {GO:0043065}; positive regulation of apoptotic signaling pathway {GO:2001235}; positive regulation of dendrite development {GO:1900006}; positive regulation of epithelial cell proliferation {GO:0050679}; positive regulation of JNK cascade {GO:0046330}; positive regulation of JUN kinase activity {GO:0043507}; positive regulation of MAPK cascade {GO:0043410}; positive regulation of neuron migration {GO:2001224}; positive regulation of neuron projection development {GO:0010976}; positive regulation of proteasomal protein catabolic process {GO:1901800}; positive regulation of protein catabolic process {GO:0045732}; positive regulation of protein serine/threonine kinase activity {GO:0071902}; positive regulation of protein-containing complex assembly {GO:0031334}; positive regulation of synapse maturation {GO:0090129}; positive regulation of transcription by RNA polymerase II {GO:0045944}; protein catabolic process {GO:0030163}; reelin-mediated signaling pathway {GO:0038026}; regulation of cell cycle {GO:0051726}; regulation of GTPase activity {GO:0043087}; regulation of I-kappaB kinase/NF-kappaB signaling {GO:0043122}; regulation of p38MAPK cascade {GO:1900744}; regulation of protein-containing complex assembly {GO:0043254}; response to unfolded protein {GO:0006986}; tube formation {GO:0035148}; vascular endothelial growth factor receptor-2 signaling pathway {GO:0036324}</t>
  </si>
  <si>
    <t>AIP1-IRE1 complex {GO:1990597}; axon {GO:0030424}; cerebellar mossy fiber {GO:0044300}; climbing fiber {GO:0044301}; cytoplasm {GO:0005737}; dendrite {GO:0030425}; endocytic vesicle {GO:0030139}; neuronal cell body {GO:0043025}; neuronal cell body membrane {GO:0032809}; parallel fiber {GO:1990032}; plasma membrane {GO:0005886}</t>
  </si>
  <si>
    <t>14-3-3 protein binding {GO:0071889}; death receptor binding {GO:0005123}; GTPase activator activity {GO:0005096}; identical protein binding {GO:0042802}; kinase binding {GO:0019900}; mitogen-activated protein kinase kinase binding {GO:0031434}; mitogen-activated protein kinase kinase kinase binding {GO:0031435}; phosphatidylinositol 3-kinase binding {GO:0043548}; phosphatidylinositol 3-kinase regulatory subunit binding {GO:0036312}; phosphatidylinositol-3-phosphate binding {GO:0032266}; phosphatidylinositol-4-phosphate binding {GO:0070273}; protein homodimerization activity {GO:0042803}; protein kinase binding {GO:0019901}; protein N-terminus binding {GO:0047485}; protein phosphatase 2A binding {GO:0051721}; protein serine/threonine kinase activator activity {GO:0043539}; protein-containing complex binding {GO:0044877}; SH3 domain binding {GO:0017124}; signaling adaptor activity {GO:0035591}; vascular endothelial growth factor receptor 2 binding {GO:0043184}</t>
  </si>
  <si>
    <t>sp|Q8CIM8|INT4_MOUSE</t>
  </si>
  <si>
    <t>Integrator complex subunit 4 (Int4)</t>
  </si>
  <si>
    <t>INT4_MOUSE</t>
  </si>
  <si>
    <t>Q8CIM8</t>
  </si>
  <si>
    <t>Q3TQQ4; Q8C2H1; Q91YV5; Q9CSY4</t>
  </si>
  <si>
    <t>MGI:1917164</t>
  </si>
  <si>
    <t>Acetylation; Alternative splicing; Isopeptide bond; Nucleus; Repeat; Ubl conjugation</t>
  </si>
  <si>
    <t>integrator complex {GO:0032039}; nucleolus {GO:0005730}; nucleus {GO:0005634}</t>
  </si>
  <si>
    <t>sp|Q8BWY4|MBLC1_MOUSE</t>
  </si>
  <si>
    <t>Metallo-beta-lactamase domain-containing protein 1</t>
  </si>
  <si>
    <t>Endoribonuclease MBLAC1</t>
  </si>
  <si>
    <t>MBLC1_MOUSE</t>
  </si>
  <si>
    <t>Q8BWY4</t>
  </si>
  <si>
    <t>Q8CHU7</t>
  </si>
  <si>
    <t>MGI:2679717</t>
  </si>
  <si>
    <t>Cytoplasm; Hydrolase; Metal-binding; Nucleus; Zinc</t>
  </si>
  <si>
    <t>histone mRNA metabolic process {GO:0008334}; mRNA 3'-end processing {GO:0031124}; positive regulation of G1/S transition of mitotic cell cycle {GO:1900087}</t>
  </si>
  <si>
    <t>sp|Q9Z2D3|GSDME_MOUSE</t>
  </si>
  <si>
    <t>Gasdermin-E, C-terminal</t>
  </si>
  <si>
    <t>Non-syndromic hearing impairment protein 5 homolog (GSDME-NT; GSDME-CT)</t>
  </si>
  <si>
    <t>GSDME_MOUSE</t>
  </si>
  <si>
    <t>Q9Z2D3</t>
  </si>
  <si>
    <t>Dfna5; Dfna5h</t>
  </si>
  <si>
    <t>MGI:1889850</t>
  </si>
  <si>
    <t>Cell membrane; Cytoplasm; Membrane; Necrosis; Transmembrane; Transmembrane beta strand</t>
  </si>
  <si>
    <t>cell death {GO:0008219}; cellular response to tumor necrosis factor {GO:0071356}; cellular response to virus {GO:0098586}; granzyme-mediated programmed cell death signaling pathway {GO:0140507}; inner ear auditory receptor cell differentiation {GO:0042491}; necrotic cell death {GO:0070265}; negative regulation of cell population proliferation {GO:0008285}; positive regulation of immune response to tumor cell {GO:0002839}; positive regulation of intrinsic apoptotic signaling pathway {GO:2001244}; positive regulation of MAPK cascade {GO:0043410}; pyroptosis {GO:0070269}; sensory perception of sound {GO:0007605}</t>
  </si>
  <si>
    <t>cytoplasm {GO:0005737}; cytosol {GO:0005829}; integral component of membrane {GO:0016021}; membrane {GO:0016020}; plasma membrane {GO:0005886}</t>
  </si>
  <si>
    <t>cardiolipin binding {GO:1901612}; phosphatidylinositol-4,5-bisphosphate binding {GO:0005546}; wide pore channel activity {GO:0022829}</t>
  </si>
  <si>
    <t>Release of apoptotic factors from the mitochondria {R-MMU-111457}; Pyroptosis {R-MMU-5620971}; Regulation of TLR by endogenous ligand {R-MMU-5686938}</t>
  </si>
  <si>
    <t>sp|P49817|CAV1_MOUSE</t>
  </si>
  <si>
    <t>Caveolin-1</t>
  </si>
  <si>
    <t>CAV1_MOUSE</t>
  </si>
  <si>
    <t>P49817</t>
  </si>
  <si>
    <t>Q8C1X7; Q8CBP4; Q9QYH3; Q9QYH4</t>
  </si>
  <si>
    <t>Cav</t>
  </si>
  <si>
    <t>MGI:102709</t>
  </si>
  <si>
    <t>Acetylation; Alternative initiation; Cell membrane; Golgi apparatus; Isopeptide bond; Lipoprotein; Membrane; Palmitate; Phosphoprotein; Ubl conjugation</t>
  </si>
  <si>
    <t>Acetylation; Isopeptide bond; Lipoprotein; Palmitate; Phosphoprotein; Ubl conjugation</t>
  </si>
  <si>
    <t>angiogenesis {GO:0001525}; angiotensin-activated signaling pathway involved in heart process {GO:0086098}; apoptotic signaling pathway {GO:0097190}; basement membrane organization {GO:0071711}; calcium ion homeostasis {GO:0055074}; calcium ion transport {GO:0006816}; caveola assembly {GO:0070836}; caveolin-mediated endocytosis {GO:0072584}; cell differentiation {GO:0030154}; cell population proliferation {GO:0008283}; cellular calcium ion homeostasis {GO:0006874}; cellular response to exogenous dsRNA {GO:0071360}; cellular response to hyperoxia {GO:0071455}; cellular response to mechanical stimulus {GO:0071260}; cellular response to peptide hormone stimulus {GO:0071375}; cellular response to transforming growth factor beta stimulus {GO:0071560}; cellular senescence {GO:0090398}; cholesterol efflux {GO:0033344}; cholesterol homeostasis {GO:0042632}; cytokine-mediated signaling pathway {GO:0019221}; endocytosis {GO:0006897}; endothelial cell proliferation {GO:0001935}; establishment of localization in cell {GO:0051649}; fibroblast proliferation {GO:0048144}; glandular epithelial cell differentiation {GO:0002067}; insulin receptor internalization {GO:0038016}; lactation {GO:0007595}; lipid storage {GO:0019915}; maintenance of protein location in cell {GO:0032507}; mammary gland development {GO:0030879}; mammary gland involution {GO:0060056}; MAPK cascade {GO:0000165}; membrane depolarization {GO:0051899}; microtubule polymerization {GO:0046785}; muscle cell cellular homeostasis {GO:0046716}; negative regulation of anoikis {GO:2000811}; negative regulation of BMP signaling pathway {GO:0030514}; negative regulation of calcium ion import across plasma membrane {GO:1905949}; negative regulation of canonical Wnt signaling pathway {GO:0090090}; negative regulation of cation channel activity {GO:2001258}; negative regulation of cell population proliferation {GO:0008285}; negative regulation of cytokine-mediated signaling pathway {GO:0001960}; negative regulation of endothelial cell proliferation {GO:0001937}; negative regulation of epithelial cell differentiation {GO:0030857}; negative regulation of ERK1 and ERK2 cascade {GO:0070373}; negative regulation of fibroblast proliferation {GO:0048147}; negative regulation of inward rectifier potassium channel activity {GO:1903609}; negative regulation of MAP kinase activity {GO:0043407}; negative regulation of MAPK cascade {GO:0043409}; negative regulation of muscle cell apoptotic process {GO:0010656}; negative regulation of necroptotic process {GO:0060546}; negative regulation of neuron differentiation {GO:0045665}; negative regulation of nitric oxide biosynthetic process {GO:0045019}; negative regulation of nitric-oxide synthase activity {GO:0051001}; negative regulation of peptidyl-serine phosphorylation {GO:0033137}; negative regulation of peptidyl-tyrosine autophosphorylation {GO:1900085}; negative regulation of pinocytosis {GO:0048550}; negative regulation of potassium ion transmembrane transport {GO:1901380}; negative regulation of protein binding {GO:0032091}; negative regulation of protein tyrosine kinase activity {GO:0061099}; negative regulation of protein ubiquitination {GO:0031397}; negative regulation of receptor signaling pathway via JAK-STAT {GO:0046426}; negative regulation of signal transduction {GO:0009968}; negative regulation of smooth muscle cell migration {GO:0014912}; negative regulation of smooth muscle cell proliferation {GO:0048662}; negative regulation of transcription by RNA polymerase II {GO:0000122}; negative regulation of transforming growth factor beta receptor signaling pathway {GO:0030512}; negative regulation of tyrosine phosphorylation of STAT protein {GO:0042532}; negative regulation of vascular associated smooth muscle cell proliferation {GO:1904706}; nitric oxide biosynthetic process {GO:0006809}; nitric oxide homeostasis {GO:0033484}; positive regulation of calcium ion transport into cytosol {GO:0010524}; positive regulation of canonical Wnt signaling pathway {GO:0090263}; positive regulation of catalytic activity {GO:0043085}; positive regulation of cell adhesion molecule production {GO:0060355}; positive regulation of cell migration {GO:0030335}; positive regulation of cholesterol efflux {GO:0010875}; positive regulation of cold-induced thermogenesis {GO:0120162}; positive regulation of endocytosis {GO:0045807}; positive regulation of endothelial cell proliferation {GO:0001938}; positive regulation of ER-associated ubiquitin-dependent protein catabolic process {GO:1903071}; positive regulation of extrinsic apoptotic signaling pathway {GO:2001238}; positive regulation of gap junction assembly {GO:1903598}; positive regulation of gene expression {GO:0010628}; positive regulation of intrinsic apoptotic signaling pathway {GO:2001244}; positive regulation of microtubule polymerization {GO:0031116}; positive regulation of NF-kappaB transcription factor activity {GO:0051092}; positive regulation of peptidyl-serine phosphorylation {GO:0033138}; positive regulation of protein binding {GO:0032092}; positive regulation of protein ubiquitination {GO:0031398}; positive regulation of signal transduction {GO:0009967}; positive regulation of toll-like receptor 3 signaling pathway {GO:0034141}; positive regulation of vasoconstriction {GO:0045907}; post-transcriptional regulation of gene expression {GO:0010608}; protein localization {GO:0008104}; protein transport {GO:0015031}; receptor internalization {GO:0031623}; receptor internalization involved in canonical Wnt signaling pathway {GO:2000286}; receptor-mediated endocytosis of virus by host cell {GO:0019065}; regulation of blood coagulation {GO:0030193}; regulation of cell communication by electrical coupling involved in cardiac conduction {GO:1901844}; regulation of cytosolic calcium ion concentration {GO:0051480}; regulation of entry of bacterium into host cell {GO:2000535}; regulation of fatty acid metabolic process {GO:0019217}; regulation of heart rate by cardiac conduction {GO:0086091}; regulation of membrane repolarization during action potential {GO:0098903}; regulation of peptidase activity {GO:0052547}; regulation of ruffle assembly {GO:1900027}; regulation of smooth muscle contraction {GO:0006940}; regulation of the force of heart contraction {GO:0002026}; regulation of the force of heart contraction by chemical signal {GO:0003057}; regulation of ventricular cardiac muscle cell action potential {GO:0098911}; response to bacterium {GO:0009617}; response to calcium ion {GO:0051592}; response to estrogen {GO:0043627}; response to hypoxia {GO:0001666}; response to ischemia {GO:0002931}; response to mechanical stimulus {GO:0009612}; response to progesterone {GO:0032570}; skeletal muscle tissue development {GO:0007519}; T cell costimulation {GO:0031295}; triglyceride metabolic process {GO:0006641}; tyrosine phosphorylation of STAT protein {GO:0007260}; vasculogenesis {GO:0001570}; vasoconstriction {GO:0042310}; wound healing {GO:0042060}</t>
  </si>
  <si>
    <t>acrosomal membrane {GO:0002080}; apical plasma membrane {GO:0016324}; basal plasma membrane {GO:0009925}; basolateral plasma membrane {GO:0016323}; caveola {GO:0005901}; caveolar macromolecular signaling complex {GO:0002095}; cell cortex {GO:0005938}; cell surface {GO:0009986}; cilium {GO:0005929}; cytoplasm {GO:0005737}; cytoplasmic vesicle {GO:0031410}; cytosol {GO:0005829}; endoplasmic reticulum {GO:0005783}; endosome {GO:0005768}; focal adhesion {GO:0005925}; Golgi apparatus {GO:0005794}; Golgi membrane {GO:0000139}; integral component of membrane {GO:0016021}; integral component of plasma membrane {GO:0005887}; lipid droplet {GO:0005811}; membrane {GO:0016020}; membrane raft {GO:0045121}; mitochondrion {GO:0005739}; perinuclear region of cytoplasm {GO:0048471}; peroxisomal membrane {GO:0005778}; plasma membrane {GO:0005886}; protein-containing complex {GO:0032991}</t>
  </si>
  <si>
    <t>ATPase binding {GO:0051117}; enzyme binding {GO:0019899}; identical protein binding {GO:0042802}; inward rectifier potassium channel inhibitor activity {GO:0070320}; kinase binding {GO:0019900}; molecular adaptor activity {GO:0060090}; nitric-oxide synthase binding {GO:0050998}; peptidase activator activity {GO:0016504}; protein heterodimerization activity {GO:0046982}; protein kinase binding {GO:0019901}; protein-containing complex binding {GO:0044877}; protein-macromolecule adaptor activity {GO:0030674}; receptor serine/threonine kinase binding {GO:0033612}; signaling receptor binding {GO:0005102}; small GTPase binding {GO:0031267}; SNARE binding {GO:0000149}; syntaxin binding {GO:0019905}; transmembrane transporter binding {GO:0044325}</t>
  </si>
  <si>
    <t>eNOS activation {R-MMU-203615}; NOSTRIN mediated eNOS trafficking {R-MMU-203641}; Disassembly of the destruction complex and recruitment of AXIN to the membrane {R-MMU-4641262}; VEGFR2 mediated vascular permeability {R-MMU-5218920}; RHOA GTPase cycle {R-MMU-8980692}; Extra-nuclear estrogen signaling {R-MMU-9009391}; RHOB GTPase cycle {R-MMU-9013026}; RHOC GTPase cycle {R-MMU-9013106}; CDC42 GTPase cycle {R-MMU-9013148}; RAC1 GTPase cycle {R-MMU-9013149}; RAC2 GTPase cycle {R-MMU-9013404}; RHOD GTPase cycle {R-MMU-9013405}; RHOQ GTPase cycle {R-MMU-9013406}; RHOH GTPase cycle {R-MMU-9013407}; RHOG GTPase cycle {R-MMU-9013408}; RAC3 GTPase cycle {R-MMU-9013423}; RHOF GTPase cycle {R-MMU-9035034}; RND3 GTPase cycle {R-MMU-9696264}; RND2 GTPase cycle {R-MMU-9696270}; RND1 GTPase cycle {R-MMU-9696273}</t>
  </si>
  <si>
    <t>sp|Q8CC70|CF300_MOUSE</t>
  </si>
  <si>
    <t>Cilia- and flagella-associated protein 300</t>
  </si>
  <si>
    <t>CF300_MOUSE</t>
  </si>
  <si>
    <t>Q8CC70</t>
  </si>
  <si>
    <t>MGI:3045346</t>
  </si>
  <si>
    <t>cytoplasm {GO:0005737}; cytoskeleton {GO:0005856}; motile cilium {GO:0031514}</t>
  </si>
  <si>
    <t>sp|Q8BH50|CR025_MOUSE</t>
  </si>
  <si>
    <t>Uncharacterized protein C18orf25 homolog</t>
  </si>
  <si>
    <t>CR025_MOUSE</t>
  </si>
  <si>
    <t>Q8BH50</t>
  </si>
  <si>
    <t>Q3TQ72; Q8BU43</t>
  </si>
  <si>
    <t>MGI:2444951</t>
  </si>
  <si>
    <t>sp|Q8BIG7|CMTD1_MOUSE</t>
  </si>
  <si>
    <t>Catechol O-methyltransferase domain-containing protein 1</t>
  </si>
  <si>
    <t>CMTD1_MOUSE</t>
  </si>
  <si>
    <t>Q8BIG7</t>
  </si>
  <si>
    <t>MGI:1916406</t>
  </si>
  <si>
    <t>Membrane; Methyltransferase; S-adenosyl-L-methionine; Signal-anchor; Transferase; Transmembrane; Transmembrane helix</t>
  </si>
  <si>
    <t>methylation {GO:0032259}</t>
  </si>
  <si>
    <t>integral component of membrane {GO:0016021}; mitochondrion {GO:0005739}</t>
  </si>
  <si>
    <t>O-methyltransferase activity {GO:0008171}; S-adenosylmethionine-dependent methyltransferase activity {GO:0008757}</t>
  </si>
  <si>
    <t>sp|Q9ESB3|HRG_MOUSE</t>
  </si>
  <si>
    <t>Histidine-rich glycoprotein</t>
  </si>
  <si>
    <t>Histidine-proline-rich glycoprotein (HPRG)</t>
  </si>
  <si>
    <t>HRG_MOUSE</t>
  </si>
  <si>
    <t>Q9ESB3</t>
  </si>
  <si>
    <t>Q6YK32; Q6YKA2; Q99PS5; Q99PS6</t>
  </si>
  <si>
    <t>MGI:2146636</t>
  </si>
  <si>
    <t>Angiogenesis; Blood coagulation; Chemotaxis; Cleavage on pair of basic residues; Copper; Disulfide bond; Fibrinolysis; Glycoprotein; Hemostasis; Heparin-binding; Metal-binding; Phosphoprotein; Repeat; Secreted; Signal; Zinc</t>
  </si>
  <si>
    <t>Angiogenesis; Blood coagulation; Chemotaxis; Fibrinolysis; Hemostasis</t>
  </si>
  <si>
    <t>Cleavage on pair of basic residues; Disulfide bond; Glycoprotein; Phosphoprotein</t>
  </si>
  <si>
    <t>angiogenesis {GO:0001525}; antimicrobial humoral immune response mediated by antimicrobial peptide {GO:0061844}; chemotaxis {GO:0006935}; cytolysis by host of symbiont cells {GO:0051838}; defense response to fungus {GO:0050832}; fibrinolysis {GO:0042730}; heme export {GO:0097037}; heme transport {GO:0015886}; negative regulation of angiogenesis {GO:0016525}; negative regulation of blood vessel endothelial cell migration {GO:0043537}; negative regulation of cell adhesion {GO:0007162}; negative regulation of cell adhesion mediated by integrin {GO:0033629}; negative regulation of cell growth {GO:0030308}; negative regulation of cell population proliferation {GO:0008285}; negative regulation of endopeptidase activity {GO:0010951}; negative regulation of endothelial cell chemotaxis {GO:2001027}; negative regulation of fibrinolysis {GO:0051918}; negative regulation of lamellipodium assembly {GO:0010593}; negative regulation of vascular endothelial growth factor signaling pathway {GO:1900747}; platelet activation {GO:0030168}; positive regulation of apoptotic process {GO:0043065}; positive regulation of blood vessel remodeling {GO:2000504}; positive regulation of focal adhesion assembly {GO:0051894}; positive regulation of immune response to tumor cell {GO:0002839}; regulation of actin cytoskeleton organization {GO:0032956}; regulation of blood coagulation {GO:0030193}; regulation of gene expression {GO:0010468}; regulation of peptidyl-tyrosine phosphorylation {GO:0050730}; regulation of platelet activation {GO:0010543}; regulation of protein-containing complex assembly {GO:0043254}; regulation of transcription from RNA polymerase II promoter in response to iron {GO:0034395}; response to organic cyclic compound {GO:0014070}</t>
  </si>
  <si>
    <t>cell surface {GO:0009986}; collagen-containing extracellular matrix {GO:0062023}; endolysosome {GO:0036019}; extracellular region {GO:0005576}; phagolysosome membrane {GO:0061474}; vesicle {GO:0031982}</t>
  </si>
  <si>
    <t>cysteine-type endopeptidase inhibitor activity {GO:0004869}; endopeptidase inhibitor activity {GO:0004866}; heme binding {GO:0020037}; heparan sulfate proteoglycan binding {GO:0043395}; heparin binding {GO:0008201}; immunoglobulin binding {GO:0019865}; metal ion binding {GO:0046872}; serine-type endopeptidase inhibitor activity {GO:0004867}; signaling receptor binding {GO:0005102}; zinc ion binding {GO:0008270}</t>
  </si>
  <si>
    <t>sp|Q8R4Y4|STAB1_MOUSE</t>
  </si>
  <si>
    <t>sp|Q6PCQ0|IQCE_MOUSE</t>
  </si>
  <si>
    <t>IQ domain-containing protein E</t>
  </si>
  <si>
    <t>IQCE_MOUSE</t>
  </si>
  <si>
    <t>Q6PCQ0</t>
  </si>
  <si>
    <t>Q8CDZ1; Q9D9U3</t>
  </si>
  <si>
    <t>MGI:1921489</t>
  </si>
  <si>
    <t>Alternative splicing; Cell membrane; Cell projection; Coiled coil; Membrane; Phosphoprotein; Repeat</t>
  </si>
  <si>
    <t>limb morphogenesis {GO:0035108}; positive regulation of transcription by RNA polymerase II {GO:0045944}</t>
  </si>
  <si>
    <t>ciliary membrane {GO:0060170}; extrinsic component of membrane {GO:0019898}; mitochondrion {GO:0005739}; plasma membrane protein complex {GO:0098797}</t>
  </si>
  <si>
    <t>sp|Q8CGC4|LS14B_MOUSE</t>
  </si>
  <si>
    <t>Protein LSM14 homolog B</t>
  </si>
  <si>
    <t>RNA-associated protein 55B (mRAP55B)</t>
  </si>
  <si>
    <t>LS14B_MOUSE</t>
  </si>
  <si>
    <t>Q8CGC4</t>
  </si>
  <si>
    <t>A2AC71</t>
  </si>
  <si>
    <t>MGI:3040677</t>
  </si>
  <si>
    <t>Acetylation; Developmental protein; Isopeptide bond; Methylation; Phosphoprotein; Ribonucleoprotein; Translation regulation; Ubl conjugation</t>
  </si>
  <si>
    <t>Developmental protein; Ribonucleoprotein</t>
  </si>
  <si>
    <t>regulation of translation {GO:0006417}</t>
  </si>
  <si>
    <t>sp|Q5SYL3|BLTP2_MOUSE</t>
  </si>
  <si>
    <t>Protein KIAA0100</t>
  </si>
  <si>
    <t>K0100_MOUSE</t>
  </si>
  <si>
    <t>Q5SYL3</t>
  </si>
  <si>
    <t>Q3UE65; Q66JY1; Q6DIC4; Q80U77; Q8C1W6; Q8CE06; Q8CGE3; Q9CSS8</t>
  </si>
  <si>
    <t>MGI:1919753</t>
  </si>
  <si>
    <t>Coiled coil; Phosphoprotein; Secreted; Signal</t>
  </si>
  <si>
    <t>sp|Q99LC9|PEX6_MOUSE</t>
  </si>
  <si>
    <t>Peroxisome assembly factor 2 (PAF-2)</t>
  </si>
  <si>
    <t>Peroxin-6; Peroxisomal biogenesis factor 6; Peroxisomal-type ATPase 1</t>
  </si>
  <si>
    <t>PEX6_MOUSE</t>
  </si>
  <si>
    <t>Q99LC9</t>
  </si>
  <si>
    <t>Q6YNQ9</t>
  </si>
  <si>
    <t>MGI:2385054</t>
  </si>
  <si>
    <t>ATP-binding; Cell projection; Cytoplasm; Membrane; Methylation; Nucleotide-binding; Peroxisome; Peroxisome biogenesis; Repeat</t>
  </si>
  <si>
    <t>Cell projection; Cytoplasm; Membrane; Peroxisome</t>
  </si>
  <si>
    <t>peroxisome organization {GO:0007031}; protein import into peroxisome matrix {GO:0016558}; protein import into peroxisome matrix, translocation {GO:0016561}; protein stabilization {GO:0050821}; protein targeting to peroxisome {GO:0006625}</t>
  </si>
  <si>
    <t>cytoplasm {GO:0005737}; cytosol {GO:0005829}; peroxisomal membrane {GO:0005778}; peroxisome {GO:0005777}; photoreceptor cell cilium {GO:0097733}; photoreceptor outer segment {GO:0001750}</t>
  </si>
  <si>
    <t>ATP binding {GO:0005524}; ATP hydrolysis activity {GO:0016887}; protein C-terminus binding {GO:0008022}; protein-containing complex binding {GO:0044877}</t>
  </si>
  <si>
    <t>sp|Q91ZM2|SH2B1_MOUSE</t>
  </si>
  <si>
    <t>SH2B adapter protein 1</t>
  </si>
  <si>
    <t>Pro-rich, PH and SH2 domain-containing signaling mediator (PSM); SH2 domain-containing protein 1B; SH2-B PH domain-containing signaling mediator 1</t>
  </si>
  <si>
    <t>SH2B1_MOUSE</t>
  </si>
  <si>
    <t>Q91ZM2</t>
  </si>
  <si>
    <t>O54867; Q05DJ7; Q792R7; Q91ZM3; Q91ZV5; Q9WVM5</t>
  </si>
  <si>
    <t>Sh2bpsm1</t>
  </si>
  <si>
    <t>MGI:1201407</t>
  </si>
  <si>
    <t>3D-structure; Alternative splicing; Cytoplasm; Membrane; Methylation; Nucleus; Phosphoprotein; SH2 domain</t>
  </si>
  <si>
    <t>intracellular signal transduction {GO:0035556}; lamellipodium assembly {GO:0030032}; positive regulation of mitotic nuclear division {GO:0045840}; positive regulation of SMAD protein signal transduction {GO:0060391}; regulation of DNA biosynthetic process {GO:2000278}</t>
  </si>
  <si>
    <t>cytosol {GO:0005829}; nucleus {GO:0005634}; plasma membrane {GO:0005886}; ruffle {GO:0001726}</t>
  </si>
  <si>
    <t>transmembrane receptor protein tyrosine kinase adaptor activity {GO:0005068}</t>
  </si>
  <si>
    <t>Prolactin receptor signaling {R-MMU-1170546}; Growth hormone receptor signaling {R-MMU-982772}; Factors involved in megakaryocyte development and platelet production {R-MMU-983231}</t>
  </si>
  <si>
    <t>sp|Q921G6|LRCH4_MOUSE</t>
  </si>
  <si>
    <t>Leucine-rich repeat and calponin homology domain-containing protein 4</t>
  </si>
  <si>
    <t>LRCH4_MOUSE</t>
  </si>
  <si>
    <t>Q921G6</t>
  </si>
  <si>
    <t>MGI:1917193</t>
  </si>
  <si>
    <t>cytoplasm {GO:0005737}; PML body {GO:0016605}</t>
  </si>
  <si>
    <t>sp|Q8BJ37|TYDP1_MOUSE</t>
  </si>
  <si>
    <t>Tyrosyl-DNA phosphodiesterase 1 (Tyr-DNA phosphodiesterase 1)</t>
  </si>
  <si>
    <t>Protein expressed in male leptotene and zygotene spermatocytes 501 (MLZ-501)</t>
  </si>
  <si>
    <t>TYDP1_MOUSE</t>
  </si>
  <si>
    <t>Q8BJ37</t>
  </si>
  <si>
    <t>Q8VE39</t>
  </si>
  <si>
    <t>MGI:1920036</t>
  </si>
  <si>
    <t>Cytoplasm; DNA damage; DNA repair; Exonuclease; Hydrolase; Nuclease; Nucleus; Phosphoprotein; Repeat</t>
  </si>
  <si>
    <t>DNA repair {GO:0006281}; double-strand break repair {GO:0006302}; single strand break repair {GO:0000012}</t>
  </si>
  <si>
    <t>intracellular membrane-bounded organelle {GO:0043231}; nucleoplasm {GO:0005654}; nucleus {GO:0005634}; plasma membrane {GO:0005886}</t>
  </si>
  <si>
    <t>3'-tyrosyl-DNA phosphodiesterase activity {GO:0017005}; double-stranded DNA binding {GO:0003690}; exonuclease activity {GO:0004527}; single-stranded DNA binding {GO:0003697}</t>
  </si>
  <si>
    <t>Nonhomologous End-Joining (NHEJ) {R-MMU-5693571}</t>
  </si>
  <si>
    <t>sp|Q922J3|CLIP1_MOUSE</t>
  </si>
  <si>
    <t>CAP-Gly domain-containing linker protein 1</t>
  </si>
  <si>
    <t>Cytoplasmic linker protein 170 (CLIP-170); Restin</t>
  </si>
  <si>
    <t>CLIP1_MOUSE</t>
  </si>
  <si>
    <t>Q922J3</t>
  </si>
  <si>
    <t>Q571L7</t>
  </si>
  <si>
    <t>Kiaa4046; Rsn</t>
  </si>
  <si>
    <t>MGI:1928401</t>
  </si>
  <si>
    <t>3D-structure; Alternative splicing; Cell projection; Coiled coil; Cytoplasm; Cytoplasmic vesicle; Cytoskeleton; Membrane; Metal-binding; Microtubule; Phosphoprotein; Repeat; Transport; Zinc; Zinc-finger</t>
  </si>
  <si>
    <t>Cell projection; Cytoplasm; Cytoplasmic vesicle; Cytoskeleton; Membrane; Microtubule</t>
  </si>
  <si>
    <t>cytoplasmic microtubule organization {GO:0031122}; microtubule bundle formation {GO:0001578}; positive regulation of dendrite development {GO:1900006}; positive regulation of microtubule polymerization {GO:0031116}; protein transport into plasma membrane raft {GO:0044861}</t>
  </si>
  <si>
    <t>centrosome {GO:0005813}; cytoplasm {GO:0005737}; cytoplasmic microtubule {GO:0005881}; cytoplasmic vesicle membrane {GO:0030659}; macropinosome {GO:0044354}; microtubule {GO:0005874}; microtubule cytoskeleton {GO:0015630}; microtubule plus-end {GO:0035371}; nuclear envelope {GO:0005635}; nucleus {GO:0005634}; ruffle {GO:0001726}</t>
  </si>
  <si>
    <t>identical protein binding {GO:0042802}; microtubule binding {GO:0008017}; microtubule plus-end binding {GO:0051010}; tubulin binding {GO:0015631}; zinc ion binding {GO:0008270}</t>
  </si>
  <si>
    <t>Amplification of signal from unattached kinetochores via a MAD2 inhibitory signal {R-MMU-141444}; Separation of Sister Chromatids {R-MMU-2467813}; Resolution of Sister Chromatid Cohesion {R-MMU-2500257}; RHO GTPases activate IQGAPs {R-MMU-5626467}; RHO GTPases Activate Formins {R-MMU-5663220}; Mitotic Prometaphase {R-MMU-68877}; EML4 and NUDC in mitotic spindle formation {R-MMU-9648025}</t>
  </si>
  <si>
    <t>sp|Q9Z0S9|PRAF1_MOUSE</t>
  </si>
  <si>
    <t>Prenylated Rab acceptor protein 1</t>
  </si>
  <si>
    <t>PRA1 family protein 1; Prenylin</t>
  </si>
  <si>
    <t>PRAF1_MOUSE</t>
  </si>
  <si>
    <t>Q9Z0S9</t>
  </si>
  <si>
    <t>Q3TDB4</t>
  </si>
  <si>
    <t>Pra; Pra1; Praf1</t>
  </si>
  <si>
    <t>MGI:1201692</t>
  </si>
  <si>
    <t>Cell membrane; Cytoplasm; Cytoplasmic vesicle; Golgi apparatus; Membrane; Synapse; Transmembrane; Transmembrane helix</t>
  </si>
  <si>
    <t>Cell membrane; Cytoplasm; Cytoplasmic vesicle; Golgi apparatus; Membrane; Synapse</t>
  </si>
  <si>
    <t>anchoring junction {GO:0070161}; Golgi apparatus {GO:0005794}; integral component of membrane {GO:0016021}; plasma membrane {GO:0005886}; synaptic vesicle {GO:0008021}</t>
  </si>
  <si>
    <t>identical protein binding {GO:0042802}; proline-rich region binding {GO:0070064}; protein C-terminus binding {GO:0008022}</t>
  </si>
  <si>
    <t>sp|A2AJL3|FGGY_MOUSE</t>
  </si>
  <si>
    <t>FGGY carbohydrate kinase domain-containing protein</t>
  </si>
  <si>
    <t>D-ribulokinase FGGY</t>
  </si>
  <si>
    <t>FGGY_MOUSE</t>
  </si>
  <si>
    <t>A2AJL3</t>
  </si>
  <si>
    <t>Q8BUF2; Q8K0F0; Q9D7H0</t>
  </si>
  <si>
    <t>MGI:1922828</t>
  </si>
  <si>
    <t>Alternative splicing; Kinase; Transferase</t>
  </si>
  <si>
    <t>carbohydrate phosphorylation {GO:0046835}; neuron cellular homeostasis {GO:0070050}; pentose metabolic process {GO:0019321}</t>
  </si>
  <si>
    <t>D-ribulokinase activity {GO:0019150}</t>
  </si>
  <si>
    <t>Carbohydrate metabolism; pentose and glucuronate interconversion..</t>
  </si>
  <si>
    <t>tr|E9Q777|E9Q777_MOUSE</t>
  </si>
  <si>
    <t>sp|P15208|INSR_MOUSE</t>
  </si>
  <si>
    <t>Insulin receptor subunit beta</t>
  </si>
  <si>
    <t>CD_antigen=CD220</t>
  </si>
  <si>
    <t>INSR_MOUSE</t>
  </si>
  <si>
    <t>P15208</t>
  </si>
  <si>
    <t>F8VPU4</t>
  </si>
  <si>
    <t>MGI:96575</t>
  </si>
  <si>
    <t>3D-structure; ATP-binding; Cell membrane; Cleavage on pair of basic residues; Disulfide bond; Endosome; Glycoprotein; Kinase; Lysosome; Membrane; Nucleotide-binding; Phosphoprotein; Receptor; Repeat; Signal; Transferase; Transmembrane; Transmembrane helix; Tyrosine-protein kinase</t>
  </si>
  <si>
    <t>activation of protein kinase activity {GO:0032147}; activation of protein kinase B activity {GO:0032148}; adrenal gland development {GO:0030325}; amyloid-beta clearance {GO:0097242}; animal organ morphogenesis {GO:0009887}; cellular response to growth factor stimulus {GO:0071363}; cellular response to insulin stimulus {GO:0032869}; dendritic spine maintenance {GO:0097062}; epidermis development {GO:0008544}; exocrine pancreas development {GO:0031017}; G protein-coupled receptor signaling pathway {GO:0007186}; glucose homeostasis {GO:0042593}; heart morphogenesis {GO:0003007}; insulin receptor signaling pathway {GO:0008286}; male gonad development {GO:0008584}; male sex determination {GO:0030238}; negative regulation of feeding behavior {GO:2000252}; negative regulation of gene expression {GO:0010629}; negative regulation of protein phosphorylation {GO:0001933}; negative regulation of transporter activity {GO:0032410}; neuron projection maintenance {GO:1990535}; peptidyl-tyrosine autophosphorylation {GO:0038083}; peptidyl-tyrosine phosphorylation {GO:0018108}; positive regulation of cell migration {GO:0030335}; positive regulation of cell population proliferation {GO:0008284}; positive regulation of developmental growth {GO:0048639}; positive regulation of DNA-templated transcription {GO:0045893}; positive regulation of glucose import {GO:0046326}; positive regulation of glycogen biosynthetic process {GO:0045725}; positive regulation of glycolytic process {GO:0045821}; positive regulation of glycoprotein biosynthetic process {GO:0010560}; positive regulation of kinase activity {GO:0033674}; positive regulation of MAP kinase activity {GO:0043406}; positive regulation of MAPK cascade {GO:0043410}; positive regulation of meiotic cell cycle {GO:0051446}; positive regulation of mitotic nuclear division {GO:0045840}; positive regulation of nitric oxide biosynthetic process {GO:0045429}; positive regulation of phosphatidylinositol 3-kinase signaling {GO:0014068}; positive regulation of phosphorylation {GO:0042327}; positive regulation of protein kinase B signaling {GO:0051897}; positive regulation of protein phosphorylation {GO:0001934}; positive regulation of protein-containing complex disassembly {GO:0043243}; positive regulation of receptor internalization {GO:0002092}; positive regulation of respiratory burst {GO:0060267}; protein autophosphorylation {GO:0046777}; protein phosphorylation {GO:0006468}; receptor-mediated endocytosis {GO:0006898}; regulation of DNA-templated transcription {GO:0006355}; regulation of embryonic development {GO:0045995}; regulation of female gonad development {GO:2000194}; regulation of hydrogen peroxide metabolic process {GO:0010310}; response to nutrient levels {GO:0031667}; response to tumor necrosis factor {GO:0034612}; transmembrane receptor protein tyrosine kinase signaling pathway {GO:0007169}; viral entry into host cell {GO:0046718}</t>
  </si>
  <si>
    <t>axon {GO:0030424}; caveola {GO:0005901}; cell body {GO:0044297}; cytoplasmic vesicle {GO:0031410}; cytosol {GO:0005829}; dendrite {GO:0030425}; dendrite membrane {GO:0032590}; endosome {GO:0005768}; external side of plasma membrane {GO:0009897}; insulin receptor complex {GO:0005899}; integral component of plasma membrane {GO:0005887}; intracellular membrane-bounded organelle {GO:0043231}; late endosome {GO:0005770}; lysosome {GO:0005764}; membrane {GO:0016020}; neuronal cell body {GO:0043025}; neuronal cell body membrane {GO:0032809}; nuclear envelope {GO:0005635}; nuclear lumen {GO:0031981}; nucleus {GO:0005634}; plasma membrane {GO:0005886}; receptor complex {GO:0043235}; recycling endosome membrane {GO:0055038}; synapse {GO:0045202}; yolk {GO:0060417}</t>
  </si>
  <si>
    <t>3-phosphoinositide-dependent protein kinase binding {GO:0043423}; amyloid-beta binding {GO:0001540}; ATP binding {GO:0005524}; cargo receptor activity {GO:0038024}; GTP binding {GO:0005525}; identical protein binding {GO:0042802}; insulin binding {GO:0043559}; insulin receptor activity {GO:0005009}; insulin receptor substrate binding {GO:0043560}; insulin-like growth factor I binding {GO:0031994}; insulin-like growth factor II binding {GO:0031995}; insulin-like growth factor receptor binding {GO:0005159}; lipoic acid binding {GO:0031405}; phosphatidylinositol 3-kinase binding {GO:0043548}; protein domain specific binding {GO:0019904}; protein kinase activity {GO:0004672}; protein kinase binding {GO:0019901}; protein phosphatase binding {GO:0019903}; protein tyrosine kinase activity {GO:0004713}; protein-containing complex binding {GO:0044877}; PTB domain binding {GO:0051425}; structural molecule activity {GO:0005198}; transmembrane receptor protein tyrosine kinase activity {GO:0004714}</t>
  </si>
  <si>
    <t>PI5P, PP2A and IER3 Regulate PI3K/AKT Signaling {R-MMU-6811558}; IRS activation {R-MMU-74713}; Signal attenuation {R-MMU-74749}; Insulin receptor signalling cascade {R-MMU-74751}; Signaling by Insulin receptor {R-MMU-74752}; Insulin receptor recycling {R-MMU-77387}</t>
  </si>
  <si>
    <t>sp|Q9JJA2|COG8_MOUSE</t>
  </si>
  <si>
    <t>Conserved oligomeric Golgi complex subunit 8 (COG complex subunit 8)</t>
  </si>
  <si>
    <t>Component of oligomeric Golgi complex 8</t>
  </si>
  <si>
    <t>COG8_MOUSE</t>
  </si>
  <si>
    <t>Q9JJA2</t>
  </si>
  <si>
    <t>Q8BFW5</t>
  </si>
  <si>
    <t>MGI:2142885</t>
  </si>
  <si>
    <t>Golgi apparatus {GO:0005794}; Golgi membrane {GO:0000139}; Golgi transport complex {GO:0017119}</t>
  </si>
  <si>
    <t>sp|Q61129|CFAI_MOUSE</t>
  </si>
  <si>
    <t>Complement factor I light chain</t>
  </si>
  <si>
    <t>C3B/C4B inactivator</t>
  </si>
  <si>
    <t>CFAI_MOUSE</t>
  </si>
  <si>
    <t>Q61129</t>
  </si>
  <si>
    <t>B2RWX8; Q9WU07</t>
  </si>
  <si>
    <t>If</t>
  </si>
  <si>
    <t>MGI:105937</t>
  </si>
  <si>
    <t>Calcium; Cleavage on pair of basic residues; Complement pathway; Disulfide bond; Glycoprotein; Hydrolase; Immunity; Innate immunity; Metal-binding; Protease; Repeat; Secreted; Serine protease; Signal</t>
  </si>
  <si>
    <t>Complement pathway; Immunity; Innate immunity</t>
  </si>
  <si>
    <t>complement activation {GO:0006956}; complement activation, classical pathway {GO:0006958}; innate immune response {GO:0045087}; proteolysis {GO:0006508}; regulation of complement activation, alternative pathway {GO:0030451}</t>
  </si>
  <si>
    <t>extracellular space {GO:0005615}; membrane {GO:0016020}; nucleus {GO:0005634}; serine-type endopeptidase complex {GO:1905370}</t>
  </si>
  <si>
    <t>metal ion binding {GO:0046872}; scavenger receptor activity {GO:0005044}; serine-type endopeptidase activity {GO:0004252}</t>
  </si>
  <si>
    <t>Regulation of Complement cascade {R-MMU-977606}</t>
  </si>
  <si>
    <t>sp|Q0KL01|UBX2B_MOUSE</t>
  </si>
  <si>
    <t>UBX domain-containing protein 2B</t>
  </si>
  <si>
    <t>NSFL1 cofactor p37; p97 cofactor p37</t>
  </si>
  <si>
    <t>UBX2B_MOUSE</t>
  </si>
  <si>
    <t>Q0KL01</t>
  </si>
  <si>
    <t>Q8BGY8; Q8CCQ0; Q9CZA8</t>
  </si>
  <si>
    <t>MGI:1915303</t>
  </si>
  <si>
    <t>Acetylation; Cytoplasm; Cytoskeleton; Endoplasmic reticulum; Golgi apparatus; Nucleus; Phosphoprotein</t>
  </si>
  <si>
    <t>Cytoplasm; Cytoskeleton; Endoplasmic reticulum; Golgi apparatus; Nucleus</t>
  </si>
  <si>
    <t>cytosol {GO:0005829}; endoplasmic reticulum {GO:0005783}; Golgi apparatus {GO:0005794}; nucleus {GO:0005634}; spindle pole centrosome {GO:0031616}</t>
  </si>
  <si>
    <t>sp|Q80VP0|TCPR1_MOUSE</t>
  </si>
  <si>
    <t>Tectonin beta-propeller repeat-containing protein 1</t>
  </si>
  <si>
    <t>TCPR1_MOUSE</t>
  </si>
  <si>
    <t>Q80VP0</t>
  </si>
  <si>
    <t>Q8CHA3; Q8R3E0; Q99KQ5; Q9CVC6</t>
  </si>
  <si>
    <t>Kiaa1358</t>
  </si>
  <si>
    <t>MGI:1917631</t>
  </si>
  <si>
    <t>Alternative splicing; Autophagy; Cytoplasmic vesicle; Lipid-binding; Lysosome; Membrane; Phosphoprotein; Repeat</t>
  </si>
  <si>
    <t>autophagosome maturation {GO:0097352}; autophagy {GO:0006914}; macroautophagy {GO:0016236}; regulation of autophagosome maturation {GO:1901096}</t>
  </si>
  <si>
    <t>autophagosome membrane {GO:0000421}; cytoplasmic vesicle {GO:0031410}; integral component of membrane {GO:0016021}; intracellular membrane-bounded organelle {GO:0043231}; lysosomal membrane {GO:0005765}; nucleoplasm {GO:0005654}; protein-containing complex {GO:0032991}</t>
  </si>
  <si>
    <t>phosphatidylinositol-3-phosphate binding {GO:0032266}</t>
  </si>
  <si>
    <t>sp|P11688|ITA5_MOUSE</t>
  </si>
  <si>
    <t>Integrin alpha-5 light chain</t>
  </si>
  <si>
    <t>CD49 antigen-like family member E; Fibronectin receptor subunit alpha; Integrin alpha-F; VLA-5; CD_antigen=CD49e</t>
  </si>
  <si>
    <t>ITA5_MOUSE</t>
  </si>
  <si>
    <t>P11688</t>
  </si>
  <si>
    <t>E9QN40</t>
  </si>
  <si>
    <t>MGI:96604</t>
  </si>
  <si>
    <t>Calcium; Cell adhesion; Cell junction; Cleavage on pair of basic residues; Disulfide bond; Glycoprotein; Integrin; Membrane; Metal-binding; Phosphoprotein; Receptor; Repeat; Signal; Transmembrane; Transmembrane helix</t>
  </si>
  <si>
    <t>angiogenesis {GO:0001525}; CD40 signaling pathway {GO:0023035}; cell adhesion {GO:0007155}; cell adhesion mediated by integrin {GO:0033627}; cell-cell adhesion {GO:0098609}; cell-cell adhesion mediated by integrin {GO:0033631}; cell-matrix adhesion {GO:0007160}; cell-substrate adhesion {GO:0031589}; cell-substrate junction assembly {GO:0007044}; endodermal cell differentiation {GO:0035987}; female pregnancy {GO:0007565}; heterophilic cell-cell adhesion via plasma membrane cell adhesion molecules {GO:0007157}; heterotypic cell-cell adhesion {GO:0034113}; integrin-mediated signaling pathway {GO:0007229}; leukocyte cell-cell adhesion {GO:0007159}; memory {GO:0007613}; negative regulation of anoikis {GO:2000811}; positive regulation of cell migration {GO:0030335}; positive regulation of cell-substrate adhesion {GO:0010811}; positive regulation of peptidyl-tyrosine phosphorylation {GO:0050731}; positive regulation of sprouting angiogenesis {GO:1903672}; regulation of angiogenesis {GO:0045765}; wound healing, spreading of epidermal cells {GO:0035313}</t>
  </si>
  <si>
    <t>cell surface {GO:0009986}; cell-cell junction {GO:0005911}; cytoplasm {GO:0005737}; cytoplasmic vesicle {GO:0031410}; endoplasmic reticulum {GO:0005783}; external side of plasma membrane {GO:0009897}; focal adhesion {GO:0005925}; Golgi apparatus {GO:0005794}; integrin alpha5-beta1 complex {GO:0034674}; integrin complex {GO:0008305}; plasma membrane {GO:0005886}; ruffle membrane {GO:0032587}; synapse {GO:0045202}</t>
  </si>
  <si>
    <t>cell adhesion molecule binding {GO:0050839}; epidermal growth factor receptor binding {GO:0005154}; integrin binding {GO:0005178}; metal ion binding {GO:0046872}</t>
  </si>
  <si>
    <t>Elastic fibre formation {R-MMU-1566948}; Fibronectin matrix formation {R-MMU-1566977}; Cell surface interactions at the vascular wall {R-MMU-202733}; Integrin cell surface interactions {R-MMU-216083}; Signal transduction by L1 {R-MMU-445144}; GPER1 signaling {R-MMU-9634597}</t>
  </si>
  <si>
    <t>sp|Q925P2|CEAM2_MOUSE</t>
  </si>
  <si>
    <t>Carcinoembryonic antigen-related cell adhesion molecule 2 (CEA-related cell adhesion molecule 2)</t>
  </si>
  <si>
    <t>Biliary glycoprotein 2 (BGP-2)</t>
  </si>
  <si>
    <t>CEAM2_MOUSE</t>
  </si>
  <si>
    <t>Q925P2</t>
  </si>
  <si>
    <t>D0VY57; E9QLI9; I7HDK2; Q61349; Q8R1N5</t>
  </si>
  <si>
    <t>Bgp2</t>
  </si>
  <si>
    <t>MGI:1347246</t>
  </si>
  <si>
    <t>Alternative splicing; Cell membrane; Disulfide bond; Glycoprotein; Host-virus interaction; Immunoglobulin domain; Membrane; Phosphoprotein; Receptor; Repeat; Signal; Transmembrane; Transmembrane helix</t>
  </si>
  <si>
    <t>bile acid and bile salt transport {GO:0015721}; cell adhesion {GO:0007155}; cell-cell adhesion via plasma-membrane adhesion molecules {GO:0098742}; cellular response to insulin stimulus {GO:0032869}; energy homeostasis {GO:0097009}; insulin catabolic process {GO:1901143}; insulin receptor internalization {GO:0038016}; negative regulation of brown fat cell proliferation {GO:0070348}; negative regulation of fatty acid biosynthetic process {GO:0045717}; negative regulation of feeding behavior {GO:2000252}; negative regulation of hepatocyte proliferation {GO:2000346}; positive regulation of homophilic cell adhesion {GO:1903387}; regulation of cell growth {GO:0001558}; regulation of epidermal growth factor receptor signaling pathway {GO:0042058}; regulation of ERK1 and ERK2 cascade {GO:0070372}; regulation of homophilic cell adhesion {GO:1903385}; regulation of immune system process {GO:0002682}; regulation of phosphatidylinositol 3-kinase signaling {GO:0014066}; signal transduction {GO:0007165}</t>
  </si>
  <si>
    <t>adherens junction {GO:0005912}; anchored component of membrane {GO:0031225}; apical plasma membrane {GO:0016324}; basal plasma membrane {GO:0009925}; basolateral plasma membrane {GO:0016323}; cell junction {GO:0030054}; cell surface {GO:0009986}; cell-cell junction {GO:0005911}; extracellular space {GO:0005615}; integral component of plasma membrane {GO:0005887}; lateral plasma membrane {GO:0016328}; plasma membrane {GO:0005886}; T cell receptor complex {GO:0042101}; transforming growth factor beta ligand-receptor complex {GO:0070021}</t>
  </si>
  <si>
    <t>actin binding {GO:0003779}; bile acid transmembrane transporter activity {GO:0015125}; calmodulin binding {GO:0005516}; filamin binding {GO:0031005}; GPI anchor binding {GO:0034235}; identical protein binding {GO:0042802}; kinase binding {GO:0019900}; protein dimerization activity {GO:0046983}; protein heterodimerization activity {GO:0046982}; protein homodimerization activity {GO:0042803}; protein kinase binding {GO:0019901}; protein phosphatase binding {GO:0019903}; protein tyrosine kinase binding {GO:1990782}; protein-containing complex binding {GO:0044877}</t>
  </si>
  <si>
    <t>Post-translational modification: synthesis of GPI-anchored proteins {R-MMU-163125}; Cell surface interactions at the vascular wall {R-MMU-202733}; Neutrophil degranulation {R-MMU-6798695}</t>
  </si>
  <si>
    <t>sp|Q571I4|PRAG1_MOUSE</t>
  </si>
  <si>
    <t>Inactive tyrosine-protein kinase PRAG1</t>
  </si>
  <si>
    <t>Notch activation complex kinase; PEAK1-related kinase-activating pseudokinase 1; Sugen kinase 223; Tyrosine-protein kinase SgK223</t>
  </si>
  <si>
    <t>PRAG1_MOUSE</t>
  </si>
  <si>
    <t>Q571I4</t>
  </si>
  <si>
    <t>E9QLH9; Q8CB68</t>
  </si>
  <si>
    <t>MGI:1196223</t>
  </si>
  <si>
    <t>Cell junction; Cytoplasm; Nucleus; Phosphoprotein</t>
  </si>
  <si>
    <t>cell migration {GO:0016477}; negative regulation of neuron projection development {GO:0010977}; positive regulation of Rho protein signal transduction {GO:0035025}; protein phosphorylation {GO:0006468}; regulation of cell motility {GO:2000145}; regulation of cell shape {GO:0008360}; regulation of Notch signaling pathway {GO:0008593}</t>
  </si>
  <si>
    <t>cytoplasm {GO:0005737}; focal adhesion {GO:0005925}; nucleus {GO:0005634}</t>
  </si>
  <si>
    <t>identical protein binding {GO:0042802}; protein kinase activity {GO:0004672}</t>
  </si>
  <si>
    <t>sp|Q8R2Y9|SOSB1_MOUSE</t>
  </si>
  <si>
    <t>SOSS complex subunit B1</t>
  </si>
  <si>
    <t>Nucleic acid-binding protein 2; Oligonucleotide/oligosaccharide-binding fold-containing protein 2B; Sensor of single-strand DNA complex subunit B1; Sensor of ssDNA subunit B1 (SOSS-B1); Single-stranded DNA-binding protein 1</t>
  </si>
  <si>
    <t>SOSB1_MOUSE</t>
  </si>
  <si>
    <t>Q8R2Y9</t>
  </si>
  <si>
    <t>Obfc2b; Ssb1</t>
  </si>
  <si>
    <t>MGI:1917167</t>
  </si>
  <si>
    <t>DNA damage; DNA repair; DNA-binding; Nucleus; Phosphoprotein</t>
  </si>
  <si>
    <t>cellular response to DNA damage stimulus {GO:0006974}; DNA repair {GO:0006281}; double-strand break repair via homologous recombination {GO:0000724}; establishment of protein localization to telomere {GO:0070200}; mitotic G2/M transition checkpoint {GO:0044818}; positive regulation of telomere capping {GO:1904355}; response to ionizing radiation {GO:0010212}</t>
  </si>
  <si>
    <t>chromosome, telomeric region {GO:0000781}; cytosol {GO:0005829}; nucleoplasm {GO:0005654}; nucleus {GO:0005634}; site of double-strand break {GO:0035861}; SOSS complex {GO:0070876}</t>
  </si>
  <si>
    <t>DNA binding {GO:0003677}; DNA polymerase binding {GO:0070182}; G-rich strand telomeric DNA binding {GO:0098505}; single-stranded DNA binding {GO:0003697}</t>
  </si>
  <si>
    <t>sp|Q9CWX2|CIA30_MOUSE</t>
  </si>
  <si>
    <t>Complex I intermediate-associated protein 30, mitochondrial</t>
  </si>
  <si>
    <t>NADH dehydrogenase [ubiquinone] 1 alpha subcomplex assembly factor 1</t>
  </si>
  <si>
    <t>CIA30_MOUSE</t>
  </si>
  <si>
    <t>Q9CWX2</t>
  </si>
  <si>
    <t>Q8VEI8</t>
  </si>
  <si>
    <t>Cia30</t>
  </si>
  <si>
    <t>MGI:1916952</t>
  </si>
  <si>
    <t>chaperone-mediated protein complex assembly {GO:0051131}; mitochondrial electron transport, NADH to ubiquinone {GO:0006120}; mitochondrial respiratory chain complex I assembly {GO:0032981}; NADH dehydrogenase complex assembly {GO:0010257}</t>
  </si>
  <si>
    <t>sp|P28661|SEPT4_MOUSE</t>
  </si>
  <si>
    <t>Septin-4</t>
  </si>
  <si>
    <t>Bradeion beta; Brain protein H5; CE5B3 beta; Cell division control-related protein 2 (hCDCREL-2); Peanut-like protein 2</t>
  </si>
  <si>
    <t>SEPT4_MOUSE</t>
  </si>
  <si>
    <t>P28661</t>
  </si>
  <si>
    <t>B2KGM3; B2KGM6; Q3UVH1; Q3UZC3; Q5ND10; Q5ND15; Q5ND16; Q5ND19; Q7TPM7; Q80VX1</t>
  </si>
  <si>
    <t>MGI:1270156</t>
  </si>
  <si>
    <t>Alternative splicing; Cell cycle; Cell division; Cell projection; Cilium; Coiled coil; Cytoplasm; Cytoplasmic vesicle; Differentiation; Flagellum; GTP-binding; Mitochondrion; Nucleotide-binding; Phosphoprotein; Spermatogenesis; Synapse; Ubl conjugation</t>
  </si>
  <si>
    <t>Cell cycle; Cell division; Differentiation; Spermatogenesis</t>
  </si>
  <si>
    <t>Cell projection; Cilium; Cytoplasm; Cytoplasmic vesicle; Flagellum; Mitochondrion; Synapse</t>
  </si>
  <si>
    <t>brain development {GO:0007420}; cytoskeleton-dependent cytokinesis {GO:0061640}; flagellated sperm motility {GO:0030317}; hematopoietic stem cell homeostasis {GO:0061484}; negative regulation of stem cell proliferation {GO:2000647}; neuron migration {GO:0001764}; positive regulation of apoptotic process {GO:0043065}; positive regulation of intrinsic apoptotic signaling pathway {GO:2001244}; positive regulation of protein ubiquitination {GO:0031398}; protein localization {GO:0008104}; regulation of exocytosis {GO:0017157}; sperm capacitation {GO:0048240}; sperm mitochondrion organization {GO:0030382}; spermatid development {GO:0007286}; spermatid differentiation {GO:0048515}; tissue morphogenesis {GO:0048729}</t>
  </si>
  <si>
    <t>anchoring junction {GO:0070161}; axon {GO:0030424}; axon terminus {GO:0043679}; cell division site {GO:0032153}; cell projection {GO:0042995}; cytoplasm {GO:0005737}; cytosol {GO:0005829}; dendrite {GO:0030425}; microtubule cytoskeleton {GO:0015630}; mitochondrion {GO:0005739}; motile cilium {GO:0031514}; myelin sheath {GO:0043209}; nucleoplasm {GO:0005654}; perikaryon {GO:0043204}; septin complex {GO:0031105}; septin ring {GO:0005940}; sperm annulus {GO:0097227}; sperm flagellum {GO:0036126}; synaptic vesicle {GO:0008021}</t>
  </si>
  <si>
    <t>GTP binding {GO:0005525}; GTPase activity {GO:0003924}; identical protein binding {GO:0042802}; magnesium ion binding {GO:0000287}; molecular adaptor activity {GO:0060090}</t>
  </si>
  <si>
    <t>Release of apoptotic factors from the mitochondria {R-MMU-111457}; SMAC, XIAP-regulated apoptotic response {R-MMU-111469}</t>
  </si>
  <si>
    <t>sp|A0A338P6K9|QSER1_MOUSE</t>
  </si>
  <si>
    <t>Glutamine and serine-rich protein 1</t>
  </si>
  <si>
    <t>QSER1_MOUSE</t>
  </si>
  <si>
    <t>A0A338P6K9</t>
  </si>
  <si>
    <t>A2BIE1; Q3UR75</t>
  </si>
  <si>
    <t>MGI:2138986</t>
  </si>
  <si>
    <t>Alternative splicing; Chromosome; Isopeptide bond; Phosphoprotein; Ubl conjugation</t>
  </si>
  <si>
    <t>chromosome {GO:0005694}</t>
  </si>
  <si>
    <t>sp|Q8K0P3|MEAK7_MOUSE</t>
  </si>
  <si>
    <t>MTOR-associated protein MEAK7 (MEAK7)</t>
  </si>
  <si>
    <t>TBC/LysM-associated domain-containing protein 1; TLD domain-containing protein 1</t>
  </si>
  <si>
    <t>MEAK7_MOUSE</t>
  </si>
  <si>
    <t>Q8K0P3</t>
  </si>
  <si>
    <t>Q69ZF1</t>
  </si>
  <si>
    <t>Kiaa1609; Tldc1</t>
  </si>
  <si>
    <t>MGI:1921597</t>
  </si>
  <si>
    <t>Alternative splicing; Cytoplasm; Lipoprotein; Lysosome; Membrane; Myristate</t>
  </si>
  <si>
    <t>negative regulation of oxidative stress-induced neuron death {GO:1903204}; positive regulation of protein localization to lysosome {GO:0150032}; regulation of cell migration {GO:0030334}; regulation of cell population proliferation {GO:0042127}; response to amino acid {GO:0043200}; response to insulin {GO:0032868}; response to nutrient levels {GO:0031667}; TOR signaling {GO:0031929}</t>
  </si>
  <si>
    <t>cytoplasm {GO:0005737}; cytosol {GO:0005829}; lysosomal membrane {GO:0005765}; membrane {GO:0016020}; nucleolus {GO:0005730}; nucleoplasm {GO:0005654}</t>
  </si>
  <si>
    <t>sp|Q8BXG3|IFT57_MOUSE</t>
  </si>
  <si>
    <t>Intraflagellar transport protein 57 homolog</t>
  </si>
  <si>
    <t>HIP1-interacting protein</t>
  </si>
  <si>
    <t>IFT57_MOUSE</t>
  </si>
  <si>
    <t>Q8BXG3</t>
  </si>
  <si>
    <t>Q924M2; Q9CUS6</t>
  </si>
  <si>
    <t>Hippi</t>
  </si>
  <si>
    <t>MGI:1921166</t>
  </si>
  <si>
    <t>Alternative splicing; Apoptosis; Cell projection; Cilium; Coiled coil; Cytoplasm; Cytoskeleton; DNA-binding; Golgi apparatus; Transcription; Transcription regulation</t>
  </si>
  <si>
    <t>Cell projection; Cilium; Cytoplasm; Cytoskeleton; Golgi apparatus</t>
  </si>
  <si>
    <t>activation of cysteine-type endopeptidase activity involved in apoptotic process {GO:0006919}; apoptotic process {GO:0006915}; cilium assembly {GO:0060271}; heart looping {GO:0001947}; intraciliary anterograde transport {GO:0035720}; intraciliary transport {GO:0042073}; keratinocyte proliferation {GO:0043616}; left/right pattern formation {GO:0060972}; motile cilium assembly {GO:0044458}; negative regulation of keratinocyte proliferation {GO:0010839}; neural tube closure {GO:0001843}; non-motile cilium assembly {GO:1905515}; regulation of apoptotic process {GO:0042981}; smoothened signaling pathway {GO:0007224}</t>
  </si>
  <si>
    <t>axoneme {GO:0005930}; centrosome {GO:0005813}; ciliary basal body {GO:0036064}; ciliary base {GO:0097546}; cilium {GO:0005929}; dendrite terminus {GO:0044292}; Golgi apparatus {GO:0005794}; intraciliary transport particle B {GO:0030992}; photoreceptor connecting cilium {GO:0032391}</t>
  </si>
  <si>
    <t>sp|P54116|STOM_MOUSE</t>
  </si>
  <si>
    <t>Stomatin</t>
  </si>
  <si>
    <t>Erythrocyte band 7 integral membrane protein; Erythrocyte membrane protein band 7.2; Protein 7.2b</t>
  </si>
  <si>
    <t>STOM_MOUSE</t>
  </si>
  <si>
    <t>P54116</t>
  </si>
  <si>
    <t>O88988; Q3UP81; Q60744; Q62455</t>
  </si>
  <si>
    <t>MGI:95403</t>
  </si>
  <si>
    <t>3D-structure; Cell membrane; Cytoplasm; Cytoplasmic vesicle; Cytoskeleton; Lipoprotein; Membrane; Palmitate; Phosphoprotein</t>
  </si>
  <si>
    <t>positive regulation by host of viral genome replication {GO:0044829}; positive regulation of protein targeting to membrane {GO:0090314}; positive regulation of viral process {GO:0048524}; regulation of acid-sensing ion channel activity {GO:1901585}; regulation of ion transmembrane transport {GO:0034765}</t>
  </si>
  <si>
    <t>cytoplasm {GO:0005737}; cytoskeleton {GO:0005856}; endoplasmic reticulum {GO:0005783}; integral component of plasma membrane {GO:0005887}; melanosome {GO:0042470}; membrane raft {GO:0045121}; mitochondrion {GO:0005739}; perinuclear region of cytoplasm {GO:0048471}; plasma membrane {GO:0005886}</t>
  </si>
  <si>
    <t>identical protein binding {GO:0042802}; protein homodimerization activity {GO:0042803}; RNA polymerase binding {GO:0070063}</t>
  </si>
  <si>
    <t>Stimuli-sensing channels {R-MMU-2672351}; Neutrophil degranulation {R-MMU-6798695}; RHOA GTPase cycle {R-MMU-8980692}; RHOB GTPase cycle {R-MMU-9013026}; RHOC GTPase cycle {R-MMU-9013106}; RHOQ GTPase cycle {R-MMU-9013406}; RHOH GTPase cycle {R-MMU-9013407}</t>
  </si>
  <si>
    <t>sp|P11798|KCC2A_MOUSE</t>
  </si>
  <si>
    <t>Calcium/calmodulin-dependent protein kinase type II subunit alpha (CaM kinase II subunit alpha; CaMK-II subunit alpha)</t>
  </si>
  <si>
    <t>KCC2A_MOUSE</t>
  </si>
  <si>
    <t>P11798</t>
  </si>
  <si>
    <t>Q61284; Q6ZWN4</t>
  </si>
  <si>
    <t>MGI:88256</t>
  </si>
  <si>
    <t>3D-structure; Alternative splicing; ATP-binding; Calmodulin-binding; Cell projection; Cytoplasm; Kinase; Lipoprotein; Magnesium; Metal-binding; Nucleotide-binding; Palmitate; Phosphoprotein; Serine/threonine-protein kinase; Synapse; Transferase</t>
  </si>
  <si>
    <t>angiotensin-activated signaling pathway {GO:0038166}; calcium ion transport {GO:0006816}; calmodulin dependent kinase signaling pathway {GO:0099004}; dendrite morphogenesis {GO:0048813}; dendritic spine development {GO:0060996}; G1/S transition of mitotic cell cycle {GO:0000082}; ionotropic glutamate receptor signaling pathway {GO:0035235}; negative regulation of hydrolase activity {GO:0051346}; NMDA selective glutamate receptor signaling pathway {GO:0098989}; peptidyl-serine phosphorylation {GO:0018105}; peptidyl-threonine autophosphorylation {GO:1990443}; positive regulation of calcium ion transport {GO:0051928}; positive regulation of cardiac muscle cell apoptotic process {GO:0010666}; positive regulation of NF-kappaB transcription factor activity {GO:0051092}; postsynaptic neurotransmitter receptor diffusion trapping {GO:0098970}; protein autophosphorylation {GO:0046777}; protein phosphorylation {GO:0006468}; regulation of endocannabinoid signaling pathway {GO:2000124}; regulation of mitochondrial membrane permeability involved in apoptotic process {GO:1902108}; regulation of neuron migration {GO:2001222}; regulation of neuronal synaptic plasticity {GO:0048168}; regulation of neurotransmitter receptor localization to postsynaptic specialization membrane {GO:0098696}; regulation of neurotransmitter secretion {GO:0046928}; regulation of protein localization to plasma membrane {GO:1903076}; regulation of synaptic vesicle docking {GO:0099148}; response to ischemia {GO:0002931}</t>
  </si>
  <si>
    <t>anchoring junction {GO:0070161}; axon {GO:0030424}; calcium- and calmodulin-dependent protein kinase complex {GO:0005954}; cytoplasm {GO:0005737}; cytosol {GO:0005829}; dendrite {GO:0030425}; dendrite cytoplasm {GO:0032839}; dendritic spine {GO:0043197}; glutamatergic postsynaptic density {GO:0099573}; glutamatergic synapse {GO:0098978}; membrane {GO:0016020}; mitochondrion {GO:0005739}; neuron projection {GO:0043005}; neuronal cell body {GO:0043025}; nucleus {GO:0005634}; postsynaptic cytosol {GO:0099524}; postsynaptic density {GO:0014069}; postsynaptic specialization membrane {GO:0099634}; presynaptic cytosol {GO:0099523}; Schaffer collateral - CA1 synapse {GO:0098685}; synapse {GO:0045202}</t>
  </si>
  <si>
    <t>ATP binding {GO:0005524}; calcium-dependent protein serine/threonine kinase activity {GO:0009931}; calmodulin binding {GO:0005516}; calmodulin-dependent protein kinase activity {GO:0004683}; glutamate receptor binding {GO:0035254}; GTPase activating protein binding {GO:0032794}; identical protein binding {GO:0042802}; kinase activity {GO:0016301}; metal ion binding {GO:0046872}; protein homodimerization activity {GO:0042803}; protein serine kinase activity {GO:0106310}; protein serine/threonine kinase activity {GO:0004674}</t>
  </si>
  <si>
    <t>HSF1-dependent transactivation {R-MMU-3371571}; Trafficking of AMPA receptors {R-MMU-399719}; Ca2+ pathway {R-MMU-4086398}; Unblocking of NMDA receptors, glutamate binding and activation {R-MMU-438066}; Ion homeostasis {R-MMU-5578775}; RAF activation {R-MMU-5673000}; RAF/MAP kinase cascade {R-MMU-5673001}; Interferon gamma signaling {R-MMU-877300}; Ion transport by P-type ATPases {R-MMU-936837}</t>
  </si>
  <si>
    <t>sp|Q8BHX1|HAUS1_MOUSE</t>
  </si>
  <si>
    <t>HAUS augmin-like complex subunit 1</t>
  </si>
  <si>
    <t>Coiled-coil domain-containing protein 5</t>
  </si>
  <si>
    <t>HAUS1_MOUSE</t>
  </si>
  <si>
    <t>Q8BHX1</t>
  </si>
  <si>
    <t>Q3UIH2; Q8R1M1</t>
  </si>
  <si>
    <t>Ccdc5</t>
  </si>
  <si>
    <t>MGI:2385076</t>
  </si>
  <si>
    <t>Cell cycle; Cell division; Coiled coil; Cytoplasm; Cytoskeleton; Microtubule; Mitosis</t>
  </si>
  <si>
    <t>centrosome {GO:0005813}; cytosol {GO:0005829}; HAUS complex {GO:0070652}; mitotic spindle microtubule {GO:1990498}; spindle pole {GO:0000922}</t>
  </si>
  <si>
    <t>sp|Q501J7|PHAR4_MOUSE</t>
  </si>
  <si>
    <t>Phosphatase and actin regulator 4</t>
  </si>
  <si>
    <t>Protein Humpty dumpty (Humdy)</t>
  </si>
  <si>
    <t>PHAR4_MOUSE</t>
  </si>
  <si>
    <t>Q501J7</t>
  </si>
  <si>
    <t>A2ALF7; A2ALG0; F6QNZ3; Q5DTM4; Q6DI97; Q8C7U9</t>
  </si>
  <si>
    <t>Kiaa4120</t>
  </si>
  <si>
    <t>MGI:2140327</t>
  </si>
  <si>
    <t>Actin-binding; Alternative splicing; Cell projection; Cytoplasm; Developmental protein; Neurogenesis; Phosphoprotein; Protein phosphatase inhibitor; Repeat</t>
  </si>
  <si>
    <t>Actin-binding; Developmental protein; Protein phosphatase inhibitor</t>
  </si>
  <si>
    <t>actin cytoskeleton organization {GO:0030036}; closure of optic fissure {GO:0061386}; enteric nervous system development {GO:0048484}; negative regulation of integrin-mediated signaling pathway {GO:2001045}; neural crest cell migration {GO:0001755}; neural tube closure {GO:0001843}; positive regulation of catalytic activity {GO:0043085}; regulation of cell cycle {GO:0051726}; Rho protein signal transduction {GO:0007266}</t>
  </si>
  <si>
    <t>cytoplasm {GO:0005737}; lamellipodium {GO:0030027}</t>
  </si>
  <si>
    <t>actin binding {GO:0003779}; protein phosphatase 1 binding {GO:0008157}; protein phosphatase activator activity {GO:0072542}; protein phosphatase inhibitor activity {GO:0004864}</t>
  </si>
  <si>
    <t>sp|Q3TCX3|KHDC4_MOUSE</t>
  </si>
  <si>
    <t>KH homology domain-containing protein 4</t>
  </si>
  <si>
    <t>Brings lots of money 7; Pre-mRNA splicing factor protein Khdc4</t>
  </si>
  <si>
    <t>KHDC4_MOUSE</t>
  </si>
  <si>
    <t>Q3TCX3</t>
  </si>
  <si>
    <t>Q69ZW1; Q8BUQ0; Q923C9; Q9CZ63; Q9D207</t>
  </si>
  <si>
    <t>Blom7; Kiaa0907</t>
  </si>
  <si>
    <t>MGI:1921450</t>
  </si>
  <si>
    <t>Alternative splicing; Cytoplasm; mRNA processing; mRNA splicing; Nucleus; Phosphoprotein; RNA-binding</t>
  </si>
  <si>
    <t>cytoplasm {GO:0005737}; nucleoplasm {GO:0005654}; nucleus {GO:0005634}; spliceosomal complex {GO:0005681}</t>
  </si>
  <si>
    <t>sp|O89110|CASP8_MOUSE</t>
  </si>
  <si>
    <t>Caspase-8 subunit p10 (CASP-8)</t>
  </si>
  <si>
    <t>CASP8_MOUSE</t>
  </si>
  <si>
    <t>O89110</t>
  </si>
  <si>
    <t>O35669</t>
  </si>
  <si>
    <t>MGI:1261423</t>
  </si>
  <si>
    <t>Acetylation; Apoptosis; Cytoplasm; Hydrolase; Nucleus; Phosphoprotein; Protease; Repeat; Thiol protease; Zymogen</t>
  </si>
  <si>
    <t>activation of cysteine-type endopeptidase activity {GO:0097202}; activation of cysteine-type endopeptidase activity involved in apoptotic process {GO:0006919}; angiogenesis {GO:0001525}; apoptotic process {GO:0006915}; apoptotic signaling pathway {GO:0097190}; cardiac muscle tissue development {GO:0048738}; execution phase of apoptosis {GO:0097194}; extrinsic apoptotic signaling pathway {GO:0097191}; extrinsic apoptotic signaling pathway via death domain receptors {GO:0008625}; heart development {GO:0007507}; hepatocyte apoptotic process {GO:0097284}; macrophage differentiation {GO:0030225}; necroptotic process {GO:0070266}; negative regulation of I-kappaB kinase/NF-kappaB signaling {GO:0043124}; negative regulation of necroptotic process {GO:0060546}; neural tube formation {GO:0001841}; positive regulation of apoptotic process {GO:0043065}; positive regulation of extrinsic apoptotic signaling pathway {GO:2001238}; positive regulation of I-kappaB kinase/NF-kappaB signaling {GO:0043123}; positive regulation of interleukin-1 beta production {GO:0032731}; positive regulation of macrophage differentiation {GO:0045651}; positive regulation of neuron death {GO:1901216}; positive regulation of proteolysis {GO:0045862}; protein processing {GO:0016485}; proteolysis {GO:0006508}; proteolysis involved in protein catabolic process {GO:0051603}; pyroptosis {GO:0070269}; regulation of apoptotic signaling pathway {GO:2001233}; regulation of cytokine production {GO:0001817}; regulation of innate immune response {GO:0045088}; regulation of thymocyte apoptotic process {GO:0070243}; response to ethanol {GO:0045471}; response to tumor necrosis factor {GO:0034612}; self proteolysis {GO:0097264}; TRAIL-activated apoptotic signaling pathway {GO:0036462}</t>
  </si>
  <si>
    <t>caspase complex {GO:0008303}; CD95 death-inducing signaling complex {GO:0031265}; cell body {GO:0044297}; cytoplasm {GO:0005737}; cytosol {GO:0005829}; death-inducing signaling complex {GO:0031264}; membrane raft {GO:0045121}; mitochondrion {GO:0005739}; neuron projection {GO:0043005}; Noc1p-Noc2p complex {GO:0030690}; nucleoplasm {GO:0005654}; nucleus {GO:0005634}; plasma membrane {GO:0005886}; protein-containing complex {GO:0032991}; ripoptosome {GO:0097342}</t>
  </si>
  <si>
    <t>cysteine-type endopeptidase activity {GO:0004197}; cysteine-type endopeptidase activity involved in apoptotic process {GO:0097153}; cysteine-type endopeptidase activity involved in apoptotic signaling pathway {GO:0097199}; cysteine-type endopeptidase activity involved in execution phase of apoptosis {GO:0097200}; death effector domain binding {GO:0035877}; death receptor binding {GO:0005123}; endopeptidase activity {GO:0004175}; identical protein binding {GO:0042802}; peptidase activity {GO:0008233}; protein-containing complex binding {GO:0044877}; scaffold protein binding {GO:0097110}; tumor necrosis factor receptor binding {GO:0005164}; ubiquitin protein ligase binding {GO:0031625}</t>
  </si>
  <si>
    <t>Apoptotic cleavage of cellular proteins {R-MMU-111465}; Caspase activation via Death Receptors in the presence of ligand {R-MMU-140534}; NOD1/2 Signaling Pathway {R-MMU-168638}; TRIF-mediated programmed cell death {R-MMU-2562578}; Caspase-mediated cleavage of cytoskeletal proteins {R-MMU-264870}; Regulation by c-FLIP {R-MMU-3371378}; CASP8 activity is inhibited {R-MMU-5218900}; Regulation of TNFR1 signaling {R-MMU-5357905}; CLEC7A/inflammasome pathway {R-MMU-5660668}; Regulation of necroptotic cell death {R-MMU-5675482}; Dimerization of procaspase-8 {R-MMU-69416}; Activation, myristolyation of BID and translocation to mitochondria {R-MMU-75108}; Apoptotic execution phase {R-MMU-75153}; FasL/ CD95L signaling {R-MMU-75157}; TRAIL signaling {R-MMU-75158}; Regulation of NF-kappa B signaling {R-MMU-9758274}</t>
  </si>
  <si>
    <t>sp|Q8K382|DEN1A_MOUSE</t>
  </si>
  <si>
    <t>DENN domain-containing protein 1A</t>
  </si>
  <si>
    <t>Connecdenn 1 (Connecdenn)</t>
  </si>
  <si>
    <t>DEN1A_MOUSE</t>
  </si>
  <si>
    <t>Q8K382</t>
  </si>
  <si>
    <t>A0MCI0; A2ALU2</t>
  </si>
  <si>
    <t>MGI:2442794</t>
  </si>
  <si>
    <t>Cell membrane; Cell projection; Cytoplasmic vesicle; Guanine-nucleotide releasing factor; Lipid-binding; Membrane; Methylation; Phosphoprotein; Protein transport; Synapse; Transport</t>
  </si>
  <si>
    <t>Cell membrane; Cell projection; Cytoplasmic vesicle; Membrane; Synapse</t>
  </si>
  <si>
    <t>endocytic recycling {GO:0032456}; endocytosis {GO:0006897}; positive regulation of GTPase activity {GO:0043547}; protein transport {GO:0015031}; regulation of Rab protein signal transduction {GO:0032483}; synaptic vesicle endocytosis {GO:0048488}</t>
  </si>
  <si>
    <t>anchoring junction {GO:0070161}; clathrin-coated vesicle {GO:0030136}; clathrin-coated vesicle membrane {GO:0030665}; cytosol {GO:0005829}; dendrite {GO:0030425}; intracellular membrane-bounded organelle {GO:0043231}; neuronal cell body {GO:0043025}; presynaptic membrane {GO:0042734}; synapse {GO:0045202}</t>
  </si>
  <si>
    <t>guanyl-nucleotide exchange factor activity {GO:0005085}; phosphatidylinositol phosphate binding {GO:1901981}; phosphatidylinositol-3-phosphate binding {GO:0032266}; SH3 domain binding {GO:0017124}; small GTPase binding {GO:0031267}</t>
  </si>
  <si>
    <t>sp|Q8BPU7|ELMO1_MOUSE</t>
  </si>
  <si>
    <t>Engulfment and cell motility protein 1</t>
  </si>
  <si>
    <t>Protein ced-12 homolog</t>
  </si>
  <si>
    <t>ELMO1_MOUSE</t>
  </si>
  <si>
    <t>Q8BPU7</t>
  </si>
  <si>
    <t>Q8BSY9; Q8K2C5; Q91ZU3</t>
  </si>
  <si>
    <t>MGI:2153044</t>
  </si>
  <si>
    <t>Acetylation; Alternative splicing; Apoptosis; Cell membrane; Cytoplasm; Membrane; Phagocytosis; Phosphoprotein; SH3-binding</t>
  </si>
  <si>
    <t>actin cytoskeleton organization {GO:0030036}; actin filament organization {GO:0007015}; actin filament-based process {GO:0030029}; apoptotic process {GO:0006915}; cell migration {GO:0016477}; cell motility {GO:0048870}; phagocytosis {GO:0006909}; phagocytosis, engulfment {GO:0006911}; Rac protein signal transduction {GO:0016601}</t>
  </si>
  <si>
    <t>cytoplasm {GO:0005737}; guanyl-nucleotide exchange factor complex {GO:0032045}; plasma membrane {GO:0005886}</t>
  </si>
  <si>
    <t>guanyl-nucleotide exchange factor activity {GO:0005085}; SH3 domain binding {GO:0017124}</t>
  </si>
  <si>
    <t>Regulation of actin dynamics for phagocytic cup formation {R-MMU-2029482}; VEGFA-VEGFR2 Pathway {R-MMU-4420097}; PTK6 Regulates RHO GTPases, RAS GTPase and MAP kinases {R-MMU-8849471}</t>
  </si>
  <si>
    <t>sp|Q64516|GLPK_MOUSE</t>
  </si>
  <si>
    <t>Glycerol kinase (GK; Glycerokinase)</t>
  </si>
  <si>
    <t>ATP:glycerol 3-phosphotransferase</t>
  </si>
  <si>
    <t>GLPK_MOUSE</t>
  </si>
  <si>
    <t>Q64516</t>
  </si>
  <si>
    <t>B1ASZ1; Q8C2M1; Q8C8X0</t>
  </si>
  <si>
    <t>Gyk</t>
  </si>
  <si>
    <t>MGI:106594</t>
  </si>
  <si>
    <t>Alternative splicing; ATP-binding; Cytoplasm; Glycerol metabolism; Kinase; Membrane; Mitochondrion; Mitochondrion outer membrane; Nucleotide-binding; Transferase</t>
  </si>
  <si>
    <t>Glycerol metabolism</t>
  </si>
  <si>
    <t>glucose homeostasis {GO:0042593}; glycerol catabolic process {GO:0019563}; glycerol metabolic process {GO:0006071}; glycerol-3-phosphate biosynthetic process {GO:0046167}; phosphorylation {GO:0016310}; regulation of fatty acid metabolic process {GO:0019217}; response to ethanol {GO:0045471}; triglyceride metabolic process {GO:0006641}</t>
  </si>
  <si>
    <t>mitochondrial outer membrane {GO:0005741}; mitochondrion {GO:0005739}; nucleus {GO:0005634}</t>
  </si>
  <si>
    <t>ATP binding {GO:0005524}; glycerol kinase activity {GO:0004370}; histone binding {GO:0042393}; phosphotransferase activity, alcohol group as acceptor {GO:0016773}</t>
  </si>
  <si>
    <t>Polyol metabolism; glycerol degradation via glycerol kinase pathway; sn-glycerol 3-phosphate from glycerol: step 1/1.</t>
  </si>
  <si>
    <t>Triglyceride biosynthesis {R-MMU-75109}</t>
  </si>
  <si>
    <t>sp|Q60714|S27A1_MOUSE</t>
  </si>
  <si>
    <t>Long-chain fatty acid transport protein 1</t>
  </si>
  <si>
    <t>Arachidonate--CoA ligase; Fatty acid transport protein; Fatty acid transport protein 1 (FATP-1); Long-chain-fatty-acid--CoA ligase; Solute carrier family 27 member 1 (Vlc27a1); Very long-chain acyl-CoA synthetase</t>
  </si>
  <si>
    <t>S27A1_MOUSE</t>
  </si>
  <si>
    <t>Q60714</t>
  </si>
  <si>
    <t>MGI:1347098</t>
  </si>
  <si>
    <t>Cell membrane; Cytoplasm; Fatty acid metabolism; Ligase; Lipid metabolism; Lipid transport; Membrane; Mitochondrion; Mitochondrion outer membrane; Nucleotide-binding; Transmembrane; Transmembrane helix; Transport</t>
  </si>
  <si>
    <t>Cell membrane; Cytoplasm; Membrane; Mitochondrion; Mitochondrion outer membrane</t>
  </si>
  <si>
    <t>adiponectin-activated signaling pathway {GO:0033211}; biotin import across plasma membrane {GO:1905135}; biotin transport {GO:0015878}; cardiolipin biosynthetic process {GO:0032049}; export across plasma membrane {GO:0140115}; fatty acid transport {GO:0015908}; glucose import in response to insulin stimulus {GO:0044381}; lipid transport across blood-brain barrier {GO:1990379}; long-chain fatty acid import across plasma membrane {GO:0015911}; long-chain fatty acid import into cell {GO:0044539}; long-chain fatty acid metabolic process {GO:0001676}; long-chain fatty acid transport {GO:0015909}; medium-chain fatty acid transport {GO:0001579}; negative regulation of phospholipid biosynthetic process {GO:0071072}; phosphatidic acid biosynthetic process {GO:0006654}; phosphatidylcholine biosynthetic process {GO:0006656}; phosphatidylethanolamine biosynthetic process {GO:0006646}; phosphatidylglycerol biosynthetic process {GO:0006655}; phosphatidylinositol biosynthetic process {GO:0006661}; phosphatidylserine biosynthetic process {GO:0006659}; positive regulation of heat generation {GO:0031652}; positive regulation of protein serine/threonine kinase activity {GO:0071902}; positive regulation of triglyceride biosynthetic process {GO:0010867}; response to cold {GO:0009409}; response to insulin {GO:0032868}</t>
  </si>
  <si>
    <t>basal plasma membrane {GO:0009925}; caveola {GO:0005901}; cytoplasmic vesicle {GO:0031410}; endoplasmic reticulum {GO:0005783}; integral component of plasma membrane {GO:0005887}; intracellular membrane-bounded organelle {GO:0043231}; mitochondrial inner membrane {GO:0005743}; mitochondrion {GO:0005739}; plasma membrane {GO:0005886}</t>
  </si>
  <si>
    <t>arachidonate-CoA ligase activity {GO:0047676}; biotin transmembrane transporter activity {GO:0015225}; efflux transmembrane transporter activity {GO:0015562}; fatty acid transmembrane transporter activity {GO:0015245}; identical protein binding {GO:0042802}; long-chain fatty acid transporter activity {GO:0005324}; long-chain fatty acid-CoA ligase activity {GO:0004467}; nucleotide binding {GO:0000166}; oleate transmembrane transporter activity {GO:1901480}; oleoyl-CoA ligase activity {GO:0090434}; very long-chain fatty acid-CoA ligase activity {GO:0031957}</t>
  </si>
  <si>
    <t>sp|Q09XV5|CHD8_MOUSE</t>
  </si>
  <si>
    <t>Chromodomain-helicase-DNA-binding protein 8 (CHD-8)</t>
  </si>
  <si>
    <t>ATP-dependent helicase CHD8; Axis duplication inhibitor (Duplin)</t>
  </si>
  <si>
    <t>CHD8_MOUSE</t>
  </si>
  <si>
    <t>Q09XV5</t>
  </si>
  <si>
    <t>Q3TV89; Q5I1Z2; Q6ZPM8</t>
  </si>
  <si>
    <t>Kiaa1564</t>
  </si>
  <si>
    <t>MGI:1915022</t>
  </si>
  <si>
    <t>Activator; Alternative splicing; ATP-binding; Chromatin regulator; DNA-binding; Helicase; Hydrolase; Isopeptide bond; Nucleotide-binding; Nucleus; Phosphoprotein; Repeat; Repressor; Transcription; Transcription regulation; Ubl conjugation; Wnt signaling pathway</t>
  </si>
  <si>
    <t>Activator; Chromatin regulator; DNA-binding; Helicase; Hydrolase; Repressor</t>
  </si>
  <si>
    <t>brain development {GO:0007420}; chromatin remodeling {GO:0006338}; digestive tract development {GO:0048565}; in utero embryonic development {GO:0001701}; negative regulation of apoptotic process {GO:0043066}; negative regulation of canonical Wnt signaling pathway {GO:0090090}; negative regulation of DNA-templated transcription {GO:0045892}; negative regulation of fibroblast apoptotic process {GO:2000270}; negative regulation of transcription by RNA polymerase II {GO:0000122}; negative regulation of Wnt signaling pathway {GO:0030178}; positive regulation of DNA-templated transcription {GO:0045893}; positive regulation of transcription by RNA polymerase II {GO:0045944}; positive regulation of transcription by RNA polymerase III {GO:0045945}; prepulse inhibition {GO:0060134}; regulation of gene expression {GO:0010468}; social behavior {GO:0035176}; startle response {GO:0001964}; Wnt signaling pathway {GO:0016055}</t>
  </si>
  <si>
    <t>chromatin {GO:0000785}; MLL1 complex {GO:0071339}; nucleoplasm {GO:0005654}; nucleus {GO:0005634}; protein-containing complex {GO:0032991}</t>
  </si>
  <si>
    <t>armadillo repeat domain binding {GO:0070016}; ATP binding {GO:0005524}; ATP hydrolysis activity {GO:0016887}; ATP-dependent chromatin remodeler activity {GO:0140658}; beta-catenin binding {GO:0008013}; chromatin binding {GO:0003682}; DNA binding {GO:0003677}; DNA helicase activity {GO:0003678}; histone binding {GO:0042393}; methylated histone binding {GO:0035064}; p53 binding {GO:0002039}</t>
  </si>
  <si>
    <t>Deactivation of the beta-catenin transactivating complex {R-MMU-3769402}</t>
  </si>
  <si>
    <t>sp|Q9WU56|PUS1_MOUSE</t>
  </si>
  <si>
    <t>Pseudouridylate synthase 1 homolog</t>
  </si>
  <si>
    <t>tRNA pseudouridine synthase 1; tRNA pseudouridine(38-40) synthase; tRNA pseudouridylate synthase I; tRNA-uridine isomerase I</t>
  </si>
  <si>
    <t>PUS1_MOUSE</t>
  </si>
  <si>
    <t>Q9WU56</t>
  </si>
  <si>
    <t>Q3UUC6; Q791J1; Q8C250; Q8VDQ3; Q9EQD1; Q9JJE5</t>
  </si>
  <si>
    <t>MGI:1929237</t>
  </si>
  <si>
    <t>Alternative splicing; Cytoplasm; Isomerase; Mitochondrion; mRNA processing; mRNA splicing; Nucleus; Phosphoprotein; Transit peptide; tRNA processing</t>
  </si>
  <si>
    <t>mRNA processing {GO:0006397}; mRNA pseudouridine synthesis {GO:1990481}; positive regulation of transcription by RNA polymerase II {GO:0045944}; RNA splicing {GO:0008380}; tRNA pseudouridine synthesis {GO:0031119}</t>
  </si>
  <si>
    <t>cytoplasm {GO:0005737}; mitochondrion {GO:0005739}; nucleolus {GO:0005730}; nucleoplasm {GO:0005654}; nucleus {GO:0005634}; transcription regulator complex {GO:0005667}</t>
  </si>
  <si>
    <t>chromatin binding {GO:0003682}; nuclear receptor coactivator activity {GO:0030374}; pseudouridine synthase activity {GO:0009982}; steroid receptor RNA activator RNA binding {GO:0002153}; tRNA binding {GO:0000049}; tRNA pseudouridine synthase activity {GO:0106029}</t>
  </si>
  <si>
    <t>sp|Q8BUN5|SMAD3_MOUSE</t>
  </si>
  <si>
    <t>Mothers against decapentaplegic homolog 3 (MAD homolog 3; Mad3; Mothers against DPP homolog 3; mMad3)</t>
  </si>
  <si>
    <t>SMAD family member 3 (SMAD 3; Smad3)</t>
  </si>
  <si>
    <t>SMAD3_MOUSE</t>
  </si>
  <si>
    <t>Q8BUN5</t>
  </si>
  <si>
    <t>O09064; O09144; O14510; O35273; Q8BX84; Q92940; Q93002; Q9GKR4</t>
  </si>
  <si>
    <t>Madh3</t>
  </si>
  <si>
    <t>MGI:1201674</t>
  </si>
  <si>
    <t>Acetylation; ADP-ribosylation; Cytoplasm; Isopeptide bond; Metal-binding; Nucleus; Phosphoprotein; Transcription; Transcription regulation; Ubl conjugation; Zinc</t>
  </si>
  <si>
    <t>activation of cysteine-type endopeptidase activity involved in apoptotic process {GO:0006919}; activation of cysteine-type endopeptidase activity involved in apoptotic signaling pathway {GO:0097296}; activin receptor signaling pathway {GO:0032924}; adrenal gland development {GO:0030325}; anatomical structure morphogenesis {GO:0009653}; BMP signaling pathway {GO:0030509}; cell differentiation {GO:0030154}; cell-cell junction organization {GO:0045216}; cellular response to transforming growth factor beta stimulus {GO:0071560}; cellular response to virus {GO:0098586}; developmental growth {GO:0048589}; embryonic cranial skeleton morphogenesis {GO:0048701}; embryonic foregut morphogenesis {GO:0048617}; embryonic pattern specification {GO:0009880}; endoderm development {GO:0007492}; extrinsic apoptotic signaling pathway {GO:0097191}; gastrulation {GO:0007369}; heart looping {GO:0001947}; immune response {GO:0006955}; immune system development {GO:0002520}; in utero embryonic development {GO:0001701}; JNK cascade {GO:0007254}; lens fiber cell differentiation {GO:0070306}; liver development {GO:0001889}; MAPK cascade {GO:0000165}; mesoderm formation {GO:0001707}; negative regulation of apoptotic process {GO:0043066}; negative regulation of cardiac muscle hypertrophy in response to stress {GO:1903243}; negative regulation of cell growth {GO:0030308}; negative regulation of cell population proliferation {GO:0008285}; negative regulation of cytosolic calcium ion concentration {GO:0051481}; negative regulation of fat cell differentiation {GO:0045599}; negative regulation of inflammatory response {GO:0050728}; negative regulation of lung blood pressure {GO:0061767}; negative regulation of osteoblast differentiation {GO:0045668}; negative regulation of osteoblast proliferation {GO:0033689}; negative regulation of protein catabolic process {GO:0042177}; negative regulation of transcription by RNA polymerase II {GO:0000122}; negative regulation of wound healing {GO:0061045}; nodal signaling pathway {GO:0038092}; osteoblast development {GO:0002076}; osteoblast differentiation {GO:0001649}; paraxial mesoderm morphogenesis {GO:0048340}; pericardium development {GO:0060039}; positive regulation of alkaline phosphatase activity {GO:0010694}; positive regulation of bone mineralization {GO:0030501}; positive regulation of canonical Wnt signaling pathway {GO:0090263}; positive regulation of cell migration {GO:0030335}; positive regulation of chondrocyte differentiation {GO:0032332}; positive regulation of DNA-templated transcription {GO:0045893}; positive regulation of epithelial to mesenchymal transition {GO:0010718}; positive regulation of extracellular matrix assembly {GO:1901203}; positive regulation of focal adhesion assembly {GO:0051894}; positive regulation of gene expression {GO:0010628}; positive regulation of interleukin-1 beta production {GO:0032731}; positive regulation of miRNA transcription {GO:1902895}; positive regulation of nitric oxide biosynthetic process {GO:0045429}; positive regulation of positive chemotaxis {GO:0050927}; positive regulation of stress fiber assembly {GO:0051496}; positive regulation of transcription by RNA polymerase II {GO:0045944}; positive regulation of transforming growth factor beta3 production {GO:0032916}; protein stabilization {GO:0050821}; regulation of binding {GO:0051098}; regulation of DNA-templated transcription {GO:0006355}; regulation of epithelial cell proliferation {GO:0050678}; regulation of immune response {GO:0050776}; regulation of striated muscle tissue development {GO:0016202}; regulation of transcription by RNA polymerase II {GO:0006357}; regulation of transforming growth factor beta receptor signaling pathway {GO:0017015}; regulation of transforming growth factor beta2 production {GO:0032909}; response to hypoxia {GO:0001666}; signal transduction involved in regulation of gene expression {GO:0023019}; skeletal system development {GO:0001501}; SMAD protein complex assembly {GO:0007183}; SMAD protein signal transduction {GO:0060395}; somitogenesis {GO:0001756}; T cell activation {GO:0042110}; thyroid gland development {GO:0030878}; transcription by RNA polymerase II {GO:0006366}; transdifferentiation {GO:0060290}; transforming growth factor beta receptor signaling pathway {GO:0007179}; ureteric bud development {GO:0001657}</t>
  </si>
  <si>
    <t>chromatin {GO:0000785}; cytoplasm {GO:0005737}; cytosol {GO:0005829}; heteromeric SMAD protein complex {GO:0071144}; nuclear inner membrane {GO:0005637}; nucleoplasm {GO:0005654}; nucleus {GO:0005634}; plasma membrane {GO:0005886}; protein-containing complex {GO:0032991}; receptor complex {GO:0043235}; SMAD protein complex {GO:0071141}; transcription regulator complex {GO:0005667}</t>
  </si>
  <si>
    <t>beta-catenin binding {GO:0008013}; bHLH transcription factor binding {GO:0043425}; chromatin binding {GO:0003682}; chromatin DNA binding {GO:0031490}; cis-regulatory region sequence-specific DNA binding {GO:0000987}; co-SMAD binding {GO:0070410}; collagen binding {GO:0005518}; DEAD/H-box RNA helicase binding {GO:0017151}; DNA binding {GO:0003677}; DNA-binding transcription activator activity, RNA polymerase II-specific {GO:0001228}; DNA-binding transcription factor activity {GO:0003700}; DNA-binding transcription factor activity, RNA polymerase II-specific {GO:0000981}; DNA-binding transcription factor binding {GO:0140297}; DNA-binding transcription repressor activity {GO:0001217}; double-stranded DNA binding {GO:0003690}; enzyme binding {GO:0019899}; I-SMAD binding {GO:0070411}; identical protein binding {GO:0042802}; nuclear glucocorticoid receptor binding {GO:0035259}; nuclear mineralocorticoid receptor binding {GO:0031962}; nuclear receptor binding {GO:0016922}; phosphatase binding {GO:0019902}; promoter-specific chromatin binding {GO:1990841}; protein homodimerization activity {GO:0042803}; protein kinase binding {GO:0019901}; R-SMAD binding {GO:0070412}; RNA polymerase II cis-regulatory region sequence-specific DNA binding {GO:0000978}; RNA polymerase II transcription regulatory region sequence-specific DNA binding {GO:0000977}; RNA polymerase II-specific DNA-binding transcription factor binding {GO:0061629}; sequence-specific DNA binding {GO:0043565}; SMAD binding {GO:0046332}; sterol response element binding {GO:0032810}; transcription cis-regulatory region binding {GO:0000976}; transcription coactivator binding {GO:0001223}; transforming growth factor beta receptor binding {GO:0005160}; ubiquitin binding {GO:0043130}; ubiquitin protein ligase binding {GO:0031625}; zinc ion binding {GO:0008270}</t>
  </si>
  <si>
    <t>Signaling by NODAL {R-MMU-1181150}; Signaling by Activin {R-MMU-1502540}; Downregulation of TGF-beta receptor signaling {R-MMU-2173788}; TGF-beta receptor signaling activates SMADs {R-MMU-2173789}; Downregulation of SMAD2/3:SMAD4 transcriptional activity {R-MMU-2173795}; SMAD2/SMAD3:SMAD4 heterotrimer regulates transcription {R-MMU-2173796}; Ub-specific processing proteases {R-MMU-5689880}; RUNX3 regulates CDKN1A transcription {R-MMU-8941855}; FOXO-mediated transcription of cell cycle genes {R-MMU-9617828}</t>
  </si>
  <si>
    <t>sp|Q91WQ5|TAF5L_MOUSE</t>
  </si>
  <si>
    <t>TAF5-like RNA polymerase II p300/CBP-associated factor-associated factor 65 kDa subunit 5L (TAF5L)</t>
  </si>
  <si>
    <t>PCAF-associated factor 65 beta (PAF65-beta)</t>
  </si>
  <si>
    <t>TAF5L_MOUSE</t>
  </si>
  <si>
    <t>Q91WQ5</t>
  </si>
  <si>
    <t>Q8BTL5</t>
  </si>
  <si>
    <t>Paf65b</t>
  </si>
  <si>
    <t>MGI:1919039</t>
  </si>
  <si>
    <t>Nucleus; Repeat; Transcription; Transcription regulation; WD repeat</t>
  </si>
  <si>
    <t>histone acetylation {GO:0016573}; histone H3 acetylation {GO:0043966}; monoubiquitinated histone deubiquitination {GO:0035521}; monoubiquitinated histone H2A deubiquitination {GO:0035522}; positive regulation of DNA-templated transcription {GO:0045893}; regulation of DNA repair {GO:0006282}; regulation of DNA-templated transcription {GO:0006355}; regulation of RNA splicing {GO:0043484}; regulation of somatic stem cell population maintenance {GO:1904672}; regulation of transcription by RNA polymerase II {GO:0006357}</t>
  </si>
  <si>
    <t>cytoplasmic ribonucleoprotein granule {GO:0036464}; histone acetyltransferase complex {GO:0000123}; nuclear speck {GO:0016607}; nucleus {GO:0005634}; SAGA complex {GO:0000124}; transcription factor TFTC complex {GO:0033276}</t>
  </si>
  <si>
    <t>OriginalOrder</t>
  </si>
  <si>
    <t>UniProt annotations (gene symbols, uniprot links, MGI links, keywords, GO terms, and reactome pathway information)</t>
  </si>
  <si>
    <t>Trim</t>
  </si>
  <si>
    <t xml:space="preserve"> </t>
  </si>
  <si>
    <t>x</t>
  </si>
  <si>
    <t>Q68FG2</t>
  </si>
  <si>
    <t>Q68FG2_MOUSE</t>
  </si>
  <si>
    <t>E9Q616</t>
  </si>
  <si>
    <t>E9Q616_MOUSE</t>
  </si>
  <si>
    <t>Q9DBF1</t>
  </si>
  <si>
    <t>AL7A1_MOUSE</t>
  </si>
  <si>
    <t>Q91ZU6</t>
  </si>
  <si>
    <t>DYST_MOUSE</t>
  </si>
  <si>
    <t>E9PVZ8</t>
  </si>
  <si>
    <t>E9PVZ8_MOUSE</t>
  </si>
  <si>
    <t>E9QA15</t>
  </si>
  <si>
    <t>E9QA15_MOUSE</t>
  </si>
  <si>
    <t>E9PVA8</t>
  </si>
  <si>
    <t>GCN1_MOUSE</t>
  </si>
  <si>
    <t>A0A2I3BR81</t>
  </si>
  <si>
    <t>A0A2I3BR81_MOUSE</t>
  </si>
  <si>
    <t>Q8BK64</t>
  </si>
  <si>
    <t>AHSA1_MOUSE</t>
  </si>
  <si>
    <t>Q8VHM5</t>
  </si>
  <si>
    <t>Q8VHM5_MOUSE</t>
  </si>
  <si>
    <t>D3Z2H9</t>
  </si>
  <si>
    <t>D3Z2H9_MOUSE</t>
  </si>
  <si>
    <t>Q6DFZ1</t>
  </si>
  <si>
    <t>Q6DFZ1_MOUSE</t>
  </si>
  <si>
    <t>Q9ER67</t>
  </si>
  <si>
    <t>Q9ER67_MOUSE</t>
  </si>
  <si>
    <t>Q3UJB0</t>
  </si>
  <si>
    <t>Q3UJB0_MOUSE</t>
  </si>
  <si>
    <t>F8VQC1</t>
  </si>
  <si>
    <t>F8VQC1_MOUSE</t>
  </si>
  <si>
    <t>Q9CZN7</t>
  </si>
  <si>
    <t>GLYM_MOUSE</t>
  </si>
  <si>
    <t>A0A991ENW0</t>
  </si>
  <si>
    <t>A0A991ENW0_MOUSE</t>
  </si>
  <si>
    <t>Q8BQ46</t>
  </si>
  <si>
    <t>Q8BQ46_MOUSE</t>
  </si>
  <si>
    <t>D3Z3N4</t>
  </si>
  <si>
    <t>D3Z3N4_MOUSE</t>
  </si>
  <si>
    <t>D3YZZ5</t>
  </si>
  <si>
    <t>D3YZZ5_MOUSE</t>
  </si>
  <si>
    <t>Q6PHQ9</t>
  </si>
  <si>
    <t>Q6PHQ9_MOUSE</t>
  </si>
  <si>
    <t>Q9Z1A1</t>
  </si>
  <si>
    <t>Q9Z1A1_MOUSE</t>
  </si>
  <si>
    <t>D4AFX7</t>
  </si>
  <si>
    <t>D4AFX7_MOUSE</t>
  </si>
  <si>
    <t>Q3UIX4</t>
  </si>
  <si>
    <t>Q3UIX4_MOUSE</t>
  </si>
  <si>
    <t>Q7M6Y3</t>
  </si>
  <si>
    <t>PICAL_MOUSE</t>
  </si>
  <si>
    <t>Q91VA7</t>
  </si>
  <si>
    <t>Q91VA7_MOUSE</t>
  </si>
  <si>
    <t>Q9D0T1</t>
  </si>
  <si>
    <t>NH2L1_MOUSE</t>
  </si>
  <si>
    <t>Q91YR1</t>
  </si>
  <si>
    <t>TWF1_MOUSE</t>
  </si>
  <si>
    <t>B9EJX2</t>
  </si>
  <si>
    <t>B9EJX2_MOUSE</t>
  </si>
  <si>
    <t>B1AUN2</t>
  </si>
  <si>
    <t>B1AUN2_MOUSE</t>
  </si>
  <si>
    <t>E9PV24</t>
  </si>
  <si>
    <t>FIBA_MOUSE</t>
  </si>
  <si>
    <t>B9EJ54</t>
  </si>
  <si>
    <t>B9EJ54_MOUSE</t>
  </si>
  <si>
    <t>A2AJ72</t>
  </si>
  <si>
    <t>A2AJ72_MOUSE</t>
  </si>
  <si>
    <t>G3X972</t>
  </si>
  <si>
    <t>G3X972_MOUSE</t>
  </si>
  <si>
    <t>Q9ESN9</t>
  </si>
  <si>
    <t>JIP3_MOUSE</t>
  </si>
  <si>
    <t>Q8R5H1</t>
  </si>
  <si>
    <t>UBP15_MOUSE</t>
  </si>
  <si>
    <t>F8VPN4</t>
  </si>
  <si>
    <t>F8VPN4_MOUSE</t>
  </si>
  <si>
    <t>Q497J0</t>
  </si>
  <si>
    <t>Q497J0_MOUSE</t>
  </si>
  <si>
    <t>Q8R0G9</t>
  </si>
  <si>
    <t>NU133_MOUSE</t>
  </si>
  <si>
    <t>Q3TJ22</t>
  </si>
  <si>
    <t>Q3TJ22_MOUSE</t>
  </si>
  <si>
    <t>D3Z0M9</t>
  </si>
  <si>
    <t>D3Z0M9_MOUSE</t>
  </si>
  <si>
    <t>F8VQ05</t>
  </si>
  <si>
    <t>F8VQ05_MOUSE</t>
  </si>
  <si>
    <t>Q9JLT4</t>
  </si>
  <si>
    <t>TRXR2_MOUSE</t>
  </si>
  <si>
    <t>Q9CQ73</t>
  </si>
  <si>
    <t>PKP2_MOUSE</t>
  </si>
  <si>
    <t>B9EJR8</t>
  </si>
  <si>
    <t>DAAF5_MOUSE</t>
  </si>
  <si>
    <t>O35176</t>
  </si>
  <si>
    <t>O35176_MOUSE</t>
  </si>
  <si>
    <t>A0A8I4SYN6</t>
  </si>
  <si>
    <t>A0A8I4SYN6_MOUSE</t>
  </si>
  <si>
    <t>P83741</t>
  </si>
  <si>
    <t>WNK1_MOUSE</t>
  </si>
  <si>
    <t>Q3ULL6</t>
  </si>
  <si>
    <t>Q3ULL6_MOUSE</t>
  </si>
  <si>
    <t>Q9ES00</t>
  </si>
  <si>
    <t>UBE4B_MOUSE</t>
  </si>
  <si>
    <t>Q99J77</t>
  </si>
  <si>
    <t>SIAS_MOUSE</t>
  </si>
  <si>
    <t>B2RXT3</t>
  </si>
  <si>
    <t>B2RXT3_MOUSE</t>
  </si>
  <si>
    <t>G3X8U3</t>
  </si>
  <si>
    <t>G3X8U3_MOUSE</t>
  </si>
  <si>
    <t>E9Q512</t>
  </si>
  <si>
    <t>E9Q512_MOUSE</t>
  </si>
  <si>
    <t>Q9D358</t>
  </si>
  <si>
    <t>PPAC_MOUSE</t>
  </si>
  <si>
    <t>F8VPK0</t>
  </si>
  <si>
    <t>F8VPK0_MOUSE</t>
  </si>
  <si>
    <t>Q6NZR5</t>
  </si>
  <si>
    <t>Q6NZR5_MOUSE</t>
  </si>
  <si>
    <t>A2RTH5</t>
  </si>
  <si>
    <t>A2RTH5_MOUSE</t>
  </si>
  <si>
    <t>Q9CQX6</t>
  </si>
  <si>
    <t>Q9CQX6_MOUSE</t>
  </si>
  <si>
    <t>E9Q394</t>
  </si>
  <si>
    <t>AKP13_MOUSE</t>
  </si>
  <si>
    <t>Q8JZU2</t>
  </si>
  <si>
    <t>TXTP_MOUSE</t>
  </si>
  <si>
    <t>A0A087WQ44</t>
  </si>
  <si>
    <t>A0A087WQ44_MOUSE</t>
  </si>
  <si>
    <t>E9PWW9</t>
  </si>
  <si>
    <t>E9PWW9_MOUSE</t>
  </si>
  <si>
    <t>E9Q166</t>
  </si>
  <si>
    <t>E9Q166_MOUSE</t>
  </si>
  <si>
    <t>E9PYG6</t>
  </si>
  <si>
    <t>E9PYG6_MOUSE</t>
  </si>
  <si>
    <t>B1AVK5</t>
  </si>
  <si>
    <t>B1AVK5_MOUSE</t>
  </si>
  <si>
    <t>A2AT37</t>
  </si>
  <si>
    <t>RENT2_MOUSE</t>
  </si>
  <si>
    <t>E9Q3G8</t>
  </si>
  <si>
    <t>E9Q3G8_MOUSE</t>
  </si>
  <si>
    <t>A0A286YCX6</t>
  </si>
  <si>
    <t>A0A286YCX6_MOUSE</t>
  </si>
  <si>
    <t>Q9DCD2</t>
  </si>
  <si>
    <t>SYF1_MOUSE</t>
  </si>
  <si>
    <t>Q6ZWQ7</t>
  </si>
  <si>
    <t>SPCS3_MOUSE</t>
  </si>
  <si>
    <t>Q80ZX0</t>
  </si>
  <si>
    <t>Q80ZX0_MOUSE</t>
  </si>
  <si>
    <t>Q80ZM7</t>
  </si>
  <si>
    <t>T2AG_MOUSE</t>
  </si>
  <si>
    <t>A0A5F8MPP0</t>
  </si>
  <si>
    <t>A0A5F8MPP0_MOUSE</t>
  </si>
  <si>
    <t>E9Q4Z2</t>
  </si>
  <si>
    <t>ACACB_MOUSE</t>
  </si>
  <si>
    <t>Q3TMP1</t>
  </si>
  <si>
    <t>Q3TMP1_MOUSE</t>
  </si>
  <si>
    <t>E9PX29</t>
  </si>
  <si>
    <t>E9PX29_MOUSE</t>
  </si>
  <si>
    <t>Q60876</t>
  </si>
  <si>
    <t>4EBP1_MOUSE</t>
  </si>
  <si>
    <t>F6TQW2</t>
  </si>
  <si>
    <t>F6TQW2_MOUSE</t>
  </si>
  <si>
    <t>Q9EPN1</t>
  </si>
  <si>
    <t>NBEA_MOUSE</t>
  </si>
  <si>
    <t>Q7TNL5</t>
  </si>
  <si>
    <t>Q7TNL5_MOUSE</t>
  </si>
  <si>
    <t>A2A484</t>
  </si>
  <si>
    <t>A2A484_MOUSE</t>
  </si>
  <si>
    <t>E9Q411</t>
  </si>
  <si>
    <t>E9Q411_MOUSE</t>
  </si>
  <si>
    <t>F8VPP8</t>
  </si>
  <si>
    <t>F8VPP8_MOUSE</t>
  </si>
  <si>
    <t>E9PZM7</t>
  </si>
  <si>
    <t>E9PZM7_MOUSE</t>
  </si>
  <si>
    <t>E9Q2E4</t>
  </si>
  <si>
    <t>E9Q2E4_MOUSE</t>
  </si>
  <si>
    <t>S4R1W5</t>
  </si>
  <si>
    <t>S4R1W5_MOUSE</t>
  </si>
  <si>
    <t>Q6PHP4</t>
  </si>
  <si>
    <t>Q6PHP4_MOUSE</t>
  </si>
  <si>
    <t>E9PWG6</t>
  </si>
  <si>
    <t>E9PWG6_MOUSE</t>
  </si>
  <si>
    <t>E9PX68</t>
  </si>
  <si>
    <t>E9PX68_MOUSE</t>
  </si>
  <si>
    <t>E9Q6R7</t>
  </si>
  <si>
    <t>E9Q6R7_MOUSE</t>
  </si>
  <si>
    <t>Q8K409</t>
  </si>
  <si>
    <t>DPOLB_MOUSE</t>
  </si>
  <si>
    <t>B2RXQ2</t>
  </si>
  <si>
    <t>B2RXQ2_MOUSE</t>
  </si>
  <si>
    <t>J3QMC5</t>
  </si>
  <si>
    <t>J3QMC5_MOUSE</t>
  </si>
  <si>
    <t>A0A494B9V8</t>
  </si>
  <si>
    <t>A0A494B9V8_MOUSE</t>
  </si>
  <si>
    <t>A2A654</t>
  </si>
  <si>
    <t>A2A654_MOUSE</t>
  </si>
  <si>
    <t>E9PYI1</t>
  </si>
  <si>
    <t>ZN568_MOUSE</t>
  </si>
  <si>
    <t>B8QI36</t>
  </si>
  <si>
    <t>B8QI36_MOUSE</t>
  </si>
  <si>
    <t>Q6NXK9</t>
  </si>
  <si>
    <t>Q6NXK9_MOUSE</t>
  </si>
  <si>
    <t>G5E829</t>
  </si>
  <si>
    <t>AT2B1_MOUSE</t>
  </si>
  <si>
    <t>Q6NXL1</t>
  </si>
  <si>
    <t>Q6NXL1_MOUSE</t>
  </si>
  <si>
    <t>Q8CHG7</t>
  </si>
  <si>
    <t>RPGF2_MOUSE</t>
  </si>
  <si>
    <t>Q80X98</t>
  </si>
  <si>
    <t>Q80X98_MOUSE</t>
  </si>
  <si>
    <t>Q8K205</t>
  </si>
  <si>
    <t>Q8K205_MOUSE</t>
  </si>
  <si>
    <t>F8VQG7</t>
  </si>
  <si>
    <t>F8VQG7_MOUSE</t>
  </si>
  <si>
    <t>Q6NZL1</t>
  </si>
  <si>
    <t>Q6NZL1_MOUSE</t>
  </si>
  <si>
    <t>G3X9V8</t>
  </si>
  <si>
    <t>G3X9V8_MOUSE</t>
  </si>
  <si>
    <t>E9PUR0</t>
  </si>
  <si>
    <t>E9PUR0_MOUSE</t>
  </si>
  <si>
    <t>E9Q5E2</t>
  </si>
  <si>
    <t>E9Q5E2_MOUSE</t>
  </si>
  <si>
    <t>G3X9B1</t>
  </si>
  <si>
    <t>G3X9B1_MOUSE</t>
  </si>
  <si>
    <t>P97820</t>
  </si>
  <si>
    <t>M4K4_MOUSE</t>
  </si>
  <si>
    <t>Q8CBC7</t>
  </si>
  <si>
    <t>Q8CBC7_MOUSE</t>
  </si>
  <si>
    <t>Q6IQX8</t>
  </si>
  <si>
    <t>ZN219_MOUSE</t>
  </si>
  <si>
    <t>Q9DAY6</t>
  </si>
  <si>
    <t>Q9DAY6_MOUSE</t>
  </si>
  <si>
    <t>E9Q7M2</t>
  </si>
  <si>
    <t>E9Q7M2_MOUSE</t>
  </si>
  <si>
    <t>G3UW40</t>
  </si>
  <si>
    <t>G3UW40_MOUSE</t>
  </si>
  <si>
    <t>Q3TE80</t>
  </si>
  <si>
    <t>Q3TE80_MOUSE</t>
  </si>
  <si>
    <t>E9PYD1</t>
  </si>
  <si>
    <t>E9PYD1_MOUSE</t>
  </si>
  <si>
    <t>A0A286YCV9</t>
  </si>
  <si>
    <t>A0A286YCV9_MOUSE</t>
  </si>
  <si>
    <t>Q8K0U4</t>
  </si>
  <si>
    <t>HS12A_MOUSE</t>
  </si>
  <si>
    <t>A0A087WRT4</t>
  </si>
  <si>
    <t>A0A087WRT4_MOUSE</t>
  </si>
  <si>
    <t>A0A494BB10</t>
  </si>
  <si>
    <t>A0A494BB10_MOUSE</t>
  </si>
  <si>
    <t>E9Q8I7</t>
  </si>
  <si>
    <t>E9Q8I7_MOUSE</t>
  </si>
  <si>
    <t>Q8BIV1</t>
  </si>
  <si>
    <t>Q8BIV1_MOUSE</t>
  </si>
  <si>
    <t>Q99MP8</t>
  </si>
  <si>
    <t>BRAP_MOUSE</t>
  </si>
  <si>
    <t>Q91UZ1</t>
  </si>
  <si>
    <t>Q91UZ1_MOUSE</t>
  </si>
  <si>
    <t>Q91XX3</t>
  </si>
  <si>
    <t>Q91XX3_MOUSE</t>
  </si>
  <si>
    <t>Q6NV99</t>
  </si>
  <si>
    <t>Q6NV99_MOUSE</t>
  </si>
  <si>
    <t>E9PZP8</t>
  </si>
  <si>
    <t>E9PZP8_MOUSE</t>
  </si>
  <si>
    <t>Q3TAQ9</t>
  </si>
  <si>
    <t>Q3TAQ9_MOUSE</t>
  </si>
  <si>
    <t>E9Q9B7</t>
  </si>
  <si>
    <t>E9Q9B7_MOUSE</t>
  </si>
  <si>
    <t>Q8R4Y4</t>
  </si>
  <si>
    <t>STAB1_MOUSE</t>
  </si>
  <si>
    <t>E9Q777</t>
  </si>
  <si>
    <t>E9Q777_MOUSE</t>
  </si>
  <si>
    <t>Description</t>
  </si>
  <si>
    <t>RNA binding motif protein 6</t>
  </si>
  <si>
    <t>TFG protein</t>
  </si>
  <si>
    <t>Thioredoxin reductase 2, mitochondrial</t>
  </si>
  <si>
    <t>C-Jun-amino-terminal kinase-interacting protein 3</t>
  </si>
  <si>
    <t>Ubiquitin conjugation factor E4 B</t>
  </si>
  <si>
    <t>MAGE family member D2</t>
  </si>
  <si>
    <t>Neurobeachin</t>
  </si>
  <si>
    <t>Pre-mRNA-splicing factor SYF1</t>
  </si>
  <si>
    <t>Alpha-aminoadipic semialdehyde dehydrogenase</t>
  </si>
  <si>
    <t>Yae1 domain containing 1</t>
  </si>
  <si>
    <t>Low molecular weight phosphotyrosine protein phosphatase</t>
  </si>
  <si>
    <t>NHP2-like protein 1</t>
  </si>
  <si>
    <t>Serine hydroxymethyltransferase, mitochondrial</t>
  </si>
  <si>
    <t>N-terminal amino-acid N(alpha)-acetyltransferase NatA</t>
  </si>
  <si>
    <t>Plakophilin-2</t>
  </si>
  <si>
    <t>BRCA1-associated protein</t>
  </si>
  <si>
    <t>Sialic acid synthase</t>
  </si>
  <si>
    <t>Dystonin</t>
  </si>
  <si>
    <t>Twinfilin-1</t>
  </si>
  <si>
    <t>Protocadherin gamma B7</t>
  </si>
  <si>
    <t>Isocitrate dehydrogenase [NAD] subunit, mitochondrial</t>
  </si>
  <si>
    <t>1-phosphatidylinositol 4,5-bisphosphate phosphodiesterase</t>
  </si>
  <si>
    <t>Heterogeneous nuclear ribonucleoprotein R</t>
  </si>
  <si>
    <t>Ubiquitin carboxyl-terminal hydrolase 15</t>
  </si>
  <si>
    <t>Stabilin-1</t>
  </si>
  <si>
    <t>Nuclear pore complex protein Nup133</t>
  </si>
  <si>
    <t>DNA polymerase beta</t>
  </si>
  <si>
    <t>Processing of 1, ribonuclease P/MRP family, (S. cerevisiae)</t>
  </si>
  <si>
    <t>Heat shock 70 kDa protein 12A</t>
  </si>
  <si>
    <t>Tricarboxylate transport protein, mitochondrial</t>
  </si>
  <si>
    <t>Rap guanine nucleotide exchange factor 2</t>
  </si>
  <si>
    <t>Putative tRNA (cytidine(32)/guanosine(34)-2'-O)-methyltransferase</t>
  </si>
  <si>
    <t>TAF15 RNA polymerase II, TATA box binding protein (TBP)-associated factor</t>
  </si>
  <si>
    <t>Activator of 90 kDa heat shock protein ATPase homolog 1</t>
  </si>
  <si>
    <t>Zinc finger protein 719</t>
  </si>
  <si>
    <t>Sec24 related gene family, member B (S. cerevisiae)</t>
  </si>
  <si>
    <t>Transcription initiation factor IIA subunit 2</t>
  </si>
  <si>
    <t>RNA helicase</t>
  </si>
  <si>
    <t>Serine/threonine-protein phosphatase 2A 56 kDa regulatory subunit</t>
  </si>
  <si>
    <t>Phosphatidylinositol-binding clathrin assembly protein</t>
  </si>
  <si>
    <t>Signal peptidase complex subunit 3</t>
  </si>
  <si>
    <t>Polyadenylate-binding protein</t>
  </si>
  <si>
    <t>Zinc finger protein 512B (Fragment)</t>
  </si>
  <si>
    <t>Superkiller viralicidic activity 2-like (S. cerevisiae)</t>
  </si>
  <si>
    <t>DEAH (Asp-Glu-Ala-His) box polypeptide 37</t>
  </si>
  <si>
    <t>Sec24 related gene family, member D (S. cerevisiae)</t>
  </si>
  <si>
    <t>alpha-1,2-Mannosidase</t>
  </si>
  <si>
    <t>HAUS augmin-like complex, subunit 6</t>
  </si>
  <si>
    <t>Zinc finger protein 219</t>
  </si>
  <si>
    <t>Golgi-specific brefeldin A-resistance factor 1</t>
  </si>
  <si>
    <t>Spectrin beta chain</t>
  </si>
  <si>
    <t>Eukaryotic translation initiation factor 4E-binding protein 1</t>
  </si>
  <si>
    <t>Cystatin domain containing 5</t>
  </si>
  <si>
    <t>UPF3 regulator of nonsense transcripts homolog B (yeast)</t>
  </si>
  <si>
    <t>Splicing factor 3b, subunit 2</t>
  </si>
  <si>
    <t>Serine and arginine-rich splicing factor 11</t>
  </si>
  <si>
    <t>General transcription factor IIIC, polypeptide 3</t>
  </si>
  <si>
    <t>Angio-associated migratory protein</t>
  </si>
  <si>
    <t>RIKEN cDNA 2410002F23 gene</t>
  </si>
  <si>
    <t>WD repeat domain 36</t>
  </si>
  <si>
    <t>Mitogen-activated protein kinase kinase kinase kinase 4</t>
  </si>
  <si>
    <t>Serine/threonine-protein kinase WNK1</t>
  </si>
  <si>
    <t>ABPA2</t>
  </si>
  <si>
    <t>Midasin</t>
  </si>
  <si>
    <t>Plasma membrane calcium-transporting ATPase 1</t>
  </si>
  <si>
    <t>Serine (or cysteine) peptidase inhibitor, clade B (ovalbumin), member 3A</t>
  </si>
  <si>
    <t>HEAT repeat-containing protein 1</t>
  </si>
  <si>
    <t>Sec24 related gene family, member C (S. cerevisiae)</t>
  </si>
  <si>
    <t>Queuosine salvage protein</t>
  </si>
  <si>
    <t>Mutated in colorectal cancers</t>
  </si>
  <si>
    <t>NEDD4 binding protein 2</t>
  </si>
  <si>
    <t>Signal recognition particle subunit SRP72</t>
  </si>
  <si>
    <t>FRY like transcription coactivator</t>
  </si>
  <si>
    <t>Zinc finger CCCH type containing 7B</t>
  </si>
  <si>
    <t>Glycogen debranching enzyme</t>
  </si>
  <si>
    <t>Tetratricopeptide repeat domain 37</t>
  </si>
  <si>
    <t>Immunoglobulin heavy constant gamma 2C (Fragment)</t>
  </si>
  <si>
    <t>Caldesmon 1</t>
  </si>
  <si>
    <t>Kinase D-interacting substrate 220</t>
  </si>
  <si>
    <t>Nuclear transcription factor, X-box binding-like 1</t>
  </si>
  <si>
    <t>TSC22 domain family, member 2</t>
  </si>
  <si>
    <t>A kinase (PRKA) anchor protein 11</t>
  </si>
  <si>
    <t>Utrophin</t>
  </si>
  <si>
    <t>AHNAK nucleoprotein (desmoyokin)</t>
  </si>
  <si>
    <t>THO complex subunit 2</t>
  </si>
  <si>
    <t>Thyroid hormone receptor interactor 11</t>
  </si>
  <si>
    <t>Acetyl-CoA carboxylase 2</t>
  </si>
  <si>
    <t>Neuroblastoma amplified sequence</t>
  </si>
  <si>
    <t>Nucleoporin 153</t>
  </si>
  <si>
    <t>A-kinase anchor protein 13</t>
  </si>
  <si>
    <t>HECT domain E3 ubiquitin protein ligase 4</t>
  </si>
  <si>
    <t>ATPase family, AAA domain containing 2B</t>
  </si>
  <si>
    <t>HECT and RLD domain containing E3 ubiquitin protein ligase family member 1</t>
  </si>
  <si>
    <t>SR-related CTD-associated factor 11</t>
  </si>
  <si>
    <t>Zinc finger protein 568</t>
  </si>
  <si>
    <t>RAS p21 protein activator 1</t>
  </si>
  <si>
    <t>Family with sequence similarity 98, member C</t>
  </si>
  <si>
    <t>Solute carrier family 4 (anion exchanger), member 1, adaptor protein</t>
  </si>
  <si>
    <t>Remodeling and spacing factor 1</t>
  </si>
  <si>
    <t>Non-SMC condensin I complex, subunit G</t>
  </si>
  <si>
    <t>Golgi autoantigen, golgin subfamily b, macrogolgin 1</t>
  </si>
  <si>
    <t>eIF-2-alpha kinase activator GCN1</t>
  </si>
  <si>
    <t>Fibrinogen alpha chain</t>
  </si>
  <si>
    <t>Ankyrin repeat and KH domain containing 1</t>
  </si>
  <si>
    <t>DnaJ heat shock protein family (Hsp40) member C13</t>
  </si>
  <si>
    <t>Heterogeneous nuclear ribonucleoprotein H3</t>
  </si>
  <si>
    <t>Tropomyosin 3, related sequence 7</t>
  </si>
  <si>
    <t>Transmembrane p24 trafficking protein 7</t>
  </si>
  <si>
    <t>NHS actin remodeling regulator</t>
  </si>
  <si>
    <t>Dynein axonemal assembly factor 5</t>
  </si>
  <si>
    <t>Nucleoporin 205</t>
  </si>
  <si>
    <t>Liprin-alpha 4</t>
  </si>
  <si>
    <t>oxoglutarate dehydrogenase (succinyl-transferring)</t>
  </si>
  <si>
    <t>Ppfia1 protein</t>
  </si>
  <si>
    <t>Collagen, type IV, alpha 6</t>
  </si>
  <si>
    <t>Eukaryotic translation initiation factor 2B, subunit 3</t>
  </si>
  <si>
    <t>Leucine carboxyl methyltransferase 1</t>
  </si>
  <si>
    <t>Regulator of nonsense transcripts 2</t>
  </si>
  <si>
    <t>Far upstream element (FUSE) binding protein 3</t>
  </si>
  <si>
    <t>Bromodomain PHD finger transcription factor</t>
  </si>
  <si>
    <t>Zinc finger, MYND-type containing 8</t>
  </si>
  <si>
    <t>H1.10 linker histone</t>
  </si>
  <si>
    <t>Histone H3</t>
  </si>
  <si>
    <t>Pleckstrin homology domain containing, family G (with RhoGef domain) member 1</t>
  </si>
  <si>
    <t>Predicted gene, 50478</t>
  </si>
  <si>
    <t>Protein prenyltransferase alpha subunit repeat containing 1</t>
  </si>
  <si>
    <t>5'-nucleotidase domain containing 2</t>
  </si>
  <si>
    <t>Trafficking protein particle complex 8</t>
  </si>
  <si>
    <t>Kinesin family member 13B</t>
  </si>
  <si>
    <t>FAT atypical cadherin 1</t>
  </si>
  <si>
    <t>Snf2-related CREBBP activator protein</t>
  </si>
  <si>
    <t>Rbm6</t>
  </si>
  <si>
    <t>Tfg</t>
  </si>
  <si>
    <t>Txnrd2</t>
  </si>
  <si>
    <t>Mapk8ip3</t>
  </si>
  <si>
    <t>Ube4b</t>
  </si>
  <si>
    <t>Maged2</t>
  </si>
  <si>
    <t>Nbea</t>
  </si>
  <si>
    <t>Xab2</t>
  </si>
  <si>
    <t>Aldh7a1</t>
  </si>
  <si>
    <t>Yae1d1</t>
  </si>
  <si>
    <t>Acp1</t>
  </si>
  <si>
    <t>Snu13</t>
  </si>
  <si>
    <t>Shmt2</t>
  </si>
  <si>
    <t>Naa12</t>
  </si>
  <si>
    <t>Pkp2</t>
  </si>
  <si>
    <t>Brap</t>
  </si>
  <si>
    <t>Nans</t>
  </si>
  <si>
    <t>Dst</t>
  </si>
  <si>
    <t>Twf1</t>
  </si>
  <si>
    <t>Pcdhgb7</t>
  </si>
  <si>
    <t>Idh3b</t>
  </si>
  <si>
    <t>Plcb4</t>
  </si>
  <si>
    <t>Hnrnpr</t>
  </si>
  <si>
    <t>Usp15</t>
  </si>
  <si>
    <t>Stab1</t>
  </si>
  <si>
    <t>Nup133</t>
  </si>
  <si>
    <t>Polb</t>
  </si>
  <si>
    <t>Pop1</t>
  </si>
  <si>
    <t>Hspa12a</t>
  </si>
  <si>
    <t>Slc25a1</t>
  </si>
  <si>
    <t>Rapgef2</t>
  </si>
  <si>
    <t>Ftsj1</t>
  </si>
  <si>
    <t>Taf15</t>
  </si>
  <si>
    <t>Ahsa1</t>
  </si>
  <si>
    <t>Zfp719</t>
  </si>
  <si>
    <t>Sec24b</t>
  </si>
  <si>
    <t>Gtf2a2</t>
  </si>
  <si>
    <t>Dhx38</t>
  </si>
  <si>
    <t>Ppp2r5d</t>
  </si>
  <si>
    <t>Picalm</t>
  </si>
  <si>
    <t>Spcs3</t>
  </si>
  <si>
    <t>Pabpc4</t>
  </si>
  <si>
    <t>Zfp512b</t>
  </si>
  <si>
    <t>Skic2</t>
  </si>
  <si>
    <t>Dhx37</t>
  </si>
  <si>
    <t>Sec24d</t>
  </si>
  <si>
    <t>Man1c1</t>
  </si>
  <si>
    <t>Haus6</t>
  </si>
  <si>
    <t>Znf219</t>
  </si>
  <si>
    <t>Gbf1</t>
  </si>
  <si>
    <t>Sptbn2</t>
  </si>
  <si>
    <t>Eif4ebp1</t>
  </si>
  <si>
    <t>Cstdc5</t>
  </si>
  <si>
    <t>Upf3b</t>
  </si>
  <si>
    <t>Sf3b2</t>
  </si>
  <si>
    <t>Srsf11</t>
  </si>
  <si>
    <t>Gtf3c3</t>
  </si>
  <si>
    <t>Aamp</t>
  </si>
  <si>
    <t>2410002F23Rik</t>
  </si>
  <si>
    <t>Wdr36</t>
  </si>
  <si>
    <t>Map4k4</t>
  </si>
  <si>
    <t>Wnk1</t>
  </si>
  <si>
    <t>Scgb1b2</t>
  </si>
  <si>
    <t>Mdn1</t>
  </si>
  <si>
    <t>Atp2b1</t>
  </si>
  <si>
    <t>Serpinb3a</t>
  </si>
  <si>
    <t>Heatr1</t>
  </si>
  <si>
    <t>Sec24c</t>
  </si>
  <si>
    <t>2210016F16Rik</t>
  </si>
  <si>
    <t>Mcc</t>
  </si>
  <si>
    <t>N4bp2</t>
  </si>
  <si>
    <t>Srp72</t>
  </si>
  <si>
    <t>Fryl</t>
  </si>
  <si>
    <t>Zc3h7b</t>
  </si>
  <si>
    <t>Agl</t>
  </si>
  <si>
    <t>Skic3</t>
  </si>
  <si>
    <t>Ighg2c</t>
  </si>
  <si>
    <t>Cald1</t>
  </si>
  <si>
    <t>Kidins220</t>
  </si>
  <si>
    <t>Nfxl1</t>
  </si>
  <si>
    <t>Tsc22d2</t>
  </si>
  <si>
    <t>Akap11</t>
  </si>
  <si>
    <t>Utrn</t>
  </si>
  <si>
    <t>Ahnak</t>
  </si>
  <si>
    <t>Thoc2l</t>
  </si>
  <si>
    <t>Trip11</t>
  </si>
  <si>
    <t>Acacb</t>
  </si>
  <si>
    <t>Nbas</t>
  </si>
  <si>
    <t>Nup153</t>
  </si>
  <si>
    <t>Akap13</t>
  </si>
  <si>
    <t>Hectd4</t>
  </si>
  <si>
    <t>Atad2b</t>
  </si>
  <si>
    <t>Herc1</t>
  </si>
  <si>
    <t>Scaf11</t>
  </si>
  <si>
    <t>Znf568</t>
  </si>
  <si>
    <t>Rasa1</t>
  </si>
  <si>
    <t>Fam98c</t>
  </si>
  <si>
    <t>Slc4a1ap</t>
  </si>
  <si>
    <t>Sptbn4</t>
  </si>
  <si>
    <t>Rsf1</t>
  </si>
  <si>
    <t>Ncapg</t>
  </si>
  <si>
    <t>Golgb1</t>
  </si>
  <si>
    <t>Gcn1</t>
  </si>
  <si>
    <t>Fga</t>
  </si>
  <si>
    <t>Ankhd1</t>
  </si>
  <si>
    <t>Dnajc13</t>
  </si>
  <si>
    <t>Hnrnph3</t>
  </si>
  <si>
    <t>Tpm3-rs7</t>
  </si>
  <si>
    <t>Ddx23</t>
  </si>
  <si>
    <t>Tmed7</t>
  </si>
  <si>
    <t>Nhs</t>
  </si>
  <si>
    <t>Dnaaf5</t>
  </si>
  <si>
    <t>Nup205</t>
  </si>
  <si>
    <t>Ppfia4</t>
  </si>
  <si>
    <t>Ogdhl</t>
  </si>
  <si>
    <t>Ppfia1</t>
  </si>
  <si>
    <t>Col4a6</t>
  </si>
  <si>
    <t>Eif2b3</t>
  </si>
  <si>
    <t>Lcmt1</t>
  </si>
  <si>
    <t>Upf2</t>
  </si>
  <si>
    <t>Fubp3</t>
  </si>
  <si>
    <t>Bptf</t>
  </si>
  <si>
    <t>Zmynd8</t>
  </si>
  <si>
    <t>H1f10</t>
  </si>
  <si>
    <t>H3f4</t>
  </si>
  <si>
    <t>Plekhg1</t>
  </si>
  <si>
    <t>Gm50478</t>
  </si>
  <si>
    <t>Ptar1</t>
  </si>
  <si>
    <t>Nt5dc2</t>
  </si>
  <si>
    <t>Trappc8</t>
  </si>
  <si>
    <t>Kif13b</t>
  </si>
  <si>
    <t>Fat1</t>
  </si>
  <si>
    <t>Srcap</t>
  </si>
  <si>
    <t>Column</t>
  </si>
  <si>
    <t>Header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</si>
  <si>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</si>
  <si>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</si>
  <si>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</si>
  <si>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</si>
  <si>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</si>
  <si>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</si>
  <si>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</si>
  <si>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</si>
  <si>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</si>
  <si>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</si>
  <si>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</si>
  <si>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</si>
  <si>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</si>
  <si>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</si>
  <si>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</si>
  <si>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</si>
  <si>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</si>
  <si>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</si>
  <si>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</si>
  <si>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</si>
  <si>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</si>
  <si>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</si>
  <si>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</si>
  <si>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</si>
  <si>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</si>
  <si>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</si>
  <si>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</si>
  <si>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</si>
  <si>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</si>
  <si>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</si>
  <si>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</si>
  <si>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</si>
  <si>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</si>
  <si>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Matches order column in other tables</t>
  </si>
  <si>
    <t>The FASTA key for the identified protein/group/family</t>
  </si>
  <si>
    <t>Protein description</t>
  </si>
  <si>
    <t>Any alternative protein names</t>
  </si>
  <si>
    <t>UniProt identifier</t>
  </si>
  <si>
    <t>UniProt accession</t>
  </si>
  <si>
    <t>Any other UniProt accessions</t>
  </si>
  <si>
    <t>UniProt gene symbol</t>
  </si>
  <si>
    <t>Any other gene symbols</t>
  </si>
  <si>
    <t>Mouse</t>
  </si>
  <si>
    <t>Hyperlink to UniProt record</t>
  </si>
  <si>
    <t>Mouse genome database accession</t>
  </si>
  <si>
    <t>Mouse genome database gene symbol</t>
  </si>
  <si>
    <t>Hyperlink to mouse genome database</t>
  </si>
  <si>
    <t>UniProt keywords - an 1100 term controlled vocabulary in 10 categories populated by manual curators</t>
  </si>
  <si>
    <t>UniProt keywords in respective categories</t>
  </si>
  <si>
    <t>GO biological process terms</t>
  </si>
  <si>
    <t>GO cellular component terms</t>
  </si>
  <si>
    <t>GO molecular function terms</t>
  </si>
  <si>
    <t>Any manual curation pathway information</t>
  </si>
  <si>
    <t>Reactome pathway information</t>
  </si>
  <si>
    <t xml:space="preserve">Column of blanks </t>
  </si>
  <si>
    <t xml:space="preserve">Some acceesions for proteins that did not have annotation lookups </t>
  </si>
  <si>
    <t>Column Key:</t>
  </si>
  <si>
    <t>Khan-2018 proteins (4249)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</si>
</sst>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6" fontId="0" fillId="0" borderId="0" xfId="0" applyNumberFormat="1"/>
    <xf numFmtId="0" fontId="1" fillId="0" borderId="0" xfId="0" applyFont="1"/>
    <xf numFmtId="0" fontId="2" fillId="0" borderId="0" xfId="1"/>
    <xf numFmtId="0" fontId="0" fillId="0" borderId="0" xfId="0" applyFont="1"/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9CAC-74F3-9842-B808-5CEA4B14067E}">
  <dimension ref="A1:C38"/>
  <sheetViews>
    <sheetView tabSelected="1" workbookViewId="0"/>
  </sheetViews>
  <sheetFormatPr baseColWidth="10" defaultRowHeight="16" x14ac:dyDescent="0.2"/>
  <cols>
    <col min="2" max="2" width="26.33203125" bestFit="1" customWidth="1"/>
    <col min="3" max="3" width="86.6640625" bestFit="1" customWidth="1"/>
  </cols>
  <sheetData>
    <row r="1" spans="1:3" x14ac:dyDescent="0.2">
      <c r="A1" s="2" t="s">
        <v>47426</v>
      </c>
    </row>
    <row r="5" spans="1:3" x14ac:dyDescent="0.2">
      <c r="A5" s="2" t="s">
        <v>47368</v>
      </c>
      <c r="B5" s="2" t="s">
        <v>47369</v>
      </c>
      <c r="C5" s="2" t="s">
        <v>47103</v>
      </c>
    </row>
    <row r="6" spans="1:3" x14ac:dyDescent="0.2">
      <c r="A6" t="s">
        <v>47370</v>
      </c>
      <c r="B6" s="4" t="s">
        <v>46832</v>
      </c>
      <c r="C6" t="s">
        <v>47403</v>
      </c>
    </row>
    <row r="7" spans="1:3" x14ac:dyDescent="0.2">
      <c r="A7" t="s">
        <v>47371</v>
      </c>
      <c r="B7" s="4" t="s">
        <v>0</v>
      </c>
      <c r="C7" t="s">
        <v>47404</v>
      </c>
    </row>
    <row r="8" spans="1:3" x14ac:dyDescent="0.2">
      <c r="A8" t="s">
        <v>47372</v>
      </c>
      <c r="B8" s="4" t="s">
        <v>1</v>
      </c>
      <c r="C8" t="s">
        <v>47405</v>
      </c>
    </row>
    <row r="9" spans="1:3" x14ac:dyDescent="0.2">
      <c r="A9" t="s">
        <v>47373</v>
      </c>
      <c r="B9" s="4" t="s">
        <v>2</v>
      </c>
      <c r="C9" t="s">
        <v>47406</v>
      </c>
    </row>
    <row r="10" spans="1:3" x14ac:dyDescent="0.2">
      <c r="A10" t="s">
        <v>47374</v>
      </c>
      <c r="B10" s="4" t="s">
        <v>3</v>
      </c>
      <c r="C10" t="s">
        <v>47407</v>
      </c>
    </row>
    <row r="11" spans="1:3" x14ac:dyDescent="0.2">
      <c r="A11" t="s">
        <v>47375</v>
      </c>
      <c r="B11" s="4" t="s">
        <v>4</v>
      </c>
      <c r="C11" t="s">
        <v>47408</v>
      </c>
    </row>
    <row r="12" spans="1:3" x14ac:dyDescent="0.2">
      <c r="A12" t="s">
        <v>47376</v>
      </c>
      <c r="B12" s="4" t="s">
        <v>5</v>
      </c>
      <c r="C12" t="s">
        <v>47409</v>
      </c>
    </row>
    <row r="13" spans="1:3" x14ac:dyDescent="0.2">
      <c r="A13" t="s">
        <v>47377</v>
      </c>
      <c r="B13" s="4" t="s">
        <v>6</v>
      </c>
      <c r="C13" t="s">
        <v>47410</v>
      </c>
    </row>
    <row r="14" spans="1:3" x14ac:dyDescent="0.2">
      <c r="A14" t="s">
        <v>47378</v>
      </c>
      <c r="B14" s="4" t="s">
        <v>7</v>
      </c>
      <c r="C14" t="s">
        <v>47411</v>
      </c>
    </row>
    <row r="15" spans="1:3" x14ac:dyDescent="0.2">
      <c r="A15" t="s">
        <v>47379</v>
      </c>
      <c r="B15" s="4" t="s">
        <v>8</v>
      </c>
      <c r="C15" t="s">
        <v>47412</v>
      </c>
    </row>
    <row r="16" spans="1:3" x14ac:dyDescent="0.2">
      <c r="A16" t="s">
        <v>47380</v>
      </c>
      <c r="B16" s="4" t="s">
        <v>9</v>
      </c>
      <c r="C16" s="5">
        <v>10090</v>
      </c>
    </row>
    <row r="17" spans="1:3" x14ac:dyDescent="0.2">
      <c r="A17" t="s">
        <v>47381</v>
      </c>
      <c r="B17" s="4" t="s">
        <v>10</v>
      </c>
      <c r="C17" t="s">
        <v>47413</v>
      </c>
    </row>
    <row r="18" spans="1:3" x14ac:dyDescent="0.2">
      <c r="A18" t="s">
        <v>47382</v>
      </c>
      <c r="B18" s="4" t="s">
        <v>11</v>
      </c>
      <c r="C18" t="s">
        <v>47414</v>
      </c>
    </row>
    <row r="19" spans="1:3" x14ac:dyDescent="0.2">
      <c r="A19" t="s">
        <v>47383</v>
      </c>
      <c r="B19" s="4" t="s">
        <v>12</v>
      </c>
      <c r="C19" t="s">
        <v>47415</v>
      </c>
    </row>
    <row r="20" spans="1:3" x14ac:dyDescent="0.2">
      <c r="A20" t="s">
        <v>47384</v>
      </c>
      <c r="B20" s="4" t="s">
        <v>13</v>
      </c>
      <c r="C20" t="s">
        <v>47416</v>
      </c>
    </row>
    <row r="21" spans="1:3" x14ac:dyDescent="0.2">
      <c r="A21" t="s">
        <v>47385</v>
      </c>
      <c r="B21" s="4" t="s">
        <v>14</v>
      </c>
      <c r="C21" t="s">
        <v>47417</v>
      </c>
    </row>
    <row r="22" spans="1:3" x14ac:dyDescent="0.2">
      <c r="A22" t="s">
        <v>47386</v>
      </c>
      <c r="B22" s="4" t="s">
        <v>15</v>
      </c>
      <c r="C22" t="s">
        <v>47418</v>
      </c>
    </row>
    <row r="23" spans="1:3" x14ac:dyDescent="0.2">
      <c r="A23" t="s">
        <v>47387</v>
      </c>
      <c r="B23" s="4" t="s">
        <v>16</v>
      </c>
      <c r="C23" t="s">
        <v>47418</v>
      </c>
    </row>
    <row r="24" spans="1:3" x14ac:dyDescent="0.2">
      <c r="A24" t="s">
        <v>47388</v>
      </c>
      <c r="B24" s="4" t="s">
        <v>17</v>
      </c>
      <c r="C24" t="s">
        <v>47418</v>
      </c>
    </row>
    <row r="25" spans="1:3" x14ac:dyDescent="0.2">
      <c r="A25" t="s">
        <v>47389</v>
      </c>
      <c r="B25" s="4" t="s">
        <v>18</v>
      </c>
      <c r="C25" t="s">
        <v>47418</v>
      </c>
    </row>
    <row r="26" spans="1:3" x14ac:dyDescent="0.2">
      <c r="A26" t="s">
        <v>47390</v>
      </c>
      <c r="B26" s="4" t="s">
        <v>19</v>
      </c>
      <c r="C26" t="s">
        <v>47418</v>
      </c>
    </row>
    <row r="27" spans="1:3" x14ac:dyDescent="0.2">
      <c r="A27" t="s">
        <v>47391</v>
      </c>
      <c r="B27" s="4" t="s">
        <v>20</v>
      </c>
      <c r="C27" t="s">
        <v>47418</v>
      </c>
    </row>
    <row r="28" spans="1:3" x14ac:dyDescent="0.2">
      <c r="A28" t="s">
        <v>47392</v>
      </c>
      <c r="B28" s="4" t="s">
        <v>21</v>
      </c>
      <c r="C28" t="s">
        <v>47418</v>
      </c>
    </row>
    <row r="29" spans="1:3" x14ac:dyDescent="0.2">
      <c r="A29" t="s">
        <v>47393</v>
      </c>
      <c r="B29" s="4" t="s">
        <v>22</v>
      </c>
      <c r="C29" t="s">
        <v>47418</v>
      </c>
    </row>
    <row r="30" spans="1:3" x14ac:dyDescent="0.2">
      <c r="A30" t="s">
        <v>47394</v>
      </c>
      <c r="B30" s="4" t="s">
        <v>23</v>
      </c>
      <c r="C30" t="s">
        <v>47418</v>
      </c>
    </row>
    <row r="31" spans="1:3" x14ac:dyDescent="0.2">
      <c r="A31" t="s">
        <v>47395</v>
      </c>
      <c r="B31" s="4" t="s">
        <v>24</v>
      </c>
      <c r="C31" t="s">
        <v>47418</v>
      </c>
    </row>
    <row r="32" spans="1:3" x14ac:dyDescent="0.2">
      <c r="A32" t="s">
        <v>47396</v>
      </c>
      <c r="B32" s="4" t="s">
        <v>25</v>
      </c>
      <c r="C32" t="s">
        <v>47419</v>
      </c>
    </row>
    <row r="33" spans="1:3" x14ac:dyDescent="0.2">
      <c r="A33" t="s">
        <v>47397</v>
      </c>
      <c r="B33" s="4" t="s">
        <v>26</v>
      </c>
      <c r="C33" t="s">
        <v>47420</v>
      </c>
    </row>
    <row r="34" spans="1:3" x14ac:dyDescent="0.2">
      <c r="A34" t="s">
        <v>47398</v>
      </c>
      <c r="B34" s="4" t="s">
        <v>27</v>
      </c>
      <c r="C34" t="s">
        <v>47421</v>
      </c>
    </row>
    <row r="35" spans="1:3" x14ac:dyDescent="0.2">
      <c r="A35" t="s">
        <v>47399</v>
      </c>
      <c r="B35" s="4" t="s">
        <v>28</v>
      </c>
      <c r="C35" t="s">
        <v>47422</v>
      </c>
    </row>
    <row r="36" spans="1:3" x14ac:dyDescent="0.2">
      <c r="A36" t="s">
        <v>47400</v>
      </c>
      <c r="B36" s="4" t="s">
        <v>29</v>
      </c>
      <c r="C36" t="s">
        <v>47423</v>
      </c>
    </row>
    <row r="37" spans="1:3" x14ac:dyDescent="0.2">
      <c r="A37" t="s">
        <v>47401</v>
      </c>
      <c r="B37" s="4" t="s">
        <v>46834</v>
      </c>
      <c r="C37" t="s">
        <v>47424</v>
      </c>
    </row>
    <row r="38" spans="1:3" x14ac:dyDescent="0.2">
      <c r="A38" t="s">
        <v>47402</v>
      </c>
      <c r="B38" s="4" t="s">
        <v>4</v>
      </c>
      <c r="C38" t="s">
        <v>47425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35CFE-2590-DF48-A3C7-3D86E4C1C971}">
  <dimension ref="A1:AW4255"/>
  <sheetViews>
    <sheetView workbookViewId="0">
      <pane ySplit="19320" topLeftCell="A4250"/>
      <selection pane="bottomLeft" activeCell="AC4256" sqref="AC4256"/>
    </sheetView>
  </sheetViews>
  <sheetFormatPr baseColWidth="10" defaultRowHeight="16" x14ac:dyDescent="0.2"/>
  <cols>
    <col min="2" max="2" width="35.5" bestFit="1" customWidth="1"/>
    <col min="3" max="3" width="44.83203125" customWidth="1"/>
    <col min="4" max="4" width="13.6640625" customWidth="1"/>
    <col min="5" max="5" width="20.1640625" bestFit="1" customWidth="1"/>
    <col min="6" max="6" width="12.6640625" bestFit="1" customWidth="1"/>
    <col min="7" max="7" width="14.5" customWidth="1"/>
    <col min="8" max="8" width="20.33203125" bestFit="1" customWidth="1"/>
    <col min="9" max="9" width="12.83203125" customWidth="1"/>
    <col min="10" max="10" width="13.6640625" customWidth="1"/>
    <col min="12" max="12" width="13.6640625" bestFit="1" customWidth="1"/>
    <col min="13" max="13" width="15.6640625" bestFit="1" customWidth="1"/>
    <col min="14" max="14" width="17.5" bestFit="1" customWidth="1"/>
    <col min="15" max="15" width="12.1640625" bestFit="1" customWidth="1"/>
    <col min="16" max="18" width="43.33203125" customWidth="1"/>
    <col min="19" max="26" width="15.33203125" customWidth="1"/>
    <col min="27" max="29" width="42.1640625" customWidth="1"/>
    <col min="30" max="30" width="39" customWidth="1"/>
    <col min="31" max="31" width="103.6640625" customWidth="1"/>
    <col min="33" max="33" width="12.6640625" bestFit="1" customWidth="1"/>
    <col min="34" max="34" width="20.1640625" bestFit="1" customWidth="1"/>
    <col min="35" max="35" width="70.83203125" bestFit="1" customWidth="1"/>
  </cols>
  <sheetData>
    <row r="1" spans="1:49" x14ac:dyDescent="0.2">
      <c r="A1" s="2" t="s">
        <v>46833</v>
      </c>
    </row>
    <row r="2" spans="1:49" x14ac:dyDescent="0.2">
      <c r="A2" t="s">
        <v>47427</v>
      </c>
    </row>
    <row r="5" spans="1:49" s="2" customFormat="1" x14ac:dyDescent="0.2">
      <c r="A5" s="2" t="s">
        <v>46832</v>
      </c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  <c r="U5" s="2" t="s">
        <v>19</v>
      </c>
      <c r="V5" s="2" t="s">
        <v>20</v>
      </c>
      <c r="W5" s="2" t="s">
        <v>21</v>
      </c>
      <c r="X5" s="2" t="s">
        <v>22</v>
      </c>
      <c r="Y5" s="2" t="s">
        <v>23</v>
      </c>
      <c r="Z5" s="2" t="s">
        <v>24</v>
      </c>
      <c r="AA5" s="2" t="s">
        <v>25</v>
      </c>
      <c r="AB5" s="2" t="s">
        <v>26</v>
      </c>
      <c r="AC5" s="2" t="s">
        <v>27</v>
      </c>
      <c r="AD5" s="2" t="s">
        <v>28</v>
      </c>
      <c r="AE5" s="2" t="s">
        <v>29</v>
      </c>
      <c r="AF5" s="2" t="s">
        <v>46834</v>
      </c>
      <c r="AG5" s="2" t="s">
        <v>4</v>
      </c>
      <c r="AW5" s="2" t="s">
        <v>46836</v>
      </c>
    </row>
    <row r="6" spans="1:49" x14ac:dyDescent="0.2">
      <c r="A6">
        <v>1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  <c r="H6" t="str">
        <f>"Cryaa"</f>
        <v>Cryaa</v>
      </c>
      <c r="I6" t="s">
        <v>36</v>
      </c>
      <c r="J6" t="s">
        <v>37</v>
      </c>
      <c r="K6">
        <v>10090</v>
      </c>
      <c r="L6" s="3" t="str">
        <f>HYPERLINK("http://www.uniprot.org/uniprot/P24622", "P24622")</f>
        <v>P24622</v>
      </c>
      <c r="M6" t="s">
        <v>38</v>
      </c>
      <c r="N6" t="str">
        <f>"Cryaa"</f>
        <v>Cryaa</v>
      </c>
      <c r="O6" s="3" t="str">
        <f>HYPERLINK("http://www.informatics.jax.org/marker/MGI:88515", "MGI:88515")</f>
        <v>MGI:88515</v>
      </c>
      <c r="P6" t="s">
        <v>39</v>
      </c>
      <c r="Q6" t="s">
        <v>32</v>
      </c>
      <c r="R6" t="s">
        <v>40</v>
      </c>
      <c r="S6" t="s">
        <v>41</v>
      </c>
      <c r="T6" t="s">
        <v>32</v>
      </c>
      <c r="U6" t="s">
        <v>32</v>
      </c>
      <c r="V6" t="s">
        <v>32</v>
      </c>
      <c r="W6" t="s">
        <v>42</v>
      </c>
      <c r="X6" t="s">
        <v>43</v>
      </c>
      <c r="Y6" t="s">
        <v>44</v>
      </c>
      <c r="Z6" t="s">
        <v>32</v>
      </c>
      <c r="AA6" t="s">
        <v>45</v>
      </c>
      <c r="AB6" t="s">
        <v>46</v>
      </c>
      <c r="AC6" t="s">
        <v>47</v>
      </c>
      <c r="AD6" t="s">
        <v>32</v>
      </c>
      <c r="AE6" t="s">
        <v>32</v>
      </c>
      <c r="AF6" t="s">
        <v>46835</v>
      </c>
    </row>
    <row r="7" spans="1:49" x14ac:dyDescent="0.2">
      <c r="A7">
        <v>2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32</v>
      </c>
      <c r="H7" t="str">
        <f>"Crybb1"</f>
        <v>Crybb1</v>
      </c>
      <c r="I7" t="s">
        <v>32</v>
      </c>
      <c r="J7" t="s">
        <v>37</v>
      </c>
      <c r="K7">
        <v>10090</v>
      </c>
      <c r="L7" s="3" t="str">
        <f>HYPERLINK("http://www.uniprot.org/uniprot/Q9WVJ5", "Q9WVJ5")</f>
        <v>Q9WVJ5</v>
      </c>
      <c r="M7" t="s">
        <v>53</v>
      </c>
      <c r="N7" t="str">
        <f>"Crybb1"</f>
        <v>Crybb1</v>
      </c>
      <c r="O7" s="3" t="str">
        <f>HYPERLINK("http://www.informatics.jax.org/marker/MGI:104992", "MGI:104992")</f>
        <v>MGI:104992</v>
      </c>
      <c r="P7" t="s">
        <v>54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55</v>
      </c>
      <c r="W7" t="s">
        <v>32</v>
      </c>
      <c r="X7" t="s">
        <v>56</v>
      </c>
      <c r="Y7" t="s">
        <v>57</v>
      </c>
      <c r="Z7" t="s">
        <v>32</v>
      </c>
      <c r="AA7" t="s">
        <v>58</v>
      </c>
      <c r="AB7" t="s">
        <v>32</v>
      </c>
      <c r="AC7" t="s">
        <v>59</v>
      </c>
      <c r="AD7" t="s">
        <v>32</v>
      </c>
      <c r="AE7" t="s">
        <v>32</v>
      </c>
      <c r="AF7" t="s">
        <v>46835</v>
      </c>
    </row>
    <row r="8" spans="1:49" x14ac:dyDescent="0.2">
      <c r="A8">
        <v>3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32</v>
      </c>
      <c r="H8" t="str">
        <f>"Cryba1"</f>
        <v>Cryba1</v>
      </c>
      <c r="I8" t="s">
        <v>32</v>
      </c>
      <c r="J8" t="s">
        <v>37</v>
      </c>
      <c r="K8">
        <v>10090</v>
      </c>
      <c r="L8" s="3" t="str">
        <f>HYPERLINK("http://www.uniprot.org/uniprot/P02525", "P02525")</f>
        <v>P02525</v>
      </c>
      <c r="M8" t="s">
        <v>65</v>
      </c>
      <c r="N8" t="str">
        <f>"Cryba1"</f>
        <v>Cryba1</v>
      </c>
      <c r="O8" s="3" t="str">
        <f>HYPERLINK("http://www.informatics.jax.org/marker/MGI:88518", "MGI:88518")</f>
        <v>MGI:88518</v>
      </c>
      <c r="P8" t="s">
        <v>66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 t="s">
        <v>55</v>
      </c>
      <c r="W8" t="s">
        <v>32</v>
      </c>
      <c r="X8" t="s">
        <v>56</v>
      </c>
      <c r="Y8" t="s">
        <v>67</v>
      </c>
      <c r="Z8" t="s">
        <v>32</v>
      </c>
      <c r="AA8" t="s">
        <v>68</v>
      </c>
      <c r="AB8" t="s">
        <v>69</v>
      </c>
      <c r="AC8" t="s">
        <v>70</v>
      </c>
      <c r="AD8" t="s">
        <v>32</v>
      </c>
      <c r="AE8" t="s">
        <v>32</v>
      </c>
      <c r="AF8" t="s">
        <v>46835</v>
      </c>
    </row>
    <row r="9" spans="1:49" x14ac:dyDescent="0.2">
      <c r="A9">
        <v>4</v>
      </c>
      <c r="B9" t="s">
        <v>71</v>
      </c>
      <c r="C9" t="s">
        <v>72</v>
      </c>
      <c r="D9" t="s">
        <v>73</v>
      </c>
      <c r="E9" t="s">
        <v>74</v>
      </c>
      <c r="F9" t="s">
        <v>75</v>
      </c>
      <c r="G9" t="s">
        <v>32</v>
      </c>
      <c r="H9" t="str">
        <f>"Crybb3"</f>
        <v>Crybb3</v>
      </c>
      <c r="I9" t="s">
        <v>32</v>
      </c>
      <c r="J9" t="s">
        <v>37</v>
      </c>
      <c r="K9">
        <v>10090</v>
      </c>
      <c r="L9" s="3" t="str">
        <f>HYPERLINK("http://www.uniprot.org/uniprot/Q9JJU9", "Q9JJU9")</f>
        <v>Q9JJU9</v>
      </c>
      <c r="M9" t="s">
        <v>76</v>
      </c>
      <c r="N9" t="str">
        <f>"Crybb3"</f>
        <v>Crybb3</v>
      </c>
      <c r="O9" s="3" t="str">
        <f>HYPERLINK("http://www.informatics.jax.org/marker/MGI:102717", "MGI:102717")</f>
        <v>MGI:102717</v>
      </c>
      <c r="P9" t="s">
        <v>77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55</v>
      </c>
      <c r="W9" t="s">
        <v>32</v>
      </c>
      <c r="X9" t="s">
        <v>56</v>
      </c>
      <c r="Y9" t="s">
        <v>78</v>
      </c>
      <c r="Z9" t="s">
        <v>32</v>
      </c>
      <c r="AA9" t="s">
        <v>58</v>
      </c>
      <c r="AB9" t="s">
        <v>32</v>
      </c>
      <c r="AC9" t="s">
        <v>59</v>
      </c>
      <c r="AD9" t="s">
        <v>32</v>
      </c>
      <c r="AE9" t="s">
        <v>32</v>
      </c>
      <c r="AF9" t="s">
        <v>46835</v>
      </c>
    </row>
    <row r="10" spans="1:49" x14ac:dyDescent="0.2">
      <c r="A10">
        <v>5</v>
      </c>
      <c r="B10" t="s">
        <v>79</v>
      </c>
      <c r="C10" t="s">
        <v>80</v>
      </c>
      <c r="D10" t="s">
        <v>81</v>
      </c>
      <c r="E10" t="s">
        <v>82</v>
      </c>
      <c r="F10" t="s">
        <v>83</v>
      </c>
      <c r="G10" t="s">
        <v>32</v>
      </c>
      <c r="H10" t="str">
        <f>"Cryga"</f>
        <v>Cryga</v>
      </c>
      <c r="I10" t="s">
        <v>32</v>
      </c>
      <c r="J10" t="s">
        <v>37</v>
      </c>
      <c r="K10">
        <v>10090</v>
      </c>
      <c r="L10" s="3" t="str">
        <f>HYPERLINK("http://www.uniprot.org/uniprot/P04345", "P04345")</f>
        <v>P04345</v>
      </c>
      <c r="M10" t="s">
        <v>84</v>
      </c>
      <c r="N10" t="str">
        <f>"Cryga"</f>
        <v>Cryga</v>
      </c>
      <c r="O10" s="3" t="str">
        <f>HYPERLINK("http://www.informatics.jax.org/marker/MGI:88521", "MGI:88521")</f>
        <v>MGI:88521</v>
      </c>
      <c r="P10" t="s">
        <v>85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 t="s">
        <v>55</v>
      </c>
      <c r="W10" t="s">
        <v>32</v>
      </c>
      <c r="X10" t="s">
        <v>56</v>
      </c>
      <c r="Y10" t="s">
        <v>32</v>
      </c>
      <c r="Z10" t="s">
        <v>32</v>
      </c>
      <c r="AA10" t="s">
        <v>86</v>
      </c>
      <c r="AB10" t="s">
        <v>32</v>
      </c>
      <c r="AC10" t="s">
        <v>59</v>
      </c>
      <c r="AD10" t="s">
        <v>32</v>
      </c>
      <c r="AE10" t="s">
        <v>32</v>
      </c>
      <c r="AF10" t="s">
        <v>46835</v>
      </c>
    </row>
    <row r="11" spans="1:49" x14ac:dyDescent="0.2">
      <c r="A11">
        <v>6</v>
      </c>
      <c r="B11" t="s">
        <v>87</v>
      </c>
      <c r="C11" t="s">
        <v>88</v>
      </c>
      <c r="D11" t="s">
        <v>89</v>
      </c>
      <c r="E11" t="s">
        <v>90</v>
      </c>
      <c r="F11" t="s">
        <v>91</v>
      </c>
      <c r="G11" t="s">
        <v>92</v>
      </c>
      <c r="H11" t="str">
        <f>"Cryab"</f>
        <v>Cryab</v>
      </c>
      <c r="I11" t="s">
        <v>93</v>
      </c>
      <c r="J11" t="s">
        <v>37</v>
      </c>
      <c r="K11">
        <v>10090</v>
      </c>
      <c r="L11" s="3" t="str">
        <f>HYPERLINK("http://www.uniprot.org/uniprot/P23927", "P23927")</f>
        <v>P23927</v>
      </c>
      <c r="M11" t="s">
        <v>94</v>
      </c>
      <c r="N11" t="str">
        <f>"Cryab"</f>
        <v>Cryab</v>
      </c>
      <c r="O11" s="3" t="str">
        <f>HYPERLINK("http://www.informatics.jax.org/marker/MGI:88516", "MGI:88516")</f>
        <v>MGI:88516</v>
      </c>
      <c r="P11" t="s">
        <v>95</v>
      </c>
      <c r="Q11" t="s">
        <v>32</v>
      </c>
      <c r="R11" t="s">
        <v>96</v>
      </c>
      <c r="S11" t="s">
        <v>32</v>
      </c>
      <c r="T11" t="s">
        <v>32</v>
      </c>
      <c r="U11" t="s">
        <v>32</v>
      </c>
      <c r="V11" t="s">
        <v>32</v>
      </c>
      <c r="W11" t="s">
        <v>42</v>
      </c>
      <c r="X11" t="s">
        <v>43</v>
      </c>
      <c r="Y11" t="s">
        <v>97</v>
      </c>
      <c r="Z11" t="s">
        <v>32</v>
      </c>
      <c r="AA11" t="s">
        <v>98</v>
      </c>
      <c r="AB11" t="s">
        <v>99</v>
      </c>
      <c r="AC11" t="s">
        <v>100</v>
      </c>
      <c r="AD11" t="s">
        <v>32</v>
      </c>
      <c r="AE11" t="s">
        <v>101</v>
      </c>
      <c r="AF11" t="s">
        <v>46835</v>
      </c>
    </row>
    <row r="12" spans="1:49" x14ac:dyDescent="0.2">
      <c r="A12">
        <v>7</v>
      </c>
      <c r="B12" t="s">
        <v>102</v>
      </c>
      <c r="C12" t="s">
        <v>103</v>
      </c>
      <c r="D12" t="s">
        <v>104</v>
      </c>
      <c r="E12" t="s">
        <v>105</v>
      </c>
      <c r="F12" t="s">
        <v>106</v>
      </c>
      <c r="G12" t="s">
        <v>107</v>
      </c>
      <c r="H12" t="str">
        <f>"Crygb"</f>
        <v>Crygb</v>
      </c>
      <c r="I12" t="s">
        <v>32</v>
      </c>
      <c r="J12" t="s">
        <v>37</v>
      </c>
      <c r="K12">
        <v>10090</v>
      </c>
      <c r="L12" s="3" t="str">
        <f>HYPERLINK("http://www.uniprot.org/uniprot/P04344", "P04344")</f>
        <v>P04344</v>
      </c>
      <c r="M12" t="s">
        <v>108</v>
      </c>
      <c r="N12" t="str">
        <f>"Crygb"</f>
        <v>Crygb</v>
      </c>
      <c r="O12" s="3" t="str">
        <f>HYPERLINK("http://www.informatics.jax.org/marker/MGI:88522", "MGI:88522")</f>
        <v>MGI:88522</v>
      </c>
      <c r="P12" t="s">
        <v>85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55</v>
      </c>
      <c r="W12" t="s">
        <v>32</v>
      </c>
      <c r="X12" t="s">
        <v>56</v>
      </c>
      <c r="Y12" t="s">
        <v>32</v>
      </c>
      <c r="Z12" t="s">
        <v>32</v>
      </c>
      <c r="AA12" t="s">
        <v>109</v>
      </c>
      <c r="AB12" t="s">
        <v>110</v>
      </c>
      <c r="AC12" t="s">
        <v>59</v>
      </c>
      <c r="AD12" t="s">
        <v>32</v>
      </c>
      <c r="AE12" t="s">
        <v>32</v>
      </c>
      <c r="AF12" t="s">
        <v>46835</v>
      </c>
    </row>
    <row r="13" spans="1:49" x14ac:dyDescent="0.2">
      <c r="A13">
        <v>8</v>
      </c>
      <c r="B13" t="s">
        <v>111</v>
      </c>
      <c r="C13" t="s">
        <v>112</v>
      </c>
      <c r="D13" t="s">
        <v>113</v>
      </c>
      <c r="E13" t="s">
        <v>114</v>
      </c>
      <c r="F13" t="s">
        <v>115</v>
      </c>
      <c r="G13" t="s">
        <v>116</v>
      </c>
      <c r="H13" t="str">
        <f>"Cryba2"</f>
        <v>Cryba2</v>
      </c>
      <c r="I13" t="s">
        <v>32</v>
      </c>
      <c r="J13" t="s">
        <v>37</v>
      </c>
      <c r="K13">
        <v>10090</v>
      </c>
      <c r="L13" s="3" t="str">
        <f>HYPERLINK("http://www.uniprot.org/uniprot/Q9JJV1", "Q9JJV1")</f>
        <v>Q9JJV1</v>
      </c>
      <c r="M13" t="s">
        <v>117</v>
      </c>
      <c r="N13" t="str">
        <f>"Cryba2"</f>
        <v>Cryba2</v>
      </c>
      <c r="O13" s="3" t="str">
        <f>HYPERLINK("http://www.informatics.jax.org/marker/MGI:104336", "MGI:104336")</f>
        <v>MGI:104336</v>
      </c>
      <c r="P13" t="s">
        <v>85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55</v>
      </c>
      <c r="W13" t="s">
        <v>32</v>
      </c>
      <c r="X13" t="s">
        <v>56</v>
      </c>
      <c r="Y13" t="s">
        <v>32</v>
      </c>
      <c r="Z13" t="s">
        <v>32</v>
      </c>
      <c r="AA13" t="s">
        <v>58</v>
      </c>
      <c r="AB13" t="s">
        <v>32</v>
      </c>
      <c r="AC13" t="s">
        <v>70</v>
      </c>
      <c r="AD13" t="s">
        <v>32</v>
      </c>
      <c r="AE13" t="s">
        <v>32</v>
      </c>
      <c r="AF13" t="s">
        <v>46835</v>
      </c>
    </row>
    <row r="14" spans="1:49" x14ac:dyDescent="0.2">
      <c r="A14">
        <v>9</v>
      </c>
      <c r="B14" t="s">
        <v>118</v>
      </c>
      <c r="C14" t="s">
        <v>119</v>
      </c>
      <c r="D14" t="s">
        <v>120</v>
      </c>
      <c r="E14" t="s">
        <v>121</v>
      </c>
      <c r="F14" t="s">
        <v>122</v>
      </c>
      <c r="G14" t="s">
        <v>123</v>
      </c>
      <c r="H14" t="str">
        <f>"Crybb2"</f>
        <v>Crybb2</v>
      </c>
      <c r="I14" t="s">
        <v>32</v>
      </c>
      <c r="J14" t="s">
        <v>37</v>
      </c>
      <c r="K14">
        <v>10090</v>
      </c>
      <c r="L14" s="3" t="str">
        <f>HYPERLINK("http://www.uniprot.org/uniprot/P62696", "P62696")</f>
        <v>P62696</v>
      </c>
      <c r="M14" t="s">
        <v>124</v>
      </c>
      <c r="N14" t="str">
        <f>"Crybb2"</f>
        <v>Crybb2</v>
      </c>
      <c r="O14" s="3" t="str">
        <f>HYPERLINK("http://www.informatics.jax.org/marker/MGI:88519", "MGI:88519")</f>
        <v>MGI:88519</v>
      </c>
      <c r="P14" t="s">
        <v>125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55</v>
      </c>
      <c r="W14" t="s">
        <v>32</v>
      </c>
      <c r="X14" t="s">
        <v>56</v>
      </c>
      <c r="Y14" t="s">
        <v>78</v>
      </c>
      <c r="Z14" t="s">
        <v>126</v>
      </c>
      <c r="AA14" t="s">
        <v>127</v>
      </c>
      <c r="AB14" t="s">
        <v>32</v>
      </c>
      <c r="AC14" t="s">
        <v>70</v>
      </c>
      <c r="AD14" t="s">
        <v>32</v>
      </c>
      <c r="AE14" t="s">
        <v>32</v>
      </c>
      <c r="AF14" t="s">
        <v>46835</v>
      </c>
    </row>
    <row r="15" spans="1:49" x14ac:dyDescent="0.2">
      <c r="A15">
        <v>10</v>
      </c>
      <c r="B15" t="s">
        <v>128</v>
      </c>
      <c r="C15" t="s">
        <v>129</v>
      </c>
      <c r="D15" t="s">
        <v>130</v>
      </c>
      <c r="E15" t="s">
        <v>131</v>
      </c>
      <c r="F15" t="s">
        <v>132</v>
      </c>
      <c r="G15" t="s">
        <v>133</v>
      </c>
      <c r="H15" t="str">
        <f>"Bfsp1"</f>
        <v>Bfsp1</v>
      </c>
      <c r="I15" t="s">
        <v>32</v>
      </c>
      <c r="J15" t="s">
        <v>37</v>
      </c>
      <c r="K15">
        <v>10090</v>
      </c>
      <c r="L15" s="3" t="str">
        <f>HYPERLINK("http://www.uniprot.org/uniprot/A2AMT1", "A2AMT1")</f>
        <v>A2AMT1</v>
      </c>
      <c r="M15" t="s">
        <v>134</v>
      </c>
      <c r="N15" t="str">
        <f>"Bfsp1"</f>
        <v>Bfsp1</v>
      </c>
      <c r="O15" s="3" t="str">
        <f>HYPERLINK("http://www.informatics.jax.org/marker/MGI:101770", "MGI:101770")</f>
        <v>MGI:101770</v>
      </c>
      <c r="P15" t="s">
        <v>135</v>
      </c>
      <c r="Q15" t="s">
        <v>32</v>
      </c>
      <c r="R15" t="s">
        <v>136</v>
      </c>
      <c r="S15" t="s">
        <v>41</v>
      </c>
      <c r="T15" t="s">
        <v>32</v>
      </c>
      <c r="U15" t="s">
        <v>32</v>
      </c>
      <c r="V15" t="s">
        <v>137</v>
      </c>
      <c r="W15" t="s">
        <v>32</v>
      </c>
      <c r="X15" t="s">
        <v>56</v>
      </c>
      <c r="Y15" t="s">
        <v>138</v>
      </c>
      <c r="Z15" t="s">
        <v>32</v>
      </c>
      <c r="AA15" t="s">
        <v>139</v>
      </c>
      <c r="AB15" t="s">
        <v>140</v>
      </c>
      <c r="AC15" t="s">
        <v>59</v>
      </c>
      <c r="AD15" t="s">
        <v>32</v>
      </c>
      <c r="AE15" t="s">
        <v>32</v>
      </c>
      <c r="AF15" t="s">
        <v>46835</v>
      </c>
    </row>
    <row r="16" spans="1:49" x14ac:dyDescent="0.2">
      <c r="A16">
        <v>11</v>
      </c>
      <c r="B16" t="s">
        <v>141</v>
      </c>
      <c r="C16" t="s">
        <v>142</v>
      </c>
      <c r="D16" t="s">
        <v>143</v>
      </c>
      <c r="E16" t="s">
        <v>144</v>
      </c>
      <c r="F16" t="s">
        <v>145</v>
      </c>
      <c r="G16" t="s">
        <v>32</v>
      </c>
      <c r="H16" t="str">
        <f>"Crygf"</f>
        <v>Crygf</v>
      </c>
      <c r="I16" t="s">
        <v>32</v>
      </c>
      <c r="J16" t="s">
        <v>37</v>
      </c>
      <c r="K16">
        <v>10090</v>
      </c>
      <c r="L16" s="3" t="str">
        <f>HYPERLINK("http://www.uniprot.org/uniprot/Q9CXV3", "Q9CXV3")</f>
        <v>Q9CXV3</v>
      </c>
      <c r="M16" t="s">
        <v>146</v>
      </c>
      <c r="N16" t="str">
        <f>"Crygf"</f>
        <v>Crygf</v>
      </c>
      <c r="O16" s="3" t="str">
        <f>HYPERLINK("http://www.informatics.jax.org/marker/MGI:88526", "MGI:88526")</f>
        <v>MGI:88526</v>
      </c>
      <c r="P16" t="s">
        <v>85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55</v>
      </c>
      <c r="W16" t="s">
        <v>32</v>
      </c>
      <c r="X16" t="s">
        <v>56</v>
      </c>
      <c r="Y16" t="s">
        <v>32</v>
      </c>
      <c r="Z16" t="s">
        <v>32</v>
      </c>
      <c r="AA16" t="s">
        <v>147</v>
      </c>
      <c r="AB16" t="s">
        <v>32</v>
      </c>
      <c r="AC16" t="s">
        <v>59</v>
      </c>
      <c r="AD16" t="s">
        <v>32</v>
      </c>
      <c r="AE16" t="s">
        <v>32</v>
      </c>
      <c r="AF16" t="s">
        <v>46835</v>
      </c>
    </row>
    <row r="17" spans="1:32" x14ac:dyDescent="0.2">
      <c r="A17">
        <v>12</v>
      </c>
      <c r="B17" t="s">
        <v>148</v>
      </c>
      <c r="C17" t="s">
        <v>149</v>
      </c>
      <c r="D17" t="s">
        <v>150</v>
      </c>
      <c r="E17" t="s">
        <v>151</v>
      </c>
      <c r="F17" t="s">
        <v>152</v>
      </c>
      <c r="G17" t="s">
        <v>153</v>
      </c>
      <c r="H17" t="str">
        <f>"Bfsp2"</f>
        <v>Bfsp2</v>
      </c>
      <c r="I17" t="s">
        <v>32</v>
      </c>
      <c r="J17" t="s">
        <v>37</v>
      </c>
      <c r="K17">
        <v>10090</v>
      </c>
      <c r="L17" s="3" t="str">
        <f>HYPERLINK("http://www.uniprot.org/uniprot/Q6NVD9", "Q6NVD9")</f>
        <v>Q6NVD9</v>
      </c>
      <c r="M17" t="s">
        <v>154</v>
      </c>
      <c r="N17" t="str">
        <f>"Bfsp2"</f>
        <v>Bfsp2</v>
      </c>
      <c r="O17" s="3" t="str">
        <f>HYPERLINK("http://www.informatics.jax.org/marker/MGI:1333828", "MGI:1333828")</f>
        <v>MGI:1333828</v>
      </c>
      <c r="P17" t="s">
        <v>155</v>
      </c>
      <c r="Q17" t="s">
        <v>156</v>
      </c>
      <c r="R17" t="s">
        <v>136</v>
      </c>
      <c r="S17" t="s">
        <v>41</v>
      </c>
      <c r="T17" t="s">
        <v>32</v>
      </c>
      <c r="U17" t="s">
        <v>32</v>
      </c>
      <c r="V17" t="s">
        <v>137</v>
      </c>
      <c r="W17" t="s">
        <v>32</v>
      </c>
      <c r="X17" t="s">
        <v>56</v>
      </c>
      <c r="Y17" t="s">
        <v>157</v>
      </c>
      <c r="Z17" t="s">
        <v>32</v>
      </c>
      <c r="AA17" t="s">
        <v>158</v>
      </c>
      <c r="AB17" t="s">
        <v>159</v>
      </c>
      <c r="AC17" t="s">
        <v>59</v>
      </c>
      <c r="AD17" t="s">
        <v>32</v>
      </c>
      <c r="AE17" t="s">
        <v>32</v>
      </c>
      <c r="AF17" t="s">
        <v>46835</v>
      </c>
    </row>
    <row r="18" spans="1:32" x14ac:dyDescent="0.2">
      <c r="A18">
        <v>13</v>
      </c>
      <c r="B18" t="s">
        <v>160</v>
      </c>
      <c r="C18" t="s">
        <v>161</v>
      </c>
      <c r="D18" t="s">
        <v>162</v>
      </c>
      <c r="E18" t="s">
        <v>163</v>
      </c>
      <c r="F18" t="s">
        <v>164</v>
      </c>
      <c r="G18" t="s">
        <v>32</v>
      </c>
      <c r="H18" t="str">
        <f>"Cryba4"</f>
        <v>Cryba4</v>
      </c>
      <c r="I18" t="s">
        <v>32</v>
      </c>
      <c r="J18" t="s">
        <v>37</v>
      </c>
      <c r="K18">
        <v>10090</v>
      </c>
      <c r="L18" s="3" t="str">
        <f>HYPERLINK("http://www.uniprot.org/uniprot/Q9JJV0", "Q9JJV0")</f>
        <v>Q9JJV0</v>
      </c>
      <c r="M18" t="s">
        <v>165</v>
      </c>
      <c r="N18" t="str">
        <f>"Cryba4"</f>
        <v>Cryba4</v>
      </c>
      <c r="O18" s="3" t="str">
        <f>HYPERLINK("http://www.informatics.jax.org/marker/MGI:102716", "MGI:102716")</f>
        <v>MGI:102716</v>
      </c>
      <c r="P18" t="s">
        <v>77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55</v>
      </c>
      <c r="W18" t="s">
        <v>32</v>
      </c>
      <c r="X18" t="s">
        <v>56</v>
      </c>
      <c r="Y18" t="s">
        <v>78</v>
      </c>
      <c r="Z18" t="s">
        <v>32</v>
      </c>
      <c r="AA18" t="s">
        <v>127</v>
      </c>
      <c r="AB18" t="s">
        <v>32</v>
      </c>
      <c r="AC18" t="s">
        <v>70</v>
      </c>
      <c r="AD18" t="s">
        <v>32</v>
      </c>
      <c r="AE18" t="s">
        <v>32</v>
      </c>
      <c r="AF18" t="s">
        <v>46835</v>
      </c>
    </row>
    <row r="19" spans="1:32" x14ac:dyDescent="0.2">
      <c r="A19">
        <v>14</v>
      </c>
      <c r="B19" t="s">
        <v>166</v>
      </c>
      <c r="C19" t="s">
        <v>167</v>
      </c>
      <c r="D19" t="s">
        <v>168</v>
      </c>
      <c r="E19" t="s">
        <v>169</v>
      </c>
      <c r="F19" t="s">
        <v>170</v>
      </c>
      <c r="G19" t="s">
        <v>171</v>
      </c>
      <c r="H19" t="str">
        <f>"Crygc"</f>
        <v>Crygc</v>
      </c>
      <c r="I19" t="s">
        <v>172</v>
      </c>
      <c r="J19" t="s">
        <v>37</v>
      </c>
      <c r="K19">
        <v>10090</v>
      </c>
      <c r="L19" s="3" t="str">
        <f>HYPERLINK("http://www.uniprot.org/uniprot/Q61597", "Q61597")</f>
        <v>Q61597</v>
      </c>
      <c r="M19" t="s">
        <v>173</v>
      </c>
      <c r="N19" t="str">
        <f>"Crygc"</f>
        <v>Crygc</v>
      </c>
      <c r="O19" s="3" t="str">
        <f>HYPERLINK("http://www.informatics.jax.org/marker/MGI:88523", "MGI:88523")</f>
        <v>MGI:88523</v>
      </c>
      <c r="P19" t="s">
        <v>174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55</v>
      </c>
      <c r="W19" t="s">
        <v>32</v>
      </c>
      <c r="X19" t="s">
        <v>56</v>
      </c>
      <c r="Y19" t="s">
        <v>175</v>
      </c>
      <c r="Z19" t="s">
        <v>126</v>
      </c>
      <c r="AA19" t="s">
        <v>176</v>
      </c>
      <c r="AB19" t="s">
        <v>110</v>
      </c>
      <c r="AC19" t="s">
        <v>59</v>
      </c>
      <c r="AD19" t="s">
        <v>32</v>
      </c>
      <c r="AE19" t="s">
        <v>32</v>
      </c>
      <c r="AF19" t="s">
        <v>46835</v>
      </c>
    </row>
    <row r="20" spans="1:32" x14ac:dyDescent="0.2">
      <c r="A20">
        <v>15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tr">
        <f>"Sptan1"</f>
        <v>Sptan1</v>
      </c>
      <c r="I20" t="s">
        <v>183</v>
      </c>
      <c r="J20" t="s">
        <v>37</v>
      </c>
      <c r="K20">
        <v>10090</v>
      </c>
      <c r="L20" s="3" t="str">
        <f>HYPERLINK("http://www.uniprot.org/uniprot/P16546", "P16546")</f>
        <v>P16546</v>
      </c>
      <c r="M20" t="s">
        <v>184</v>
      </c>
      <c r="N20" t="str">
        <f>"Sptan1"</f>
        <v>Sptan1</v>
      </c>
      <c r="O20" s="3" t="str">
        <f>HYPERLINK("http://www.informatics.jax.org/marker/MGI:98386", "MGI:98386")</f>
        <v>MGI:98386</v>
      </c>
      <c r="P20" t="s">
        <v>185</v>
      </c>
      <c r="Q20" t="s">
        <v>32</v>
      </c>
      <c r="R20" t="s">
        <v>186</v>
      </c>
      <c r="S20" t="s">
        <v>41</v>
      </c>
      <c r="T20" t="s">
        <v>32</v>
      </c>
      <c r="U20" t="s">
        <v>32</v>
      </c>
      <c r="V20" t="s">
        <v>187</v>
      </c>
      <c r="W20" t="s">
        <v>188</v>
      </c>
      <c r="X20" t="s">
        <v>189</v>
      </c>
      <c r="Y20" t="s">
        <v>157</v>
      </c>
      <c r="Z20" t="s">
        <v>32</v>
      </c>
      <c r="AA20" t="s">
        <v>190</v>
      </c>
      <c r="AB20" t="s">
        <v>191</v>
      </c>
      <c r="AC20" t="s">
        <v>192</v>
      </c>
      <c r="AD20" t="s">
        <v>32</v>
      </c>
      <c r="AE20" t="s">
        <v>193</v>
      </c>
      <c r="AF20" t="s">
        <v>46835</v>
      </c>
    </row>
    <row r="21" spans="1:32" x14ac:dyDescent="0.2">
      <c r="A21">
        <v>16</v>
      </c>
      <c r="B21" t="s">
        <v>194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tr">
        <f>"Hspa8"</f>
        <v>Hspa8</v>
      </c>
      <c r="I21" t="s">
        <v>200</v>
      </c>
      <c r="J21" t="s">
        <v>37</v>
      </c>
      <c r="K21">
        <v>10090</v>
      </c>
      <c r="L21" s="3" t="str">
        <f>HYPERLINK("http://www.uniprot.org/uniprot/P63017", "P63017")</f>
        <v>P63017</v>
      </c>
      <c r="M21" t="s">
        <v>201</v>
      </c>
      <c r="N21" t="str">
        <f>"Hspa8"</f>
        <v>Hspa8</v>
      </c>
      <c r="O21" s="3" t="str">
        <f>HYPERLINK("http://www.informatics.jax.org/marker/MGI:105384", "MGI:105384")</f>
        <v>MGI:105384</v>
      </c>
      <c r="P21" t="s">
        <v>202</v>
      </c>
      <c r="Q21" t="s">
        <v>203</v>
      </c>
      <c r="R21" t="s">
        <v>204</v>
      </c>
      <c r="S21" t="s">
        <v>32</v>
      </c>
      <c r="T21" t="s">
        <v>32</v>
      </c>
      <c r="U21" t="s">
        <v>32</v>
      </c>
      <c r="V21" t="s">
        <v>32</v>
      </c>
      <c r="W21" t="s">
        <v>205</v>
      </c>
      <c r="X21" t="s">
        <v>206</v>
      </c>
      <c r="Y21" t="s">
        <v>207</v>
      </c>
      <c r="Z21" t="s">
        <v>126</v>
      </c>
      <c r="AA21" t="s">
        <v>208</v>
      </c>
      <c r="AB21" t="s">
        <v>209</v>
      </c>
      <c r="AC21" t="s">
        <v>210</v>
      </c>
      <c r="AD21" t="s">
        <v>32</v>
      </c>
      <c r="AE21" t="s">
        <v>211</v>
      </c>
      <c r="AF21" t="s">
        <v>46835</v>
      </c>
    </row>
    <row r="22" spans="1:32" x14ac:dyDescent="0.2">
      <c r="A22">
        <v>17</v>
      </c>
      <c r="B22" t="s">
        <v>212</v>
      </c>
      <c r="C22" t="s">
        <v>213</v>
      </c>
      <c r="D22" t="s">
        <v>214</v>
      </c>
      <c r="E22" t="s">
        <v>215</v>
      </c>
      <c r="F22" t="s">
        <v>216</v>
      </c>
      <c r="G22" t="s">
        <v>217</v>
      </c>
      <c r="H22" t="str">
        <f>"Eno1"</f>
        <v>Eno1</v>
      </c>
      <c r="I22" t="s">
        <v>218</v>
      </c>
      <c r="J22" t="s">
        <v>37</v>
      </c>
      <c r="K22">
        <v>10090</v>
      </c>
      <c r="L22" s="3" t="str">
        <f>HYPERLINK("http://www.uniprot.org/uniprot/P17182", "P17182")</f>
        <v>P17182</v>
      </c>
      <c r="M22" t="s">
        <v>219</v>
      </c>
      <c r="N22" t="str">
        <f>"Eno1"</f>
        <v>Eno1</v>
      </c>
      <c r="O22" s="3" t="str">
        <f>HYPERLINK("http://www.informatics.jax.org/marker/MGI:95393", "MGI:95393")</f>
        <v>MGI:95393</v>
      </c>
      <c r="P22" t="s">
        <v>220</v>
      </c>
      <c r="Q22" t="s">
        <v>221</v>
      </c>
      <c r="R22" t="s">
        <v>222</v>
      </c>
      <c r="S22" t="s">
        <v>32</v>
      </c>
      <c r="T22" t="s">
        <v>32</v>
      </c>
      <c r="U22" t="s">
        <v>32</v>
      </c>
      <c r="V22" t="s">
        <v>32</v>
      </c>
      <c r="W22" t="s">
        <v>223</v>
      </c>
      <c r="X22" t="s">
        <v>224</v>
      </c>
      <c r="Y22" t="s">
        <v>225</v>
      </c>
      <c r="Z22" t="s">
        <v>32</v>
      </c>
      <c r="AA22" t="s">
        <v>226</v>
      </c>
      <c r="AB22" t="s">
        <v>227</v>
      </c>
      <c r="AC22" t="s">
        <v>228</v>
      </c>
      <c r="AD22" t="s">
        <v>229</v>
      </c>
      <c r="AE22" t="s">
        <v>230</v>
      </c>
      <c r="AF22" t="s">
        <v>46835</v>
      </c>
    </row>
    <row r="23" spans="1:32" x14ac:dyDescent="0.2">
      <c r="A23">
        <v>18</v>
      </c>
      <c r="B23" t="s">
        <v>231</v>
      </c>
      <c r="C23" t="s">
        <v>232</v>
      </c>
      <c r="D23" t="s">
        <v>233</v>
      </c>
      <c r="E23" t="s">
        <v>234</v>
      </c>
      <c r="F23" t="s">
        <v>235</v>
      </c>
      <c r="G23" t="s">
        <v>32</v>
      </c>
      <c r="H23" t="str">
        <f>"Crygs"</f>
        <v>Crygs</v>
      </c>
      <c r="I23" t="s">
        <v>32</v>
      </c>
      <c r="J23" t="s">
        <v>37</v>
      </c>
      <c r="K23">
        <v>10090</v>
      </c>
      <c r="L23" s="3" t="str">
        <f>HYPERLINK("http://www.uniprot.org/uniprot/O35486", "O35486")</f>
        <v>O35486</v>
      </c>
      <c r="M23" t="s">
        <v>236</v>
      </c>
      <c r="N23" t="str">
        <f>"Crygs"</f>
        <v>Crygs</v>
      </c>
      <c r="O23" s="3" t="str">
        <f>HYPERLINK("http://www.informatics.jax.org/marker/MGI:1298216", "MGI:1298216")</f>
        <v>MGI:1298216</v>
      </c>
      <c r="P23" t="s">
        <v>125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55</v>
      </c>
      <c r="W23" t="s">
        <v>32</v>
      </c>
      <c r="X23" t="s">
        <v>56</v>
      </c>
      <c r="Y23" t="s">
        <v>78</v>
      </c>
      <c r="Z23" t="s">
        <v>126</v>
      </c>
      <c r="AA23" t="s">
        <v>237</v>
      </c>
      <c r="AB23" t="s">
        <v>32</v>
      </c>
      <c r="AC23" t="s">
        <v>59</v>
      </c>
      <c r="AD23" t="s">
        <v>32</v>
      </c>
      <c r="AE23" t="s">
        <v>32</v>
      </c>
      <c r="AF23" t="s">
        <v>46835</v>
      </c>
    </row>
    <row r="24" spans="1:32" x14ac:dyDescent="0.2">
      <c r="A24">
        <v>19</v>
      </c>
      <c r="B24" t="s">
        <v>238</v>
      </c>
      <c r="C24" t="s">
        <v>239</v>
      </c>
      <c r="D24" t="s">
        <v>240</v>
      </c>
      <c r="E24" t="s">
        <v>241</v>
      </c>
      <c r="F24" t="s">
        <v>242</v>
      </c>
      <c r="G24" t="s">
        <v>243</v>
      </c>
      <c r="H24" t="str">
        <f>"H2bc14"</f>
        <v>H2bc14</v>
      </c>
      <c r="I24" t="s">
        <v>32</v>
      </c>
      <c r="J24" t="s">
        <v>37</v>
      </c>
      <c r="K24">
        <v>10090</v>
      </c>
      <c r="L24" s="3" t="str">
        <f>HYPERLINK("http://www.uniprot.org/uniprot/P10854", "P10854")</f>
        <v>P10854</v>
      </c>
      <c r="M24" t="s">
        <v>244</v>
      </c>
      <c r="N24" t="str">
        <f>"H2bc14"</f>
        <v>H2bc14</v>
      </c>
      <c r="O24" s="3" t="str">
        <f>HYPERLINK("http://www.informatics.jax.org/marker/MGI:2448404", "MGI:2448404")</f>
        <v>MGI:2448404</v>
      </c>
      <c r="P24" t="s">
        <v>245</v>
      </c>
      <c r="Q24" t="s">
        <v>32</v>
      </c>
      <c r="R24" t="s">
        <v>246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247</v>
      </c>
      <c r="Y24" t="s">
        <v>248</v>
      </c>
      <c r="Z24" t="s">
        <v>32</v>
      </c>
      <c r="AA24" t="s">
        <v>249</v>
      </c>
      <c r="AB24" t="s">
        <v>250</v>
      </c>
      <c r="AC24" t="s">
        <v>251</v>
      </c>
      <c r="AD24" t="s">
        <v>32</v>
      </c>
      <c r="AE24" t="s">
        <v>252</v>
      </c>
      <c r="AF24" t="s">
        <v>46835</v>
      </c>
    </row>
    <row r="25" spans="1:32" x14ac:dyDescent="0.2">
      <c r="A25">
        <v>20</v>
      </c>
      <c r="B25" t="s">
        <v>253</v>
      </c>
      <c r="C25" t="s">
        <v>254</v>
      </c>
      <c r="D25" t="s">
        <v>32</v>
      </c>
      <c r="E25" t="s">
        <v>255</v>
      </c>
      <c r="F25" t="s">
        <v>256</v>
      </c>
      <c r="G25" t="s">
        <v>257</v>
      </c>
      <c r="H25" t="str">
        <f>"Eef2"</f>
        <v>Eef2</v>
      </c>
      <c r="I25" t="s">
        <v>32</v>
      </c>
      <c r="J25" t="s">
        <v>37</v>
      </c>
      <c r="K25">
        <v>10090</v>
      </c>
      <c r="L25" s="3" t="str">
        <f>HYPERLINK("http://www.uniprot.org/uniprot/P58252", "P58252")</f>
        <v>P58252</v>
      </c>
      <c r="M25" t="s">
        <v>258</v>
      </c>
      <c r="N25" t="str">
        <f>"Eef2"</f>
        <v>Eef2</v>
      </c>
      <c r="O25" s="3" t="str">
        <f>HYPERLINK("http://www.informatics.jax.org/marker/MGI:95288", "MGI:95288")</f>
        <v>MGI:95288</v>
      </c>
      <c r="P25" t="s">
        <v>259</v>
      </c>
      <c r="Q25" t="s">
        <v>260</v>
      </c>
      <c r="R25" t="s">
        <v>40</v>
      </c>
      <c r="S25" t="s">
        <v>32</v>
      </c>
      <c r="T25" t="s">
        <v>32</v>
      </c>
      <c r="U25" t="s">
        <v>32</v>
      </c>
      <c r="V25" t="s">
        <v>32</v>
      </c>
      <c r="W25" t="s">
        <v>261</v>
      </c>
      <c r="X25" t="s">
        <v>262</v>
      </c>
      <c r="Y25" t="s">
        <v>207</v>
      </c>
      <c r="Z25" t="s">
        <v>126</v>
      </c>
      <c r="AA25" t="s">
        <v>263</v>
      </c>
      <c r="AB25" t="s">
        <v>264</v>
      </c>
      <c r="AC25" t="s">
        <v>265</v>
      </c>
      <c r="AD25" t="s">
        <v>32</v>
      </c>
      <c r="AE25" t="s">
        <v>266</v>
      </c>
      <c r="AF25" t="s">
        <v>46835</v>
      </c>
    </row>
    <row r="26" spans="1:32" x14ac:dyDescent="0.2">
      <c r="A26">
        <v>21</v>
      </c>
      <c r="B26" t="s">
        <v>267</v>
      </c>
      <c r="C26" t="s">
        <v>268</v>
      </c>
      <c r="D26" t="s">
        <v>269</v>
      </c>
      <c r="E26" t="s">
        <v>270</v>
      </c>
      <c r="F26" t="s">
        <v>271</v>
      </c>
      <c r="G26" t="s">
        <v>272</v>
      </c>
      <c r="H26" t="str">
        <f>"Eef1a1"</f>
        <v>Eef1a1</v>
      </c>
      <c r="I26" t="s">
        <v>273</v>
      </c>
      <c r="J26" t="s">
        <v>37</v>
      </c>
      <c r="K26">
        <v>10090</v>
      </c>
      <c r="L26" s="3" t="str">
        <f>HYPERLINK("http://www.uniprot.org/uniprot/P10126", "P10126")</f>
        <v>P10126</v>
      </c>
      <c r="M26" t="s">
        <v>274</v>
      </c>
      <c r="N26" t="str">
        <f>"Eef1a1"</f>
        <v>Eef1a1</v>
      </c>
      <c r="O26" s="3" t="str">
        <f>HYPERLINK("http://www.informatics.jax.org/marker/MGI:1096881", "MGI:1096881")</f>
        <v>MGI:1096881</v>
      </c>
      <c r="P26" t="s">
        <v>275</v>
      </c>
      <c r="Q26" t="s">
        <v>260</v>
      </c>
      <c r="R26" t="s">
        <v>276</v>
      </c>
      <c r="S26" t="s">
        <v>32</v>
      </c>
      <c r="T26" t="s">
        <v>32</v>
      </c>
      <c r="U26" t="s">
        <v>32</v>
      </c>
      <c r="V26" t="s">
        <v>32</v>
      </c>
      <c r="W26" t="s">
        <v>261</v>
      </c>
      <c r="X26" t="s">
        <v>262</v>
      </c>
      <c r="Y26" t="s">
        <v>277</v>
      </c>
      <c r="Z26" t="s">
        <v>32</v>
      </c>
      <c r="AA26" t="s">
        <v>278</v>
      </c>
      <c r="AB26" t="s">
        <v>279</v>
      </c>
      <c r="AC26" t="s">
        <v>280</v>
      </c>
      <c r="AD26" t="s">
        <v>32</v>
      </c>
      <c r="AE26" t="s">
        <v>281</v>
      </c>
      <c r="AF26" t="s">
        <v>46835</v>
      </c>
    </row>
    <row r="27" spans="1:32" x14ac:dyDescent="0.2">
      <c r="A27">
        <v>22</v>
      </c>
      <c r="B27" t="s">
        <v>282</v>
      </c>
      <c r="C27" t="s">
        <v>283</v>
      </c>
      <c r="D27" t="s">
        <v>32</v>
      </c>
      <c r="E27" t="s">
        <v>284</v>
      </c>
      <c r="F27" t="s">
        <v>285</v>
      </c>
      <c r="G27" t="s">
        <v>286</v>
      </c>
      <c r="H27" t="str">
        <f>"Vim"</f>
        <v>Vim</v>
      </c>
      <c r="I27" t="s">
        <v>32</v>
      </c>
      <c r="J27" t="s">
        <v>37</v>
      </c>
      <c r="K27">
        <v>10090</v>
      </c>
      <c r="L27" s="3" t="str">
        <f>HYPERLINK("http://www.uniprot.org/uniprot/P20152", "P20152")</f>
        <v>P20152</v>
      </c>
      <c r="M27" t="s">
        <v>287</v>
      </c>
      <c r="N27" t="str">
        <f>"Vim"</f>
        <v>Vim</v>
      </c>
      <c r="O27" s="3" t="str">
        <f>HYPERLINK("http://www.informatics.jax.org/marker/MGI:98932", "MGI:98932")</f>
        <v>MGI:98932</v>
      </c>
      <c r="P27" t="s">
        <v>288</v>
      </c>
      <c r="Q27" t="s">
        <v>32</v>
      </c>
      <c r="R27" t="s">
        <v>289</v>
      </c>
      <c r="S27" t="s">
        <v>32</v>
      </c>
      <c r="T27" t="s">
        <v>32</v>
      </c>
      <c r="U27" t="s">
        <v>32</v>
      </c>
      <c r="V27" t="s">
        <v>290</v>
      </c>
      <c r="W27" t="s">
        <v>32</v>
      </c>
      <c r="X27" t="s">
        <v>32</v>
      </c>
      <c r="Y27" t="s">
        <v>291</v>
      </c>
      <c r="Z27" t="s">
        <v>32</v>
      </c>
      <c r="AA27" t="s">
        <v>292</v>
      </c>
      <c r="AB27" t="s">
        <v>293</v>
      </c>
      <c r="AC27" t="s">
        <v>294</v>
      </c>
      <c r="AD27" t="s">
        <v>32</v>
      </c>
      <c r="AE27" t="s">
        <v>295</v>
      </c>
      <c r="AF27" t="s">
        <v>46835</v>
      </c>
    </row>
    <row r="28" spans="1:32" x14ac:dyDescent="0.2">
      <c r="A28">
        <v>23</v>
      </c>
      <c r="B28" t="s">
        <v>296</v>
      </c>
      <c r="C28" t="s">
        <v>297</v>
      </c>
      <c r="D28" t="s">
        <v>298</v>
      </c>
      <c r="E28" t="s">
        <v>299</v>
      </c>
      <c r="F28" t="s">
        <v>300</v>
      </c>
      <c r="G28" t="s">
        <v>301</v>
      </c>
      <c r="H28" t="str">
        <f>"Pkm"</f>
        <v>Pkm</v>
      </c>
      <c r="I28" t="s">
        <v>302</v>
      </c>
      <c r="J28" t="s">
        <v>37</v>
      </c>
      <c r="K28">
        <v>10090</v>
      </c>
      <c r="L28" s="3" t="str">
        <f>HYPERLINK("http://www.uniprot.org/uniprot/P52480", "P52480")</f>
        <v>P52480</v>
      </c>
      <c r="M28" t="s">
        <v>303</v>
      </c>
      <c r="N28" t="str">
        <f>"Pkm"</f>
        <v>Pkm</v>
      </c>
      <c r="O28" s="3" t="str">
        <f>HYPERLINK("http://www.informatics.jax.org/marker/MGI:97591", "MGI:97591")</f>
        <v>MGI:97591</v>
      </c>
      <c r="P28" t="s">
        <v>304</v>
      </c>
      <c r="Q28" t="s">
        <v>305</v>
      </c>
      <c r="R28" t="s">
        <v>40</v>
      </c>
      <c r="S28" t="s">
        <v>41</v>
      </c>
      <c r="T28" t="s">
        <v>32</v>
      </c>
      <c r="U28" t="s">
        <v>32</v>
      </c>
      <c r="V28" t="s">
        <v>32</v>
      </c>
      <c r="W28" t="s">
        <v>306</v>
      </c>
      <c r="X28" t="s">
        <v>307</v>
      </c>
      <c r="Y28" t="s">
        <v>308</v>
      </c>
      <c r="Z28" t="s">
        <v>32</v>
      </c>
      <c r="AA28" t="s">
        <v>309</v>
      </c>
      <c r="AB28" t="s">
        <v>310</v>
      </c>
      <c r="AC28" t="s">
        <v>311</v>
      </c>
      <c r="AD28" t="s">
        <v>312</v>
      </c>
      <c r="AE28" t="s">
        <v>313</v>
      </c>
      <c r="AF28" t="s">
        <v>46835</v>
      </c>
    </row>
    <row r="29" spans="1:32" x14ac:dyDescent="0.2">
      <c r="A29">
        <v>24</v>
      </c>
      <c r="B29" t="s">
        <v>314</v>
      </c>
      <c r="C29" t="s">
        <v>315</v>
      </c>
      <c r="D29" t="s">
        <v>316</v>
      </c>
      <c r="E29" t="s">
        <v>317</v>
      </c>
      <c r="F29" t="s">
        <v>318</v>
      </c>
      <c r="G29" t="s">
        <v>319</v>
      </c>
      <c r="H29" t="str">
        <f>"Gapdh"</f>
        <v>Gapdh</v>
      </c>
      <c r="I29" t="s">
        <v>320</v>
      </c>
      <c r="J29" t="s">
        <v>37</v>
      </c>
      <c r="K29">
        <v>10090</v>
      </c>
      <c r="L29" s="3" t="str">
        <f>HYPERLINK("http://www.uniprot.org/uniprot/P16858", "P16858")</f>
        <v>P16858</v>
      </c>
      <c r="M29" t="s">
        <v>321</v>
      </c>
      <c r="N29" t="str">
        <f>"Gapdh"</f>
        <v>Gapdh</v>
      </c>
      <c r="O29" s="3" t="str">
        <f>HYPERLINK("http://www.informatics.jax.org/marker/MGI:95640", "MGI:95640")</f>
        <v>MGI:95640</v>
      </c>
      <c r="P29" t="s">
        <v>322</v>
      </c>
      <c r="Q29" t="s">
        <v>323</v>
      </c>
      <c r="R29" t="s">
        <v>324</v>
      </c>
      <c r="S29" t="s">
        <v>32</v>
      </c>
      <c r="T29" t="s">
        <v>32</v>
      </c>
      <c r="U29" t="s">
        <v>32</v>
      </c>
      <c r="V29" t="s">
        <v>32</v>
      </c>
      <c r="W29" t="s">
        <v>325</v>
      </c>
      <c r="X29" t="s">
        <v>326</v>
      </c>
      <c r="Y29" t="s">
        <v>327</v>
      </c>
      <c r="Z29" t="s">
        <v>126</v>
      </c>
      <c r="AA29" t="s">
        <v>328</v>
      </c>
      <c r="AB29" t="s">
        <v>329</v>
      </c>
      <c r="AC29" t="s">
        <v>330</v>
      </c>
      <c r="AD29" t="s">
        <v>331</v>
      </c>
      <c r="AE29" t="s">
        <v>230</v>
      </c>
      <c r="AF29" t="s">
        <v>46835</v>
      </c>
    </row>
    <row r="30" spans="1:32" x14ac:dyDescent="0.2">
      <c r="A30">
        <v>25</v>
      </c>
      <c r="B30" t="s">
        <v>332</v>
      </c>
      <c r="C30" t="s">
        <v>333</v>
      </c>
      <c r="D30" t="s">
        <v>334</v>
      </c>
      <c r="E30" t="s">
        <v>335</v>
      </c>
      <c r="F30" t="s">
        <v>336</v>
      </c>
      <c r="G30" t="s">
        <v>337</v>
      </c>
      <c r="H30" t="str">
        <f>"Tuba4a"</f>
        <v>Tuba4a</v>
      </c>
      <c r="I30" t="s">
        <v>338</v>
      </c>
      <c r="J30" t="s">
        <v>37</v>
      </c>
      <c r="K30">
        <v>10090</v>
      </c>
      <c r="L30" s="3" t="str">
        <f>HYPERLINK("http://www.uniprot.org/uniprot/P68368", "P68368")</f>
        <v>P68368</v>
      </c>
      <c r="M30" t="s">
        <v>339</v>
      </c>
      <c r="N30" t="str">
        <f>"Tuba4a"</f>
        <v>Tuba4a</v>
      </c>
      <c r="O30" s="3" t="str">
        <f>HYPERLINK("http://www.informatics.jax.org/marker/MGI:1095410", "MGI:1095410")</f>
        <v>MGI:1095410</v>
      </c>
      <c r="P30" t="s">
        <v>340</v>
      </c>
      <c r="Q30" t="s">
        <v>32</v>
      </c>
      <c r="R30" t="s">
        <v>341</v>
      </c>
      <c r="S30" t="s">
        <v>32</v>
      </c>
      <c r="T30" t="s">
        <v>32</v>
      </c>
      <c r="U30" t="s">
        <v>32</v>
      </c>
      <c r="V30" t="s">
        <v>32</v>
      </c>
      <c r="W30" t="s">
        <v>342</v>
      </c>
      <c r="X30" t="s">
        <v>343</v>
      </c>
      <c r="Y30" t="s">
        <v>344</v>
      </c>
      <c r="Z30" t="s">
        <v>32</v>
      </c>
      <c r="AA30" t="s">
        <v>345</v>
      </c>
      <c r="AB30" t="s">
        <v>346</v>
      </c>
      <c r="AC30" t="s">
        <v>347</v>
      </c>
      <c r="AD30" t="s">
        <v>32</v>
      </c>
      <c r="AE30" t="s">
        <v>348</v>
      </c>
      <c r="AF30" t="s">
        <v>46835</v>
      </c>
    </row>
    <row r="31" spans="1:32" x14ac:dyDescent="0.2">
      <c r="A31">
        <v>26</v>
      </c>
      <c r="B31" t="s">
        <v>349</v>
      </c>
      <c r="C31" t="s">
        <v>350</v>
      </c>
      <c r="D31" t="s">
        <v>32</v>
      </c>
      <c r="E31" t="s">
        <v>351</v>
      </c>
      <c r="F31" t="s">
        <v>352</v>
      </c>
      <c r="G31" t="s">
        <v>353</v>
      </c>
      <c r="H31" t="str">
        <f>"H4c1"</f>
        <v>H4c1</v>
      </c>
      <c r="I31" t="s">
        <v>354</v>
      </c>
      <c r="J31" t="s">
        <v>37</v>
      </c>
      <c r="K31">
        <v>10090</v>
      </c>
      <c r="L31" s="3" t="str">
        <f>HYPERLINK("http://www.uniprot.org/uniprot/P62806", "P62806")</f>
        <v>P62806</v>
      </c>
      <c r="M31" t="s">
        <v>355</v>
      </c>
      <c r="N31" t="str">
        <f>"H4c1"</f>
        <v>H4c1</v>
      </c>
      <c r="O31" s="3" t="str">
        <f>HYPERLINK("http://www.informatics.jax.org/marker/MGI:2448419", "MGI:2448419")</f>
        <v>MGI:2448419</v>
      </c>
      <c r="P31" t="s">
        <v>356</v>
      </c>
      <c r="Q31" t="s">
        <v>32</v>
      </c>
      <c r="R31" t="s">
        <v>246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247</v>
      </c>
      <c r="Y31" t="s">
        <v>357</v>
      </c>
      <c r="Z31" t="s">
        <v>126</v>
      </c>
      <c r="AA31" t="s">
        <v>358</v>
      </c>
      <c r="AB31" t="s">
        <v>359</v>
      </c>
      <c r="AC31" t="s">
        <v>360</v>
      </c>
      <c r="AD31" t="s">
        <v>32</v>
      </c>
      <c r="AE31" t="s">
        <v>361</v>
      </c>
      <c r="AF31" t="s">
        <v>46835</v>
      </c>
    </row>
    <row r="32" spans="1:32" x14ac:dyDescent="0.2">
      <c r="A32">
        <v>27</v>
      </c>
      <c r="B32" t="s">
        <v>362</v>
      </c>
      <c r="C32" t="s">
        <v>363</v>
      </c>
      <c r="D32" t="s">
        <v>364</v>
      </c>
      <c r="E32" t="s">
        <v>365</v>
      </c>
      <c r="F32" t="s">
        <v>366</v>
      </c>
      <c r="G32" t="s">
        <v>367</v>
      </c>
      <c r="H32" t="str">
        <f>"Sptbn1"</f>
        <v>Sptbn1</v>
      </c>
      <c r="I32" t="s">
        <v>368</v>
      </c>
      <c r="J32" t="s">
        <v>37</v>
      </c>
      <c r="K32">
        <v>10090</v>
      </c>
      <c r="L32" s="3" t="str">
        <f>HYPERLINK("http://www.uniprot.org/uniprot/Q62261", "Q62261")</f>
        <v>Q62261</v>
      </c>
      <c r="M32" t="s">
        <v>369</v>
      </c>
      <c r="N32" t="str">
        <f>"Sptbn1"</f>
        <v>Sptbn1</v>
      </c>
      <c r="O32" s="3" t="str">
        <f>HYPERLINK("http://www.informatics.jax.org/marker/MGI:98388", "MGI:98388")</f>
        <v>MGI:98388</v>
      </c>
      <c r="P32" t="s">
        <v>370</v>
      </c>
      <c r="Q32" t="s">
        <v>32</v>
      </c>
      <c r="R32" t="s">
        <v>371</v>
      </c>
      <c r="S32" t="s">
        <v>41</v>
      </c>
      <c r="T32" t="s">
        <v>32</v>
      </c>
      <c r="U32" t="s">
        <v>32</v>
      </c>
      <c r="V32" t="s">
        <v>55</v>
      </c>
      <c r="W32" t="s">
        <v>32</v>
      </c>
      <c r="X32" t="s">
        <v>189</v>
      </c>
      <c r="Y32" t="s">
        <v>372</v>
      </c>
      <c r="Z32" t="s">
        <v>126</v>
      </c>
      <c r="AA32" t="s">
        <v>373</v>
      </c>
      <c r="AB32" t="s">
        <v>374</v>
      </c>
      <c r="AC32" t="s">
        <v>375</v>
      </c>
      <c r="AD32" t="s">
        <v>32</v>
      </c>
      <c r="AE32" t="s">
        <v>376</v>
      </c>
      <c r="AF32" t="s">
        <v>46835</v>
      </c>
    </row>
    <row r="33" spans="1:32" x14ac:dyDescent="0.2">
      <c r="A33">
        <v>28</v>
      </c>
      <c r="B33" t="s">
        <v>377</v>
      </c>
      <c r="C33" t="s">
        <v>378</v>
      </c>
      <c r="D33" t="s">
        <v>379</v>
      </c>
      <c r="E33" t="s">
        <v>380</v>
      </c>
      <c r="F33" t="s">
        <v>381</v>
      </c>
      <c r="G33" t="s">
        <v>382</v>
      </c>
      <c r="H33" t="str">
        <f>"Hsp90ab1"</f>
        <v>Hsp90ab1</v>
      </c>
      <c r="I33" t="s">
        <v>383</v>
      </c>
      <c r="J33" t="s">
        <v>37</v>
      </c>
      <c r="K33">
        <v>10090</v>
      </c>
      <c r="L33" s="3" t="str">
        <f>HYPERLINK("http://www.uniprot.org/uniprot/P11499", "P11499")</f>
        <v>P11499</v>
      </c>
      <c r="M33" t="s">
        <v>384</v>
      </c>
      <c r="N33" t="str">
        <f>"Hsp90ab1"</f>
        <v>Hsp90ab1</v>
      </c>
      <c r="O33" s="3" t="str">
        <f>HYPERLINK("http://www.informatics.jax.org/marker/MGI:96247", "MGI:96247")</f>
        <v>MGI:96247</v>
      </c>
      <c r="P33" t="s">
        <v>385</v>
      </c>
      <c r="Q33" t="s">
        <v>386</v>
      </c>
      <c r="R33" t="s">
        <v>387</v>
      </c>
      <c r="S33" t="s">
        <v>32</v>
      </c>
      <c r="T33" t="s">
        <v>32</v>
      </c>
      <c r="U33" t="s">
        <v>32</v>
      </c>
      <c r="V33" t="s">
        <v>32</v>
      </c>
      <c r="W33" t="s">
        <v>205</v>
      </c>
      <c r="X33" t="s">
        <v>388</v>
      </c>
      <c r="Y33" t="s">
        <v>389</v>
      </c>
      <c r="Z33" t="s">
        <v>32</v>
      </c>
      <c r="AA33" t="s">
        <v>390</v>
      </c>
      <c r="AB33" t="s">
        <v>391</v>
      </c>
      <c r="AC33" t="s">
        <v>392</v>
      </c>
      <c r="AD33" t="s">
        <v>32</v>
      </c>
      <c r="AE33" t="s">
        <v>393</v>
      </c>
      <c r="AF33" t="s">
        <v>46835</v>
      </c>
    </row>
    <row r="34" spans="1:32" x14ac:dyDescent="0.2">
      <c r="A34">
        <v>29</v>
      </c>
      <c r="B34" t="s">
        <v>394</v>
      </c>
      <c r="C34" t="s">
        <v>395</v>
      </c>
      <c r="D34" t="s">
        <v>396</v>
      </c>
      <c r="E34" t="s">
        <v>397</v>
      </c>
      <c r="F34" t="s">
        <v>398</v>
      </c>
      <c r="G34" t="s">
        <v>399</v>
      </c>
      <c r="H34" t="str">
        <f>"Plec"</f>
        <v>Plec</v>
      </c>
      <c r="I34" t="s">
        <v>400</v>
      </c>
      <c r="J34" t="s">
        <v>37</v>
      </c>
      <c r="K34">
        <v>10090</v>
      </c>
      <c r="L34" s="3" t="str">
        <f>HYPERLINK("http://www.uniprot.org/uniprot/Q9QXS1", "Q9QXS1")</f>
        <v>Q9QXS1</v>
      </c>
      <c r="M34" t="s">
        <v>401</v>
      </c>
      <c r="N34" t="str">
        <f>"Plec"</f>
        <v>Plec</v>
      </c>
      <c r="O34" s="3" t="str">
        <f>HYPERLINK("http://www.informatics.jax.org/marker/MGI:1277961", "MGI:1277961")</f>
        <v>MGI:1277961</v>
      </c>
      <c r="P34" t="s">
        <v>402</v>
      </c>
      <c r="Q34" t="s">
        <v>32</v>
      </c>
      <c r="R34" t="s">
        <v>403</v>
      </c>
      <c r="S34" t="s">
        <v>41</v>
      </c>
      <c r="T34" t="s">
        <v>32</v>
      </c>
      <c r="U34" t="s">
        <v>32</v>
      </c>
      <c r="V34" t="s">
        <v>404</v>
      </c>
      <c r="W34" t="s">
        <v>32</v>
      </c>
      <c r="X34" t="s">
        <v>405</v>
      </c>
      <c r="Y34" t="s">
        <v>97</v>
      </c>
      <c r="Z34" t="s">
        <v>126</v>
      </c>
      <c r="AA34" t="s">
        <v>406</v>
      </c>
      <c r="AB34" t="s">
        <v>407</v>
      </c>
      <c r="AC34" t="s">
        <v>408</v>
      </c>
      <c r="AD34" t="s">
        <v>32</v>
      </c>
      <c r="AE34" t="s">
        <v>409</v>
      </c>
      <c r="AF34" t="s">
        <v>46835</v>
      </c>
    </row>
    <row r="35" spans="1:32" x14ac:dyDescent="0.2">
      <c r="A35">
        <v>30</v>
      </c>
      <c r="B35" t="s">
        <v>410</v>
      </c>
      <c r="C35" t="s">
        <v>411</v>
      </c>
      <c r="D35" t="s">
        <v>32</v>
      </c>
      <c r="E35" t="s">
        <v>412</v>
      </c>
      <c r="F35" t="s">
        <v>413</v>
      </c>
      <c r="G35" t="s">
        <v>414</v>
      </c>
      <c r="H35" t="str">
        <f>"Pgk1"</f>
        <v>Pgk1</v>
      </c>
      <c r="I35" t="s">
        <v>415</v>
      </c>
      <c r="J35" t="s">
        <v>37</v>
      </c>
      <c r="K35">
        <v>10090</v>
      </c>
      <c r="L35" s="3" t="str">
        <f>HYPERLINK("http://www.uniprot.org/uniprot/P09411", "P09411")</f>
        <v>P09411</v>
      </c>
      <c r="M35" t="s">
        <v>416</v>
      </c>
      <c r="N35" t="str">
        <f>"Pgk1"</f>
        <v>Pgk1</v>
      </c>
      <c r="O35" s="3" t="str">
        <f>HYPERLINK("http://www.informatics.jax.org/marker/MGI:97555", "MGI:97555")</f>
        <v>MGI:97555</v>
      </c>
      <c r="P35" t="s">
        <v>417</v>
      </c>
      <c r="Q35" t="s">
        <v>221</v>
      </c>
      <c r="R35" t="s">
        <v>418</v>
      </c>
      <c r="S35" t="s">
        <v>32</v>
      </c>
      <c r="T35" t="s">
        <v>32</v>
      </c>
      <c r="U35" t="s">
        <v>32</v>
      </c>
      <c r="V35" t="s">
        <v>32</v>
      </c>
      <c r="W35" t="s">
        <v>205</v>
      </c>
      <c r="X35" t="s">
        <v>419</v>
      </c>
      <c r="Y35" t="s">
        <v>420</v>
      </c>
      <c r="Z35" t="s">
        <v>126</v>
      </c>
      <c r="AA35" t="s">
        <v>421</v>
      </c>
      <c r="AB35" t="s">
        <v>422</v>
      </c>
      <c r="AC35" t="s">
        <v>423</v>
      </c>
      <c r="AD35" t="s">
        <v>424</v>
      </c>
      <c r="AE35" t="s">
        <v>230</v>
      </c>
      <c r="AF35" t="s">
        <v>46835</v>
      </c>
    </row>
    <row r="36" spans="1:32" x14ac:dyDescent="0.2">
      <c r="A36">
        <v>31</v>
      </c>
      <c r="B36" t="s">
        <v>425</v>
      </c>
      <c r="C36" t="s">
        <v>426</v>
      </c>
      <c r="D36" t="s">
        <v>427</v>
      </c>
      <c r="E36" t="s">
        <v>428</v>
      </c>
      <c r="F36" t="s">
        <v>429</v>
      </c>
      <c r="G36" t="s">
        <v>430</v>
      </c>
      <c r="H36" t="str">
        <f>"Ipo5"</f>
        <v>Ipo5</v>
      </c>
      <c r="I36" t="s">
        <v>431</v>
      </c>
      <c r="J36" t="s">
        <v>37</v>
      </c>
      <c r="K36">
        <v>10090</v>
      </c>
      <c r="L36" s="3" t="str">
        <f>HYPERLINK("http://www.uniprot.org/uniprot/Q8BKC5", "Q8BKC5")</f>
        <v>Q8BKC5</v>
      </c>
      <c r="M36" t="s">
        <v>432</v>
      </c>
      <c r="N36" t="str">
        <f>"Ipo5"</f>
        <v>Ipo5</v>
      </c>
      <c r="O36" s="3" t="str">
        <f>HYPERLINK("http://www.informatics.jax.org/marker/MGI:1917822", "MGI:1917822")</f>
        <v>MGI:1917822</v>
      </c>
      <c r="P36" t="s">
        <v>433</v>
      </c>
      <c r="Q36" t="s">
        <v>434</v>
      </c>
      <c r="R36" t="s">
        <v>40</v>
      </c>
      <c r="S36" t="s">
        <v>41</v>
      </c>
      <c r="T36" t="s">
        <v>32</v>
      </c>
      <c r="U36" t="s">
        <v>32</v>
      </c>
      <c r="V36" t="s">
        <v>55</v>
      </c>
      <c r="W36" t="s">
        <v>32</v>
      </c>
      <c r="X36" t="s">
        <v>32</v>
      </c>
      <c r="Y36" t="s">
        <v>157</v>
      </c>
      <c r="Z36" t="s">
        <v>32</v>
      </c>
      <c r="AA36" t="s">
        <v>435</v>
      </c>
      <c r="AB36" t="s">
        <v>110</v>
      </c>
      <c r="AC36" t="s">
        <v>436</v>
      </c>
      <c r="AD36" t="s">
        <v>32</v>
      </c>
      <c r="AE36" t="s">
        <v>32</v>
      </c>
      <c r="AF36" t="s">
        <v>46835</v>
      </c>
    </row>
    <row r="37" spans="1:32" x14ac:dyDescent="0.2">
      <c r="A37">
        <v>32</v>
      </c>
      <c r="B37" t="s">
        <v>437</v>
      </c>
      <c r="C37" t="s">
        <v>438</v>
      </c>
      <c r="D37" t="s">
        <v>439</v>
      </c>
      <c r="E37" t="s">
        <v>440</v>
      </c>
      <c r="F37" t="s">
        <v>441</v>
      </c>
      <c r="G37" t="s">
        <v>442</v>
      </c>
      <c r="H37" t="str">
        <f>"Rps27a"</f>
        <v>Rps27a</v>
      </c>
      <c r="I37" t="s">
        <v>443</v>
      </c>
      <c r="J37" t="s">
        <v>37</v>
      </c>
      <c r="K37">
        <v>10090</v>
      </c>
      <c r="L37" s="3" t="str">
        <f>HYPERLINK("http://www.uniprot.org/uniprot/P62983", "P62983")</f>
        <v>P62983</v>
      </c>
      <c r="M37" t="s">
        <v>444</v>
      </c>
      <c r="N37" t="str">
        <f>"Rps27a"</f>
        <v>Rps27a</v>
      </c>
      <c r="O37" s="3" t="str">
        <f>HYPERLINK("http://www.informatics.jax.org/marker/MGI:1925544", "MGI:1925544")</f>
        <v>MGI:1925544</v>
      </c>
      <c r="P37" t="s">
        <v>445</v>
      </c>
      <c r="Q37" t="s">
        <v>32</v>
      </c>
      <c r="R37" t="s">
        <v>40</v>
      </c>
      <c r="S37" t="s">
        <v>32</v>
      </c>
      <c r="T37" t="s">
        <v>32</v>
      </c>
      <c r="U37" t="s">
        <v>32</v>
      </c>
      <c r="V37" t="s">
        <v>446</v>
      </c>
      <c r="W37" t="s">
        <v>42</v>
      </c>
      <c r="X37" t="s">
        <v>447</v>
      </c>
      <c r="Y37" t="s">
        <v>448</v>
      </c>
      <c r="Z37" t="s">
        <v>126</v>
      </c>
      <c r="AA37" t="s">
        <v>449</v>
      </c>
      <c r="AB37" t="s">
        <v>450</v>
      </c>
      <c r="AC37" t="s">
        <v>451</v>
      </c>
      <c r="AD37" t="s">
        <v>32</v>
      </c>
      <c r="AE37" t="s">
        <v>452</v>
      </c>
      <c r="AF37" t="s">
        <v>46835</v>
      </c>
    </row>
    <row r="38" spans="1:32" x14ac:dyDescent="0.2">
      <c r="A38">
        <v>33</v>
      </c>
      <c r="B38" t="s">
        <v>453</v>
      </c>
      <c r="C38" t="s">
        <v>454</v>
      </c>
      <c r="D38" t="s">
        <v>455</v>
      </c>
      <c r="E38" t="s">
        <v>456</v>
      </c>
      <c r="F38" t="s">
        <v>457</v>
      </c>
      <c r="G38" t="s">
        <v>458</v>
      </c>
      <c r="H38" t="str">
        <f>"Eef1g"</f>
        <v>Eef1g</v>
      </c>
      <c r="I38" t="s">
        <v>32</v>
      </c>
      <c r="J38" t="s">
        <v>37</v>
      </c>
      <c r="K38">
        <v>10090</v>
      </c>
      <c r="L38" s="3" t="str">
        <f>HYPERLINK("http://www.uniprot.org/uniprot/Q9D8N0", "Q9D8N0")</f>
        <v>Q9D8N0</v>
      </c>
      <c r="M38" t="s">
        <v>459</v>
      </c>
      <c r="N38" t="str">
        <f>"Eef1g"</f>
        <v>Eef1g</v>
      </c>
      <c r="O38" s="3" t="str">
        <f>HYPERLINK("http://www.informatics.jax.org/marker/MGI:1914410", "MGI:1914410")</f>
        <v>MGI:1914410</v>
      </c>
      <c r="P38" t="s">
        <v>460</v>
      </c>
      <c r="Q38" t="s">
        <v>260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262</v>
      </c>
      <c r="Y38" t="s">
        <v>461</v>
      </c>
      <c r="Z38" t="s">
        <v>32</v>
      </c>
      <c r="AA38" t="s">
        <v>462</v>
      </c>
      <c r="AB38" t="s">
        <v>463</v>
      </c>
      <c r="AC38" t="s">
        <v>464</v>
      </c>
      <c r="AD38" t="s">
        <v>32</v>
      </c>
      <c r="AE38" t="s">
        <v>465</v>
      </c>
      <c r="AF38" t="s">
        <v>46835</v>
      </c>
    </row>
    <row r="39" spans="1:32" x14ac:dyDescent="0.2">
      <c r="A39">
        <v>34</v>
      </c>
      <c r="B39" t="s">
        <v>466</v>
      </c>
      <c r="C39" t="s">
        <v>467</v>
      </c>
      <c r="D39" t="s">
        <v>468</v>
      </c>
      <c r="E39" t="s">
        <v>469</v>
      </c>
      <c r="F39" t="s">
        <v>470</v>
      </c>
      <c r="G39" t="s">
        <v>471</v>
      </c>
      <c r="H39" t="str">
        <f>"Gsn"</f>
        <v>Gsn</v>
      </c>
      <c r="I39" t="s">
        <v>472</v>
      </c>
      <c r="J39" t="s">
        <v>37</v>
      </c>
      <c r="K39">
        <v>10090</v>
      </c>
      <c r="L39" s="3" t="str">
        <f>HYPERLINK("http://www.uniprot.org/uniprot/P13020", "P13020")</f>
        <v>P13020</v>
      </c>
      <c r="M39" t="s">
        <v>473</v>
      </c>
      <c r="N39" t="str">
        <f>"Gsn"</f>
        <v>Gsn</v>
      </c>
      <c r="O39" s="3" t="str">
        <f>HYPERLINK("http://www.informatics.jax.org/marker/MGI:95851", "MGI:95851")</f>
        <v>MGI:95851</v>
      </c>
      <c r="P39" t="s">
        <v>474</v>
      </c>
      <c r="Q39" t="s">
        <v>475</v>
      </c>
      <c r="R39" t="s">
        <v>476</v>
      </c>
      <c r="S39" t="s">
        <v>477</v>
      </c>
      <c r="T39" t="s">
        <v>32</v>
      </c>
      <c r="U39" t="s">
        <v>32</v>
      </c>
      <c r="V39" t="s">
        <v>478</v>
      </c>
      <c r="W39" t="s">
        <v>188</v>
      </c>
      <c r="X39" t="s">
        <v>479</v>
      </c>
      <c r="Y39" t="s">
        <v>480</v>
      </c>
      <c r="Z39" t="s">
        <v>126</v>
      </c>
      <c r="AA39" t="s">
        <v>481</v>
      </c>
      <c r="AB39" t="s">
        <v>482</v>
      </c>
      <c r="AC39" t="s">
        <v>483</v>
      </c>
      <c r="AD39" t="s">
        <v>32</v>
      </c>
      <c r="AE39" t="s">
        <v>484</v>
      </c>
      <c r="AF39" t="s">
        <v>46835</v>
      </c>
    </row>
    <row r="40" spans="1:32" x14ac:dyDescent="0.2">
      <c r="A40">
        <v>35</v>
      </c>
      <c r="B40" t="s">
        <v>485</v>
      </c>
      <c r="C40" t="s">
        <v>486</v>
      </c>
      <c r="D40" t="s">
        <v>487</v>
      </c>
      <c r="E40" t="s">
        <v>488</v>
      </c>
      <c r="F40" t="s">
        <v>489</v>
      </c>
      <c r="G40" t="s">
        <v>32</v>
      </c>
      <c r="H40" t="str">
        <f>"Gja8"</f>
        <v>Gja8</v>
      </c>
      <c r="I40" t="s">
        <v>32</v>
      </c>
      <c r="J40" t="s">
        <v>37</v>
      </c>
      <c r="K40">
        <v>10090</v>
      </c>
      <c r="L40" s="3" t="str">
        <f>HYPERLINK("http://www.uniprot.org/uniprot/P28236", "P28236")</f>
        <v>P28236</v>
      </c>
      <c r="M40" t="s">
        <v>490</v>
      </c>
      <c r="N40" t="str">
        <f>"Gja8"</f>
        <v>Gja8</v>
      </c>
      <c r="O40" s="3" t="str">
        <f>HYPERLINK("http://www.informatics.jax.org/marker/MGI:99953", "MGI:99953")</f>
        <v>MGI:99953</v>
      </c>
      <c r="P40" t="s">
        <v>491</v>
      </c>
      <c r="Q40" t="s">
        <v>32</v>
      </c>
      <c r="R40" t="s">
        <v>492</v>
      </c>
      <c r="S40" t="s">
        <v>32</v>
      </c>
      <c r="T40" t="s">
        <v>32</v>
      </c>
      <c r="U40" t="s">
        <v>32</v>
      </c>
      <c r="V40" t="s">
        <v>493</v>
      </c>
      <c r="W40" t="s">
        <v>32</v>
      </c>
      <c r="X40" t="s">
        <v>32</v>
      </c>
      <c r="Y40" t="s">
        <v>494</v>
      </c>
      <c r="Z40" t="s">
        <v>32</v>
      </c>
      <c r="AA40" t="s">
        <v>495</v>
      </c>
      <c r="AB40" t="s">
        <v>496</v>
      </c>
      <c r="AC40" t="s">
        <v>497</v>
      </c>
      <c r="AD40" t="s">
        <v>32</v>
      </c>
      <c r="AE40" t="s">
        <v>498</v>
      </c>
      <c r="AF40" t="s">
        <v>46835</v>
      </c>
    </row>
    <row r="41" spans="1:32" x14ac:dyDescent="0.2">
      <c r="A41">
        <v>36</v>
      </c>
      <c r="B41" t="s">
        <v>499</v>
      </c>
      <c r="C41" t="s">
        <v>500</v>
      </c>
      <c r="D41" t="s">
        <v>501</v>
      </c>
      <c r="E41" t="s">
        <v>502</v>
      </c>
      <c r="F41" t="s">
        <v>503</v>
      </c>
      <c r="G41" t="s">
        <v>504</v>
      </c>
      <c r="H41" t="str">
        <f>"Crygn"</f>
        <v>Crygn</v>
      </c>
      <c r="I41" t="s">
        <v>32</v>
      </c>
      <c r="J41" t="s">
        <v>37</v>
      </c>
      <c r="K41">
        <v>10090</v>
      </c>
      <c r="L41" s="3" t="str">
        <f>HYPERLINK("http://www.uniprot.org/uniprot/Q8VHL5", "Q8VHL5")</f>
        <v>Q8VHL5</v>
      </c>
      <c r="M41" t="s">
        <v>505</v>
      </c>
      <c r="N41" t="str">
        <f>"Crygn"</f>
        <v>Crygn</v>
      </c>
      <c r="O41" s="3" t="str">
        <f>HYPERLINK("http://www.informatics.jax.org/marker/MGI:2449167", "MGI:2449167")</f>
        <v>MGI:2449167</v>
      </c>
      <c r="P41" t="s">
        <v>85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55</v>
      </c>
      <c r="W41" t="s">
        <v>32</v>
      </c>
      <c r="X41" t="s">
        <v>56</v>
      </c>
      <c r="Y41" t="s">
        <v>32</v>
      </c>
      <c r="Z41" t="s">
        <v>32</v>
      </c>
      <c r="AA41" t="s">
        <v>58</v>
      </c>
      <c r="AB41" t="s">
        <v>32</v>
      </c>
      <c r="AC41" t="s">
        <v>59</v>
      </c>
      <c r="AD41" t="s">
        <v>32</v>
      </c>
      <c r="AE41" t="s">
        <v>32</v>
      </c>
      <c r="AF41" t="s">
        <v>46835</v>
      </c>
    </row>
    <row r="42" spans="1:32" x14ac:dyDescent="0.2">
      <c r="A42">
        <v>37</v>
      </c>
      <c r="B42" t="s">
        <v>506</v>
      </c>
      <c r="C42" t="s">
        <v>507</v>
      </c>
      <c r="D42" t="s">
        <v>508</v>
      </c>
      <c r="E42" t="s">
        <v>509</v>
      </c>
      <c r="F42" t="s">
        <v>510</v>
      </c>
      <c r="G42" t="s">
        <v>511</v>
      </c>
      <c r="H42" t="str">
        <f>"Tkt"</f>
        <v>Tkt</v>
      </c>
      <c r="I42" t="s">
        <v>32</v>
      </c>
      <c r="J42" t="s">
        <v>37</v>
      </c>
      <c r="K42">
        <v>10090</v>
      </c>
      <c r="L42" s="3" t="str">
        <f>HYPERLINK("http://www.uniprot.org/uniprot/P40142", "P40142")</f>
        <v>P40142</v>
      </c>
      <c r="M42" t="s">
        <v>512</v>
      </c>
      <c r="N42" t="str">
        <f>"Tkt"</f>
        <v>Tkt</v>
      </c>
      <c r="O42" s="3" t="str">
        <f>HYPERLINK("http://www.informatics.jax.org/marker/MGI:105992", "MGI:105992")</f>
        <v>MGI:105992</v>
      </c>
      <c r="P42" t="s">
        <v>513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514</v>
      </c>
      <c r="X42" t="s">
        <v>515</v>
      </c>
      <c r="Y42" t="s">
        <v>516</v>
      </c>
      <c r="Z42" t="s">
        <v>32</v>
      </c>
      <c r="AA42" t="s">
        <v>517</v>
      </c>
      <c r="AB42" t="s">
        <v>518</v>
      </c>
      <c r="AC42" t="s">
        <v>519</v>
      </c>
      <c r="AD42" t="s">
        <v>32</v>
      </c>
      <c r="AE42" t="s">
        <v>520</v>
      </c>
      <c r="AF42" t="s">
        <v>46835</v>
      </c>
    </row>
    <row r="43" spans="1:32" x14ac:dyDescent="0.2">
      <c r="A43">
        <v>38</v>
      </c>
      <c r="B43" t="s">
        <v>521</v>
      </c>
      <c r="C43" t="s">
        <v>522</v>
      </c>
      <c r="D43" t="s">
        <v>523</v>
      </c>
      <c r="E43" t="s">
        <v>524</v>
      </c>
      <c r="F43" t="s">
        <v>525</v>
      </c>
      <c r="G43" t="s">
        <v>526</v>
      </c>
      <c r="H43" t="str">
        <f>"Pfn1"</f>
        <v>Pfn1</v>
      </c>
      <c r="I43" t="s">
        <v>32</v>
      </c>
      <c r="J43" t="s">
        <v>37</v>
      </c>
      <c r="K43">
        <v>10090</v>
      </c>
      <c r="L43" s="3" t="str">
        <f>HYPERLINK("http://www.uniprot.org/uniprot/P62962", "P62962")</f>
        <v>P62962</v>
      </c>
      <c r="M43" t="s">
        <v>527</v>
      </c>
      <c r="N43" t="str">
        <f>"Pfn1"</f>
        <v>Pfn1</v>
      </c>
      <c r="O43" s="3" t="str">
        <f>HYPERLINK("http://www.informatics.jax.org/marker/MGI:97549", "MGI:97549")</f>
        <v>MGI:97549</v>
      </c>
      <c r="P43" t="s">
        <v>528</v>
      </c>
      <c r="Q43" t="s">
        <v>32</v>
      </c>
      <c r="R43" t="s">
        <v>186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405</v>
      </c>
      <c r="Y43" t="s">
        <v>516</v>
      </c>
      <c r="Z43" t="s">
        <v>32</v>
      </c>
      <c r="AA43" t="s">
        <v>529</v>
      </c>
      <c r="AB43" t="s">
        <v>530</v>
      </c>
      <c r="AC43" t="s">
        <v>531</v>
      </c>
      <c r="AD43" t="s">
        <v>32</v>
      </c>
      <c r="AE43" t="s">
        <v>532</v>
      </c>
      <c r="AF43" t="s">
        <v>46835</v>
      </c>
    </row>
    <row r="44" spans="1:32" x14ac:dyDescent="0.2">
      <c r="A44">
        <v>39</v>
      </c>
      <c r="B44" t="s">
        <v>533</v>
      </c>
      <c r="C44" t="s">
        <v>534</v>
      </c>
      <c r="D44" t="s">
        <v>535</v>
      </c>
      <c r="E44" t="s">
        <v>536</v>
      </c>
      <c r="F44" t="s">
        <v>537</v>
      </c>
      <c r="G44" t="s">
        <v>538</v>
      </c>
      <c r="H44" t="str">
        <f>"Ppia"</f>
        <v>Ppia</v>
      </c>
      <c r="I44" t="s">
        <v>32</v>
      </c>
      <c r="J44" t="s">
        <v>37</v>
      </c>
      <c r="K44">
        <v>10090</v>
      </c>
      <c r="L44" s="3" t="str">
        <f>HYPERLINK("http://www.uniprot.org/uniprot/P17742", "P17742")</f>
        <v>P17742</v>
      </c>
      <c r="M44" t="s">
        <v>539</v>
      </c>
      <c r="N44" t="str">
        <f>"Ppia"</f>
        <v>Ppia</v>
      </c>
      <c r="O44" s="3" t="str">
        <f>HYPERLINK("http://www.informatics.jax.org/marker/MGI:97749", "MGI:97749")</f>
        <v>MGI:97749</v>
      </c>
      <c r="P44" t="s">
        <v>540</v>
      </c>
      <c r="Q44" t="s">
        <v>541</v>
      </c>
      <c r="R44" t="s">
        <v>542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543</v>
      </c>
      <c r="Y44" t="s">
        <v>544</v>
      </c>
      <c r="Z44" t="s">
        <v>126</v>
      </c>
      <c r="AA44" t="s">
        <v>545</v>
      </c>
      <c r="AB44" t="s">
        <v>546</v>
      </c>
      <c r="AC44" t="s">
        <v>547</v>
      </c>
      <c r="AD44" t="s">
        <v>32</v>
      </c>
      <c r="AE44" t="s">
        <v>548</v>
      </c>
      <c r="AF44" t="s">
        <v>46835</v>
      </c>
    </row>
    <row r="45" spans="1:32" x14ac:dyDescent="0.2">
      <c r="A45">
        <v>40</v>
      </c>
      <c r="B45" t="s">
        <v>549</v>
      </c>
      <c r="C45" t="s">
        <v>550</v>
      </c>
      <c r="D45" t="s">
        <v>551</v>
      </c>
      <c r="E45" t="s">
        <v>552</v>
      </c>
      <c r="F45" t="s">
        <v>553</v>
      </c>
      <c r="G45" t="s">
        <v>554</v>
      </c>
      <c r="H45" t="str">
        <f>"Capn3"</f>
        <v>Capn3</v>
      </c>
      <c r="I45" t="s">
        <v>32</v>
      </c>
      <c r="J45" t="s">
        <v>37</v>
      </c>
      <c r="K45">
        <v>10090</v>
      </c>
      <c r="L45" s="3" t="str">
        <f>HYPERLINK("http://www.uniprot.org/uniprot/Q64691", "Q64691")</f>
        <v>Q64691</v>
      </c>
      <c r="M45" t="s">
        <v>555</v>
      </c>
      <c r="N45" t="str">
        <f>"Capn3"</f>
        <v>Capn3</v>
      </c>
      <c r="O45" s="3" t="str">
        <f>HYPERLINK("http://www.informatics.jax.org/marker/MGI:107437", "MGI:107437")</f>
        <v>MGI:107437</v>
      </c>
      <c r="P45" t="s">
        <v>556</v>
      </c>
      <c r="Q45" t="s">
        <v>32</v>
      </c>
      <c r="R45" t="s">
        <v>40</v>
      </c>
      <c r="S45" t="s">
        <v>41</v>
      </c>
      <c r="T45" t="s">
        <v>32</v>
      </c>
      <c r="U45" t="s">
        <v>32</v>
      </c>
      <c r="V45" t="s">
        <v>55</v>
      </c>
      <c r="W45" t="s">
        <v>188</v>
      </c>
      <c r="X45" t="s">
        <v>557</v>
      </c>
      <c r="Y45" t="s">
        <v>32</v>
      </c>
      <c r="Z45" t="s">
        <v>32</v>
      </c>
      <c r="AA45" t="s">
        <v>558</v>
      </c>
      <c r="AB45" t="s">
        <v>559</v>
      </c>
      <c r="AC45" t="s">
        <v>560</v>
      </c>
      <c r="AD45" t="s">
        <v>32</v>
      </c>
      <c r="AE45" t="s">
        <v>561</v>
      </c>
      <c r="AF45" t="s">
        <v>46835</v>
      </c>
    </row>
    <row r="46" spans="1:32" x14ac:dyDescent="0.2">
      <c r="A46">
        <v>41</v>
      </c>
      <c r="B46" t="s">
        <v>562</v>
      </c>
      <c r="C46" t="s">
        <v>563</v>
      </c>
      <c r="D46" t="s">
        <v>564</v>
      </c>
      <c r="E46" t="s">
        <v>565</v>
      </c>
      <c r="F46" t="s">
        <v>566</v>
      </c>
      <c r="G46" t="s">
        <v>567</v>
      </c>
      <c r="H46" t="str">
        <f>"Actb"</f>
        <v>Actb</v>
      </c>
      <c r="I46" t="s">
        <v>32</v>
      </c>
      <c r="J46" t="s">
        <v>37</v>
      </c>
      <c r="K46">
        <v>10090</v>
      </c>
      <c r="L46" s="3" t="str">
        <f>HYPERLINK("http://www.uniprot.org/uniprot/P60710", "P60710")</f>
        <v>P60710</v>
      </c>
      <c r="M46" t="s">
        <v>568</v>
      </c>
      <c r="N46" t="str">
        <f>"Actb"</f>
        <v>Actb</v>
      </c>
      <c r="O46" s="3" t="str">
        <f>HYPERLINK("http://www.informatics.jax.org/marker/MGI:87904", "MGI:87904")</f>
        <v>MGI:87904</v>
      </c>
      <c r="P46" t="s">
        <v>569</v>
      </c>
      <c r="Q46" t="s">
        <v>32</v>
      </c>
      <c r="R46" t="s">
        <v>324</v>
      </c>
      <c r="S46" t="s">
        <v>32</v>
      </c>
      <c r="T46" t="s">
        <v>32</v>
      </c>
      <c r="U46" t="s">
        <v>32</v>
      </c>
      <c r="V46" t="s">
        <v>32</v>
      </c>
      <c r="W46" t="s">
        <v>205</v>
      </c>
      <c r="X46" t="s">
        <v>343</v>
      </c>
      <c r="Y46" t="s">
        <v>570</v>
      </c>
      <c r="Z46" t="s">
        <v>32</v>
      </c>
      <c r="AA46" t="s">
        <v>571</v>
      </c>
      <c r="AB46" t="s">
        <v>572</v>
      </c>
      <c r="AC46" t="s">
        <v>573</v>
      </c>
      <c r="AD46" t="s">
        <v>32</v>
      </c>
      <c r="AE46" t="s">
        <v>574</v>
      </c>
      <c r="AF46" t="s">
        <v>46835</v>
      </c>
    </row>
    <row r="47" spans="1:32" x14ac:dyDescent="0.2">
      <c r="A47">
        <v>42</v>
      </c>
      <c r="B47" t="s">
        <v>575</v>
      </c>
      <c r="C47" t="s">
        <v>576</v>
      </c>
      <c r="D47" t="s">
        <v>577</v>
      </c>
      <c r="E47" t="s">
        <v>578</v>
      </c>
      <c r="F47" t="s">
        <v>579</v>
      </c>
      <c r="G47" t="s">
        <v>32</v>
      </c>
      <c r="H47" t="str">
        <f>"Fabp5"</f>
        <v>Fabp5</v>
      </c>
      <c r="I47" t="s">
        <v>32</v>
      </c>
      <c r="J47" t="s">
        <v>37</v>
      </c>
      <c r="K47">
        <v>10090</v>
      </c>
      <c r="L47" s="3" t="str">
        <f>HYPERLINK("http://www.uniprot.org/uniprot/Q05816", "Q05816")</f>
        <v>Q05816</v>
      </c>
      <c r="M47" t="s">
        <v>580</v>
      </c>
      <c r="N47" t="str">
        <f>"Fabp5"</f>
        <v>Fabp5</v>
      </c>
      <c r="O47" s="3" t="str">
        <f>HYPERLINK("http://www.informatics.jax.org/marker/MGI:101790", "MGI:101790")</f>
        <v>MGI:101790</v>
      </c>
      <c r="P47" t="s">
        <v>581</v>
      </c>
      <c r="Q47" t="s">
        <v>582</v>
      </c>
      <c r="R47" t="s">
        <v>583</v>
      </c>
      <c r="S47" t="s">
        <v>32</v>
      </c>
      <c r="T47" t="s">
        <v>32</v>
      </c>
      <c r="U47" t="s">
        <v>32</v>
      </c>
      <c r="V47" t="s">
        <v>32</v>
      </c>
      <c r="W47" t="s">
        <v>584</v>
      </c>
      <c r="X47" t="s">
        <v>32</v>
      </c>
      <c r="Y47" t="s">
        <v>480</v>
      </c>
      <c r="Z47" t="s">
        <v>126</v>
      </c>
      <c r="AA47" t="s">
        <v>585</v>
      </c>
      <c r="AB47" t="s">
        <v>586</v>
      </c>
      <c r="AC47" t="s">
        <v>587</v>
      </c>
      <c r="AD47" t="s">
        <v>32</v>
      </c>
      <c r="AE47" t="s">
        <v>588</v>
      </c>
      <c r="AF47" t="s">
        <v>46835</v>
      </c>
    </row>
    <row r="48" spans="1:32" x14ac:dyDescent="0.2">
      <c r="A48">
        <v>43</v>
      </c>
      <c r="B48" t="s">
        <v>589</v>
      </c>
      <c r="C48" t="s">
        <v>590</v>
      </c>
      <c r="D48" t="s">
        <v>591</v>
      </c>
      <c r="E48" t="s">
        <v>592</v>
      </c>
      <c r="F48" t="s">
        <v>593</v>
      </c>
      <c r="G48" t="s">
        <v>594</v>
      </c>
      <c r="H48" t="str">
        <f>"Aldh1a1"</f>
        <v>Aldh1a1</v>
      </c>
      <c r="I48" t="s">
        <v>595</v>
      </c>
      <c r="J48" t="s">
        <v>37</v>
      </c>
      <c r="K48">
        <v>10090</v>
      </c>
      <c r="L48" s="3" t="str">
        <f>HYPERLINK("http://www.uniprot.org/uniprot/P24549", "P24549")</f>
        <v>P24549</v>
      </c>
      <c r="M48" t="s">
        <v>596</v>
      </c>
      <c r="N48" t="str">
        <f>"Aldh1a1"</f>
        <v>Aldh1a1</v>
      </c>
      <c r="O48" s="3" t="str">
        <f>HYPERLINK("http://www.informatics.jax.org/marker/MGI:1353450", "MGI:1353450")</f>
        <v>MGI:1353450</v>
      </c>
      <c r="P48" t="s">
        <v>597</v>
      </c>
      <c r="Q48" t="s">
        <v>598</v>
      </c>
      <c r="R48" t="s">
        <v>599</v>
      </c>
      <c r="S48" t="s">
        <v>32</v>
      </c>
      <c r="T48" t="s">
        <v>32</v>
      </c>
      <c r="U48" t="s">
        <v>32</v>
      </c>
      <c r="V48" t="s">
        <v>32</v>
      </c>
      <c r="W48" t="s">
        <v>325</v>
      </c>
      <c r="X48" t="s">
        <v>600</v>
      </c>
      <c r="Y48" t="s">
        <v>157</v>
      </c>
      <c r="Z48" t="s">
        <v>32</v>
      </c>
      <c r="AA48" t="s">
        <v>601</v>
      </c>
      <c r="AB48" t="s">
        <v>602</v>
      </c>
      <c r="AC48" t="s">
        <v>603</v>
      </c>
      <c r="AD48" t="s">
        <v>604</v>
      </c>
      <c r="AE48" t="s">
        <v>605</v>
      </c>
      <c r="AF48" t="s">
        <v>46835</v>
      </c>
    </row>
    <row r="49" spans="1:32" x14ac:dyDescent="0.2">
      <c r="A49">
        <v>44</v>
      </c>
      <c r="B49" t="s">
        <v>606</v>
      </c>
      <c r="C49" t="s">
        <v>607</v>
      </c>
      <c r="D49" t="s">
        <v>608</v>
      </c>
      <c r="E49" t="s">
        <v>609</v>
      </c>
      <c r="F49" t="s">
        <v>610</v>
      </c>
      <c r="G49" t="s">
        <v>611</v>
      </c>
      <c r="H49" t="str">
        <f>"Tdrd7"</f>
        <v>Tdrd7</v>
      </c>
      <c r="I49" t="s">
        <v>612</v>
      </c>
      <c r="J49" t="s">
        <v>37</v>
      </c>
      <c r="K49">
        <v>10090</v>
      </c>
      <c r="L49" s="3" t="str">
        <f>HYPERLINK("http://www.uniprot.org/uniprot/Q8K1H1", "Q8K1H1")</f>
        <v>Q8K1H1</v>
      </c>
      <c r="M49" t="s">
        <v>613</v>
      </c>
      <c r="N49" t="str">
        <f>"Tdrd7"</f>
        <v>Tdrd7</v>
      </c>
      <c r="O49" s="3" t="str">
        <f>HYPERLINK("http://www.informatics.jax.org/marker/MGI:2140279", "MGI:2140279")</f>
        <v>MGI:2140279</v>
      </c>
      <c r="P49" t="s">
        <v>614</v>
      </c>
      <c r="Q49" t="s">
        <v>615</v>
      </c>
      <c r="R49" t="s">
        <v>418</v>
      </c>
      <c r="S49" t="s">
        <v>32</v>
      </c>
      <c r="T49" t="s">
        <v>32</v>
      </c>
      <c r="U49" t="s">
        <v>616</v>
      </c>
      <c r="V49" t="s">
        <v>55</v>
      </c>
      <c r="W49" t="s">
        <v>32</v>
      </c>
      <c r="X49" t="s">
        <v>617</v>
      </c>
      <c r="Y49" t="s">
        <v>618</v>
      </c>
      <c r="Z49" t="s">
        <v>126</v>
      </c>
      <c r="AA49" t="s">
        <v>619</v>
      </c>
      <c r="AB49" t="s">
        <v>620</v>
      </c>
      <c r="AC49" t="s">
        <v>621</v>
      </c>
      <c r="AD49" t="s">
        <v>32</v>
      </c>
      <c r="AE49" t="s">
        <v>32</v>
      </c>
      <c r="AF49" t="s">
        <v>46835</v>
      </c>
    </row>
    <row r="50" spans="1:32" x14ac:dyDescent="0.2">
      <c r="A50">
        <v>45</v>
      </c>
      <c r="B50" t="s">
        <v>622</v>
      </c>
      <c r="C50" t="s">
        <v>623</v>
      </c>
      <c r="D50" t="s">
        <v>624</v>
      </c>
      <c r="E50" t="s">
        <v>625</v>
      </c>
      <c r="F50" t="s">
        <v>626</v>
      </c>
      <c r="G50" t="s">
        <v>627</v>
      </c>
      <c r="H50" t="str">
        <f>"Afp"</f>
        <v>Afp</v>
      </c>
      <c r="I50" t="s">
        <v>32</v>
      </c>
      <c r="J50" t="s">
        <v>37</v>
      </c>
      <c r="K50">
        <v>10090</v>
      </c>
      <c r="L50" s="3" t="str">
        <f>HYPERLINK("http://www.uniprot.org/uniprot/P02772", "P02772")</f>
        <v>P02772</v>
      </c>
      <c r="M50" t="s">
        <v>628</v>
      </c>
      <c r="N50" t="str">
        <f>"Afp"</f>
        <v>Afp</v>
      </c>
      <c r="O50" s="3" t="str">
        <f>HYPERLINK("http://www.informatics.jax.org/marker/MGI:87951", "MGI:87951")</f>
        <v>MGI:87951</v>
      </c>
      <c r="P50" t="s">
        <v>629</v>
      </c>
      <c r="Q50" t="s">
        <v>32</v>
      </c>
      <c r="R50" t="s">
        <v>630</v>
      </c>
      <c r="S50" t="s">
        <v>32</v>
      </c>
      <c r="T50" t="s">
        <v>32</v>
      </c>
      <c r="U50" t="s">
        <v>32</v>
      </c>
      <c r="V50" t="s">
        <v>478</v>
      </c>
      <c r="W50" t="s">
        <v>631</v>
      </c>
      <c r="X50" t="s">
        <v>32</v>
      </c>
      <c r="Y50" t="s">
        <v>632</v>
      </c>
      <c r="Z50" t="s">
        <v>32</v>
      </c>
      <c r="AA50" t="s">
        <v>633</v>
      </c>
      <c r="AB50" t="s">
        <v>634</v>
      </c>
      <c r="AC50" t="s">
        <v>635</v>
      </c>
      <c r="AD50" t="s">
        <v>32</v>
      </c>
      <c r="AE50" t="s">
        <v>636</v>
      </c>
      <c r="AF50" t="s">
        <v>46835</v>
      </c>
    </row>
    <row r="51" spans="1:32" x14ac:dyDescent="0.2">
      <c r="A51">
        <v>46</v>
      </c>
      <c r="B51" t="s">
        <v>637</v>
      </c>
      <c r="C51" t="s">
        <v>638</v>
      </c>
      <c r="D51" t="s">
        <v>639</v>
      </c>
      <c r="E51" t="s">
        <v>640</v>
      </c>
      <c r="F51" t="s">
        <v>641</v>
      </c>
      <c r="G51" t="s">
        <v>642</v>
      </c>
      <c r="H51" t="str">
        <f>"Ezr"</f>
        <v>Ezr</v>
      </c>
      <c r="I51" t="s">
        <v>643</v>
      </c>
      <c r="J51" t="s">
        <v>37</v>
      </c>
      <c r="K51">
        <v>10090</v>
      </c>
      <c r="L51" s="3" t="str">
        <f>HYPERLINK("http://www.uniprot.org/uniprot/P26040", "P26040")</f>
        <v>P26040</v>
      </c>
      <c r="M51" t="s">
        <v>644</v>
      </c>
      <c r="N51" t="str">
        <f>"Ezr"</f>
        <v>Ezr</v>
      </c>
      <c r="O51" s="3" t="str">
        <f>HYPERLINK("http://www.informatics.jax.org/marker/MGI:98931", "MGI:98931")</f>
        <v>MGI:98931</v>
      </c>
      <c r="P51" t="s">
        <v>645</v>
      </c>
      <c r="Q51" t="s">
        <v>646</v>
      </c>
      <c r="R51" t="s">
        <v>647</v>
      </c>
      <c r="S51" t="s">
        <v>32</v>
      </c>
      <c r="T51" t="s">
        <v>32</v>
      </c>
      <c r="U51" t="s">
        <v>32</v>
      </c>
      <c r="V51" t="s">
        <v>290</v>
      </c>
      <c r="W51" t="s">
        <v>32</v>
      </c>
      <c r="X51" t="s">
        <v>32</v>
      </c>
      <c r="Y51" t="s">
        <v>648</v>
      </c>
      <c r="Z51" t="s">
        <v>32</v>
      </c>
      <c r="AA51" t="s">
        <v>649</v>
      </c>
      <c r="AB51" t="s">
        <v>650</v>
      </c>
      <c r="AC51" t="s">
        <v>651</v>
      </c>
      <c r="AD51" t="s">
        <v>32</v>
      </c>
      <c r="AE51" t="s">
        <v>652</v>
      </c>
      <c r="AF51" t="s">
        <v>46835</v>
      </c>
    </row>
    <row r="52" spans="1:32" x14ac:dyDescent="0.2">
      <c r="A52">
        <v>47</v>
      </c>
      <c r="B52" t="s">
        <v>653</v>
      </c>
      <c r="C52" t="s">
        <v>654</v>
      </c>
      <c r="D52" t="s">
        <v>32</v>
      </c>
      <c r="E52" t="s">
        <v>655</v>
      </c>
      <c r="F52" t="s">
        <v>656</v>
      </c>
      <c r="G52" t="s">
        <v>657</v>
      </c>
      <c r="H52" t="str">
        <f>"Nap1l4"</f>
        <v>Nap1l4</v>
      </c>
      <c r="I52" t="s">
        <v>32</v>
      </c>
      <c r="J52" t="s">
        <v>37</v>
      </c>
      <c r="K52">
        <v>10090</v>
      </c>
      <c r="L52" s="3" t="str">
        <f>HYPERLINK("http://www.uniprot.org/uniprot/Q78ZA7", "Q78ZA7")</f>
        <v>Q78ZA7</v>
      </c>
      <c r="M52" t="s">
        <v>658</v>
      </c>
      <c r="N52" t="str">
        <f>"Nap1l4"</f>
        <v>Nap1l4</v>
      </c>
      <c r="O52" s="3" t="str">
        <f>HYPERLINK("http://www.informatics.jax.org/marker/MGI:1316687", "MGI:1316687")</f>
        <v>MGI:1316687</v>
      </c>
      <c r="P52" t="s">
        <v>659</v>
      </c>
      <c r="Q52" t="s">
        <v>32</v>
      </c>
      <c r="R52" t="s">
        <v>40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388</v>
      </c>
      <c r="Y52" t="s">
        <v>157</v>
      </c>
      <c r="Z52" t="s">
        <v>32</v>
      </c>
      <c r="AA52" t="s">
        <v>249</v>
      </c>
      <c r="AB52" t="s">
        <v>660</v>
      </c>
      <c r="AC52" t="s">
        <v>661</v>
      </c>
      <c r="AD52" t="s">
        <v>32</v>
      </c>
      <c r="AE52" t="s">
        <v>32</v>
      </c>
      <c r="AF52" t="s">
        <v>46835</v>
      </c>
    </row>
    <row r="53" spans="1:32" x14ac:dyDescent="0.2">
      <c r="A53">
        <v>48</v>
      </c>
      <c r="B53" t="s">
        <v>662</v>
      </c>
      <c r="C53" t="s">
        <v>663</v>
      </c>
      <c r="D53" t="s">
        <v>664</v>
      </c>
      <c r="E53" t="s">
        <v>665</v>
      </c>
      <c r="F53" t="s">
        <v>666</v>
      </c>
      <c r="G53" t="s">
        <v>667</v>
      </c>
      <c r="H53" t="str">
        <f>"Pdia3"</f>
        <v>Pdia3</v>
      </c>
      <c r="I53" t="s">
        <v>668</v>
      </c>
      <c r="J53" t="s">
        <v>37</v>
      </c>
      <c r="K53">
        <v>10090</v>
      </c>
      <c r="L53" s="3" t="str">
        <f>HYPERLINK("http://www.uniprot.org/uniprot/P27773", "P27773")</f>
        <v>P27773</v>
      </c>
      <c r="M53" t="s">
        <v>669</v>
      </c>
      <c r="N53" t="str">
        <f>"Pdia3"</f>
        <v>Pdia3</v>
      </c>
      <c r="O53" s="3" t="str">
        <f>HYPERLINK("http://www.informatics.jax.org/marker/MGI:95834", "MGI:95834")</f>
        <v>MGI:95834</v>
      </c>
      <c r="P53" t="s">
        <v>670</v>
      </c>
      <c r="Q53" t="s">
        <v>32</v>
      </c>
      <c r="R53" t="s">
        <v>671</v>
      </c>
      <c r="S53" t="s">
        <v>32</v>
      </c>
      <c r="T53" t="s">
        <v>32</v>
      </c>
      <c r="U53" t="s">
        <v>32</v>
      </c>
      <c r="V53" t="s">
        <v>672</v>
      </c>
      <c r="W53" t="s">
        <v>32</v>
      </c>
      <c r="X53" t="s">
        <v>673</v>
      </c>
      <c r="Y53" t="s">
        <v>674</v>
      </c>
      <c r="Z53" t="s">
        <v>32</v>
      </c>
      <c r="AA53" t="s">
        <v>675</v>
      </c>
      <c r="AB53" t="s">
        <v>676</v>
      </c>
      <c r="AC53" t="s">
        <v>677</v>
      </c>
      <c r="AD53" t="s">
        <v>32</v>
      </c>
      <c r="AE53" t="s">
        <v>678</v>
      </c>
      <c r="AF53" t="s">
        <v>46835</v>
      </c>
    </row>
    <row r="54" spans="1:32" x14ac:dyDescent="0.2">
      <c r="A54">
        <v>49</v>
      </c>
      <c r="B54" t="s">
        <v>679</v>
      </c>
      <c r="C54" t="s">
        <v>680</v>
      </c>
      <c r="D54" t="s">
        <v>681</v>
      </c>
      <c r="E54" t="s">
        <v>682</v>
      </c>
      <c r="F54" t="s">
        <v>683</v>
      </c>
      <c r="G54" t="s">
        <v>32</v>
      </c>
      <c r="H54" t="str">
        <f>"Rps3a"</f>
        <v>Rps3a</v>
      </c>
      <c r="I54" t="s">
        <v>684</v>
      </c>
      <c r="J54" t="s">
        <v>37</v>
      </c>
      <c r="K54">
        <v>10090</v>
      </c>
      <c r="L54" s="3" t="str">
        <f>HYPERLINK("http://www.uniprot.org/uniprot/P97351", "P97351")</f>
        <v>P97351</v>
      </c>
      <c r="M54" t="s">
        <v>685</v>
      </c>
      <c r="N54" t="str">
        <f>"Rps3a1"</f>
        <v>Rps3a1</v>
      </c>
      <c r="O54" s="3" t="str">
        <f>HYPERLINK("http://www.informatics.jax.org/marker/MGI:1202063", "MGI:1202063")</f>
        <v>MGI:1202063</v>
      </c>
      <c r="P54" t="s">
        <v>686</v>
      </c>
      <c r="Q54" t="s">
        <v>687</v>
      </c>
      <c r="R54" t="s">
        <v>40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447</v>
      </c>
      <c r="Y54" t="s">
        <v>448</v>
      </c>
      <c r="Z54" t="s">
        <v>126</v>
      </c>
      <c r="AA54" t="s">
        <v>688</v>
      </c>
      <c r="AB54" t="s">
        <v>689</v>
      </c>
      <c r="AC54" t="s">
        <v>690</v>
      </c>
      <c r="AD54" t="s">
        <v>32</v>
      </c>
      <c r="AE54" t="s">
        <v>691</v>
      </c>
      <c r="AF54" t="s">
        <v>46835</v>
      </c>
    </row>
    <row r="55" spans="1:32" x14ac:dyDescent="0.2">
      <c r="A55">
        <v>50</v>
      </c>
      <c r="B55" t="s">
        <v>692</v>
      </c>
      <c r="C55" t="s">
        <v>693</v>
      </c>
      <c r="D55" t="s">
        <v>694</v>
      </c>
      <c r="E55" t="s">
        <v>695</v>
      </c>
      <c r="F55" t="s">
        <v>696</v>
      </c>
      <c r="G55" t="s">
        <v>32</v>
      </c>
      <c r="H55" t="str">
        <f>"Rps2"</f>
        <v>Rps2</v>
      </c>
      <c r="I55" t="s">
        <v>697</v>
      </c>
      <c r="J55" t="s">
        <v>37</v>
      </c>
      <c r="K55">
        <v>10090</v>
      </c>
      <c r="L55" s="3" t="str">
        <f>HYPERLINK("http://www.uniprot.org/uniprot/P25444", "P25444")</f>
        <v>P25444</v>
      </c>
      <c r="M55" t="s">
        <v>698</v>
      </c>
      <c r="N55" t="str">
        <f>"Rps2"</f>
        <v>Rps2</v>
      </c>
      <c r="O55" s="3" t="str">
        <f>HYPERLINK("http://www.informatics.jax.org/marker/MGI:105110", "MGI:105110")</f>
        <v>MGI:105110</v>
      </c>
      <c r="P55" t="s">
        <v>699</v>
      </c>
      <c r="Q55" t="s">
        <v>32</v>
      </c>
      <c r="R55" t="s">
        <v>40</v>
      </c>
      <c r="S55" t="s">
        <v>32</v>
      </c>
      <c r="T55" t="s">
        <v>32</v>
      </c>
      <c r="U55" t="s">
        <v>32</v>
      </c>
      <c r="V55" t="s">
        <v>55</v>
      </c>
      <c r="W55" t="s">
        <v>32</v>
      </c>
      <c r="X55" t="s">
        <v>447</v>
      </c>
      <c r="Y55" t="s">
        <v>700</v>
      </c>
      <c r="Z55" t="s">
        <v>126</v>
      </c>
      <c r="AA55" t="s">
        <v>701</v>
      </c>
      <c r="AB55" t="s">
        <v>702</v>
      </c>
      <c r="AC55" t="s">
        <v>703</v>
      </c>
      <c r="AD55" t="s">
        <v>32</v>
      </c>
      <c r="AE55" t="s">
        <v>704</v>
      </c>
      <c r="AF55" t="s">
        <v>46835</v>
      </c>
    </row>
    <row r="56" spans="1:32" x14ac:dyDescent="0.2">
      <c r="A56">
        <v>51</v>
      </c>
      <c r="B56" t="s">
        <v>705</v>
      </c>
      <c r="C56" t="s">
        <v>706</v>
      </c>
      <c r="D56" t="s">
        <v>707</v>
      </c>
      <c r="E56" t="s">
        <v>708</v>
      </c>
      <c r="F56" t="s">
        <v>709</v>
      </c>
      <c r="G56" t="s">
        <v>710</v>
      </c>
      <c r="H56" t="str">
        <f>"Gdi2"</f>
        <v>Gdi2</v>
      </c>
      <c r="I56" t="s">
        <v>711</v>
      </c>
      <c r="J56" t="s">
        <v>37</v>
      </c>
      <c r="K56">
        <v>10090</v>
      </c>
      <c r="L56" s="3" t="str">
        <f>HYPERLINK("http://www.uniprot.org/uniprot/Q61598", "Q61598")</f>
        <v>Q61598</v>
      </c>
      <c r="M56" t="s">
        <v>712</v>
      </c>
      <c r="N56" t="str">
        <f>"Gdi2"</f>
        <v>Gdi2</v>
      </c>
      <c r="O56" s="3" t="str">
        <f>HYPERLINK("http://www.informatics.jax.org/marker/MGI:99845", "MGI:99845")</f>
        <v>MGI:99845</v>
      </c>
      <c r="P56" t="s">
        <v>713</v>
      </c>
      <c r="Q56" t="s">
        <v>32</v>
      </c>
      <c r="R56" t="s">
        <v>714</v>
      </c>
      <c r="S56" t="s">
        <v>41</v>
      </c>
      <c r="T56" t="s">
        <v>32</v>
      </c>
      <c r="U56" t="s">
        <v>32</v>
      </c>
      <c r="V56" t="s">
        <v>32</v>
      </c>
      <c r="W56" t="s">
        <v>32</v>
      </c>
      <c r="X56" t="s">
        <v>715</v>
      </c>
      <c r="Y56" t="s">
        <v>157</v>
      </c>
      <c r="Z56" t="s">
        <v>32</v>
      </c>
      <c r="AA56" t="s">
        <v>716</v>
      </c>
      <c r="AB56" t="s">
        <v>717</v>
      </c>
      <c r="AC56" t="s">
        <v>718</v>
      </c>
      <c r="AD56" t="s">
        <v>32</v>
      </c>
      <c r="AE56" t="s">
        <v>719</v>
      </c>
      <c r="AF56" t="s">
        <v>46835</v>
      </c>
    </row>
    <row r="57" spans="1:32" x14ac:dyDescent="0.2">
      <c r="A57">
        <v>52</v>
      </c>
      <c r="B57" t="s">
        <v>720</v>
      </c>
      <c r="C57" t="s">
        <v>721</v>
      </c>
      <c r="D57" t="s">
        <v>722</v>
      </c>
      <c r="E57" t="s">
        <v>723</v>
      </c>
      <c r="F57" t="s">
        <v>724</v>
      </c>
      <c r="G57" t="s">
        <v>725</v>
      </c>
      <c r="H57" t="str">
        <f>"Vcp"</f>
        <v>Vcp</v>
      </c>
      <c r="I57" t="s">
        <v>32</v>
      </c>
      <c r="J57" t="s">
        <v>37</v>
      </c>
      <c r="K57">
        <v>10090</v>
      </c>
      <c r="L57" s="3" t="str">
        <f>HYPERLINK("http://www.uniprot.org/uniprot/Q01853", "Q01853")</f>
        <v>Q01853</v>
      </c>
      <c r="M57" t="s">
        <v>726</v>
      </c>
      <c r="N57" t="str">
        <f>"Vcp"</f>
        <v>Vcp</v>
      </c>
      <c r="O57" s="3" t="str">
        <f>HYPERLINK("http://www.informatics.jax.org/marker/MGI:99919", "MGI:99919")</f>
        <v>MGI:99919</v>
      </c>
      <c r="P57" t="s">
        <v>727</v>
      </c>
      <c r="Q57" t="s">
        <v>728</v>
      </c>
      <c r="R57" t="s">
        <v>729</v>
      </c>
      <c r="S57" t="s">
        <v>32</v>
      </c>
      <c r="T57" t="s">
        <v>32</v>
      </c>
      <c r="U57" t="s">
        <v>32</v>
      </c>
      <c r="V57" t="s">
        <v>32</v>
      </c>
      <c r="W57" t="s">
        <v>730</v>
      </c>
      <c r="X57" t="s">
        <v>343</v>
      </c>
      <c r="Y57" t="s">
        <v>207</v>
      </c>
      <c r="Z57" t="s">
        <v>126</v>
      </c>
      <c r="AA57" t="s">
        <v>731</v>
      </c>
      <c r="AB57" t="s">
        <v>732</v>
      </c>
      <c r="AC57" t="s">
        <v>733</v>
      </c>
      <c r="AD57" t="s">
        <v>32</v>
      </c>
      <c r="AE57" t="s">
        <v>734</v>
      </c>
      <c r="AF57" t="s">
        <v>46835</v>
      </c>
    </row>
    <row r="58" spans="1:32" x14ac:dyDescent="0.2">
      <c r="A58">
        <v>53</v>
      </c>
      <c r="B58" t="s">
        <v>735</v>
      </c>
      <c r="C58" t="s">
        <v>736</v>
      </c>
      <c r="D58" t="s">
        <v>32</v>
      </c>
      <c r="E58" t="s">
        <v>737</v>
      </c>
      <c r="F58" t="s">
        <v>738</v>
      </c>
      <c r="G58" t="s">
        <v>739</v>
      </c>
      <c r="H58" t="str">
        <f>"Ywhae"</f>
        <v>Ywhae</v>
      </c>
      <c r="I58" t="s">
        <v>32</v>
      </c>
      <c r="J58" t="s">
        <v>37</v>
      </c>
      <c r="K58">
        <v>10090</v>
      </c>
      <c r="L58" s="3" t="str">
        <f>HYPERLINK("http://www.uniprot.org/uniprot/P62259", "P62259")</f>
        <v>P62259</v>
      </c>
      <c r="M58" t="s">
        <v>740</v>
      </c>
      <c r="N58" t="str">
        <f>"Ywhae"</f>
        <v>Ywhae</v>
      </c>
      <c r="O58" s="3" t="str">
        <f>HYPERLINK("http://www.informatics.jax.org/marker/MGI:894689", "MGI:894689")</f>
        <v>MGI:894689</v>
      </c>
      <c r="P58" t="s">
        <v>741</v>
      </c>
      <c r="Q58" t="s">
        <v>32</v>
      </c>
      <c r="R58" t="s">
        <v>40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t="s">
        <v>516</v>
      </c>
      <c r="Z58" t="s">
        <v>32</v>
      </c>
      <c r="AA58" t="s">
        <v>742</v>
      </c>
      <c r="AB58" t="s">
        <v>743</v>
      </c>
      <c r="AC58" t="s">
        <v>744</v>
      </c>
      <c r="AD58" t="s">
        <v>32</v>
      </c>
      <c r="AE58" t="s">
        <v>745</v>
      </c>
      <c r="AF58" t="s">
        <v>46835</v>
      </c>
    </row>
    <row r="59" spans="1:32" x14ac:dyDescent="0.2">
      <c r="A59">
        <v>54</v>
      </c>
      <c r="B59" t="s">
        <v>746</v>
      </c>
      <c r="C59" t="s">
        <v>747</v>
      </c>
      <c r="D59" t="s">
        <v>748</v>
      </c>
      <c r="E59" t="s">
        <v>749</v>
      </c>
      <c r="F59" t="s">
        <v>750</v>
      </c>
      <c r="G59" t="s">
        <v>751</v>
      </c>
      <c r="H59" t="str">
        <f>"Crygd"</f>
        <v>Crygd</v>
      </c>
      <c r="I59" t="s">
        <v>32</v>
      </c>
      <c r="J59" t="s">
        <v>37</v>
      </c>
      <c r="K59">
        <v>10090</v>
      </c>
      <c r="L59" s="3" t="str">
        <f>HYPERLINK("http://www.uniprot.org/uniprot/P04342", "P04342")</f>
        <v>P04342</v>
      </c>
      <c r="M59" t="s">
        <v>752</v>
      </c>
      <c r="N59" t="str">
        <f>"Crygd"</f>
        <v>Crygd</v>
      </c>
      <c r="O59" s="3" t="str">
        <f>HYPERLINK("http://www.informatics.jax.org/marker/MGI:88524", "MGI:88524")</f>
        <v>MGI:88524</v>
      </c>
      <c r="P59" t="s">
        <v>85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55</v>
      </c>
      <c r="W59" t="s">
        <v>32</v>
      </c>
      <c r="X59" t="s">
        <v>56</v>
      </c>
      <c r="Y59" t="s">
        <v>32</v>
      </c>
      <c r="Z59" t="s">
        <v>32</v>
      </c>
      <c r="AA59" t="s">
        <v>753</v>
      </c>
      <c r="AB59" t="s">
        <v>110</v>
      </c>
      <c r="AC59" t="s">
        <v>59</v>
      </c>
      <c r="AD59" t="s">
        <v>32</v>
      </c>
      <c r="AE59" t="s">
        <v>32</v>
      </c>
      <c r="AF59" t="s">
        <v>46835</v>
      </c>
    </row>
    <row r="60" spans="1:32" x14ac:dyDescent="0.2">
      <c r="A60">
        <v>55</v>
      </c>
      <c r="B60" t="s">
        <v>754</v>
      </c>
      <c r="C60" t="s">
        <v>755</v>
      </c>
      <c r="D60" t="s">
        <v>32</v>
      </c>
      <c r="E60" t="s">
        <v>756</v>
      </c>
      <c r="F60" t="s">
        <v>757</v>
      </c>
      <c r="G60" t="s">
        <v>758</v>
      </c>
      <c r="H60" t="str">
        <f>"Rpl4"</f>
        <v>Rpl4</v>
      </c>
      <c r="I60" t="s">
        <v>32</v>
      </c>
      <c r="J60" t="s">
        <v>37</v>
      </c>
      <c r="K60">
        <v>10090</v>
      </c>
      <c r="L60" s="3" t="str">
        <f>HYPERLINK("http://www.uniprot.org/uniprot/Q9D8E6", "Q9D8E6")</f>
        <v>Q9D8E6</v>
      </c>
      <c r="M60" t="s">
        <v>759</v>
      </c>
      <c r="N60" t="str">
        <f>"Rpl4"</f>
        <v>Rpl4</v>
      </c>
      <c r="O60" s="3" t="str">
        <f>HYPERLINK("http://www.informatics.jax.org/marker/MGI:1915141", "MGI:1915141")</f>
        <v>MGI:1915141</v>
      </c>
      <c r="P60" t="s">
        <v>760</v>
      </c>
      <c r="Q60" t="s">
        <v>32</v>
      </c>
      <c r="R60" t="s">
        <v>418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447</v>
      </c>
      <c r="Y60" t="s">
        <v>761</v>
      </c>
      <c r="Z60" t="s">
        <v>126</v>
      </c>
      <c r="AA60" t="s">
        <v>762</v>
      </c>
      <c r="AB60" t="s">
        <v>763</v>
      </c>
      <c r="AC60" t="s">
        <v>764</v>
      </c>
      <c r="AD60" t="s">
        <v>32</v>
      </c>
      <c r="AE60" t="s">
        <v>765</v>
      </c>
      <c r="AF60" t="s">
        <v>46835</v>
      </c>
    </row>
    <row r="61" spans="1:32" x14ac:dyDescent="0.2">
      <c r="A61">
        <v>56</v>
      </c>
      <c r="B61" t="s">
        <v>766</v>
      </c>
      <c r="C61" t="s">
        <v>767</v>
      </c>
      <c r="D61" t="s">
        <v>32</v>
      </c>
      <c r="E61" t="s">
        <v>768</v>
      </c>
      <c r="F61" t="s">
        <v>769</v>
      </c>
      <c r="G61" t="s">
        <v>32</v>
      </c>
      <c r="H61" t="str">
        <f>"Cltc"</f>
        <v>Cltc</v>
      </c>
      <c r="I61" t="s">
        <v>32</v>
      </c>
      <c r="J61" t="s">
        <v>37</v>
      </c>
      <c r="K61">
        <v>10090</v>
      </c>
      <c r="L61" s="3" t="str">
        <f>HYPERLINK("http://www.uniprot.org/uniprot/Q68FD5", "Q68FD5")</f>
        <v>Q68FD5</v>
      </c>
      <c r="M61" t="s">
        <v>770</v>
      </c>
      <c r="N61" t="str">
        <f>"Cltc"</f>
        <v>Cltc</v>
      </c>
      <c r="O61" s="3" t="str">
        <f>HYPERLINK("http://www.informatics.jax.org/marker/MGI:2388633", "MGI:2388633")</f>
        <v>MGI:2388633</v>
      </c>
      <c r="P61" t="s">
        <v>771</v>
      </c>
      <c r="Q61" t="s">
        <v>772</v>
      </c>
      <c r="R61" t="s">
        <v>773</v>
      </c>
      <c r="S61" t="s">
        <v>32</v>
      </c>
      <c r="T61" t="s">
        <v>32</v>
      </c>
      <c r="U61" t="s">
        <v>32</v>
      </c>
      <c r="V61" t="s">
        <v>55</v>
      </c>
      <c r="W61" t="s">
        <v>32</v>
      </c>
      <c r="X61" t="s">
        <v>32</v>
      </c>
      <c r="Y61" t="s">
        <v>157</v>
      </c>
      <c r="Z61" t="s">
        <v>126</v>
      </c>
      <c r="AA61" t="s">
        <v>774</v>
      </c>
      <c r="AB61" t="s">
        <v>775</v>
      </c>
      <c r="AC61" t="s">
        <v>776</v>
      </c>
      <c r="AD61" t="s">
        <v>32</v>
      </c>
      <c r="AE61" t="s">
        <v>777</v>
      </c>
      <c r="AF61" t="s">
        <v>46835</v>
      </c>
    </row>
    <row r="62" spans="1:32" x14ac:dyDescent="0.2">
      <c r="A62">
        <v>57</v>
      </c>
      <c r="B62" t="s">
        <v>778</v>
      </c>
      <c r="C62" t="s">
        <v>779</v>
      </c>
      <c r="D62" t="s">
        <v>780</v>
      </c>
      <c r="E62" t="s">
        <v>781</v>
      </c>
      <c r="F62" t="s">
        <v>782</v>
      </c>
      <c r="G62" t="s">
        <v>783</v>
      </c>
      <c r="H62" t="str">
        <f>"Rpl3"</f>
        <v>Rpl3</v>
      </c>
      <c r="I62" t="s">
        <v>32</v>
      </c>
      <c r="J62" t="s">
        <v>37</v>
      </c>
      <c r="K62">
        <v>10090</v>
      </c>
      <c r="L62" s="3" t="str">
        <f>HYPERLINK("http://www.uniprot.org/uniprot/P27659", "P27659")</f>
        <v>P27659</v>
      </c>
      <c r="M62" t="s">
        <v>784</v>
      </c>
      <c r="N62" t="str">
        <f>"Rpl3"</f>
        <v>Rpl3</v>
      </c>
      <c r="O62" s="3" t="str">
        <f>HYPERLINK("http://www.informatics.jax.org/marker/MGI:1351605", "MGI:1351605")</f>
        <v>MGI:1351605</v>
      </c>
      <c r="P62" t="s">
        <v>785</v>
      </c>
      <c r="Q62" t="s">
        <v>32</v>
      </c>
      <c r="R62" t="s">
        <v>40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447</v>
      </c>
      <c r="Y62" t="s">
        <v>207</v>
      </c>
      <c r="Z62" t="s">
        <v>126</v>
      </c>
      <c r="AA62" t="s">
        <v>786</v>
      </c>
      <c r="AB62" t="s">
        <v>787</v>
      </c>
      <c r="AC62" t="s">
        <v>764</v>
      </c>
      <c r="AD62" t="s">
        <v>32</v>
      </c>
      <c r="AE62" t="s">
        <v>765</v>
      </c>
      <c r="AF62" t="s">
        <v>46835</v>
      </c>
    </row>
    <row r="63" spans="1:32" x14ac:dyDescent="0.2">
      <c r="A63">
        <v>58</v>
      </c>
      <c r="B63" t="s">
        <v>788</v>
      </c>
      <c r="C63" t="s">
        <v>789</v>
      </c>
      <c r="D63" t="s">
        <v>790</v>
      </c>
      <c r="E63" t="s">
        <v>791</v>
      </c>
      <c r="F63" t="s">
        <v>792</v>
      </c>
      <c r="G63" t="s">
        <v>793</v>
      </c>
      <c r="H63" t="str">
        <f>"Tcp1"</f>
        <v>Tcp1</v>
      </c>
      <c r="I63" t="s">
        <v>794</v>
      </c>
      <c r="J63" t="s">
        <v>37</v>
      </c>
      <c r="K63">
        <v>10090</v>
      </c>
      <c r="L63" s="3" t="str">
        <f>HYPERLINK("http://www.uniprot.org/uniprot/P11983", "P11983")</f>
        <v>P11983</v>
      </c>
      <c r="M63" t="s">
        <v>795</v>
      </c>
      <c r="N63" t="str">
        <f>"Tcp1"</f>
        <v>Tcp1</v>
      </c>
      <c r="O63" s="3" t="str">
        <f>HYPERLINK("http://www.informatics.jax.org/marker/MGI:98535", "MGI:98535")</f>
        <v>MGI:98535</v>
      </c>
      <c r="P63" t="s">
        <v>796</v>
      </c>
      <c r="Q63" t="s">
        <v>32</v>
      </c>
      <c r="R63" t="s">
        <v>186</v>
      </c>
      <c r="S63" t="s">
        <v>41</v>
      </c>
      <c r="T63" t="s">
        <v>32</v>
      </c>
      <c r="U63" t="s">
        <v>32</v>
      </c>
      <c r="V63" t="s">
        <v>32</v>
      </c>
      <c r="W63" t="s">
        <v>205</v>
      </c>
      <c r="X63" t="s">
        <v>388</v>
      </c>
      <c r="Y63" t="s">
        <v>157</v>
      </c>
      <c r="Z63" t="s">
        <v>32</v>
      </c>
      <c r="AA63" t="s">
        <v>797</v>
      </c>
      <c r="AB63" t="s">
        <v>798</v>
      </c>
      <c r="AC63" t="s">
        <v>799</v>
      </c>
      <c r="AD63" t="s">
        <v>32</v>
      </c>
      <c r="AE63" t="s">
        <v>800</v>
      </c>
      <c r="AF63" t="s">
        <v>46835</v>
      </c>
    </row>
    <row r="64" spans="1:32" x14ac:dyDescent="0.2">
      <c r="A64">
        <v>59</v>
      </c>
      <c r="B64" t="s">
        <v>801</v>
      </c>
      <c r="C64" t="s">
        <v>802</v>
      </c>
      <c r="D64" t="s">
        <v>803</v>
      </c>
      <c r="E64" t="s">
        <v>804</v>
      </c>
      <c r="F64" t="s">
        <v>805</v>
      </c>
      <c r="G64" t="s">
        <v>806</v>
      </c>
      <c r="H64" t="str">
        <f>"Hsp90b1"</f>
        <v>Hsp90b1</v>
      </c>
      <c r="I64" t="s">
        <v>807</v>
      </c>
      <c r="J64" t="s">
        <v>37</v>
      </c>
      <c r="K64">
        <v>10090</v>
      </c>
      <c r="L64" s="3" t="str">
        <f>HYPERLINK("http://www.uniprot.org/uniprot/P08113", "P08113")</f>
        <v>P08113</v>
      </c>
      <c r="M64" t="s">
        <v>808</v>
      </c>
      <c r="N64" t="str">
        <f>"Hsp90b1"</f>
        <v>Hsp90b1</v>
      </c>
      <c r="O64" s="3" t="str">
        <f>HYPERLINK("http://www.informatics.jax.org/marker/MGI:98817", "MGI:98817")</f>
        <v>MGI:98817</v>
      </c>
      <c r="P64" t="s">
        <v>809</v>
      </c>
      <c r="Q64" t="s">
        <v>32</v>
      </c>
      <c r="R64" t="s">
        <v>810</v>
      </c>
      <c r="S64" t="s">
        <v>32</v>
      </c>
      <c r="T64" t="s">
        <v>32</v>
      </c>
      <c r="U64" t="s">
        <v>32</v>
      </c>
      <c r="V64" t="s">
        <v>811</v>
      </c>
      <c r="W64" t="s">
        <v>812</v>
      </c>
      <c r="X64" t="s">
        <v>388</v>
      </c>
      <c r="Y64" t="s">
        <v>813</v>
      </c>
      <c r="Z64" t="s">
        <v>32</v>
      </c>
      <c r="AA64" t="s">
        <v>814</v>
      </c>
      <c r="AB64" t="s">
        <v>815</v>
      </c>
      <c r="AC64" t="s">
        <v>816</v>
      </c>
      <c r="AD64" t="s">
        <v>32</v>
      </c>
      <c r="AE64" t="s">
        <v>817</v>
      </c>
      <c r="AF64" t="s">
        <v>46835</v>
      </c>
    </row>
    <row r="65" spans="1:32" x14ac:dyDescent="0.2">
      <c r="A65">
        <v>60</v>
      </c>
      <c r="B65" t="s">
        <v>818</v>
      </c>
      <c r="C65" t="s">
        <v>819</v>
      </c>
      <c r="D65" t="s">
        <v>820</v>
      </c>
      <c r="E65" t="s">
        <v>821</v>
      </c>
      <c r="F65" t="s">
        <v>822</v>
      </c>
      <c r="G65" t="s">
        <v>823</v>
      </c>
      <c r="H65" t="str">
        <f>"Dync1h1"</f>
        <v>Dync1h1</v>
      </c>
      <c r="I65" t="s">
        <v>824</v>
      </c>
      <c r="J65" t="s">
        <v>37</v>
      </c>
      <c r="K65">
        <v>10090</v>
      </c>
      <c r="L65" s="3" t="str">
        <f>HYPERLINK("http://www.uniprot.org/uniprot/Q9JHU4", "Q9JHU4")</f>
        <v>Q9JHU4</v>
      </c>
      <c r="M65" t="s">
        <v>825</v>
      </c>
      <c r="N65" t="str">
        <f>"Dync1h1"</f>
        <v>Dync1h1</v>
      </c>
      <c r="O65" s="3" t="str">
        <f>HYPERLINK("http://www.informatics.jax.org/marker/MGI:103147", "MGI:103147")</f>
        <v>MGI:103147</v>
      </c>
      <c r="P65" t="s">
        <v>826</v>
      </c>
      <c r="Q65" t="s">
        <v>827</v>
      </c>
      <c r="R65" t="s">
        <v>828</v>
      </c>
      <c r="S65" t="s">
        <v>32</v>
      </c>
      <c r="T65" t="s">
        <v>32</v>
      </c>
      <c r="U65" t="s">
        <v>829</v>
      </c>
      <c r="V65" t="s">
        <v>137</v>
      </c>
      <c r="W65" t="s">
        <v>205</v>
      </c>
      <c r="X65" t="s">
        <v>830</v>
      </c>
      <c r="Y65" t="s">
        <v>157</v>
      </c>
      <c r="Z65" t="s">
        <v>126</v>
      </c>
      <c r="AA65" t="s">
        <v>831</v>
      </c>
      <c r="AB65" t="s">
        <v>832</v>
      </c>
      <c r="AC65" t="s">
        <v>833</v>
      </c>
      <c r="AD65" t="s">
        <v>32</v>
      </c>
      <c r="AE65" t="s">
        <v>834</v>
      </c>
      <c r="AF65" t="s">
        <v>46835</v>
      </c>
    </row>
    <row r="66" spans="1:32" x14ac:dyDescent="0.2">
      <c r="A66">
        <v>61</v>
      </c>
      <c r="B66" t="s">
        <v>835</v>
      </c>
      <c r="C66" t="s">
        <v>836</v>
      </c>
      <c r="D66" t="s">
        <v>837</v>
      </c>
      <c r="E66" t="s">
        <v>838</v>
      </c>
      <c r="F66" t="s">
        <v>839</v>
      </c>
      <c r="G66" t="s">
        <v>840</v>
      </c>
      <c r="H66" t="str">
        <f>"Tf"</f>
        <v>Tf</v>
      </c>
      <c r="I66" t="s">
        <v>841</v>
      </c>
      <c r="J66" t="s">
        <v>37</v>
      </c>
      <c r="K66">
        <v>10090</v>
      </c>
      <c r="L66" s="3" t="str">
        <f>HYPERLINK("http://www.uniprot.org/uniprot/Q921I1", "Q921I1")</f>
        <v>Q921I1</v>
      </c>
      <c r="M66" t="s">
        <v>842</v>
      </c>
      <c r="N66" t="str">
        <f>"Trf"</f>
        <v>Trf</v>
      </c>
      <c r="O66" s="3" t="str">
        <f>HYPERLINK("http://www.informatics.jax.org/marker/MGI:98821", "MGI:98821")</f>
        <v>MGI:98821</v>
      </c>
      <c r="P66" t="s">
        <v>843</v>
      </c>
      <c r="Q66" t="s">
        <v>844</v>
      </c>
      <c r="R66" t="s">
        <v>630</v>
      </c>
      <c r="S66" t="s">
        <v>32</v>
      </c>
      <c r="T66" t="s">
        <v>32</v>
      </c>
      <c r="U66" t="s">
        <v>32</v>
      </c>
      <c r="V66" t="s">
        <v>478</v>
      </c>
      <c r="W66" t="s">
        <v>845</v>
      </c>
      <c r="X66" t="s">
        <v>32</v>
      </c>
      <c r="Y66" t="s">
        <v>846</v>
      </c>
      <c r="Z66" t="s">
        <v>32</v>
      </c>
      <c r="AA66" t="s">
        <v>847</v>
      </c>
      <c r="AB66" t="s">
        <v>848</v>
      </c>
      <c r="AC66" t="s">
        <v>849</v>
      </c>
      <c r="AD66" t="s">
        <v>32</v>
      </c>
      <c r="AE66" t="s">
        <v>850</v>
      </c>
      <c r="AF66" t="s">
        <v>46835</v>
      </c>
    </row>
    <row r="67" spans="1:32" x14ac:dyDescent="0.2">
      <c r="A67">
        <v>62</v>
      </c>
      <c r="B67" t="s">
        <v>851</v>
      </c>
      <c r="C67" t="s">
        <v>852</v>
      </c>
      <c r="D67" t="s">
        <v>853</v>
      </c>
      <c r="E67" t="s">
        <v>854</v>
      </c>
      <c r="F67" t="s">
        <v>855</v>
      </c>
      <c r="G67" t="s">
        <v>32</v>
      </c>
      <c r="H67" t="str">
        <f>"Hsp90aa1"</f>
        <v>Hsp90aa1</v>
      </c>
      <c r="I67" t="s">
        <v>856</v>
      </c>
      <c r="J67" t="s">
        <v>37</v>
      </c>
      <c r="K67">
        <v>10090</v>
      </c>
      <c r="L67" s="3" t="str">
        <f>HYPERLINK("http://www.uniprot.org/uniprot/P07901", "P07901")</f>
        <v>P07901</v>
      </c>
      <c r="M67" t="s">
        <v>857</v>
      </c>
      <c r="N67" t="str">
        <f>"Hsp90aa1"</f>
        <v>Hsp90aa1</v>
      </c>
      <c r="O67" s="3" t="str">
        <f>HYPERLINK("http://www.informatics.jax.org/marker/MGI:96250", "MGI:96250")</f>
        <v>MGI:96250</v>
      </c>
      <c r="P67" t="s">
        <v>858</v>
      </c>
      <c r="Q67" t="s">
        <v>386</v>
      </c>
      <c r="R67" t="s">
        <v>859</v>
      </c>
      <c r="S67" t="s">
        <v>32</v>
      </c>
      <c r="T67" t="s">
        <v>32</v>
      </c>
      <c r="U67" t="s">
        <v>32</v>
      </c>
      <c r="V67" t="s">
        <v>32</v>
      </c>
      <c r="W67" t="s">
        <v>205</v>
      </c>
      <c r="X67" t="s">
        <v>860</v>
      </c>
      <c r="Y67" t="s">
        <v>861</v>
      </c>
      <c r="Z67" t="s">
        <v>126</v>
      </c>
      <c r="AA67" t="s">
        <v>862</v>
      </c>
      <c r="AB67" t="s">
        <v>863</v>
      </c>
      <c r="AC67" t="s">
        <v>864</v>
      </c>
      <c r="AD67" t="s">
        <v>32</v>
      </c>
      <c r="AE67" t="s">
        <v>865</v>
      </c>
      <c r="AF67" t="s">
        <v>46835</v>
      </c>
    </row>
    <row r="68" spans="1:32" x14ac:dyDescent="0.2">
      <c r="A68">
        <v>63</v>
      </c>
      <c r="B68" t="s">
        <v>866</v>
      </c>
      <c r="C68" t="s">
        <v>867</v>
      </c>
      <c r="D68" t="s">
        <v>868</v>
      </c>
      <c r="E68" t="s">
        <v>869</v>
      </c>
      <c r="F68" t="s">
        <v>870</v>
      </c>
      <c r="G68" t="s">
        <v>871</v>
      </c>
      <c r="H68" t="str">
        <f>"Hspa5"</f>
        <v>Hspa5</v>
      </c>
      <c r="I68" t="s">
        <v>32</v>
      </c>
      <c r="J68" t="s">
        <v>37</v>
      </c>
      <c r="K68">
        <v>10090</v>
      </c>
      <c r="L68" s="3" t="str">
        <f>HYPERLINK("http://www.uniprot.org/uniprot/P20029", "P20029")</f>
        <v>P20029</v>
      </c>
      <c r="M68" t="s">
        <v>872</v>
      </c>
      <c r="N68" t="str">
        <f>"Hspa5"</f>
        <v>Hspa5</v>
      </c>
      <c r="O68" s="3" t="str">
        <f>HYPERLINK("http://www.informatics.jax.org/marker/MGI:95835", "MGI:95835")</f>
        <v>MGI:95835</v>
      </c>
      <c r="P68" t="s">
        <v>873</v>
      </c>
      <c r="Q68" t="s">
        <v>32</v>
      </c>
      <c r="R68" t="s">
        <v>874</v>
      </c>
      <c r="S68" t="s">
        <v>32</v>
      </c>
      <c r="T68" t="s">
        <v>32</v>
      </c>
      <c r="U68" t="s">
        <v>32</v>
      </c>
      <c r="V68" t="s">
        <v>811</v>
      </c>
      <c r="W68" t="s">
        <v>205</v>
      </c>
      <c r="X68" t="s">
        <v>860</v>
      </c>
      <c r="Y68" t="s">
        <v>875</v>
      </c>
      <c r="Z68" t="s">
        <v>32</v>
      </c>
      <c r="AA68" t="s">
        <v>876</v>
      </c>
      <c r="AB68" t="s">
        <v>877</v>
      </c>
      <c r="AC68" t="s">
        <v>878</v>
      </c>
      <c r="AD68" t="s">
        <v>32</v>
      </c>
      <c r="AE68" t="s">
        <v>879</v>
      </c>
      <c r="AF68" t="s">
        <v>46835</v>
      </c>
    </row>
    <row r="69" spans="1:32" x14ac:dyDescent="0.2">
      <c r="A69">
        <v>64</v>
      </c>
      <c r="B69" t="s">
        <v>880</v>
      </c>
      <c r="C69" t="s">
        <v>881</v>
      </c>
      <c r="D69" t="s">
        <v>32</v>
      </c>
      <c r="E69" t="s">
        <v>882</v>
      </c>
      <c r="F69" t="s">
        <v>883</v>
      </c>
      <c r="G69" t="s">
        <v>884</v>
      </c>
      <c r="H69" t="str">
        <f>"Rpl5"</f>
        <v>Rpl5</v>
      </c>
      <c r="I69" t="s">
        <v>32</v>
      </c>
      <c r="J69" t="s">
        <v>37</v>
      </c>
      <c r="K69">
        <v>10090</v>
      </c>
      <c r="L69" s="3" t="str">
        <f>HYPERLINK("http://www.uniprot.org/uniprot/P47962", "P47962")</f>
        <v>P47962</v>
      </c>
      <c r="M69" t="s">
        <v>885</v>
      </c>
      <c r="N69" t="str">
        <f>"Rpl5"</f>
        <v>Rpl5</v>
      </c>
      <c r="O69" s="3" t="str">
        <f>HYPERLINK("http://www.informatics.jax.org/marker/MGI:102854", "MGI:102854")</f>
        <v>MGI:102854</v>
      </c>
      <c r="P69" t="s">
        <v>886</v>
      </c>
      <c r="Q69" t="s">
        <v>32</v>
      </c>
      <c r="R69" t="s">
        <v>40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887</v>
      </c>
      <c r="Y69" t="s">
        <v>516</v>
      </c>
      <c r="Z69" t="s">
        <v>126</v>
      </c>
      <c r="AA69" t="s">
        <v>888</v>
      </c>
      <c r="AB69" t="s">
        <v>889</v>
      </c>
      <c r="AC69" t="s">
        <v>890</v>
      </c>
      <c r="AD69" t="s">
        <v>32</v>
      </c>
      <c r="AE69" t="s">
        <v>765</v>
      </c>
      <c r="AF69" t="s">
        <v>46835</v>
      </c>
    </row>
    <row r="70" spans="1:32" x14ac:dyDescent="0.2">
      <c r="A70">
        <v>65</v>
      </c>
      <c r="B70" t="s">
        <v>891</v>
      </c>
      <c r="C70" t="s">
        <v>892</v>
      </c>
      <c r="D70" t="s">
        <v>893</v>
      </c>
      <c r="E70" t="s">
        <v>894</v>
      </c>
      <c r="F70" t="s">
        <v>895</v>
      </c>
      <c r="G70" t="s">
        <v>896</v>
      </c>
      <c r="H70" t="str">
        <f>"Rpl6"</f>
        <v>Rpl6</v>
      </c>
      <c r="I70" t="s">
        <v>32</v>
      </c>
      <c r="J70" t="s">
        <v>37</v>
      </c>
      <c r="K70">
        <v>10090</v>
      </c>
      <c r="L70" s="3" t="str">
        <f>HYPERLINK("http://www.uniprot.org/uniprot/P47911", "P47911")</f>
        <v>P47911</v>
      </c>
      <c r="M70" t="s">
        <v>897</v>
      </c>
      <c r="N70" t="str">
        <f>"Rpl6"</f>
        <v>Rpl6</v>
      </c>
      <c r="O70" s="3" t="str">
        <f>HYPERLINK("http://www.informatics.jax.org/marker/MGI:108057", "MGI:108057")</f>
        <v>MGI:108057</v>
      </c>
      <c r="P70" t="s">
        <v>898</v>
      </c>
      <c r="Q70" t="s">
        <v>32</v>
      </c>
      <c r="R70" t="s">
        <v>874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447</v>
      </c>
      <c r="Y70" t="s">
        <v>516</v>
      </c>
      <c r="Z70" t="s">
        <v>126</v>
      </c>
      <c r="AA70" t="s">
        <v>899</v>
      </c>
      <c r="AB70" t="s">
        <v>900</v>
      </c>
      <c r="AC70" t="s">
        <v>901</v>
      </c>
      <c r="AD70" t="s">
        <v>32</v>
      </c>
      <c r="AE70" t="s">
        <v>765</v>
      </c>
      <c r="AF70" t="s">
        <v>46835</v>
      </c>
    </row>
    <row r="71" spans="1:32" x14ac:dyDescent="0.2">
      <c r="A71">
        <v>66</v>
      </c>
      <c r="B71" t="s">
        <v>902</v>
      </c>
      <c r="C71" t="s">
        <v>903</v>
      </c>
      <c r="D71" t="s">
        <v>904</v>
      </c>
      <c r="E71" t="s">
        <v>905</v>
      </c>
      <c r="F71" t="s">
        <v>906</v>
      </c>
      <c r="G71" t="s">
        <v>907</v>
      </c>
      <c r="H71" t="str">
        <f>"Ank2"</f>
        <v>Ank2</v>
      </c>
      <c r="I71" t="s">
        <v>32</v>
      </c>
      <c r="J71" t="s">
        <v>37</v>
      </c>
      <c r="K71">
        <v>10090</v>
      </c>
      <c r="L71" s="3" t="str">
        <f>HYPERLINK("http://www.uniprot.org/uniprot/Q8C8R3", "Q8C8R3")</f>
        <v>Q8C8R3</v>
      </c>
      <c r="M71" t="s">
        <v>908</v>
      </c>
      <c r="N71" t="str">
        <f>"Ank2"</f>
        <v>Ank2</v>
      </c>
      <c r="O71" s="3" t="str">
        <f>HYPERLINK("http://www.informatics.jax.org/marker/MGI:88025", "MGI:88025")</f>
        <v>MGI:88025</v>
      </c>
      <c r="P71" t="s">
        <v>909</v>
      </c>
      <c r="Q71" t="s">
        <v>910</v>
      </c>
      <c r="R71" t="s">
        <v>911</v>
      </c>
      <c r="S71" t="s">
        <v>41</v>
      </c>
      <c r="T71" t="s">
        <v>32</v>
      </c>
      <c r="U71" t="s">
        <v>32</v>
      </c>
      <c r="V71" t="s">
        <v>912</v>
      </c>
      <c r="W71" t="s">
        <v>32</v>
      </c>
      <c r="X71" t="s">
        <v>32</v>
      </c>
      <c r="Y71" t="s">
        <v>618</v>
      </c>
      <c r="Z71" t="s">
        <v>32</v>
      </c>
      <c r="AA71" t="s">
        <v>913</v>
      </c>
      <c r="AB71" t="s">
        <v>914</v>
      </c>
      <c r="AC71" t="s">
        <v>915</v>
      </c>
      <c r="AD71" t="s">
        <v>32</v>
      </c>
      <c r="AE71" t="s">
        <v>32</v>
      </c>
      <c r="AF71" t="s">
        <v>46835</v>
      </c>
    </row>
    <row r="72" spans="1:32" x14ac:dyDescent="0.2">
      <c r="A72">
        <v>67</v>
      </c>
      <c r="B72" t="s">
        <v>916</v>
      </c>
      <c r="C72" t="s">
        <v>917</v>
      </c>
      <c r="D72" t="s">
        <v>918</v>
      </c>
      <c r="E72" t="s">
        <v>919</v>
      </c>
      <c r="F72" t="s">
        <v>920</v>
      </c>
      <c r="G72" t="s">
        <v>921</v>
      </c>
      <c r="H72" t="str">
        <f>"Tpi1"</f>
        <v>Tpi1</v>
      </c>
      <c r="I72" t="s">
        <v>922</v>
      </c>
      <c r="J72" t="s">
        <v>37</v>
      </c>
      <c r="K72">
        <v>10090</v>
      </c>
      <c r="L72" s="3" t="str">
        <f>HYPERLINK("http://www.uniprot.org/uniprot/P17751", "P17751")</f>
        <v>P17751</v>
      </c>
      <c r="M72" t="s">
        <v>923</v>
      </c>
      <c r="N72" t="str">
        <f>"Tpi1"</f>
        <v>Tpi1</v>
      </c>
      <c r="O72" s="3" t="str">
        <f>HYPERLINK("http://www.informatics.jax.org/marker/MGI:98797", "MGI:98797")</f>
        <v>MGI:98797</v>
      </c>
      <c r="P72" t="s">
        <v>924</v>
      </c>
      <c r="Q72" t="s">
        <v>925</v>
      </c>
      <c r="R72" t="s">
        <v>418</v>
      </c>
      <c r="S72" t="s">
        <v>477</v>
      </c>
      <c r="T72" t="s">
        <v>32</v>
      </c>
      <c r="U72" t="s">
        <v>32</v>
      </c>
      <c r="V72" t="s">
        <v>32</v>
      </c>
      <c r="W72" t="s">
        <v>32</v>
      </c>
      <c r="X72" t="s">
        <v>926</v>
      </c>
      <c r="Y72" t="s">
        <v>875</v>
      </c>
      <c r="Z72" t="s">
        <v>32</v>
      </c>
      <c r="AA72" t="s">
        <v>927</v>
      </c>
      <c r="AB72" t="s">
        <v>928</v>
      </c>
      <c r="AC72" t="s">
        <v>929</v>
      </c>
      <c r="AD72" t="s">
        <v>930</v>
      </c>
      <c r="AE72" t="s">
        <v>230</v>
      </c>
      <c r="AF72" t="s">
        <v>46835</v>
      </c>
    </row>
    <row r="73" spans="1:32" x14ac:dyDescent="0.2">
      <c r="A73">
        <v>68</v>
      </c>
      <c r="B73" t="s">
        <v>931</v>
      </c>
      <c r="C73" t="s">
        <v>932</v>
      </c>
      <c r="D73" t="s">
        <v>933</v>
      </c>
      <c r="E73" t="s">
        <v>934</v>
      </c>
      <c r="F73" t="s">
        <v>935</v>
      </c>
      <c r="G73" t="s">
        <v>936</v>
      </c>
      <c r="H73" t="str">
        <f>"Hnrnpu"</f>
        <v>Hnrnpu</v>
      </c>
      <c r="I73" t="s">
        <v>32</v>
      </c>
      <c r="J73" t="s">
        <v>37</v>
      </c>
      <c r="K73">
        <v>10090</v>
      </c>
      <c r="L73" s="3" t="str">
        <f>HYPERLINK("http://www.uniprot.org/uniprot/Q8VEK3", "Q8VEK3")</f>
        <v>Q8VEK3</v>
      </c>
      <c r="M73" t="s">
        <v>937</v>
      </c>
      <c r="N73" t="str">
        <f>"Hnrnpu"</f>
        <v>Hnrnpu</v>
      </c>
      <c r="O73" s="3" t="str">
        <f>HYPERLINK("http://www.informatics.jax.org/marker/MGI:1858195", "MGI:1858195")</f>
        <v>MGI:1858195</v>
      </c>
      <c r="P73" t="s">
        <v>938</v>
      </c>
      <c r="Q73" t="s">
        <v>939</v>
      </c>
      <c r="R73" t="s">
        <v>940</v>
      </c>
      <c r="S73" t="s">
        <v>41</v>
      </c>
      <c r="T73" t="s">
        <v>32</v>
      </c>
      <c r="U73" t="s">
        <v>32</v>
      </c>
      <c r="V73" t="s">
        <v>290</v>
      </c>
      <c r="W73" t="s">
        <v>205</v>
      </c>
      <c r="X73" t="s">
        <v>941</v>
      </c>
      <c r="Y73" t="s">
        <v>942</v>
      </c>
      <c r="Z73" t="s">
        <v>32</v>
      </c>
      <c r="AA73" t="s">
        <v>943</v>
      </c>
      <c r="AB73" t="s">
        <v>944</v>
      </c>
      <c r="AC73" t="s">
        <v>945</v>
      </c>
      <c r="AD73" t="s">
        <v>32</v>
      </c>
      <c r="AE73" t="s">
        <v>946</v>
      </c>
      <c r="AF73" t="s">
        <v>46835</v>
      </c>
    </row>
    <row r="74" spans="1:32" x14ac:dyDescent="0.2">
      <c r="A74">
        <v>69</v>
      </c>
      <c r="B74" t="s">
        <v>947</v>
      </c>
      <c r="C74" t="s">
        <v>948</v>
      </c>
      <c r="D74" t="s">
        <v>949</v>
      </c>
      <c r="E74" t="s">
        <v>950</v>
      </c>
      <c r="F74" t="s">
        <v>951</v>
      </c>
      <c r="G74" t="s">
        <v>952</v>
      </c>
      <c r="H74" t="str">
        <f>"Ncl"</f>
        <v>Ncl</v>
      </c>
      <c r="I74" t="s">
        <v>953</v>
      </c>
      <c r="J74" t="s">
        <v>37</v>
      </c>
      <c r="K74">
        <v>10090</v>
      </c>
      <c r="L74" s="3" t="str">
        <f>HYPERLINK("http://www.uniprot.org/uniprot/P09405", "P09405")</f>
        <v>P09405</v>
      </c>
      <c r="M74" t="s">
        <v>954</v>
      </c>
      <c r="N74" t="str">
        <f>"Ncl"</f>
        <v>Ncl</v>
      </c>
      <c r="O74" s="3" t="str">
        <f>HYPERLINK("http://www.informatics.jax.org/marker/MGI:97286", "MGI:97286")</f>
        <v>MGI:97286</v>
      </c>
      <c r="P74" t="s">
        <v>955</v>
      </c>
      <c r="Q74" t="s">
        <v>32</v>
      </c>
      <c r="R74" t="s">
        <v>40</v>
      </c>
      <c r="S74" t="s">
        <v>32</v>
      </c>
      <c r="T74" t="s">
        <v>32</v>
      </c>
      <c r="U74" t="s">
        <v>32</v>
      </c>
      <c r="V74" t="s">
        <v>55</v>
      </c>
      <c r="W74" t="s">
        <v>32</v>
      </c>
      <c r="X74" t="s">
        <v>956</v>
      </c>
      <c r="Y74" t="s">
        <v>207</v>
      </c>
      <c r="Z74" t="s">
        <v>32</v>
      </c>
      <c r="AA74" t="s">
        <v>957</v>
      </c>
      <c r="AB74" t="s">
        <v>958</v>
      </c>
      <c r="AC74" t="s">
        <v>959</v>
      </c>
      <c r="AD74" t="s">
        <v>32</v>
      </c>
      <c r="AE74" t="s">
        <v>960</v>
      </c>
      <c r="AF74" t="s">
        <v>46835</v>
      </c>
    </row>
    <row r="75" spans="1:32" x14ac:dyDescent="0.2">
      <c r="A75">
        <v>70</v>
      </c>
      <c r="B75" t="s">
        <v>961</v>
      </c>
      <c r="C75" t="s">
        <v>962</v>
      </c>
      <c r="D75" t="s">
        <v>963</v>
      </c>
      <c r="E75" t="s">
        <v>964</v>
      </c>
      <c r="F75" t="s">
        <v>965</v>
      </c>
      <c r="G75" t="s">
        <v>966</v>
      </c>
      <c r="H75" t="str">
        <f>"Cct2"</f>
        <v>Cct2</v>
      </c>
      <c r="I75" t="s">
        <v>967</v>
      </c>
      <c r="J75" t="s">
        <v>37</v>
      </c>
      <c r="K75">
        <v>10090</v>
      </c>
      <c r="L75" s="3" t="str">
        <f>HYPERLINK("http://www.uniprot.org/uniprot/P80314", "P80314")</f>
        <v>P80314</v>
      </c>
      <c r="M75" t="s">
        <v>968</v>
      </c>
      <c r="N75" t="str">
        <f>"Cct2"</f>
        <v>Cct2</v>
      </c>
      <c r="O75" s="3" t="str">
        <f>HYPERLINK("http://www.informatics.jax.org/marker/MGI:107186", "MGI:107186")</f>
        <v>MGI:107186</v>
      </c>
      <c r="P75" t="s">
        <v>969</v>
      </c>
      <c r="Q75" t="s">
        <v>32</v>
      </c>
      <c r="R75" t="s">
        <v>418</v>
      </c>
      <c r="S75" t="s">
        <v>32</v>
      </c>
      <c r="T75" t="s">
        <v>32</v>
      </c>
      <c r="U75" t="s">
        <v>32</v>
      </c>
      <c r="V75" t="s">
        <v>32</v>
      </c>
      <c r="W75" t="s">
        <v>205</v>
      </c>
      <c r="X75" t="s">
        <v>388</v>
      </c>
      <c r="Y75" t="s">
        <v>516</v>
      </c>
      <c r="Z75" t="s">
        <v>32</v>
      </c>
      <c r="AA75" t="s">
        <v>970</v>
      </c>
      <c r="AB75" t="s">
        <v>971</v>
      </c>
      <c r="AC75" t="s">
        <v>799</v>
      </c>
      <c r="AD75" t="s">
        <v>32</v>
      </c>
      <c r="AE75" t="s">
        <v>972</v>
      </c>
      <c r="AF75" t="s">
        <v>46835</v>
      </c>
    </row>
    <row r="76" spans="1:32" x14ac:dyDescent="0.2">
      <c r="A76">
        <v>71</v>
      </c>
      <c r="B76" t="s">
        <v>973</v>
      </c>
      <c r="C76" t="s">
        <v>974</v>
      </c>
      <c r="D76" t="s">
        <v>975</v>
      </c>
      <c r="E76" t="s">
        <v>976</v>
      </c>
      <c r="F76" t="s">
        <v>977</v>
      </c>
      <c r="G76" t="s">
        <v>32</v>
      </c>
      <c r="H76" t="str">
        <f>"Aldoa"</f>
        <v>Aldoa</v>
      </c>
      <c r="I76" t="s">
        <v>978</v>
      </c>
      <c r="J76" t="s">
        <v>37</v>
      </c>
      <c r="K76">
        <v>10090</v>
      </c>
      <c r="L76" s="3" t="str">
        <f>HYPERLINK("http://www.uniprot.org/uniprot/P05064", "P05064")</f>
        <v>P05064</v>
      </c>
      <c r="M76" t="s">
        <v>979</v>
      </c>
      <c r="N76" t="str">
        <f>"Aldoa"</f>
        <v>Aldoa</v>
      </c>
      <c r="O76" s="3" t="str">
        <f>HYPERLINK("http://www.informatics.jax.org/marker/MGI:87994", "MGI:87994")</f>
        <v>MGI:87994</v>
      </c>
      <c r="P76" t="s">
        <v>980</v>
      </c>
      <c r="Q76" t="s">
        <v>221</v>
      </c>
      <c r="R76" t="s">
        <v>418</v>
      </c>
      <c r="S76" t="s">
        <v>32</v>
      </c>
      <c r="T76" t="s">
        <v>32</v>
      </c>
      <c r="U76" t="s">
        <v>32</v>
      </c>
      <c r="V76" t="s">
        <v>32</v>
      </c>
      <c r="W76" t="s">
        <v>981</v>
      </c>
      <c r="X76" t="s">
        <v>224</v>
      </c>
      <c r="Y76" t="s">
        <v>225</v>
      </c>
      <c r="Z76" t="s">
        <v>32</v>
      </c>
      <c r="AA76" t="s">
        <v>982</v>
      </c>
      <c r="AB76" t="s">
        <v>983</v>
      </c>
      <c r="AC76" t="s">
        <v>984</v>
      </c>
      <c r="AD76" t="s">
        <v>985</v>
      </c>
      <c r="AE76" t="s">
        <v>986</v>
      </c>
      <c r="AF76" t="s">
        <v>46835</v>
      </c>
    </row>
    <row r="77" spans="1:32" x14ac:dyDescent="0.2">
      <c r="A77">
        <v>72</v>
      </c>
      <c r="B77" t="s">
        <v>987</v>
      </c>
      <c r="C77" t="s">
        <v>988</v>
      </c>
      <c r="D77" t="s">
        <v>989</v>
      </c>
      <c r="E77" t="s">
        <v>990</v>
      </c>
      <c r="F77" t="s">
        <v>991</v>
      </c>
      <c r="G77" t="s">
        <v>992</v>
      </c>
      <c r="H77" t="str">
        <f>"Stip1"</f>
        <v>Stip1</v>
      </c>
      <c r="I77" t="s">
        <v>32</v>
      </c>
      <c r="J77" t="s">
        <v>37</v>
      </c>
      <c r="K77">
        <v>10090</v>
      </c>
      <c r="L77" s="3" t="str">
        <f>HYPERLINK("http://www.uniprot.org/uniprot/Q60864", "Q60864")</f>
        <v>Q60864</v>
      </c>
      <c r="M77" t="s">
        <v>993</v>
      </c>
      <c r="N77" t="str">
        <f>"Stip1"</f>
        <v>Stip1</v>
      </c>
      <c r="O77" s="3" t="str">
        <f>HYPERLINK("http://www.informatics.jax.org/marker/MGI:109130", "MGI:109130")</f>
        <v>MGI:109130</v>
      </c>
      <c r="P77" t="s">
        <v>994</v>
      </c>
      <c r="Q77" t="s">
        <v>32</v>
      </c>
      <c r="R77" t="s">
        <v>40</v>
      </c>
      <c r="S77" t="s">
        <v>32</v>
      </c>
      <c r="T77" t="s">
        <v>32</v>
      </c>
      <c r="U77" t="s">
        <v>32</v>
      </c>
      <c r="V77" t="s">
        <v>995</v>
      </c>
      <c r="W77" t="s">
        <v>32</v>
      </c>
      <c r="X77" t="s">
        <v>32</v>
      </c>
      <c r="Y77" t="s">
        <v>516</v>
      </c>
      <c r="Z77" t="s">
        <v>32</v>
      </c>
      <c r="AA77" t="s">
        <v>996</v>
      </c>
      <c r="AB77" t="s">
        <v>997</v>
      </c>
      <c r="AC77" t="s">
        <v>998</v>
      </c>
      <c r="AD77" t="s">
        <v>32</v>
      </c>
      <c r="AE77" t="s">
        <v>999</v>
      </c>
      <c r="AF77" t="s">
        <v>46835</v>
      </c>
    </row>
    <row r="78" spans="1:32" x14ac:dyDescent="0.2">
      <c r="A78">
        <v>73</v>
      </c>
      <c r="B78" t="s">
        <v>1000</v>
      </c>
      <c r="C78" t="s">
        <v>1001</v>
      </c>
      <c r="D78" t="s">
        <v>32</v>
      </c>
      <c r="E78" t="s">
        <v>1002</v>
      </c>
      <c r="F78" t="s">
        <v>1003</v>
      </c>
      <c r="G78" t="s">
        <v>1004</v>
      </c>
      <c r="H78" t="str">
        <f>"Rpl32"</f>
        <v>Rpl32</v>
      </c>
      <c r="I78" t="s">
        <v>32</v>
      </c>
      <c r="J78" t="s">
        <v>37</v>
      </c>
      <c r="K78">
        <v>10090</v>
      </c>
      <c r="L78" s="3" t="str">
        <f>HYPERLINK("http://www.uniprot.org/uniprot/P62911", "P62911")</f>
        <v>P62911</v>
      </c>
      <c r="M78" t="s">
        <v>1005</v>
      </c>
      <c r="N78" t="str">
        <f>"Rpl32"</f>
        <v>Rpl32</v>
      </c>
      <c r="O78" s="3" t="str">
        <f>HYPERLINK("http://www.informatics.jax.org/marker/MGI:98038", "MGI:98038")</f>
        <v>MGI:98038</v>
      </c>
      <c r="P78" t="s">
        <v>1006</v>
      </c>
      <c r="Q78" t="s">
        <v>32</v>
      </c>
      <c r="R78" t="s">
        <v>418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447</v>
      </c>
      <c r="Y78" t="s">
        <v>1007</v>
      </c>
      <c r="Z78" t="s">
        <v>126</v>
      </c>
      <c r="AA78" t="s">
        <v>1008</v>
      </c>
      <c r="AB78" t="s">
        <v>1009</v>
      </c>
      <c r="AC78" t="s">
        <v>1010</v>
      </c>
      <c r="AD78" t="s">
        <v>32</v>
      </c>
      <c r="AE78" t="s">
        <v>765</v>
      </c>
      <c r="AF78" t="s">
        <v>46835</v>
      </c>
    </row>
    <row r="79" spans="1:32" x14ac:dyDescent="0.2">
      <c r="A79">
        <v>74</v>
      </c>
      <c r="B79" t="s">
        <v>1011</v>
      </c>
      <c r="C79" t="s">
        <v>1012</v>
      </c>
      <c r="D79" t="s">
        <v>1013</v>
      </c>
      <c r="E79" t="s">
        <v>1014</v>
      </c>
      <c r="F79" t="s">
        <v>1015</v>
      </c>
      <c r="G79" t="s">
        <v>1016</v>
      </c>
      <c r="H79" t="str">
        <f>"Uba1"</f>
        <v>Uba1</v>
      </c>
      <c r="I79" t="s">
        <v>1017</v>
      </c>
      <c r="J79" t="s">
        <v>37</v>
      </c>
      <c r="K79">
        <v>10090</v>
      </c>
      <c r="L79" s="3" t="str">
        <f>HYPERLINK("http://www.uniprot.org/uniprot/Q02053", "Q02053")</f>
        <v>Q02053</v>
      </c>
      <c r="M79" t="s">
        <v>1018</v>
      </c>
      <c r="N79" t="str">
        <f>"Uba1"</f>
        <v>Uba1</v>
      </c>
      <c r="O79" s="3" t="str">
        <f>HYPERLINK("http://www.informatics.jax.org/marker/MGI:98890", "MGI:98890")</f>
        <v>MGI:98890</v>
      </c>
      <c r="P79" t="s">
        <v>1019</v>
      </c>
      <c r="Q79" t="s">
        <v>1020</v>
      </c>
      <c r="R79" t="s">
        <v>1021</v>
      </c>
      <c r="S79" t="s">
        <v>32</v>
      </c>
      <c r="T79" t="s">
        <v>32</v>
      </c>
      <c r="U79" t="s">
        <v>32</v>
      </c>
      <c r="V79" t="s">
        <v>55</v>
      </c>
      <c r="W79" t="s">
        <v>205</v>
      </c>
      <c r="X79" t="s">
        <v>1022</v>
      </c>
      <c r="Y79" t="s">
        <v>1023</v>
      </c>
      <c r="Z79" t="s">
        <v>126</v>
      </c>
      <c r="AA79" t="s">
        <v>1024</v>
      </c>
      <c r="AB79" t="s">
        <v>1025</v>
      </c>
      <c r="AC79" t="s">
        <v>1026</v>
      </c>
      <c r="AD79" t="s">
        <v>1027</v>
      </c>
      <c r="AE79" t="s">
        <v>1028</v>
      </c>
      <c r="AF79" t="s">
        <v>46835</v>
      </c>
    </row>
    <row r="80" spans="1:32" x14ac:dyDescent="0.2">
      <c r="A80">
        <v>75</v>
      </c>
      <c r="B80" t="s">
        <v>1029</v>
      </c>
      <c r="C80" t="s">
        <v>1030</v>
      </c>
      <c r="D80" t="s">
        <v>1031</v>
      </c>
      <c r="E80" t="s">
        <v>1032</v>
      </c>
      <c r="F80" t="s">
        <v>1033</v>
      </c>
      <c r="G80" t="s">
        <v>1034</v>
      </c>
      <c r="H80" t="str">
        <f>"Hspd1"</f>
        <v>Hspd1</v>
      </c>
      <c r="I80" t="s">
        <v>1035</v>
      </c>
      <c r="J80" t="s">
        <v>37</v>
      </c>
      <c r="K80">
        <v>10090</v>
      </c>
      <c r="L80" s="3" t="str">
        <f>HYPERLINK("http://www.uniprot.org/uniprot/P63038", "P63038")</f>
        <v>P63038</v>
      </c>
      <c r="M80" t="s">
        <v>1036</v>
      </c>
      <c r="N80" t="str">
        <f>"Hspd1"</f>
        <v>Hspd1</v>
      </c>
      <c r="O80" s="3" t="str">
        <f>HYPERLINK("http://www.informatics.jax.org/marker/MGI:96242", "MGI:96242")</f>
        <v>MGI:96242</v>
      </c>
      <c r="P80" t="s">
        <v>1037</v>
      </c>
      <c r="Q80" t="s">
        <v>32</v>
      </c>
      <c r="R80" t="s">
        <v>1038</v>
      </c>
      <c r="S80" t="s">
        <v>41</v>
      </c>
      <c r="T80" t="s">
        <v>32</v>
      </c>
      <c r="U80" t="s">
        <v>32</v>
      </c>
      <c r="V80" t="s">
        <v>1039</v>
      </c>
      <c r="W80" t="s">
        <v>205</v>
      </c>
      <c r="X80" t="s">
        <v>1040</v>
      </c>
      <c r="Y80" t="s">
        <v>516</v>
      </c>
      <c r="Z80" t="s">
        <v>32</v>
      </c>
      <c r="AA80" t="s">
        <v>1041</v>
      </c>
      <c r="AB80" t="s">
        <v>1042</v>
      </c>
      <c r="AC80" t="s">
        <v>1043</v>
      </c>
      <c r="AD80" t="s">
        <v>32</v>
      </c>
      <c r="AE80" t="s">
        <v>1044</v>
      </c>
      <c r="AF80" t="s">
        <v>46835</v>
      </c>
    </row>
    <row r="81" spans="1:32" x14ac:dyDescent="0.2">
      <c r="A81">
        <v>76</v>
      </c>
      <c r="B81" t="s">
        <v>1045</v>
      </c>
      <c r="C81" t="s">
        <v>1046</v>
      </c>
      <c r="D81" t="s">
        <v>1047</v>
      </c>
      <c r="E81" t="s">
        <v>1048</v>
      </c>
      <c r="F81" t="s">
        <v>1049</v>
      </c>
      <c r="G81" t="s">
        <v>1050</v>
      </c>
      <c r="H81" t="str">
        <f>"Rpl7a"</f>
        <v>Rpl7a</v>
      </c>
      <c r="I81" t="s">
        <v>1051</v>
      </c>
      <c r="J81" t="s">
        <v>37</v>
      </c>
      <c r="K81">
        <v>10090</v>
      </c>
      <c r="L81" s="3" t="str">
        <f>HYPERLINK("http://www.uniprot.org/uniprot/P12970", "P12970")</f>
        <v>P12970</v>
      </c>
      <c r="M81" t="s">
        <v>1052</v>
      </c>
      <c r="N81" t="str">
        <f>"Rpl7a"</f>
        <v>Rpl7a</v>
      </c>
      <c r="O81" s="3" t="str">
        <f>HYPERLINK("http://www.informatics.jax.org/marker/MGI:1353472", "MGI:1353472")</f>
        <v>MGI:1353472</v>
      </c>
      <c r="P81" t="s">
        <v>1053</v>
      </c>
      <c r="Q81" t="s">
        <v>32</v>
      </c>
      <c r="R81" t="s">
        <v>418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447</v>
      </c>
      <c r="Y81" t="s">
        <v>461</v>
      </c>
      <c r="Z81" t="s">
        <v>126</v>
      </c>
      <c r="AA81" t="s">
        <v>1054</v>
      </c>
      <c r="AB81" t="s">
        <v>1055</v>
      </c>
      <c r="AC81" t="s">
        <v>1056</v>
      </c>
      <c r="AD81" t="s">
        <v>32</v>
      </c>
      <c r="AE81" t="s">
        <v>32</v>
      </c>
      <c r="AF81" t="s">
        <v>46835</v>
      </c>
    </row>
    <row r="82" spans="1:32" x14ac:dyDescent="0.2">
      <c r="A82">
        <v>77</v>
      </c>
      <c r="B82" t="s">
        <v>1057</v>
      </c>
      <c r="C82" t="s">
        <v>1058</v>
      </c>
      <c r="D82" t="s">
        <v>1059</v>
      </c>
      <c r="E82" t="s">
        <v>1060</v>
      </c>
      <c r="F82" t="s">
        <v>1061</v>
      </c>
      <c r="G82" t="s">
        <v>1062</v>
      </c>
      <c r="H82" t="str">
        <f>"Pdia4"</f>
        <v>Pdia4</v>
      </c>
      <c r="I82" t="s">
        <v>1063</v>
      </c>
      <c r="J82" t="s">
        <v>37</v>
      </c>
      <c r="K82">
        <v>10090</v>
      </c>
      <c r="L82" s="3" t="str">
        <f>HYPERLINK("http://www.uniprot.org/uniprot/P08003", "P08003")</f>
        <v>P08003</v>
      </c>
      <c r="M82" t="s">
        <v>1064</v>
      </c>
      <c r="N82" t="str">
        <f>"Pdia4"</f>
        <v>Pdia4</v>
      </c>
      <c r="O82" s="3" t="str">
        <f>HYPERLINK("http://www.informatics.jax.org/marker/MGI:104864", "MGI:104864")</f>
        <v>MGI:104864</v>
      </c>
      <c r="P82" t="s">
        <v>1065</v>
      </c>
      <c r="Q82" t="s">
        <v>32</v>
      </c>
      <c r="R82" t="s">
        <v>671</v>
      </c>
      <c r="S82" t="s">
        <v>32</v>
      </c>
      <c r="T82" t="s">
        <v>32</v>
      </c>
      <c r="U82" t="s">
        <v>32</v>
      </c>
      <c r="V82" t="s">
        <v>672</v>
      </c>
      <c r="W82" t="s">
        <v>32</v>
      </c>
      <c r="X82" t="s">
        <v>673</v>
      </c>
      <c r="Y82" t="s">
        <v>1066</v>
      </c>
      <c r="Z82" t="s">
        <v>126</v>
      </c>
      <c r="AA82" t="s">
        <v>1067</v>
      </c>
      <c r="AB82" t="s">
        <v>1068</v>
      </c>
      <c r="AC82" t="s">
        <v>1069</v>
      </c>
      <c r="AD82" t="s">
        <v>32</v>
      </c>
      <c r="AE82" t="s">
        <v>32</v>
      </c>
      <c r="AF82" t="s">
        <v>46835</v>
      </c>
    </row>
    <row r="83" spans="1:32" x14ac:dyDescent="0.2">
      <c r="A83">
        <v>78</v>
      </c>
      <c r="B83" t="s">
        <v>1070</v>
      </c>
      <c r="C83" t="s">
        <v>1071</v>
      </c>
      <c r="D83" t="s">
        <v>32</v>
      </c>
      <c r="E83" t="s">
        <v>1072</v>
      </c>
      <c r="F83" t="s">
        <v>1073</v>
      </c>
      <c r="G83" t="s">
        <v>1074</v>
      </c>
      <c r="H83" t="str">
        <f>"Rpl7"</f>
        <v>Rpl7</v>
      </c>
      <c r="I83" t="s">
        <v>32</v>
      </c>
      <c r="J83" t="s">
        <v>37</v>
      </c>
      <c r="K83">
        <v>10090</v>
      </c>
      <c r="L83" s="3" t="str">
        <f>HYPERLINK("http://www.uniprot.org/uniprot/P14148", "P14148")</f>
        <v>P14148</v>
      </c>
      <c r="M83" t="s">
        <v>1075</v>
      </c>
      <c r="N83" t="str">
        <f>"Rpl7"</f>
        <v>Rpl7</v>
      </c>
      <c r="O83" s="3" t="str">
        <f>HYPERLINK("http://www.informatics.jax.org/marker/MGI:98073", "MGI:98073")</f>
        <v>MGI:98073</v>
      </c>
      <c r="P83" t="s">
        <v>1076</v>
      </c>
      <c r="Q83" t="s">
        <v>32</v>
      </c>
      <c r="R83" t="s">
        <v>418</v>
      </c>
      <c r="S83" t="s">
        <v>32</v>
      </c>
      <c r="T83" t="s">
        <v>32</v>
      </c>
      <c r="U83" t="s">
        <v>32</v>
      </c>
      <c r="V83" t="s">
        <v>55</v>
      </c>
      <c r="W83" t="s">
        <v>32</v>
      </c>
      <c r="X83" t="s">
        <v>1077</v>
      </c>
      <c r="Y83" t="s">
        <v>157</v>
      </c>
      <c r="Z83" t="s">
        <v>126</v>
      </c>
      <c r="AA83" t="s">
        <v>1078</v>
      </c>
      <c r="AB83" t="s">
        <v>1079</v>
      </c>
      <c r="AC83" t="s">
        <v>1080</v>
      </c>
      <c r="AD83" t="s">
        <v>32</v>
      </c>
      <c r="AE83" t="s">
        <v>765</v>
      </c>
      <c r="AF83" t="s">
        <v>46835</v>
      </c>
    </row>
    <row r="84" spans="1:32" x14ac:dyDescent="0.2">
      <c r="A84">
        <v>79</v>
      </c>
      <c r="B84" t="s">
        <v>1081</v>
      </c>
      <c r="C84" t="s">
        <v>1082</v>
      </c>
      <c r="D84" t="s">
        <v>1083</v>
      </c>
      <c r="E84" t="s">
        <v>1084</v>
      </c>
      <c r="F84" t="s">
        <v>1085</v>
      </c>
      <c r="G84" t="s">
        <v>1086</v>
      </c>
      <c r="H84" t="str">
        <f>"Prdx2"</f>
        <v>Prdx2</v>
      </c>
      <c r="I84" t="s">
        <v>1087</v>
      </c>
      <c r="J84" t="s">
        <v>37</v>
      </c>
      <c r="K84">
        <v>10090</v>
      </c>
      <c r="L84" s="3" t="str">
        <f>HYPERLINK("http://www.uniprot.org/uniprot/Q61171", "Q61171")</f>
        <v>Q61171</v>
      </c>
      <c r="M84" t="s">
        <v>1088</v>
      </c>
      <c r="N84" t="str">
        <f>"Prdx2"</f>
        <v>Prdx2</v>
      </c>
      <c r="O84" s="3" t="str">
        <f>HYPERLINK("http://www.informatics.jax.org/marker/MGI:109486", "MGI:109486")</f>
        <v>MGI:109486</v>
      </c>
      <c r="P84" t="s">
        <v>1089</v>
      </c>
      <c r="Q84" t="s">
        <v>32</v>
      </c>
      <c r="R84" t="s">
        <v>418</v>
      </c>
      <c r="S84" t="s">
        <v>32</v>
      </c>
      <c r="T84" t="s">
        <v>32</v>
      </c>
      <c r="U84" t="s">
        <v>32</v>
      </c>
      <c r="V84" t="s">
        <v>1090</v>
      </c>
      <c r="W84" t="s">
        <v>32</v>
      </c>
      <c r="X84" t="s">
        <v>1091</v>
      </c>
      <c r="Y84" t="s">
        <v>480</v>
      </c>
      <c r="Z84" t="s">
        <v>32</v>
      </c>
      <c r="AA84" t="s">
        <v>1092</v>
      </c>
      <c r="AB84" t="s">
        <v>1093</v>
      </c>
      <c r="AC84" t="s">
        <v>1094</v>
      </c>
      <c r="AD84" t="s">
        <v>32</v>
      </c>
      <c r="AE84" t="s">
        <v>1095</v>
      </c>
      <c r="AF84" t="s">
        <v>46835</v>
      </c>
    </row>
    <row r="85" spans="1:32" x14ac:dyDescent="0.2">
      <c r="A85">
        <v>80</v>
      </c>
      <c r="B85" t="s">
        <v>1096</v>
      </c>
      <c r="C85" t="s">
        <v>1097</v>
      </c>
      <c r="D85" t="s">
        <v>32</v>
      </c>
      <c r="E85" t="s">
        <v>1098</v>
      </c>
      <c r="F85" t="s">
        <v>1099</v>
      </c>
      <c r="G85" t="s">
        <v>1100</v>
      </c>
      <c r="H85" t="str">
        <f>"Eef1b"</f>
        <v>Eef1b</v>
      </c>
      <c r="I85" t="s">
        <v>1101</v>
      </c>
      <c r="J85" t="s">
        <v>37</v>
      </c>
      <c r="K85">
        <v>10090</v>
      </c>
      <c r="L85" s="3" t="str">
        <f>HYPERLINK("http://www.uniprot.org/uniprot/O70251", "O70251")</f>
        <v>O70251</v>
      </c>
      <c r="M85" t="s">
        <v>1102</v>
      </c>
      <c r="N85" t="str">
        <f>"Eef1b2"</f>
        <v>Eef1b2</v>
      </c>
      <c r="O85" s="3" t="str">
        <f>HYPERLINK("http://www.informatics.jax.org/marker/MGI:1929520", "MGI:1929520")</f>
        <v>MGI:1929520</v>
      </c>
      <c r="P85" t="s">
        <v>1103</v>
      </c>
      <c r="Q85" t="s">
        <v>260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262</v>
      </c>
      <c r="Y85" t="s">
        <v>516</v>
      </c>
      <c r="Z85" t="s">
        <v>32</v>
      </c>
      <c r="AA85" t="s">
        <v>1104</v>
      </c>
      <c r="AB85" t="s">
        <v>1105</v>
      </c>
      <c r="AC85" t="s">
        <v>1106</v>
      </c>
      <c r="AD85" t="s">
        <v>32</v>
      </c>
      <c r="AE85" t="s">
        <v>465</v>
      </c>
      <c r="AF85" t="s">
        <v>46835</v>
      </c>
    </row>
    <row r="86" spans="1:32" x14ac:dyDescent="0.2">
      <c r="A86">
        <v>81</v>
      </c>
      <c r="B86" t="s">
        <v>1107</v>
      </c>
      <c r="C86" t="s">
        <v>1108</v>
      </c>
      <c r="D86" t="s">
        <v>1109</v>
      </c>
      <c r="E86" t="s">
        <v>1110</v>
      </c>
      <c r="F86" t="s">
        <v>1111</v>
      </c>
      <c r="G86" t="s">
        <v>1112</v>
      </c>
      <c r="H86" t="str">
        <f>"Cct5"</f>
        <v>Cct5</v>
      </c>
      <c r="I86" t="s">
        <v>1113</v>
      </c>
      <c r="J86" t="s">
        <v>37</v>
      </c>
      <c r="K86">
        <v>10090</v>
      </c>
      <c r="L86" s="3" t="str">
        <f>HYPERLINK("http://www.uniprot.org/uniprot/P80316", "P80316")</f>
        <v>P80316</v>
      </c>
      <c r="M86" t="s">
        <v>1114</v>
      </c>
      <c r="N86" t="str">
        <f>"Cct5"</f>
        <v>Cct5</v>
      </c>
      <c r="O86" s="3" t="str">
        <f>HYPERLINK("http://www.informatics.jax.org/marker/MGI:107185", "MGI:107185")</f>
        <v>MGI:107185</v>
      </c>
      <c r="P86" t="s">
        <v>1115</v>
      </c>
      <c r="Q86" t="s">
        <v>32</v>
      </c>
      <c r="R86" t="s">
        <v>186</v>
      </c>
      <c r="S86" t="s">
        <v>32</v>
      </c>
      <c r="T86" t="s">
        <v>32</v>
      </c>
      <c r="U86" t="s">
        <v>32</v>
      </c>
      <c r="V86" t="s">
        <v>32</v>
      </c>
      <c r="W86" t="s">
        <v>205</v>
      </c>
      <c r="X86" t="s">
        <v>388</v>
      </c>
      <c r="Y86" t="s">
        <v>516</v>
      </c>
      <c r="Z86" t="s">
        <v>32</v>
      </c>
      <c r="AA86" t="s">
        <v>1116</v>
      </c>
      <c r="AB86" t="s">
        <v>1117</v>
      </c>
      <c r="AC86" t="s">
        <v>1118</v>
      </c>
      <c r="AD86" t="s">
        <v>32</v>
      </c>
      <c r="AE86" t="s">
        <v>800</v>
      </c>
      <c r="AF86" t="s">
        <v>46835</v>
      </c>
    </row>
    <row r="87" spans="1:32" x14ac:dyDescent="0.2">
      <c r="A87">
        <v>82</v>
      </c>
      <c r="B87" t="s">
        <v>1119</v>
      </c>
      <c r="C87" t="s">
        <v>1120</v>
      </c>
      <c r="D87" t="s">
        <v>32</v>
      </c>
      <c r="E87" t="s">
        <v>1121</v>
      </c>
      <c r="F87" t="s">
        <v>1122</v>
      </c>
      <c r="G87" t="s">
        <v>1123</v>
      </c>
      <c r="H87" t="str">
        <f>"Hnrnpa2b1"</f>
        <v>Hnrnpa2b1</v>
      </c>
      <c r="I87" t="s">
        <v>1124</v>
      </c>
      <c r="J87" t="s">
        <v>37</v>
      </c>
      <c r="K87">
        <v>10090</v>
      </c>
      <c r="L87" s="3" t="str">
        <f>HYPERLINK("http://www.uniprot.org/uniprot/O88569", "O88569")</f>
        <v>O88569</v>
      </c>
      <c r="M87" t="s">
        <v>1125</v>
      </c>
      <c r="N87" t="str">
        <f>"Hnrnpa2b1"</f>
        <v>Hnrnpa2b1</v>
      </c>
      <c r="O87" s="3" t="str">
        <f>HYPERLINK("http://www.informatics.jax.org/marker/MGI:104819", "MGI:104819")</f>
        <v>MGI:104819</v>
      </c>
      <c r="P87" t="s">
        <v>1126</v>
      </c>
      <c r="Q87" t="s">
        <v>1127</v>
      </c>
      <c r="R87" t="s">
        <v>1128</v>
      </c>
      <c r="S87" t="s">
        <v>41</v>
      </c>
      <c r="T87" t="s">
        <v>32</v>
      </c>
      <c r="U87" t="s">
        <v>32</v>
      </c>
      <c r="V87" t="s">
        <v>55</v>
      </c>
      <c r="W87" t="s">
        <v>32</v>
      </c>
      <c r="X87" t="s">
        <v>1129</v>
      </c>
      <c r="Y87" t="s">
        <v>207</v>
      </c>
      <c r="Z87" t="s">
        <v>32</v>
      </c>
      <c r="AA87" t="s">
        <v>1130</v>
      </c>
      <c r="AB87" t="s">
        <v>1131</v>
      </c>
      <c r="AC87" t="s">
        <v>1132</v>
      </c>
      <c r="AD87" t="s">
        <v>32</v>
      </c>
      <c r="AE87" t="s">
        <v>946</v>
      </c>
      <c r="AF87" t="s">
        <v>46835</v>
      </c>
    </row>
    <row r="88" spans="1:32" x14ac:dyDescent="0.2">
      <c r="A88">
        <v>83</v>
      </c>
      <c r="B88" t="s">
        <v>1133</v>
      </c>
      <c r="C88" t="s">
        <v>1134</v>
      </c>
      <c r="D88" t="s">
        <v>1135</v>
      </c>
      <c r="E88" t="s">
        <v>1136</v>
      </c>
      <c r="F88" t="s">
        <v>1137</v>
      </c>
      <c r="G88" t="s">
        <v>1138</v>
      </c>
      <c r="H88" t="str">
        <f>"Atp5f1a"</f>
        <v>Atp5f1a</v>
      </c>
      <c r="I88" t="s">
        <v>1139</v>
      </c>
      <c r="J88" t="s">
        <v>37</v>
      </c>
      <c r="K88">
        <v>10090</v>
      </c>
      <c r="L88" s="3" t="str">
        <f>HYPERLINK("http://www.uniprot.org/uniprot/Q03265", "Q03265")</f>
        <v>Q03265</v>
      </c>
      <c r="M88" t="s">
        <v>1140</v>
      </c>
      <c r="N88" t="str">
        <f>"Atp5a1"</f>
        <v>Atp5a1</v>
      </c>
      <c r="O88" s="3" t="str">
        <f>HYPERLINK("http://www.informatics.jax.org/marker/MGI:88115", "MGI:88115")</f>
        <v>MGI:88115</v>
      </c>
      <c r="P88" t="s">
        <v>1141</v>
      </c>
      <c r="Q88" t="s">
        <v>1142</v>
      </c>
      <c r="R88" t="s">
        <v>1143</v>
      </c>
      <c r="S88" t="s">
        <v>32</v>
      </c>
      <c r="T88" t="s">
        <v>32</v>
      </c>
      <c r="U88" t="s">
        <v>32</v>
      </c>
      <c r="V88" t="s">
        <v>1039</v>
      </c>
      <c r="W88" t="s">
        <v>205</v>
      </c>
      <c r="X88" t="s">
        <v>32</v>
      </c>
      <c r="Y88" t="s">
        <v>44</v>
      </c>
      <c r="Z88" t="s">
        <v>32</v>
      </c>
      <c r="AA88" t="s">
        <v>1144</v>
      </c>
      <c r="AB88" t="s">
        <v>1145</v>
      </c>
      <c r="AC88" t="s">
        <v>1146</v>
      </c>
      <c r="AD88" t="s">
        <v>32</v>
      </c>
      <c r="AE88" t="s">
        <v>1147</v>
      </c>
      <c r="AF88" t="s">
        <v>46835</v>
      </c>
    </row>
    <row r="89" spans="1:32" x14ac:dyDescent="0.2">
      <c r="A89">
        <v>84</v>
      </c>
      <c r="B89" t="s">
        <v>1148</v>
      </c>
      <c r="C89" t="s">
        <v>1149</v>
      </c>
      <c r="D89" t="s">
        <v>1150</v>
      </c>
      <c r="E89" t="s">
        <v>1151</v>
      </c>
      <c r="F89" t="s">
        <v>1152</v>
      </c>
      <c r="G89" t="s">
        <v>1153</v>
      </c>
      <c r="H89" t="str">
        <f>"Caprin2"</f>
        <v>Caprin2</v>
      </c>
      <c r="I89" t="s">
        <v>32</v>
      </c>
      <c r="J89" t="s">
        <v>37</v>
      </c>
      <c r="K89">
        <v>10090</v>
      </c>
      <c r="L89" s="3" t="str">
        <f>HYPERLINK("http://www.uniprot.org/uniprot/Q05A80", "Q05A80")</f>
        <v>Q05A80</v>
      </c>
      <c r="M89" t="s">
        <v>1154</v>
      </c>
      <c r="N89" t="str">
        <f>"Caprin2"</f>
        <v>Caprin2</v>
      </c>
      <c r="O89" s="3" t="str">
        <f>HYPERLINK("http://www.informatics.jax.org/marker/MGI:2448541", "MGI:2448541")</f>
        <v>MGI:2448541</v>
      </c>
      <c r="P89" t="s">
        <v>1155</v>
      </c>
      <c r="Q89" t="s">
        <v>1156</v>
      </c>
      <c r="R89" t="s">
        <v>222</v>
      </c>
      <c r="S89" t="s">
        <v>41</v>
      </c>
      <c r="T89" t="s">
        <v>32</v>
      </c>
      <c r="U89" t="s">
        <v>32</v>
      </c>
      <c r="V89" t="s">
        <v>32</v>
      </c>
      <c r="W89" t="s">
        <v>188</v>
      </c>
      <c r="X89" t="s">
        <v>1157</v>
      </c>
      <c r="Y89" t="s">
        <v>618</v>
      </c>
      <c r="Z89" t="s">
        <v>32</v>
      </c>
      <c r="AA89" t="s">
        <v>1158</v>
      </c>
      <c r="AB89" t="s">
        <v>1159</v>
      </c>
      <c r="AC89" t="s">
        <v>1160</v>
      </c>
      <c r="AD89" t="s">
        <v>32</v>
      </c>
      <c r="AE89" t="s">
        <v>32</v>
      </c>
      <c r="AF89" t="s">
        <v>46835</v>
      </c>
    </row>
    <row r="90" spans="1:32" x14ac:dyDescent="0.2">
      <c r="A90">
        <v>85</v>
      </c>
      <c r="B90" t="s">
        <v>1161</v>
      </c>
      <c r="C90" t="s">
        <v>1162</v>
      </c>
      <c r="D90" t="s">
        <v>1163</v>
      </c>
      <c r="E90" t="s">
        <v>1164</v>
      </c>
      <c r="F90" t="s">
        <v>1165</v>
      </c>
      <c r="G90" t="s">
        <v>1166</v>
      </c>
      <c r="H90" t="str">
        <f>"Calr"</f>
        <v>Calr</v>
      </c>
      <c r="I90" t="s">
        <v>32</v>
      </c>
      <c r="J90" t="s">
        <v>37</v>
      </c>
      <c r="K90">
        <v>10090</v>
      </c>
      <c r="L90" s="3" t="str">
        <f>HYPERLINK("http://www.uniprot.org/uniprot/P14211", "P14211")</f>
        <v>P14211</v>
      </c>
      <c r="M90" t="s">
        <v>1167</v>
      </c>
      <c r="N90" t="str">
        <f>"Calr"</f>
        <v>Calr</v>
      </c>
      <c r="O90" s="3" t="str">
        <f>HYPERLINK("http://www.informatics.jax.org/marker/MGI:88252", "MGI:88252")</f>
        <v>MGI:88252</v>
      </c>
      <c r="P90" t="s">
        <v>1168</v>
      </c>
      <c r="Q90" t="s">
        <v>32</v>
      </c>
      <c r="R90" t="s">
        <v>1169</v>
      </c>
      <c r="S90" t="s">
        <v>32</v>
      </c>
      <c r="T90" t="s">
        <v>32</v>
      </c>
      <c r="U90" t="s">
        <v>32</v>
      </c>
      <c r="V90" t="s">
        <v>478</v>
      </c>
      <c r="W90" t="s">
        <v>1170</v>
      </c>
      <c r="X90" t="s">
        <v>388</v>
      </c>
      <c r="Y90" t="s">
        <v>1171</v>
      </c>
      <c r="Z90" t="s">
        <v>126</v>
      </c>
      <c r="AA90" t="s">
        <v>1172</v>
      </c>
      <c r="AB90" t="s">
        <v>1173</v>
      </c>
      <c r="AC90" t="s">
        <v>1174</v>
      </c>
      <c r="AD90" t="s">
        <v>32</v>
      </c>
      <c r="AE90" t="s">
        <v>1175</v>
      </c>
      <c r="AF90" t="s">
        <v>46835</v>
      </c>
    </row>
    <row r="91" spans="1:32" x14ac:dyDescent="0.2">
      <c r="A91">
        <v>86</v>
      </c>
      <c r="B91" t="s">
        <v>1176</v>
      </c>
      <c r="C91" t="s">
        <v>1177</v>
      </c>
      <c r="D91" t="s">
        <v>1178</v>
      </c>
      <c r="E91" t="s">
        <v>1179</v>
      </c>
      <c r="F91" t="s">
        <v>1180</v>
      </c>
      <c r="G91" t="s">
        <v>32</v>
      </c>
      <c r="H91" t="str">
        <f>"Ldha"</f>
        <v>Ldha</v>
      </c>
      <c r="I91" t="s">
        <v>1181</v>
      </c>
      <c r="J91" t="s">
        <v>37</v>
      </c>
      <c r="K91">
        <v>10090</v>
      </c>
      <c r="L91" s="3" t="str">
        <f>HYPERLINK("http://www.uniprot.org/uniprot/P06151", "P06151")</f>
        <v>P06151</v>
      </c>
      <c r="M91" t="s">
        <v>1182</v>
      </c>
      <c r="N91" t="str">
        <f>"Ldha"</f>
        <v>Ldha</v>
      </c>
      <c r="O91" s="3" t="str">
        <f>HYPERLINK("http://www.informatics.jax.org/marker/MGI:96759", "MGI:96759")</f>
        <v>MGI:96759</v>
      </c>
      <c r="P91" t="s">
        <v>1183</v>
      </c>
      <c r="Q91" t="s">
        <v>32</v>
      </c>
      <c r="R91" t="s">
        <v>418</v>
      </c>
      <c r="S91" t="s">
        <v>32</v>
      </c>
      <c r="T91" t="s">
        <v>32</v>
      </c>
      <c r="U91" t="s">
        <v>32</v>
      </c>
      <c r="V91" t="s">
        <v>32</v>
      </c>
      <c r="W91" t="s">
        <v>325</v>
      </c>
      <c r="X91" t="s">
        <v>600</v>
      </c>
      <c r="Y91" t="s">
        <v>516</v>
      </c>
      <c r="Z91" t="s">
        <v>32</v>
      </c>
      <c r="AA91" t="s">
        <v>1184</v>
      </c>
      <c r="AB91" t="s">
        <v>1185</v>
      </c>
      <c r="AC91" t="s">
        <v>1186</v>
      </c>
      <c r="AD91" t="s">
        <v>1187</v>
      </c>
      <c r="AE91" t="s">
        <v>1188</v>
      </c>
      <c r="AF91" t="s">
        <v>46835</v>
      </c>
    </row>
    <row r="92" spans="1:32" x14ac:dyDescent="0.2">
      <c r="A92">
        <v>87</v>
      </c>
      <c r="B92" t="s">
        <v>1189</v>
      </c>
      <c r="C92" t="s">
        <v>1190</v>
      </c>
      <c r="D92" t="s">
        <v>1191</v>
      </c>
      <c r="E92" t="s">
        <v>1192</v>
      </c>
      <c r="F92" t="s">
        <v>1193</v>
      </c>
      <c r="G92" t="s">
        <v>32</v>
      </c>
      <c r="H92" t="str">
        <f>"Sptb"</f>
        <v>Sptb</v>
      </c>
      <c r="I92" t="s">
        <v>1194</v>
      </c>
      <c r="J92" t="s">
        <v>37</v>
      </c>
      <c r="K92">
        <v>10090</v>
      </c>
      <c r="L92" s="3" t="str">
        <f>HYPERLINK("http://www.uniprot.org/uniprot/P15508", "P15508")</f>
        <v>P15508</v>
      </c>
      <c r="M92" t="s">
        <v>1195</v>
      </c>
      <c r="N92" t="str">
        <f>"Sptb"</f>
        <v>Sptb</v>
      </c>
      <c r="O92" s="3" t="str">
        <f>HYPERLINK("http://www.informatics.jax.org/marker/MGI:98387", "MGI:98387")</f>
        <v>MGI:98387</v>
      </c>
      <c r="P92" t="s">
        <v>1196</v>
      </c>
      <c r="Q92" t="s">
        <v>32</v>
      </c>
      <c r="R92" t="s">
        <v>186</v>
      </c>
      <c r="S92" t="s">
        <v>32</v>
      </c>
      <c r="T92" t="s">
        <v>32</v>
      </c>
      <c r="U92" t="s">
        <v>32</v>
      </c>
      <c r="V92" t="s">
        <v>55</v>
      </c>
      <c r="W92" t="s">
        <v>32</v>
      </c>
      <c r="X92" t="s">
        <v>479</v>
      </c>
      <c r="Y92" t="s">
        <v>618</v>
      </c>
      <c r="Z92" t="s">
        <v>32</v>
      </c>
      <c r="AA92" t="s">
        <v>1197</v>
      </c>
      <c r="AB92" t="s">
        <v>1198</v>
      </c>
      <c r="AC92" t="s">
        <v>1199</v>
      </c>
      <c r="AD92" t="s">
        <v>32</v>
      </c>
      <c r="AE92" t="s">
        <v>1200</v>
      </c>
      <c r="AF92" t="s">
        <v>46835</v>
      </c>
    </row>
    <row r="93" spans="1:32" x14ac:dyDescent="0.2">
      <c r="A93">
        <v>88</v>
      </c>
      <c r="B93" t="s">
        <v>1201</v>
      </c>
      <c r="C93" t="s">
        <v>1202</v>
      </c>
      <c r="D93" t="s">
        <v>1203</v>
      </c>
      <c r="E93" t="s">
        <v>1204</v>
      </c>
      <c r="F93" t="s">
        <v>1205</v>
      </c>
      <c r="G93" t="s">
        <v>1206</v>
      </c>
      <c r="H93" t="str">
        <f>"Flna"</f>
        <v>Flna</v>
      </c>
      <c r="I93" t="s">
        <v>1207</v>
      </c>
      <c r="J93" t="s">
        <v>37</v>
      </c>
      <c r="K93">
        <v>10090</v>
      </c>
      <c r="L93" s="3" t="str">
        <f>HYPERLINK("http://www.uniprot.org/uniprot/Q8BTM8", "Q8BTM8")</f>
        <v>Q8BTM8</v>
      </c>
      <c r="M93" t="s">
        <v>1208</v>
      </c>
      <c r="N93" t="str">
        <f>"Flna"</f>
        <v>Flna</v>
      </c>
      <c r="O93" s="3" t="str">
        <f>HYPERLINK("http://www.informatics.jax.org/marker/MGI:95556", "MGI:95556")</f>
        <v>MGI:95556</v>
      </c>
      <c r="P93" t="s">
        <v>1209</v>
      </c>
      <c r="Q93" t="s">
        <v>475</v>
      </c>
      <c r="R93" t="s">
        <v>1210</v>
      </c>
      <c r="S93" t="s">
        <v>41</v>
      </c>
      <c r="T93" t="s">
        <v>32</v>
      </c>
      <c r="U93" t="s">
        <v>32</v>
      </c>
      <c r="V93" t="s">
        <v>55</v>
      </c>
      <c r="W93" t="s">
        <v>32</v>
      </c>
      <c r="X93" t="s">
        <v>405</v>
      </c>
      <c r="Y93" t="s">
        <v>516</v>
      </c>
      <c r="Z93" t="s">
        <v>32</v>
      </c>
      <c r="AA93" t="s">
        <v>1211</v>
      </c>
      <c r="AB93" t="s">
        <v>1212</v>
      </c>
      <c r="AC93" t="s">
        <v>1213</v>
      </c>
      <c r="AD93" t="s">
        <v>32</v>
      </c>
      <c r="AE93" t="s">
        <v>1214</v>
      </c>
      <c r="AF93" t="s">
        <v>46835</v>
      </c>
    </row>
    <row r="94" spans="1:32" x14ac:dyDescent="0.2">
      <c r="A94">
        <v>89</v>
      </c>
      <c r="B94" t="s">
        <v>1215</v>
      </c>
      <c r="C94" t="s">
        <v>1216</v>
      </c>
      <c r="D94" t="s">
        <v>1217</v>
      </c>
      <c r="E94" t="s">
        <v>1218</v>
      </c>
      <c r="F94" t="s">
        <v>1219</v>
      </c>
      <c r="G94" t="s">
        <v>32</v>
      </c>
      <c r="H94" t="str">
        <f>"Cct8"</f>
        <v>Cct8</v>
      </c>
      <c r="I94" t="s">
        <v>1220</v>
      </c>
      <c r="J94" t="s">
        <v>37</v>
      </c>
      <c r="K94">
        <v>10090</v>
      </c>
      <c r="L94" s="3" t="str">
        <f>HYPERLINK("http://www.uniprot.org/uniprot/P42932", "P42932")</f>
        <v>P42932</v>
      </c>
      <c r="M94" t="s">
        <v>1221</v>
      </c>
      <c r="N94" t="str">
        <f>"Cct8"</f>
        <v>Cct8</v>
      </c>
      <c r="O94" s="3" t="str">
        <f>HYPERLINK("http://www.informatics.jax.org/marker/MGI:107183", "MGI:107183")</f>
        <v>MGI:107183</v>
      </c>
      <c r="P94" t="s">
        <v>1222</v>
      </c>
      <c r="Q94" t="s">
        <v>32</v>
      </c>
      <c r="R94" t="s">
        <v>1223</v>
      </c>
      <c r="S94" t="s">
        <v>32</v>
      </c>
      <c r="T94" t="s">
        <v>32</v>
      </c>
      <c r="U94" t="s">
        <v>32</v>
      </c>
      <c r="V94" t="s">
        <v>32</v>
      </c>
      <c r="W94" t="s">
        <v>205</v>
      </c>
      <c r="X94" t="s">
        <v>388</v>
      </c>
      <c r="Y94" t="s">
        <v>516</v>
      </c>
      <c r="Z94" t="s">
        <v>32</v>
      </c>
      <c r="AA94" t="s">
        <v>1224</v>
      </c>
      <c r="AB94" t="s">
        <v>1225</v>
      </c>
      <c r="AC94" t="s">
        <v>1226</v>
      </c>
      <c r="AD94" t="s">
        <v>32</v>
      </c>
      <c r="AE94" t="s">
        <v>1227</v>
      </c>
      <c r="AF94" t="s">
        <v>46835</v>
      </c>
    </row>
    <row r="95" spans="1:32" x14ac:dyDescent="0.2">
      <c r="A95">
        <v>90</v>
      </c>
      <c r="B95" t="s">
        <v>1228</v>
      </c>
      <c r="C95" t="s">
        <v>1229</v>
      </c>
      <c r="D95" t="s">
        <v>32</v>
      </c>
      <c r="E95" t="s">
        <v>1230</v>
      </c>
      <c r="F95" t="s">
        <v>1231</v>
      </c>
      <c r="G95" t="s">
        <v>32</v>
      </c>
      <c r="H95" t="str">
        <f>"Sod1"</f>
        <v>Sod1</v>
      </c>
      <c r="I95" t="s">
        <v>32</v>
      </c>
      <c r="J95" t="s">
        <v>37</v>
      </c>
      <c r="K95">
        <v>10090</v>
      </c>
      <c r="L95" s="3" t="str">
        <f>HYPERLINK("http://www.uniprot.org/uniprot/P08228", "P08228")</f>
        <v>P08228</v>
      </c>
      <c r="M95" t="s">
        <v>1232</v>
      </c>
      <c r="N95" t="str">
        <f>"Sod1"</f>
        <v>Sod1</v>
      </c>
      <c r="O95" s="3" t="str">
        <f>HYPERLINK("http://www.informatics.jax.org/marker/MGI:98351", "MGI:98351")</f>
        <v>MGI:98351</v>
      </c>
      <c r="P95" t="s">
        <v>1233</v>
      </c>
      <c r="Q95" t="s">
        <v>32</v>
      </c>
      <c r="R95" t="s">
        <v>40</v>
      </c>
      <c r="S95" t="s">
        <v>32</v>
      </c>
      <c r="T95" t="s">
        <v>32</v>
      </c>
      <c r="U95" t="s">
        <v>32</v>
      </c>
      <c r="V95" t="s">
        <v>32</v>
      </c>
      <c r="W95" t="s">
        <v>1234</v>
      </c>
      <c r="X95" t="s">
        <v>1235</v>
      </c>
      <c r="Y95" t="s">
        <v>1236</v>
      </c>
      <c r="Z95" t="s">
        <v>126</v>
      </c>
      <c r="AA95" t="s">
        <v>1237</v>
      </c>
      <c r="AB95" t="s">
        <v>1238</v>
      </c>
      <c r="AC95" t="s">
        <v>1239</v>
      </c>
      <c r="AD95" t="s">
        <v>32</v>
      </c>
      <c r="AE95" t="s">
        <v>1240</v>
      </c>
      <c r="AF95" t="s">
        <v>46835</v>
      </c>
    </row>
    <row r="96" spans="1:32" x14ac:dyDescent="0.2">
      <c r="A96">
        <v>91</v>
      </c>
      <c r="B96" t="s">
        <v>1241</v>
      </c>
      <c r="C96" t="s">
        <v>1242</v>
      </c>
      <c r="D96" t="s">
        <v>1243</v>
      </c>
      <c r="E96" t="s">
        <v>1244</v>
      </c>
      <c r="F96" t="s">
        <v>1245</v>
      </c>
      <c r="G96" t="s">
        <v>1246</v>
      </c>
      <c r="H96" t="str">
        <f>"Fasn"</f>
        <v>Fasn</v>
      </c>
      <c r="I96" t="s">
        <v>32</v>
      </c>
      <c r="J96" t="s">
        <v>37</v>
      </c>
      <c r="K96">
        <v>10090</v>
      </c>
      <c r="L96" s="3" t="str">
        <f>HYPERLINK("http://www.uniprot.org/uniprot/P19096", "P19096")</f>
        <v>P19096</v>
      </c>
      <c r="M96" t="s">
        <v>1247</v>
      </c>
      <c r="N96" t="str">
        <f>"Fasn"</f>
        <v>Fasn</v>
      </c>
      <c r="O96" s="3" t="str">
        <f>HYPERLINK("http://www.informatics.jax.org/marker/MGI:95485", "MGI:95485")</f>
        <v>MGI:95485</v>
      </c>
      <c r="P96" t="s">
        <v>1248</v>
      </c>
      <c r="Q96" t="s">
        <v>1249</v>
      </c>
      <c r="R96" t="s">
        <v>418</v>
      </c>
      <c r="S96" t="s">
        <v>32</v>
      </c>
      <c r="T96" t="s">
        <v>32</v>
      </c>
      <c r="U96" t="s">
        <v>32</v>
      </c>
      <c r="V96" t="s">
        <v>32</v>
      </c>
      <c r="W96" t="s">
        <v>1250</v>
      </c>
      <c r="X96" t="s">
        <v>1251</v>
      </c>
      <c r="Y96" t="s">
        <v>1252</v>
      </c>
      <c r="Z96" t="s">
        <v>126</v>
      </c>
      <c r="AA96" t="s">
        <v>1253</v>
      </c>
      <c r="AB96" t="s">
        <v>1254</v>
      </c>
      <c r="AC96" t="s">
        <v>1255</v>
      </c>
      <c r="AD96" t="s">
        <v>1256</v>
      </c>
      <c r="AE96" t="s">
        <v>1257</v>
      </c>
      <c r="AF96" t="s">
        <v>46835</v>
      </c>
    </row>
    <row r="97" spans="1:32" x14ac:dyDescent="0.2">
      <c r="A97">
        <v>92</v>
      </c>
      <c r="B97" t="s">
        <v>1258</v>
      </c>
      <c r="C97" t="s">
        <v>1259</v>
      </c>
      <c r="D97" t="s">
        <v>1260</v>
      </c>
      <c r="E97" t="s">
        <v>1261</v>
      </c>
      <c r="F97" t="s">
        <v>1262</v>
      </c>
      <c r="G97" t="s">
        <v>32</v>
      </c>
      <c r="H97" t="str">
        <f>"Gss"</f>
        <v>Gss</v>
      </c>
      <c r="I97" t="s">
        <v>32</v>
      </c>
      <c r="J97" t="s">
        <v>37</v>
      </c>
      <c r="K97">
        <v>10090</v>
      </c>
      <c r="L97" s="3" t="str">
        <f>HYPERLINK("http://www.uniprot.org/uniprot/P51855", "P51855")</f>
        <v>P51855</v>
      </c>
      <c r="M97" t="s">
        <v>1263</v>
      </c>
      <c r="N97" t="str">
        <f>"Gss"</f>
        <v>Gss</v>
      </c>
      <c r="O97" s="3" t="str">
        <f>HYPERLINK("http://www.informatics.jax.org/marker/MGI:95852", "MGI:95852")</f>
        <v>MGI:95852</v>
      </c>
      <c r="P97" t="s">
        <v>1264</v>
      </c>
      <c r="Q97" t="s">
        <v>1265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 t="s">
        <v>1266</v>
      </c>
      <c r="X97" t="s">
        <v>1022</v>
      </c>
      <c r="Y97" t="s">
        <v>157</v>
      </c>
      <c r="Z97" t="s">
        <v>32</v>
      </c>
      <c r="AA97" t="s">
        <v>1267</v>
      </c>
      <c r="AB97" t="s">
        <v>1268</v>
      </c>
      <c r="AC97" t="s">
        <v>1269</v>
      </c>
      <c r="AD97" t="s">
        <v>1270</v>
      </c>
      <c r="AE97" t="s">
        <v>1271</v>
      </c>
      <c r="AF97" t="s">
        <v>46835</v>
      </c>
    </row>
    <row r="98" spans="1:32" x14ac:dyDescent="0.2">
      <c r="A98">
        <v>93</v>
      </c>
      <c r="B98" t="s">
        <v>1272</v>
      </c>
      <c r="C98" t="s">
        <v>1273</v>
      </c>
      <c r="D98" t="s">
        <v>32</v>
      </c>
      <c r="E98" t="s">
        <v>1274</v>
      </c>
      <c r="F98" t="s">
        <v>1275</v>
      </c>
      <c r="G98" t="s">
        <v>1276</v>
      </c>
      <c r="H98" t="str">
        <f>"Pabpc1"</f>
        <v>Pabpc1</v>
      </c>
      <c r="I98" t="s">
        <v>1277</v>
      </c>
      <c r="J98" t="s">
        <v>37</v>
      </c>
      <c r="K98">
        <v>10090</v>
      </c>
      <c r="L98" s="3" t="str">
        <f>HYPERLINK("http://www.uniprot.org/uniprot/P29341", "P29341")</f>
        <v>P29341</v>
      </c>
      <c r="M98" t="s">
        <v>1278</v>
      </c>
      <c r="N98" t="str">
        <f>"Pabpc1"</f>
        <v>Pabpc1</v>
      </c>
      <c r="O98" s="3" t="str">
        <f>HYPERLINK("http://www.informatics.jax.org/marker/MGI:1349722", "MGI:1349722")</f>
        <v>MGI:1349722</v>
      </c>
      <c r="P98" t="s">
        <v>1279</v>
      </c>
      <c r="Q98" t="s">
        <v>1280</v>
      </c>
      <c r="R98" t="s">
        <v>1281</v>
      </c>
      <c r="S98" t="s">
        <v>32</v>
      </c>
      <c r="T98" t="s">
        <v>32</v>
      </c>
      <c r="U98" t="s">
        <v>32</v>
      </c>
      <c r="V98" t="s">
        <v>55</v>
      </c>
      <c r="W98" t="s">
        <v>32</v>
      </c>
      <c r="X98" t="s">
        <v>1282</v>
      </c>
      <c r="Y98" t="s">
        <v>97</v>
      </c>
      <c r="Z98" t="s">
        <v>32</v>
      </c>
      <c r="AA98" t="s">
        <v>1283</v>
      </c>
      <c r="AB98" t="s">
        <v>1284</v>
      </c>
      <c r="AC98" t="s">
        <v>1285</v>
      </c>
      <c r="AD98" t="s">
        <v>32</v>
      </c>
      <c r="AE98" t="s">
        <v>1286</v>
      </c>
      <c r="AF98" t="s">
        <v>46835</v>
      </c>
    </row>
    <row r="99" spans="1:32" x14ac:dyDescent="0.2">
      <c r="A99">
        <v>94</v>
      </c>
      <c r="B99" t="s">
        <v>1287</v>
      </c>
      <c r="C99" t="s">
        <v>1288</v>
      </c>
      <c r="D99" t="s">
        <v>1289</v>
      </c>
      <c r="E99" t="s">
        <v>1290</v>
      </c>
      <c r="F99" t="s">
        <v>1291</v>
      </c>
      <c r="G99" t="s">
        <v>1292</v>
      </c>
      <c r="H99" t="str">
        <f>"Rplp0"</f>
        <v>Rplp0</v>
      </c>
      <c r="I99" t="s">
        <v>1293</v>
      </c>
      <c r="J99" t="s">
        <v>37</v>
      </c>
      <c r="K99">
        <v>10090</v>
      </c>
      <c r="L99" s="3" t="str">
        <f>HYPERLINK("http://www.uniprot.org/uniprot/P14869", "P14869")</f>
        <v>P14869</v>
      </c>
      <c r="M99" t="s">
        <v>1294</v>
      </c>
      <c r="N99" t="str">
        <f>"Rplp0"</f>
        <v>Rplp0</v>
      </c>
      <c r="O99" s="3" t="str">
        <f>HYPERLINK("http://www.informatics.jax.org/marker/MGI:1927636", "MGI:1927636")</f>
        <v>MGI:1927636</v>
      </c>
      <c r="P99" t="s">
        <v>1295</v>
      </c>
      <c r="Q99" t="s">
        <v>32</v>
      </c>
      <c r="R99" t="s">
        <v>40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447</v>
      </c>
      <c r="Y99" t="s">
        <v>1007</v>
      </c>
      <c r="Z99" t="s">
        <v>126</v>
      </c>
      <c r="AA99" t="s">
        <v>1296</v>
      </c>
      <c r="AB99" t="s">
        <v>1297</v>
      </c>
      <c r="AC99" t="s">
        <v>1298</v>
      </c>
      <c r="AD99" t="s">
        <v>32</v>
      </c>
      <c r="AE99" t="s">
        <v>765</v>
      </c>
      <c r="AF99" t="s">
        <v>46835</v>
      </c>
    </row>
    <row r="100" spans="1:32" x14ac:dyDescent="0.2">
      <c r="A100">
        <v>95</v>
      </c>
      <c r="B100" t="s">
        <v>1299</v>
      </c>
      <c r="C100" t="s">
        <v>1300</v>
      </c>
      <c r="D100" t="s">
        <v>1301</v>
      </c>
      <c r="E100" t="s">
        <v>1302</v>
      </c>
      <c r="F100" t="s">
        <v>1303</v>
      </c>
      <c r="G100" t="s">
        <v>1304</v>
      </c>
      <c r="H100" t="str">
        <f>"P4hb"</f>
        <v>P4hb</v>
      </c>
      <c r="I100" t="s">
        <v>1305</v>
      </c>
      <c r="J100" t="s">
        <v>37</v>
      </c>
      <c r="K100">
        <v>10090</v>
      </c>
      <c r="L100" s="3" t="str">
        <f>HYPERLINK("http://www.uniprot.org/uniprot/P09103", "P09103")</f>
        <v>P09103</v>
      </c>
      <c r="M100" t="s">
        <v>1306</v>
      </c>
      <c r="N100" t="str">
        <f>"P4hb"</f>
        <v>P4hb</v>
      </c>
      <c r="O100" s="3" t="str">
        <f>HYPERLINK("http://www.informatics.jax.org/marker/MGI:97464", "MGI:97464")</f>
        <v>MGI:97464</v>
      </c>
      <c r="P100" t="s">
        <v>1307</v>
      </c>
      <c r="Q100" t="s">
        <v>32</v>
      </c>
      <c r="R100" t="s">
        <v>1308</v>
      </c>
      <c r="S100" t="s">
        <v>32</v>
      </c>
      <c r="T100" t="s">
        <v>32</v>
      </c>
      <c r="U100" t="s">
        <v>32</v>
      </c>
      <c r="V100" t="s">
        <v>672</v>
      </c>
      <c r="W100" t="s">
        <v>32</v>
      </c>
      <c r="X100" t="s">
        <v>1040</v>
      </c>
      <c r="Y100" t="s">
        <v>480</v>
      </c>
      <c r="Z100" t="s">
        <v>32</v>
      </c>
      <c r="AA100" t="s">
        <v>1309</v>
      </c>
      <c r="AB100" t="s">
        <v>1310</v>
      </c>
      <c r="AC100" t="s">
        <v>1311</v>
      </c>
      <c r="AD100" t="s">
        <v>32</v>
      </c>
      <c r="AE100" t="s">
        <v>1312</v>
      </c>
      <c r="AF100" t="s">
        <v>46835</v>
      </c>
    </row>
    <row r="101" spans="1:32" x14ac:dyDescent="0.2">
      <c r="A101">
        <v>96</v>
      </c>
      <c r="B101" t="s">
        <v>1313</v>
      </c>
      <c r="C101" t="s">
        <v>1314</v>
      </c>
      <c r="D101" t="s">
        <v>32</v>
      </c>
      <c r="E101" t="s">
        <v>1315</v>
      </c>
      <c r="F101" t="s">
        <v>1316</v>
      </c>
      <c r="G101" t="s">
        <v>1317</v>
      </c>
      <c r="H101" t="str">
        <f>"Calm1"</f>
        <v>Calm1</v>
      </c>
      <c r="I101" t="s">
        <v>1318</v>
      </c>
      <c r="J101" t="s">
        <v>37</v>
      </c>
      <c r="K101">
        <v>10090</v>
      </c>
      <c r="L101" s="3" t="str">
        <f>HYPERLINK("http://www.uniprot.org/uniprot/P0DP26", "P0DP26")</f>
        <v>P0DP26</v>
      </c>
      <c r="M101" t="s">
        <v>1319</v>
      </c>
      <c r="N101" t="str">
        <f>"Calm1"</f>
        <v>Calm1</v>
      </c>
      <c r="O101" s="3" t="str">
        <f>HYPERLINK("http://www.informatics.jax.org/marker/MGI:88251", "MGI:88251")</f>
        <v>MGI:88251</v>
      </c>
      <c r="P101" t="s">
        <v>1320</v>
      </c>
      <c r="Q101" t="s">
        <v>32</v>
      </c>
      <c r="R101" t="s">
        <v>1321</v>
      </c>
      <c r="S101" t="s">
        <v>32</v>
      </c>
      <c r="T101" t="s">
        <v>32</v>
      </c>
      <c r="U101" t="s">
        <v>32</v>
      </c>
      <c r="V101" t="s">
        <v>55</v>
      </c>
      <c r="W101" t="s">
        <v>188</v>
      </c>
      <c r="X101" t="s">
        <v>32</v>
      </c>
      <c r="Y101" t="s">
        <v>207</v>
      </c>
      <c r="Z101" t="s">
        <v>126</v>
      </c>
      <c r="AA101" t="s">
        <v>1322</v>
      </c>
      <c r="AB101" t="s">
        <v>1323</v>
      </c>
      <c r="AC101" t="s">
        <v>1324</v>
      </c>
      <c r="AD101" t="s">
        <v>32</v>
      </c>
      <c r="AE101" t="s">
        <v>1325</v>
      </c>
      <c r="AF101" t="s">
        <v>46835</v>
      </c>
    </row>
    <row r="102" spans="1:32" x14ac:dyDescent="0.2">
      <c r="A102">
        <v>97</v>
      </c>
      <c r="B102" t="s">
        <v>1326</v>
      </c>
      <c r="C102" t="s">
        <v>1327</v>
      </c>
      <c r="D102" t="s">
        <v>1328</v>
      </c>
      <c r="E102" t="s">
        <v>1329</v>
      </c>
      <c r="F102" t="s">
        <v>1330</v>
      </c>
      <c r="G102" t="s">
        <v>1331</v>
      </c>
      <c r="H102" t="str">
        <f>"Prdx1"</f>
        <v>Prdx1</v>
      </c>
      <c r="I102" t="s">
        <v>1332</v>
      </c>
      <c r="J102" t="s">
        <v>37</v>
      </c>
      <c r="K102">
        <v>10090</v>
      </c>
      <c r="L102" s="3" t="str">
        <f>HYPERLINK("http://www.uniprot.org/uniprot/P35700", "P35700")</f>
        <v>P35700</v>
      </c>
      <c r="M102" t="s">
        <v>1333</v>
      </c>
      <c r="N102" t="str">
        <f>"Prdx1"</f>
        <v>Prdx1</v>
      </c>
      <c r="O102" s="3" t="str">
        <f>HYPERLINK("http://www.informatics.jax.org/marker/MGI:99523", "MGI:99523")</f>
        <v>MGI:99523</v>
      </c>
      <c r="P102" t="s">
        <v>1334</v>
      </c>
      <c r="Q102" t="s">
        <v>32</v>
      </c>
      <c r="R102" t="s">
        <v>418</v>
      </c>
      <c r="S102" t="s">
        <v>32</v>
      </c>
      <c r="T102" t="s">
        <v>32</v>
      </c>
      <c r="U102" t="s">
        <v>32</v>
      </c>
      <c r="V102" t="s">
        <v>1090</v>
      </c>
      <c r="W102" t="s">
        <v>32</v>
      </c>
      <c r="X102" t="s">
        <v>1091</v>
      </c>
      <c r="Y102" t="s">
        <v>1335</v>
      </c>
      <c r="Z102" t="s">
        <v>32</v>
      </c>
      <c r="AA102" t="s">
        <v>1336</v>
      </c>
      <c r="AB102" t="s">
        <v>1337</v>
      </c>
      <c r="AC102" t="s">
        <v>1338</v>
      </c>
      <c r="AD102" t="s">
        <v>32</v>
      </c>
      <c r="AE102" t="s">
        <v>1339</v>
      </c>
      <c r="AF102" t="s">
        <v>46835</v>
      </c>
    </row>
    <row r="103" spans="1:32" x14ac:dyDescent="0.2">
      <c r="A103">
        <v>98</v>
      </c>
      <c r="B103" t="s">
        <v>1340</v>
      </c>
      <c r="C103" t="s">
        <v>1341</v>
      </c>
      <c r="D103" t="s">
        <v>32</v>
      </c>
      <c r="E103" t="s">
        <v>1342</v>
      </c>
      <c r="F103" t="s">
        <v>1343</v>
      </c>
      <c r="G103" t="s">
        <v>1344</v>
      </c>
      <c r="H103" t="str">
        <f>"Hnrnpk"</f>
        <v>Hnrnpk</v>
      </c>
      <c r="I103" t="s">
        <v>1345</v>
      </c>
      <c r="J103" t="s">
        <v>37</v>
      </c>
      <c r="K103">
        <v>10090</v>
      </c>
      <c r="L103" s="3" t="str">
        <f>HYPERLINK("http://www.uniprot.org/uniprot/P61979", "P61979")</f>
        <v>P61979</v>
      </c>
      <c r="M103" t="s">
        <v>1346</v>
      </c>
      <c r="N103" t="str">
        <f>"Hnrnpk"</f>
        <v>Hnrnpk</v>
      </c>
      <c r="O103" s="3" t="str">
        <f>HYPERLINK("http://www.informatics.jax.org/marker/MGI:99894", "MGI:99894")</f>
        <v>MGI:99894</v>
      </c>
      <c r="P103" t="s">
        <v>1347</v>
      </c>
      <c r="Q103" t="s">
        <v>1348</v>
      </c>
      <c r="R103" t="s">
        <v>1349</v>
      </c>
      <c r="S103" t="s">
        <v>41</v>
      </c>
      <c r="T103" t="s">
        <v>32</v>
      </c>
      <c r="U103" t="s">
        <v>32</v>
      </c>
      <c r="V103" t="s">
        <v>55</v>
      </c>
      <c r="W103" t="s">
        <v>32</v>
      </c>
      <c r="X103" t="s">
        <v>1350</v>
      </c>
      <c r="Y103" t="s">
        <v>1351</v>
      </c>
      <c r="Z103" t="s">
        <v>32</v>
      </c>
      <c r="AA103" t="s">
        <v>1352</v>
      </c>
      <c r="AB103" t="s">
        <v>1353</v>
      </c>
      <c r="AC103" t="s">
        <v>1354</v>
      </c>
      <c r="AD103" t="s">
        <v>32</v>
      </c>
      <c r="AE103" t="s">
        <v>1355</v>
      </c>
      <c r="AF103" t="s">
        <v>46835</v>
      </c>
    </row>
    <row r="104" spans="1:32" x14ac:dyDescent="0.2">
      <c r="A104">
        <v>99</v>
      </c>
      <c r="B104" t="s">
        <v>1356</v>
      </c>
      <c r="C104" t="s">
        <v>1357</v>
      </c>
      <c r="D104" t="s">
        <v>1358</v>
      </c>
      <c r="E104" t="s">
        <v>1359</v>
      </c>
      <c r="F104" t="s">
        <v>1360</v>
      </c>
      <c r="G104" t="s">
        <v>1361</v>
      </c>
      <c r="H104" t="str">
        <f>"Myh9"</f>
        <v>Myh9</v>
      </c>
      <c r="I104" t="s">
        <v>32</v>
      </c>
      <c r="J104" t="s">
        <v>37</v>
      </c>
      <c r="K104">
        <v>10090</v>
      </c>
      <c r="L104" s="3" t="str">
        <f>HYPERLINK("http://www.uniprot.org/uniprot/Q8VDD5", "Q8VDD5")</f>
        <v>Q8VDD5</v>
      </c>
      <c r="M104" t="s">
        <v>1362</v>
      </c>
      <c r="N104" t="str">
        <f>"Myh9"</f>
        <v>Myh9</v>
      </c>
      <c r="O104" s="3" t="str">
        <f>HYPERLINK("http://www.informatics.jax.org/marker/MGI:107717", "MGI:107717")</f>
        <v>MGI:107717</v>
      </c>
      <c r="P104" t="s">
        <v>1363</v>
      </c>
      <c r="Q104" t="s">
        <v>1364</v>
      </c>
      <c r="R104" t="s">
        <v>1365</v>
      </c>
      <c r="S104" t="s">
        <v>32</v>
      </c>
      <c r="T104" t="s">
        <v>32</v>
      </c>
      <c r="U104" t="s">
        <v>32</v>
      </c>
      <c r="V104" t="s">
        <v>290</v>
      </c>
      <c r="W104" t="s">
        <v>205</v>
      </c>
      <c r="X104" t="s">
        <v>1366</v>
      </c>
      <c r="Y104" t="s">
        <v>277</v>
      </c>
      <c r="Z104" t="s">
        <v>32</v>
      </c>
      <c r="AA104" t="s">
        <v>1367</v>
      </c>
      <c r="AB104" t="s">
        <v>1368</v>
      </c>
      <c r="AC104" t="s">
        <v>1369</v>
      </c>
      <c r="AD104" t="s">
        <v>32</v>
      </c>
      <c r="AE104" t="s">
        <v>1370</v>
      </c>
      <c r="AF104" t="s">
        <v>46835</v>
      </c>
    </row>
    <row r="105" spans="1:32" x14ac:dyDescent="0.2">
      <c r="A105">
        <v>100</v>
      </c>
      <c r="B105" t="s">
        <v>1371</v>
      </c>
      <c r="C105" t="s">
        <v>1372</v>
      </c>
      <c r="D105" t="s">
        <v>1373</v>
      </c>
      <c r="E105" t="s">
        <v>1374</v>
      </c>
      <c r="F105" t="s">
        <v>1375</v>
      </c>
      <c r="G105" t="s">
        <v>1376</v>
      </c>
      <c r="H105" t="str">
        <f>"Tpt1"</f>
        <v>Tpt1</v>
      </c>
      <c r="I105" t="s">
        <v>1377</v>
      </c>
      <c r="J105" t="s">
        <v>37</v>
      </c>
      <c r="K105">
        <v>10090</v>
      </c>
      <c r="L105" s="3" t="str">
        <f>HYPERLINK("http://www.uniprot.org/uniprot/P63028", "P63028")</f>
        <v>P63028</v>
      </c>
      <c r="M105" t="s">
        <v>1378</v>
      </c>
      <c r="N105" t="str">
        <f>"Tpt1"</f>
        <v>Tpt1</v>
      </c>
      <c r="O105" s="3" t="str">
        <f>HYPERLINK("http://www.informatics.jax.org/marker/MGI:104890", "MGI:104890")</f>
        <v>MGI:104890</v>
      </c>
      <c r="P105" t="s">
        <v>1379</v>
      </c>
      <c r="Q105" t="s">
        <v>32</v>
      </c>
      <c r="R105" t="s">
        <v>418</v>
      </c>
      <c r="S105" t="s">
        <v>32</v>
      </c>
      <c r="T105" t="s">
        <v>32</v>
      </c>
      <c r="U105" t="s">
        <v>32</v>
      </c>
      <c r="V105" t="s">
        <v>32</v>
      </c>
      <c r="W105" t="s">
        <v>1380</v>
      </c>
      <c r="X105" t="s">
        <v>32</v>
      </c>
      <c r="Y105" t="s">
        <v>618</v>
      </c>
      <c r="Z105" t="s">
        <v>126</v>
      </c>
      <c r="AA105" t="s">
        <v>1381</v>
      </c>
      <c r="AB105" t="s">
        <v>1382</v>
      </c>
      <c r="AC105" t="s">
        <v>1383</v>
      </c>
      <c r="AD105" t="s">
        <v>32</v>
      </c>
      <c r="AE105" t="s">
        <v>32</v>
      </c>
      <c r="AF105" t="s">
        <v>46835</v>
      </c>
    </row>
    <row r="106" spans="1:32" x14ac:dyDescent="0.2">
      <c r="A106">
        <v>101</v>
      </c>
      <c r="B106" t="s">
        <v>1384</v>
      </c>
      <c r="C106" t="s">
        <v>1385</v>
      </c>
      <c r="D106" t="s">
        <v>1386</v>
      </c>
      <c r="E106" t="s">
        <v>1387</v>
      </c>
      <c r="F106" t="s">
        <v>1388</v>
      </c>
      <c r="G106" t="s">
        <v>32</v>
      </c>
      <c r="H106" t="str">
        <f>"Ass1"</f>
        <v>Ass1</v>
      </c>
      <c r="I106" t="s">
        <v>32</v>
      </c>
      <c r="J106" t="s">
        <v>37</v>
      </c>
      <c r="K106">
        <v>10090</v>
      </c>
      <c r="L106" s="3" t="str">
        <f>HYPERLINK("http://www.uniprot.org/uniprot/P16460", "P16460")</f>
        <v>P16460</v>
      </c>
      <c r="M106" t="s">
        <v>1389</v>
      </c>
      <c r="N106" t="str">
        <f>"Ass1"</f>
        <v>Ass1</v>
      </c>
      <c r="O106" s="3" t="str">
        <f>HYPERLINK("http://www.informatics.jax.org/marker/MGI:88090", "MGI:88090")</f>
        <v>MGI:88090</v>
      </c>
      <c r="P106" t="s">
        <v>1390</v>
      </c>
      <c r="Q106" t="s">
        <v>1391</v>
      </c>
      <c r="R106" t="s">
        <v>418</v>
      </c>
      <c r="S106" t="s">
        <v>32</v>
      </c>
      <c r="T106" t="s">
        <v>32</v>
      </c>
      <c r="U106" t="s">
        <v>32</v>
      </c>
      <c r="V106" t="s">
        <v>32</v>
      </c>
      <c r="W106" t="s">
        <v>205</v>
      </c>
      <c r="X106" t="s">
        <v>1022</v>
      </c>
      <c r="Y106" t="s">
        <v>157</v>
      </c>
      <c r="Z106" t="s">
        <v>32</v>
      </c>
      <c r="AA106" t="s">
        <v>1392</v>
      </c>
      <c r="AB106" t="s">
        <v>1393</v>
      </c>
      <c r="AC106" t="s">
        <v>1394</v>
      </c>
      <c r="AD106" t="s">
        <v>1395</v>
      </c>
      <c r="AE106" t="s">
        <v>1396</v>
      </c>
      <c r="AF106" t="s">
        <v>46835</v>
      </c>
    </row>
    <row r="107" spans="1:32" x14ac:dyDescent="0.2">
      <c r="A107">
        <v>102</v>
      </c>
      <c r="B107" t="s">
        <v>1397</v>
      </c>
      <c r="C107" t="s">
        <v>1398</v>
      </c>
      <c r="D107" t="s">
        <v>32</v>
      </c>
      <c r="E107" t="s">
        <v>1399</v>
      </c>
      <c r="F107" t="s">
        <v>1400</v>
      </c>
      <c r="G107" t="s">
        <v>1401</v>
      </c>
      <c r="H107" t="str">
        <f>"Rpl8"</f>
        <v>Rpl8</v>
      </c>
      <c r="I107" t="s">
        <v>32</v>
      </c>
      <c r="J107" t="s">
        <v>37</v>
      </c>
      <c r="K107">
        <v>10090</v>
      </c>
      <c r="L107" s="3" t="str">
        <f>HYPERLINK("http://www.uniprot.org/uniprot/P62918", "P62918")</f>
        <v>P62918</v>
      </c>
      <c r="M107" t="s">
        <v>1402</v>
      </c>
      <c r="N107" t="str">
        <f>"Rpl8"</f>
        <v>Rpl8</v>
      </c>
      <c r="O107" s="3" t="str">
        <f>HYPERLINK("http://www.informatics.jax.org/marker/MGI:1350927", "MGI:1350927")</f>
        <v>MGI:1350927</v>
      </c>
      <c r="P107" t="s">
        <v>1403</v>
      </c>
      <c r="Q107" t="s">
        <v>32</v>
      </c>
      <c r="R107" t="s">
        <v>418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887</v>
      </c>
      <c r="Y107" t="s">
        <v>1404</v>
      </c>
      <c r="Z107" t="s">
        <v>126</v>
      </c>
      <c r="AA107" t="s">
        <v>1405</v>
      </c>
      <c r="AB107" t="s">
        <v>1406</v>
      </c>
      <c r="AC107" t="s">
        <v>1407</v>
      </c>
      <c r="AD107" t="s">
        <v>32</v>
      </c>
      <c r="AE107" t="s">
        <v>765</v>
      </c>
      <c r="AF107" t="s">
        <v>46835</v>
      </c>
    </row>
    <row r="108" spans="1:32" x14ac:dyDescent="0.2">
      <c r="A108">
        <v>103</v>
      </c>
      <c r="B108" t="s">
        <v>1408</v>
      </c>
      <c r="C108" t="s">
        <v>1409</v>
      </c>
      <c r="D108" t="s">
        <v>1410</v>
      </c>
      <c r="E108" t="s">
        <v>1411</v>
      </c>
      <c r="F108" t="s">
        <v>1412</v>
      </c>
      <c r="G108" t="s">
        <v>32</v>
      </c>
      <c r="H108" t="str">
        <f>"Cct7"</f>
        <v>Cct7</v>
      </c>
      <c r="I108" t="s">
        <v>1413</v>
      </c>
      <c r="J108" t="s">
        <v>37</v>
      </c>
      <c r="K108">
        <v>10090</v>
      </c>
      <c r="L108" s="3" t="str">
        <f>HYPERLINK("http://www.uniprot.org/uniprot/P80313", "P80313")</f>
        <v>P80313</v>
      </c>
      <c r="M108" t="s">
        <v>1414</v>
      </c>
      <c r="N108" t="str">
        <f>"Cct7"</f>
        <v>Cct7</v>
      </c>
      <c r="O108" s="3" t="str">
        <f>HYPERLINK("http://www.informatics.jax.org/marker/MGI:107184", "MGI:107184")</f>
        <v>MGI:107184</v>
      </c>
      <c r="P108" t="s">
        <v>1415</v>
      </c>
      <c r="Q108" t="s">
        <v>32</v>
      </c>
      <c r="R108" t="s">
        <v>418</v>
      </c>
      <c r="S108" t="s">
        <v>32</v>
      </c>
      <c r="T108" t="s">
        <v>32</v>
      </c>
      <c r="U108" t="s">
        <v>32</v>
      </c>
      <c r="V108" t="s">
        <v>32</v>
      </c>
      <c r="W108" t="s">
        <v>205</v>
      </c>
      <c r="X108" t="s">
        <v>388</v>
      </c>
      <c r="Y108" t="s">
        <v>1416</v>
      </c>
      <c r="Z108" t="s">
        <v>32</v>
      </c>
      <c r="AA108" t="s">
        <v>1417</v>
      </c>
      <c r="AB108" t="s">
        <v>1418</v>
      </c>
      <c r="AC108" t="s">
        <v>1226</v>
      </c>
      <c r="AD108" t="s">
        <v>32</v>
      </c>
      <c r="AE108" t="s">
        <v>1419</v>
      </c>
      <c r="AF108" t="s">
        <v>46835</v>
      </c>
    </row>
    <row r="109" spans="1:32" x14ac:dyDescent="0.2">
      <c r="A109">
        <v>104</v>
      </c>
      <c r="B109" t="s">
        <v>1420</v>
      </c>
      <c r="C109" t="s">
        <v>1421</v>
      </c>
      <c r="D109" t="s">
        <v>1422</v>
      </c>
      <c r="E109" t="s">
        <v>1423</v>
      </c>
      <c r="F109" t="s">
        <v>1424</v>
      </c>
      <c r="G109" t="s">
        <v>1425</v>
      </c>
      <c r="H109" t="str">
        <f>"Nap1l1"</f>
        <v>Nap1l1</v>
      </c>
      <c r="I109" t="s">
        <v>1426</v>
      </c>
      <c r="J109" t="s">
        <v>37</v>
      </c>
      <c r="K109">
        <v>10090</v>
      </c>
      <c r="L109" s="3" t="str">
        <f>HYPERLINK("http://www.uniprot.org/uniprot/P28656", "P28656")</f>
        <v>P28656</v>
      </c>
      <c r="M109" t="s">
        <v>1427</v>
      </c>
      <c r="N109" t="str">
        <f>"Nap1l1"</f>
        <v>Nap1l1</v>
      </c>
      <c r="O109" s="3" t="str">
        <f>HYPERLINK("http://www.informatics.jax.org/marker/MGI:1855693", "MGI:1855693")</f>
        <v>MGI:1855693</v>
      </c>
      <c r="P109" t="s">
        <v>1428</v>
      </c>
      <c r="Q109" t="s">
        <v>1429</v>
      </c>
      <c r="R109" t="s">
        <v>40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t="s">
        <v>1430</v>
      </c>
      <c r="Z109" t="s">
        <v>32</v>
      </c>
      <c r="AA109" t="s">
        <v>1431</v>
      </c>
      <c r="AB109" t="s">
        <v>1432</v>
      </c>
      <c r="AC109" t="s">
        <v>1433</v>
      </c>
      <c r="AD109" t="s">
        <v>32</v>
      </c>
      <c r="AE109" t="s">
        <v>32</v>
      </c>
      <c r="AF109" t="s">
        <v>46835</v>
      </c>
    </row>
    <row r="110" spans="1:32" x14ac:dyDescent="0.2">
      <c r="A110">
        <v>105</v>
      </c>
      <c r="B110" t="s">
        <v>1434</v>
      </c>
      <c r="C110" t="s">
        <v>1435</v>
      </c>
      <c r="D110" t="s">
        <v>1436</v>
      </c>
      <c r="E110" t="s">
        <v>1437</v>
      </c>
      <c r="F110" t="s">
        <v>1438</v>
      </c>
      <c r="G110" t="s">
        <v>32</v>
      </c>
      <c r="H110" t="str">
        <f>"Hspa4"</f>
        <v>Hspa4</v>
      </c>
      <c r="I110" t="s">
        <v>1439</v>
      </c>
      <c r="J110" t="s">
        <v>37</v>
      </c>
      <c r="K110">
        <v>10090</v>
      </c>
      <c r="L110" s="3" t="str">
        <f>HYPERLINK("http://www.uniprot.org/uniprot/Q61316", "Q61316")</f>
        <v>Q61316</v>
      </c>
      <c r="M110" t="s">
        <v>1440</v>
      </c>
      <c r="N110" t="str">
        <f>"Hspa4"</f>
        <v>Hspa4</v>
      </c>
      <c r="O110" s="3" t="str">
        <f>HYPERLINK("http://www.informatics.jax.org/marker/MGI:1342292", "MGI:1342292")</f>
        <v>MGI:1342292</v>
      </c>
      <c r="P110" t="s">
        <v>1441</v>
      </c>
      <c r="Q110" t="s">
        <v>386</v>
      </c>
      <c r="R110" t="s">
        <v>418</v>
      </c>
      <c r="S110" t="s">
        <v>32</v>
      </c>
      <c r="T110" t="s">
        <v>32</v>
      </c>
      <c r="U110" t="s">
        <v>32</v>
      </c>
      <c r="V110" t="s">
        <v>32</v>
      </c>
      <c r="W110" t="s">
        <v>205</v>
      </c>
      <c r="X110" t="s">
        <v>32</v>
      </c>
      <c r="Y110" t="s">
        <v>97</v>
      </c>
      <c r="Z110" t="s">
        <v>32</v>
      </c>
      <c r="AA110" t="s">
        <v>1442</v>
      </c>
      <c r="AB110" t="s">
        <v>1443</v>
      </c>
      <c r="AC110" t="s">
        <v>1444</v>
      </c>
      <c r="AD110" t="s">
        <v>32</v>
      </c>
      <c r="AE110" t="s">
        <v>1445</v>
      </c>
      <c r="AF110" t="s">
        <v>46835</v>
      </c>
    </row>
    <row r="111" spans="1:32" x14ac:dyDescent="0.2">
      <c r="A111">
        <v>106</v>
      </c>
      <c r="B111" t="s">
        <v>1446</v>
      </c>
      <c r="C111" t="s">
        <v>1447</v>
      </c>
      <c r="D111" t="s">
        <v>1448</v>
      </c>
      <c r="E111" t="s">
        <v>1449</v>
      </c>
      <c r="F111" t="s">
        <v>1450</v>
      </c>
      <c r="G111" t="s">
        <v>32</v>
      </c>
      <c r="H111" t="str">
        <f>"Cct3"</f>
        <v>Cct3</v>
      </c>
      <c r="I111" t="s">
        <v>1451</v>
      </c>
      <c r="J111" t="s">
        <v>37</v>
      </c>
      <c r="K111">
        <v>10090</v>
      </c>
      <c r="L111" s="3" t="str">
        <f>HYPERLINK("http://www.uniprot.org/uniprot/P80318", "P80318")</f>
        <v>P80318</v>
      </c>
      <c r="M111" t="s">
        <v>1452</v>
      </c>
      <c r="N111" t="str">
        <f>"Cct3"</f>
        <v>Cct3</v>
      </c>
      <c r="O111" s="3" t="str">
        <f>HYPERLINK("http://www.informatics.jax.org/marker/MGI:104708", "MGI:104708")</f>
        <v>MGI:104708</v>
      </c>
      <c r="P111" t="s">
        <v>1453</v>
      </c>
      <c r="Q111" t="s">
        <v>32</v>
      </c>
      <c r="R111" t="s">
        <v>418</v>
      </c>
      <c r="S111" t="s">
        <v>32</v>
      </c>
      <c r="T111" t="s">
        <v>32</v>
      </c>
      <c r="U111" t="s">
        <v>32</v>
      </c>
      <c r="V111" t="s">
        <v>32</v>
      </c>
      <c r="W111" t="s">
        <v>205</v>
      </c>
      <c r="X111" t="s">
        <v>388</v>
      </c>
      <c r="Y111" t="s">
        <v>1335</v>
      </c>
      <c r="Z111" t="s">
        <v>126</v>
      </c>
      <c r="AA111" t="s">
        <v>1224</v>
      </c>
      <c r="AB111" t="s">
        <v>1454</v>
      </c>
      <c r="AC111" t="s">
        <v>1226</v>
      </c>
      <c r="AD111" t="s">
        <v>32</v>
      </c>
      <c r="AE111" t="s">
        <v>800</v>
      </c>
      <c r="AF111" t="s">
        <v>46835</v>
      </c>
    </row>
    <row r="112" spans="1:32" x14ac:dyDescent="0.2">
      <c r="A112">
        <v>107</v>
      </c>
      <c r="B112" t="s">
        <v>1455</v>
      </c>
      <c r="C112" t="s">
        <v>1456</v>
      </c>
      <c r="D112" t="s">
        <v>1457</v>
      </c>
      <c r="E112" t="s">
        <v>1458</v>
      </c>
      <c r="F112" t="s">
        <v>1459</v>
      </c>
      <c r="G112" t="s">
        <v>1460</v>
      </c>
      <c r="H112" t="str">
        <f>"Hmgb1"</f>
        <v>Hmgb1</v>
      </c>
      <c r="I112" t="s">
        <v>1461</v>
      </c>
      <c r="J112" t="s">
        <v>37</v>
      </c>
      <c r="K112">
        <v>10090</v>
      </c>
      <c r="L112" s="3" t="str">
        <f>HYPERLINK("http://www.uniprot.org/uniprot/P63158", "P63158")</f>
        <v>P63158</v>
      </c>
      <c r="M112" t="s">
        <v>1462</v>
      </c>
      <c r="N112" t="str">
        <f>"Hmgb1"</f>
        <v>Hmgb1</v>
      </c>
      <c r="O112" s="3" t="str">
        <f>HYPERLINK("http://www.informatics.jax.org/marker/MGI:96113", "MGI:96113")</f>
        <v>MGI:96113</v>
      </c>
      <c r="P112" t="s">
        <v>1463</v>
      </c>
      <c r="Q112" t="s">
        <v>1464</v>
      </c>
      <c r="R112" t="s">
        <v>1465</v>
      </c>
      <c r="S112" t="s">
        <v>32</v>
      </c>
      <c r="T112" t="s">
        <v>32</v>
      </c>
      <c r="U112" t="s">
        <v>32</v>
      </c>
      <c r="V112" t="s">
        <v>55</v>
      </c>
      <c r="W112" t="s">
        <v>32</v>
      </c>
      <c r="X112" t="s">
        <v>1466</v>
      </c>
      <c r="Y112" t="s">
        <v>1467</v>
      </c>
      <c r="Z112" t="s">
        <v>126</v>
      </c>
      <c r="AA112" t="s">
        <v>1468</v>
      </c>
      <c r="AB112" t="s">
        <v>1469</v>
      </c>
      <c r="AC112" t="s">
        <v>1470</v>
      </c>
      <c r="AD112" t="s">
        <v>32</v>
      </c>
      <c r="AE112" t="s">
        <v>1471</v>
      </c>
      <c r="AF112" t="s">
        <v>46835</v>
      </c>
    </row>
    <row r="113" spans="1:32" x14ac:dyDescent="0.2">
      <c r="A113">
        <v>108</v>
      </c>
      <c r="B113" t="s">
        <v>1472</v>
      </c>
      <c r="C113" t="s">
        <v>1473</v>
      </c>
      <c r="D113" t="s">
        <v>32</v>
      </c>
      <c r="E113" t="s">
        <v>1474</v>
      </c>
      <c r="F113" t="s">
        <v>1475</v>
      </c>
      <c r="G113" t="s">
        <v>32</v>
      </c>
      <c r="H113" t="str">
        <f>"Cotl1"</f>
        <v>Cotl1</v>
      </c>
      <c r="I113" t="s">
        <v>1476</v>
      </c>
      <c r="J113" t="s">
        <v>37</v>
      </c>
      <c r="K113">
        <v>10090</v>
      </c>
      <c r="L113" s="3" t="str">
        <f>HYPERLINK("http://www.uniprot.org/uniprot/Q9CQI6", "Q9CQI6")</f>
        <v>Q9CQI6</v>
      </c>
      <c r="M113" t="s">
        <v>1477</v>
      </c>
      <c r="N113" t="str">
        <f>"Cotl1"</f>
        <v>Cotl1</v>
      </c>
      <c r="O113" s="3" t="str">
        <f>HYPERLINK("http://www.informatics.jax.org/marker/MGI:1919292", "MGI:1919292")</f>
        <v>MGI:1919292</v>
      </c>
      <c r="P113" t="s">
        <v>1478</v>
      </c>
      <c r="Q113" t="s">
        <v>32</v>
      </c>
      <c r="R113" t="s">
        <v>324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1479</v>
      </c>
      <c r="Y113" t="s">
        <v>157</v>
      </c>
      <c r="Z113" t="s">
        <v>126</v>
      </c>
      <c r="AA113" t="s">
        <v>1480</v>
      </c>
      <c r="AB113" t="s">
        <v>1481</v>
      </c>
      <c r="AC113" t="s">
        <v>1482</v>
      </c>
      <c r="AD113" t="s">
        <v>32</v>
      </c>
      <c r="AE113" t="s">
        <v>548</v>
      </c>
      <c r="AF113" t="s">
        <v>46835</v>
      </c>
    </row>
    <row r="114" spans="1:32" x14ac:dyDescent="0.2">
      <c r="A114">
        <v>109</v>
      </c>
      <c r="B114" t="s">
        <v>1483</v>
      </c>
      <c r="C114" t="s">
        <v>1484</v>
      </c>
      <c r="D114" t="s">
        <v>32</v>
      </c>
      <c r="E114" t="s">
        <v>1485</v>
      </c>
      <c r="F114" t="s">
        <v>1486</v>
      </c>
      <c r="G114" t="s">
        <v>1487</v>
      </c>
      <c r="H114" t="str">
        <f>"Rps3"</f>
        <v>Rps3</v>
      </c>
      <c r="I114" t="s">
        <v>32</v>
      </c>
      <c r="J114" t="s">
        <v>37</v>
      </c>
      <c r="K114">
        <v>10090</v>
      </c>
      <c r="L114" s="3" t="str">
        <f>HYPERLINK("http://www.uniprot.org/uniprot/P62908", "P62908")</f>
        <v>P62908</v>
      </c>
      <c r="M114" t="s">
        <v>1488</v>
      </c>
      <c r="N114" t="str">
        <f>"Rps3"</f>
        <v>Rps3</v>
      </c>
      <c r="O114" s="3" t="str">
        <f>HYPERLINK("http://www.informatics.jax.org/marker/MGI:1350917", "MGI:1350917")</f>
        <v>MGI:1350917</v>
      </c>
      <c r="P114" t="s">
        <v>1489</v>
      </c>
      <c r="Q114" t="s">
        <v>1490</v>
      </c>
      <c r="R114" t="s">
        <v>1491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1492</v>
      </c>
      <c r="Y114" t="s">
        <v>207</v>
      </c>
      <c r="Z114" t="s">
        <v>126</v>
      </c>
      <c r="AA114" t="s">
        <v>1493</v>
      </c>
      <c r="AB114" t="s">
        <v>1494</v>
      </c>
      <c r="AC114" t="s">
        <v>1495</v>
      </c>
      <c r="AD114" t="s">
        <v>32</v>
      </c>
      <c r="AE114" t="s">
        <v>691</v>
      </c>
      <c r="AF114" t="s">
        <v>46835</v>
      </c>
    </row>
    <row r="115" spans="1:32" x14ac:dyDescent="0.2">
      <c r="A115">
        <v>110</v>
      </c>
      <c r="B115" t="s">
        <v>1496</v>
      </c>
      <c r="C115" t="s">
        <v>1497</v>
      </c>
      <c r="D115" t="s">
        <v>1498</v>
      </c>
      <c r="E115" t="s">
        <v>1499</v>
      </c>
      <c r="F115" t="s">
        <v>1500</v>
      </c>
      <c r="G115" t="s">
        <v>1501</v>
      </c>
      <c r="H115" t="str">
        <f>"Atp5f1b"</f>
        <v>Atp5f1b</v>
      </c>
      <c r="I115" t="s">
        <v>1502</v>
      </c>
      <c r="J115" t="s">
        <v>37</v>
      </c>
      <c r="K115">
        <v>10090</v>
      </c>
      <c r="L115" s="3" t="str">
        <f>HYPERLINK("http://www.uniprot.org/uniprot/P56480", "P56480")</f>
        <v>P56480</v>
      </c>
      <c r="M115" t="s">
        <v>1503</v>
      </c>
      <c r="N115" t="str">
        <f>"Atp5b"</f>
        <v>Atp5b</v>
      </c>
      <c r="O115" s="3" t="str">
        <f>HYPERLINK("http://www.informatics.jax.org/marker/MGI:107801", "MGI:107801")</f>
        <v>MGI:107801</v>
      </c>
      <c r="P115" t="s">
        <v>1504</v>
      </c>
      <c r="Q115" t="s">
        <v>1142</v>
      </c>
      <c r="R115" t="s">
        <v>1505</v>
      </c>
      <c r="S115" t="s">
        <v>32</v>
      </c>
      <c r="T115" t="s">
        <v>32</v>
      </c>
      <c r="U115" t="s">
        <v>32</v>
      </c>
      <c r="V115" t="s">
        <v>1039</v>
      </c>
      <c r="W115" t="s">
        <v>205</v>
      </c>
      <c r="X115" t="s">
        <v>1506</v>
      </c>
      <c r="Y115" t="s">
        <v>372</v>
      </c>
      <c r="Z115" t="s">
        <v>32</v>
      </c>
      <c r="AA115" t="s">
        <v>1507</v>
      </c>
      <c r="AB115" t="s">
        <v>1508</v>
      </c>
      <c r="AC115" t="s">
        <v>1509</v>
      </c>
      <c r="AD115" t="s">
        <v>32</v>
      </c>
      <c r="AE115" t="s">
        <v>1510</v>
      </c>
      <c r="AF115" t="s">
        <v>46835</v>
      </c>
    </row>
    <row r="116" spans="1:32" x14ac:dyDescent="0.2">
      <c r="A116">
        <v>111</v>
      </c>
      <c r="B116" t="s">
        <v>1511</v>
      </c>
      <c r="C116" t="s">
        <v>1512</v>
      </c>
      <c r="D116" t="s">
        <v>32</v>
      </c>
      <c r="E116" t="s">
        <v>1513</v>
      </c>
      <c r="F116" t="s">
        <v>1514</v>
      </c>
      <c r="G116" t="s">
        <v>1515</v>
      </c>
      <c r="H116" t="str">
        <f>"Rpl31"</f>
        <v>Rpl31</v>
      </c>
      <c r="I116" t="s">
        <v>32</v>
      </c>
      <c r="J116" t="s">
        <v>37</v>
      </c>
      <c r="K116">
        <v>10090</v>
      </c>
      <c r="L116" s="3" t="str">
        <f>HYPERLINK("http://www.uniprot.org/uniprot/P62900", "P62900")</f>
        <v>P62900</v>
      </c>
      <c r="M116" t="s">
        <v>1516</v>
      </c>
      <c r="N116" t="str">
        <f>"Rpl31"</f>
        <v>Rpl31</v>
      </c>
      <c r="O116" s="3" t="str">
        <f>HYPERLINK("http://www.informatics.jax.org/marker/MGI:2149632", "MGI:2149632")</f>
        <v>MGI:2149632</v>
      </c>
      <c r="P116" t="s">
        <v>1517</v>
      </c>
      <c r="Q116" t="s">
        <v>32</v>
      </c>
      <c r="R116" t="s">
        <v>418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447</v>
      </c>
      <c r="Y116" t="s">
        <v>157</v>
      </c>
      <c r="Z116" t="s">
        <v>126</v>
      </c>
      <c r="AA116" t="s">
        <v>1405</v>
      </c>
      <c r="AB116" t="s">
        <v>1518</v>
      </c>
      <c r="AC116" t="s">
        <v>1010</v>
      </c>
      <c r="AD116" t="s">
        <v>32</v>
      </c>
      <c r="AE116" t="s">
        <v>765</v>
      </c>
      <c r="AF116" t="s">
        <v>46835</v>
      </c>
    </row>
    <row r="117" spans="1:32" x14ac:dyDescent="0.2">
      <c r="A117">
        <v>112</v>
      </c>
      <c r="B117" t="s">
        <v>1519</v>
      </c>
      <c r="C117" t="s">
        <v>1520</v>
      </c>
      <c r="D117" t="s">
        <v>32</v>
      </c>
      <c r="E117" t="s">
        <v>1521</v>
      </c>
      <c r="F117" t="s">
        <v>1522</v>
      </c>
      <c r="G117" t="s">
        <v>1523</v>
      </c>
      <c r="H117" t="str">
        <f>"Rps11"</f>
        <v>Rps11</v>
      </c>
      <c r="I117" t="s">
        <v>32</v>
      </c>
      <c r="J117" t="s">
        <v>37</v>
      </c>
      <c r="K117">
        <v>10090</v>
      </c>
      <c r="L117" s="3" t="str">
        <f>HYPERLINK("http://www.uniprot.org/uniprot/P62281", "P62281")</f>
        <v>P62281</v>
      </c>
      <c r="M117" t="s">
        <v>1524</v>
      </c>
      <c r="N117" t="str">
        <f>"Rps11"</f>
        <v>Rps11</v>
      </c>
      <c r="O117" s="3" t="str">
        <f>HYPERLINK("http://www.informatics.jax.org/marker/MGI:1351329", "MGI:1351329")</f>
        <v>MGI:1351329</v>
      </c>
      <c r="P117" t="s">
        <v>1525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887</v>
      </c>
      <c r="Y117" t="s">
        <v>1526</v>
      </c>
      <c r="Z117" t="s">
        <v>126</v>
      </c>
      <c r="AA117" t="s">
        <v>1405</v>
      </c>
      <c r="AB117" t="s">
        <v>1527</v>
      </c>
      <c r="AC117" t="s">
        <v>1528</v>
      </c>
      <c r="AD117" t="s">
        <v>32</v>
      </c>
      <c r="AE117" t="s">
        <v>691</v>
      </c>
      <c r="AF117" t="s">
        <v>46835</v>
      </c>
    </row>
    <row r="118" spans="1:32" x14ac:dyDescent="0.2">
      <c r="A118">
        <v>113</v>
      </c>
      <c r="B118" t="s">
        <v>1529</v>
      </c>
      <c r="C118" t="s">
        <v>1530</v>
      </c>
      <c r="D118" t="s">
        <v>32</v>
      </c>
      <c r="E118" t="s">
        <v>1531</v>
      </c>
      <c r="F118" t="s">
        <v>1532</v>
      </c>
      <c r="G118" t="s">
        <v>1533</v>
      </c>
      <c r="H118" t="str">
        <f>"Rps23"</f>
        <v>Rps23</v>
      </c>
      <c r="I118" t="s">
        <v>32</v>
      </c>
      <c r="J118" t="s">
        <v>37</v>
      </c>
      <c r="K118">
        <v>10090</v>
      </c>
      <c r="L118" s="3" t="str">
        <f>HYPERLINK("http://www.uniprot.org/uniprot/P62267", "P62267")</f>
        <v>P62267</v>
      </c>
      <c r="M118" t="s">
        <v>1534</v>
      </c>
      <c r="N118" t="str">
        <f>"Rps23"</f>
        <v>Rps23</v>
      </c>
      <c r="O118" s="3" t="str">
        <f>HYPERLINK("http://www.informatics.jax.org/marker/MGI:1913725", "MGI:1913725")</f>
        <v>MGI:1913725</v>
      </c>
      <c r="P118" t="s">
        <v>1535</v>
      </c>
      <c r="Q118" t="s">
        <v>32</v>
      </c>
      <c r="R118" t="s">
        <v>874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447</v>
      </c>
      <c r="Y118" t="s">
        <v>1536</v>
      </c>
      <c r="Z118" t="s">
        <v>126</v>
      </c>
      <c r="AA118" t="s">
        <v>1537</v>
      </c>
      <c r="AB118" t="s">
        <v>1538</v>
      </c>
      <c r="AC118" t="s">
        <v>1010</v>
      </c>
      <c r="AD118" t="s">
        <v>32</v>
      </c>
      <c r="AE118" t="s">
        <v>691</v>
      </c>
      <c r="AF118" t="s">
        <v>46835</v>
      </c>
    </row>
    <row r="119" spans="1:32" x14ac:dyDescent="0.2">
      <c r="A119">
        <v>114</v>
      </c>
      <c r="B119" t="s">
        <v>1539</v>
      </c>
      <c r="C119" t="s">
        <v>1540</v>
      </c>
      <c r="D119" t="s">
        <v>1541</v>
      </c>
      <c r="E119" t="s">
        <v>1542</v>
      </c>
      <c r="F119" t="s">
        <v>1543</v>
      </c>
      <c r="G119" t="s">
        <v>1544</v>
      </c>
      <c r="H119" t="str">
        <f>"Slc3a2"</f>
        <v>Slc3a2</v>
      </c>
      <c r="I119" t="s">
        <v>1545</v>
      </c>
      <c r="J119" t="s">
        <v>37</v>
      </c>
      <c r="K119">
        <v>10090</v>
      </c>
      <c r="L119" s="3" t="str">
        <f>HYPERLINK("http://www.uniprot.org/uniprot/P10852", "P10852")</f>
        <v>P10852</v>
      </c>
      <c r="M119" t="s">
        <v>1546</v>
      </c>
      <c r="N119" t="str">
        <f>"Slc3a2"</f>
        <v>Slc3a2</v>
      </c>
      <c r="O119" s="3" t="str">
        <f>HYPERLINK("http://www.informatics.jax.org/marker/MGI:96955", "MGI:96955")</f>
        <v>MGI:96955</v>
      </c>
      <c r="P119" t="s">
        <v>1547</v>
      </c>
      <c r="Q119" t="s">
        <v>1548</v>
      </c>
      <c r="R119" t="s">
        <v>1549</v>
      </c>
      <c r="S119" t="s">
        <v>41</v>
      </c>
      <c r="T119" t="s">
        <v>32</v>
      </c>
      <c r="U119" t="s">
        <v>32</v>
      </c>
      <c r="V119" t="s">
        <v>1550</v>
      </c>
      <c r="W119" t="s">
        <v>32</v>
      </c>
      <c r="X119" t="s">
        <v>32</v>
      </c>
      <c r="Y119" t="s">
        <v>1551</v>
      </c>
      <c r="Z119" t="s">
        <v>126</v>
      </c>
      <c r="AA119" t="s">
        <v>1552</v>
      </c>
      <c r="AB119" t="s">
        <v>1553</v>
      </c>
      <c r="AC119" t="s">
        <v>1554</v>
      </c>
      <c r="AD119" t="s">
        <v>32</v>
      </c>
      <c r="AE119" t="s">
        <v>1555</v>
      </c>
      <c r="AF119" t="s">
        <v>46835</v>
      </c>
    </row>
    <row r="120" spans="1:32" x14ac:dyDescent="0.2">
      <c r="A120">
        <v>115</v>
      </c>
      <c r="B120" t="s">
        <v>1556</v>
      </c>
      <c r="C120" t="s">
        <v>1557</v>
      </c>
      <c r="D120" t="s">
        <v>1558</v>
      </c>
      <c r="E120" t="s">
        <v>1559</v>
      </c>
      <c r="F120" t="s">
        <v>1560</v>
      </c>
      <c r="G120" t="s">
        <v>1561</v>
      </c>
      <c r="H120" t="str">
        <f>"Eif3a"</f>
        <v>Eif3a</v>
      </c>
      <c r="I120" t="s">
        <v>1562</v>
      </c>
      <c r="J120" t="s">
        <v>37</v>
      </c>
      <c r="K120">
        <v>10090</v>
      </c>
      <c r="L120" s="3" t="str">
        <f>HYPERLINK("http://www.uniprot.org/uniprot/P23116", "P23116")</f>
        <v>P23116</v>
      </c>
      <c r="M120" t="s">
        <v>1563</v>
      </c>
      <c r="N120" t="str">
        <f>"Eif3a"</f>
        <v>Eif3a</v>
      </c>
      <c r="O120" s="3" t="str">
        <f>HYPERLINK("http://www.informatics.jax.org/marker/MGI:95301", "MGI:95301")</f>
        <v>MGI:95301</v>
      </c>
      <c r="P120" t="s">
        <v>1564</v>
      </c>
      <c r="Q120" t="s">
        <v>260</v>
      </c>
      <c r="R120" t="s">
        <v>324</v>
      </c>
      <c r="S120" t="s">
        <v>1565</v>
      </c>
      <c r="T120" t="s">
        <v>32</v>
      </c>
      <c r="U120" t="s">
        <v>32</v>
      </c>
      <c r="V120" t="s">
        <v>137</v>
      </c>
      <c r="W120" t="s">
        <v>32</v>
      </c>
      <c r="X120" t="s">
        <v>1566</v>
      </c>
      <c r="Y120" t="s">
        <v>157</v>
      </c>
      <c r="Z120" t="s">
        <v>32</v>
      </c>
      <c r="AA120" t="s">
        <v>1567</v>
      </c>
      <c r="AB120" t="s">
        <v>1568</v>
      </c>
      <c r="AC120" t="s">
        <v>1569</v>
      </c>
      <c r="AD120" t="s">
        <v>32</v>
      </c>
      <c r="AE120" t="s">
        <v>1570</v>
      </c>
      <c r="AF120" t="s">
        <v>46835</v>
      </c>
    </row>
    <row r="121" spans="1:32" x14ac:dyDescent="0.2">
      <c r="A121">
        <v>116</v>
      </c>
      <c r="B121" t="s">
        <v>1571</v>
      </c>
      <c r="C121" t="s">
        <v>1572</v>
      </c>
      <c r="D121" t="s">
        <v>1573</v>
      </c>
      <c r="E121" t="s">
        <v>1574</v>
      </c>
      <c r="F121" t="s">
        <v>1575</v>
      </c>
      <c r="G121" t="s">
        <v>1576</v>
      </c>
      <c r="H121" t="str">
        <f>"Ywhaz"</f>
        <v>Ywhaz</v>
      </c>
      <c r="I121" t="s">
        <v>32</v>
      </c>
      <c r="J121" t="s">
        <v>37</v>
      </c>
      <c r="K121">
        <v>10090</v>
      </c>
      <c r="L121" s="3" t="str">
        <f>HYPERLINK("http://www.uniprot.org/uniprot/P63101", "P63101")</f>
        <v>P63101</v>
      </c>
      <c r="M121" t="s">
        <v>1577</v>
      </c>
      <c r="N121" t="str">
        <f>"Ywhaz"</f>
        <v>Ywhaz</v>
      </c>
      <c r="O121" s="3" t="str">
        <f>HYPERLINK("http://www.informatics.jax.org/marker/MGI:109484", "MGI:109484")</f>
        <v>MGI:109484</v>
      </c>
      <c r="P121" t="s">
        <v>1578</v>
      </c>
      <c r="Q121" t="s">
        <v>32</v>
      </c>
      <c r="R121" t="s">
        <v>418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t="s">
        <v>157</v>
      </c>
      <c r="Z121" t="s">
        <v>126</v>
      </c>
      <c r="AA121" t="s">
        <v>1579</v>
      </c>
      <c r="AB121" t="s">
        <v>1580</v>
      </c>
      <c r="AC121" t="s">
        <v>1581</v>
      </c>
      <c r="AD121" t="s">
        <v>32</v>
      </c>
      <c r="AE121" t="s">
        <v>1582</v>
      </c>
      <c r="AF121" t="s">
        <v>46835</v>
      </c>
    </row>
    <row r="122" spans="1:32" x14ac:dyDescent="0.2">
      <c r="A122">
        <v>117</v>
      </c>
      <c r="B122" t="s">
        <v>1583</v>
      </c>
      <c r="C122" t="s">
        <v>1584</v>
      </c>
      <c r="D122" t="s">
        <v>1585</v>
      </c>
      <c r="E122" t="s">
        <v>1586</v>
      </c>
      <c r="F122" t="s">
        <v>1587</v>
      </c>
      <c r="G122" t="s">
        <v>1588</v>
      </c>
      <c r="H122" t="str">
        <f>"Pgam1"</f>
        <v>Pgam1</v>
      </c>
      <c r="I122" t="s">
        <v>32</v>
      </c>
      <c r="J122" t="s">
        <v>37</v>
      </c>
      <c r="K122">
        <v>10090</v>
      </c>
      <c r="L122" s="3" t="str">
        <f>HYPERLINK("http://www.uniprot.org/uniprot/Q9DBJ1", "Q9DBJ1")</f>
        <v>Q9DBJ1</v>
      </c>
      <c r="M122" t="s">
        <v>1589</v>
      </c>
      <c r="N122" t="str">
        <f>"Pgam1"</f>
        <v>Pgam1</v>
      </c>
      <c r="O122" s="3" t="str">
        <f>HYPERLINK("http://www.informatics.jax.org/marker/MGI:97552", "MGI:97552")</f>
        <v>MGI:97552</v>
      </c>
      <c r="P122" t="s">
        <v>1590</v>
      </c>
      <c r="Q122" t="s">
        <v>221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1591</v>
      </c>
      <c r="Y122" t="s">
        <v>157</v>
      </c>
      <c r="Z122" t="s">
        <v>32</v>
      </c>
      <c r="AA122" t="s">
        <v>1592</v>
      </c>
      <c r="AB122" t="s">
        <v>1593</v>
      </c>
      <c r="AC122" t="s">
        <v>1594</v>
      </c>
      <c r="AD122" t="s">
        <v>32</v>
      </c>
      <c r="AE122" t="s">
        <v>1595</v>
      </c>
      <c r="AF122" t="s">
        <v>46835</v>
      </c>
    </row>
    <row r="123" spans="1:32" x14ac:dyDescent="0.2">
      <c r="A123">
        <v>118</v>
      </c>
      <c r="B123" t="s">
        <v>1596</v>
      </c>
      <c r="C123" t="s">
        <v>1597</v>
      </c>
      <c r="D123" t="s">
        <v>1598</v>
      </c>
      <c r="E123" t="s">
        <v>1599</v>
      </c>
      <c r="F123" t="s">
        <v>1600</v>
      </c>
      <c r="G123" t="s">
        <v>1601</v>
      </c>
      <c r="H123" t="str">
        <f>"Dbnl"</f>
        <v>Dbnl</v>
      </c>
      <c r="I123" t="s">
        <v>32</v>
      </c>
      <c r="J123" t="s">
        <v>37</v>
      </c>
      <c r="K123">
        <v>10090</v>
      </c>
      <c r="L123" s="3" t="str">
        <f>HYPERLINK("http://www.uniprot.org/uniprot/Q62418", "Q62418")</f>
        <v>Q62418</v>
      </c>
      <c r="M123" t="s">
        <v>1602</v>
      </c>
      <c r="N123" t="str">
        <f>"Dbnl"</f>
        <v>Dbnl</v>
      </c>
      <c r="O123" s="3" t="str">
        <f>HYPERLINK("http://www.informatics.jax.org/marker/MGI:700006", "MGI:700006")</f>
        <v>MGI:700006</v>
      </c>
      <c r="P123" t="s">
        <v>1603</v>
      </c>
      <c r="Q123" t="s">
        <v>1604</v>
      </c>
      <c r="R123" t="s">
        <v>1605</v>
      </c>
      <c r="S123" t="s">
        <v>41</v>
      </c>
      <c r="T123" t="s">
        <v>32</v>
      </c>
      <c r="U123" t="s">
        <v>32</v>
      </c>
      <c r="V123" t="s">
        <v>1606</v>
      </c>
      <c r="W123" t="s">
        <v>32</v>
      </c>
      <c r="X123" t="s">
        <v>405</v>
      </c>
      <c r="Y123" t="s">
        <v>157</v>
      </c>
      <c r="Z123" t="s">
        <v>32</v>
      </c>
      <c r="AA123" t="s">
        <v>1607</v>
      </c>
      <c r="AB123" t="s">
        <v>1608</v>
      </c>
      <c r="AC123" t="s">
        <v>1609</v>
      </c>
      <c r="AD123" t="s">
        <v>32</v>
      </c>
      <c r="AE123" t="s">
        <v>32</v>
      </c>
      <c r="AF123" t="s">
        <v>46835</v>
      </c>
    </row>
    <row r="124" spans="1:32" x14ac:dyDescent="0.2">
      <c r="A124">
        <v>119</v>
      </c>
      <c r="B124" t="s">
        <v>1610</v>
      </c>
      <c r="C124" t="s">
        <v>1611</v>
      </c>
      <c r="D124" t="s">
        <v>1612</v>
      </c>
      <c r="E124" t="s">
        <v>1613</v>
      </c>
      <c r="F124" t="s">
        <v>1614</v>
      </c>
      <c r="G124" t="s">
        <v>1615</v>
      </c>
      <c r="H124" t="str">
        <f>"Mip"</f>
        <v>Mip</v>
      </c>
      <c r="I124" t="s">
        <v>1616</v>
      </c>
      <c r="J124" t="s">
        <v>37</v>
      </c>
      <c r="K124">
        <v>10090</v>
      </c>
      <c r="L124" s="3" t="str">
        <f>HYPERLINK("http://www.uniprot.org/uniprot/P51180", "P51180")</f>
        <v>P51180</v>
      </c>
      <c r="M124" t="s">
        <v>1617</v>
      </c>
      <c r="N124" t="str">
        <f>"Mip"</f>
        <v>Mip</v>
      </c>
      <c r="O124" s="3" t="str">
        <f>HYPERLINK("http://www.informatics.jax.org/marker/MGI:96990", "MGI:96990")</f>
        <v>MGI:96990</v>
      </c>
      <c r="P124" t="s">
        <v>1618</v>
      </c>
      <c r="Q124" t="s">
        <v>1619</v>
      </c>
      <c r="R124" t="s">
        <v>492</v>
      </c>
      <c r="S124" t="s">
        <v>32</v>
      </c>
      <c r="T124" t="s">
        <v>32</v>
      </c>
      <c r="U124" t="s">
        <v>829</v>
      </c>
      <c r="V124" t="s">
        <v>1620</v>
      </c>
      <c r="W124" t="s">
        <v>32</v>
      </c>
      <c r="X124" t="s">
        <v>56</v>
      </c>
      <c r="Y124" t="s">
        <v>1621</v>
      </c>
      <c r="Z124" t="s">
        <v>32</v>
      </c>
      <c r="AA124" t="s">
        <v>1622</v>
      </c>
      <c r="AB124" t="s">
        <v>1623</v>
      </c>
      <c r="AC124" t="s">
        <v>1624</v>
      </c>
      <c r="AD124" t="s">
        <v>32</v>
      </c>
      <c r="AE124" t="s">
        <v>1625</v>
      </c>
      <c r="AF124" t="s">
        <v>46835</v>
      </c>
    </row>
    <row r="125" spans="1:32" x14ac:dyDescent="0.2">
      <c r="A125">
        <v>120</v>
      </c>
      <c r="B125" t="s">
        <v>1626</v>
      </c>
      <c r="C125" t="s">
        <v>1627</v>
      </c>
      <c r="D125" t="s">
        <v>1628</v>
      </c>
      <c r="E125" t="s">
        <v>1629</v>
      </c>
      <c r="F125" t="s">
        <v>1630</v>
      </c>
      <c r="G125" t="s">
        <v>1631</v>
      </c>
      <c r="H125" t="str">
        <f>"Park7"</f>
        <v>Park7</v>
      </c>
      <c r="I125" t="s">
        <v>32</v>
      </c>
      <c r="J125" t="s">
        <v>37</v>
      </c>
      <c r="K125">
        <v>10090</v>
      </c>
      <c r="L125" s="3" t="str">
        <f>HYPERLINK("http://www.uniprot.org/uniprot/Q99LX0", "Q99LX0")</f>
        <v>Q99LX0</v>
      </c>
      <c r="M125" t="s">
        <v>1632</v>
      </c>
      <c r="N125" t="str">
        <f>"Park7"</f>
        <v>Park7</v>
      </c>
      <c r="O125" s="3" t="str">
        <f>HYPERLINK("http://www.informatics.jax.org/marker/MGI:2135637", "MGI:2135637")</f>
        <v>MGI:2135637</v>
      </c>
      <c r="P125" t="s">
        <v>1633</v>
      </c>
      <c r="Q125" t="s">
        <v>1634</v>
      </c>
      <c r="R125" t="s">
        <v>1635</v>
      </c>
      <c r="S125" t="s">
        <v>32</v>
      </c>
      <c r="T125" t="s">
        <v>32</v>
      </c>
      <c r="U125" t="s">
        <v>1636</v>
      </c>
      <c r="V125" t="s">
        <v>32</v>
      </c>
      <c r="W125" t="s">
        <v>1637</v>
      </c>
      <c r="X125" t="s">
        <v>1638</v>
      </c>
      <c r="Y125" t="s">
        <v>1639</v>
      </c>
      <c r="Z125" t="s">
        <v>32</v>
      </c>
      <c r="AA125" t="s">
        <v>1640</v>
      </c>
      <c r="AB125" t="s">
        <v>1641</v>
      </c>
      <c r="AC125" t="s">
        <v>1642</v>
      </c>
      <c r="AD125" t="s">
        <v>32</v>
      </c>
      <c r="AE125" t="s">
        <v>1643</v>
      </c>
      <c r="AF125" t="s">
        <v>46835</v>
      </c>
    </row>
    <row r="126" spans="1:32" x14ac:dyDescent="0.2">
      <c r="A126">
        <v>121</v>
      </c>
      <c r="B126" t="s">
        <v>1644</v>
      </c>
      <c r="C126" t="s">
        <v>1645</v>
      </c>
      <c r="D126" t="s">
        <v>1646</v>
      </c>
      <c r="E126" t="s">
        <v>1647</v>
      </c>
      <c r="F126" t="s">
        <v>1648</v>
      </c>
      <c r="G126" t="s">
        <v>1649</v>
      </c>
      <c r="H126" t="str">
        <f>"Adh5"</f>
        <v>Adh5</v>
      </c>
      <c r="I126" t="s">
        <v>1650</v>
      </c>
      <c r="J126" t="s">
        <v>37</v>
      </c>
      <c r="K126">
        <v>10090</v>
      </c>
      <c r="L126" s="3" t="str">
        <f>HYPERLINK("http://www.uniprot.org/uniprot/P28474", "P28474")</f>
        <v>P28474</v>
      </c>
      <c r="M126" t="s">
        <v>1651</v>
      </c>
      <c r="N126" t="str">
        <f>"Adh5"</f>
        <v>Adh5</v>
      </c>
      <c r="O126" s="3" t="str">
        <f>HYPERLINK("http://www.informatics.jax.org/marker/MGI:87929", "MGI:87929")</f>
        <v>MGI:87929</v>
      </c>
      <c r="P126" t="s">
        <v>1652</v>
      </c>
      <c r="Q126" t="s">
        <v>598</v>
      </c>
      <c r="R126" t="s">
        <v>418</v>
      </c>
      <c r="S126" t="s">
        <v>32</v>
      </c>
      <c r="T126" t="s">
        <v>32</v>
      </c>
      <c r="U126" t="s">
        <v>32</v>
      </c>
      <c r="V126" t="s">
        <v>32</v>
      </c>
      <c r="W126" t="s">
        <v>1653</v>
      </c>
      <c r="X126" t="s">
        <v>600</v>
      </c>
      <c r="Y126" t="s">
        <v>157</v>
      </c>
      <c r="Z126" t="s">
        <v>32</v>
      </c>
      <c r="AA126" t="s">
        <v>1654</v>
      </c>
      <c r="AB126" t="s">
        <v>1655</v>
      </c>
      <c r="AC126" t="s">
        <v>1656</v>
      </c>
      <c r="AD126" t="s">
        <v>32</v>
      </c>
      <c r="AE126" t="s">
        <v>1657</v>
      </c>
      <c r="AF126" t="s">
        <v>46835</v>
      </c>
    </row>
    <row r="127" spans="1:32" x14ac:dyDescent="0.2">
      <c r="A127">
        <v>122</v>
      </c>
      <c r="B127" t="s">
        <v>1658</v>
      </c>
      <c r="C127" t="s">
        <v>1659</v>
      </c>
      <c r="D127" t="s">
        <v>32</v>
      </c>
      <c r="E127" t="s">
        <v>1660</v>
      </c>
      <c r="F127" t="s">
        <v>1661</v>
      </c>
      <c r="G127" t="s">
        <v>32</v>
      </c>
      <c r="H127" t="str">
        <f>"Canx"</f>
        <v>Canx</v>
      </c>
      <c r="I127" t="s">
        <v>32</v>
      </c>
      <c r="J127" t="s">
        <v>37</v>
      </c>
      <c r="K127">
        <v>10090</v>
      </c>
      <c r="L127" s="3" t="str">
        <f>HYPERLINK("http://www.uniprot.org/uniprot/P35564", "P35564")</f>
        <v>P35564</v>
      </c>
      <c r="M127" t="s">
        <v>1662</v>
      </c>
      <c r="N127" t="str">
        <f>"Canx"</f>
        <v>Canx</v>
      </c>
      <c r="O127" s="3" t="str">
        <f>HYPERLINK("http://www.informatics.jax.org/marker/MGI:88261", "MGI:88261")</f>
        <v>MGI:88261</v>
      </c>
      <c r="P127" t="s">
        <v>1663</v>
      </c>
      <c r="Q127" t="s">
        <v>32</v>
      </c>
      <c r="R127" t="s">
        <v>1664</v>
      </c>
      <c r="S127" t="s">
        <v>32</v>
      </c>
      <c r="T127" t="s">
        <v>32</v>
      </c>
      <c r="U127" t="s">
        <v>32</v>
      </c>
      <c r="V127" t="s">
        <v>1665</v>
      </c>
      <c r="W127" t="s">
        <v>1666</v>
      </c>
      <c r="X127" t="s">
        <v>388</v>
      </c>
      <c r="Y127" t="s">
        <v>1667</v>
      </c>
      <c r="Z127" t="s">
        <v>32</v>
      </c>
      <c r="AA127" t="s">
        <v>1668</v>
      </c>
      <c r="AB127" t="s">
        <v>1669</v>
      </c>
      <c r="AC127" t="s">
        <v>1670</v>
      </c>
      <c r="AD127" t="s">
        <v>32</v>
      </c>
      <c r="AE127" t="s">
        <v>1671</v>
      </c>
      <c r="AF127" t="s">
        <v>46835</v>
      </c>
    </row>
    <row r="128" spans="1:32" x14ac:dyDescent="0.2">
      <c r="A128">
        <v>123</v>
      </c>
      <c r="B128" t="s">
        <v>1672</v>
      </c>
      <c r="C128" t="s">
        <v>1673</v>
      </c>
      <c r="D128" t="s">
        <v>1674</v>
      </c>
      <c r="E128" t="s">
        <v>1675</v>
      </c>
      <c r="F128" t="s">
        <v>1676</v>
      </c>
      <c r="G128" t="s">
        <v>32</v>
      </c>
      <c r="H128" t="str">
        <f>"Rpl13a"</f>
        <v>Rpl13a</v>
      </c>
      <c r="I128" t="s">
        <v>1677</v>
      </c>
      <c r="J128" t="s">
        <v>37</v>
      </c>
      <c r="K128">
        <v>10090</v>
      </c>
      <c r="L128" s="3" t="str">
        <f>HYPERLINK("http://www.uniprot.org/uniprot/P19253", "P19253")</f>
        <v>P19253</v>
      </c>
      <c r="M128" t="s">
        <v>1678</v>
      </c>
      <c r="N128" t="str">
        <f>"Rpl13a"</f>
        <v>Rpl13a</v>
      </c>
      <c r="O128" s="3" t="str">
        <f>HYPERLINK("http://www.informatics.jax.org/marker/MGI:1351455", "MGI:1351455")</f>
        <v>MGI:1351455</v>
      </c>
      <c r="P128" t="s">
        <v>1679</v>
      </c>
      <c r="Q128" t="s">
        <v>1680</v>
      </c>
      <c r="R128" t="s">
        <v>418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1681</v>
      </c>
      <c r="Y128" t="s">
        <v>1682</v>
      </c>
      <c r="Z128" t="s">
        <v>126</v>
      </c>
      <c r="AA128" t="s">
        <v>1683</v>
      </c>
      <c r="AB128" t="s">
        <v>1684</v>
      </c>
      <c r="AC128" t="s">
        <v>1685</v>
      </c>
      <c r="AD128" t="s">
        <v>32</v>
      </c>
      <c r="AE128" t="s">
        <v>765</v>
      </c>
      <c r="AF128" t="s">
        <v>46835</v>
      </c>
    </row>
    <row r="129" spans="1:32" x14ac:dyDescent="0.2">
      <c r="A129">
        <v>124</v>
      </c>
      <c r="B129" t="s">
        <v>1686</v>
      </c>
      <c r="C129" t="s">
        <v>1687</v>
      </c>
      <c r="D129" t="s">
        <v>32</v>
      </c>
      <c r="E129" t="s">
        <v>1688</v>
      </c>
      <c r="F129" t="s">
        <v>1689</v>
      </c>
      <c r="G129" t="s">
        <v>1690</v>
      </c>
      <c r="H129" t="str">
        <f>"Rps7"</f>
        <v>Rps7</v>
      </c>
      <c r="I129" t="s">
        <v>32</v>
      </c>
      <c r="J129" t="s">
        <v>37</v>
      </c>
      <c r="K129">
        <v>10090</v>
      </c>
      <c r="L129" s="3" t="str">
        <f>HYPERLINK("http://www.uniprot.org/uniprot/P62082", "P62082")</f>
        <v>P62082</v>
      </c>
      <c r="M129" t="s">
        <v>1691</v>
      </c>
      <c r="N129" t="str">
        <f>"Rps7"</f>
        <v>Rps7</v>
      </c>
      <c r="O129" s="3" t="str">
        <f>HYPERLINK("http://www.informatics.jax.org/marker/MGI:1333818", "MGI:1333818")</f>
        <v>MGI:1333818</v>
      </c>
      <c r="P129" t="s">
        <v>1692</v>
      </c>
      <c r="Q129" t="s">
        <v>32</v>
      </c>
      <c r="R129" t="s">
        <v>324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447</v>
      </c>
      <c r="Y129" t="s">
        <v>461</v>
      </c>
      <c r="Z129" t="s">
        <v>126</v>
      </c>
      <c r="AA129" t="s">
        <v>1693</v>
      </c>
      <c r="AB129" t="s">
        <v>1694</v>
      </c>
      <c r="AC129" t="s">
        <v>1695</v>
      </c>
      <c r="AD129" t="s">
        <v>32</v>
      </c>
      <c r="AE129" t="s">
        <v>691</v>
      </c>
      <c r="AF129" t="s">
        <v>46835</v>
      </c>
    </row>
    <row r="130" spans="1:32" x14ac:dyDescent="0.2">
      <c r="A130">
        <v>125</v>
      </c>
      <c r="B130" t="s">
        <v>1696</v>
      </c>
      <c r="C130" t="s">
        <v>1697</v>
      </c>
      <c r="D130" t="s">
        <v>1698</v>
      </c>
      <c r="E130" t="s">
        <v>1699</v>
      </c>
      <c r="F130" t="s">
        <v>1700</v>
      </c>
      <c r="G130" t="s">
        <v>1701</v>
      </c>
      <c r="H130" t="str">
        <f>"Prmt1"</f>
        <v>Prmt1</v>
      </c>
      <c r="I130" t="s">
        <v>1702</v>
      </c>
      <c r="J130" t="s">
        <v>37</v>
      </c>
      <c r="K130">
        <v>10090</v>
      </c>
      <c r="L130" s="3" t="str">
        <f>HYPERLINK("http://www.uniprot.org/uniprot/Q9JIF0", "Q9JIF0")</f>
        <v>Q9JIF0</v>
      </c>
      <c r="M130" t="s">
        <v>1703</v>
      </c>
      <c r="N130" t="str">
        <f>"Prmt1"</f>
        <v>Prmt1</v>
      </c>
      <c r="O130" s="3" t="str">
        <f>HYPERLINK("http://www.informatics.jax.org/marker/MGI:107846", "MGI:107846")</f>
        <v>MGI:107846</v>
      </c>
      <c r="P130" t="s">
        <v>1704</v>
      </c>
      <c r="Q130" t="s">
        <v>32</v>
      </c>
      <c r="R130" t="s">
        <v>40</v>
      </c>
      <c r="S130" t="s">
        <v>41</v>
      </c>
      <c r="T130" t="s">
        <v>32</v>
      </c>
      <c r="U130" t="s">
        <v>32</v>
      </c>
      <c r="V130" t="s">
        <v>32</v>
      </c>
      <c r="W130" t="s">
        <v>1705</v>
      </c>
      <c r="X130" t="s">
        <v>1706</v>
      </c>
      <c r="Y130" t="s">
        <v>516</v>
      </c>
      <c r="Z130" t="s">
        <v>32</v>
      </c>
      <c r="AA130" t="s">
        <v>1707</v>
      </c>
      <c r="AB130" t="s">
        <v>1708</v>
      </c>
      <c r="AC130" t="s">
        <v>1709</v>
      </c>
      <c r="AD130" t="s">
        <v>32</v>
      </c>
      <c r="AE130" t="s">
        <v>1710</v>
      </c>
      <c r="AF130" t="s">
        <v>46835</v>
      </c>
    </row>
    <row r="131" spans="1:32" x14ac:dyDescent="0.2">
      <c r="A131">
        <v>126</v>
      </c>
      <c r="B131" t="s">
        <v>1711</v>
      </c>
      <c r="C131" t="s">
        <v>1712</v>
      </c>
      <c r="D131" t="s">
        <v>1713</v>
      </c>
      <c r="E131" t="s">
        <v>1714</v>
      </c>
      <c r="F131" t="s">
        <v>1715</v>
      </c>
      <c r="G131" t="s">
        <v>32</v>
      </c>
      <c r="H131" t="str">
        <f>"Pygm"</f>
        <v>Pygm</v>
      </c>
      <c r="I131" t="s">
        <v>32</v>
      </c>
      <c r="J131" t="s">
        <v>37</v>
      </c>
      <c r="K131">
        <v>10090</v>
      </c>
      <c r="L131" s="3" t="str">
        <f>HYPERLINK("http://www.uniprot.org/uniprot/Q9WUB3", "Q9WUB3")</f>
        <v>Q9WUB3</v>
      </c>
      <c r="M131" t="s">
        <v>1716</v>
      </c>
      <c r="N131" t="str">
        <f>"Pygm"</f>
        <v>Pygm</v>
      </c>
      <c r="O131" s="3" t="str">
        <f>HYPERLINK("http://www.informatics.jax.org/marker/MGI:97830", "MGI:97830")</f>
        <v>MGI:97830</v>
      </c>
      <c r="P131" t="s">
        <v>1717</v>
      </c>
      <c r="Q131" t="s">
        <v>1718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1719</v>
      </c>
      <c r="X131" t="s">
        <v>1720</v>
      </c>
      <c r="Y131" t="s">
        <v>157</v>
      </c>
      <c r="Z131" t="s">
        <v>32</v>
      </c>
      <c r="AA131" t="s">
        <v>1721</v>
      </c>
      <c r="AB131" t="s">
        <v>1722</v>
      </c>
      <c r="AC131" t="s">
        <v>1723</v>
      </c>
      <c r="AD131" t="s">
        <v>32</v>
      </c>
      <c r="AE131" t="s">
        <v>1724</v>
      </c>
      <c r="AF131" t="s">
        <v>46835</v>
      </c>
    </row>
    <row r="132" spans="1:32" x14ac:dyDescent="0.2">
      <c r="A132">
        <v>127</v>
      </c>
      <c r="B132" t="s">
        <v>1725</v>
      </c>
      <c r="C132" t="s">
        <v>1726</v>
      </c>
      <c r="D132" t="s">
        <v>1727</v>
      </c>
      <c r="E132" t="s">
        <v>1728</v>
      </c>
      <c r="F132" t="s">
        <v>1729</v>
      </c>
      <c r="G132" t="s">
        <v>32</v>
      </c>
      <c r="H132" t="str">
        <f>"Rpl10a"</f>
        <v>Rpl10a</v>
      </c>
      <c r="I132" t="s">
        <v>1730</v>
      </c>
      <c r="J132" t="s">
        <v>37</v>
      </c>
      <c r="K132">
        <v>10090</v>
      </c>
      <c r="L132" s="3" t="str">
        <f>HYPERLINK("http://www.uniprot.org/uniprot/P53026", "P53026")</f>
        <v>P53026</v>
      </c>
      <c r="M132" t="s">
        <v>1731</v>
      </c>
      <c r="N132" t="str">
        <f>"Rpl10a"</f>
        <v>Rpl10a</v>
      </c>
      <c r="O132" s="3" t="str">
        <f>HYPERLINK("http://www.informatics.jax.org/marker/MGI:1343877", "MGI:1343877")</f>
        <v>MGI:1343877</v>
      </c>
      <c r="P132" t="s">
        <v>1732</v>
      </c>
      <c r="Q132" t="s">
        <v>32</v>
      </c>
      <c r="R132" t="s">
        <v>418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447</v>
      </c>
      <c r="Y132" t="s">
        <v>516</v>
      </c>
      <c r="Z132" t="s">
        <v>126</v>
      </c>
      <c r="AA132" t="s">
        <v>1733</v>
      </c>
      <c r="AB132" t="s">
        <v>1734</v>
      </c>
      <c r="AC132" t="s">
        <v>1056</v>
      </c>
      <c r="AD132" t="s">
        <v>32</v>
      </c>
      <c r="AE132" t="s">
        <v>765</v>
      </c>
      <c r="AF132" t="s">
        <v>46835</v>
      </c>
    </row>
    <row r="133" spans="1:32" x14ac:dyDescent="0.2">
      <c r="A133">
        <v>128</v>
      </c>
      <c r="B133" t="s">
        <v>1735</v>
      </c>
      <c r="C133" t="s">
        <v>1736</v>
      </c>
      <c r="D133" t="s">
        <v>1737</v>
      </c>
      <c r="E133" t="s">
        <v>1738</v>
      </c>
      <c r="F133" t="s">
        <v>1739</v>
      </c>
      <c r="G133" t="s">
        <v>1740</v>
      </c>
      <c r="H133" t="str">
        <f>"Rps6"</f>
        <v>Rps6</v>
      </c>
      <c r="I133" t="s">
        <v>32</v>
      </c>
      <c r="J133" t="s">
        <v>37</v>
      </c>
      <c r="K133">
        <v>10090</v>
      </c>
      <c r="L133" s="3" t="str">
        <f>HYPERLINK("http://www.uniprot.org/uniprot/P62754", "P62754")</f>
        <v>P62754</v>
      </c>
      <c r="M133" t="s">
        <v>1741</v>
      </c>
      <c r="N133" t="str">
        <f>"Rps6"</f>
        <v>Rps6</v>
      </c>
      <c r="O133" s="3" t="str">
        <f>HYPERLINK("http://www.informatics.jax.org/marker/MGI:98159", "MGI:98159")</f>
        <v>MGI:98159</v>
      </c>
      <c r="P133" t="s">
        <v>1742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447</v>
      </c>
      <c r="Y133" t="s">
        <v>1743</v>
      </c>
      <c r="Z133" t="s">
        <v>126</v>
      </c>
      <c r="AA133" t="s">
        <v>1744</v>
      </c>
      <c r="AB133" t="s">
        <v>1745</v>
      </c>
      <c r="AC133" t="s">
        <v>1746</v>
      </c>
      <c r="AD133" t="s">
        <v>32</v>
      </c>
      <c r="AE133" t="s">
        <v>1747</v>
      </c>
      <c r="AF133" t="s">
        <v>46835</v>
      </c>
    </row>
    <row r="134" spans="1:32" x14ac:dyDescent="0.2">
      <c r="A134">
        <v>129</v>
      </c>
      <c r="B134" t="s">
        <v>1748</v>
      </c>
      <c r="C134" t="s">
        <v>1749</v>
      </c>
      <c r="D134" t="s">
        <v>32</v>
      </c>
      <c r="E134" t="s">
        <v>1750</v>
      </c>
      <c r="F134" t="s">
        <v>1751</v>
      </c>
      <c r="G134" t="s">
        <v>1752</v>
      </c>
      <c r="H134" t="str">
        <f>"Mdh2"</f>
        <v>Mdh2</v>
      </c>
      <c r="I134" t="s">
        <v>1753</v>
      </c>
      <c r="J134" t="s">
        <v>37</v>
      </c>
      <c r="K134">
        <v>10090</v>
      </c>
      <c r="L134" s="3" t="str">
        <f>HYPERLINK("http://www.uniprot.org/uniprot/P08249", "P08249")</f>
        <v>P08249</v>
      </c>
      <c r="M134" t="s">
        <v>1754</v>
      </c>
      <c r="N134" t="str">
        <f>"Mdh2"</f>
        <v>Mdh2</v>
      </c>
      <c r="O134" s="3" t="str">
        <f>HYPERLINK("http://www.informatics.jax.org/marker/MGI:97050", "MGI:97050")</f>
        <v>MGI:97050</v>
      </c>
      <c r="P134" t="s">
        <v>1755</v>
      </c>
      <c r="Q134" t="s">
        <v>1756</v>
      </c>
      <c r="R134" t="s">
        <v>1038</v>
      </c>
      <c r="S134" t="s">
        <v>32</v>
      </c>
      <c r="T134" t="s">
        <v>32</v>
      </c>
      <c r="U134" t="s">
        <v>32</v>
      </c>
      <c r="V134" t="s">
        <v>1039</v>
      </c>
      <c r="W134" t="s">
        <v>325</v>
      </c>
      <c r="X134" t="s">
        <v>600</v>
      </c>
      <c r="Y134" t="s">
        <v>372</v>
      </c>
      <c r="Z134" t="s">
        <v>32</v>
      </c>
      <c r="AA134" t="s">
        <v>1757</v>
      </c>
      <c r="AB134" t="s">
        <v>1758</v>
      </c>
      <c r="AC134" t="s">
        <v>1759</v>
      </c>
      <c r="AD134" t="s">
        <v>32</v>
      </c>
      <c r="AE134" t="s">
        <v>1760</v>
      </c>
      <c r="AF134" t="s">
        <v>46835</v>
      </c>
    </row>
    <row r="135" spans="1:32" x14ac:dyDescent="0.2">
      <c r="A135">
        <v>130</v>
      </c>
      <c r="B135" t="s">
        <v>1761</v>
      </c>
      <c r="C135" t="s">
        <v>1762</v>
      </c>
      <c r="D135" t="s">
        <v>32</v>
      </c>
      <c r="E135" t="s">
        <v>1763</v>
      </c>
      <c r="F135" t="s">
        <v>1764</v>
      </c>
      <c r="G135" t="s">
        <v>1765</v>
      </c>
      <c r="H135" t="str">
        <f>"Lmnb1"</f>
        <v>Lmnb1</v>
      </c>
      <c r="I135" t="s">
        <v>32</v>
      </c>
      <c r="J135" t="s">
        <v>37</v>
      </c>
      <c r="K135">
        <v>10090</v>
      </c>
      <c r="L135" s="3" t="str">
        <f>HYPERLINK("http://www.uniprot.org/uniprot/P14733", "P14733")</f>
        <v>P14733</v>
      </c>
      <c r="M135" t="s">
        <v>1766</v>
      </c>
      <c r="N135" t="str">
        <f>"Lmnb1"</f>
        <v>Lmnb1</v>
      </c>
      <c r="O135" s="3" t="str">
        <f>HYPERLINK("http://www.informatics.jax.org/marker/MGI:96795", "MGI:96795")</f>
        <v>MGI:96795</v>
      </c>
      <c r="P135" t="s">
        <v>1767</v>
      </c>
      <c r="Q135" t="s">
        <v>32</v>
      </c>
      <c r="R135" t="s">
        <v>1768</v>
      </c>
      <c r="S135" t="s">
        <v>32</v>
      </c>
      <c r="T135" t="s">
        <v>32</v>
      </c>
      <c r="U135" t="s">
        <v>32</v>
      </c>
      <c r="V135" t="s">
        <v>290</v>
      </c>
      <c r="W135" t="s">
        <v>32</v>
      </c>
      <c r="X135" t="s">
        <v>32</v>
      </c>
      <c r="Y135" t="s">
        <v>1769</v>
      </c>
      <c r="Z135" t="s">
        <v>32</v>
      </c>
      <c r="AA135" t="s">
        <v>1770</v>
      </c>
      <c r="AB135" t="s">
        <v>1771</v>
      </c>
      <c r="AC135" t="s">
        <v>1772</v>
      </c>
      <c r="AD135" t="s">
        <v>32</v>
      </c>
      <c r="AE135" t="s">
        <v>1773</v>
      </c>
      <c r="AF135" t="s">
        <v>46835</v>
      </c>
    </row>
    <row r="136" spans="1:32" x14ac:dyDescent="0.2">
      <c r="A136">
        <v>131</v>
      </c>
      <c r="B136" t="s">
        <v>1774</v>
      </c>
      <c r="C136" t="s">
        <v>1775</v>
      </c>
      <c r="D136" t="s">
        <v>32</v>
      </c>
      <c r="E136" t="s">
        <v>1776</v>
      </c>
      <c r="F136" t="s">
        <v>1777</v>
      </c>
      <c r="G136" t="s">
        <v>1778</v>
      </c>
      <c r="H136" t="str">
        <f>"Ywhah"</f>
        <v>Ywhah</v>
      </c>
      <c r="I136" t="s">
        <v>32</v>
      </c>
      <c r="J136" t="s">
        <v>37</v>
      </c>
      <c r="K136">
        <v>10090</v>
      </c>
      <c r="L136" s="3" t="str">
        <f>HYPERLINK("http://www.uniprot.org/uniprot/P68510", "P68510")</f>
        <v>P68510</v>
      </c>
      <c r="M136" t="s">
        <v>1779</v>
      </c>
      <c r="N136" t="str">
        <f>"Ywhah"</f>
        <v>Ywhah</v>
      </c>
      <c r="O136" s="3" t="str">
        <f>HYPERLINK("http://www.informatics.jax.org/marker/MGI:109194", "MGI:109194")</f>
        <v>MGI:109194</v>
      </c>
      <c r="P136" t="s">
        <v>1578</v>
      </c>
      <c r="Q136" t="s">
        <v>32</v>
      </c>
      <c r="R136" t="s">
        <v>418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157</v>
      </c>
      <c r="Z136" t="s">
        <v>126</v>
      </c>
      <c r="AA136" t="s">
        <v>1780</v>
      </c>
      <c r="AB136" t="s">
        <v>1781</v>
      </c>
      <c r="AC136" t="s">
        <v>1782</v>
      </c>
      <c r="AD136" t="s">
        <v>32</v>
      </c>
      <c r="AE136" t="s">
        <v>1783</v>
      </c>
      <c r="AF136" t="s">
        <v>46835</v>
      </c>
    </row>
    <row r="137" spans="1:32" x14ac:dyDescent="0.2">
      <c r="A137">
        <v>132</v>
      </c>
      <c r="B137" t="s">
        <v>1784</v>
      </c>
      <c r="C137" t="s">
        <v>1785</v>
      </c>
      <c r="D137" t="s">
        <v>32</v>
      </c>
      <c r="E137" t="s">
        <v>1786</v>
      </c>
      <c r="F137" t="s">
        <v>1787</v>
      </c>
      <c r="G137" t="s">
        <v>1788</v>
      </c>
      <c r="H137" t="str">
        <f>"Rps4x"</f>
        <v>Rps4x</v>
      </c>
      <c r="I137" t="s">
        <v>1789</v>
      </c>
      <c r="J137" t="s">
        <v>37</v>
      </c>
      <c r="K137">
        <v>10090</v>
      </c>
      <c r="L137" s="3" t="str">
        <f>HYPERLINK("http://www.uniprot.org/uniprot/P62702", "P62702")</f>
        <v>P62702</v>
      </c>
      <c r="M137" t="s">
        <v>1790</v>
      </c>
      <c r="N137" t="str">
        <f>"Rps4x"</f>
        <v>Rps4x</v>
      </c>
      <c r="O137" s="3" t="str">
        <f>HYPERLINK("http://www.informatics.jax.org/marker/MGI:98158", "MGI:98158")</f>
        <v>MGI:98158</v>
      </c>
      <c r="P137" t="s">
        <v>1791</v>
      </c>
      <c r="Q137" t="s">
        <v>32</v>
      </c>
      <c r="R137" t="s">
        <v>418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887</v>
      </c>
      <c r="Y137" t="s">
        <v>461</v>
      </c>
      <c r="Z137" t="s">
        <v>126</v>
      </c>
      <c r="AA137" t="s">
        <v>1792</v>
      </c>
      <c r="AB137" t="s">
        <v>1793</v>
      </c>
      <c r="AC137" t="s">
        <v>1794</v>
      </c>
      <c r="AD137" t="s">
        <v>32</v>
      </c>
      <c r="AE137" t="s">
        <v>691</v>
      </c>
      <c r="AF137" t="s">
        <v>46835</v>
      </c>
    </row>
    <row r="138" spans="1:32" x14ac:dyDescent="0.2">
      <c r="A138">
        <v>133</v>
      </c>
      <c r="B138" t="s">
        <v>1795</v>
      </c>
      <c r="C138" t="s">
        <v>1796</v>
      </c>
      <c r="D138" t="s">
        <v>1797</v>
      </c>
      <c r="E138" t="s">
        <v>1798</v>
      </c>
      <c r="F138" t="s">
        <v>1799</v>
      </c>
      <c r="G138" t="s">
        <v>1800</v>
      </c>
      <c r="H138" t="str">
        <f>"Fkbp4"</f>
        <v>Fkbp4</v>
      </c>
      <c r="I138" t="s">
        <v>1801</v>
      </c>
      <c r="J138" t="s">
        <v>37</v>
      </c>
      <c r="K138">
        <v>10090</v>
      </c>
      <c r="L138" s="3" t="str">
        <f>HYPERLINK("http://www.uniprot.org/uniprot/P30416", "P30416")</f>
        <v>P30416</v>
      </c>
      <c r="M138" t="s">
        <v>1802</v>
      </c>
      <c r="N138" t="str">
        <f>"Fkbp4"</f>
        <v>Fkbp4</v>
      </c>
      <c r="O138" s="3" t="str">
        <f>HYPERLINK("http://www.informatics.jax.org/marker/MGI:95543", "MGI:95543")</f>
        <v>MGI:95543</v>
      </c>
      <c r="P138" t="s">
        <v>1803</v>
      </c>
      <c r="Q138" t="s">
        <v>32</v>
      </c>
      <c r="R138" t="s">
        <v>1804</v>
      </c>
      <c r="S138" t="s">
        <v>32</v>
      </c>
      <c r="T138" t="s">
        <v>32</v>
      </c>
      <c r="U138" t="s">
        <v>32</v>
      </c>
      <c r="V138" t="s">
        <v>995</v>
      </c>
      <c r="W138" t="s">
        <v>32</v>
      </c>
      <c r="X138" t="s">
        <v>1805</v>
      </c>
      <c r="Y138" t="s">
        <v>207</v>
      </c>
      <c r="Z138" t="s">
        <v>32</v>
      </c>
      <c r="AA138" t="s">
        <v>1806</v>
      </c>
      <c r="AB138" t="s">
        <v>1807</v>
      </c>
      <c r="AC138" t="s">
        <v>1808</v>
      </c>
      <c r="AD138" t="s">
        <v>32</v>
      </c>
      <c r="AE138" t="s">
        <v>1809</v>
      </c>
      <c r="AF138" t="s">
        <v>46835</v>
      </c>
    </row>
    <row r="139" spans="1:32" x14ac:dyDescent="0.2">
      <c r="A139">
        <v>134</v>
      </c>
      <c r="B139" t="s">
        <v>1810</v>
      </c>
      <c r="C139" t="s">
        <v>1811</v>
      </c>
      <c r="D139" t="s">
        <v>1812</v>
      </c>
      <c r="E139" t="s">
        <v>1813</v>
      </c>
      <c r="F139" t="s">
        <v>1814</v>
      </c>
      <c r="G139" t="s">
        <v>32</v>
      </c>
      <c r="H139" t="str">
        <f>"Cct4"</f>
        <v>Cct4</v>
      </c>
      <c r="I139" t="s">
        <v>1815</v>
      </c>
      <c r="J139" t="s">
        <v>37</v>
      </c>
      <c r="K139">
        <v>10090</v>
      </c>
      <c r="L139" s="3" t="str">
        <f>HYPERLINK("http://www.uniprot.org/uniprot/P80315", "P80315")</f>
        <v>P80315</v>
      </c>
      <c r="M139" t="s">
        <v>1816</v>
      </c>
      <c r="N139" t="str">
        <f>"Cct4"</f>
        <v>Cct4</v>
      </c>
      <c r="O139" s="3" t="str">
        <f>HYPERLINK("http://www.informatics.jax.org/marker/MGI:104689", "MGI:104689")</f>
        <v>MGI:104689</v>
      </c>
      <c r="P139" t="s">
        <v>1817</v>
      </c>
      <c r="Q139" t="s">
        <v>32</v>
      </c>
      <c r="R139" t="s">
        <v>1223</v>
      </c>
      <c r="S139" t="s">
        <v>32</v>
      </c>
      <c r="T139" t="s">
        <v>32</v>
      </c>
      <c r="U139" t="s">
        <v>32</v>
      </c>
      <c r="V139" t="s">
        <v>32</v>
      </c>
      <c r="W139" t="s">
        <v>205</v>
      </c>
      <c r="X139" t="s">
        <v>388</v>
      </c>
      <c r="Y139" t="s">
        <v>97</v>
      </c>
      <c r="Z139" t="s">
        <v>32</v>
      </c>
      <c r="AA139" t="s">
        <v>1818</v>
      </c>
      <c r="AB139" t="s">
        <v>1819</v>
      </c>
      <c r="AC139" t="s">
        <v>1226</v>
      </c>
      <c r="AD139" t="s">
        <v>32</v>
      </c>
      <c r="AE139" t="s">
        <v>800</v>
      </c>
      <c r="AF139" t="s">
        <v>46835</v>
      </c>
    </row>
    <row r="140" spans="1:32" x14ac:dyDescent="0.2">
      <c r="A140">
        <v>135</v>
      </c>
      <c r="B140" t="s">
        <v>1820</v>
      </c>
      <c r="C140" t="s">
        <v>1821</v>
      </c>
      <c r="D140" t="s">
        <v>1822</v>
      </c>
      <c r="E140" t="s">
        <v>1823</v>
      </c>
      <c r="F140" t="s">
        <v>1824</v>
      </c>
      <c r="G140" t="s">
        <v>1825</v>
      </c>
      <c r="H140" t="str">
        <f>"Eif4a1"</f>
        <v>Eif4a1</v>
      </c>
      <c r="I140" t="s">
        <v>1826</v>
      </c>
      <c r="J140" t="s">
        <v>37</v>
      </c>
      <c r="K140">
        <v>10090</v>
      </c>
      <c r="L140" s="3" t="str">
        <f>HYPERLINK("http://www.uniprot.org/uniprot/P60843", "P60843")</f>
        <v>P60843</v>
      </c>
      <c r="M140" t="s">
        <v>1827</v>
      </c>
      <c r="N140" t="str">
        <f>"Eif4a1"</f>
        <v>Eif4a1</v>
      </c>
      <c r="O140" s="3" t="str">
        <f>HYPERLINK("http://www.informatics.jax.org/marker/MGI:95303", "MGI:95303")</f>
        <v>MGI:95303</v>
      </c>
      <c r="P140" t="s">
        <v>1828</v>
      </c>
      <c r="Q140" t="s">
        <v>260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205</v>
      </c>
      <c r="X140" t="s">
        <v>1829</v>
      </c>
      <c r="Y140" t="s">
        <v>516</v>
      </c>
      <c r="Z140" t="s">
        <v>126</v>
      </c>
      <c r="AA140" t="s">
        <v>1830</v>
      </c>
      <c r="AB140" t="s">
        <v>1831</v>
      </c>
      <c r="AC140" t="s">
        <v>1832</v>
      </c>
      <c r="AD140" t="s">
        <v>32</v>
      </c>
      <c r="AE140" t="s">
        <v>1833</v>
      </c>
      <c r="AF140" t="s">
        <v>46835</v>
      </c>
    </row>
    <row r="141" spans="1:32" x14ac:dyDescent="0.2">
      <c r="A141">
        <v>136</v>
      </c>
      <c r="B141" t="s">
        <v>1834</v>
      </c>
      <c r="C141" t="s">
        <v>1835</v>
      </c>
      <c r="D141" t="s">
        <v>1836</v>
      </c>
      <c r="E141" t="s">
        <v>1837</v>
      </c>
      <c r="F141" t="s">
        <v>1838</v>
      </c>
      <c r="G141" t="s">
        <v>1839</v>
      </c>
      <c r="H141" t="str">
        <f>"Ckb"</f>
        <v>Ckb</v>
      </c>
      <c r="I141" t="s">
        <v>32</v>
      </c>
      <c r="J141" t="s">
        <v>37</v>
      </c>
      <c r="K141">
        <v>10090</v>
      </c>
      <c r="L141" s="3" t="str">
        <f>HYPERLINK("http://www.uniprot.org/uniprot/Q04447", "Q04447")</f>
        <v>Q04447</v>
      </c>
      <c r="M141" t="s">
        <v>1840</v>
      </c>
      <c r="N141" t="str">
        <f>"Ckb"</f>
        <v>Ckb</v>
      </c>
      <c r="O141" s="3" t="str">
        <f>HYPERLINK("http://www.informatics.jax.org/marker/MGI:88407", "MGI:88407")</f>
        <v>MGI:88407</v>
      </c>
      <c r="P141" t="s">
        <v>1841</v>
      </c>
      <c r="Q141" t="s">
        <v>32</v>
      </c>
      <c r="R141" t="s">
        <v>1842</v>
      </c>
      <c r="S141" t="s">
        <v>32</v>
      </c>
      <c r="T141" t="s">
        <v>32</v>
      </c>
      <c r="U141" t="s">
        <v>32</v>
      </c>
      <c r="V141" t="s">
        <v>32</v>
      </c>
      <c r="W141" t="s">
        <v>205</v>
      </c>
      <c r="X141" t="s">
        <v>419</v>
      </c>
      <c r="Y141" t="s">
        <v>1843</v>
      </c>
      <c r="Z141" t="s">
        <v>32</v>
      </c>
      <c r="AA141" t="s">
        <v>1844</v>
      </c>
      <c r="AB141" t="s">
        <v>1845</v>
      </c>
      <c r="AC141" t="s">
        <v>1846</v>
      </c>
      <c r="AD141" t="s">
        <v>32</v>
      </c>
      <c r="AE141" t="s">
        <v>1847</v>
      </c>
      <c r="AF141" t="s">
        <v>46835</v>
      </c>
    </row>
    <row r="142" spans="1:32" x14ac:dyDescent="0.2">
      <c r="A142">
        <v>137</v>
      </c>
      <c r="B142" t="s">
        <v>1848</v>
      </c>
      <c r="C142" t="s">
        <v>1849</v>
      </c>
      <c r="D142" t="s">
        <v>1850</v>
      </c>
      <c r="E142" t="s">
        <v>1851</v>
      </c>
      <c r="F142" t="s">
        <v>1852</v>
      </c>
      <c r="G142" t="s">
        <v>1853</v>
      </c>
      <c r="H142" t="str">
        <f>"Rpsa"</f>
        <v>Rpsa</v>
      </c>
      <c r="I142" t="s">
        <v>1854</v>
      </c>
      <c r="J142" t="s">
        <v>37</v>
      </c>
      <c r="K142">
        <v>10090</v>
      </c>
      <c r="L142" s="3" t="str">
        <f>HYPERLINK("http://www.uniprot.org/uniprot/P14206", "P14206")</f>
        <v>P14206</v>
      </c>
      <c r="M142" t="s">
        <v>1855</v>
      </c>
      <c r="N142" t="str">
        <f>"Rpsa"</f>
        <v>Rpsa</v>
      </c>
      <c r="O142" s="3" t="str">
        <f>HYPERLINK("http://www.informatics.jax.org/marker/MGI:105381", "MGI:105381")</f>
        <v>MGI:105381</v>
      </c>
      <c r="P142" t="s">
        <v>1856</v>
      </c>
      <c r="Q142" t="s">
        <v>32</v>
      </c>
      <c r="R142" t="s">
        <v>276</v>
      </c>
      <c r="S142" t="s">
        <v>32</v>
      </c>
      <c r="T142" t="s">
        <v>32</v>
      </c>
      <c r="U142" t="s">
        <v>32</v>
      </c>
      <c r="V142" t="s">
        <v>55</v>
      </c>
      <c r="W142" t="s">
        <v>32</v>
      </c>
      <c r="X142" t="s">
        <v>1857</v>
      </c>
      <c r="Y142" t="s">
        <v>516</v>
      </c>
      <c r="Z142" t="s">
        <v>126</v>
      </c>
      <c r="AA142" t="s">
        <v>1858</v>
      </c>
      <c r="AB142" t="s">
        <v>1859</v>
      </c>
      <c r="AC142" t="s">
        <v>1860</v>
      </c>
      <c r="AD142" t="s">
        <v>32</v>
      </c>
      <c r="AE142" t="s">
        <v>691</v>
      </c>
      <c r="AF142" t="s">
        <v>46835</v>
      </c>
    </row>
    <row r="143" spans="1:32" x14ac:dyDescent="0.2">
      <c r="A143">
        <v>138</v>
      </c>
      <c r="B143" t="s">
        <v>1861</v>
      </c>
      <c r="C143" t="s">
        <v>1862</v>
      </c>
      <c r="D143" t="s">
        <v>32</v>
      </c>
      <c r="E143" t="s">
        <v>1863</v>
      </c>
      <c r="F143" t="s">
        <v>1864</v>
      </c>
      <c r="G143" t="s">
        <v>1865</v>
      </c>
      <c r="H143" t="str">
        <f>"Rps12"</f>
        <v>Rps12</v>
      </c>
      <c r="I143" t="s">
        <v>32</v>
      </c>
      <c r="J143" t="s">
        <v>37</v>
      </c>
      <c r="K143">
        <v>10090</v>
      </c>
      <c r="L143" s="3" t="str">
        <f>HYPERLINK("http://www.uniprot.org/uniprot/P63323", "P63323")</f>
        <v>P63323</v>
      </c>
      <c r="M143" t="s">
        <v>1866</v>
      </c>
      <c r="N143" t="str">
        <f>"Rps12"</f>
        <v>Rps12</v>
      </c>
      <c r="O143" s="3" t="str">
        <f>HYPERLINK("http://www.informatics.jax.org/marker/MGI:98105", "MGI:98105")</f>
        <v>MGI:98105</v>
      </c>
      <c r="P143" t="s">
        <v>1867</v>
      </c>
      <c r="Q143" t="s">
        <v>32</v>
      </c>
      <c r="R143" t="s">
        <v>418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447</v>
      </c>
      <c r="Y143" t="s">
        <v>78</v>
      </c>
      <c r="Z143" t="s">
        <v>126</v>
      </c>
      <c r="AA143" t="s">
        <v>1868</v>
      </c>
      <c r="AB143" t="s">
        <v>1869</v>
      </c>
      <c r="AC143" t="s">
        <v>1010</v>
      </c>
      <c r="AD143" t="s">
        <v>32</v>
      </c>
      <c r="AE143" t="s">
        <v>691</v>
      </c>
      <c r="AF143" t="s">
        <v>46835</v>
      </c>
    </row>
    <row r="144" spans="1:32" x14ac:dyDescent="0.2">
      <c r="A144">
        <v>139</v>
      </c>
      <c r="B144" t="s">
        <v>1870</v>
      </c>
      <c r="C144" t="s">
        <v>1871</v>
      </c>
      <c r="D144" t="s">
        <v>1872</v>
      </c>
      <c r="E144" t="s">
        <v>1873</v>
      </c>
      <c r="F144" t="s">
        <v>1874</v>
      </c>
      <c r="G144" t="s">
        <v>1875</v>
      </c>
      <c r="H144" t="str">
        <f>"Actc1"</f>
        <v>Actc1</v>
      </c>
      <c r="I144" t="s">
        <v>1876</v>
      </c>
      <c r="J144" t="s">
        <v>37</v>
      </c>
      <c r="K144">
        <v>10090</v>
      </c>
      <c r="L144" s="3" t="str">
        <f>HYPERLINK("http://www.uniprot.org/uniprot/P68033", "P68033")</f>
        <v>P68033</v>
      </c>
      <c r="M144" t="s">
        <v>1877</v>
      </c>
      <c r="N144" t="str">
        <f>"Actc1"</f>
        <v>Actc1</v>
      </c>
      <c r="O144" s="3" t="str">
        <f>HYPERLINK("http://www.informatics.jax.org/marker/MGI:87905", "MGI:87905")</f>
        <v>MGI:87905</v>
      </c>
      <c r="P144" t="s">
        <v>1878</v>
      </c>
      <c r="Q144" t="s">
        <v>32</v>
      </c>
      <c r="R144" t="s">
        <v>186</v>
      </c>
      <c r="S144" t="s">
        <v>32</v>
      </c>
      <c r="T144" t="s">
        <v>32</v>
      </c>
      <c r="U144" t="s">
        <v>32</v>
      </c>
      <c r="V144" t="s">
        <v>32</v>
      </c>
      <c r="W144" t="s">
        <v>205</v>
      </c>
      <c r="X144" t="s">
        <v>1879</v>
      </c>
      <c r="Y144" t="s">
        <v>1880</v>
      </c>
      <c r="Z144" t="s">
        <v>32</v>
      </c>
      <c r="AA144" t="s">
        <v>1881</v>
      </c>
      <c r="AB144" t="s">
        <v>1882</v>
      </c>
      <c r="AC144" t="s">
        <v>1883</v>
      </c>
      <c r="AD144" t="s">
        <v>32</v>
      </c>
      <c r="AE144" t="s">
        <v>1884</v>
      </c>
      <c r="AF144" t="s">
        <v>46835</v>
      </c>
    </row>
    <row r="145" spans="1:32" x14ac:dyDescent="0.2">
      <c r="A145">
        <v>140</v>
      </c>
      <c r="B145" t="s">
        <v>1885</v>
      </c>
      <c r="C145" t="s">
        <v>1886</v>
      </c>
      <c r="D145" t="s">
        <v>1887</v>
      </c>
      <c r="E145" t="s">
        <v>1888</v>
      </c>
      <c r="F145" t="s">
        <v>1889</v>
      </c>
      <c r="G145" t="s">
        <v>1890</v>
      </c>
      <c r="H145" t="str">
        <f>"Uchl1"</f>
        <v>Uchl1</v>
      </c>
      <c r="I145" t="s">
        <v>32</v>
      </c>
      <c r="J145" t="s">
        <v>37</v>
      </c>
      <c r="K145">
        <v>10090</v>
      </c>
      <c r="L145" s="3" t="str">
        <f>HYPERLINK("http://www.uniprot.org/uniprot/Q9R0P9", "Q9R0P9")</f>
        <v>Q9R0P9</v>
      </c>
      <c r="M145" t="s">
        <v>1891</v>
      </c>
      <c r="N145" t="str">
        <f>"Uchl1"</f>
        <v>Uchl1</v>
      </c>
      <c r="O145" s="3" t="str">
        <f>HYPERLINK("http://www.informatics.jax.org/marker/MGI:103149", "MGI:103149")</f>
        <v>MGI:103149</v>
      </c>
      <c r="P145" t="s">
        <v>1892</v>
      </c>
      <c r="Q145" t="s">
        <v>1020</v>
      </c>
      <c r="R145" t="s">
        <v>1893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557</v>
      </c>
      <c r="Y145" t="s">
        <v>1894</v>
      </c>
      <c r="Z145" t="s">
        <v>32</v>
      </c>
      <c r="AA145" t="s">
        <v>1895</v>
      </c>
      <c r="AB145" t="s">
        <v>1896</v>
      </c>
      <c r="AC145" t="s">
        <v>1897</v>
      </c>
      <c r="AD145" t="s">
        <v>32</v>
      </c>
      <c r="AE145" t="s">
        <v>1898</v>
      </c>
      <c r="AF145" t="s">
        <v>46835</v>
      </c>
    </row>
    <row r="146" spans="1:32" x14ac:dyDescent="0.2">
      <c r="A146">
        <v>141</v>
      </c>
      <c r="B146" t="s">
        <v>1899</v>
      </c>
      <c r="C146" t="s">
        <v>1900</v>
      </c>
      <c r="D146" t="s">
        <v>1901</v>
      </c>
      <c r="E146" t="s">
        <v>1902</v>
      </c>
      <c r="F146" t="s">
        <v>1903</v>
      </c>
      <c r="G146" t="s">
        <v>1904</v>
      </c>
      <c r="H146" t="str">
        <f>"Rack1"</f>
        <v>Rack1</v>
      </c>
      <c r="I146" t="s">
        <v>1905</v>
      </c>
      <c r="J146" t="s">
        <v>37</v>
      </c>
      <c r="K146">
        <v>10090</v>
      </c>
      <c r="L146" s="3" t="str">
        <f>HYPERLINK("http://www.uniprot.org/uniprot/P68040", "P68040")</f>
        <v>P68040</v>
      </c>
      <c r="M146" t="s">
        <v>1906</v>
      </c>
      <c r="N146" t="str">
        <f>"Rack1"</f>
        <v>Rack1</v>
      </c>
      <c r="O146" s="3" t="str">
        <f>HYPERLINK("http://www.informatics.jax.org/marker/MGI:101849", "MGI:101849")</f>
        <v>MGI:101849</v>
      </c>
      <c r="P146" t="s">
        <v>1907</v>
      </c>
      <c r="Q146" t="s">
        <v>1908</v>
      </c>
      <c r="R146" t="s">
        <v>1909</v>
      </c>
      <c r="S146" t="s">
        <v>32</v>
      </c>
      <c r="T146" t="s">
        <v>32</v>
      </c>
      <c r="U146" t="s">
        <v>32</v>
      </c>
      <c r="V146" t="s">
        <v>1910</v>
      </c>
      <c r="W146" t="s">
        <v>32</v>
      </c>
      <c r="X146" t="s">
        <v>1911</v>
      </c>
      <c r="Y146" t="s">
        <v>157</v>
      </c>
      <c r="Z146" t="s">
        <v>126</v>
      </c>
      <c r="AA146" t="s">
        <v>1912</v>
      </c>
      <c r="AB146" t="s">
        <v>1913</v>
      </c>
      <c r="AC146" t="s">
        <v>1914</v>
      </c>
      <c r="AD146" t="s">
        <v>32</v>
      </c>
      <c r="AE146" t="s">
        <v>1915</v>
      </c>
      <c r="AF146" t="s">
        <v>46835</v>
      </c>
    </row>
    <row r="147" spans="1:32" x14ac:dyDescent="0.2">
      <c r="A147">
        <v>142</v>
      </c>
      <c r="B147" t="s">
        <v>1916</v>
      </c>
      <c r="C147" t="s">
        <v>1917</v>
      </c>
      <c r="D147" t="s">
        <v>1918</v>
      </c>
      <c r="E147" t="s">
        <v>1919</v>
      </c>
      <c r="F147" t="s">
        <v>1920</v>
      </c>
      <c r="G147" t="s">
        <v>1921</v>
      </c>
      <c r="H147" t="str">
        <f>"Tjp1"</f>
        <v>Tjp1</v>
      </c>
      <c r="I147" t="s">
        <v>1922</v>
      </c>
      <c r="J147" t="s">
        <v>37</v>
      </c>
      <c r="K147">
        <v>10090</v>
      </c>
      <c r="L147" s="3" t="str">
        <f>HYPERLINK("http://www.uniprot.org/uniprot/P39447", "P39447")</f>
        <v>P39447</v>
      </c>
      <c r="M147" t="s">
        <v>1923</v>
      </c>
      <c r="N147" t="str">
        <f>"Tjp1"</f>
        <v>Tjp1</v>
      </c>
      <c r="O147" s="3" t="str">
        <f>HYPERLINK("http://www.informatics.jax.org/marker/MGI:98759", "MGI:98759")</f>
        <v>MGI:98759</v>
      </c>
      <c r="P147" t="s">
        <v>1924</v>
      </c>
      <c r="Q147" t="s">
        <v>32</v>
      </c>
      <c r="R147" t="s">
        <v>1925</v>
      </c>
      <c r="S147" t="s">
        <v>32</v>
      </c>
      <c r="T147" t="s">
        <v>32</v>
      </c>
      <c r="U147" t="s">
        <v>32</v>
      </c>
      <c r="V147" t="s">
        <v>187</v>
      </c>
      <c r="W147" t="s">
        <v>32</v>
      </c>
      <c r="X147" t="s">
        <v>1926</v>
      </c>
      <c r="Y147" t="s">
        <v>618</v>
      </c>
      <c r="Z147" t="s">
        <v>126</v>
      </c>
      <c r="AA147" t="s">
        <v>1927</v>
      </c>
      <c r="AB147" t="s">
        <v>1928</v>
      </c>
      <c r="AC147" t="s">
        <v>1929</v>
      </c>
      <c r="AD147" t="s">
        <v>32</v>
      </c>
      <c r="AE147" t="s">
        <v>1930</v>
      </c>
      <c r="AF147" t="s">
        <v>46835</v>
      </c>
    </row>
    <row r="148" spans="1:32" x14ac:dyDescent="0.2">
      <c r="A148">
        <v>143</v>
      </c>
      <c r="B148" t="s">
        <v>1931</v>
      </c>
      <c r="C148" t="s">
        <v>1932</v>
      </c>
      <c r="D148" t="s">
        <v>32</v>
      </c>
      <c r="E148" t="s">
        <v>1933</v>
      </c>
      <c r="F148" t="s">
        <v>1934</v>
      </c>
      <c r="G148" t="s">
        <v>1935</v>
      </c>
      <c r="H148" t="str">
        <f>"Nono"</f>
        <v>Nono</v>
      </c>
      <c r="I148" t="s">
        <v>32</v>
      </c>
      <c r="J148" t="s">
        <v>37</v>
      </c>
      <c r="K148">
        <v>10090</v>
      </c>
      <c r="L148" s="3" t="str">
        <f>HYPERLINK("http://www.uniprot.org/uniprot/Q99K48", "Q99K48")</f>
        <v>Q99K48</v>
      </c>
      <c r="M148" t="s">
        <v>1936</v>
      </c>
      <c r="N148" t="str">
        <f>"Nono"</f>
        <v>Nono</v>
      </c>
      <c r="O148" s="3" t="str">
        <f>HYPERLINK("http://www.informatics.jax.org/marker/MGI:1855692", "MGI:1855692")</f>
        <v>MGI:1855692</v>
      </c>
      <c r="P148" t="s">
        <v>1937</v>
      </c>
      <c r="Q148" t="s">
        <v>1938</v>
      </c>
      <c r="R148" t="s">
        <v>1939</v>
      </c>
      <c r="S148" t="s">
        <v>41</v>
      </c>
      <c r="T148" t="s">
        <v>32</v>
      </c>
      <c r="U148" t="s">
        <v>32</v>
      </c>
      <c r="V148" t="s">
        <v>137</v>
      </c>
      <c r="W148" t="s">
        <v>32</v>
      </c>
      <c r="X148" t="s">
        <v>1940</v>
      </c>
      <c r="Y148" t="s">
        <v>207</v>
      </c>
      <c r="Z148" t="s">
        <v>126</v>
      </c>
      <c r="AA148" t="s">
        <v>1941</v>
      </c>
      <c r="AB148" t="s">
        <v>1942</v>
      </c>
      <c r="AC148" t="s">
        <v>1943</v>
      </c>
      <c r="AD148" t="s">
        <v>32</v>
      </c>
      <c r="AE148" t="s">
        <v>32</v>
      </c>
      <c r="AF148" t="s">
        <v>46835</v>
      </c>
    </row>
    <row r="149" spans="1:32" x14ac:dyDescent="0.2">
      <c r="A149">
        <v>144</v>
      </c>
      <c r="B149" t="s">
        <v>1944</v>
      </c>
      <c r="C149" t="s">
        <v>1945</v>
      </c>
      <c r="D149" t="s">
        <v>1946</v>
      </c>
      <c r="E149" t="s">
        <v>1947</v>
      </c>
      <c r="F149" t="s">
        <v>1948</v>
      </c>
      <c r="G149" t="s">
        <v>32</v>
      </c>
      <c r="H149" t="str">
        <f>"Nme2"</f>
        <v>Nme2</v>
      </c>
      <c r="I149" t="s">
        <v>32</v>
      </c>
      <c r="J149" t="s">
        <v>37</v>
      </c>
      <c r="K149">
        <v>10090</v>
      </c>
      <c r="L149" s="3" t="str">
        <f>HYPERLINK("http://www.uniprot.org/uniprot/Q01768", "Q01768")</f>
        <v>Q01768</v>
      </c>
      <c r="M149" t="s">
        <v>1949</v>
      </c>
      <c r="N149" t="str">
        <f>"Nme2"</f>
        <v>Nme2</v>
      </c>
      <c r="O149" s="3" t="str">
        <f>HYPERLINK("http://www.informatics.jax.org/marker/MGI:97356", "MGI:97356")</f>
        <v>MGI:97356</v>
      </c>
      <c r="P149" t="s">
        <v>1950</v>
      </c>
      <c r="Q149" t="s">
        <v>1951</v>
      </c>
      <c r="R149" t="s">
        <v>1952</v>
      </c>
      <c r="S149" t="s">
        <v>32</v>
      </c>
      <c r="T149" t="s">
        <v>32</v>
      </c>
      <c r="U149" t="s">
        <v>32</v>
      </c>
      <c r="V149" t="s">
        <v>32</v>
      </c>
      <c r="W149" t="s">
        <v>1266</v>
      </c>
      <c r="X149" t="s">
        <v>1953</v>
      </c>
      <c r="Y149" t="s">
        <v>32</v>
      </c>
      <c r="Z149" t="s">
        <v>32</v>
      </c>
      <c r="AA149" t="s">
        <v>1954</v>
      </c>
      <c r="AB149" t="s">
        <v>1955</v>
      </c>
      <c r="AC149" t="s">
        <v>1956</v>
      </c>
      <c r="AD149" t="s">
        <v>32</v>
      </c>
      <c r="AE149" t="s">
        <v>1957</v>
      </c>
      <c r="AF149" t="s">
        <v>46835</v>
      </c>
    </row>
    <row r="150" spans="1:32" x14ac:dyDescent="0.2">
      <c r="A150">
        <v>145</v>
      </c>
      <c r="B150" t="s">
        <v>1958</v>
      </c>
      <c r="C150" t="s">
        <v>1959</v>
      </c>
      <c r="D150" t="s">
        <v>1960</v>
      </c>
      <c r="E150" t="s">
        <v>1961</v>
      </c>
      <c r="F150" t="s">
        <v>1962</v>
      </c>
      <c r="G150" t="s">
        <v>1963</v>
      </c>
      <c r="H150" t="str">
        <f>"Eif4a2"</f>
        <v>Eif4a2</v>
      </c>
      <c r="I150" t="s">
        <v>1964</v>
      </c>
      <c r="J150" t="s">
        <v>37</v>
      </c>
      <c r="K150">
        <v>10090</v>
      </c>
      <c r="L150" s="3" t="str">
        <f>HYPERLINK("http://www.uniprot.org/uniprot/P10630", "P10630")</f>
        <v>P10630</v>
      </c>
      <c r="M150" t="s">
        <v>1965</v>
      </c>
      <c r="N150" t="str">
        <f>"Eif4a2"</f>
        <v>Eif4a2</v>
      </c>
      <c r="O150" s="3" t="str">
        <f>HYPERLINK("http://www.informatics.jax.org/marker/MGI:106906", "MGI:106906")</f>
        <v>MGI:106906</v>
      </c>
      <c r="P150" t="s">
        <v>1966</v>
      </c>
      <c r="Q150" t="s">
        <v>260</v>
      </c>
      <c r="R150" t="s">
        <v>32</v>
      </c>
      <c r="S150" t="s">
        <v>41</v>
      </c>
      <c r="T150" t="s">
        <v>32</v>
      </c>
      <c r="U150" t="s">
        <v>32</v>
      </c>
      <c r="V150" t="s">
        <v>32</v>
      </c>
      <c r="W150" t="s">
        <v>205</v>
      </c>
      <c r="X150" t="s">
        <v>1829</v>
      </c>
      <c r="Y150" t="s">
        <v>618</v>
      </c>
      <c r="Z150" t="s">
        <v>32</v>
      </c>
      <c r="AA150" t="s">
        <v>1967</v>
      </c>
      <c r="AB150" t="s">
        <v>1968</v>
      </c>
      <c r="AC150" t="s">
        <v>1969</v>
      </c>
      <c r="AD150" t="s">
        <v>32</v>
      </c>
      <c r="AE150" t="s">
        <v>1833</v>
      </c>
      <c r="AF150" t="s">
        <v>46835</v>
      </c>
    </row>
    <row r="151" spans="1:32" x14ac:dyDescent="0.2">
      <c r="A151">
        <v>146</v>
      </c>
      <c r="B151" t="s">
        <v>1970</v>
      </c>
      <c r="C151" t="s">
        <v>1971</v>
      </c>
      <c r="D151" t="s">
        <v>1972</v>
      </c>
      <c r="E151" t="s">
        <v>1973</v>
      </c>
      <c r="F151" t="s">
        <v>1974</v>
      </c>
      <c r="G151" t="s">
        <v>32</v>
      </c>
      <c r="H151" t="str">
        <f>"Pa2g4"</f>
        <v>Pa2g4</v>
      </c>
      <c r="I151" t="s">
        <v>1975</v>
      </c>
      <c r="J151" t="s">
        <v>37</v>
      </c>
      <c r="K151">
        <v>10090</v>
      </c>
      <c r="L151" s="3" t="str">
        <f>HYPERLINK("http://www.uniprot.org/uniprot/P50580", "P50580")</f>
        <v>P50580</v>
      </c>
      <c r="M151" t="s">
        <v>1976</v>
      </c>
      <c r="N151" t="str">
        <f>"Pa2g4"</f>
        <v>Pa2g4</v>
      </c>
      <c r="O151" s="3" t="str">
        <f>HYPERLINK("http://www.informatics.jax.org/marker/MGI:894684", "MGI:894684")</f>
        <v>MGI:894684</v>
      </c>
      <c r="P151" t="s">
        <v>1977</v>
      </c>
      <c r="Q151" t="s">
        <v>1978</v>
      </c>
      <c r="R151" t="s">
        <v>40</v>
      </c>
      <c r="S151" t="s">
        <v>41</v>
      </c>
      <c r="T151" t="s">
        <v>32</v>
      </c>
      <c r="U151" t="s">
        <v>32</v>
      </c>
      <c r="V151" t="s">
        <v>32</v>
      </c>
      <c r="W151" t="s">
        <v>32</v>
      </c>
      <c r="X151" t="s">
        <v>1979</v>
      </c>
      <c r="Y151" t="s">
        <v>516</v>
      </c>
      <c r="Z151" t="s">
        <v>126</v>
      </c>
      <c r="AA151" t="s">
        <v>1980</v>
      </c>
      <c r="AB151" t="s">
        <v>1981</v>
      </c>
      <c r="AC151" t="s">
        <v>1982</v>
      </c>
      <c r="AD151" t="s">
        <v>32</v>
      </c>
      <c r="AE151" t="s">
        <v>548</v>
      </c>
      <c r="AF151" t="s">
        <v>46835</v>
      </c>
    </row>
    <row r="152" spans="1:32" x14ac:dyDescent="0.2">
      <c r="A152">
        <v>147</v>
      </c>
      <c r="B152" t="s">
        <v>1983</v>
      </c>
      <c r="C152" t="s">
        <v>1984</v>
      </c>
      <c r="D152" t="s">
        <v>1985</v>
      </c>
      <c r="E152" t="s">
        <v>1986</v>
      </c>
      <c r="F152" t="s">
        <v>1987</v>
      </c>
      <c r="G152" t="s">
        <v>1988</v>
      </c>
      <c r="H152" t="str">
        <f>"Hnrnpd"</f>
        <v>Hnrnpd</v>
      </c>
      <c r="I152" t="s">
        <v>1989</v>
      </c>
      <c r="J152" t="s">
        <v>37</v>
      </c>
      <c r="K152">
        <v>10090</v>
      </c>
      <c r="L152" s="3" t="str">
        <f>HYPERLINK("http://www.uniprot.org/uniprot/Q60668", "Q60668")</f>
        <v>Q60668</v>
      </c>
      <c r="M152" t="s">
        <v>1990</v>
      </c>
      <c r="N152" t="str">
        <f>"Hnrnpd"</f>
        <v>Hnrnpd</v>
      </c>
      <c r="O152" s="3" t="str">
        <f>HYPERLINK("http://www.informatics.jax.org/marker/MGI:101947", "MGI:101947")</f>
        <v>MGI:101947</v>
      </c>
      <c r="P152" t="s">
        <v>1991</v>
      </c>
      <c r="Q152" t="s">
        <v>1992</v>
      </c>
      <c r="R152" t="s">
        <v>40</v>
      </c>
      <c r="S152" t="s">
        <v>41</v>
      </c>
      <c r="T152" t="s">
        <v>32</v>
      </c>
      <c r="U152" t="s">
        <v>32</v>
      </c>
      <c r="V152" t="s">
        <v>55</v>
      </c>
      <c r="W152" t="s">
        <v>32</v>
      </c>
      <c r="X152" t="s">
        <v>1993</v>
      </c>
      <c r="Y152" t="s">
        <v>207</v>
      </c>
      <c r="Z152" t="s">
        <v>32</v>
      </c>
      <c r="AA152" t="s">
        <v>1994</v>
      </c>
      <c r="AB152" t="s">
        <v>1995</v>
      </c>
      <c r="AC152" t="s">
        <v>1996</v>
      </c>
      <c r="AD152" t="s">
        <v>32</v>
      </c>
      <c r="AE152" t="s">
        <v>1997</v>
      </c>
      <c r="AF152" t="s">
        <v>46835</v>
      </c>
    </row>
    <row r="153" spans="1:32" x14ac:dyDescent="0.2">
      <c r="A153">
        <v>148</v>
      </c>
      <c r="B153" t="s">
        <v>1998</v>
      </c>
      <c r="C153" t="s">
        <v>1999</v>
      </c>
      <c r="D153" t="s">
        <v>32</v>
      </c>
      <c r="E153" t="s">
        <v>2000</v>
      </c>
      <c r="F153" t="s">
        <v>2001</v>
      </c>
      <c r="G153" t="s">
        <v>2002</v>
      </c>
      <c r="H153" t="str">
        <f>"Rps19"</f>
        <v>Rps19</v>
      </c>
      <c r="I153" t="s">
        <v>32</v>
      </c>
      <c r="J153" t="s">
        <v>37</v>
      </c>
      <c r="K153">
        <v>10090</v>
      </c>
      <c r="L153" s="3" t="str">
        <f>HYPERLINK("http://www.uniprot.org/uniprot/Q9CZX8", "Q9CZX8")</f>
        <v>Q9CZX8</v>
      </c>
      <c r="M153" t="s">
        <v>2003</v>
      </c>
      <c r="N153" t="str">
        <f>"Rps19"</f>
        <v>Rps19</v>
      </c>
      <c r="O153" s="3" t="str">
        <f>HYPERLINK("http://www.informatics.jax.org/marker/MGI:1333780", "MGI:1333780")</f>
        <v>MGI:1333780</v>
      </c>
      <c r="P153" t="s">
        <v>2004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447</v>
      </c>
      <c r="Y153" t="s">
        <v>57</v>
      </c>
      <c r="Z153" t="s">
        <v>126</v>
      </c>
      <c r="AA153" t="s">
        <v>2005</v>
      </c>
      <c r="AB153" t="s">
        <v>2006</v>
      </c>
      <c r="AC153" t="s">
        <v>2007</v>
      </c>
      <c r="AD153" t="s">
        <v>32</v>
      </c>
      <c r="AE153" t="s">
        <v>691</v>
      </c>
      <c r="AF153" t="s">
        <v>46835</v>
      </c>
    </row>
    <row r="154" spans="1:32" x14ac:dyDescent="0.2">
      <c r="A154">
        <v>149</v>
      </c>
      <c r="B154" t="s">
        <v>2008</v>
      </c>
      <c r="C154" t="s">
        <v>2009</v>
      </c>
      <c r="D154" t="s">
        <v>2010</v>
      </c>
      <c r="E154" t="s">
        <v>2011</v>
      </c>
      <c r="F154" t="s">
        <v>2012</v>
      </c>
      <c r="G154" t="s">
        <v>2013</v>
      </c>
      <c r="H154" t="str">
        <f>"Rpl13"</f>
        <v>Rpl13</v>
      </c>
      <c r="I154" t="s">
        <v>32</v>
      </c>
      <c r="J154" t="s">
        <v>37</v>
      </c>
      <c r="K154">
        <v>10090</v>
      </c>
      <c r="L154" s="3" t="str">
        <f>HYPERLINK("http://www.uniprot.org/uniprot/P47963", "P47963")</f>
        <v>P47963</v>
      </c>
      <c r="M154" t="s">
        <v>2014</v>
      </c>
      <c r="N154" t="str">
        <f>"Rpl13"</f>
        <v>Rpl13</v>
      </c>
      <c r="O154" s="3" t="str">
        <f>HYPERLINK("http://www.informatics.jax.org/marker/MGI:105922", "MGI:105922")</f>
        <v>MGI:105922</v>
      </c>
      <c r="P154" t="s">
        <v>2015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447</v>
      </c>
      <c r="Y154" t="s">
        <v>516</v>
      </c>
      <c r="Z154" t="s">
        <v>126</v>
      </c>
      <c r="AA154" t="s">
        <v>2016</v>
      </c>
      <c r="AB154" t="s">
        <v>2017</v>
      </c>
      <c r="AC154" t="s">
        <v>1056</v>
      </c>
      <c r="AD154" t="s">
        <v>32</v>
      </c>
      <c r="AE154" t="s">
        <v>765</v>
      </c>
      <c r="AF154" t="s">
        <v>46835</v>
      </c>
    </row>
    <row r="155" spans="1:32" x14ac:dyDescent="0.2">
      <c r="A155">
        <v>150</v>
      </c>
      <c r="B155" t="s">
        <v>2018</v>
      </c>
      <c r="C155" t="s">
        <v>2019</v>
      </c>
      <c r="D155" t="s">
        <v>2020</v>
      </c>
      <c r="E155" t="s">
        <v>2021</v>
      </c>
      <c r="F155" t="s">
        <v>2022</v>
      </c>
      <c r="G155" t="s">
        <v>2023</v>
      </c>
      <c r="H155" t="str">
        <f>"Dpysl2"</f>
        <v>Dpysl2</v>
      </c>
      <c r="I155" t="s">
        <v>2024</v>
      </c>
      <c r="J155" t="s">
        <v>37</v>
      </c>
      <c r="K155">
        <v>10090</v>
      </c>
      <c r="L155" s="3" t="str">
        <f>HYPERLINK("http://www.uniprot.org/uniprot/O08553", "O08553")</f>
        <v>O08553</v>
      </c>
      <c r="M155" t="s">
        <v>2025</v>
      </c>
      <c r="N155" t="str">
        <f>"Dpysl2"</f>
        <v>Dpysl2</v>
      </c>
      <c r="O155" s="3" t="str">
        <f>HYPERLINK("http://www.informatics.jax.org/marker/MGI:1349763", "MGI:1349763")</f>
        <v>MGI:1349763</v>
      </c>
      <c r="P155" t="s">
        <v>2026</v>
      </c>
      <c r="Q155" t="s">
        <v>2027</v>
      </c>
      <c r="R155" t="s">
        <v>2028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2029</v>
      </c>
      <c r="Y155" t="s">
        <v>2030</v>
      </c>
      <c r="Z155" t="s">
        <v>126</v>
      </c>
      <c r="AA155" t="s">
        <v>2031</v>
      </c>
      <c r="AB155" t="s">
        <v>2032</v>
      </c>
      <c r="AC155" t="s">
        <v>2033</v>
      </c>
      <c r="AD155" t="s">
        <v>32</v>
      </c>
      <c r="AE155" t="s">
        <v>2034</v>
      </c>
      <c r="AF155" t="s">
        <v>46835</v>
      </c>
    </row>
    <row r="156" spans="1:32" x14ac:dyDescent="0.2">
      <c r="A156">
        <v>151</v>
      </c>
      <c r="B156" t="s">
        <v>2035</v>
      </c>
      <c r="C156" t="s">
        <v>2036</v>
      </c>
      <c r="D156" t="s">
        <v>2037</v>
      </c>
      <c r="E156" t="s">
        <v>2038</v>
      </c>
      <c r="F156" t="s">
        <v>2039</v>
      </c>
      <c r="G156" t="s">
        <v>2040</v>
      </c>
      <c r="H156" t="str">
        <f>"Phgdh"</f>
        <v>Phgdh</v>
      </c>
      <c r="I156" t="s">
        <v>32</v>
      </c>
      <c r="J156" t="s">
        <v>37</v>
      </c>
      <c r="K156">
        <v>10090</v>
      </c>
      <c r="L156" s="3" t="str">
        <f>HYPERLINK("http://www.uniprot.org/uniprot/Q61753", "Q61753")</f>
        <v>Q61753</v>
      </c>
      <c r="M156" t="s">
        <v>2041</v>
      </c>
      <c r="N156" t="str">
        <f>"Phgdh"</f>
        <v>Phgdh</v>
      </c>
      <c r="O156" s="3" t="str">
        <f>HYPERLINK("http://www.informatics.jax.org/marker/MGI:1355330", "MGI:1355330")</f>
        <v>MGI:1355330</v>
      </c>
      <c r="P156" t="s">
        <v>2042</v>
      </c>
      <c r="Q156" t="s">
        <v>2043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325</v>
      </c>
      <c r="X156" t="s">
        <v>600</v>
      </c>
      <c r="Y156" t="s">
        <v>516</v>
      </c>
      <c r="Z156" t="s">
        <v>32</v>
      </c>
      <c r="AA156" t="s">
        <v>2044</v>
      </c>
      <c r="AB156" t="s">
        <v>2045</v>
      </c>
      <c r="AC156" t="s">
        <v>2046</v>
      </c>
      <c r="AD156" t="s">
        <v>2047</v>
      </c>
      <c r="AE156" t="s">
        <v>2048</v>
      </c>
      <c r="AF156" t="s">
        <v>46835</v>
      </c>
    </row>
    <row r="157" spans="1:32" x14ac:dyDescent="0.2">
      <c r="A157">
        <v>152</v>
      </c>
      <c r="B157" t="s">
        <v>2049</v>
      </c>
      <c r="C157" t="s">
        <v>2050</v>
      </c>
      <c r="D157" t="s">
        <v>2051</v>
      </c>
      <c r="E157" t="s">
        <v>2052</v>
      </c>
      <c r="F157" t="s">
        <v>2053</v>
      </c>
      <c r="G157" t="s">
        <v>2054</v>
      </c>
      <c r="H157" t="str">
        <f>"Serpinh1"</f>
        <v>Serpinh1</v>
      </c>
      <c r="I157" t="s">
        <v>2055</v>
      </c>
      <c r="J157" t="s">
        <v>37</v>
      </c>
      <c r="K157">
        <v>10090</v>
      </c>
      <c r="L157" s="3" t="str">
        <f>HYPERLINK("http://www.uniprot.org/uniprot/P19324", "P19324")</f>
        <v>P19324</v>
      </c>
      <c r="M157" t="s">
        <v>2056</v>
      </c>
      <c r="N157" t="str">
        <f>"Serpinh1"</f>
        <v>Serpinh1</v>
      </c>
      <c r="O157" s="3" t="str">
        <f>HYPERLINK("http://www.informatics.jax.org/marker/MGI:88283", "MGI:88283")</f>
        <v>MGI:88283</v>
      </c>
      <c r="P157" t="s">
        <v>2057</v>
      </c>
      <c r="Q157" t="s">
        <v>386</v>
      </c>
      <c r="R157" t="s">
        <v>671</v>
      </c>
      <c r="S157" t="s">
        <v>32</v>
      </c>
      <c r="T157" t="s">
        <v>32</v>
      </c>
      <c r="U157" t="s">
        <v>32</v>
      </c>
      <c r="V157" t="s">
        <v>811</v>
      </c>
      <c r="W157" t="s">
        <v>32</v>
      </c>
      <c r="X157" t="s">
        <v>388</v>
      </c>
      <c r="Y157" t="s">
        <v>372</v>
      </c>
      <c r="Z157" t="s">
        <v>32</v>
      </c>
      <c r="AA157" t="s">
        <v>2058</v>
      </c>
      <c r="AB157" t="s">
        <v>2059</v>
      </c>
      <c r="AC157" t="s">
        <v>2060</v>
      </c>
      <c r="AD157" t="s">
        <v>32</v>
      </c>
      <c r="AE157" t="s">
        <v>2061</v>
      </c>
      <c r="AF157" t="s">
        <v>46835</v>
      </c>
    </row>
    <row r="158" spans="1:32" x14ac:dyDescent="0.2">
      <c r="A158">
        <v>153</v>
      </c>
      <c r="B158" t="s">
        <v>2062</v>
      </c>
      <c r="C158" t="s">
        <v>2063</v>
      </c>
      <c r="D158" t="s">
        <v>32</v>
      </c>
      <c r="E158" t="s">
        <v>2064</v>
      </c>
      <c r="F158" t="s">
        <v>2065</v>
      </c>
      <c r="G158" t="s">
        <v>32</v>
      </c>
      <c r="H158" t="str">
        <f>"Rpl17"</f>
        <v>Rpl17</v>
      </c>
      <c r="I158" t="s">
        <v>32</v>
      </c>
      <c r="J158" t="s">
        <v>37</v>
      </c>
      <c r="K158">
        <v>10090</v>
      </c>
      <c r="L158" s="3" t="str">
        <f>HYPERLINK("http://www.uniprot.org/uniprot/Q9CPR4", "Q9CPR4")</f>
        <v>Q9CPR4</v>
      </c>
      <c r="M158" t="s">
        <v>2066</v>
      </c>
      <c r="N158" t="str">
        <f>"Rpl17"</f>
        <v>Rpl17</v>
      </c>
      <c r="O158" s="3" t="str">
        <f>HYPERLINK("http://www.informatics.jax.org/marker/MGI:2448270", "MGI:2448270")</f>
        <v>MGI:2448270</v>
      </c>
      <c r="P158" t="s">
        <v>2067</v>
      </c>
      <c r="Q158" t="s">
        <v>32</v>
      </c>
      <c r="R158" t="s">
        <v>418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447</v>
      </c>
      <c r="Y158" t="s">
        <v>32</v>
      </c>
      <c r="Z158" t="s">
        <v>126</v>
      </c>
      <c r="AA158" t="s">
        <v>2068</v>
      </c>
      <c r="AB158" t="s">
        <v>2069</v>
      </c>
      <c r="AC158" t="s">
        <v>2070</v>
      </c>
      <c r="AD158" t="s">
        <v>32</v>
      </c>
      <c r="AE158" t="s">
        <v>765</v>
      </c>
      <c r="AF158" t="s">
        <v>46835</v>
      </c>
    </row>
    <row r="159" spans="1:32" x14ac:dyDescent="0.2">
      <c r="A159">
        <v>154</v>
      </c>
      <c r="B159" t="s">
        <v>2071</v>
      </c>
      <c r="C159" t="s">
        <v>2072</v>
      </c>
      <c r="D159" t="s">
        <v>2073</v>
      </c>
      <c r="E159" t="s">
        <v>2074</v>
      </c>
      <c r="F159" t="s">
        <v>2075</v>
      </c>
      <c r="G159" t="s">
        <v>2076</v>
      </c>
      <c r="H159" t="str">
        <f>"Pdia6"</f>
        <v>Pdia6</v>
      </c>
      <c r="I159" t="s">
        <v>2077</v>
      </c>
      <c r="J159" t="s">
        <v>37</v>
      </c>
      <c r="K159">
        <v>10090</v>
      </c>
      <c r="L159" s="3" t="str">
        <f>HYPERLINK("http://www.uniprot.org/uniprot/Q922R8", "Q922R8")</f>
        <v>Q922R8</v>
      </c>
      <c r="M159" t="s">
        <v>2078</v>
      </c>
      <c r="N159" t="str">
        <f>"Pdia6"</f>
        <v>Pdia6</v>
      </c>
      <c r="O159" s="3" t="str">
        <f>HYPERLINK("http://www.informatics.jax.org/marker/MGI:1919103", "MGI:1919103")</f>
        <v>MGI:1919103</v>
      </c>
      <c r="P159" t="s">
        <v>2079</v>
      </c>
      <c r="Q159" t="s">
        <v>32</v>
      </c>
      <c r="R159" t="s">
        <v>1308</v>
      </c>
      <c r="S159" t="s">
        <v>32</v>
      </c>
      <c r="T159" t="s">
        <v>32</v>
      </c>
      <c r="U159" t="s">
        <v>32</v>
      </c>
      <c r="V159" t="s">
        <v>672</v>
      </c>
      <c r="W159" t="s">
        <v>32</v>
      </c>
      <c r="X159" t="s">
        <v>1040</v>
      </c>
      <c r="Y159" t="s">
        <v>2080</v>
      </c>
      <c r="Z159" t="s">
        <v>126</v>
      </c>
      <c r="AA159" t="s">
        <v>2081</v>
      </c>
      <c r="AB159" t="s">
        <v>2082</v>
      </c>
      <c r="AC159" t="s">
        <v>1069</v>
      </c>
      <c r="AD159" t="s">
        <v>32</v>
      </c>
      <c r="AE159" t="s">
        <v>636</v>
      </c>
      <c r="AF159" t="s">
        <v>46835</v>
      </c>
    </row>
    <row r="160" spans="1:32" x14ac:dyDescent="0.2">
      <c r="A160">
        <v>155</v>
      </c>
      <c r="B160" t="s">
        <v>2083</v>
      </c>
      <c r="C160" t="s">
        <v>2084</v>
      </c>
      <c r="D160" t="s">
        <v>2085</v>
      </c>
      <c r="E160" t="s">
        <v>2086</v>
      </c>
      <c r="F160" t="s">
        <v>2087</v>
      </c>
      <c r="G160" t="s">
        <v>2088</v>
      </c>
      <c r="H160" t="str">
        <f>"Kpnb1"</f>
        <v>Kpnb1</v>
      </c>
      <c r="I160" t="s">
        <v>2089</v>
      </c>
      <c r="J160" t="s">
        <v>37</v>
      </c>
      <c r="K160">
        <v>10090</v>
      </c>
      <c r="L160" s="3" t="str">
        <f>HYPERLINK("http://www.uniprot.org/uniprot/P70168", "P70168")</f>
        <v>P70168</v>
      </c>
      <c r="M160" t="s">
        <v>2090</v>
      </c>
      <c r="N160" t="str">
        <f>"Kpnb1"</f>
        <v>Kpnb1</v>
      </c>
      <c r="O160" s="3" t="str">
        <f>HYPERLINK("http://www.informatics.jax.org/marker/MGI:107532", "MGI:107532")</f>
        <v>MGI:107532</v>
      </c>
      <c r="P160" t="s">
        <v>2091</v>
      </c>
      <c r="Q160" t="s">
        <v>434</v>
      </c>
      <c r="R160" t="s">
        <v>40</v>
      </c>
      <c r="S160" t="s">
        <v>32</v>
      </c>
      <c r="T160" t="s">
        <v>32</v>
      </c>
      <c r="U160" t="s">
        <v>32</v>
      </c>
      <c r="V160" t="s">
        <v>55</v>
      </c>
      <c r="W160" t="s">
        <v>32</v>
      </c>
      <c r="X160" t="s">
        <v>32</v>
      </c>
      <c r="Y160" t="s">
        <v>2092</v>
      </c>
      <c r="Z160" t="s">
        <v>126</v>
      </c>
      <c r="AA160" t="s">
        <v>2093</v>
      </c>
      <c r="AB160" t="s">
        <v>2094</v>
      </c>
      <c r="AC160" t="s">
        <v>2095</v>
      </c>
      <c r="AD160" t="s">
        <v>32</v>
      </c>
      <c r="AE160" t="s">
        <v>2096</v>
      </c>
      <c r="AF160" t="s">
        <v>46835</v>
      </c>
    </row>
    <row r="161" spans="1:33" x14ac:dyDescent="0.2">
      <c r="A161">
        <v>156</v>
      </c>
      <c r="B161" t="s">
        <v>2097</v>
      </c>
      <c r="C161" t="s">
        <v>2098</v>
      </c>
      <c r="D161" t="s">
        <v>2099</v>
      </c>
      <c r="E161" t="s">
        <v>2100</v>
      </c>
      <c r="F161" t="s">
        <v>2101</v>
      </c>
      <c r="G161" t="s">
        <v>2102</v>
      </c>
      <c r="H161" t="str">
        <f>"Epb41l2"</f>
        <v>Epb41l2</v>
      </c>
      <c r="I161" t="s">
        <v>32</v>
      </c>
      <c r="J161" t="s">
        <v>37</v>
      </c>
      <c r="K161">
        <v>10090</v>
      </c>
      <c r="L161" s="3" t="str">
        <f>HYPERLINK("http://www.uniprot.org/uniprot/O70318", "O70318")</f>
        <v>O70318</v>
      </c>
      <c r="M161" t="s">
        <v>2103</v>
      </c>
      <c r="N161" t="str">
        <f>"Epb41l2"</f>
        <v>Epb41l2</v>
      </c>
      <c r="O161" s="3" t="str">
        <f>HYPERLINK("http://www.informatics.jax.org/marker/MGI:103009", "MGI:103009")</f>
        <v>MGI:103009</v>
      </c>
      <c r="P161" t="s">
        <v>2104</v>
      </c>
      <c r="Q161" t="s">
        <v>827</v>
      </c>
      <c r="R161" t="s">
        <v>371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405</v>
      </c>
      <c r="Y161" t="s">
        <v>157</v>
      </c>
      <c r="Z161" t="s">
        <v>32</v>
      </c>
      <c r="AA161" t="s">
        <v>2105</v>
      </c>
      <c r="AB161" t="s">
        <v>2106</v>
      </c>
      <c r="AC161" t="s">
        <v>2107</v>
      </c>
      <c r="AD161" t="s">
        <v>32</v>
      </c>
      <c r="AE161" t="s">
        <v>2108</v>
      </c>
      <c r="AF161" t="s">
        <v>46835</v>
      </c>
    </row>
    <row r="162" spans="1:33" x14ac:dyDescent="0.2">
      <c r="A162">
        <v>157</v>
      </c>
      <c r="B162" t="s">
        <v>2109</v>
      </c>
      <c r="C162" t="s">
        <v>2110</v>
      </c>
      <c r="D162" t="s">
        <v>2111</v>
      </c>
      <c r="E162" t="s">
        <v>2112</v>
      </c>
      <c r="F162" t="s">
        <v>2113</v>
      </c>
      <c r="G162" t="s">
        <v>32</v>
      </c>
      <c r="H162" t="str">
        <f>"Dstn"</f>
        <v>Dstn</v>
      </c>
      <c r="I162" t="s">
        <v>2114</v>
      </c>
      <c r="J162" t="s">
        <v>37</v>
      </c>
      <c r="K162">
        <v>10090</v>
      </c>
      <c r="L162" s="3" t="str">
        <f>HYPERLINK("http://www.uniprot.org/uniprot/Q9R0P5", "Q9R0P5")</f>
        <v>Q9R0P5</v>
      </c>
      <c r="M162" t="s">
        <v>2115</v>
      </c>
      <c r="N162" t="str">
        <f>"Dstn"</f>
        <v>Dstn</v>
      </c>
      <c r="O162" s="3" t="str">
        <f>HYPERLINK("http://www.informatics.jax.org/marker/MGI:1929270", "MGI:1929270")</f>
        <v>MGI:1929270</v>
      </c>
      <c r="P162" t="s">
        <v>2116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405</v>
      </c>
      <c r="Y162" t="s">
        <v>1023</v>
      </c>
      <c r="Z162" t="s">
        <v>32</v>
      </c>
      <c r="AA162" t="s">
        <v>2117</v>
      </c>
      <c r="AB162" t="s">
        <v>2118</v>
      </c>
      <c r="AC162" t="s">
        <v>2119</v>
      </c>
      <c r="AD162" t="s">
        <v>32</v>
      </c>
      <c r="AE162" t="s">
        <v>32</v>
      </c>
      <c r="AF162" t="s">
        <v>46835</v>
      </c>
    </row>
    <row r="163" spans="1:33" x14ac:dyDescent="0.2">
      <c r="A163">
        <v>158</v>
      </c>
      <c r="B163" t="s">
        <v>2120</v>
      </c>
      <c r="C163" t="s">
        <v>2121</v>
      </c>
      <c r="D163" t="s">
        <v>2122</v>
      </c>
      <c r="E163" t="s">
        <v>2123</v>
      </c>
      <c r="F163" t="s">
        <v>2124</v>
      </c>
      <c r="G163" t="s">
        <v>32</v>
      </c>
      <c r="H163" t="str">
        <f>"Hspe1"</f>
        <v>Hspe1</v>
      </c>
      <c r="I163" t="s">
        <v>32</v>
      </c>
      <c r="J163" t="s">
        <v>37</v>
      </c>
      <c r="K163">
        <v>10090</v>
      </c>
      <c r="L163" s="3" t="str">
        <f>HYPERLINK("http://www.uniprot.org/uniprot/Q64433", "Q64433")</f>
        <v>Q64433</v>
      </c>
      <c r="M163" t="s">
        <v>2125</v>
      </c>
      <c r="N163" t="str">
        <f>"Hspe1"</f>
        <v>Hspe1</v>
      </c>
      <c r="O163" s="3" t="str">
        <f>HYPERLINK("http://www.informatics.jax.org/marker/MGI:104680", "MGI:104680")</f>
        <v>MGI:104680</v>
      </c>
      <c r="P163" t="s">
        <v>2126</v>
      </c>
      <c r="Q163" t="s">
        <v>386</v>
      </c>
      <c r="R163" t="s">
        <v>1038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388</v>
      </c>
      <c r="Y163" t="s">
        <v>157</v>
      </c>
      <c r="Z163" t="s">
        <v>32</v>
      </c>
      <c r="AA163" t="s">
        <v>2127</v>
      </c>
      <c r="AB163" t="s">
        <v>2128</v>
      </c>
      <c r="AC163" t="s">
        <v>2129</v>
      </c>
      <c r="AD163" t="s">
        <v>32</v>
      </c>
      <c r="AE163" t="s">
        <v>2130</v>
      </c>
      <c r="AF163" t="s">
        <v>46835</v>
      </c>
    </row>
    <row r="164" spans="1:33" x14ac:dyDescent="0.2">
      <c r="A164">
        <v>159</v>
      </c>
      <c r="B164" t="s">
        <v>2131</v>
      </c>
      <c r="C164" t="s">
        <v>2132</v>
      </c>
      <c r="D164" t="s">
        <v>32</v>
      </c>
      <c r="E164" t="s">
        <v>2133</v>
      </c>
      <c r="F164" t="s">
        <v>2134</v>
      </c>
      <c r="G164" t="s">
        <v>2135</v>
      </c>
      <c r="H164" t="str">
        <f>"Hnrnpm"</f>
        <v>Hnrnpm</v>
      </c>
      <c r="I164" t="s">
        <v>2136</v>
      </c>
      <c r="J164" t="s">
        <v>37</v>
      </c>
      <c r="K164">
        <v>10090</v>
      </c>
      <c r="L164" s="3" t="str">
        <f>HYPERLINK("http://www.uniprot.org/uniprot/Q9D0E1", "Q9D0E1")</f>
        <v>Q9D0E1</v>
      </c>
      <c r="M164" t="s">
        <v>2137</v>
      </c>
      <c r="N164" t="str">
        <f>"Hnrnpm"</f>
        <v>Hnrnpm</v>
      </c>
      <c r="O164" s="3" t="str">
        <f>HYPERLINK("http://www.informatics.jax.org/marker/MGI:1926465", "MGI:1926465")</f>
        <v>MGI:1926465</v>
      </c>
      <c r="P164" t="s">
        <v>2138</v>
      </c>
      <c r="Q164" t="s">
        <v>2139</v>
      </c>
      <c r="R164" t="s">
        <v>2140</v>
      </c>
      <c r="S164" t="s">
        <v>41</v>
      </c>
      <c r="T164" t="s">
        <v>32</v>
      </c>
      <c r="U164" t="s">
        <v>32</v>
      </c>
      <c r="V164" t="s">
        <v>55</v>
      </c>
      <c r="W164" t="s">
        <v>32</v>
      </c>
      <c r="X164" t="s">
        <v>1129</v>
      </c>
      <c r="Y164" t="s">
        <v>207</v>
      </c>
      <c r="Z164" t="s">
        <v>32</v>
      </c>
      <c r="AA164" t="s">
        <v>2141</v>
      </c>
      <c r="AB164" t="s">
        <v>2142</v>
      </c>
      <c r="AC164" t="s">
        <v>2143</v>
      </c>
      <c r="AD164" t="s">
        <v>32</v>
      </c>
      <c r="AE164" t="s">
        <v>32</v>
      </c>
      <c r="AF164" t="s">
        <v>46835</v>
      </c>
    </row>
    <row r="165" spans="1:33" x14ac:dyDescent="0.2">
      <c r="A165">
        <v>160</v>
      </c>
      <c r="B165" t="s">
        <v>2144</v>
      </c>
      <c r="C165" t="s">
        <v>2145</v>
      </c>
      <c r="D165" t="s">
        <v>32</v>
      </c>
      <c r="E165" t="s">
        <v>2146</v>
      </c>
      <c r="F165" t="s">
        <v>2147</v>
      </c>
      <c r="G165" t="s">
        <v>2148</v>
      </c>
      <c r="H165" t="str">
        <f>"Rpl23"</f>
        <v>Rpl23</v>
      </c>
      <c r="I165" t="s">
        <v>32</v>
      </c>
      <c r="J165" t="s">
        <v>37</v>
      </c>
      <c r="K165">
        <v>10090</v>
      </c>
      <c r="L165" s="3" t="str">
        <f>HYPERLINK("http://www.uniprot.org/uniprot/P62830", "P62830")</f>
        <v>P62830</v>
      </c>
      <c r="M165" t="s">
        <v>2149</v>
      </c>
      <c r="N165" t="str">
        <f>"Rpl23"</f>
        <v>Rpl23</v>
      </c>
      <c r="O165" s="3" t="str">
        <f>HYPERLINK("http://www.informatics.jax.org/marker/MGI:1929455", "MGI:1929455")</f>
        <v>MGI:1929455</v>
      </c>
      <c r="P165" t="s">
        <v>2150</v>
      </c>
      <c r="Q165" t="s">
        <v>32</v>
      </c>
      <c r="R165" t="s">
        <v>418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447</v>
      </c>
      <c r="Y165" t="s">
        <v>618</v>
      </c>
      <c r="Z165" t="s">
        <v>126</v>
      </c>
      <c r="AA165" t="s">
        <v>2151</v>
      </c>
      <c r="AB165" t="s">
        <v>2152</v>
      </c>
      <c r="AC165" t="s">
        <v>2153</v>
      </c>
      <c r="AD165" t="s">
        <v>32</v>
      </c>
      <c r="AE165" t="s">
        <v>765</v>
      </c>
      <c r="AF165" t="s">
        <v>46835</v>
      </c>
    </row>
    <row r="166" spans="1:33" x14ac:dyDescent="0.2">
      <c r="A166">
        <v>161</v>
      </c>
      <c r="B166" t="s">
        <v>2154</v>
      </c>
      <c r="C166" t="s">
        <v>2155</v>
      </c>
      <c r="D166" t="s">
        <v>32</v>
      </c>
      <c r="E166" t="s">
        <v>2156</v>
      </c>
      <c r="F166" t="s">
        <v>2157</v>
      </c>
      <c r="G166" t="s">
        <v>2158</v>
      </c>
      <c r="H166" t="str">
        <f>"Rpl23a"</f>
        <v>Rpl23a</v>
      </c>
      <c r="I166" t="s">
        <v>32</v>
      </c>
      <c r="J166" t="s">
        <v>37</v>
      </c>
      <c r="K166">
        <v>10090</v>
      </c>
      <c r="L166" s="3" t="str">
        <f>HYPERLINK("http://www.uniprot.org/uniprot/P62751", "P62751")</f>
        <v>P62751</v>
      </c>
      <c r="M166" t="s">
        <v>2159</v>
      </c>
      <c r="N166" t="str">
        <f>"Rpl23a"</f>
        <v>Rpl23a</v>
      </c>
      <c r="O166" s="3" t="str">
        <f>HYPERLINK("http://www.informatics.jax.org/marker/MGI:3040672", "MGI:3040672")</f>
        <v>MGI:3040672</v>
      </c>
      <c r="P166" t="s">
        <v>2160</v>
      </c>
      <c r="Q166" t="s">
        <v>32</v>
      </c>
      <c r="R166" t="s">
        <v>40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887</v>
      </c>
      <c r="Y166" t="s">
        <v>761</v>
      </c>
      <c r="Z166" t="s">
        <v>126</v>
      </c>
      <c r="AA166" t="s">
        <v>899</v>
      </c>
      <c r="AB166" t="s">
        <v>2161</v>
      </c>
      <c r="AC166" t="s">
        <v>2162</v>
      </c>
      <c r="AD166" t="s">
        <v>32</v>
      </c>
      <c r="AE166" t="s">
        <v>765</v>
      </c>
      <c r="AF166" t="s">
        <v>46835</v>
      </c>
    </row>
    <row r="167" spans="1:33" x14ac:dyDescent="0.2">
      <c r="A167">
        <v>162</v>
      </c>
      <c r="B167" t="s">
        <v>2163</v>
      </c>
      <c r="C167" t="s">
        <v>2164</v>
      </c>
      <c r="D167" t="s">
        <v>2165</v>
      </c>
      <c r="E167" t="s">
        <v>2166</v>
      </c>
      <c r="F167" t="s">
        <v>2167</v>
      </c>
      <c r="G167" t="s">
        <v>32</v>
      </c>
      <c r="H167" t="str">
        <f>"Npl"</f>
        <v>Npl</v>
      </c>
      <c r="I167" t="s">
        <v>32</v>
      </c>
      <c r="J167" t="s">
        <v>37</v>
      </c>
      <c r="K167">
        <v>10090</v>
      </c>
      <c r="L167" s="3" t="str">
        <f>HYPERLINK("http://www.uniprot.org/uniprot/Q9DCJ9", "Q9DCJ9")</f>
        <v>Q9DCJ9</v>
      </c>
      <c r="M167" t="s">
        <v>2168</v>
      </c>
      <c r="N167" t="str">
        <f>"Npl"</f>
        <v>Npl</v>
      </c>
      <c r="O167" s="3" t="str">
        <f>HYPERLINK("http://www.informatics.jax.org/marker/MGI:1921341", "MGI:1921341")</f>
        <v>MGI:1921341</v>
      </c>
      <c r="P167" t="s">
        <v>2169</v>
      </c>
      <c r="Q167" t="s">
        <v>2170</v>
      </c>
      <c r="R167" t="s">
        <v>418</v>
      </c>
      <c r="S167" t="s">
        <v>32</v>
      </c>
      <c r="T167" t="s">
        <v>32</v>
      </c>
      <c r="U167" t="s">
        <v>32</v>
      </c>
      <c r="V167" t="s">
        <v>32</v>
      </c>
      <c r="W167" t="s">
        <v>981</v>
      </c>
      <c r="X167" t="s">
        <v>224</v>
      </c>
      <c r="Y167" t="s">
        <v>618</v>
      </c>
      <c r="Z167" t="s">
        <v>32</v>
      </c>
      <c r="AA167" t="s">
        <v>2171</v>
      </c>
      <c r="AB167" t="s">
        <v>2172</v>
      </c>
      <c r="AC167" t="s">
        <v>2173</v>
      </c>
      <c r="AD167" t="s">
        <v>2174</v>
      </c>
      <c r="AE167" t="s">
        <v>2175</v>
      </c>
      <c r="AF167" t="s">
        <v>46835</v>
      </c>
    </row>
    <row r="168" spans="1:33" x14ac:dyDescent="0.2">
      <c r="A168">
        <v>163</v>
      </c>
      <c r="B168" t="s">
        <v>2176</v>
      </c>
      <c r="C168" t="s">
        <v>47154</v>
      </c>
      <c r="D168" t="s">
        <v>32</v>
      </c>
      <c r="E168" t="s">
        <v>46838</v>
      </c>
      <c r="F168" t="s">
        <v>46837</v>
      </c>
      <c r="G168" t="s">
        <v>32</v>
      </c>
      <c r="H168" t="s">
        <v>47285</v>
      </c>
      <c r="I168" t="s">
        <v>32</v>
      </c>
      <c r="J168" t="s">
        <v>37</v>
      </c>
      <c r="K168">
        <v>10090</v>
      </c>
      <c r="L168" s="3" t="str">
        <f>HYPERLINK(CONCATENATE("https://www.uniprot.org/uniprotkb/", AG168, "/entry"), AG168)</f>
        <v>Q68FG2</v>
      </c>
      <c r="M168" t="s">
        <v>32</v>
      </c>
      <c r="N168" t="s">
        <v>32</v>
      </c>
      <c r="O168" s="3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t="s">
        <v>46835</v>
      </c>
      <c r="AG168" t="s">
        <v>46837</v>
      </c>
    </row>
    <row r="169" spans="1:33" x14ac:dyDescent="0.2">
      <c r="A169">
        <v>164</v>
      </c>
      <c r="B169" t="s">
        <v>2177</v>
      </c>
      <c r="C169" t="s">
        <v>2178</v>
      </c>
      <c r="D169" t="s">
        <v>32</v>
      </c>
      <c r="E169" t="s">
        <v>2179</v>
      </c>
      <c r="F169" t="s">
        <v>2180</v>
      </c>
      <c r="G169" t="s">
        <v>32</v>
      </c>
      <c r="H169" t="str">
        <f>"Rpl27"</f>
        <v>Rpl27</v>
      </c>
      <c r="I169" t="s">
        <v>32</v>
      </c>
      <c r="J169" t="s">
        <v>37</v>
      </c>
      <c r="K169">
        <v>10090</v>
      </c>
      <c r="L169" s="3" t="str">
        <f>HYPERLINK("http://www.uniprot.org/uniprot/P61358", "P61358")</f>
        <v>P61358</v>
      </c>
      <c r="M169" t="s">
        <v>2181</v>
      </c>
      <c r="N169" t="str">
        <f>"Rpl27"</f>
        <v>Rpl27</v>
      </c>
      <c r="O169" s="3" t="str">
        <f>HYPERLINK("http://www.informatics.jax.org/marker/MGI:98036", "MGI:98036")</f>
        <v>MGI:98036</v>
      </c>
      <c r="P169" t="s">
        <v>2182</v>
      </c>
      <c r="Q169" t="s">
        <v>32</v>
      </c>
      <c r="R169" t="s">
        <v>874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447</v>
      </c>
      <c r="Y169" t="s">
        <v>78</v>
      </c>
      <c r="Z169" t="s">
        <v>126</v>
      </c>
      <c r="AA169" t="s">
        <v>2183</v>
      </c>
      <c r="AB169" t="s">
        <v>2184</v>
      </c>
      <c r="AC169" t="s">
        <v>1010</v>
      </c>
      <c r="AD169" t="s">
        <v>32</v>
      </c>
      <c r="AE169" t="s">
        <v>765</v>
      </c>
      <c r="AF169" t="s">
        <v>46835</v>
      </c>
    </row>
    <row r="170" spans="1:33" x14ac:dyDescent="0.2">
      <c r="A170">
        <v>165</v>
      </c>
      <c r="B170" t="s">
        <v>2185</v>
      </c>
      <c r="C170" t="s">
        <v>2186</v>
      </c>
      <c r="D170" t="s">
        <v>32</v>
      </c>
      <c r="E170" t="s">
        <v>2187</v>
      </c>
      <c r="F170" t="s">
        <v>2188</v>
      </c>
      <c r="G170" t="s">
        <v>2189</v>
      </c>
      <c r="H170" t="str">
        <f>"Rps10"</f>
        <v>Rps10</v>
      </c>
      <c r="I170" t="s">
        <v>32</v>
      </c>
      <c r="J170" t="s">
        <v>37</v>
      </c>
      <c r="K170">
        <v>10090</v>
      </c>
      <c r="L170" s="3" t="str">
        <f>HYPERLINK("http://www.uniprot.org/uniprot/P63325", "P63325")</f>
        <v>P63325</v>
      </c>
      <c r="M170" t="s">
        <v>2190</v>
      </c>
      <c r="N170" t="str">
        <f>"Rps10"</f>
        <v>Rps10</v>
      </c>
      <c r="O170" s="3" t="str">
        <f>HYPERLINK("http://www.informatics.jax.org/marker/MGI:1914347", "MGI:1914347")</f>
        <v>MGI:1914347</v>
      </c>
      <c r="P170" t="s">
        <v>2191</v>
      </c>
      <c r="Q170" t="s">
        <v>32</v>
      </c>
      <c r="R170" t="s">
        <v>40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447</v>
      </c>
      <c r="Y170" t="s">
        <v>2192</v>
      </c>
      <c r="Z170" t="s">
        <v>126</v>
      </c>
      <c r="AA170" t="s">
        <v>1405</v>
      </c>
      <c r="AB170" t="s">
        <v>2193</v>
      </c>
      <c r="AC170" t="s">
        <v>2194</v>
      </c>
      <c r="AD170" t="s">
        <v>32</v>
      </c>
      <c r="AE170" t="s">
        <v>691</v>
      </c>
      <c r="AF170" t="s">
        <v>46835</v>
      </c>
    </row>
    <row r="171" spans="1:33" x14ac:dyDescent="0.2">
      <c r="A171">
        <v>166</v>
      </c>
      <c r="B171" t="s">
        <v>2195</v>
      </c>
      <c r="C171" t="s">
        <v>2196</v>
      </c>
      <c r="D171" t="s">
        <v>2197</v>
      </c>
      <c r="E171" t="s">
        <v>2198</v>
      </c>
      <c r="F171" t="s">
        <v>2199</v>
      </c>
      <c r="G171" t="s">
        <v>2200</v>
      </c>
      <c r="H171" t="str">
        <f>"Paics"</f>
        <v>Paics</v>
      </c>
      <c r="I171" t="s">
        <v>32</v>
      </c>
      <c r="J171" t="s">
        <v>37</v>
      </c>
      <c r="K171">
        <v>10090</v>
      </c>
      <c r="L171" s="3" t="str">
        <f>HYPERLINK("http://www.uniprot.org/uniprot/Q9DCL9", "Q9DCL9")</f>
        <v>Q9DCL9</v>
      </c>
      <c r="M171" t="s">
        <v>2201</v>
      </c>
      <c r="N171" t="str">
        <f>"Paics"</f>
        <v>Paics</v>
      </c>
      <c r="O171" s="3" t="str">
        <f>HYPERLINK("http://www.informatics.jax.org/marker/MGI:1914304", "MGI:1914304")</f>
        <v>MGI:1914304</v>
      </c>
      <c r="P171" t="s">
        <v>2202</v>
      </c>
      <c r="Q171" t="s">
        <v>2203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205</v>
      </c>
      <c r="X171" t="s">
        <v>2204</v>
      </c>
      <c r="Y171" t="s">
        <v>157</v>
      </c>
      <c r="Z171" t="s">
        <v>32</v>
      </c>
      <c r="AA171" t="s">
        <v>2205</v>
      </c>
      <c r="AB171" t="s">
        <v>2206</v>
      </c>
      <c r="AC171" t="s">
        <v>2207</v>
      </c>
      <c r="AD171" t="s">
        <v>2208</v>
      </c>
      <c r="AE171" t="s">
        <v>2209</v>
      </c>
      <c r="AF171" t="s">
        <v>46835</v>
      </c>
    </row>
    <row r="172" spans="1:33" x14ac:dyDescent="0.2">
      <c r="A172">
        <v>167</v>
      </c>
      <c r="B172" t="s">
        <v>2210</v>
      </c>
      <c r="C172" t="s">
        <v>2211</v>
      </c>
      <c r="D172" t="s">
        <v>2212</v>
      </c>
      <c r="E172" t="s">
        <v>2213</v>
      </c>
      <c r="F172" t="s">
        <v>2214</v>
      </c>
      <c r="G172" t="s">
        <v>2215</v>
      </c>
      <c r="H172" t="str">
        <f>"Hnrnpa1"</f>
        <v>Hnrnpa1</v>
      </c>
      <c r="I172" t="s">
        <v>2216</v>
      </c>
      <c r="J172" t="s">
        <v>37</v>
      </c>
      <c r="K172">
        <v>10090</v>
      </c>
      <c r="L172" s="3" t="str">
        <f>HYPERLINK("http://www.uniprot.org/uniprot/P49312", "P49312")</f>
        <v>P49312</v>
      </c>
      <c r="M172" t="s">
        <v>2217</v>
      </c>
      <c r="N172" t="str">
        <f>"Hnrnpa1"</f>
        <v>Hnrnpa1</v>
      </c>
      <c r="O172" s="3" t="str">
        <f>HYPERLINK("http://www.informatics.jax.org/marker/MGI:104820", "MGI:104820")</f>
        <v>MGI:104820</v>
      </c>
      <c r="P172" t="s">
        <v>2218</v>
      </c>
      <c r="Q172" t="s">
        <v>1127</v>
      </c>
      <c r="R172" t="s">
        <v>2219</v>
      </c>
      <c r="S172" t="s">
        <v>41</v>
      </c>
      <c r="T172" t="s">
        <v>32</v>
      </c>
      <c r="U172" t="s">
        <v>32</v>
      </c>
      <c r="V172" t="s">
        <v>55</v>
      </c>
      <c r="W172" t="s">
        <v>32</v>
      </c>
      <c r="X172" t="s">
        <v>1129</v>
      </c>
      <c r="Y172" t="s">
        <v>207</v>
      </c>
      <c r="Z172" t="s">
        <v>32</v>
      </c>
      <c r="AA172" t="s">
        <v>2220</v>
      </c>
      <c r="AB172" t="s">
        <v>2221</v>
      </c>
      <c r="AC172" t="s">
        <v>2222</v>
      </c>
      <c r="AD172" t="s">
        <v>32</v>
      </c>
      <c r="AE172" t="s">
        <v>2223</v>
      </c>
      <c r="AF172" t="s">
        <v>46835</v>
      </c>
    </row>
    <row r="173" spans="1:33" x14ac:dyDescent="0.2">
      <c r="A173">
        <v>168</v>
      </c>
      <c r="B173" t="s">
        <v>2224</v>
      </c>
      <c r="C173" t="s">
        <v>2225</v>
      </c>
      <c r="D173" t="s">
        <v>2226</v>
      </c>
      <c r="E173" t="s">
        <v>2227</v>
      </c>
      <c r="F173" t="s">
        <v>2228</v>
      </c>
      <c r="G173" t="s">
        <v>32</v>
      </c>
      <c r="H173" t="str">
        <f>"Wdr1"</f>
        <v>Wdr1</v>
      </c>
      <c r="I173" t="s">
        <v>32</v>
      </c>
      <c r="J173" t="s">
        <v>37</v>
      </c>
      <c r="K173">
        <v>10090</v>
      </c>
      <c r="L173" s="3" t="str">
        <f>HYPERLINK("http://www.uniprot.org/uniprot/O88342", "O88342")</f>
        <v>O88342</v>
      </c>
      <c r="M173" t="s">
        <v>2229</v>
      </c>
      <c r="N173" t="str">
        <f>"Wdr1"</f>
        <v>Wdr1</v>
      </c>
      <c r="O173" s="3" t="str">
        <f>HYPERLINK("http://www.informatics.jax.org/marker/MGI:1337100", "MGI:1337100")</f>
        <v>MGI:1337100</v>
      </c>
      <c r="P173" t="s">
        <v>2230</v>
      </c>
      <c r="Q173" t="s">
        <v>32</v>
      </c>
      <c r="R173" t="s">
        <v>2231</v>
      </c>
      <c r="S173" t="s">
        <v>32</v>
      </c>
      <c r="T173" t="s">
        <v>32</v>
      </c>
      <c r="U173" t="s">
        <v>32</v>
      </c>
      <c r="V173" t="s">
        <v>1910</v>
      </c>
      <c r="W173" t="s">
        <v>32</v>
      </c>
      <c r="X173" t="s">
        <v>405</v>
      </c>
      <c r="Y173" t="s">
        <v>157</v>
      </c>
      <c r="Z173" t="s">
        <v>32</v>
      </c>
      <c r="AA173" t="s">
        <v>2232</v>
      </c>
      <c r="AB173" t="s">
        <v>2233</v>
      </c>
      <c r="AC173" t="s">
        <v>2234</v>
      </c>
      <c r="AD173" t="s">
        <v>32</v>
      </c>
      <c r="AE173" t="s">
        <v>2235</v>
      </c>
      <c r="AF173" t="s">
        <v>46835</v>
      </c>
    </row>
    <row r="174" spans="1:33" x14ac:dyDescent="0.2">
      <c r="A174">
        <v>169</v>
      </c>
      <c r="B174" t="s">
        <v>2236</v>
      </c>
      <c r="C174" t="s">
        <v>2237</v>
      </c>
      <c r="D174" t="s">
        <v>2238</v>
      </c>
      <c r="E174" t="s">
        <v>2239</v>
      </c>
      <c r="F174" t="s">
        <v>2240</v>
      </c>
      <c r="G174" t="s">
        <v>32</v>
      </c>
      <c r="H174" t="str">
        <f>"Npm1"</f>
        <v>Npm1</v>
      </c>
      <c r="I174" t="s">
        <v>32</v>
      </c>
      <c r="J174" t="s">
        <v>37</v>
      </c>
      <c r="K174">
        <v>10090</v>
      </c>
      <c r="L174" s="3" t="str">
        <f>HYPERLINK("http://www.uniprot.org/uniprot/Q61937", "Q61937")</f>
        <v>Q61937</v>
      </c>
      <c r="M174" t="s">
        <v>2241</v>
      </c>
      <c r="N174" t="str">
        <f>"Npm1"</f>
        <v>Npm1</v>
      </c>
      <c r="O174" s="3" t="str">
        <f>HYPERLINK("http://www.informatics.jax.org/marker/MGI:106184", "MGI:106184")</f>
        <v>MGI:106184</v>
      </c>
      <c r="P174" t="s">
        <v>2242</v>
      </c>
      <c r="Q174" t="s">
        <v>32</v>
      </c>
      <c r="R174" t="s">
        <v>324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2243</v>
      </c>
      <c r="Y174" t="s">
        <v>2244</v>
      </c>
      <c r="Z174" t="s">
        <v>126</v>
      </c>
      <c r="AA174" t="s">
        <v>2245</v>
      </c>
      <c r="AB174" t="s">
        <v>2246</v>
      </c>
      <c r="AC174" t="s">
        <v>2247</v>
      </c>
      <c r="AD174" t="s">
        <v>32</v>
      </c>
      <c r="AE174" t="s">
        <v>2248</v>
      </c>
      <c r="AF174" t="s">
        <v>46835</v>
      </c>
    </row>
    <row r="175" spans="1:33" x14ac:dyDescent="0.2">
      <c r="A175">
        <v>170</v>
      </c>
      <c r="B175" t="s">
        <v>2249</v>
      </c>
      <c r="C175" t="s">
        <v>2250</v>
      </c>
      <c r="D175" t="s">
        <v>32</v>
      </c>
      <c r="E175" t="s">
        <v>2251</v>
      </c>
      <c r="F175" t="s">
        <v>2252</v>
      </c>
      <c r="G175" t="s">
        <v>2253</v>
      </c>
      <c r="H175" t="str">
        <f>"Rpl14"</f>
        <v>Rpl14</v>
      </c>
      <c r="I175" t="s">
        <v>32</v>
      </c>
      <c r="J175" t="s">
        <v>37</v>
      </c>
      <c r="K175">
        <v>10090</v>
      </c>
      <c r="L175" s="3" t="str">
        <f>HYPERLINK("http://www.uniprot.org/uniprot/Q9CR57", "Q9CR57")</f>
        <v>Q9CR57</v>
      </c>
      <c r="M175" t="s">
        <v>2254</v>
      </c>
      <c r="N175" t="str">
        <f>"Rpl14"</f>
        <v>Rpl14</v>
      </c>
      <c r="O175" s="3" t="str">
        <f>HYPERLINK("http://www.informatics.jax.org/marker/MGI:1914365", "MGI:1914365")</f>
        <v>MGI:1914365</v>
      </c>
      <c r="P175" t="s">
        <v>2255</v>
      </c>
      <c r="Q175" t="s">
        <v>32</v>
      </c>
      <c r="R175" t="s">
        <v>418</v>
      </c>
      <c r="S175" t="s">
        <v>32</v>
      </c>
      <c r="T175" t="s">
        <v>32</v>
      </c>
      <c r="U175" t="s">
        <v>32</v>
      </c>
      <c r="V175" t="s">
        <v>55</v>
      </c>
      <c r="W175" t="s">
        <v>32</v>
      </c>
      <c r="X175" t="s">
        <v>447</v>
      </c>
      <c r="Y175" t="s">
        <v>516</v>
      </c>
      <c r="Z175" t="s">
        <v>126</v>
      </c>
      <c r="AA175" t="s">
        <v>2256</v>
      </c>
      <c r="AB175" t="s">
        <v>2257</v>
      </c>
      <c r="AC175" t="s">
        <v>1056</v>
      </c>
      <c r="AD175" t="s">
        <v>32</v>
      </c>
      <c r="AE175" t="s">
        <v>765</v>
      </c>
      <c r="AF175" t="s">
        <v>46835</v>
      </c>
    </row>
    <row r="176" spans="1:33" x14ac:dyDescent="0.2">
      <c r="A176">
        <v>171</v>
      </c>
      <c r="B176" t="s">
        <v>2258</v>
      </c>
      <c r="C176" t="s">
        <v>2259</v>
      </c>
      <c r="D176" t="s">
        <v>2260</v>
      </c>
      <c r="E176" t="s">
        <v>2261</v>
      </c>
      <c r="F176" t="s">
        <v>2262</v>
      </c>
      <c r="G176" t="s">
        <v>32</v>
      </c>
      <c r="H176" t="str">
        <f>"Cfl1"</f>
        <v>Cfl1</v>
      </c>
      <c r="I176" t="s">
        <v>32</v>
      </c>
      <c r="J176" t="s">
        <v>37</v>
      </c>
      <c r="K176">
        <v>10090</v>
      </c>
      <c r="L176" s="3" t="str">
        <f>HYPERLINK("http://www.uniprot.org/uniprot/P18760", "P18760")</f>
        <v>P18760</v>
      </c>
      <c r="M176" t="s">
        <v>2263</v>
      </c>
      <c r="N176" t="str">
        <f>"Cfl1"</f>
        <v>Cfl1</v>
      </c>
      <c r="O176" s="3" t="str">
        <f>HYPERLINK("http://www.informatics.jax.org/marker/MGI:101757", "MGI:101757")</f>
        <v>MGI:101757</v>
      </c>
      <c r="P176" t="s">
        <v>2264</v>
      </c>
      <c r="Q176" t="s">
        <v>32</v>
      </c>
      <c r="R176" t="s">
        <v>2265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405</v>
      </c>
      <c r="Y176" t="s">
        <v>516</v>
      </c>
      <c r="Z176" t="s">
        <v>32</v>
      </c>
      <c r="AA176" t="s">
        <v>2266</v>
      </c>
      <c r="AB176" t="s">
        <v>2267</v>
      </c>
      <c r="AC176" t="s">
        <v>2268</v>
      </c>
      <c r="AD176" t="s">
        <v>32</v>
      </c>
      <c r="AE176" t="s">
        <v>32</v>
      </c>
      <c r="AF176" t="s">
        <v>46835</v>
      </c>
    </row>
    <row r="177" spans="1:32" x14ac:dyDescent="0.2">
      <c r="A177">
        <v>172</v>
      </c>
      <c r="B177" t="s">
        <v>2269</v>
      </c>
      <c r="C177" t="s">
        <v>2270</v>
      </c>
      <c r="D177" t="s">
        <v>2271</v>
      </c>
      <c r="E177" t="s">
        <v>2272</v>
      </c>
      <c r="F177" t="s">
        <v>2273</v>
      </c>
      <c r="G177" t="s">
        <v>2274</v>
      </c>
      <c r="H177" t="str">
        <f>"Trim28"</f>
        <v>Trim28</v>
      </c>
      <c r="I177" t="s">
        <v>2275</v>
      </c>
      <c r="J177" t="s">
        <v>37</v>
      </c>
      <c r="K177">
        <v>10090</v>
      </c>
      <c r="L177" s="3" t="str">
        <f>HYPERLINK("http://www.uniprot.org/uniprot/Q62318", "Q62318")</f>
        <v>Q62318</v>
      </c>
      <c r="M177" t="s">
        <v>2276</v>
      </c>
      <c r="N177" t="str">
        <f>"Trim28"</f>
        <v>Trim28</v>
      </c>
      <c r="O177" s="3" t="str">
        <f>HYPERLINK("http://www.informatics.jax.org/marker/MGI:109274", "MGI:109274")</f>
        <v>MGI:109274</v>
      </c>
      <c r="P177" t="s">
        <v>2277</v>
      </c>
      <c r="Q177" t="s">
        <v>2278</v>
      </c>
      <c r="R177" t="s">
        <v>2279</v>
      </c>
      <c r="S177" t="s">
        <v>41</v>
      </c>
      <c r="T177" t="s">
        <v>32</v>
      </c>
      <c r="U177" t="s">
        <v>32</v>
      </c>
      <c r="V177" t="s">
        <v>2280</v>
      </c>
      <c r="W177" t="s">
        <v>42</v>
      </c>
      <c r="X177" t="s">
        <v>2281</v>
      </c>
      <c r="Y177" t="s">
        <v>2282</v>
      </c>
      <c r="Z177" t="s">
        <v>126</v>
      </c>
      <c r="AA177" t="s">
        <v>2283</v>
      </c>
      <c r="AB177" t="s">
        <v>2284</v>
      </c>
      <c r="AC177" t="s">
        <v>2285</v>
      </c>
      <c r="AD177" t="s">
        <v>2286</v>
      </c>
      <c r="AE177" t="s">
        <v>2287</v>
      </c>
      <c r="AF177" t="s">
        <v>46835</v>
      </c>
    </row>
    <row r="178" spans="1:32" x14ac:dyDescent="0.2">
      <c r="A178">
        <v>173</v>
      </c>
      <c r="B178" t="s">
        <v>2288</v>
      </c>
      <c r="C178" t="s">
        <v>2289</v>
      </c>
      <c r="D178" t="s">
        <v>2290</v>
      </c>
      <c r="E178" t="s">
        <v>2291</v>
      </c>
      <c r="F178" t="s">
        <v>2292</v>
      </c>
      <c r="G178" t="s">
        <v>2293</v>
      </c>
      <c r="H178" t="str">
        <f>"Flnb"</f>
        <v>Flnb</v>
      </c>
      <c r="I178" t="s">
        <v>32</v>
      </c>
      <c r="J178" t="s">
        <v>37</v>
      </c>
      <c r="K178">
        <v>10090</v>
      </c>
      <c r="L178" s="3" t="str">
        <f>HYPERLINK("http://www.uniprot.org/uniprot/Q80X90", "Q80X90")</f>
        <v>Q80X90</v>
      </c>
      <c r="M178" t="s">
        <v>2294</v>
      </c>
      <c r="N178" t="str">
        <f>"Flnb"</f>
        <v>Flnb</v>
      </c>
      <c r="O178" s="3" t="str">
        <f>HYPERLINK("http://www.informatics.jax.org/marker/MGI:2446089", "MGI:2446089")</f>
        <v>MGI:2446089</v>
      </c>
      <c r="P178" t="s">
        <v>2295</v>
      </c>
      <c r="Q178" t="s">
        <v>32</v>
      </c>
      <c r="R178" t="s">
        <v>186</v>
      </c>
      <c r="S178" t="s">
        <v>32</v>
      </c>
      <c r="T178" t="s">
        <v>32</v>
      </c>
      <c r="U178" t="s">
        <v>32</v>
      </c>
      <c r="V178" t="s">
        <v>55</v>
      </c>
      <c r="W178" t="s">
        <v>32</v>
      </c>
      <c r="X178" t="s">
        <v>405</v>
      </c>
      <c r="Y178" t="s">
        <v>516</v>
      </c>
      <c r="Z178" t="s">
        <v>32</v>
      </c>
      <c r="AA178" t="s">
        <v>2296</v>
      </c>
      <c r="AB178" t="s">
        <v>2297</v>
      </c>
      <c r="AC178" t="s">
        <v>2298</v>
      </c>
      <c r="AD178" t="s">
        <v>32</v>
      </c>
      <c r="AE178" t="s">
        <v>2299</v>
      </c>
      <c r="AF178" t="s">
        <v>46835</v>
      </c>
    </row>
    <row r="179" spans="1:32" x14ac:dyDescent="0.2">
      <c r="A179">
        <v>174</v>
      </c>
      <c r="B179" t="s">
        <v>2300</v>
      </c>
      <c r="C179" t="s">
        <v>2301</v>
      </c>
      <c r="D179" t="s">
        <v>2302</v>
      </c>
      <c r="E179" t="s">
        <v>2303</v>
      </c>
      <c r="F179" t="s">
        <v>2304</v>
      </c>
      <c r="G179" t="s">
        <v>2305</v>
      </c>
      <c r="H179" t="str">
        <f>"Ahcy"</f>
        <v>Ahcy</v>
      </c>
      <c r="I179" t="s">
        <v>32</v>
      </c>
      <c r="J179" t="s">
        <v>37</v>
      </c>
      <c r="K179">
        <v>10090</v>
      </c>
      <c r="L179" s="3" t="str">
        <f>HYPERLINK("http://www.uniprot.org/uniprot/P50247", "P50247")</f>
        <v>P50247</v>
      </c>
      <c r="M179" t="s">
        <v>2306</v>
      </c>
      <c r="N179" t="str">
        <f>"Ahcy"</f>
        <v>Ahcy</v>
      </c>
      <c r="O179" s="3" t="str">
        <f>HYPERLINK("http://www.informatics.jax.org/marker/MGI:87968", "MGI:87968")</f>
        <v>MGI:87968</v>
      </c>
      <c r="P179" t="s">
        <v>2307</v>
      </c>
      <c r="Q179" t="s">
        <v>2308</v>
      </c>
      <c r="R179" t="s">
        <v>418</v>
      </c>
      <c r="S179" t="s">
        <v>32</v>
      </c>
      <c r="T179" t="s">
        <v>32</v>
      </c>
      <c r="U179" t="s">
        <v>32</v>
      </c>
      <c r="V179" t="s">
        <v>32</v>
      </c>
      <c r="W179" t="s">
        <v>2309</v>
      </c>
      <c r="X179" t="s">
        <v>343</v>
      </c>
      <c r="Y179" t="s">
        <v>420</v>
      </c>
      <c r="Z179" t="s">
        <v>126</v>
      </c>
      <c r="AA179" t="s">
        <v>2310</v>
      </c>
      <c r="AB179" t="s">
        <v>2311</v>
      </c>
      <c r="AC179" t="s">
        <v>2312</v>
      </c>
      <c r="AD179" t="s">
        <v>2313</v>
      </c>
      <c r="AE179" t="s">
        <v>2314</v>
      </c>
      <c r="AF179" t="s">
        <v>46835</v>
      </c>
    </row>
    <row r="180" spans="1:32" x14ac:dyDescent="0.2">
      <c r="A180">
        <v>175</v>
      </c>
      <c r="B180" t="s">
        <v>2315</v>
      </c>
      <c r="C180" t="s">
        <v>2316</v>
      </c>
      <c r="D180" t="s">
        <v>2317</v>
      </c>
      <c r="E180" t="s">
        <v>2318</v>
      </c>
      <c r="F180" t="s">
        <v>2319</v>
      </c>
      <c r="G180" t="s">
        <v>2320</v>
      </c>
      <c r="H180" t="str">
        <f>"Eprs1"</f>
        <v>Eprs1</v>
      </c>
      <c r="I180" t="s">
        <v>2321</v>
      </c>
      <c r="J180" t="s">
        <v>37</v>
      </c>
      <c r="K180">
        <v>10090</v>
      </c>
      <c r="L180" s="3" t="str">
        <f>HYPERLINK("http://www.uniprot.org/uniprot/Q8CGC7", "Q8CGC7")</f>
        <v>Q8CGC7</v>
      </c>
      <c r="M180" t="s">
        <v>2322</v>
      </c>
      <c r="N180" t="str">
        <f>"Eprs"</f>
        <v>Eprs</v>
      </c>
      <c r="O180" s="3" t="str">
        <f>HYPERLINK("http://www.informatics.jax.org/marker/MGI:97838", "MGI:97838")</f>
        <v>MGI:97838</v>
      </c>
      <c r="P180" t="s">
        <v>2323</v>
      </c>
      <c r="Q180" t="s">
        <v>2324</v>
      </c>
      <c r="R180" t="s">
        <v>714</v>
      </c>
      <c r="S180" t="s">
        <v>32</v>
      </c>
      <c r="T180" t="s">
        <v>32</v>
      </c>
      <c r="U180" t="s">
        <v>32</v>
      </c>
      <c r="V180" t="s">
        <v>55</v>
      </c>
      <c r="W180" t="s">
        <v>2325</v>
      </c>
      <c r="X180" t="s">
        <v>2326</v>
      </c>
      <c r="Y180" t="s">
        <v>97</v>
      </c>
      <c r="Z180" t="s">
        <v>32</v>
      </c>
      <c r="AA180" t="s">
        <v>2327</v>
      </c>
      <c r="AB180" t="s">
        <v>2328</v>
      </c>
      <c r="AC180" t="s">
        <v>2329</v>
      </c>
      <c r="AD180" t="s">
        <v>32</v>
      </c>
      <c r="AE180" t="s">
        <v>32</v>
      </c>
      <c r="AF180" t="s">
        <v>46835</v>
      </c>
    </row>
    <row r="181" spans="1:32" x14ac:dyDescent="0.2">
      <c r="A181">
        <v>176</v>
      </c>
      <c r="B181" t="s">
        <v>2330</v>
      </c>
      <c r="C181" t="s">
        <v>2331</v>
      </c>
      <c r="D181" t="s">
        <v>32</v>
      </c>
      <c r="E181" t="s">
        <v>2332</v>
      </c>
      <c r="F181" t="s">
        <v>2333</v>
      </c>
      <c r="G181" t="s">
        <v>2334</v>
      </c>
      <c r="H181" t="str">
        <f>"Rps9"</f>
        <v>Rps9</v>
      </c>
      <c r="I181" t="s">
        <v>32</v>
      </c>
      <c r="J181" t="s">
        <v>37</v>
      </c>
      <c r="K181">
        <v>10090</v>
      </c>
      <c r="L181" s="3" t="str">
        <f>HYPERLINK("http://www.uniprot.org/uniprot/Q6ZWN5", "Q6ZWN5")</f>
        <v>Q6ZWN5</v>
      </c>
      <c r="M181" t="s">
        <v>2335</v>
      </c>
      <c r="N181" t="str">
        <f>"Rps9"</f>
        <v>Rps9</v>
      </c>
      <c r="O181" s="3" t="str">
        <f>HYPERLINK("http://www.informatics.jax.org/marker/MGI:1924096", "MGI:1924096")</f>
        <v>MGI:1924096</v>
      </c>
      <c r="P181" t="s">
        <v>2336</v>
      </c>
      <c r="Q181" t="s">
        <v>32</v>
      </c>
      <c r="R181" t="s">
        <v>418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887</v>
      </c>
      <c r="Y181" t="s">
        <v>516</v>
      </c>
      <c r="Z181" t="s">
        <v>126</v>
      </c>
      <c r="AA181" t="s">
        <v>2337</v>
      </c>
      <c r="AB181" t="s">
        <v>2338</v>
      </c>
      <c r="AC181" t="s">
        <v>2339</v>
      </c>
      <c r="AD181" t="s">
        <v>32</v>
      </c>
      <c r="AE181" t="s">
        <v>691</v>
      </c>
      <c r="AF181" t="s">
        <v>46835</v>
      </c>
    </row>
    <row r="182" spans="1:32" x14ac:dyDescent="0.2">
      <c r="A182">
        <v>177</v>
      </c>
      <c r="B182" t="s">
        <v>2340</v>
      </c>
      <c r="C182" t="s">
        <v>2341</v>
      </c>
      <c r="D182" t="s">
        <v>2342</v>
      </c>
      <c r="E182" t="s">
        <v>2343</v>
      </c>
      <c r="F182" t="s">
        <v>2344</v>
      </c>
      <c r="G182" t="s">
        <v>2345</v>
      </c>
      <c r="H182" t="str">
        <f>"Naca"</f>
        <v>Naca</v>
      </c>
      <c r="I182" t="s">
        <v>2346</v>
      </c>
      <c r="J182" t="s">
        <v>37</v>
      </c>
      <c r="K182">
        <v>10090</v>
      </c>
      <c r="L182" s="3" t="str">
        <f>HYPERLINK("http://www.uniprot.org/uniprot/P70670", "P70670")</f>
        <v>P70670</v>
      </c>
      <c r="M182" t="s">
        <v>2347</v>
      </c>
      <c r="N182" t="str">
        <f>"Naca"</f>
        <v>Naca</v>
      </c>
      <c r="O182" s="3" t="str">
        <f>HYPERLINK("http://www.informatics.jax.org/marker/MGI:106095", "MGI:106095")</f>
        <v>MGI:106095</v>
      </c>
      <c r="P182" t="s">
        <v>2348</v>
      </c>
      <c r="Q182" t="s">
        <v>2349</v>
      </c>
      <c r="R182" t="s">
        <v>40</v>
      </c>
      <c r="S182" t="s">
        <v>41</v>
      </c>
      <c r="T182" t="s">
        <v>32</v>
      </c>
      <c r="U182" t="s">
        <v>32</v>
      </c>
      <c r="V182" t="s">
        <v>32</v>
      </c>
      <c r="W182" t="s">
        <v>32</v>
      </c>
      <c r="X182" t="s">
        <v>2350</v>
      </c>
      <c r="Y182" t="s">
        <v>207</v>
      </c>
      <c r="Z182" t="s">
        <v>32</v>
      </c>
      <c r="AA182" t="s">
        <v>2351</v>
      </c>
      <c r="AB182" t="s">
        <v>2352</v>
      </c>
      <c r="AC182" t="s">
        <v>2353</v>
      </c>
      <c r="AD182" t="s">
        <v>32</v>
      </c>
      <c r="AE182" t="s">
        <v>32</v>
      </c>
      <c r="AF182" t="s">
        <v>46835</v>
      </c>
    </row>
    <row r="183" spans="1:32" x14ac:dyDescent="0.2">
      <c r="A183">
        <v>178</v>
      </c>
      <c r="B183" t="s">
        <v>2354</v>
      </c>
      <c r="C183" t="s">
        <v>2355</v>
      </c>
      <c r="D183" t="s">
        <v>32</v>
      </c>
      <c r="E183" t="s">
        <v>2356</v>
      </c>
      <c r="F183" t="s">
        <v>2357</v>
      </c>
      <c r="G183" t="s">
        <v>2358</v>
      </c>
      <c r="H183" t="str">
        <f>"Aprt"</f>
        <v>Aprt</v>
      </c>
      <c r="I183" t="s">
        <v>32</v>
      </c>
      <c r="J183" t="s">
        <v>37</v>
      </c>
      <c r="K183">
        <v>10090</v>
      </c>
      <c r="L183" s="3" t="str">
        <f>HYPERLINK("http://www.uniprot.org/uniprot/P08030", "P08030")</f>
        <v>P08030</v>
      </c>
      <c r="M183" t="s">
        <v>2359</v>
      </c>
      <c r="N183" t="str">
        <f>"Aprt"</f>
        <v>Aprt</v>
      </c>
      <c r="O183" s="3" t="str">
        <f>HYPERLINK("http://www.informatics.jax.org/marker/MGI:88061", "MGI:88061")</f>
        <v>MGI:88061</v>
      </c>
      <c r="P183" t="s">
        <v>2360</v>
      </c>
      <c r="Q183" t="s">
        <v>2361</v>
      </c>
      <c r="R183" t="s">
        <v>418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2362</v>
      </c>
      <c r="Y183" t="s">
        <v>157</v>
      </c>
      <c r="Z183" t="s">
        <v>32</v>
      </c>
      <c r="AA183" t="s">
        <v>2363</v>
      </c>
      <c r="AB183" t="s">
        <v>2364</v>
      </c>
      <c r="AC183" t="s">
        <v>2365</v>
      </c>
      <c r="AD183" t="s">
        <v>2366</v>
      </c>
      <c r="AE183" t="s">
        <v>2367</v>
      </c>
      <c r="AF183" t="s">
        <v>46835</v>
      </c>
    </row>
    <row r="184" spans="1:32" x14ac:dyDescent="0.2">
      <c r="A184">
        <v>179</v>
      </c>
      <c r="B184" t="s">
        <v>2368</v>
      </c>
      <c r="C184" t="s">
        <v>2369</v>
      </c>
      <c r="D184" t="s">
        <v>2370</v>
      </c>
      <c r="E184" t="s">
        <v>2371</v>
      </c>
      <c r="F184" t="s">
        <v>2372</v>
      </c>
      <c r="G184" t="s">
        <v>2373</v>
      </c>
      <c r="H184" t="str">
        <f>"Hspa9"</f>
        <v>Hspa9</v>
      </c>
      <c r="I184" t="s">
        <v>2374</v>
      </c>
      <c r="J184" t="s">
        <v>37</v>
      </c>
      <c r="K184">
        <v>10090</v>
      </c>
      <c r="L184" s="3" t="str">
        <f>HYPERLINK("http://www.uniprot.org/uniprot/P38647", "P38647")</f>
        <v>P38647</v>
      </c>
      <c r="M184" t="s">
        <v>2375</v>
      </c>
      <c r="N184" t="str">
        <f>"Hspa9"</f>
        <v>Hspa9</v>
      </c>
      <c r="O184" s="3" t="str">
        <f>HYPERLINK("http://www.informatics.jax.org/marker/MGI:96245", "MGI:96245")</f>
        <v>MGI:96245</v>
      </c>
      <c r="P184" t="s">
        <v>2376</v>
      </c>
      <c r="Q184" t="s">
        <v>32</v>
      </c>
      <c r="R184" t="s">
        <v>2377</v>
      </c>
      <c r="S184" t="s">
        <v>32</v>
      </c>
      <c r="T184" t="s">
        <v>32</v>
      </c>
      <c r="U184" t="s">
        <v>32</v>
      </c>
      <c r="V184" t="s">
        <v>1039</v>
      </c>
      <c r="W184" t="s">
        <v>205</v>
      </c>
      <c r="X184" t="s">
        <v>388</v>
      </c>
      <c r="Y184" t="s">
        <v>97</v>
      </c>
      <c r="Z184" t="s">
        <v>32</v>
      </c>
      <c r="AA184" t="s">
        <v>2378</v>
      </c>
      <c r="AB184" t="s">
        <v>2379</v>
      </c>
      <c r="AC184" t="s">
        <v>2380</v>
      </c>
      <c r="AD184" t="s">
        <v>32</v>
      </c>
      <c r="AE184" t="s">
        <v>1445</v>
      </c>
      <c r="AF184" t="s">
        <v>46835</v>
      </c>
    </row>
    <row r="185" spans="1:32" x14ac:dyDescent="0.2">
      <c r="A185">
        <v>180</v>
      </c>
      <c r="B185" t="s">
        <v>2381</v>
      </c>
      <c r="C185" t="s">
        <v>2382</v>
      </c>
      <c r="D185" t="s">
        <v>32</v>
      </c>
      <c r="E185" t="s">
        <v>2383</v>
      </c>
      <c r="F185" t="s">
        <v>2384</v>
      </c>
      <c r="G185" t="s">
        <v>2385</v>
      </c>
      <c r="H185" t="str">
        <f>"Rps17"</f>
        <v>Rps17</v>
      </c>
      <c r="I185" t="s">
        <v>32</v>
      </c>
      <c r="J185" t="s">
        <v>37</v>
      </c>
      <c r="K185">
        <v>10090</v>
      </c>
      <c r="L185" s="3" t="str">
        <f>HYPERLINK("http://www.uniprot.org/uniprot/P63276", "P63276")</f>
        <v>P63276</v>
      </c>
      <c r="M185" t="s">
        <v>2386</v>
      </c>
      <c r="N185" t="str">
        <f>"Rps17"</f>
        <v>Rps17</v>
      </c>
      <c r="O185" s="3" t="str">
        <f>HYPERLINK("http://www.informatics.jax.org/marker/MGI:1309526", "MGI:1309526")</f>
        <v>MGI:1309526</v>
      </c>
      <c r="P185" t="s">
        <v>2387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447</v>
      </c>
      <c r="Y185" t="s">
        <v>1007</v>
      </c>
      <c r="Z185" t="s">
        <v>126</v>
      </c>
      <c r="AA185" t="s">
        <v>2388</v>
      </c>
      <c r="AB185" t="s">
        <v>2389</v>
      </c>
      <c r="AC185" t="s">
        <v>1010</v>
      </c>
      <c r="AD185" t="s">
        <v>32</v>
      </c>
      <c r="AE185" t="s">
        <v>691</v>
      </c>
      <c r="AF185" t="s">
        <v>46835</v>
      </c>
    </row>
    <row r="186" spans="1:32" x14ac:dyDescent="0.2">
      <c r="A186">
        <v>181</v>
      </c>
      <c r="B186" t="s">
        <v>2390</v>
      </c>
      <c r="C186" t="s">
        <v>2391</v>
      </c>
      <c r="D186" t="s">
        <v>2392</v>
      </c>
      <c r="E186" t="s">
        <v>2393</v>
      </c>
      <c r="F186" t="s">
        <v>2394</v>
      </c>
      <c r="G186" t="s">
        <v>2395</v>
      </c>
      <c r="H186" t="str">
        <f>"Idh1"</f>
        <v>Idh1</v>
      </c>
      <c r="I186" t="s">
        <v>32</v>
      </c>
      <c r="J186" t="s">
        <v>37</v>
      </c>
      <c r="K186">
        <v>10090</v>
      </c>
      <c r="L186" s="3" t="str">
        <f>HYPERLINK("http://www.uniprot.org/uniprot/O88844", "O88844")</f>
        <v>O88844</v>
      </c>
      <c r="M186" t="s">
        <v>2396</v>
      </c>
      <c r="N186" t="str">
        <f>"Idh1"</f>
        <v>Idh1</v>
      </c>
      <c r="O186" s="3" t="str">
        <f>HYPERLINK("http://www.informatics.jax.org/marker/MGI:96413", "MGI:96413")</f>
        <v>MGI:96413</v>
      </c>
      <c r="P186" t="s">
        <v>2397</v>
      </c>
      <c r="Q186" t="s">
        <v>2398</v>
      </c>
      <c r="R186" t="s">
        <v>418</v>
      </c>
      <c r="S186" t="s">
        <v>32</v>
      </c>
      <c r="T186" t="s">
        <v>32</v>
      </c>
      <c r="U186" t="s">
        <v>32</v>
      </c>
      <c r="V186" t="s">
        <v>32</v>
      </c>
      <c r="W186" t="s">
        <v>2399</v>
      </c>
      <c r="X186" t="s">
        <v>600</v>
      </c>
      <c r="Y186" t="s">
        <v>157</v>
      </c>
      <c r="Z186" t="s">
        <v>126</v>
      </c>
      <c r="AA186" t="s">
        <v>2400</v>
      </c>
      <c r="AB186" t="s">
        <v>2401</v>
      </c>
      <c r="AC186" t="s">
        <v>2402</v>
      </c>
      <c r="AD186" t="s">
        <v>32</v>
      </c>
      <c r="AE186" t="s">
        <v>2403</v>
      </c>
      <c r="AF186" t="s">
        <v>46835</v>
      </c>
    </row>
    <row r="187" spans="1:32" x14ac:dyDescent="0.2">
      <c r="A187">
        <v>182</v>
      </c>
      <c r="B187" t="s">
        <v>2404</v>
      </c>
      <c r="C187" t="s">
        <v>2405</v>
      </c>
      <c r="D187" t="s">
        <v>2406</v>
      </c>
      <c r="E187" t="s">
        <v>2407</v>
      </c>
      <c r="F187" t="s">
        <v>2408</v>
      </c>
      <c r="G187" t="s">
        <v>2409</v>
      </c>
      <c r="H187" t="str">
        <f>"St13"</f>
        <v>St13</v>
      </c>
      <c r="I187" t="s">
        <v>2410</v>
      </c>
      <c r="J187" t="s">
        <v>37</v>
      </c>
      <c r="K187">
        <v>10090</v>
      </c>
      <c r="L187" s="3" t="str">
        <f>HYPERLINK("http://www.uniprot.org/uniprot/Q99L47", "Q99L47")</f>
        <v>Q99L47</v>
      </c>
      <c r="M187" t="s">
        <v>2411</v>
      </c>
      <c r="N187" t="str">
        <f>"St13"</f>
        <v>St13</v>
      </c>
      <c r="O187" s="3" t="str">
        <f>HYPERLINK("http://www.informatics.jax.org/marker/MGI:1917606", "MGI:1917606")</f>
        <v>MGI:1917606</v>
      </c>
      <c r="P187" t="s">
        <v>2412</v>
      </c>
      <c r="Q187" t="s">
        <v>32</v>
      </c>
      <c r="R187" t="s">
        <v>418</v>
      </c>
      <c r="S187" t="s">
        <v>32</v>
      </c>
      <c r="T187" t="s">
        <v>32</v>
      </c>
      <c r="U187" t="s">
        <v>32</v>
      </c>
      <c r="V187" t="s">
        <v>995</v>
      </c>
      <c r="W187" t="s">
        <v>32</v>
      </c>
      <c r="X187" t="s">
        <v>388</v>
      </c>
      <c r="Y187" t="s">
        <v>157</v>
      </c>
      <c r="Z187" t="s">
        <v>32</v>
      </c>
      <c r="AA187" t="s">
        <v>2413</v>
      </c>
      <c r="AB187" t="s">
        <v>2414</v>
      </c>
      <c r="AC187" t="s">
        <v>2415</v>
      </c>
      <c r="AD187" t="s">
        <v>32</v>
      </c>
      <c r="AE187" t="s">
        <v>1445</v>
      </c>
      <c r="AF187" t="s">
        <v>46835</v>
      </c>
    </row>
    <row r="188" spans="1:32" x14ac:dyDescent="0.2">
      <c r="A188">
        <v>183</v>
      </c>
      <c r="B188" t="s">
        <v>2416</v>
      </c>
      <c r="C188" t="s">
        <v>2417</v>
      </c>
      <c r="D188" t="s">
        <v>2418</v>
      </c>
      <c r="E188" t="s">
        <v>2419</v>
      </c>
      <c r="F188" t="s">
        <v>2420</v>
      </c>
      <c r="G188" t="s">
        <v>2421</v>
      </c>
      <c r="H188" t="str">
        <f>"Mdh1"</f>
        <v>Mdh1</v>
      </c>
      <c r="I188" t="s">
        <v>2422</v>
      </c>
      <c r="J188" t="s">
        <v>37</v>
      </c>
      <c r="K188">
        <v>10090</v>
      </c>
      <c r="L188" s="3" t="str">
        <f>HYPERLINK("http://www.uniprot.org/uniprot/P14152", "P14152")</f>
        <v>P14152</v>
      </c>
      <c r="M188" t="s">
        <v>2423</v>
      </c>
      <c r="N188" t="str">
        <f>"Mdh1"</f>
        <v>Mdh1</v>
      </c>
      <c r="O188" s="3" t="str">
        <f>HYPERLINK("http://www.informatics.jax.org/marker/MGI:97051", "MGI:97051")</f>
        <v>MGI:97051</v>
      </c>
      <c r="P188" t="s">
        <v>2424</v>
      </c>
      <c r="Q188" t="s">
        <v>1756</v>
      </c>
      <c r="R188" t="s">
        <v>418</v>
      </c>
      <c r="S188" t="s">
        <v>32</v>
      </c>
      <c r="T188" t="s">
        <v>32</v>
      </c>
      <c r="U188" t="s">
        <v>32</v>
      </c>
      <c r="V188" t="s">
        <v>32</v>
      </c>
      <c r="W188" t="s">
        <v>325</v>
      </c>
      <c r="X188" t="s">
        <v>600</v>
      </c>
      <c r="Y188" t="s">
        <v>277</v>
      </c>
      <c r="Z188" t="s">
        <v>32</v>
      </c>
      <c r="AA188" t="s">
        <v>2425</v>
      </c>
      <c r="AB188" t="s">
        <v>2426</v>
      </c>
      <c r="AC188" t="s">
        <v>2427</v>
      </c>
      <c r="AD188" t="s">
        <v>32</v>
      </c>
      <c r="AE188" t="s">
        <v>2428</v>
      </c>
      <c r="AF188" t="s">
        <v>46835</v>
      </c>
    </row>
    <row r="189" spans="1:32" x14ac:dyDescent="0.2">
      <c r="A189">
        <v>184</v>
      </c>
      <c r="B189" t="s">
        <v>2429</v>
      </c>
      <c r="C189" t="s">
        <v>2430</v>
      </c>
      <c r="D189" t="s">
        <v>2431</v>
      </c>
      <c r="E189" t="s">
        <v>2432</v>
      </c>
      <c r="F189" t="s">
        <v>2433</v>
      </c>
      <c r="G189" t="s">
        <v>2434</v>
      </c>
      <c r="H189" t="str">
        <f>"Rps18"</f>
        <v>Rps18</v>
      </c>
      <c r="I189" t="s">
        <v>32</v>
      </c>
      <c r="J189" t="s">
        <v>37</v>
      </c>
      <c r="K189">
        <v>10090</v>
      </c>
      <c r="L189" s="3" t="str">
        <f>HYPERLINK("http://www.uniprot.org/uniprot/P62270", "P62270")</f>
        <v>P62270</v>
      </c>
      <c r="M189" t="s">
        <v>2435</v>
      </c>
      <c r="N189" t="str">
        <f>"Rps18"</f>
        <v>Rps18</v>
      </c>
      <c r="O189" s="3" t="str">
        <f>HYPERLINK("http://www.informatics.jax.org/marker/MGI:98146", "MGI:98146")</f>
        <v>MGI:98146</v>
      </c>
      <c r="P189" t="s">
        <v>1791</v>
      </c>
      <c r="Q189" t="s">
        <v>32</v>
      </c>
      <c r="R189" t="s">
        <v>418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887</v>
      </c>
      <c r="Y189" t="s">
        <v>461</v>
      </c>
      <c r="Z189" t="s">
        <v>126</v>
      </c>
      <c r="AA189" t="s">
        <v>1405</v>
      </c>
      <c r="AB189" t="s">
        <v>2436</v>
      </c>
      <c r="AC189" t="s">
        <v>2437</v>
      </c>
      <c r="AD189" t="s">
        <v>32</v>
      </c>
      <c r="AE189" t="s">
        <v>691</v>
      </c>
      <c r="AF189" t="s">
        <v>46835</v>
      </c>
    </row>
    <row r="190" spans="1:32" x14ac:dyDescent="0.2">
      <c r="A190">
        <v>185</v>
      </c>
      <c r="B190" t="s">
        <v>2438</v>
      </c>
      <c r="C190" t="s">
        <v>2439</v>
      </c>
      <c r="D190" t="s">
        <v>2440</v>
      </c>
      <c r="E190" t="s">
        <v>2441</v>
      </c>
      <c r="F190" t="s">
        <v>2442</v>
      </c>
      <c r="G190" t="s">
        <v>2443</v>
      </c>
      <c r="H190" t="str">
        <f>"Gpi"</f>
        <v>Gpi</v>
      </c>
      <c r="I190" t="s">
        <v>32</v>
      </c>
      <c r="J190" t="s">
        <v>37</v>
      </c>
      <c r="K190">
        <v>10090</v>
      </c>
      <c r="L190" s="3" t="str">
        <f>HYPERLINK("http://www.uniprot.org/uniprot/P06745", "P06745")</f>
        <v>P06745</v>
      </c>
      <c r="M190" t="s">
        <v>2444</v>
      </c>
      <c r="N190" t="str">
        <f>"Gpi1"</f>
        <v>Gpi1</v>
      </c>
      <c r="O190" s="3" t="str">
        <f>HYPERLINK("http://www.informatics.jax.org/marker/MGI:95797", "MGI:95797")</f>
        <v>MGI:95797</v>
      </c>
      <c r="P190" t="s">
        <v>2445</v>
      </c>
      <c r="Q190" t="s">
        <v>925</v>
      </c>
      <c r="R190" t="s">
        <v>2446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2447</v>
      </c>
      <c r="Y190" t="s">
        <v>1023</v>
      </c>
      <c r="Z190" t="s">
        <v>126</v>
      </c>
      <c r="AA190" t="s">
        <v>2448</v>
      </c>
      <c r="AB190" t="s">
        <v>2449</v>
      </c>
      <c r="AC190" t="s">
        <v>2450</v>
      </c>
      <c r="AD190" t="s">
        <v>2451</v>
      </c>
      <c r="AE190" t="s">
        <v>2452</v>
      </c>
      <c r="AF190" t="s">
        <v>46835</v>
      </c>
    </row>
    <row r="191" spans="1:32" x14ac:dyDescent="0.2">
      <c r="A191">
        <v>186</v>
      </c>
      <c r="B191" t="s">
        <v>2453</v>
      </c>
      <c r="C191" t="s">
        <v>2454</v>
      </c>
      <c r="D191" t="s">
        <v>2455</v>
      </c>
      <c r="E191" t="s">
        <v>2456</v>
      </c>
      <c r="F191" t="s">
        <v>2457</v>
      </c>
      <c r="G191" t="s">
        <v>2458</v>
      </c>
      <c r="H191" t="str">
        <f>"Idh2"</f>
        <v>Idh2</v>
      </c>
      <c r="I191" t="s">
        <v>32</v>
      </c>
      <c r="J191" t="s">
        <v>37</v>
      </c>
      <c r="K191">
        <v>10090</v>
      </c>
      <c r="L191" s="3" t="str">
        <f>HYPERLINK("http://www.uniprot.org/uniprot/P54071", "P54071")</f>
        <v>P54071</v>
      </c>
      <c r="M191" t="s">
        <v>2459</v>
      </c>
      <c r="N191" t="str">
        <f>"Idh2"</f>
        <v>Idh2</v>
      </c>
      <c r="O191" s="3" t="str">
        <f>HYPERLINK("http://www.informatics.jax.org/marker/MGI:96414", "MGI:96414")</f>
        <v>MGI:96414</v>
      </c>
      <c r="P191" t="s">
        <v>2460</v>
      </c>
      <c r="Q191" t="s">
        <v>2461</v>
      </c>
      <c r="R191" t="s">
        <v>1038</v>
      </c>
      <c r="S191" t="s">
        <v>32</v>
      </c>
      <c r="T191" t="s">
        <v>32</v>
      </c>
      <c r="U191" t="s">
        <v>32</v>
      </c>
      <c r="V191" t="s">
        <v>1039</v>
      </c>
      <c r="W191" t="s">
        <v>2399</v>
      </c>
      <c r="X191" t="s">
        <v>600</v>
      </c>
      <c r="Y191" t="s">
        <v>78</v>
      </c>
      <c r="Z191" t="s">
        <v>126</v>
      </c>
      <c r="AA191" t="s">
        <v>2462</v>
      </c>
      <c r="AB191" t="s">
        <v>2463</v>
      </c>
      <c r="AC191" t="s">
        <v>2464</v>
      </c>
      <c r="AD191" t="s">
        <v>32</v>
      </c>
      <c r="AE191" t="s">
        <v>2465</v>
      </c>
      <c r="AF191" t="s">
        <v>46835</v>
      </c>
    </row>
    <row r="192" spans="1:32" x14ac:dyDescent="0.2">
      <c r="A192">
        <v>187</v>
      </c>
      <c r="B192" t="s">
        <v>2466</v>
      </c>
      <c r="C192" t="s">
        <v>2467</v>
      </c>
      <c r="D192" t="s">
        <v>32</v>
      </c>
      <c r="E192" t="s">
        <v>2468</v>
      </c>
      <c r="F192" t="s">
        <v>2469</v>
      </c>
      <c r="G192" t="s">
        <v>2470</v>
      </c>
      <c r="H192" t="str">
        <f>"Cap1"</f>
        <v>Cap1</v>
      </c>
      <c r="I192" t="s">
        <v>2471</v>
      </c>
      <c r="J192" t="s">
        <v>37</v>
      </c>
      <c r="K192">
        <v>10090</v>
      </c>
      <c r="L192" s="3" t="str">
        <f>HYPERLINK("http://www.uniprot.org/uniprot/P40124", "P40124")</f>
        <v>P40124</v>
      </c>
      <c r="M192" t="s">
        <v>2472</v>
      </c>
      <c r="N192" t="str">
        <f>"Cap1"</f>
        <v>Cap1</v>
      </c>
      <c r="O192" s="3" t="str">
        <f>HYPERLINK("http://www.informatics.jax.org/marker/MGI:88262", "MGI:88262")</f>
        <v>MGI:88262</v>
      </c>
      <c r="P192" t="s">
        <v>2473</v>
      </c>
      <c r="Q192" t="s">
        <v>32</v>
      </c>
      <c r="R192" t="s">
        <v>2474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405</v>
      </c>
      <c r="Y192" t="s">
        <v>207</v>
      </c>
      <c r="Z192" t="s">
        <v>126</v>
      </c>
      <c r="AA192" t="s">
        <v>2475</v>
      </c>
      <c r="AB192" t="s">
        <v>2476</v>
      </c>
      <c r="AC192" t="s">
        <v>2477</v>
      </c>
      <c r="AD192" t="s">
        <v>32</v>
      </c>
      <c r="AE192" t="s">
        <v>548</v>
      </c>
      <c r="AF192" t="s">
        <v>46835</v>
      </c>
    </row>
    <row r="193" spans="1:32" x14ac:dyDescent="0.2">
      <c r="A193">
        <v>188</v>
      </c>
      <c r="B193" t="s">
        <v>2478</v>
      </c>
      <c r="C193" t="s">
        <v>2479</v>
      </c>
      <c r="D193" t="s">
        <v>32</v>
      </c>
      <c r="E193" t="s">
        <v>2480</v>
      </c>
      <c r="F193" t="s">
        <v>2481</v>
      </c>
      <c r="G193" t="s">
        <v>2482</v>
      </c>
      <c r="H193" t="str">
        <f>"Rpl18a"</f>
        <v>Rpl18a</v>
      </c>
      <c r="I193" t="s">
        <v>32</v>
      </c>
      <c r="J193" t="s">
        <v>37</v>
      </c>
      <c r="K193">
        <v>10090</v>
      </c>
      <c r="L193" s="3" t="str">
        <f>HYPERLINK("http://www.uniprot.org/uniprot/P62717", "P62717")</f>
        <v>P62717</v>
      </c>
      <c r="M193" t="s">
        <v>2483</v>
      </c>
      <c r="N193" t="str">
        <f>"Rpl18a"</f>
        <v>Rpl18a</v>
      </c>
      <c r="O193" s="3" t="str">
        <f>HYPERLINK("http://www.informatics.jax.org/marker/MGI:1924058", "MGI:1924058")</f>
        <v>MGI:1924058</v>
      </c>
      <c r="P193" t="s">
        <v>1006</v>
      </c>
      <c r="Q193" t="s">
        <v>32</v>
      </c>
      <c r="R193" t="s">
        <v>418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447</v>
      </c>
      <c r="Y193" t="s">
        <v>1007</v>
      </c>
      <c r="Z193" t="s">
        <v>126</v>
      </c>
      <c r="AA193" t="s">
        <v>1405</v>
      </c>
      <c r="AB193" t="s">
        <v>2484</v>
      </c>
      <c r="AC193" t="s">
        <v>1010</v>
      </c>
      <c r="AD193" t="s">
        <v>32</v>
      </c>
      <c r="AE193" t="s">
        <v>765</v>
      </c>
      <c r="AF193" t="s">
        <v>46835</v>
      </c>
    </row>
    <row r="194" spans="1:32" x14ac:dyDescent="0.2">
      <c r="A194">
        <v>189</v>
      </c>
      <c r="B194" t="s">
        <v>2485</v>
      </c>
      <c r="C194" t="s">
        <v>2486</v>
      </c>
      <c r="D194" t="s">
        <v>2487</v>
      </c>
      <c r="E194" t="s">
        <v>2488</v>
      </c>
      <c r="F194" t="s">
        <v>2489</v>
      </c>
      <c r="G194" t="s">
        <v>2490</v>
      </c>
      <c r="H194" t="str">
        <f>"Mgarp"</f>
        <v>Mgarp</v>
      </c>
      <c r="I194" t="s">
        <v>2491</v>
      </c>
      <c r="J194" t="s">
        <v>37</v>
      </c>
      <c r="K194">
        <v>10090</v>
      </c>
      <c r="L194" s="3" t="str">
        <f>HYPERLINK("http://www.uniprot.org/uniprot/Q8VI64", "Q8VI64")</f>
        <v>Q8VI64</v>
      </c>
      <c r="M194" t="s">
        <v>2492</v>
      </c>
      <c r="N194" t="str">
        <f>"Mgarp"</f>
        <v>Mgarp</v>
      </c>
      <c r="O194" s="3" t="str">
        <f>HYPERLINK("http://www.informatics.jax.org/marker/MGI:1914999", "MGI:1914999")</f>
        <v>MGI:1914999</v>
      </c>
      <c r="P194" t="s">
        <v>2493</v>
      </c>
      <c r="Q194" t="s">
        <v>32</v>
      </c>
      <c r="R194" t="s">
        <v>2494</v>
      </c>
      <c r="S194" t="s">
        <v>32</v>
      </c>
      <c r="T194" t="s">
        <v>32</v>
      </c>
      <c r="U194" t="s">
        <v>32</v>
      </c>
      <c r="V194" t="s">
        <v>493</v>
      </c>
      <c r="W194" t="s">
        <v>32</v>
      </c>
      <c r="X194" t="s">
        <v>32</v>
      </c>
      <c r="Y194" t="s">
        <v>32</v>
      </c>
      <c r="Z194" t="s">
        <v>32</v>
      </c>
      <c r="AA194" t="s">
        <v>2495</v>
      </c>
      <c r="AB194" t="s">
        <v>2496</v>
      </c>
      <c r="AC194" t="s">
        <v>32</v>
      </c>
      <c r="AD194" t="s">
        <v>32</v>
      </c>
      <c r="AE194" t="s">
        <v>32</v>
      </c>
      <c r="AF194" t="s">
        <v>46835</v>
      </c>
    </row>
    <row r="195" spans="1:32" x14ac:dyDescent="0.2">
      <c r="A195">
        <v>190</v>
      </c>
      <c r="B195" t="s">
        <v>2497</v>
      </c>
      <c r="C195" t="s">
        <v>2498</v>
      </c>
      <c r="D195" t="s">
        <v>32</v>
      </c>
      <c r="E195" t="s">
        <v>2499</v>
      </c>
      <c r="F195" t="s">
        <v>2500</v>
      </c>
      <c r="G195" t="s">
        <v>32</v>
      </c>
      <c r="H195" t="str">
        <f>"Rps13"</f>
        <v>Rps13</v>
      </c>
      <c r="I195" t="s">
        <v>32</v>
      </c>
      <c r="J195" t="s">
        <v>37</v>
      </c>
      <c r="K195">
        <v>10090</v>
      </c>
      <c r="L195" s="3" t="str">
        <f>HYPERLINK("http://www.uniprot.org/uniprot/P62301", "P62301")</f>
        <v>P62301</v>
      </c>
      <c r="M195" t="s">
        <v>2501</v>
      </c>
      <c r="N195" t="str">
        <f>"Rps13"</f>
        <v>Rps13</v>
      </c>
      <c r="O195" s="3" t="str">
        <f>HYPERLINK("http://www.informatics.jax.org/marker/MGI:1915302", "MGI:1915302")</f>
        <v>MGI:1915302</v>
      </c>
      <c r="P195" t="s">
        <v>2015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447</v>
      </c>
      <c r="Y195" t="s">
        <v>516</v>
      </c>
      <c r="Z195" t="s">
        <v>126</v>
      </c>
      <c r="AA195" t="s">
        <v>2502</v>
      </c>
      <c r="AB195" t="s">
        <v>2503</v>
      </c>
      <c r="AC195" t="s">
        <v>2504</v>
      </c>
      <c r="AD195" t="s">
        <v>32</v>
      </c>
      <c r="AE195" t="s">
        <v>691</v>
      </c>
      <c r="AF195" t="s">
        <v>46835</v>
      </c>
    </row>
    <row r="196" spans="1:32" x14ac:dyDescent="0.2">
      <c r="A196">
        <v>191</v>
      </c>
      <c r="B196" t="s">
        <v>2505</v>
      </c>
      <c r="C196" t="s">
        <v>2506</v>
      </c>
      <c r="D196" t="s">
        <v>32</v>
      </c>
      <c r="E196" t="s">
        <v>2507</v>
      </c>
      <c r="F196" t="s">
        <v>2508</v>
      </c>
      <c r="G196" t="s">
        <v>2509</v>
      </c>
      <c r="H196" t="str">
        <f>"Eef1d"</f>
        <v>Eef1d</v>
      </c>
      <c r="I196" t="s">
        <v>32</v>
      </c>
      <c r="J196" t="s">
        <v>37</v>
      </c>
      <c r="K196">
        <v>10090</v>
      </c>
      <c r="L196" s="3" t="str">
        <f>HYPERLINK("http://www.uniprot.org/uniprot/P57776", "P57776")</f>
        <v>P57776</v>
      </c>
      <c r="M196" t="s">
        <v>2510</v>
      </c>
      <c r="N196" t="str">
        <f>"Eef1d"</f>
        <v>Eef1d</v>
      </c>
      <c r="O196" s="3" t="str">
        <f>HYPERLINK("http://www.informatics.jax.org/marker/MGI:1913906", "MGI:1913906")</f>
        <v>MGI:1913906</v>
      </c>
      <c r="P196" t="s">
        <v>2511</v>
      </c>
      <c r="Q196" t="s">
        <v>2512</v>
      </c>
      <c r="R196" t="s">
        <v>2279</v>
      </c>
      <c r="S196" t="s">
        <v>41</v>
      </c>
      <c r="T196" t="s">
        <v>32</v>
      </c>
      <c r="U196" t="s">
        <v>32</v>
      </c>
      <c r="V196" t="s">
        <v>32</v>
      </c>
      <c r="W196" t="s">
        <v>32</v>
      </c>
      <c r="X196" t="s">
        <v>2513</v>
      </c>
      <c r="Y196" t="s">
        <v>157</v>
      </c>
      <c r="Z196" t="s">
        <v>32</v>
      </c>
      <c r="AA196" t="s">
        <v>2514</v>
      </c>
      <c r="AB196" t="s">
        <v>2515</v>
      </c>
      <c r="AC196" t="s">
        <v>2516</v>
      </c>
      <c r="AD196" t="s">
        <v>32</v>
      </c>
      <c r="AE196" t="s">
        <v>465</v>
      </c>
      <c r="AF196" t="s">
        <v>46835</v>
      </c>
    </row>
    <row r="197" spans="1:32" x14ac:dyDescent="0.2">
      <c r="A197">
        <v>192</v>
      </c>
      <c r="B197" t="s">
        <v>2517</v>
      </c>
      <c r="C197" t="s">
        <v>2518</v>
      </c>
      <c r="D197" t="s">
        <v>2519</v>
      </c>
      <c r="E197" t="s">
        <v>2520</v>
      </c>
      <c r="F197" t="s">
        <v>2521</v>
      </c>
      <c r="G197" t="s">
        <v>32</v>
      </c>
      <c r="H197" t="str">
        <f>"Cct6a"</f>
        <v>Cct6a</v>
      </c>
      <c r="I197" t="s">
        <v>2522</v>
      </c>
      <c r="J197" t="s">
        <v>37</v>
      </c>
      <c r="K197">
        <v>10090</v>
      </c>
      <c r="L197" s="3" t="str">
        <f>HYPERLINK("http://www.uniprot.org/uniprot/P80317", "P80317")</f>
        <v>P80317</v>
      </c>
      <c r="M197" t="s">
        <v>2523</v>
      </c>
      <c r="N197" t="str">
        <f>"Cct6a"</f>
        <v>Cct6a</v>
      </c>
      <c r="O197" s="3" t="str">
        <f>HYPERLINK("http://www.informatics.jax.org/marker/MGI:107943", "MGI:107943")</f>
        <v>MGI:107943</v>
      </c>
      <c r="P197" t="s">
        <v>969</v>
      </c>
      <c r="Q197" t="s">
        <v>32</v>
      </c>
      <c r="R197" t="s">
        <v>418</v>
      </c>
      <c r="S197" t="s">
        <v>32</v>
      </c>
      <c r="T197" t="s">
        <v>32</v>
      </c>
      <c r="U197" t="s">
        <v>32</v>
      </c>
      <c r="V197" t="s">
        <v>32</v>
      </c>
      <c r="W197" t="s">
        <v>205</v>
      </c>
      <c r="X197" t="s">
        <v>388</v>
      </c>
      <c r="Y197" t="s">
        <v>516</v>
      </c>
      <c r="Z197" t="s">
        <v>32</v>
      </c>
      <c r="AA197" t="s">
        <v>1417</v>
      </c>
      <c r="AB197" t="s">
        <v>2524</v>
      </c>
      <c r="AC197" t="s">
        <v>2525</v>
      </c>
      <c r="AD197" t="s">
        <v>32</v>
      </c>
      <c r="AE197" t="s">
        <v>2526</v>
      </c>
      <c r="AF197" t="s">
        <v>46835</v>
      </c>
    </row>
    <row r="198" spans="1:32" x14ac:dyDescent="0.2">
      <c r="A198">
        <v>193</v>
      </c>
      <c r="B198" t="s">
        <v>2527</v>
      </c>
      <c r="C198" t="s">
        <v>2528</v>
      </c>
      <c r="D198" t="s">
        <v>32</v>
      </c>
      <c r="E198" t="s">
        <v>2529</v>
      </c>
      <c r="F198" t="s">
        <v>2530</v>
      </c>
      <c r="G198" t="s">
        <v>32</v>
      </c>
      <c r="H198" t="str">
        <f>"Rpl21"</f>
        <v>Rpl21</v>
      </c>
      <c r="I198" t="s">
        <v>32</v>
      </c>
      <c r="J198" t="s">
        <v>37</v>
      </c>
      <c r="K198">
        <v>10090</v>
      </c>
      <c r="L198" s="3" t="str">
        <f>HYPERLINK("http://www.uniprot.org/uniprot/O09167", "O09167")</f>
        <v>O09167</v>
      </c>
      <c r="M198" t="s">
        <v>2531</v>
      </c>
      <c r="N198" t="str">
        <f>"Rpl21"</f>
        <v>Rpl21</v>
      </c>
      <c r="O198" s="3" t="str">
        <f>HYPERLINK("http://www.informatics.jax.org/marker/MGI:1278340", "MGI:1278340")</f>
        <v>MGI:1278340</v>
      </c>
      <c r="P198" t="s">
        <v>2532</v>
      </c>
      <c r="Q198" t="s">
        <v>32</v>
      </c>
      <c r="R198" t="s">
        <v>874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447</v>
      </c>
      <c r="Y198" t="s">
        <v>32</v>
      </c>
      <c r="Z198" t="s">
        <v>126</v>
      </c>
      <c r="AA198" t="s">
        <v>1405</v>
      </c>
      <c r="AB198" t="s">
        <v>2533</v>
      </c>
      <c r="AC198" t="s">
        <v>1010</v>
      </c>
      <c r="AD198" t="s">
        <v>32</v>
      </c>
      <c r="AE198" t="s">
        <v>765</v>
      </c>
      <c r="AF198" t="s">
        <v>46835</v>
      </c>
    </row>
    <row r="199" spans="1:32" x14ac:dyDescent="0.2">
      <c r="A199">
        <v>194</v>
      </c>
      <c r="B199" t="s">
        <v>2534</v>
      </c>
      <c r="C199" t="s">
        <v>2535</v>
      </c>
      <c r="D199" t="s">
        <v>32</v>
      </c>
      <c r="E199" t="s">
        <v>2536</v>
      </c>
      <c r="F199" t="s">
        <v>2537</v>
      </c>
      <c r="G199" t="s">
        <v>32</v>
      </c>
      <c r="H199" t="str">
        <f>"Rpl28"</f>
        <v>Rpl28</v>
      </c>
      <c r="I199" t="s">
        <v>32</v>
      </c>
      <c r="J199" t="s">
        <v>37</v>
      </c>
      <c r="K199">
        <v>10090</v>
      </c>
      <c r="L199" s="3" t="str">
        <f>HYPERLINK("http://www.uniprot.org/uniprot/P41105", "P41105")</f>
        <v>P41105</v>
      </c>
      <c r="M199" t="s">
        <v>2538</v>
      </c>
      <c r="N199" t="str">
        <f>"Rpl28"</f>
        <v>Rpl28</v>
      </c>
      <c r="O199" s="3" t="str">
        <f>HYPERLINK("http://www.informatics.jax.org/marker/MGI:101839", "MGI:101839")</f>
        <v>MGI:101839</v>
      </c>
      <c r="P199" t="s">
        <v>1732</v>
      </c>
      <c r="Q199" t="s">
        <v>32</v>
      </c>
      <c r="R199" t="s">
        <v>418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447</v>
      </c>
      <c r="Y199" t="s">
        <v>516</v>
      </c>
      <c r="Z199" t="s">
        <v>126</v>
      </c>
      <c r="AA199" t="s">
        <v>1405</v>
      </c>
      <c r="AB199" t="s">
        <v>2539</v>
      </c>
      <c r="AC199" t="s">
        <v>1010</v>
      </c>
      <c r="AD199" t="s">
        <v>32</v>
      </c>
      <c r="AE199" t="s">
        <v>765</v>
      </c>
      <c r="AF199" t="s">
        <v>46835</v>
      </c>
    </row>
    <row r="200" spans="1:32" x14ac:dyDescent="0.2">
      <c r="A200">
        <v>195</v>
      </c>
      <c r="B200" t="s">
        <v>2540</v>
      </c>
      <c r="C200" t="s">
        <v>2541</v>
      </c>
      <c r="D200" t="s">
        <v>32</v>
      </c>
      <c r="E200" t="s">
        <v>2542</v>
      </c>
      <c r="F200" t="s">
        <v>2543</v>
      </c>
      <c r="G200" t="s">
        <v>2544</v>
      </c>
      <c r="H200" t="str">
        <f>"Rps8"</f>
        <v>Rps8</v>
      </c>
      <c r="I200" t="s">
        <v>32</v>
      </c>
      <c r="J200" t="s">
        <v>37</v>
      </c>
      <c r="K200">
        <v>10090</v>
      </c>
      <c r="L200" s="3" t="str">
        <f>HYPERLINK("http://www.uniprot.org/uniprot/P62242", "P62242")</f>
        <v>P62242</v>
      </c>
      <c r="M200" t="s">
        <v>2545</v>
      </c>
      <c r="N200" t="str">
        <f>"Rps8"</f>
        <v>Rps8</v>
      </c>
      <c r="O200" s="3" t="str">
        <f>HYPERLINK("http://www.informatics.jax.org/marker/MGI:98166", "MGI:98166")</f>
        <v>MGI:98166</v>
      </c>
      <c r="P200" t="s">
        <v>2546</v>
      </c>
      <c r="Q200" t="s">
        <v>32</v>
      </c>
      <c r="R200" t="s">
        <v>714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447</v>
      </c>
      <c r="Y200" t="s">
        <v>2547</v>
      </c>
      <c r="Z200" t="s">
        <v>126</v>
      </c>
      <c r="AA200" t="s">
        <v>2548</v>
      </c>
      <c r="AB200" t="s">
        <v>2549</v>
      </c>
      <c r="AC200" t="s">
        <v>1010</v>
      </c>
      <c r="AD200" t="s">
        <v>32</v>
      </c>
      <c r="AE200" t="s">
        <v>691</v>
      </c>
      <c r="AF200" t="s">
        <v>46835</v>
      </c>
    </row>
    <row r="201" spans="1:32" x14ac:dyDescent="0.2">
      <c r="A201">
        <v>196</v>
      </c>
      <c r="B201" t="s">
        <v>2550</v>
      </c>
      <c r="C201" t="s">
        <v>2551</v>
      </c>
      <c r="D201" t="s">
        <v>2552</v>
      </c>
      <c r="E201" t="s">
        <v>2553</v>
      </c>
      <c r="F201" t="s">
        <v>2554</v>
      </c>
      <c r="G201" t="s">
        <v>2555</v>
      </c>
      <c r="H201" t="str">
        <f>"H1-5"</f>
        <v>H1-5</v>
      </c>
      <c r="I201" t="s">
        <v>2556</v>
      </c>
      <c r="J201" t="s">
        <v>37</v>
      </c>
      <c r="K201">
        <v>10090</v>
      </c>
      <c r="L201" s="3" t="str">
        <f>HYPERLINK("http://www.uniprot.org/uniprot/P43276", "P43276")</f>
        <v>P43276</v>
      </c>
      <c r="M201" t="s">
        <v>2557</v>
      </c>
      <c r="N201" t="str">
        <f>"H1f5"</f>
        <v>H1f5</v>
      </c>
      <c r="O201" s="3" t="str">
        <f>HYPERLINK("http://www.informatics.jax.org/marker/MGI:1861461", "MGI:1861461")</f>
        <v>MGI:1861461</v>
      </c>
      <c r="P201" t="s">
        <v>2558</v>
      </c>
      <c r="Q201" t="s">
        <v>32</v>
      </c>
      <c r="R201" t="s">
        <v>1939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247</v>
      </c>
      <c r="Y201" t="s">
        <v>2559</v>
      </c>
      <c r="Z201" t="s">
        <v>32</v>
      </c>
      <c r="AA201" t="s">
        <v>2560</v>
      </c>
      <c r="AB201" t="s">
        <v>2561</v>
      </c>
      <c r="AC201" t="s">
        <v>2562</v>
      </c>
      <c r="AD201" t="s">
        <v>32</v>
      </c>
      <c r="AE201" t="s">
        <v>2563</v>
      </c>
      <c r="AF201" t="s">
        <v>46835</v>
      </c>
    </row>
    <row r="202" spans="1:32" x14ac:dyDescent="0.2">
      <c r="A202">
        <v>197</v>
      </c>
      <c r="B202" t="s">
        <v>2564</v>
      </c>
      <c r="C202" t="s">
        <v>2565</v>
      </c>
      <c r="D202" t="s">
        <v>2566</v>
      </c>
      <c r="E202" t="s">
        <v>2567</v>
      </c>
      <c r="F202" t="s">
        <v>2568</v>
      </c>
      <c r="G202" t="s">
        <v>2569</v>
      </c>
      <c r="H202" t="str">
        <f>"Eif2s1"</f>
        <v>Eif2s1</v>
      </c>
      <c r="I202" t="s">
        <v>2570</v>
      </c>
      <c r="J202" t="s">
        <v>37</v>
      </c>
      <c r="K202">
        <v>10090</v>
      </c>
      <c r="L202" s="3" t="str">
        <f>HYPERLINK("http://www.uniprot.org/uniprot/Q6ZWX6", "Q6ZWX6")</f>
        <v>Q6ZWX6</v>
      </c>
      <c r="M202" t="s">
        <v>2571</v>
      </c>
      <c r="N202" t="str">
        <f>"Eif2s1"</f>
        <v>Eif2s1</v>
      </c>
      <c r="O202" s="3" t="str">
        <f>HYPERLINK("http://www.informatics.jax.org/marker/MGI:95299", "MGI:95299")</f>
        <v>MGI:95299</v>
      </c>
      <c r="P202" t="s">
        <v>2572</v>
      </c>
      <c r="Q202" t="s">
        <v>2324</v>
      </c>
      <c r="R202" t="s">
        <v>418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1566</v>
      </c>
      <c r="Y202" t="s">
        <v>157</v>
      </c>
      <c r="Z202" t="s">
        <v>32</v>
      </c>
      <c r="AA202" t="s">
        <v>2573</v>
      </c>
      <c r="AB202" t="s">
        <v>2574</v>
      </c>
      <c r="AC202" t="s">
        <v>2575</v>
      </c>
      <c r="AD202" t="s">
        <v>32</v>
      </c>
      <c r="AE202" t="s">
        <v>2576</v>
      </c>
      <c r="AF202" t="s">
        <v>46835</v>
      </c>
    </row>
    <row r="203" spans="1:32" x14ac:dyDescent="0.2">
      <c r="A203">
        <v>198</v>
      </c>
      <c r="B203" t="s">
        <v>2577</v>
      </c>
      <c r="C203" t="s">
        <v>2578</v>
      </c>
      <c r="D203" t="s">
        <v>2579</v>
      </c>
      <c r="E203" t="s">
        <v>2580</v>
      </c>
      <c r="F203" t="s">
        <v>2581</v>
      </c>
      <c r="G203" t="s">
        <v>2582</v>
      </c>
      <c r="H203" t="str">
        <f>"Psmc3"</f>
        <v>Psmc3</v>
      </c>
      <c r="I203" t="s">
        <v>2583</v>
      </c>
      <c r="J203" t="s">
        <v>37</v>
      </c>
      <c r="K203">
        <v>10090</v>
      </c>
      <c r="L203" s="3" t="str">
        <f>HYPERLINK("http://www.uniprot.org/uniprot/O88685", "O88685")</f>
        <v>O88685</v>
      </c>
      <c r="M203" t="s">
        <v>2584</v>
      </c>
      <c r="N203" t="str">
        <f>"Psmc3"</f>
        <v>Psmc3</v>
      </c>
      <c r="O203" s="3" t="str">
        <f>HYPERLINK("http://www.informatics.jax.org/marker/MGI:1098754", "MGI:1098754")</f>
        <v>MGI:1098754</v>
      </c>
      <c r="P203" t="s">
        <v>2585</v>
      </c>
      <c r="Q203" t="s">
        <v>32</v>
      </c>
      <c r="R203" t="s">
        <v>2586</v>
      </c>
      <c r="S203" t="s">
        <v>32</v>
      </c>
      <c r="T203" t="s">
        <v>32</v>
      </c>
      <c r="U203" t="s">
        <v>32</v>
      </c>
      <c r="V203" t="s">
        <v>32</v>
      </c>
      <c r="W203" t="s">
        <v>205</v>
      </c>
      <c r="X203" t="s">
        <v>32</v>
      </c>
      <c r="Y203" t="s">
        <v>618</v>
      </c>
      <c r="Z203" t="s">
        <v>32</v>
      </c>
      <c r="AA203" t="s">
        <v>2587</v>
      </c>
      <c r="AB203" t="s">
        <v>2588</v>
      </c>
      <c r="AC203" t="s">
        <v>2589</v>
      </c>
      <c r="AD203" t="s">
        <v>32</v>
      </c>
      <c r="AE203" t="s">
        <v>2590</v>
      </c>
      <c r="AF203" t="s">
        <v>46835</v>
      </c>
    </row>
    <row r="204" spans="1:32" x14ac:dyDescent="0.2">
      <c r="A204">
        <v>199</v>
      </c>
      <c r="B204" t="s">
        <v>2591</v>
      </c>
      <c r="C204" t="s">
        <v>2592</v>
      </c>
      <c r="D204" t="s">
        <v>2593</v>
      </c>
      <c r="E204" t="s">
        <v>2594</v>
      </c>
      <c r="F204" t="s">
        <v>2595</v>
      </c>
      <c r="G204" t="s">
        <v>2596</v>
      </c>
      <c r="H204" t="str">
        <f>"Ctnnb1"</f>
        <v>Ctnnb1</v>
      </c>
      <c r="I204" t="s">
        <v>2597</v>
      </c>
      <c r="J204" t="s">
        <v>37</v>
      </c>
      <c r="K204">
        <v>10090</v>
      </c>
      <c r="L204" s="3" t="str">
        <f>HYPERLINK("http://www.uniprot.org/uniprot/Q02248", "Q02248")</f>
        <v>Q02248</v>
      </c>
      <c r="M204" t="s">
        <v>2598</v>
      </c>
      <c r="N204" t="str">
        <f>"Ctnnb1"</f>
        <v>Ctnnb1</v>
      </c>
      <c r="O204" s="3" t="str">
        <f>HYPERLINK("http://www.informatics.jax.org/marker/MGI:88276", "MGI:88276")</f>
        <v>MGI:88276</v>
      </c>
      <c r="P204" t="s">
        <v>2599</v>
      </c>
      <c r="Q204" t="s">
        <v>2600</v>
      </c>
      <c r="R204" t="s">
        <v>2601</v>
      </c>
      <c r="S204" t="s">
        <v>32</v>
      </c>
      <c r="T204" t="s">
        <v>32</v>
      </c>
      <c r="U204" t="s">
        <v>32</v>
      </c>
      <c r="V204" t="s">
        <v>55</v>
      </c>
      <c r="W204" t="s">
        <v>32</v>
      </c>
      <c r="X204" t="s">
        <v>2602</v>
      </c>
      <c r="Y204" t="s">
        <v>2603</v>
      </c>
      <c r="Z204" t="s">
        <v>126</v>
      </c>
      <c r="AA204" t="s">
        <v>2604</v>
      </c>
      <c r="AB204" t="s">
        <v>2605</v>
      </c>
      <c r="AC204" t="s">
        <v>2606</v>
      </c>
      <c r="AD204" t="s">
        <v>32</v>
      </c>
      <c r="AE204" t="s">
        <v>2607</v>
      </c>
      <c r="AF204" t="s">
        <v>46835</v>
      </c>
    </row>
    <row r="205" spans="1:32" x14ac:dyDescent="0.2">
      <c r="A205">
        <v>200</v>
      </c>
      <c r="B205" t="s">
        <v>2608</v>
      </c>
      <c r="C205" t="s">
        <v>2609</v>
      </c>
      <c r="D205" t="s">
        <v>32</v>
      </c>
      <c r="E205" t="s">
        <v>2610</v>
      </c>
      <c r="F205" t="s">
        <v>2611</v>
      </c>
      <c r="G205" t="s">
        <v>2612</v>
      </c>
      <c r="H205" t="str">
        <f>"Rps16"</f>
        <v>Rps16</v>
      </c>
      <c r="I205" t="s">
        <v>32</v>
      </c>
      <c r="J205" t="s">
        <v>37</v>
      </c>
      <c r="K205">
        <v>10090</v>
      </c>
      <c r="L205" s="3" t="str">
        <f>HYPERLINK("http://www.uniprot.org/uniprot/P14131", "P14131")</f>
        <v>P14131</v>
      </c>
      <c r="M205" t="s">
        <v>2613</v>
      </c>
      <c r="N205" t="str">
        <f>"Rps16"</f>
        <v>Rps16</v>
      </c>
      <c r="O205" s="3" t="str">
        <f>HYPERLINK("http://www.informatics.jax.org/marker/MGI:98118", "MGI:98118")</f>
        <v>MGI:98118</v>
      </c>
      <c r="P205" t="s">
        <v>2614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447</v>
      </c>
      <c r="Y205" t="s">
        <v>157</v>
      </c>
      <c r="Z205" t="s">
        <v>126</v>
      </c>
      <c r="AA205" t="s">
        <v>2615</v>
      </c>
      <c r="AB205" t="s">
        <v>2616</v>
      </c>
      <c r="AC205" t="s">
        <v>1056</v>
      </c>
      <c r="AD205" t="s">
        <v>32</v>
      </c>
      <c r="AE205" t="s">
        <v>691</v>
      </c>
      <c r="AF205" t="s">
        <v>46835</v>
      </c>
    </row>
    <row r="206" spans="1:32" x14ac:dyDescent="0.2">
      <c r="A206">
        <v>201</v>
      </c>
      <c r="B206" t="s">
        <v>2617</v>
      </c>
      <c r="C206" t="s">
        <v>2618</v>
      </c>
      <c r="D206" t="s">
        <v>2619</v>
      </c>
      <c r="E206" t="s">
        <v>2620</v>
      </c>
      <c r="F206" t="s">
        <v>2621</v>
      </c>
      <c r="G206" t="s">
        <v>32</v>
      </c>
      <c r="H206" t="str">
        <f>"Hspb1"</f>
        <v>Hspb1</v>
      </c>
      <c r="I206" t="s">
        <v>2622</v>
      </c>
      <c r="J206" t="s">
        <v>37</v>
      </c>
      <c r="K206">
        <v>10090</v>
      </c>
      <c r="L206" s="3" t="str">
        <f>HYPERLINK("http://www.uniprot.org/uniprot/P14602", "P14602")</f>
        <v>P14602</v>
      </c>
      <c r="M206" t="s">
        <v>2623</v>
      </c>
      <c r="N206" t="str">
        <f>"Hspb1"</f>
        <v>Hspb1</v>
      </c>
      <c r="O206" s="3" t="str">
        <f>HYPERLINK("http://www.informatics.jax.org/marker/MGI:96240", "MGI:96240")</f>
        <v>MGI:96240</v>
      </c>
      <c r="P206" t="s">
        <v>2624</v>
      </c>
      <c r="Q206" t="s">
        <v>386</v>
      </c>
      <c r="R206" t="s">
        <v>324</v>
      </c>
      <c r="S206" t="s">
        <v>41</v>
      </c>
      <c r="T206" t="s">
        <v>32</v>
      </c>
      <c r="U206" t="s">
        <v>32</v>
      </c>
      <c r="V206" t="s">
        <v>32</v>
      </c>
      <c r="W206" t="s">
        <v>32</v>
      </c>
      <c r="X206" t="s">
        <v>388</v>
      </c>
      <c r="Y206" t="s">
        <v>97</v>
      </c>
      <c r="Z206" t="s">
        <v>32</v>
      </c>
      <c r="AA206" t="s">
        <v>2625</v>
      </c>
      <c r="AB206" t="s">
        <v>2626</v>
      </c>
      <c r="AC206" t="s">
        <v>2627</v>
      </c>
      <c r="AD206" t="s">
        <v>32</v>
      </c>
      <c r="AE206" t="s">
        <v>2628</v>
      </c>
      <c r="AF206" t="s">
        <v>46835</v>
      </c>
    </row>
    <row r="207" spans="1:32" x14ac:dyDescent="0.2">
      <c r="A207">
        <v>202</v>
      </c>
      <c r="B207" t="s">
        <v>2629</v>
      </c>
      <c r="C207" t="s">
        <v>2630</v>
      </c>
      <c r="D207" t="s">
        <v>2631</v>
      </c>
      <c r="E207" t="s">
        <v>2632</v>
      </c>
      <c r="F207" t="s">
        <v>2633</v>
      </c>
      <c r="G207" t="s">
        <v>32</v>
      </c>
      <c r="H207" t="str">
        <f>"H1-2"</f>
        <v>H1-2</v>
      </c>
      <c r="I207" t="s">
        <v>32</v>
      </c>
      <c r="J207" t="s">
        <v>37</v>
      </c>
      <c r="K207">
        <v>10090</v>
      </c>
      <c r="L207" s="3" t="str">
        <f>HYPERLINK("http://www.uniprot.org/uniprot/P15864", "P15864")</f>
        <v>P15864</v>
      </c>
      <c r="M207" t="s">
        <v>2634</v>
      </c>
      <c r="N207" t="str">
        <f>"H1f2"</f>
        <v>H1f2</v>
      </c>
      <c r="O207" s="3" t="str">
        <f>HYPERLINK("http://www.informatics.jax.org/marker/MGI:1931526", "MGI:1931526")</f>
        <v>MGI:1931526</v>
      </c>
      <c r="P207" t="s">
        <v>2635</v>
      </c>
      <c r="Q207" t="s">
        <v>32</v>
      </c>
      <c r="R207" t="s">
        <v>1939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247</v>
      </c>
      <c r="Y207" t="s">
        <v>2636</v>
      </c>
      <c r="Z207" t="s">
        <v>32</v>
      </c>
      <c r="AA207" t="s">
        <v>2637</v>
      </c>
      <c r="AB207" t="s">
        <v>2638</v>
      </c>
      <c r="AC207" t="s">
        <v>2639</v>
      </c>
      <c r="AD207" t="s">
        <v>32</v>
      </c>
      <c r="AE207" t="s">
        <v>32</v>
      </c>
      <c r="AF207" t="s">
        <v>46835</v>
      </c>
    </row>
    <row r="208" spans="1:32" x14ac:dyDescent="0.2">
      <c r="A208">
        <v>203</v>
      </c>
      <c r="B208" t="s">
        <v>2640</v>
      </c>
      <c r="C208" t="s">
        <v>2641</v>
      </c>
      <c r="D208" t="s">
        <v>2642</v>
      </c>
      <c r="E208" t="s">
        <v>2643</v>
      </c>
      <c r="F208" t="s">
        <v>2644</v>
      </c>
      <c r="G208" t="s">
        <v>2645</v>
      </c>
      <c r="H208" t="str">
        <f>"Serbp1"</f>
        <v>Serbp1</v>
      </c>
      <c r="I208" t="s">
        <v>2646</v>
      </c>
      <c r="J208" t="s">
        <v>37</v>
      </c>
      <c r="K208">
        <v>10090</v>
      </c>
      <c r="L208" s="3" t="str">
        <f>HYPERLINK("http://www.uniprot.org/uniprot/Q9CY58", "Q9CY58")</f>
        <v>Q9CY58</v>
      </c>
      <c r="M208" t="s">
        <v>2647</v>
      </c>
      <c r="N208" t="str">
        <f>"Serbp1"</f>
        <v>Serbp1</v>
      </c>
      <c r="O208" s="3" t="str">
        <f>HYPERLINK("http://www.informatics.jax.org/marker/MGI:1914120", "MGI:1914120")</f>
        <v>MGI:1914120</v>
      </c>
      <c r="P208" t="s">
        <v>2648</v>
      </c>
      <c r="Q208" t="s">
        <v>32</v>
      </c>
      <c r="R208" t="s">
        <v>40</v>
      </c>
      <c r="S208" t="s">
        <v>41</v>
      </c>
      <c r="T208" t="s">
        <v>32</v>
      </c>
      <c r="U208" t="s">
        <v>32</v>
      </c>
      <c r="V208" t="s">
        <v>32</v>
      </c>
      <c r="W208" t="s">
        <v>32</v>
      </c>
      <c r="X208" t="s">
        <v>1282</v>
      </c>
      <c r="Y208" t="s">
        <v>207</v>
      </c>
      <c r="Z208" t="s">
        <v>126</v>
      </c>
      <c r="AA208" t="s">
        <v>2649</v>
      </c>
      <c r="AB208" t="s">
        <v>2650</v>
      </c>
      <c r="AC208" t="s">
        <v>2651</v>
      </c>
      <c r="AD208" t="s">
        <v>32</v>
      </c>
      <c r="AE208" t="s">
        <v>32</v>
      </c>
      <c r="AF208" t="s">
        <v>46835</v>
      </c>
    </row>
    <row r="209" spans="1:32" x14ac:dyDescent="0.2">
      <c r="A209">
        <v>204</v>
      </c>
      <c r="B209" t="s">
        <v>2652</v>
      </c>
      <c r="C209" t="s">
        <v>2653</v>
      </c>
      <c r="D209" t="s">
        <v>2654</v>
      </c>
      <c r="E209" t="s">
        <v>2655</v>
      </c>
      <c r="F209" t="s">
        <v>2656</v>
      </c>
      <c r="G209" t="s">
        <v>2657</v>
      </c>
      <c r="H209" t="str">
        <f>"Pebp1"</f>
        <v>Pebp1</v>
      </c>
      <c r="I209" t="s">
        <v>2658</v>
      </c>
      <c r="J209" t="s">
        <v>37</v>
      </c>
      <c r="K209">
        <v>10090</v>
      </c>
      <c r="L209" s="3" t="str">
        <f>HYPERLINK("http://www.uniprot.org/uniprot/P70296", "P70296")</f>
        <v>P70296</v>
      </c>
      <c r="M209" t="s">
        <v>2659</v>
      </c>
      <c r="N209" t="str">
        <f>"Pebp1"</f>
        <v>Pebp1</v>
      </c>
      <c r="O209" s="3" t="str">
        <f>HYPERLINK("http://www.informatics.jax.org/marker/MGI:1344408", "MGI:1344408")</f>
        <v>MGI:1344408</v>
      </c>
      <c r="P209" t="s">
        <v>2660</v>
      </c>
      <c r="Q209" t="s">
        <v>32</v>
      </c>
      <c r="R209" t="s">
        <v>418</v>
      </c>
      <c r="S209" t="s">
        <v>32</v>
      </c>
      <c r="T209" t="s">
        <v>32</v>
      </c>
      <c r="U209" t="s">
        <v>32</v>
      </c>
      <c r="V209" t="s">
        <v>32</v>
      </c>
      <c r="W209" t="s">
        <v>730</v>
      </c>
      <c r="X209" t="s">
        <v>2661</v>
      </c>
      <c r="Y209" t="s">
        <v>480</v>
      </c>
      <c r="Z209" t="s">
        <v>126</v>
      </c>
      <c r="AA209" t="s">
        <v>2662</v>
      </c>
      <c r="AB209" t="s">
        <v>2663</v>
      </c>
      <c r="AC209" t="s">
        <v>2664</v>
      </c>
      <c r="AD209" t="s">
        <v>32</v>
      </c>
      <c r="AE209" t="s">
        <v>2665</v>
      </c>
      <c r="AF209" t="s">
        <v>46835</v>
      </c>
    </row>
    <row r="210" spans="1:32" x14ac:dyDescent="0.2">
      <c r="A210">
        <v>205</v>
      </c>
      <c r="B210" t="s">
        <v>2666</v>
      </c>
      <c r="C210" t="s">
        <v>2667</v>
      </c>
      <c r="D210" t="s">
        <v>2668</v>
      </c>
      <c r="E210" t="s">
        <v>2669</v>
      </c>
      <c r="F210" t="s">
        <v>2670</v>
      </c>
      <c r="G210" t="s">
        <v>2671</v>
      </c>
      <c r="H210" t="str">
        <f>"Eif3c"</f>
        <v>Eif3c</v>
      </c>
      <c r="I210" t="s">
        <v>2672</v>
      </c>
      <c r="J210" t="s">
        <v>37</v>
      </c>
      <c r="K210">
        <v>10090</v>
      </c>
      <c r="L210" s="3" t="str">
        <f>HYPERLINK("http://www.uniprot.org/uniprot/Q8R1B4", "Q8R1B4")</f>
        <v>Q8R1B4</v>
      </c>
      <c r="M210" t="s">
        <v>2673</v>
      </c>
      <c r="N210" t="str">
        <f>"Eif3c"</f>
        <v>Eif3c</v>
      </c>
      <c r="O210" s="3" t="str">
        <f>HYPERLINK("http://www.informatics.jax.org/marker/MGI:1926966", "MGI:1926966")</f>
        <v>MGI:1926966</v>
      </c>
      <c r="P210" t="s">
        <v>2674</v>
      </c>
      <c r="Q210" t="s">
        <v>260</v>
      </c>
      <c r="R210" t="s">
        <v>418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2675</v>
      </c>
      <c r="Y210" t="s">
        <v>157</v>
      </c>
      <c r="Z210" t="s">
        <v>32</v>
      </c>
      <c r="AA210" t="s">
        <v>2676</v>
      </c>
      <c r="AB210" t="s">
        <v>2677</v>
      </c>
      <c r="AC210" t="s">
        <v>2678</v>
      </c>
      <c r="AD210" t="s">
        <v>32</v>
      </c>
      <c r="AE210" t="s">
        <v>1570</v>
      </c>
      <c r="AF210" t="s">
        <v>46835</v>
      </c>
    </row>
    <row r="211" spans="1:32" x14ac:dyDescent="0.2">
      <c r="A211">
        <v>206</v>
      </c>
      <c r="B211" t="s">
        <v>2679</v>
      </c>
      <c r="C211" t="s">
        <v>2680</v>
      </c>
      <c r="D211" t="s">
        <v>2681</v>
      </c>
      <c r="E211" t="s">
        <v>2682</v>
      </c>
      <c r="F211" t="s">
        <v>2683</v>
      </c>
      <c r="G211" t="s">
        <v>2684</v>
      </c>
      <c r="H211" t="str">
        <f>"Glo1"</f>
        <v>Glo1</v>
      </c>
      <c r="I211" t="s">
        <v>32</v>
      </c>
      <c r="J211" t="s">
        <v>37</v>
      </c>
      <c r="K211">
        <v>10090</v>
      </c>
      <c r="L211" s="3" t="str">
        <f>HYPERLINK("http://www.uniprot.org/uniprot/Q9CPU0", "Q9CPU0")</f>
        <v>Q9CPU0</v>
      </c>
      <c r="M211" t="s">
        <v>2685</v>
      </c>
      <c r="N211" t="str">
        <f>"Glo1"</f>
        <v>Glo1</v>
      </c>
      <c r="O211" s="3" t="str">
        <f>HYPERLINK("http://www.informatics.jax.org/marker/MGI:95742", "MGI:95742")</f>
        <v>MGI:95742</v>
      </c>
      <c r="P211" t="s">
        <v>2686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42</v>
      </c>
      <c r="X211" t="s">
        <v>224</v>
      </c>
      <c r="Y211" t="s">
        <v>2687</v>
      </c>
      <c r="Z211" t="s">
        <v>126</v>
      </c>
      <c r="AA211" t="s">
        <v>2688</v>
      </c>
      <c r="AB211" t="s">
        <v>2689</v>
      </c>
      <c r="AC211" t="s">
        <v>2690</v>
      </c>
      <c r="AD211" t="s">
        <v>2691</v>
      </c>
      <c r="AE211" t="s">
        <v>1188</v>
      </c>
      <c r="AF211" t="s">
        <v>46835</v>
      </c>
    </row>
    <row r="212" spans="1:32" x14ac:dyDescent="0.2">
      <c r="A212">
        <v>207</v>
      </c>
      <c r="B212" t="s">
        <v>2692</v>
      </c>
      <c r="C212" t="s">
        <v>2693</v>
      </c>
      <c r="D212" t="s">
        <v>2694</v>
      </c>
      <c r="E212" t="s">
        <v>2695</v>
      </c>
      <c r="F212" t="s">
        <v>2696</v>
      </c>
      <c r="G212" t="s">
        <v>2697</v>
      </c>
      <c r="H212" t="str">
        <f>"Rnh1"</f>
        <v>Rnh1</v>
      </c>
      <c r="I212" t="s">
        <v>2698</v>
      </c>
      <c r="J212" t="s">
        <v>37</v>
      </c>
      <c r="K212">
        <v>10090</v>
      </c>
      <c r="L212" s="3" t="str">
        <f>HYPERLINK("http://www.uniprot.org/uniprot/Q91VI7", "Q91VI7")</f>
        <v>Q91VI7</v>
      </c>
      <c r="M212" t="s">
        <v>2699</v>
      </c>
      <c r="N212" t="str">
        <f>"Rnh1"</f>
        <v>Rnh1</v>
      </c>
      <c r="O212" s="3" t="str">
        <f>HYPERLINK("http://www.informatics.jax.org/marker/MGI:1195456", "MGI:1195456")</f>
        <v>MGI:1195456</v>
      </c>
      <c r="P212" t="s">
        <v>2700</v>
      </c>
      <c r="Q212" t="s">
        <v>32</v>
      </c>
      <c r="R212" t="s">
        <v>418</v>
      </c>
      <c r="S212" t="s">
        <v>32</v>
      </c>
      <c r="T212" t="s">
        <v>32</v>
      </c>
      <c r="U212" t="s">
        <v>32</v>
      </c>
      <c r="V212" t="s">
        <v>2701</v>
      </c>
      <c r="W212" t="s">
        <v>32</v>
      </c>
      <c r="X212" t="s">
        <v>32</v>
      </c>
      <c r="Y212" t="s">
        <v>157</v>
      </c>
      <c r="Z212" t="s">
        <v>126</v>
      </c>
      <c r="AA212" t="s">
        <v>2702</v>
      </c>
      <c r="AB212" t="s">
        <v>2703</v>
      </c>
      <c r="AC212" t="s">
        <v>2704</v>
      </c>
      <c r="AD212" t="s">
        <v>32</v>
      </c>
      <c r="AE212" t="s">
        <v>32</v>
      </c>
      <c r="AF212" t="s">
        <v>46835</v>
      </c>
    </row>
    <row r="213" spans="1:32" x14ac:dyDescent="0.2">
      <c r="A213">
        <v>208</v>
      </c>
      <c r="B213" t="s">
        <v>2705</v>
      </c>
      <c r="C213" t="s">
        <v>2706</v>
      </c>
      <c r="D213" t="s">
        <v>2707</v>
      </c>
      <c r="E213" t="s">
        <v>2708</v>
      </c>
      <c r="F213" t="s">
        <v>2709</v>
      </c>
      <c r="G213" t="s">
        <v>2710</v>
      </c>
      <c r="H213" t="str">
        <f>"Ran"</f>
        <v>Ran</v>
      </c>
      <c r="I213" t="s">
        <v>2711</v>
      </c>
      <c r="J213" t="s">
        <v>37</v>
      </c>
      <c r="K213">
        <v>10090</v>
      </c>
      <c r="L213" s="3" t="str">
        <f>HYPERLINK("http://www.uniprot.org/uniprot/P62827", "P62827")</f>
        <v>P62827</v>
      </c>
      <c r="M213" t="s">
        <v>2712</v>
      </c>
      <c r="N213" t="str">
        <f>"Ran"</f>
        <v>Ran</v>
      </c>
      <c r="O213" s="3" t="str">
        <f>HYPERLINK("http://www.informatics.jax.org/marker/MGI:1333112", "MGI:1333112")</f>
        <v>MGI:1333112</v>
      </c>
      <c r="P213" t="s">
        <v>2713</v>
      </c>
      <c r="Q213" t="s">
        <v>2714</v>
      </c>
      <c r="R213" t="s">
        <v>40</v>
      </c>
      <c r="S213" t="s">
        <v>32</v>
      </c>
      <c r="T213" t="s">
        <v>32</v>
      </c>
      <c r="U213" t="s">
        <v>32</v>
      </c>
      <c r="V213" t="s">
        <v>32</v>
      </c>
      <c r="W213" t="s">
        <v>342</v>
      </c>
      <c r="X213" t="s">
        <v>343</v>
      </c>
      <c r="Y213" t="s">
        <v>516</v>
      </c>
      <c r="Z213" t="s">
        <v>32</v>
      </c>
      <c r="AA213" t="s">
        <v>2715</v>
      </c>
      <c r="AB213" t="s">
        <v>2716</v>
      </c>
      <c r="AC213" t="s">
        <v>2717</v>
      </c>
      <c r="AD213" t="s">
        <v>32</v>
      </c>
      <c r="AE213" t="s">
        <v>2718</v>
      </c>
      <c r="AF213" t="s">
        <v>46835</v>
      </c>
    </row>
    <row r="214" spans="1:32" x14ac:dyDescent="0.2">
      <c r="A214">
        <v>209</v>
      </c>
      <c r="B214" t="s">
        <v>2719</v>
      </c>
      <c r="C214" t="s">
        <v>2720</v>
      </c>
      <c r="D214" t="s">
        <v>32</v>
      </c>
      <c r="E214" t="s">
        <v>2721</v>
      </c>
      <c r="F214" t="s">
        <v>2722</v>
      </c>
      <c r="G214" t="s">
        <v>32</v>
      </c>
      <c r="H214" t="str">
        <f>"Rpl35a"</f>
        <v>Rpl35a</v>
      </c>
      <c r="I214" t="s">
        <v>32</v>
      </c>
      <c r="J214" t="s">
        <v>37</v>
      </c>
      <c r="K214">
        <v>10090</v>
      </c>
      <c r="L214" s="3" t="str">
        <f>HYPERLINK("http://www.uniprot.org/uniprot/O55142", "O55142")</f>
        <v>O55142</v>
      </c>
      <c r="M214" t="s">
        <v>2723</v>
      </c>
      <c r="N214" t="str">
        <f>"Rpl35a"</f>
        <v>Rpl35a</v>
      </c>
      <c r="O214" s="3" t="str">
        <f>HYPERLINK("http://www.informatics.jax.org/marker/MGI:1928894", "MGI:1928894")</f>
        <v>MGI:1928894</v>
      </c>
      <c r="P214" t="s">
        <v>1867</v>
      </c>
      <c r="Q214" t="s">
        <v>32</v>
      </c>
      <c r="R214" t="s">
        <v>418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447</v>
      </c>
      <c r="Y214" t="s">
        <v>78</v>
      </c>
      <c r="Z214" t="s">
        <v>126</v>
      </c>
      <c r="AA214" t="s">
        <v>2256</v>
      </c>
      <c r="AB214" t="s">
        <v>2724</v>
      </c>
      <c r="AC214" t="s">
        <v>1010</v>
      </c>
      <c r="AD214" t="s">
        <v>32</v>
      </c>
      <c r="AE214" t="s">
        <v>765</v>
      </c>
      <c r="AF214" t="s">
        <v>46835</v>
      </c>
    </row>
    <row r="215" spans="1:32" x14ac:dyDescent="0.2">
      <c r="A215">
        <v>210</v>
      </c>
      <c r="B215" t="s">
        <v>2725</v>
      </c>
      <c r="C215" t="s">
        <v>2726</v>
      </c>
      <c r="D215" t="s">
        <v>2727</v>
      </c>
      <c r="E215" t="s">
        <v>2728</v>
      </c>
      <c r="F215" t="s">
        <v>2729</v>
      </c>
      <c r="G215" t="s">
        <v>2730</v>
      </c>
      <c r="H215" t="str">
        <f>"Atxn10"</f>
        <v>Atxn10</v>
      </c>
      <c r="I215" t="s">
        <v>2731</v>
      </c>
      <c r="J215" t="s">
        <v>37</v>
      </c>
      <c r="K215">
        <v>10090</v>
      </c>
      <c r="L215" s="3" t="str">
        <f>HYPERLINK("http://www.uniprot.org/uniprot/P28658", "P28658")</f>
        <v>P28658</v>
      </c>
      <c r="M215" t="s">
        <v>2732</v>
      </c>
      <c r="N215" t="str">
        <f>"Atxn10"</f>
        <v>Atxn10</v>
      </c>
      <c r="O215" s="3" t="str">
        <f>HYPERLINK("http://www.informatics.jax.org/marker/MGI:1859293", "MGI:1859293")</f>
        <v>MGI:1859293</v>
      </c>
      <c r="P215" t="s">
        <v>2733</v>
      </c>
      <c r="Q215" t="s">
        <v>32</v>
      </c>
      <c r="R215" t="s">
        <v>418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t="s">
        <v>2734</v>
      </c>
      <c r="Z215" t="s">
        <v>32</v>
      </c>
      <c r="AA215" t="s">
        <v>2735</v>
      </c>
      <c r="AB215" t="s">
        <v>2736</v>
      </c>
      <c r="AC215" t="s">
        <v>2737</v>
      </c>
      <c r="AD215" t="s">
        <v>32</v>
      </c>
      <c r="AE215" t="s">
        <v>32</v>
      </c>
      <c r="AF215" t="s">
        <v>46835</v>
      </c>
    </row>
    <row r="216" spans="1:32" x14ac:dyDescent="0.2">
      <c r="A216">
        <v>211</v>
      </c>
      <c r="B216" t="s">
        <v>2738</v>
      </c>
      <c r="C216" t="s">
        <v>2739</v>
      </c>
      <c r="D216" t="s">
        <v>32</v>
      </c>
      <c r="E216" t="s">
        <v>2740</v>
      </c>
      <c r="F216" t="s">
        <v>2741</v>
      </c>
      <c r="G216" t="s">
        <v>2742</v>
      </c>
      <c r="H216" t="str">
        <f>"Taldo1"</f>
        <v>Taldo1</v>
      </c>
      <c r="I216" t="s">
        <v>2743</v>
      </c>
      <c r="J216" t="s">
        <v>37</v>
      </c>
      <c r="K216">
        <v>10090</v>
      </c>
      <c r="L216" s="3" t="str">
        <f>HYPERLINK("http://www.uniprot.org/uniprot/Q93092", "Q93092")</f>
        <v>Q93092</v>
      </c>
      <c r="M216" t="s">
        <v>2744</v>
      </c>
      <c r="N216" t="str">
        <f>"Taldo1"</f>
        <v>Taldo1</v>
      </c>
      <c r="O216" s="3" t="str">
        <f>HYPERLINK("http://www.informatics.jax.org/marker/MGI:1274789", "MGI:1274789")</f>
        <v>MGI:1274789</v>
      </c>
      <c r="P216" t="s">
        <v>2745</v>
      </c>
      <c r="Q216" t="s">
        <v>2746</v>
      </c>
      <c r="R216" t="s">
        <v>40</v>
      </c>
      <c r="S216" t="s">
        <v>477</v>
      </c>
      <c r="T216" t="s">
        <v>32</v>
      </c>
      <c r="U216" t="s">
        <v>32</v>
      </c>
      <c r="V216" t="s">
        <v>32</v>
      </c>
      <c r="W216" t="s">
        <v>981</v>
      </c>
      <c r="X216" t="s">
        <v>515</v>
      </c>
      <c r="Y216" t="s">
        <v>157</v>
      </c>
      <c r="Z216" t="s">
        <v>126</v>
      </c>
      <c r="AA216" t="s">
        <v>2747</v>
      </c>
      <c r="AB216" t="s">
        <v>2748</v>
      </c>
      <c r="AC216" t="s">
        <v>2749</v>
      </c>
      <c r="AD216" t="s">
        <v>2750</v>
      </c>
      <c r="AE216" t="s">
        <v>520</v>
      </c>
      <c r="AF216" t="s">
        <v>46835</v>
      </c>
    </row>
    <row r="217" spans="1:32" x14ac:dyDescent="0.2">
      <c r="A217">
        <v>212</v>
      </c>
      <c r="B217" t="s">
        <v>2751</v>
      </c>
      <c r="C217" t="s">
        <v>2752</v>
      </c>
      <c r="D217" t="s">
        <v>32</v>
      </c>
      <c r="E217" t="s">
        <v>2753</v>
      </c>
      <c r="F217" t="s">
        <v>2754</v>
      </c>
      <c r="G217" t="s">
        <v>2755</v>
      </c>
      <c r="H217" t="str">
        <f>"Tubb5"</f>
        <v>Tubb5</v>
      </c>
      <c r="I217" t="s">
        <v>32</v>
      </c>
      <c r="J217" t="s">
        <v>37</v>
      </c>
      <c r="K217">
        <v>10090</v>
      </c>
      <c r="L217" s="3" t="str">
        <f>HYPERLINK("http://www.uniprot.org/uniprot/P99024", "P99024")</f>
        <v>P99024</v>
      </c>
      <c r="M217" t="s">
        <v>2756</v>
      </c>
      <c r="N217" t="str">
        <f>"Tubb5"</f>
        <v>Tubb5</v>
      </c>
      <c r="O217" s="3" t="str">
        <f>HYPERLINK("http://www.informatics.jax.org/marker/MGI:107812", "MGI:107812")</f>
        <v>MGI:107812</v>
      </c>
      <c r="P217" t="s">
        <v>2757</v>
      </c>
      <c r="Q217" t="s">
        <v>32</v>
      </c>
      <c r="R217" t="s">
        <v>341</v>
      </c>
      <c r="S217" t="s">
        <v>32</v>
      </c>
      <c r="T217" t="s">
        <v>32</v>
      </c>
      <c r="U217" t="s">
        <v>32</v>
      </c>
      <c r="V217" t="s">
        <v>32</v>
      </c>
      <c r="W217" t="s">
        <v>342</v>
      </c>
      <c r="X217" t="s">
        <v>32</v>
      </c>
      <c r="Y217" t="s">
        <v>207</v>
      </c>
      <c r="Z217" t="s">
        <v>32</v>
      </c>
      <c r="AA217" t="s">
        <v>2758</v>
      </c>
      <c r="AB217" t="s">
        <v>2759</v>
      </c>
      <c r="AC217" t="s">
        <v>2760</v>
      </c>
      <c r="AD217" t="s">
        <v>32</v>
      </c>
      <c r="AE217" t="s">
        <v>2761</v>
      </c>
      <c r="AF217" t="s">
        <v>46835</v>
      </c>
    </row>
    <row r="218" spans="1:32" x14ac:dyDescent="0.2">
      <c r="A218">
        <v>213</v>
      </c>
      <c r="B218" t="s">
        <v>2762</v>
      </c>
      <c r="C218" t="s">
        <v>2763</v>
      </c>
      <c r="D218" t="s">
        <v>2764</v>
      </c>
      <c r="E218" t="s">
        <v>2765</v>
      </c>
      <c r="F218" t="s">
        <v>2766</v>
      </c>
      <c r="G218" t="s">
        <v>2767</v>
      </c>
      <c r="H218" t="str">
        <f>"Psmc5"</f>
        <v>Psmc5</v>
      </c>
      <c r="I218" t="s">
        <v>2768</v>
      </c>
      <c r="J218" t="s">
        <v>37</v>
      </c>
      <c r="K218">
        <v>10090</v>
      </c>
      <c r="L218" s="3" t="str">
        <f>HYPERLINK("http://www.uniprot.org/uniprot/P62196", "P62196")</f>
        <v>P62196</v>
      </c>
      <c r="M218" t="s">
        <v>2769</v>
      </c>
      <c r="N218" t="str">
        <f>"Psmc5"</f>
        <v>Psmc5</v>
      </c>
      <c r="O218" s="3" t="str">
        <f>HYPERLINK("http://www.informatics.jax.org/marker/MGI:105047", "MGI:105047")</f>
        <v>MGI:105047</v>
      </c>
      <c r="P218" t="s">
        <v>2770</v>
      </c>
      <c r="Q218" t="s">
        <v>32</v>
      </c>
      <c r="R218" t="s">
        <v>2586</v>
      </c>
      <c r="S218" t="s">
        <v>32</v>
      </c>
      <c r="T218" t="s">
        <v>32</v>
      </c>
      <c r="U218" t="s">
        <v>32</v>
      </c>
      <c r="V218" t="s">
        <v>32</v>
      </c>
      <c r="W218" t="s">
        <v>205</v>
      </c>
      <c r="X218" t="s">
        <v>32</v>
      </c>
      <c r="Y218" t="s">
        <v>157</v>
      </c>
      <c r="Z218" t="s">
        <v>32</v>
      </c>
      <c r="AA218" t="s">
        <v>2771</v>
      </c>
      <c r="AB218" t="s">
        <v>2772</v>
      </c>
      <c r="AC218" t="s">
        <v>2773</v>
      </c>
      <c r="AD218" t="s">
        <v>32</v>
      </c>
      <c r="AE218" t="s">
        <v>2774</v>
      </c>
      <c r="AF218" t="s">
        <v>46835</v>
      </c>
    </row>
    <row r="219" spans="1:32" x14ac:dyDescent="0.2">
      <c r="A219">
        <v>214</v>
      </c>
      <c r="B219" t="s">
        <v>2775</v>
      </c>
      <c r="C219" t="s">
        <v>2776</v>
      </c>
      <c r="D219" t="s">
        <v>2777</v>
      </c>
      <c r="E219" t="s">
        <v>2778</v>
      </c>
      <c r="F219" t="s">
        <v>2779</v>
      </c>
      <c r="G219" t="s">
        <v>2780</v>
      </c>
      <c r="H219" t="str">
        <f>"Nid1"</f>
        <v>Nid1</v>
      </c>
      <c r="I219" t="s">
        <v>2781</v>
      </c>
      <c r="J219" t="s">
        <v>37</v>
      </c>
      <c r="K219">
        <v>10090</v>
      </c>
      <c r="L219" s="3" t="str">
        <f>HYPERLINK("http://www.uniprot.org/uniprot/P10493", "P10493")</f>
        <v>P10493</v>
      </c>
      <c r="M219" t="s">
        <v>2782</v>
      </c>
      <c r="N219" t="str">
        <f>"Nid1"</f>
        <v>Nid1</v>
      </c>
      <c r="O219" s="3" t="str">
        <f>HYPERLINK("http://www.informatics.jax.org/marker/MGI:97342", "MGI:97342")</f>
        <v>MGI:97342</v>
      </c>
      <c r="P219" t="s">
        <v>2783</v>
      </c>
      <c r="Q219" t="s">
        <v>2784</v>
      </c>
      <c r="R219" t="s">
        <v>2785</v>
      </c>
      <c r="S219" t="s">
        <v>32</v>
      </c>
      <c r="T219" t="s">
        <v>32</v>
      </c>
      <c r="U219" t="s">
        <v>32</v>
      </c>
      <c r="V219" t="s">
        <v>2786</v>
      </c>
      <c r="W219" t="s">
        <v>1380</v>
      </c>
      <c r="X219" t="s">
        <v>32</v>
      </c>
      <c r="Y219" t="s">
        <v>2787</v>
      </c>
      <c r="Z219" t="s">
        <v>126</v>
      </c>
      <c r="AA219" t="s">
        <v>2788</v>
      </c>
      <c r="AB219" t="s">
        <v>2789</v>
      </c>
      <c r="AC219" t="s">
        <v>2790</v>
      </c>
      <c r="AD219" t="s">
        <v>32</v>
      </c>
      <c r="AE219" t="s">
        <v>2791</v>
      </c>
      <c r="AF219" t="s">
        <v>46835</v>
      </c>
    </row>
    <row r="220" spans="1:32" x14ac:dyDescent="0.2">
      <c r="A220">
        <v>215</v>
      </c>
      <c r="B220" t="s">
        <v>2792</v>
      </c>
      <c r="C220" t="s">
        <v>2793</v>
      </c>
      <c r="D220" t="s">
        <v>32</v>
      </c>
      <c r="E220" t="s">
        <v>2794</v>
      </c>
      <c r="F220" t="s">
        <v>2795</v>
      </c>
      <c r="G220" t="s">
        <v>2796</v>
      </c>
      <c r="H220" t="str">
        <f>"Tln1"</f>
        <v>Tln1</v>
      </c>
      <c r="I220" t="s">
        <v>2797</v>
      </c>
      <c r="J220" t="s">
        <v>37</v>
      </c>
      <c r="K220">
        <v>10090</v>
      </c>
      <c r="L220" s="3" t="str">
        <f>HYPERLINK("http://www.uniprot.org/uniprot/P26039", "P26039")</f>
        <v>P26039</v>
      </c>
      <c r="M220" t="s">
        <v>2798</v>
      </c>
      <c r="N220" t="str">
        <f>"Tln1"</f>
        <v>Tln1</v>
      </c>
      <c r="O220" s="3" t="str">
        <f>HYPERLINK("http://www.informatics.jax.org/marker/MGI:1099832", "MGI:1099832")</f>
        <v>MGI:1099832</v>
      </c>
      <c r="P220" t="s">
        <v>2799</v>
      </c>
      <c r="Q220" t="s">
        <v>32</v>
      </c>
      <c r="R220" t="s">
        <v>2800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157</v>
      </c>
      <c r="Z220" t="s">
        <v>126</v>
      </c>
      <c r="AA220" t="s">
        <v>2801</v>
      </c>
      <c r="AB220" t="s">
        <v>2802</v>
      </c>
      <c r="AC220" t="s">
        <v>2803</v>
      </c>
      <c r="AD220" t="s">
        <v>32</v>
      </c>
      <c r="AE220" t="s">
        <v>2804</v>
      </c>
      <c r="AF220" t="s">
        <v>46835</v>
      </c>
    </row>
    <row r="221" spans="1:32" x14ac:dyDescent="0.2">
      <c r="A221">
        <v>216</v>
      </c>
      <c r="B221" t="s">
        <v>2805</v>
      </c>
      <c r="C221" t="s">
        <v>2806</v>
      </c>
      <c r="D221" t="s">
        <v>2807</v>
      </c>
      <c r="E221" t="s">
        <v>2808</v>
      </c>
      <c r="F221" t="s">
        <v>2809</v>
      </c>
      <c r="G221" t="s">
        <v>2810</v>
      </c>
      <c r="H221" t="str">
        <f>"Rpl27a"</f>
        <v>Rpl27a</v>
      </c>
      <c r="I221" t="s">
        <v>32</v>
      </c>
      <c r="J221" t="s">
        <v>37</v>
      </c>
      <c r="K221">
        <v>10090</v>
      </c>
      <c r="L221" s="3" t="str">
        <f>HYPERLINK("http://www.uniprot.org/uniprot/P14115", "P14115")</f>
        <v>P14115</v>
      </c>
      <c r="M221" t="s">
        <v>2811</v>
      </c>
      <c r="N221" t="str">
        <f>"Rpl27a"</f>
        <v>Rpl27a</v>
      </c>
      <c r="O221" s="3" t="str">
        <f>HYPERLINK("http://www.informatics.jax.org/marker/MGI:1347076", "MGI:1347076")</f>
        <v>MGI:1347076</v>
      </c>
      <c r="P221" t="s">
        <v>2812</v>
      </c>
      <c r="Q221" t="s">
        <v>32</v>
      </c>
      <c r="R221" t="s">
        <v>418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447</v>
      </c>
      <c r="Y221" t="s">
        <v>420</v>
      </c>
      <c r="Z221" t="s">
        <v>126</v>
      </c>
      <c r="AA221" t="s">
        <v>1792</v>
      </c>
      <c r="AB221" t="s">
        <v>2813</v>
      </c>
      <c r="AC221" t="s">
        <v>1010</v>
      </c>
      <c r="AD221" t="s">
        <v>32</v>
      </c>
      <c r="AE221" t="s">
        <v>765</v>
      </c>
      <c r="AF221" t="s">
        <v>46835</v>
      </c>
    </row>
    <row r="222" spans="1:32" x14ac:dyDescent="0.2">
      <c r="A222">
        <v>217</v>
      </c>
      <c r="B222" t="s">
        <v>2814</v>
      </c>
      <c r="C222" t="s">
        <v>2815</v>
      </c>
      <c r="D222" t="s">
        <v>32</v>
      </c>
      <c r="E222" t="s">
        <v>2816</v>
      </c>
      <c r="F222" t="s">
        <v>2817</v>
      </c>
      <c r="G222" t="s">
        <v>2818</v>
      </c>
      <c r="H222" t="str">
        <f>"Cttn"</f>
        <v>Cttn</v>
      </c>
      <c r="I222" t="s">
        <v>2819</v>
      </c>
      <c r="J222" t="s">
        <v>37</v>
      </c>
      <c r="K222">
        <v>10090</v>
      </c>
      <c r="L222" s="3" t="str">
        <f>HYPERLINK("http://www.uniprot.org/uniprot/Q60598", "Q60598")</f>
        <v>Q60598</v>
      </c>
      <c r="M222" t="s">
        <v>2820</v>
      </c>
      <c r="N222" t="str">
        <f>"Cttn"</f>
        <v>Cttn</v>
      </c>
      <c r="O222" s="3" t="str">
        <f>HYPERLINK("http://www.informatics.jax.org/marker/MGI:99695", "MGI:99695")</f>
        <v>MGI:99695</v>
      </c>
      <c r="P222" t="s">
        <v>2821</v>
      </c>
      <c r="Q222" t="s">
        <v>2822</v>
      </c>
      <c r="R222" t="s">
        <v>2823</v>
      </c>
      <c r="S222" t="s">
        <v>32</v>
      </c>
      <c r="T222" t="s">
        <v>32</v>
      </c>
      <c r="U222" t="s">
        <v>32</v>
      </c>
      <c r="V222" t="s">
        <v>404</v>
      </c>
      <c r="W222" t="s">
        <v>32</v>
      </c>
      <c r="X222" t="s">
        <v>32</v>
      </c>
      <c r="Y222" t="s">
        <v>207</v>
      </c>
      <c r="Z222" t="s">
        <v>126</v>
      </c>
      <c r="AA222" t="s">
        <v>2824</v>
      </c>
      <c r="AB222" t="s">
        <v>2825</v>
      </c>
      <c r="AC222" t="s">
        <v>2826</v>
      </c>
      <c r="AD222" t="s">
        <v>32</v>
      </c>
      <c r="AE222" t="s">
        <v>32</v>
      </c>
      <c r="AF222" t="s">
        <v>46835</v>
      </c>
    </row>
    <row r="223" spans="1:32" x14ac:dyDescent="0.2">
      <c r="A223">
        <v>218</v>
      </c>
      <c r="B223" t="s">
        <v>2827</v>
      </c>
      <c r="C223" t="s">
        <v>2828</v>
      </c>
      <c r="D223" t="s">
        <v>2829</v>
      </c>
      <c r="E223" t="s">
        <v>2830</v>
      </c>
      <c r="F223" t="s">
        <v>2831</v>
      </c>
      <c r="G223" t="s">
        <v>2832</v>
      </c>
      <c r="H223" t="str">
        <f>"Nedd4"</f>
        <v>Nedd4</v>
      </c>
      <c r="I223" t="s">
        <v>32</v>
      </c>
      <c r="J223" t="s">
        <v>37</v>
      </c>
      <c r="K223">
        <v>10090</v>
      </c>
      <c r="L223" s="3" t="str">
        <f>HYPERLINK("http://www.uniprot.org/uniprot/P46935", "P46935")</f>
        <v>P46935</v>
      </c>
      <c r="M223" t="s">
        <v>2833</v>
      </c>
      <c r="N223" t="str">
        <f>"Nedd4"</f>
        <v>Nedd4</v>
      </c>
      <c r="O223" s="3" t="str">
        <f>HYPERLINK("http://www.informatics.jax.org/marker/MGI:97297", "MGI:97297")</f>
        <v>MGI:97297</v>
      </c>
      <c r="P223" t="s">
        <v>2834</v>
      </c>
      <c r="Q223" t="s">
        <v>2835</v>
      </c>
      <c r="R223" t="s">
        <v>276</v>
      </c>
      <c r="S223" t="s">
        <v>32</v>
      </c>
      <c r="T223" t="s">
        <v>32</v>
      </c>
      <c r="U223" t="s">
        <v>32</v>
      </c>
      <c r="V223" t="s">
        <v>55</v>
      </c>
      <c r="W223" t="s">
        <v>32</v>
      </c>
      <c r="X223" t="s">
        <v>515</v>
      </c>
      <c r="Y223" t="s">
        <v>2836</v>
      </c>
      <c r="Z223" t="s">
        <v>126</v>
      </c>
      <c r="AA223" t="s">
        <v>2837</v>
      </c>
      <c r="AB223" t="s">
        <v>2838</v>
      </c>
      <c r="AC223" t="s">
        <v>2839</v>
      </c>
      <c r="AD223" t="s">
        <v>1027</v>
      </c>
      <c r="AE223" t="s">
        <v>2840</v>
      </c>
      <c r="AF223" t="s">
        <v>46835</v>
      </c>
    </row>
    <row r="224" spans="1:32" x14ac:dyDescent="0.2">
      <c r="A224">
        <v>219</v>
      </c>
      <c r="B224" t="s">
        <v>2841</v>
      </c>
      <c r="C224" t="s">
        <v>2842</v>
      </c>
      <c r="D224" t="s">
        <v>2843</v>
      </c>
      <c r="E224" t="s">
        <v>2844</v>
      </c>
      <c r="F224" t="s">
        <v>2845</v>
      </c>
      <c r="G224" t="s">
        <v>2846</v>
      </c>
      <c r="H224" t="str">
        <f>"Cand1"</f>
        <v>Cand1</v>
      </c>
      <c r="I224" t="s">
        <v>2847</v>
      </c>
      <c r="J224" t="s">
        <v>37</v>
      </c>
      <c r="K224">
        <v>10090</v>
      </c>
      <c r="L224" s="3" t="str">
        <f>HYPERLINK("http://www.uniprot.org/uniprot/Q6ZQ38", "Q6ZQ38")</f>
        <v>Q6ZQ38</v>
      </c>
      <c r="M224" t="s">
        <v>2848</v>
      </c>
      <c r="N224" t="str">
        <f>"Cand1"</f>
        <v>Cand1</v>
      </c>
      <c r="O224" s="3" t="str">
        <f>HYPERLINK("http://www.informatics.jax.org/marker/MGI:1261820", "MGI:1261820")</f>
        <v>MGI:1261820</v>
      </c>
      <c r="P224" t="s">
        <v>2849</v>
      </c>
      <c r="Q224" t="s">
        <v>1020</v>
      </c>
      <c r="R224" t="s">
        <v>40</v>
      </c>
      <c r="S224" t="s">
        <v>32</v>
      </c>
      <c r="T224" t="s">
        <v>32</v>
      </c>
      <c r="U224" t="s">
        <v>32</v>
      </c>
      <c r="V224" t="s">
        <v>55</v>
      </c>
      <c r="W224" t="s">
        <v>32</v>
      </c>
      <c r="X224" t="s">
        <v>32</v>
      </c>
      <c r="Y224" t="s">
        <v>157</v>
      </c>
      <c r="Z224" t="s">
        <v>32</v>
      </c>
      <c r="AA224" t="s">
        <v>2850</v>
      </c>
      <c r="AB224" t="s">
        <v>2851</v>
      </c>
      <c r="AC224" t="s">
        <v>2852</v>
      </c>
      <c r="AD224" t="s">
        <v>32</v>
      </c>
      <c r="AE224" t="s">
        <v>2853</v>
      </c>
      <c r="AF224" t="s">
        <v>46835</v>
      </c>
    </row>
    <row r="225" spans="1:33" x14ac:dyDescent="0.2">
      <c r="A225">
        <v>220</v>
      </c>
      <c r="B225" t="s">
        <v>2854</v>
      </c>
      <c r="C225" t="s">
        <v>2855</v>
      </c>
      <c r="D225" t="s">
        <v>2856</v>
      </c>
      <c r="E225" t="s">
        <v>2857</v>
      </c>
      <c r="F225" t="s">
        <v>2858</v>
      </c>
      <c r="G225" t="s">
        <v>2859</v>
      </c>
      <c r="H225" t="str">
        <f>"Nrcam"</f>
        <v>Nrcam</v>
      </c>
      <c r="I225" t="s">
        <v>2860</v>
      </c>
      <c r="J225" t="s">
        <v>37</v>
      </c>
      <c r="K225">
        <v>10090</v>
      </c>
      <c r="L225" s="3" t="str">
        <f>HYPERLINK("http://www.uniprot.org/uniprot/Q810U4", "Q810U4")</f>
        <v>Q810U4</v>
      </c>
      <c r="M225" t="s">
        <v>2861</v>
      </c>
      <c r="N225" t="str">
        <f>"Nrcam"</f>
        <v>Nrcam</v>
      </c>
      <c r="O225" s="3" t="str">
        <f>HYPERLINK("http://www.informatics.jax.org/marker/MGI:104750", "MGI:104750")</f>
        <v>MGI:104750</v>
      </c>
      <c r="P225" t="s">
        <v>2862</v>
      </c>
      <c r="Q225" t="s">
        <v>2784</v>
      </c>
      <c r="R225" t="s">
        <v>2863</v>
      </c>
      <c r="S225" t="s">
        <v>41</v>
      </c>
      <c r="T225" t="s">
        <v>32</v>
      </c>
      <c r="U225" t="s">
        <v>32</v>
      </c>
      <c r="V225" t="s">
        <v>2864</v>
      </c>
      <c r="W225" t="s">
        <v>32</v>
      </c>
      <c r="X225" t="s">
        <v>32</v>
      </c>
      <c r="Y225" t="s">
        <v>2865</v>
      </c>
      <c r="Z225" t="s">
        <v>32</v>
      </c>
      <c r="AA225" t="s">
        <v>2866</v>
      </c>
      <c r="AB225" t="s">
        <v>2867</v>
      </c>
      <c r="AC225" t="s">
        <v>2868</v>
      </c>
      <c r="AD225" t="s">
        <v>32</v>
      </c>
      <c r="AE225" t="s">
        <v>32</v>
      </c>
      <c r="AF225" t="s">
        <v>46835</v>
      </c>
    </row>
    <row r="226" spans="1:33" x14ac:dyDescent="0.2">
      <c r="A226">
        <v>221</v>
      </c>
      <c r="B226" t="s">
        <v>2869</v>
      </c>
      <c r="C226" t="s">
        <v>2870</v>
      </c>
      <c r="D226" t="s">
        <v>2871</v>
      </c>
      <c r="E226" t="s">
        <v>2872</v>
      </c>
      <c r="F226" t="s">
        <v>2873</v>
      </c>
      <c r="G226" t="s">
        <v>2874</v>
      </c>
      <c r="H226" t="str">
        <f>"Sfpq"</f>
        <v>Sfpq</v>
      </c>
      <c r="I226" t="s">
        <v>2875</v>
      </c>
      <c r="J226" t="s">
        <v>37</v>
      </c>
      <c r="K226">
        <v>10090</v>
      </c>
      <c r="L226" s="3" t="str">
        <f>HYPERLINK("http://www.uniprot.org/uniprot/Q8VIJ6", "Q8VIJ6")</f>
        <v>Q8VIJ6</v>
      </c>
      <c r="M226" t="s">
        <v>2876</v>
      </c>
      <c r="N226" t="str">
        <f>"Sfpq"</f>
        <v>Sfpq</v>
      </c>
      <c r="O226" s="3" t="str">
        <f>HYPERLINK("http://www.informatics.jax.org/marker/MGI:1918764", "MGI:1918764")</f>
        <v>MGI:1918764</v>
      </c>
      <c r="P226" t="s">
        <v>2877</v>
      </c>
      <c r="Q226" t="s">
        <v>2878</v>
      </c>
      <c r="R226" t="s">
        <v>40</v>
      </c>
      <c r="S226" t="s">
        <v>32</v>
      </c>
      <c r="T226" t="s">
        <v>32</v>
      </c>
      <c r="U226" t="s">
        <v>32</v>
      </c>
      <c r="V226" t="s">
        <v>137</v>
      </c>
      <c r="W226" t="s">
        <v>32</v>
      </c>
      <c r="X226" t="s">
        <v>1940</v>
      </c>
      <c r="Y226" t="s">
        <v>207</v>
      </c>
      <c r="Z226" t="s">
        <v>32</v>
      </c>
      <c r="AA226" t="s">
        <v>2879</v>
      </c>
      <c r="AB226" t="s">
        <v>2880</v>
      </c>
      <c r="AC226" t="s">
        <v>2881</v>
      </c>
      <c r="AD226" t="s">
        <v>32</v>
      </c>
      <c r="AE226" t="s">
        <v>2882</v>
      </c>
      <c r="AF226" t="s">
        <v>46835</v>
      </c>
    </row>
    <row r="227" spans="1:33" x14ac:dyDescent="0.2">
      <c r="A227">
        <v>222</v>
      </c>
      <c r="B227" t="s">
        <v>2883</v>
      </c>
      <c r="C227" t="s">
        <v>2884</v>
      </c>
      <c r="D227" t="s">
        <v>2885</v>
      </c>
      <c r="E227" t="s">
        <v>2886</v>
      </c>
      <c r="F227" t="s">
        <v>2887</v>
      </c>
      <c r="G227" t="s">
        <v>2888</v>
      </c>
      <c r="H227" t="str">
        <f>"Rdx"</f>
        <v>Rdx</v>
      </c>
      <c r="I227" t="s">
        <v>32</v>
      </c>
      <c r="J227" t="s">
        <v>37</v>
      </c>
      <c r="K227">
        <v>10090</v>
      </c>
      <c r="L227" s="3" t="str">
        <f>HYPERLINK("http://www.uniprot.org/uniprot/P26043", "P26043")</f>
        <v>P26043</v>
      </c>
      <c r="M227" t="s">
        <v>2889</v>
      </c>
      <c r="N227" t="str">
        <f>"Rdx"</f>
        <v>Rdx</v>
      </c>
      <c r="O227" s="3" t="str">
        <f>HYPERLINK("http://www.informatics.jax.org/marker/MGI:97887", "MGI:97887")</f>
        <v>MGI:97887</v>
      </c>
      <c r="P227" t="s">
        <v>2890</v>
      </c>
      <c r="Q227" t="s">
        <v>32</v>
      </c>
      <c r="R227" t="s">
        <v>647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479</v>
      </c>
      <c r="Y227" t="s">
        <v>618</v>
      </c>
      <c r="Z227" t="s">
        <v>126</v>
      </c>
      <c r="AA227" t="s">
        <v>2891</v>
      </c>
      <c r="AB227" t="s">
        <v>2892</v>
      </c>
      <c r="AC227" t="s">
        <v>2893</v>
      </c>
      <c r="AD227" t="s">
        <v>32</v>
      </c>
      <c r="AE227" t="s">
        <v>2894</v>
      </c>
      <c r="AF227" t="s">
        <v>46835</v>
      </c>
    </row>
    <row r="228" spans="1:33" x14ac:dyDescent="0.2">
      <c r="A228">
        <v>223</v>
      </c>
      <c r="B228" t="s">
        <v>2895</v>
      </c>
      <c r="C228" t="s">
        <v>2896</v>
      </c>
      <c r="D228" t="s">
        <v>2897</v>
      </c>
      <c r="E228" t="s">
        <v>2898</v>
      </c>
      <c r="F228" t="s">
        <v>2899</v>
      </c>
      <c r="G228" t="s">
        <v>2900</v>
      </c>
      <c r="H228" t="str">
        <f>"Fscn1"</f>
        <v>Fscn1</v>
      </c>
      <c r="I228" t="s">
        <v>2901</v>
      </c>
      <c r="J228" t="s">
        <v>37</v>
      </c>
      <c r="K228">
        <v>10090</v>
      </c>
      <c r="L228" s="3" t="str">
        <f>HYPERLINK("http://www.uniprot.org/uniprot/Q61553", "Q61553")</f>
        <v>Q61553</v>
      </c>
      <c r="M228" t="s">
        <v>2902</v>
      </c>
      <c r="N228" t="str">
        <f>"Fscn1"</f>
        <v>Fscn1</v>
      </c>
      <c r="O228" s="3" t="str">
        <f>HYPERLINK("http://www.informatics.jax.org/marker/MGI:1352745", "MGI:1352745")</f>
        <v>MGI:1352745</v>
      </c>
      <c r="P228" t="s">
        <v>2903</v>
      </c>
      <c r="Q228" t="s">
        <v>32</v>
      </c>
      <c r="R228" t="s">
        <v>2231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405</v>
      </c>
      <c r="Y228" t="s">
        <v>516</v>
      </c>
      <c r="Z228" t="s">
        <v>32</v>
      </c>
      <c r="AA228" t="s">
        <v>2904</v>
      </c>
      <c r="AB228" t="s">
        <v>2905</v>
      </c>
      <c r="AC228" t="s">
        <v>2906</v>
      </c>
      <c r="AD228" t="s">
        <v>32</v>
      </c>
      <c r="AE228" t="s">
        <v>32</v>
      </c>
      <c r="AF228" t="s">
        <v>46835</v>
      </c>
    </row>
    <row r="229" spans="1:33" x14ac:dyDescent="0.2">
      <c r="A229">
        <v>224</v>
      </c>
      <c r="B229" t="s">
        <v>2907</v>
      </c>
      <c r="C229" t="s">
        <v>2908</v>
      </c>
      <c r="D229" t="s">
        <v>2909</v>
      </c>
      <c r="E229" t="s">
        <v>2910</v>
      </c>
      <c r="F229" t="s">
        <v>2911</v>
      </c>
      <c r="G229" t="s">
        <v>2912</v>
      </c>
      <c r="H229" t="str">
        <f>"Sec31a"</f>
        <v>Sec31a</v>
      </c>
      <c r="I229" t="s">
        <v>2913</v>
      </c>
      <c r="J229" t="s">
        <v>37</v>
      </c>
      <c r="K229">
        <v>10090</v>
      </c>
      <c r="L229" s="3" t="str">
        <f>HYPERLINK("http://www.uniprot.org/uniprot/Q3UPL0", "Q3UPL0")</f>
        <v>Q3UPL0</v>
      </c>
      <c r="M229" t="s">
        <v>2914</v>
      </c>
      <c r="N229" t="str">
        <f>"Sec31a"</f>
        <v>Sec31a</v>
      </c>
      <c r="O229" s="3" t="str">
        <f>HYPERLINK("http://www.informatics.jax.org/marker/MGI:1916412", "MGI:1916412")</f>
        <v>MGI:1916412</v>
      </c>
      <c r="P229" t="s">
        <v>2915</v>
      </c>
      <c r="Q229" t="s">
        <v>2916</v>
      </c>
      <c r="R229" t="s">
        <v>2917</v>
      </c>
      <c r="S229" t="s">
        <v>41</v>
      </c>
      <c r="T229" t="s">
        <v>32</v>
      </c>
      <c r="U229" t="s">
        <v>32</v>
      </c>
      <c r="V229" t="s">
        <v>1910</v>
      </c>
      <c r="W229" t="s">
        <v>32</v>
      </c>
      <c r="X229" t="s">
        <v>32</v>
      </c>
      <c r="Y229" t="s">
        <v>2192</v>
      </c>
      <c r="Z229" t="s">
        <v>32</v>
      </c>
      <c r="AA229" t="s">
        <v>2918</v>
      </c>
      <c r="AB229" t="s">
        <v>2919</v>
      </c>
      <c r="AC229" t="s">
        <v>2920</v>
      </c>
      <c r="AD229" t="s">
        <v>32</v>
      </c>
      <c r="AE229" t="s">
        <v>2921</v>
      </c>
      <c r="AF229" t="s">
        <v>46835</v>
      </c>
    </row>
    <row r="230" spans="1:33" x14ac:dyDescent="0.2">
      <c r="A230">
        <v>225</v>
      </c>
      <c r="B230" t="s">
        <v>2922</v>
      </c>
      <c r="C230" t="s">
        <v>2923</v>
      </c>
      <c r="D230" t="s">
        <v>2924</v>
      </c>
      <c r="E230" t="s">
        <v>2925</v>
      </c>
      <c r="F230" t="s">
        <v>2926</v>
      </c>
      <c r="G230" t="s">
        <v>2927</v>
      </c>
      <c r="H230" t="str">
        <f>"Ddb1"</f>
        <v>Ddb1</v>
      </c>
      <c r="I230" t="s">
        <v>32</v>
      </c>
      <c r="J230" t="s">
        <v>37</v>
      </c>
      <c r="K230">
        <v>10090</v>
      </c>
      <c r="L230" s="3" t="str">
        <f>HYPERLINK("http://www.uniprot.org/uniprot/Q3U1J4", "Q3U1J4")</f>
        <v>Q3U1J4</v>
      </c>
      <c r="M230" t="s">
        <v>2928</v>
      </c>
      <c r="N230" t="str">
        <f>"Ddb1"</f>
        <v>Ddb1</v>
      </c>
      <c r="O230" s="3" t="str">
        <f>HYPERLINK("http://www.informatics.jax.org/marker/MGI:1202384", "MGI:1202384")</f>
        <v>MGI:1202384</v>
      </c>
      <c r="P230" t="s">
        <v>2929</v>
      </c>
      <c r="Q230" t="s">
        <v>2930</v>
      </c>
      <c r="R230" t="s">
        <v>40</v>
      </c>
      <c r="S230" t="s">
        <v>32</v>
      </c>
      <c r="T230" t="s">
        <v>32</v>
      </c>
      <c r="U230" t="s">
        <v>32</v>
      </c>
      <c r="V230" t="s">
        <v>55</v>
      </c>
      <c r="W230" t="s">
        <v>32</v>
      </c>
      <c r="X230" t="s">
        <v>247</v>
      </c>
      <c r="Y230" t="s">
        <v>516</v>
      </c>
      <c r="Z230" t="s">
        <v>32</v>
      </c>
      <c r="AA230" t="s">
        <v>2931</v>
      </c>
      <c r="AB230" t="s">
        <v>2932</v>
      </c>
      <c r="AC230" t="s">
        <v>2933</v>
      </c>
      <c r="AD230" t="s">
        <v>1027</v>
      </c>
      <c r="AE230" t="s">
        <v>2934</v>
      </c>
      <c r="AF230" t="s">
        <v>46835</v>
      </c>
    </row>
    <row r="231" spans="1:33" x14ac:dyDescent="0.2">
      <c r="A231">
        <v>226</v>
      </c>
      <c r="B231" t="s">
        <v>2935</v>
      </c>
      <c r="C231" t="s">
        <v>2936</v>
      </c>
      <c r="D231" t="s">
        <v>2937</v>
      </c>
      <c r="E231" t="s">
        <v>2938</v>
      </c>
      <c r="F231" t="s">
        <v>2939</v>
      </c>
      <c r="G231" t="s">
        <v>32</v>
      </c>
      <c r="H231" t="str">
        <f>"Basp1"</f>
        <v>Basp1</v>
      </c>
      <c r="I231" t="s">
        <v>2940</v>
      </c>
      <c r="J231" t="s">
        <v>37</v>
      </c>
      <c r="K231">
        <v>10090</v>
      </c>
      <c r="L231" s="3" t="str">
        <f>HYPERLINK("http://www.uniprot.org/uniprot/Q91XV3", "Q91XV3")</f>
        <v>Q91XV3</v>
      </c>
      <c r="M231" t="s">
        <v>2941</v>
      </c>
      <c r="N231" t="str">
        <f>"Basp1"</f>
        <v>Basp1</v>
      </c>
      <c r="O231" s="3" t="str">
        <f>HYPERLINK("http://www.informatics.jax.org/marker/MGI:1917600", "MGI:1917600")</f>
        <v>MGI:1917600</v>
      </c>
      <c r="P231" t="s">
        <v>2942</v>
      </c>
      <c r="Q231" t="s">
        <v>32</v>
      </c>
      <c r="R231" t="s">
        <v>2943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2944</v>
      </c>
      <c r="Z231" t="s">
        <v>32</v>
      </c>
      <c r="AA231" t="s">
        <v>2945</v>
      </c>
      <c r="AB231" t="s">
        <v>2946</v>
      </c>
      <c r="AC231" t="s">
        <v>2947</v>
      </c>
      <c r="AD231" t="s">
        <v>32</v>
      </c>
      <c r="AE231" t="s">
        <v>2948</v>
      </c>
      <c r="AF231" t="s">
        <v>46835</v>
      </c>
    </row>
    <row r="232" spans="1:33" x14ac:dyDescent="0.2">
      <c r="A232">
        <v>227</v>
      </c>
      <c r="B232" t="s">
        <v>2949</v>
      </c>
      <c r="C232" t="s">
        <v>2950</v>
      </c>
      <c r="D232" t="s">
        <v>2951</v>
      </c>
      <c r="E232" t="s">
        <v>2952</v>
      </c>
      <c r="F232" t="s">
        <v>2953</v>
      </c>
      <c r="G232" t="s">
        <v>32</v>
      </c>
      <c r="H232" t="str">
        <f>"Ppa1"</f>
        <v>Ppa1</v>
      </c>
      <c r="I232" t="s">
        <v>2954</v>
      </c>
      <c r="J232" t="s">
        <v>37</v>
      </c>
      <c r="K232">
        <v>10090</v>
      </c>
      <c r="L232" s="3" t="str">
        <f>HYPERLINK("http://www.uniprot.org/uniprot/Q9D819", "Q9D819")</f>
        <v>Q9D819</v>
      </c>
      <c r="M232" t="s">
        <v>2955</v>
      </c>
      <c r="N232" t="str">
        <f>"Ppa1"</f>
        <v>Ppa1</v>
      </c>
      <c r="O232" s="3" t="str">
        <f>HYPERLINK("http://www.informatics.jax.org/marker/MGI:97831", "MGI:97831")</f>
        <v>MGI:97831</v>
      </c>
      <c r="P232" t="s">
        <v>2956</v>
      </c>
      <c r="Q232" t="s">
        <v>32</v>
      </c>
      <c r="R232" t="s">
        <v>418</v>
      </c>
      <c r="S232" t="s">
        <v>32</v>
      </c>
      <c r="T232" t="s">
        <v>32</v>
      </c>
      <c r="U232" t="s">
        <v>32</v>
      </c>
      <c r="V232" t="s">
        <v>32</v>
      </c>
      <c r="W232" t="s">
        <v>223</v>
      </c>
      <c r="X232" t="s">
        <v>343</v>
      </c>
      <c r="Y232" t="s">
        <v>157</v>
      </c>
      <c r="Z232" t="s">
        <v>32</v>
      </c>
      <c r="AA232" t="s">
        <v>2957</v>
      </c>
      <c r="AB232" t="s">
        <v>1268</v>
      </c>
      <c r="AC232" t="s">
        <v>2958</v>
      </c>
      <c r="AD232" t="s">
        <v>32</v>
      </c>
      <c r="AE232" t="s">
        <v>2959</v>
      </c>
      <c r="AF232" t="s">
        <v>46835</v>
      </c>
    </row>
    <row r="233" spans="1:33" x14ac:dyDescent="0.2">
      <c r="A233">
        <v>228</v>
      </c>
      <c r="B233" t="s">
        <v>2960</v>
      </c>
      <c r="C233" t="s">
        <v>2961</v>
      </c>
      <c r="D233" t="s">
        <v>2962</v>
      </c>
      <c r="E233" t="s">
        <v>2963</v>
      </c>
      <c r="F233" t="s">
        <v>2964</v>
      </c>
      <c r="G233" t="s">
        <v>2965</v>
      </c>
      <c r="H233" t="str">
        <f>"Nudc"</f>
        <v>Nudc</v>
      </c>
      <c r="I233" t="s">
        <v>32</v>
      </c>
      <c r="J233" t="s">
        <v>37</v>
      </c>
      <c r="K233">
        <v>10090</v>
      </c>
      <c r="L233" s="3" t="str">
        <f>HYPERLINK("http://www.uniprot.org/uniprot/O35685", "O35685")</f>
        <v>O35685</v>
      </c>
      <c r="M233" t="s">
        <v>2966</v>
      </c>
      <c r="N233" t="str">
        <f>"Nudc"</f>
        <v>Nudc</v>
      </c>
      <c r="O233" s="3" t="str">
        <f>HYPERLINK("http://www.informatics.jax.org/marker/MGI:106014", "MGI:106014")</f>
        <v>MGI:106014</v>
      </c>
      <c r="P233" t="s">
        <v>2967</v>
      </c>
      <c r="Q233" t="s">
        <v>2968</v>
      </c>
      <c r="R233" t="s">
        <v>2969</v>
      </c>
      <c r="S233" t="s">
        <v>32</v>
      </c>
      <c r="T233" t="s">
        <v>32</v>
      </c>
      <c r="U233" t="s">
        <v>32</v>
      </c>
      <c r="V233" t="s">
        <v>290</v>
      </c>
      <c r="W233" t="s">
        <v>32</v>
      </c>
      <c r="X233" t="s">
        <v>32</v>
      </c>
      <c r="Y233" t="s">
        <v>157</v>
      </c>
      <c r="Z233" t="s">
        <v>126</v>
      </c>
      <c r="AA233" t="s">
        <v>2970</v>
      </c>
      <c r="AB233" t="s">
        <v>2971</v>
      </c>
      <c r="AC233" t="s">
        <v>2972</v>
      </c>
      <c r="AD233" t="s">
        <v>32</v>
      </c>
      <c r="AE233" t="s">
        <v>2973</v>
      </c>
      <c r="AF233" t="s">
        <v>46835</v>
      </c>
    </row>
    <row r="234" spans="1:33" x14ac:dyDescent="0.2">
      <c r="A234">
        <v>229</v>
      </c>
      <c r="B234" t="s">
        <v>2974</v>
      </c>
      <c r="C234" t="s">
        <v>2975</v>
      </c>
      <c r="D234" t="s">
        <v>2976</v>
      </c>
      <c r="E234" t="s">
        <v>2977</v>
      </c>
      <c r="F234" t="s">
        <v>2978</v>
      </c>
      <c r="G234" t="s">
        <v>2979</v>
      </c>
      <c r="H234" t="str">
        <f>"Dars1"</f>
        <v>Dars1</v>
      </c>
      <c r="I234" t="s">
        <v>2980</v>
      </c>
      <c r="J234" t="s">
        <v>37</v>
      </c>
      <c r="K234">
        <v>10090</v>
      </c>
      <c r="L234" s="3" t="str">
        <f>HYPERLINK("http://www.uniprot.org/uniprot/Q922B2", "Q922B2")</f>
        <v>Q922B2</v>
      </c>
      <c r="M234" t="s">
        <v>2981</v>
      </c>
      <c r="N234" t="str">
        <f>"Dars"</f>
        <v>Dars</v>
      </c>
      <c r="O234" s="3" t="str">
        <f>HYPERLINK("http://www.informatics.jax.org/marker/MGI:2442544", "MGI:2442544")</f>
        <v>MGI:2442544</v>
      </c>
      <c r="P234" t="s">
        <v>2982</v>
      </c>
      <c r="Q234" t="s">
        <v>260</v>
      </c>
      <c r="R234" t="s">
        <v>418</v>
      </c>
      <c r="S234" t="s">
        <v>32</v>
      </c>
      <c r="T234" t="s">
        <v>32</v>
      </c>
      <c r="U234" t="s">
        <v>32</v>
      </c>
      <c r="V234" t="s">
        <v>32</v>
      </c>
      <c r="W234" t="s">
        <v>205</v>
      </c>
      <c r="X234" t="s">
        <v>2983</v>
      </c>
      <c r="Y234" t="s">
        <v>157</v>
      </c>
      <c r="Z234" t="s">
        <v>32</v>
      </c>
      <c r="AA234" t="s">
        <v>2984</v>
      </c>
      <c r="AB234" t="s">
        <v>2985</v>
      </c>
      <c r="AC234" t="s">
        <v>2986</v>
      </c>
      <c r="AD234" t="s">
        <v>32</v>
      </c>
      <c r="AE234" t="s">
        <v>32</v>
      </c>
      <c r="AF234" t="s">
        <v>46835</v>
      </c>
    </row>
    <row r="235" spans="1:33" x14ac:dyDescent="0.2">
      <c r="A235">
        <v>230</v>
      </c>
      <c r="B235" t="s">
        <v>2987</v>
      </c>
      <c r="C235" t="s">
        <v>2988</v>
      </c>
      <c r="D235" t="s">
        <v>2989</v>
      </c>
      <c r="E235" t="s">
        <v>2990</v>
      </c>
      <c r="F235" t="s">
        <v>2991</v>
      </c>
      <c r="G235" t="s">
        <v>2992</v>
      </c>
      <c r="H235" t="str">
        <f>"Psmc6"</f>
        <v>Psmc6</v>
      </c>
      <c r="I235" t="s">
        <v>2993</v>
      </c>
      <c r="J235" t="s">
        <v>37</v>
      </c>
      <c r="K235">
        <v>10090</v>
      </c>
      <c r="L235" s="3" t="str">
        <f>HYPERLINK("http://www.uniprot.org/uniprot/P62334", "P62334")</f>
        <v>P62334</v>
      </c>
      <c r="M235" t="s">
        <v>2994</v>
      </c>
      <c r="N235" t="str">
        <f>"Psmc6"</f>
        <v>Psmc6</v>
      </c>
      <c r="O235" s="3" t="str">
        <f>HYPERLINK("http://www.informatics.jax.org/marker/MGI:1914339", "MGI:1914339")</f>
        <v>MGI:1914339</v>
      </c>
      <c r="P235" t="s">
        <v>2770</v>
      </c>
      <c r="Q235" t="s">
        <v>32</v>
      </c>
      <c r="R235" t="s">
        <v>2586</v>
      </c>
      <c r="S235" t="s">
        <v>32</v>
      </c>
      <c r="T235" t="s">
        <v>32</v>
      </c>
      <c r="U235" t="s">
        <v>32</v>
      </c>
      <c r="V235" t="s">
        <v>32</v>
      </c>
      <c r="W235" t="s">
        <v>205</v>
      </c>
      <c r="X235" t="s">
        <v>32</v>
      </c>
      <c r="Y235" t="s">
        <v>157</v>
      </c>
      <c r="Z235" t="s">
        <v>32</v>
      </c>
      <c r="AA235" t="s">
        <v>2995</v>
      </c>
      <c r="AB235" t="s">
        <v>2996</v>
      </c>
      <c r="AC235" t="s">
        <v>2589</v>
      </c>
      <c r="AD235" t="s">
        <v>32</v>
      </c>
      <c r="AE235" t="s">
        <v>2774</v>
      </c>
      <c r="AF235" t="s">
        <v>46835</v>
      </c>
    </row>
    <row r="236" spans="1:33" x14ac:dyDescent="0.2">
      <c r="A236">
        <v>231</v>
      </c>
      <c r="B236" t="s">
        <v>2997</v>
      </c>
      <c r="C236" t="s">
        <v>2998</v>
      </c>
      <c r="D236" t="s">
        <v>32</v>
      </c>
      <c r="E236" t="s">
        <v>2999</v>
      </c>
      <c r="F236" t="s">
        <v>3000</v>
      </c>
      <c r="G236" t="s">
        <v>32</v>
      </c>
      <c r="H236" t="str">
        <f>"Hnrnpa0"</f>
        <v>Hnrnpa0</v>
      </c>
      <c r="I236" t="s">
        <v>3001</v>
      </c>
      <c r="J236" t="s">
        <v>37</v>
      </c>
      <c r="K236">
        <v>10090</v>
      </c>
      <c r="L236" s="3" t="str">
        <f>HYPERLINK("http://www.uniprot.org/uniprot/Q9CX86", "Q9CX86")</f>
        <v>Q9CX86</v>
      </c>
      <c r="M236" t="s">
        <v>3002</v>
      </c>
      <c r="N236" t="str">
        <f>"Hnrnpa0"</f>
        <v>Hnrnpa0</v>
      </c>
      <c r="O236" s="3" t="str">
        <f>HYPERLINK("http://www.informatics.jax.org/marker/MGI:1924384", "MGI:1924384")</f>
        <v>MGI:1924384</v>
      </c>
      <c r="P236" t="s">
        <v>3003</v>
      </c>
      <c r="Q236" t="s">
        <v>32</v>
      </c>
      <c r="R236" t="s">
        <v>2279</v>
      </c>
      <c r="S236" t="s">
        <v>32</v>
      </c>
      <c r="T236" t="s">
        <v>32</v>
      </c>
      <c r="U236" t="s">
        <v>32</v>
      </c>
      <c r="V236" t="s">
        <v>55</v>
      </c>
      <c r="W236" t="s">
        <v>32</v>
      </c>
      <c r="X236" t="s">
        <v>1129</v>
      </c>
      <c r="Y236" t="s">
        <v>207</v>
      </c>
      <c r="Z236" t="s">
        <v>32</v>
      </c>
      <c r="AA236" t="s">
        <v>3004</v>
      </c>
      <c r="AB236" t="s">
        <v>3005</v>
      </c>
      <c r="AC236" t="s">
        <v>3006</v>
      </c>
      <c r="AD236" t="s">
        <v>32</v>
      </c>
      <c r="AE236" t="s">
        <v>946</v>
      </c>
      <c r="AF236" t="s">
        <v>46835</v>
      </c>
    </row>
    <row r="237" spans="1:33" x14ac:dyDescent="0.2">
      <c r="A237">
        <v>232</v>
      </c>
      <c r="B237" t="s">
        <v>3007</v>
      </c>
      <c r="C237" t="s">
        <v>3008</v>
      </c>
      <c r="D237" t="s">
        <v>3009</v>
      </c>
      <c r="E237" t="s">
        <v>3010</v>
      </c>
      <c r="F237" t="s">
        <v>3011</v>
      </c>
      <c r="G237" t="s">
        <v>32</v>
      </c>
      <c r="H237" t="str">
        <f>"Ctnna1"</f>
        <v>Ctnna1</v>
      </c>
      <c r="I237" t="s">
        <v>3012</v>
      </c>
      <c r="J237" t="s">
        <v>37</v>
      </c>
      <c r="K237">
        <v>10090</v>
      </c>
      <c r="L237" s="3" t="str">
        <f>HYPERLINK("http://www.uniprot.org/uniprot/P26231", "P26231")</f>
        <v>P26231</v>
      </c>
      <c r="M237" t="s">
        <v>3013</v>
      </c>
      <c r="N237" t="str">
        <f>"Ctnna1"</f>
        <v>Ctnna1</v>
      </c>
      <c r="O237" s="3" t="str">
        <f>HYPERLINK("http://www.informatics.jax.org/marker/MGI:88274", "MGI:88274")</f>
        <v>MGI:88274</v>
      </c>
      <c r="P237" t="s">
        <v>3014</v>
      </c>
      <c r="Q237" t="s">
        <v>2784</v>
      </c>
      <c r="R237" t="s">
        <v>3015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t="s">
        <v>516</v>
      </c>
      <c r="Z237" t="s">
        <v>126</v>
      </c>
      <c r="AA237" t="s">
        <v>3016</v>
      </c>
      <c r="AB237" t="s">
        <v>3017</v>
      </c>
      <c r="AC237" t="s">
        <v>3018</v>
      </c>
      <c r="AD237" t="s">
        <v>32</v>
      </c>
      <c r="AE237" t="s">
        <v>3019</v>
      </c>
      <c r="AF237" t="s">
        <v>46835</v>
      </c>
    </row>
    <row r="238" spans="1:33" x14ac:dyDescent="0.2">
      <c r="A238">
        <v>233</v>
      </c>
      <c r="B238" t="s">
        <v>3020</v>
      </c>
      <c r="C238" t="s">
        <v>3021</v>
      </c>
      <c r="D238" t="s">
        <v>3022</v>
      </c>
      <c r="E238" t="s">
        <v>3023</v>
      </c>
      <c r="F238" t="s">
        <v>3024</v>
      </c>
      <c r="G238" t="s">
        <v>3025</v>
      </c>
      <c r="H238" t="str">
        <f>"Anxa6"</f>
        <v>Anxa6</v>
      </c>
      <c r="I238" t="s">
        <v>3026</v>
      </c>
      <c r="J238" t="s">
        <v>37</v>
      </c>
      <c r="K238">
        <v>10090</v>
      </c>
      <c r="L238" s="3" t="str">
        <f>HYPERLINK("http://www.uniprot.org/uniprot/P14824", "P14824")</f>
        <v>P14824</v>
      </c>
      <c r="M238" t="s">
        <v>3027</v>
      </c>
      <c r="N238" t="str">
        <f>"Anxa6"</f>
        <v>Anxa6</v>
      </c>
      <c r="O238" s="3" t="str">
        <f>HYPERLINK("http://www.informatics.jax.org/marker/MGI:88255", "MGI:88255")</f>
        <v>MGI:88255</v>
      </c>
      <c r="P238" t="s">
        <v>3028</v>
      </c>
      <c r="Q238" t="s">
        <v>32</v>
      </c>
      <c r="R238" t="s">
        <v>418</v>
      </c>
      <c r="S238" t="s">
        <v>32</v>
      </c>
      <c r="T238" t="s">
        <v>32</v>
      </c>
      <c r="U238" t="s">
        <v>32</v>
      </c>
      <c r="V238" t="s">
        <v>3029</v>
      </c>
      <c r="W238" t="s">
        <v>3030</v>
      </c>
      <c r="X238" t="s">
        <v>32</v>
      </c>
      <c r="Y238" t="s">
        <v>157</v>
      </c>
      <c r="Z238" t="s">
        <v>32</v>
      </c>
      <c r="AA238" t="s">
        <v>3031</v>
      </c>
      <c r="AB238" t="s">
        <v>3032</v>
      </c>
      <c r="AC238" t="s">
        <v>3033</v>
      </c>
      <c r="AD238" t="s">
        <v>32</v>
      </c>
      <c r="AE238" t="s">
        <v>32</v>
      </c>
      <c r="AF238" t="s">
        <v>46835</v>
      </c>
    </row>
    <row r="239" spans="1:33" x14ac:dyDescent="0.2">
      <c r="A239">
        <v>234</v>
      </c>
      <c r="B239" t="s">
        <v>3034</v>
      </c>
      <c r="C239" t="s">
        <v>47187</v>
      </c>
      <c r="D239" t="s">
        <v>32</v>
      </c>
      <c r="E239" t="s">
        <v>46840</v>
      </c>
      <c r="F239" t="s">
        <v>46839</v>
      </c>
      <c r="G239" t="s">
        <v>32</v>
      </c>
      <c r="H239" t="s">
        <v>47318</v>
      </c>
      <c r="I239" t="s">
        <v>32</v>
      </c>
      <c r="J239" t="s">
        <v>37</v>
      </c>
      <c r="K239">
        <v>10090</v>
      </c>
      <c r="L239" s="3" t="str">
        <f>HYPERLINK(CONCATENATE("https://www.uniprot.org/uniprotkb/", AG239, "/entry"), AG239)</f>
        <v>E9Q616</v>
      </c>
      <c r="M239" t="s">
        <v>32</v>
      </c>
      <c r="N239" t="s">
        <v>32</v>
      </c>
      <c r="O239" s="3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t="s">
        <v>46835</v>
      </c>
      <c r="AG239" t="s">
        <v>46839</v>
      </c>
    </row>
    <row r="240" spans="1:33" x14ac:dyDescent="0.2">
      <c r="A240">
        <v>235</v>
      </c>
      <c r="B240" t="s">
        <v>3035</v>
      </c>
      <c r="C240" t="s">
        <v>3036</v>
      </c>
      <c r="D240" t="s">
        <v>3037</v>
      </c>
      <c r="E240" t="s">
        <v>3038</v>
      </c>
      <c r="F240" t="s">
        <v>3039</v>
      </c>
      <c r="G240" t="s">
        <v>3040</v>
      </c>
      <c r="H240" t="str">
        <f>"Macf1"</f>
        <v>Macf1</v>
      </c>
      <c r="I240" t="s">
        <v>32</v>
      </c>
      <c r="J240" t="s">
        <v>37</v>
      </c>
      <c r="K240">
        <v>10090</v>
      </c>
      <c r="L240" s="3" t="str">
        <f>HYPERLINK("http://www.uniprot.org/uniprot/Q9QXZ0", "Q9QXZ0")</f>
        <v>Q9QXZ0</v>
      </c>
      <c r="M240" t="s">
        <v>3041</v>
      </c>
      <c r="N240" t="str">
        <f>"Macf1"</f>
        <v>Macf1</v>
      </c>
      <c r="O240" s="3" t="str">
        <f>HYPERLINK("http://www.informatics.jax.org/marker/MGI:108559", "MGI:108559")</f>
        <v>MGI:108559</v>
      </c>
      <c r="P240" t="s">
        <v>3042</v>
      </c>
      <c r="Q240" t="s">
        <v>3043</v>
      </c>
      <c r="R240" t="s">
        <v>3044</v>
      </c>
      <c r="S240" t="s">
        <v>41</v>
      </c>
      <c r="T240" t="s">
        <v>32</v>
      </c>
      <c r="U240" t="s">
        <v>32</v>
      </c>
      <c r="V240" t="s">
        <v>3045</v>
      </c>
      <c r="W240" t="s">
        <v>188</v>
      </c>
      <c r="X240" t="s">
        <v>405</v>
      </c>
      <c r="Y240" t="s">
        <v>157</v>
      </c>
      <c r="Z240" t="s">
        <v>32</v>
      </c>
      <c r="AA240" t="s">
        <v>3046</v>
      </c>
      <c r="AB240" t="s">
        <v>3047</v>
      </c>
      <c r="AC240" t="s">
        <v>3048</v>
      </c>
      <c r="AD240" t="s">
        <v>32</v>
      </c>
      <c r="AE240" t="s">
        <v>32</v>
      </c>
      <c r="AF240" t="s">
        <v>46835</v>
      </c>
    </row>
    <row r="241" spans="1:32" x14ac:dyDescent="0.2">
      <c r="A241">
        <v>236</v>
      </c>
      <c r="B241" t="s">
        <v>3049</v>
      </c>
      <c r="C241" t="s">
        <v>3050</v>
      </c>
      <c r="D241" t="s">
        <v>32</v>
      </c>
      <c r="E241" t="s">
        <v>3051</v>
      </c>
      <c r="F241" t="s">
        <v>3052</v>
      </c>
      <c r="G241" t="s">
        <v>3053</v>
      </c>
      <c r="H241" t="str">
        <f>"Rpl37a"</f>
        <v>Rpl37a</v>
      </c>
      <c r="I241" t="s">
        <v>32</v>
      </c>
      <c r="J241" t="s">
        <v>37</v>
      </c>
      <c r="K241">
        <v>10090</v>
      </c>
      <c r="L241" s="3" t="str">
        <f>HYPERLINK("http://www.uniprot.org/uniprot/P61514", "P61514")</f>
        <v>P61514</v>
      </c>
      <c r="M241" t="s">
        <v>3054</v>
      </c>
      <c r="N241" t="str">
        <f>"Rpl37a"</f>
        <v>Rpl37a</v>
      </c>
      <c r="O241" s="3" t="str">
        <f>HYPERLINK("http://www.informatics.jax.org/marker/MGI:98068", "MGI:98068")</f>
        <v>MGI:98068</v>
      </c>
      <c r="P241" t="s">
        <v>3055</v>
      </c>
      <c r="Q241" t="s">
        <v>32</v>
      </c>
      <c r="R241" t="s">
        <v>418</v>
      </c>
      <c r="S241" t="s">
        <v>32</v>
      </c>
      <c r="T241" t="s">
        <v>32</v>
      </c>
      <c r="U241" t="s">
        <v>32</v>
      </c>
      <c r="V241" t="s">
        <v>446</v>
      </c>
      <c r="W241" t="s">
        <v>42</v>
      </c>
      <c r="X241" t="s">
        <v>447</v>
      </c>
      <c r="Y241" t="s">
        <v>32</v>
      </c>
      <c r="Z241" t="s">
        <v>126</v>
      </c>
      <c r="AA241" t="s">
        <v>1405</v>
      </c>
      <c r="AB241" t="s">
        <v>3056</v>
      </c>
      <c r="AC241" t="s">
        <v>3057</v>
      </c>
      <c r="AD241" t="s">
        <v>32</v>
      </c>
      <c r="AE241" t="s">
        <v>765</v>
      </c>
      <c r="AF241" t="s">
        <v>46835</v>
      </c>
    </row>
    <row r="242" spans="1:32" x14ac:dyDescent="0.2">
      <c r="A242">
        <v>237</v>
      </c>
      <c r="B242" t="s">
        <v>3058</v>
      </c>
      <c r="C242" t="s">
        <v>3059</v>
      </c>
      <c r="D242" t="s">
        <v>3060</v>
      </c>
      <c r="E242" t="s">
        <v>3061</v>
      </c>
      <c r="F242" t="s">
        <v>3062</v>
      </c>
      <c r="G242" t="s">
        <v>32</v>
      </c>
      <c r="H242" t="str">
        <f>"Actn4"</f>
        <v>Actn4</v>
      </c>
      <c r="I242" t="s">
        <v>32</v>
      </c>
      <c r="J242" t="s">
        <v>37</v>
      </c>
      <c r="K242">
        <v>10090</v>
      </c>
      <c r="L242" s="3" t="str">
        <f>HYPERLINK("http://www.uniprot.org/uniprot/P57780", "P57780")</f>
        <v>P57780</v>
      </c>
      <c r="M242" t="s">
        <v>3063</v>
      </c>
      <c r="N242" t="str">
        <f>"Actn4"</f>
        <v>Actn4</v>
      </c>
      <c r="O242" s="3" t="str">
        <f>HYPERLINK("http://www.informatics.jax.org/marker/MGI:1890773", "MGI:1890773")</f>
        <v>MGI:1890773</v>
      </c>
      <c r="P242" t="s">
        <v>3064</v>
      </c>
      <c r="Q242" t="s">
        <v>434</v>
      </c>
      <c r="R242" t="s">
        <v>3065</v>
      </c>
      <c r="S242" t="s">
        <v>32</v>
      </c>
      <c r="T242" t="s">
        <v>32</v>
      </c>
      <c r="U242" t="s">
        <v>32</v>
      </c>
      <c r="V242" t="s">
        <v>55</v>
      </c>
      <c r="W242" t="s">
        <v>188</v>
      </c>
      <c r="X242" t="s">
        <v>405</v>
      </c>
      <c r="Y242" t="s">
        <v>157</v>
      </c>
      <c r="Z242" t="s">
        <v>32</v>
      </c>
      <c r="AA242" t="s">
        <v>3066</v>
      </c>
      <c r="AB242" t="s">
        <v>3067</v>
      </c>
      <c r="AC242" t="s">
        <v>3068</v>
      </c>
      <c r="AD242" t="s">
        <v>32</v>
      </c>
      <c r="AE242" t="s">
        <v>2235</v>
      </c>
      <c r="AF242" t="s">
        <v>46835</v>
      </c>
    </row>
    <row r="243" spans="1:32" x14ac:dyDescent="0.2">
      <c r="A243">
        <v>238</v>
      </c>
      <c r="B243" t="s">
        <v>3069</v>
      </c>
      <c r="C243" t="s">
        <v>3070</v>
      </c>
      <c r="D243" t="s">
        <v>3071</v>
      </c>
      <c r="E243" t="s">
        <v>3072</v>
      </c>
      <c r="F243" t="s">
        <v>3073</v>
      </c>
      <c r="G243" t="s">
        <v>3074</v>
      </c>
      <c r="H243" t="str">
        <f>"Ckap4"</f>
        <v>Ckap4</v>
      </c>
      <c r="I243" t="s">
        <v>32</v>
      </c>
      <c r="J243" t="s">
        <v>37</v>
      </c>
      <c r="K243">
        <v>10090</v>
      </c>
      <c r="L243" s="3" t="str">
        <f>HYPERLINK("http://www.uniprot.org/uniprot/Q8BMK4", "Q8BMK4")</f>
        <v>Q8BMK4</v>
      </c>
      <c r="M243" t="s">
        <v>3075</v>
      </c>
      <c r="N243" t="str">
        <f>"Ckap4"</f>
        <v>Ckap4</v>
      </c>
      <c r="O243" s="3" t="str">
        <f>HYPERLINK("http://www.informatics.jax.org/marker/MGI:2444926", "MGI:2444926")</f>
        <v>MGI:2444926</v>
      </c>
      <c r="P243" t="s">
        <v>3076</v>
      </c>
      <c r="Q243" t="s">
        <v>32</v>
      </c>
      <c r="R243" t="s">
        <v>3077</v>
      </c>
      <c r="S243" t="s">
        <v>32</v>
      </c>
      <c r="T243" t="s">
        <v>32</v>
      </c>
      <c r="U243" t="s">
        <v>32</v>
      </c>
      <c r="V243" t="s">
        <v>3078</v>
      </c>
      <c r="W243" t="s">
        <v>32</v>
      </c>
      <c r="X243" t="s">
        <v>32</v>
      </c>
      <c r="Y243" t="s">
        <v>3079</v>
      </c>
      <c r="Z243" t="s">
        <v>32</v>
      </c>
      <c r="AA243" t="s">
        <v>32</v>
      </c>
      <c r="AB243" t="s">
        <v>3080</v>
      </c>
      <c r="AC243" t="s">
        <v>32</v>
      </c>
      <c r="AD243" t="s">
        <v>32</v>
      </c>
      <c r="AE243" t="s">
        <v>3081</v>
      </c>
      <c r="AF243" t="s">
        <v>46835</v>
      </c>
    </row>
    <row r="244" spans="1:32" x14ac:dyDescent="0.2">
      <c r="A244">
        <v>239</v>
      </c>
      <c r="B244" t="s">
        <v>3082</v>
      </c>
      <c r="C244" t="s">
        <v>3083</v>
      </c>
      <c r="D244" t="s">
        <v>3084</v>
      </c>
      <c r="E244" t="s">
        <v>3085</v>
      </c>
      <c r="F244" t="s">
        <v>3086</v>
      </c>
      <c r="G244" t="s">
        <v>32</v>
      </c>
      <c r="H244" t="str">
        <f>"Pgam2"</f>
        <v>Pgam2</v>
      </c>
      <c r="I244" t="s">
        <v>32</v>
      </c>
      <c r="J244" t="s">
        <v>37</v>
      </c>
      <c r="K244">
        <v>10090</v>
      </c>
      <c r="L244" s="3" t="str">
        <f>HYPERLINK("http://www.uniprot.org/uniprot/O70250", "O70250")</f>
        <v>O70250</v>
      </c>
      <c r="M244" t="s">
        <v>3087</v>
      </c>
      <c r="N244" t="str">
        <f>"Pgam2"</f>
        <v>Pgam2</v>
      </c>
      <c r="O244" s="3" t="str">
        <f>HYPERLINK("http://www.informatics.jax.org/marker/MGI:1933118", "MGI:1933118")</f>
        <v>MGI:1933118</v>
      </c>
      <c r="P244" t="s">
        <v>3088</v>
      </c>
      <c r="Q244" t="s">
        <v>221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1591</v>
      </c>
      <c r="Y244" t="s">
        <v>618</v>
      </c>
      <c r="Z244" t="s">
        <v>32</v>
      </c>
      <c r="AA244" t="s">
        <v>3089</v>
      </c>
      <c r="AB244" t="s">
        <v>928</v>
      </c>
      <c r="AC244" t="s">
        <v>3090</v>
      </c>
      <c r="AD244" t="s">
        <v>32</v>
      </c>
      <c r="AE244" t="s">
        <v>230</v>
      </c>
      <c r="AF244" t="s">
        <v>46835</v>
      </c>
    </row>
    <row r="245" spans="1:32" x14ac:dyDescent="0.2">
      <c r="A245">
        <v>240</v>
      </c>
      <c r="B245" t="s">
        <v>3091</v>
      </c>
      <c r="C245" t="s">
        <v>3092</v>
      </c>
      <c r="D245" t="s">
        <v>32</v>
      </c>
      <c r="E245" t="s">
        <v>3093</v>
      </c>
      <c r="F245" t="s">
        <v>3094</v>
      </c>
      <c r="G245" t="s">
        <v>32</v>
      </c>
      <c r="H245" t="str">
        <f>"Palm2"</f>
        <v>Palm2</v>
      </c>
      <c r="I245" t="s">
        <v>32</v>
      </c>
      <c r="J245" t="s">
        <v>37</v>
      </c>
      <c r="K245">
        <v>10090</v>
      </c>
      <c r="L245" s="3" t="str">
        <f>HYPERLINK("http://www.uniprot.org/uniprot/Q8BR92", "Q8BR92")</f>
        <v>Q8BR92</v>
      </c>
      <c r="M245" t="s">
        <v>3095</v>
      </c>
      <c r="N245" t="str">
        <f>"Palm2"</f>
        <v>Palm2</v>
      </c>
      <c r="O245" s="3" t="str">
        <f>HYPERLINK("http://www.informatics.jax.org/marker/MGI:1934601", "MGI:1934601")</f>
        <v>MGI:1934601</v>
      </c>
      <c r="P245" t="s">
        <v>3096</v>
      </c>
      <c r="Q245" t="s">
        <v>32</v>
      </c>
      <c r="R245" t="s">
        <v>2474</v>
      </c>
      <c r="S245" t="s">
        <v>32</v>
      </c>
      <c r="T245" t="s">
        <v>32</v>
      </c>
      <c r="U245" t="s">
        <v>32</v>
      </c>
      <c r="V245" t="s">
        <v>290</v>
      </c>
      <c r="W245" t="s">
        <v>32</v>
      </c>
      <c r="X245" t="s">
        <v>32</v>
      </c>
      <c r="Y245" t="s">
        <v>3097</v>
      </c>
      <c r="Z245" t="s">
        <v>32</v>
      </c>
      <c r="AA245" t="s">
        <v>3098</v>
      </c>
      <c r="AB245" t="s">
        <v>3099</v>
      </c>
      <c r="AC245" t="s">
        <v>32</v>
      </c>
      <c r="AD245" t="s">
        <v>32</v>
      </c>
      <c r="AE245" t="s">
        <v>32</v>
      </c>
      <c r="AF245" t="s">
        <v>46835</v>
      </c>
    </row>
    <row r="246" spans="1:32" x14ac:dyDescent="0.2">
      <c r="A246">
        <v>241</v>
      </c>
      <c r="B246" t="s">
        <v>3100</v>
      </c>
      <c r="C246" t="s">
        <v>3101</v>
      </c>
      <c r="D246" t="s">
        <v>3102</v>
      </c>
      <c r="E246" t="s">
        <v>3103</v>
      </c>
      <c r="F246" t="s">
        <v>3104</v>
      </c>
      <c r="G246" t="s">
        <v>32</v>
      </c>
      <c r="H246" t="str">
        <f>"Ppib"</f>
        <v>Ppib</v>
      </c>
      <c r="I246" t="s">
        <v>32</v>
      </c>
      <c r="J246" t="s">
        <v>37</v>
      </c>
      <c r="K246">
        <v>10090</v>
      </c>
      <c r="L246" s="3" t="str">
        <f>HYPERLINK("http://www.uniprot.org/uniprot/P24369", "P24369")</f>
        <v>P24369</v>
      </c>
      <c r="M246" t="s">
        <v>3105</v>
      </c>
      <c r="N246" t="str">
        <f>"Ppib"</f>
        <v>Ppib</v>
      </c>
      <c r="O246" s="3" t="str">
        <f>HYPERLINK("http://www.informatics.jax.org/marker/MGI:97750", "MGI:97750")</f>
        <v>MGI:97750</v>
      </c>
      <c r="P246" t="s">
        <v>3106</v>
      </c>
      <c r="Q246" t="s">
        <v>32</v>
      </c>
      <c r="R246" t="s">
        <v>671</v>
      </c>
      <c r="S246" t="s">
        <v>32</v>
      </c>
      <c r="T246" t="s">
        <v>32</v>
      </c>
      <c r="U246" t="s">
        <v>32</v>
      </c>
      <c r="V246" t="s">
        <v>811</v>
      </c>
      <c r="W246" t="s">
        <v>32</v>
      </c>
      <c r="X246" t="s">
        <v>543</v>
      </c>
      <c r="Y246" t="s">
        <v>78</v>
      </c>
      <c r="Z246" t="s">
        <v>32</v>
      </c>
      <c r="AA246" t="s">
        <v>3107</v>
      </c>
      <c r="AB246" t="s">
        <v>3108</v>
      </c>
      <c r="AC246" t="s">
        <v>3109</v>
      </c>
      <c r="AD246" t="s">
        <v>32</v>
      </c>
      <c r="AE246" t="s">
        <v>2061</v>
      </c>
      <c r="AF246" t="s">
        <v>46835</v>
      </c>
    </row>
    <row r="247" spans="1:32" x14ac:dyDescent="0.2">
      <c r="A247">
        <v>242</v>
      </c>
      <c r="B247" t="s">
        <v>3110</v>
      </c>
      <c r="C247" t="s">
        <v>3111</v>
      </c>
      <c r="D247" t="s">
        <v>3112</v>
      </c>
      <c r="E247" t="s">
        <v>3113</v>
      </c>
      <c r="F247" t="s">
        <v>3114</v>
      </c>
      <c r="G247" t="s">
        <v>3115</v>
      </c>
      <c r="H247" t="str">
        <f>"Gstm1"</f>
        <v>Gstm1</v>
      </c>
      <c r="I247" t="s">
        <v>32</v>
      </c>
      <c r="J247" t="s">
        <v>37</v>
      </c>
      <c r="K247">
        <v>10090</v>
      </c>
      <c r="L247" s="3" t="str">
        <f>HYPERLINK("http://www.uniprot.org/uniprot/P10649", "P10649")</f>
        <v>P10649</v>
      </c>
      <c r="M247" t="s">
        <v>3116</v>
      </c>
      <c r="N247" t="str">
        <f>"Gstm1"</f>
        <v>Gstm1</v>
      </c>
      <c r="O247" s="3" t="str">
        <f>HYPERLINK("http://www.informatics.jax.org/marker/MGI:95860", "MGI:95860")</f>
        <v>MGI:95860</v>
      </c>
      <c r="P247" t="s">
        <v>3117</v>
      </c>
      <c r="Q247" t="s">
        <v>598</v>
      </c>
      <c r="R247" t="s">
        <v>418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515</v>
      </c>
      <c r="Y247" t="s">
        <v>618</v>
      </c>
      <c r="Z247" t="s">
        <v>32</v>
      </c>
      <c r="AA247" t="s">
        <v>3118</v>
      </c>
      <c r="AB247" t="s">
        <v>3119</v>
      </c>
      <c r="AC247" t="s">
        <v>3120</v>
      </c>
      <c r="AD247" t="s">
        <v>32</v>
      </c>
      <c r="AE247" t="s">
        <v>3121</v>
      </c>
      <c r="AF247" t="s">
        <v>46835</v>
      </c>
    </row>
    <row r="248" spans="1:32" x14ac:dyDescent="0.2">
      <c r="A248">
        <v>243</v>
      </c>
      <c r="B248" t="s">
        <v>3122</v>
      </c>
      <c r="C248" t="s">
        <v>3123</v>
      </c>
      <c r="D248" t="s">
        <v>32</v>
      </c>
      <c r="E248" t="s">
        <v>3124</v>
      </c>
      <c r="F248" t="s">
        <v>3125</v>
      </c>
      <c r="G248" t="s">
        <v>3126</v>
      </c>
      <c r="H248" t="str">
        <f>"Map4"</f>
        <v>Map4</v>
      </c>
      <c r="I248" t="s">
        <v>3127</v>
      </c>
      <c r="J248" t="s">
        <v>37</v>
      </c>
      <c r="K248">
        <v>10090</v>
      </c>
      <c r="L248" s="3" t="str">
        <f>HYPERLINK("http://www.uniprot.org/uniprot/P27546", "P27546")</f>
        <v>P27546</v>
      </c>
      <c r="M248" t="s">
        <v>3128</v>
      </c>
      <c r="N248" t="str">
        <f>"Map4"</f>
        <v>Map4</v>
      </c>
      <c r="O248" s="3" t="str">
        <f>HYPERLINK("http://www.informatics.jax.org/marker/MGI:97178", "MGI:97178")</f>
        <v>MGI:97178</v>
      </c>
      <c r="P248" t="s">
        <v>3129</v>
      </c>
      <c r="Q248" t="s">
        <v>32</v>
      </c>
      <c r="R248" t="s">
        <v>341</v>
      </c>
      <c r="S248" t="s">
        <v>41</v>
      </c>
      <c r="T248" t="s">
        <v>32</v>
      </c>
      <c r="U248" t="s">
        <v>32</v>
      </c>
      <c r="V248" t="s">
        <v>55</v>
      </c>
      <c r="W248" t="s">
        <v>32</v>
      </c>
      <c r="X248" t="s">
        <v>32</v>
      </c>
      <c r="Y248" t="s">
        <v>516</v>
      </c>
      <c r="Z248" t="s">
        <v>32</v>
      </c>
      <c r="AA248" t="s">
        <v>3130</v>
      </c>
      <c r="AB248" t="s">
        <v>3131</v>
      </c>
      <c r="AC248" t="s">
        <v>3132</v>
      </c>
      <c r="AD248" t="s">
        <v>32</v>
      </c>
      <c r="AE248" t="s">
        <v>32</v>
      </c>
      <c r="AF248" t="s">
        <v>46835</v>
      </c>
    </row>
    <row r="249" spans="1:32" x14ac:dyDescent="0.2">
      <c r="A249">
        <v>244</v>
      </c>
      <c r="B249" t="s">
        <v>3133</v>
      </c>
      <c r="C249" t="s">
        <v>3134</v>
      </c>
      <c r="D249" t="s">
        <v>3135</v>
      </c>
      <c r="E249" t="s">
        <v>3136</v>
      </c>
      <c r="F249" t="s">
        <v>3137</v>
      </c>
      <c r="G249" t="s">
        <v>3138</v>
      </c>
      <c r="H249" t="str">
        <f>"Psma4"</f>
        <v>Psma4</v>
      </c>
      <c r="I249" t="s">
        <v>32</v>
      </c>
      <c r="J249" t="s">
        <v>37</v>
      </c>
      <c r="K249">
        <v>10090</v>
      </c>
      <c r="L249" s="3" t="str">
        <f>HYPERLINK("http://www.uniprot.org/uniprot/Q9R1P0", "Q9R1P0")</f>
        <v>Q9R1P0</v>
      </c>
      <c r="M249" t="s">
        <v>3139</v>
      </c>
      <c r="N249" t="str">
        <f>"Psma4"</f>
        <v>Psma4</v>
      </c>
      <c r="O249" s="3" t="str">
        <f>HYPERLINK("http://www.informatics.jax.org/marker/MGI:1347060", "MGI:1347060")</f>
        <v>MGI:1347060</v>
      </c>
      <c r="P249" t="s">
        <v>3140</v>
      </c>
      <c r="Q249" t="s">
        <v>32</v>
      </c>
      <c r="R249" t="s">
        <v>2586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t="s">
        <v>157</v>
      </c>
      <c r="Z249" t="s">
        <v>126</v>
      </c>
      <c r="AA249" t="s">
        <v>3141</v>
      </c>
      <c r="AB249" t="s">
        <v>3142</v>
      </c>
      <c r="AC249" t="s">
        <v>32</v>
      </c>
      <c r="AD249" t="s">
        <v>32</v>
      </c>
      <c r="AE249" t="s">
        <v>2774</v>
      </c>
      <c r="AF249" t="s">
        <v>46835</v>
      </c>
    </row>
    <row r="250" spans="1:32" x14ac:dyDescent="0.2">
      <c r="A250">
        <v>245</v>
      </c>
      <c r="B250" t="s">
        <v>3143</v>
      </c>
      <c r="C250" t="s">
        <v>3144</v>
      </c>
      <c r="D250" t="s">
        <v>3145</v>
      </c>
      <c r="E250" t="s">
        <v>3146</v>
      </c>
      <c r="F250" t="s">
        <v>3147</v>
      </c>
      <c r="G250" t="s">
        <v>3148</v>
      </c>
      <c r="H250" t="str">
        <f>"Eif5a"</f>
        <v>Eif5a</v>
      </c>
      <c r="I250" t="s">
        <v>32</v>
      </c>
      <c r="J250" t="s">
        <v>37</v>
      </c>
      <c r="K250">
        <v>10090</v>
      </c>
      <c r="L250" s="3" t="str">
        <f>HYPERLINK("http://www.uniprot.org/uniprot/P63242", "P63242")</f>
        <v>P63242</v>
      </c>
      <c r="M250" t="s">
        <v>3149</v>
      </c>
      <c r="N250" t="str">
        <f>"Eif5a"</f>
        <v>Eif5a</v>
      </c>
      <c r="O250" s="3" t="str">
        <f>HYPERLINK("http://www.informatics.jax.org/marker/MGI:106248", "MGI:106248")</f>
        <v>MGI:106248</v>
      </c>
      <c r="P250" t="s">
        <v>3150</v>
      </c>
      <c r="Q250" t="s">
        <v>260</v>
      </c>
      <c r="R250" t="s">
        <v>3151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3152</v>
      </c>
      <c r="Y250" t="s">
        <v>3153</v>
      </c>
      <c r="Z250" t="s">
        <v>32</v>
      </c>
      <c r="AA250" t="s">
        <v>3154</v>
      </c>
      <c r="AB250" t="s">
        <v>3155</v>
      </c>
      <c r="AC250" t="s">
        <v>3156</v>
      </c>
      <c r="AD250" t="s">
        <v>32</v>
      </c>
      <c r="AE250" t="s">
        <v>3157</v>
      </c>
      <c r="AF250" t="s">
        <v>46835</v>
      </c>
    </row>
    <row r="251" spans="1:32" x14ac:dyDescent="0.2">
      <c r="A251">
        <v>246</v>
      </c>
      <c r="B251" t="s">
        <v>3158</v>
      </c>
      <c r="C251" t="s">
        <v>3159</v>
      </c>
      <c r="D251" t="s">
        <v>3160</v>
      </c>
      <c r="E251" t="s">
        <v>3161</v>
      </c>
      <c r="F251" t="s">
        <v>3162</v>
      </c>
      <c r="G251" t="s">
        <v>3163</v>
      </c>
      <c r="H251" t="str">
        <f>"Copb2"</f>
        <v>Copb2</v>
      </c>
      <c r="I251" t="s">
        <v>32</v>
      </c>
      <c r="J251" t="s">
        <v>37</v>
      </c>
      <c r="K251">
        <v>10090</v>
      </c>
      <c r="L251" s="3" t="str">
        <f>HYPERLINK("http://www.uniprot.org/uniprot/O55029", "O55029")</f>
        <v>O55029</v>
      </c>
      <c r="M251" t="s">
        <v>3164</v>
      </c>
      <c r="N251" t="str">
        <f>"Copb2"</f>
        <v>Copb2</v>
      </c>
      <c r="O251" s="3" t="str">
        <f>HYPERLINK("http://www.informatics.jax.org/marker/MGI:1354962", "MGI:1354962")</f>
        <v>MGI:1354962</v>
      </c>
      <c r="P251" t="s">
        <v>3165</v>
      </c>
      <c r="Q251" t="s">
        <v>2916</v>
      </c>
      <c r="R251" t="s">
        <v>3166</v>
      </c>
      <c r="S251" t="s">
        <v>32</v>
      </c>
      <c r="T251" t="s">
        <v>32</v>
      </c>
      <c r="U251" t="s">
        <v>32</v>
      </c>
      <c r="V251" t="s">
        <v>3167</v>
      </c>
      <c r="W251" t="s">
        <v>32</v>
      </c>
      <c r="X251" t="s">
        <v>32</v>
      </c>
      <c r="Y251" t="s">
        <v>157</v>
      </c>
      <c r="Z251" t="s">
        <v>126</v>
      </c>
      <c r="AA251" t="s">
        <v>3168</v>
      </c>
      <c r="AB251" t="s">
        <v>3169</v>
      </c>
      <c r="AC251" t="s">
        <v>3170</v>
      </c>
      <c r="AD251" t="s">
        <v>32</v>
      </c>
      <c r="AE251" t="s">
        <v>3171</v>
      </c>
      <c r="AF251" t="s">
        <v>46835</v>
      </c>
    </row>
    <row r="252" spans="1:32" x14ac:dyDescent="0.2">
      <c r="A252">
        <v>247</v>
      </c>
      <c r="B252" t="s">
        <v>3172</v>
      </c>
      <c r="C252" t="s">
        <v>3173</v>
      </c>
      <c r="D252" t="s">
        <v>32</v>
      </c>
      <c r="E252" t="s">
        <v>3174</v>
      </c>
      <c r="F252" t="s">
        <v>3175</v>
      </c>
      <c r="G252" t="s">
        <v>3176</v>
      </c>
      <c r="H252" t="str">
        <f>"Hnrnpc"</f>
        <v>Hnrnpc</v>
      </c>
      <c r="I252" t="s">
        <v>3177</v>
      </c>
      <c r="J252" t="s">
        <v>37</v>
      </c>
      <c r="K252">
        <v>10090</v>
      </c>
      <c r="L252" s="3" t="str">
        <f>HYPERLINK("http://www.uniprot.org/uniprot/Q9Z204", "Q9Z204")</f>
        <v>Q9Z204</v>
      </c>
      <c r="M252" t="s">
        <v>3178</v>
      </c>
      <c r="N252" t="str">
        <f>"Hnrnpc"</f>
        <v>Hnrnpc</v>
      </c>
      <c r="O252" s="3" t="str">
        <f>HYPERLINK("http://www.informatics.jax.org/marker/MGI:107795", "MGI:107795")</f>
        <v>MGI:107795</v>
      </c>
      <c r="P252" t="s">
        <v>3179</v>
      </c>
      <c r="Q252" t="s">
        <v>2139</v>
      </c>
      <c r="R252" t="s">
        <v>2140</v>
      </c>
      <c r="S252" t="s">
        <v>41</v>
      </c>
      <c r="T252" t="s">
        <v>32</v>
      </c>
      <c r="U252" t="s">
        <v>32</v>
      </c>
      <c r="V252" t="s">
        <v>290</v>
      </c>
      <c r="W252" t="s">
        <v>32</v>
      </c>
      <c r="X252" t="s">
        <v>1129</v>
      </c>
      <c r="Y252" t="s">
        <v>516</v>
      </c>
      <c r="Z252" t="s">
        <v>32</v>
      </c>
      <c r="AA252" t="s">
        <v>3180</v>
      </c>
      <c r="AB252" t="s">
        <v>3181</v>
      </c>
      <c r="AC252" t="s">
        <v>3182</v>
      </c>
      <c r="AD252" t="s">
        <v>32</v>
      </c>
      <c r="AE252" t="s">
        <v>3183</v>
      </c>
      <c r="AF252" t="s">
        <v>46835</v>
      </c>
    </row>
    <row r="253" spans="1:32" x14ac:dyDescent="0.2">
      <c r="A253">
        <v>248</v>
      </c>
      <c r="B253" t="s">
        <v>3184</v>
      </c>
      <c r="C253" t="s">
        <v>3185</v>
      </c>
      <c r="D253" t="s">
        <v>3186</v>
      </c>
      <c r="E253" t="s">
        <v>3187</v>
      </c>
      <c r="F253" t="s">
        <v>3188</v>
      </c>
      <c r="G253" t="s">
        <v>3189</v>
      </c>
      <c r="H253" t="str">
        <f>"Eif3b"</f>
        <v>Eif3b</v>
      </c>
      <c r="I253" t="s">
        <v>3190</v>
      </c>
      <c r="J253" t="s">
        <v>37</v>
      </c>
      <c r="K253">
        <v>10090</v>
      </c>
      <c r="L253" s="3" t="str">
        <f>HYPERLINK("http://www.uniprot.org/uniprot/Q8JZQ9", "Q8JZQ9")</f>
        <v>Q8JZQ9</v>
      </c>
      <c r="M253" t="s">
        <v>3191</v>
      </c>
      <c r="N253" t="str">
        <f>"Eif3b"</f>
        <v>Eif3b</v>
      </c>
      <c r="O253" s="3" t="str">
        <f>HYPERLINK("http://www.informatics.jax.org/marker/MGI:106478", "MGI:106478")</f>
        <v>MGI:106478</v>
      </c>
      <c r="P253" t="s">
        <v>3192</v>
      </c>
      <c r="Q253" t="s">
        <v>260</v>
      </c>
      <c r="R253" t="s">
        <v>418</v>
      </c>
      <c r="S253" t="s">
        <v>32</v>
      </c>
      <c r="T253" t="s">
        <v>32</v>
      </c>
      <c r="U253" t="s">
        <v>32</v>
      </c>
      <c r="V253" t="s">
        <v>1910</v>
      </c>
      <c r="W253" t="s">
        <v>32</v>
      </c>
      <c r="X253" t="s">
        <v>1566</v>
      </c>
      <c r="Y253" t="s">
        <v>157</v>
      </c>
      <c r="Z253" t="s">
        <v>32</v>
      </c>
      <c r="AA253" t="s">
        <v>3193</v>
      </c>
      <c r="AB253" t="s">
        <v>3194</v>
      </c>
      <c r="AC253" t="s">
        <v>3195</v>
      </c>
      <c r="AD253" t="s">
        <v>32</v>
      </c>
      <c r="AE253" t="s">
        <v>1570</v>
      </c>
      <c r="AF253" t="s">
        <v>46835</v>
      </c>
    </row>
    <row r="254" spans="1:32" x14ac:dyDescent="0.2">
      <c r="A254">
        <v>249</v>
      </c>
      <c r="B254" t="s">
        <v>3196</v>
      </c>
      <c r="C254" t="s">
        <v>3197</v>
      </c>
      <c r="D254" t="s">
        <v>3198</v>
      </c>
      <c r="E254" t="s">
        <v>3199</v>
      </c>
      <c r="F254" t="s">
        <v>3200</v>
      </c>
      <c r="G254" t="s">
        <v>3201</v>
      </c>
      <c r="H254" t="str">
        <f>"Akr1b1"</f>
        <v>Akr1b1</v>
      </c>
      <c r="I254" t="s">
        <v>32</v>
      </c>
      <c r="J254" t="s">
        <v>37</v>
      </c>
      <c r="K254">
        <v>10090</v>
      </c>
      <c r="L254" s="3" t="str">
        <f>HYPERLINK("http://www.uniprot.org/uniprot/P45376", "P45376")</f>
        <v>P45376</v>
      </c>
      <c r="M254" t="s">
        <v>3202</v>
      </c>
      <c r="N254" t="str">
        <f>"Akr1b3"</f>
        <v>Akr1b3</v>
      </c>
      <c r="O254" s="3" t="str">
        <f>HYPERLINK("http://www.informatics.jax.org/marker/MGI:1353494", "MGI:1353494")</f>
        <v>MGI:1353494</v>
      </c>
      <c r="P254" t="s">
        <v>3203</v>
      </c>
      <c r="Q254" t="s">
        <v>598</v>
      </c>
      <c r="R254" t="s">
        <v>418</v>
      </c>
      <c r="S254" t="s">
        <v>32</v>
      </c>
      <c r="T254" t="s">
        <v>32</v>
      </c>
      <c r="U254" t="s">
        <v>32</v>
      </c>
      <c r="V254" t="s">
        <v>32</v>
      </c>
      <c r="W254" t="s">
        <v>3204</v>
      </c>
      <c r="X254" t="s">
        <v>600</v>
      </c>
      <c r="Y254" t="s">
        <v>157</v>
      </c>
      <c r="Z254" t="s">
        <v>32</v>
      </c>
      <c r="AA254" t="s">
        <v>3205</v>
      </c>
      <c r="AB254" t="s">
        <v>3206</v>
      </c>
      <c r="AC254" t="s">
        <v>3207</v>
      </c>
      <c r="AD254" t="s">
        <v>32</v>
      </c>
      <c r="AE254" t="s">
        <v>3208</v>
      </c>
      <c r="AF254" t="s">
        <v>46835</v>
      </c>
    </row>
    <row r="255" spans="1:32" x14ac:dyDescent="0.2">
      <c r="A255">
        <v>250</v>
      </c>
      <c r="B255" t="s">
        <v>3209</v>
      </c>
      <c r="C255" t="s">
        <v>3210</v>
      </c>
      <c r="D255" t="s">
        <v>3211</v>
      </c>
      <c r="E255" t="s">
        <v>3212</v>
      </c>
      <c r="F255" t="s">
        <v>3213</v>
      </c>
      <c r="G255" t="s">
        <v>3214</v>
      </c>
      <c r="H255" t="str">
        <f>"Rpl26"</f>
        <v>Rpl26</v>
      </c>
      <c r="I255" t="s">
        <v>32</v>
      </c>
      <c r="J255" t="s">
        <v>37</v>
      </c>
      <c r="K255">
        <v>10090</v>
      </c>
      <c r="L255" s="3" t="str">
        <f>HYPERLINK("http://www.uniprot.org/uniprot/P61255", "P61255")</f>
        <v>P61255</v>
      </c>
      <c r="M255" t="s">
        <v>3215</v>
      </c>
      <c r="N255" t="str">
        <f>"Rpl26"</f>
        <v>Rpl26</v>
      </c>
      <c r="O255" s="3" t="str">
        <f>HYPERLINK("http://www.informatics.jax.org/marker/MGI:106022", "MGI:106022")</f>
        <v>MGI:106022</v>
      </c>
      <c r="P255" t="s">
        <v>1006</v>
      </c>
      <c r="Q255" t="s">
        <v>32</v>
      </c>
      <c r="R255" t="s">
        <v>418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447</v>
      </c>
      <c r="Y255" t="s">
        <v>1007</v>
      </c>
      <c r="Z255" t="s">
        <v>126</v>
      </c>
      <c r="AA255" t="s">
        <v>3216</v>
      </c>
      <c r="AB255" t="s">
        <v>3217</v>
      </c>
      <c r="AC255" t="s">
        <v>3218</v>
      </c>
      <c r="AD255" t="s">
        <v>32</v>
      </c>
      <c r="AE255" t="s">
        <v>765</v>
      </c>
      <c r="AF255" t="s">
        <v>46835</v>
      </c>
    </row>
    <row r="256" spans="1:32" x14ac:dyDescent="0.2">
      <c r="A256">
        <v>251</v>
      </c>
      <c r="B256" t="s">
        <v>3219</v>
      </c>
      <c r="C256" t="s">
        <v>3220</v>
      </c>
      <c r="D256" t="s">
        <v>3221</v>
      </c>
      <c r="E256" t="s">
        <v>3222</v>
      </c>
      <c r="F256" t="s">
        <v>3223</v>
      </c>
      <c r="G256" t="s">
        <v>3224</v>
      </c>
      <c r="H256" t="str">
        <f>"Lamb1"</f>
        <v>Lamb1</v>
      </c>
      <c r="I256" t="s">
        <v>3225</v>
      </c>
      <c r="J256" t="s">
        <v>37</v>
      </c>
      <c r="K256">
        <v>10090</v>
      </c>
      <c r="L256" s="3" t="str">
        <f>HYPERLINK("http://www.uniprot.org/uniprot/P02469", "P02469")</f>
        <v>P02469</v>
      </c>
      <c r="M256" t="s">
        <v>3226</v>
      </c>
      <c r="N256" t="str">
        <f>"Lamb1"</f>
        <v>Lamb1</v>
      </c>
      <c r="O256" s="3" t="str">
        <f>HYPERLINK("http://www.informatics.jax.org/marker/MGI:96743", "MGI:96743")</f>
        <v>MGI:96743</v>
      </c>
      <c r="P256" t="s">
        <v>3227</v>
      </c>
      <c r="Q256" t="s">
        <v>2784</v>
      </c>
      <c r="R256" t="s">
        <v>2785</v>
      </c>
      <c r="S256" t="s">
        <v>32</v>
      </c>
      <c r="T256" t="s">
        <v>32</v>
      </c>
      <c r="U256" t="s">
        <v>32</v>
      </c>
      <c r="V256" t="s">
        <v>3228</v>
      </c>
      <c r="W256" t="s">
        <v>32</v>
      </c>
      <c r="X256" t="s">
        <v>32</v>
      </c>
      <c r="Y256" t="s">
        <v>2865</v>
      </c>
      <c r="Z256" t="s">
        <v>126</v>
      </c>
      <c r="AA256" t="s">
        <v>3229</v>
      </c>
      <c r="AB256" t="s">
        <v>3230</v>
      </c>
      <c r="AC256" t="s">
        <v>3231</v>
      </c>
      <c r="AD256" t="s">
        <v>32</v>
      </c>
      <c r="AE256" t="s">
        <v>32</v>
      </c>
      <c r="AF256" t="s">
        <v>46835</v>
      </c>
    </row>
    <row r="257" spans="1:32" x14ac:dyDescent="0.2">
      <c r="A257">
        <v>252</v>
      </c>
      <c r="B257" t="s">
        <v>3232</v>
      </c>
      <c r="C257" t="s">
        <v>3233</v>
      </c>
      <c r="D257" t="s">
        <v>3234</v>
      </c>
      <c r="E257" t="s">
        <v>3235</v>
      </c>
      <c r="F257" t="s">
        <v>3236</v>
      </c>
      <c r="G257" t="s">
        <v>32</v>
      </c>
      <c r="H257" t="str">
        <f>"Eif3j1"</f>
        <v>Eif3j1</v>
      </c>
      <c r="I257" t="s">
        <v>3237</v>
      </c>
      <c r="J257" t="s">
        <v>37</v>
      </c>
      <c r="K257">
        <v>10090</v>
      </c>
      <c r="L257" s="3" t="str">
        <f>HYPERLINK("http://www.uniprot.org/uniprot/Q3UGC7", "Q3UGC7")</f>
        <v>Q3UGC7</v>
      </c>
      <c r="M257" t="s">
        <v>3238</v>
      </c>
      <c r="N257" t="str">
        <f>"Eif3j1"</f>
        <v>Eif3j1</v>
      </c>
      <c r="O257" s="3" t="str">
        <f>HYPERLINK("http://www.informatics.jax.org/marker/MGI:1925905", "MGI:1925905")</f>
        <v>MGI:1925905</v>
      </c>
      <c r="P257" t="s">
        <v>3239</v>
      </c>
      <c r="Q257" t="s">
        <v>260</v>
      </c>
      <c r="R257" t="s">
        <v>418</v>
      </c>
      <c r="S257" t="s">
        <v>32</v>
      </c>
      <c r="T257" t="s">
        <v>32</v>
      </c>
      <c r="U257" t="s">
        <v>32</v>
      </c>
      <c r="V257" t="s">
        <v>290</v>
      </c>
      <c r="W257" t="s">
        <v>32</v>
      </c>
      <c r="X257" t="s">
        <v>2675</v>
      </c>
      <c r="Y257" t="s">
        <v>1007</v>
      </c>
      <c r="Z257" t="s">
        <v>32</v>
      </c>
      <c r="AA257" t="s">
        <v>3240</v>
      </c>
      <c r="AB257" t="s">
        <v>3241</v>
      </c>
      <c r="AC257" t="s">
        <v>3242</v>
      </c>
      <c r="AD257" t="s">
        <v>32</v>
      </c>
      <c r="AE257" t="s">
        <v>1570</v>
      </c>
      <c r="AF257" t="s">
        <v>46835</v>
      </c>
    </row>
    <row r="258" spans="1:32" x14ac:dyDescent="0.2">
      <c r="A258">
        <v>253</v>
      </c>
      <c r="B258" t="s">
        <v>3243</v>
      </c>
      <c r="C258" t="s">
        <v>3244</v>
      </c>
      <c r="D258" t="s">
        <v>32</v>
      </c>
      <c r="E258" t="s">
        <v>3245</v>
      </c>
      <c r="F258" t="s">
        <v>3246</v>
      </c>
      <c r="G258" t="s">
        <v>3247</v>
      </c>
      <c r="H258" t="str">
        <f>"Hnrnpl"</f>
        <v>Hnrnpl</v>
      </c>
      <c r="I258" t="s">
        <v>3248</v>
      </c>
      <c r="J258" t="s">
        <v>37</v>
      </c>
      <c r="K258">
        <v>10090</v>
      </c>
      <c r="L258" s="3" t="str">
        <f>HYPERLINK("http://www.uniprot.org/uniprot/Q8R081", "Q8R081")</f>
        <v>Q8R081</v>
      </c>
      <c r="M258" t="s">
        <v>3249</v>
      </c>
      <c r="N258" t="str">
        <f>"Hnrnpl"</f>
        <v>Hnrnpl</v>
      </c>
      <c r="O258" s="3" t="str">
        <f>HYPERLINK("http://www.informatics.jax.org/marker/MGI:104816", "MGI:104816")</f>
        <v>MGI:104816</v>
      </c>
      <c r="P258" t="s">
        <v>3250</v>
      </c>
      <c r="Q258" t="s">
        <v>32</v>
      </c>
      <c r="R258" t="s">
        <v>40</v>
      </c>
      <c r="S258" t="s">
        <v>32</v>
      </c>
      <c r="T258" t="s">
        <v>32</v>
      </c>
      <c r="U258" t="s">
        <v>32</v>
      </c>
      <c r="V258" t="s">
        <v>55</v>
      </c>
      <c r="W258" t="s">
        <v>32</v>
      </c>
      <c r="X258" t="s">
        <v>1129</v>
      </c>
      <c r="Y258" t="s">
        <v>207</v>
      </c>
      <c r="Z258" t="s">
        <v>126</v>
      </c>
      <c r="AA258" t="s">
        <v>3251</v>
      </c>
      <c r="AB258" t="s">
        <v>3252</v>
      </c>
      <c r="AC258" t="s">
        <v>3253</v>
      </c>
      <c r="AD258" t="s">
        <v>32</v>
      </c>
      <c r="AE258" t="s">
        <v>946</v>
      </c>
      <c r="AF258" t="s">
        <v>46835</v>
      </c>
    </row>
    <row r="259" spans="1:32" x14ac:dyDescent="0.2">
      <c r="A259">
        <v>254</v>
      </c>
      <c r="B259" t="s">
        <v>3254</v>
      </c>
      <c r="C259" t="s">
        <v>3255</v>
      </c>
      <c r="D259" t="s">
        <v>3256</v>
      </c>
      <c r="E259" t="s">
        <v>3257</v>
      </c>
      <c r="F259" t="s">
        <v>3258</v>
      </c>
      <c r="G259" t="s">
        <v>3259</v>
      </c>
      <c r="H259" t="str">
        <f>"Myh10"</f>
        <v>Myh10</v>
      </c>
      <c r="I259" t="s">
        <v>32</v>
      </c>
      <c r="J259" t="s">
        <v>37</v>
      </c>
      <c r="K259">
        <v>10090</v>
      </c>
      <c r="L259" s="3" t="str">
        <f>HYPERLINK("http://www.uniprot.org/uniprot/Q61879", "Q61879")</f>
        <v>Q61879</v>
      </c>
      <c r="M259" t="s">
        <v>3260</v>
      </c>
      <c r="N259" t="str">
        <f>"Myh10"</f>
        <v>Myh10</v>
      </c>
      <c r="O259" s="3" t="str">
        <f>HYPERLINK("http://www.informatics.jax.org/marker/MGI:1930780", "MGI:1930780")</f>
        <v>MGI:1930780</v>
      </c>
      <c r="P259" t="s">
        <v>3261</v>
      </c>
      <c r="Q259" t="s">
        <v>1364</v>
      </c>
      <c r="R259" t="s">
        <v>3262</v>
      </c>
      <c r="S259" t="s">
        <v>32</v>
      </c>
      <c r="T259" t="s">
        <v>32</v>
      </c>
      <c r="U259" t="s">
        <v>32</v>
      </c>
      <c r="V259" t="s">
        <v>290</v>
      </c>
      <c r="W259" t="s">
        <v>205</v>
      </c>
      <c r="X259" t="s">
        <v>1366</v>
      </c>
      <c r="Y259" t="s">
        <v>97</v>
      </c>
      <c r="Z259" t="s">
        <v>32</v>
      </c>
      <c r="AA259" t="s">
        <v>3263</v>
      </c>
      <c r="AB259" t="s">
        <v>3264</v>
      </c>
      <c r="AC259" t="s">
        <v>3265</v>
      </c>
      <c r="AD259" t="s">
        <v>32</v>
      </c>
      <c r="AE259" t="s">
        <v>3266</v>
      </c>
      <c r="AF259" t="s">
        <v>46835</v>
      </c>
    </row>
    <row r="260" spans="1:32" x14ac:dyDescent="0.2">
      <c r="A260">
        <v>255</v>
      </c>
      <c r="B260" t="s">
        <v>3267</v>
      </c>
      <c r="C260" t="s">
        <v>3268</v>
      </c>
      <c r="D260" t="s">
        <v>3269</v>
      </c>
      <c r="E260" t="s">
        <v>3270</v>
      </c>
      <c r="F260" t="s">
        <v>3271</v>
      </c>
      <c r="G260" t="s">
        <v>3272</v>
      </c>
      <c r="H260" t="str">
        <f>"Igf2bp1"</f>
        <v>Igf2bp1</v>
      </c>
      <c r="I260" t="s">
        <v>3273</v>
      </c>
      <c r="J260" t="s">
        <v>37</v>
      </c>
      <c r="K260">
        <v>10090</v>
      </c>
      <c r="L260" s="3" t="str">
        <f>HYPERLINK("http://www.uniprot.org/uniprot/O88477", "O88477")</f>
        <v>O88477</v>
      </c>
      <c r="M260" t="s">
        <v>3274</v>
      </c>
      <c r="N260" t="str">
        <f>"Igf2bp1"</f>
        <v>Igf2bp1</v>
      </c>
      <c r="O260" s="3" t="str">
        <f>HYPERLINK("http://www.informatics.jax.org/marker/MGI:1890357", "MGI:1890357")</f>
        <v>MGI:1890357</v>
      </c>
      <c r="P260" t="s">
        <v>3275</v>
      </c>
      <c r="Q260" t="s">
        <v>3276</v>
      </c>
      <c r="R260" t="s">
        <v>3277</v>
      </c>
      <c r="S260" t="s">
        <v>32</v>
      </c>
      <c r="T260" t="s">
        <v>32</v>
      </c>
      <c r="U260" t="s">
        <v>32</v>
      </c>
      <c r="V260" t="s">
        <v>55</v>
      </c>
      <c r="W260" t="s">
        <v>32</v>
      </c>
      <c r="X260" t="s">
        <v>1282</v>
      </c>
      <c r="Y260" t="s">
        <v>618</v>
      </c>
      <c r="Z260" t="s">
        <v>32</v>
      </c>
      <c r="AA260" t="s">
        <v>3278</v>
      </c>
      <c r="AB260" t="s">
        <v>3279</v>
      </c>
      <c r="AC260" t="s">
        <v>3280</v>
      </c>
      <c r="AD260" t="s">
        <v>32</v>
      </c>
      <c r="AE260" t="s">
        <v>32</v>
      </c>
      <c r="AF260" t="s">
        <v>46835</v>
      </c>
    </row>
    <row r="261" spans="1:32" x14ac:dyDescent="0.2">
      <c r="A261">
        <v>256</v>
      </c>
      <c r="B261" t="s">
        <v>3281</v>
      </c>
      <c r="C261" t="s">
        <v>3282</v>
      </c>
      <c r="D261" t="s">
        <v>3283</v>
      </c>
      <c r="E261" t="s">
        <v>3284</v>
      </c>
      <c r="F261" t="s">
        <v>3285</v>
      </c>
      <c r="G261" t="s">
        <v>3286</v>
      </c>
      <c r="H261" t="str">
        <f>"Aldoc"</f>
        <v>Aldoc</v>
      </c>
      <c r="I261" t="s">
        <v>3287</v>
      </c>
      <c r="J261" t="s">
        <v>37</v>
      </c>
      <c r="K261">
        <v>10090</v>
      </c>
      <c r="L261" s="3" t="str">
        <f>HYPERLINK("http://www.uniprot.org/uniprot/P05063", "P05063")</f>
        <v>P05063</v>
      </c>
      <c r="M261" t="s">
        <v>3288</v>
      </c>
      <c r="N261" t="str">
        <f>"Aldoc"</f>
        <v>Aldoc</v>
      </c>
      <c r="O261" s="3" t="str">
        <f>HYPERLINK("http://www.informatics.jax.org/marker/MGI:101863", "MGI:101863")</f>
        <v>MGI:101863</v>
      </c>
      <c r="P261" t="s">
        <v>3289</v>
      </c>
      <c r="Q261" t="s">
        <v>221</v>
      </c>
      <c r="R261" t="s">
        <v>32</v>
      </c>
      <c r="S261" t="s">
        <v>32</v>
      </c>
      <c r="T261" t="s">
        <v>32</v>
      </c>
      <c r="U261" t="s">
        <v>32</v>
      </c>
      <c r="V261" t="s">
        <v>32</v>
      </c>
      <c r="W261" t="s">
        <v>981</v>
      </c>
      <c r="X261" t="s">
        <v>224</v>
      </c>
      <c r="Y261" t="s">
        <v>157</v>
      </c>
      <c r="Z261" t="s">
        <v>32</v>
      </c>
      <c r="AA261" t="s">
        <v>3290</v>
      </c>
      <c r="AB261" t="s">
        <v>3291</v>
      </c>
      <c r="AC261" t="s">
        <v>3292</v>
      </c>
      <c r="AD261" t="s">
        <v>985</v>
      </c>
      <c r="AE261" t="s">
        <v>1595</v>
      </c>
      <c r="AF261" t="s">
        <v>46835</v>
      </c>
    </row>
    <row r="262" spans="1:32" x14ac:dyDescent="0.2">
      <c r="A262">
        <v>257</v>
      </c>
      <c r="B262" t="s">
        <v>3293</v>
      </c>
      <c r="C262" t="s">
        <v>3294</v>
      </c>
      <c r="D262" t="s">
        <v>3295</v>
      </c>
      <c r="E262" t="s">
        <v>3296</v>
      </c>
      <c r="F262" t="s">
        <v>3297</v>
      </c>
      <c r="G262" t="s">
        <v>3298</v>
      </c>
      <c r="H262" t="str">
        <f>"Set"</f>
        <v>Set</v>
      </c>
      <c r="I262" t="s">
        <v>32</v>
      </c>
      <c r="J262" t="s">
        <v>37</v>
      </c>
      <c r="K262">
        <v>10090</v>
      </c>
      <c r="L262" s="3" t="str">
        <f>HYPERLINK("http://www.uniprot.org/uniprot/Q9EQU5", "Q9EQU5")</f>
        <v>Q9EQU5</v>
      </c>
      <c r="M262" t="s">
        <v>3299</v>
      </c>
      <c r="N262" t="str">
        <f>"Set"</f>
        <v>Set</v>
      </c>
      <c r="O262" s="3" t="str">
        <f>HYPERLINK("http://www.informatics.jax.org/marker/MGI:1860267", "MGI:1860267")</f>
        <v>MGI:1860267</v>
      </c>
      <c r="P262" t="s">
        <v>3300</v>
      </c>
      <c r="Q262" t="s">
        <v>32</v>
      </c>
      <c r="R262" t="s">
        <v>729</v>
      </c>
      <c r="S262" t="s">
        <v>41</v>
      </c>
      <c r="T262" t="s">
        <v>32</v>
      </c>
      <c r="U262" t="s">
        <v>32</v>
      </c>
      <c r="V262" t="s">
        <v>32</v>
      </c>
      <c r="W262" t="s">
        <v>32</v>
      </c>
      <c r="X262" t="s">
        <v>3301</v>
      </c>
      <c r="Y262" t="s">
        <v>207</v>
      </c>
      <c r="Z262" t="s">
        <v>32</v>
      </c>
      <c r="AA262" t="s">
        <v>3302</v>
      </c>
      <c r="AB262" t="s">
        <v>3303</v>
      </c>
      <c r="AC262" t="s">
        <v>3304</v>
      </c>
      <c r="AD262" t="s">
        <v>32</v>
      </c>
      <c r="AE262" t="s">
        <v>3305</v>
      </c>
      <c r="AF262" t="s">
        <v>46835</v>
      </c>
    </row>
    <row r="263" spans="1:32" x14ac:dyDescent="0.2">
      <c r="A263">
        <v>258</v>
      </c>
      <c r="B263" t="s">
        <v>3306</v>
      </c>
      <c r="C263" t="s">
        <v>3307</v>
      </c>
      <c r="D263" t="s">
        <v>32</v>
      </c>
      <c r="E263" t="s">
        <v>3308</v>
      </c>
      <c r="F263" t="s">
        <v>3309</v>
      </c>
      <c r="G263" t="s">
        <v>3310</v>
      </c>
      <c r="H263" t="str">
        <f>"Rpl12"</f>
        <v>Rpl12</v>
      </c>
      <c r="I263" t="s">
        <v>32</v>
      </c>
      <c r="J263" t="s">
        <v>37</v>
      </c>
      <c r="K263">
        <v>10090</v>
      </c>
      <c r="L263" s="3" t="str">
        <f>HYPERLINK("http://www.uniprot.org/uniprot/P35979", "P35979")</f>
        <v>P35979</v>
      </c>
      <c r="M263" t="s">
        <v>3311</v>
      </c>
      <c r="N263" t="str">
        <f>"Rpl12"</f>
        <v>Rpl12</v>
      </c>
      <c r="O263" s="3" t="str">
        <f>HYPERLINK("http://www.informatics.jax.org/marker/MGI:98002", "MGI:98002")</f>
        <v>MGI:98002</v>
      </c>
      <c r="P263" t="s">
        <v>3312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1077</v>
      </c>
      <c r="Y263" t="s">
        <v>516</v>
      </c>
      <c r="Z263" t="s">
        <v>126</v>
      </c>
      <c r="AA263" t="s">
        <v>1792</v>
      </c>
      <c r="AB263" t="s">
        <v>3313</v>
      </c>
      <c r="AC263" t="s">
        <v>2070</v>
      </c>
      <c r="AD263" t="s">
        <v>32</v>
      </c>
      <c r="AE263" t="s">
        <v>765</v>
      </c>
      <c r="AF263" t="s">
        <v>46835</v>
      </c>
    </row>
    <row r="264" spans="1:32" x14ac:dyDescent="0.2">
      <c r="A264">
        <v>259</v>
      </c>
      <c r="B264" t="s">
        <v>3314</v>
      </c>
      <c r="C264" t="s">
        <v>3315</v>
      </c>
      <c r="D264" t="s">
        <v>3316</v>
      </c>
      <c r="E264" t="s">
        <v>3317</v>
      </c>
      <c r="F264" t="s">
        <v>3318</v>
      </c>
      <c r="G264" t="s">
        <v>3319</v>
      </c>
      <c r="H264" t="str">
        <f>"Rpl10"</f>
        <v>Rpl10</v>
      </c>
      <c r="I264" t="s">
        <v>3320</v>
      </c>
      <c r="J264" t="s">
        <v>37</v>
      </c>
      <c r="K264">
        <v>10090</v>
      </c>
      <c r="L264" s="3" t="str">
        <f>HYPERLINK("http://www.uniprot.org/uniprot/Q6ZWV3", "Q6ZWV3")</f>
        <v>Q6ZWV3</v>
      </c>
      <c r="M264" t="s">
        <v>3321</v>
      </c>
      <c r="N264" t="str">
        <f>"Rpl10"</f>
        <v>Rpl10</v>
      </c>
      <c r="O264" s="3" t="str">
        <f>HYPERLINK("http://www.informatics.jax.org/marker/MGI:105943", "MGI:105943")</f>
        <v>MGI:105943</v>
      </c>
      <c r="P264" t="s">
        <v>3322</v>
      </c>
      <c r="Q264" t="s">
        <v>1680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1911</v>
      </c>
      <c r="Y264" t="s">
        <v>3323</v>
      </c>
      <c r="Z264" t="s">
        <v>126</v>
      </c>
      <c r="AA264" t="s">
        <v>3324</v>
      </c>
      <c r="AB264" t="s">
        <v>3325</v>
      </c>
      <c r="AC264" t="s">
        <v>3326</v>
      </c>
      <c r="AD264" t="s">
        <v>32</v>
      </c>
      <c r="AE264" t="s">
        <v>765</v>
      </c>
      <c r="AF264" t="s">
        <v>46835</v>
      </c>
    </row>
    <row r="265" spans="1:32" x14ac:dyDescent="0.2">
      <c r="A265">
        <v>260</v>
      </c>
      <c r="B265" t="s">
        <v>3327</v>
      </c>
      <c r="C265" t="s">
        <v>3328</v>
      </c>
      <c r="D265" t="s">
        <v>3329</v>
      </c>
      <c r="E265" t="s">
        <v>3330</v>
      </c>
      <c r="F265" t="s">
        <v>3331</v>
      </c>
      <c r="G265" t="s">
        <v>32</v>
      </c>
      <c r="H265" t="str">
        <f>"Eno3"</f>
        <v>Eno3</v>
      </c>
      <c r="I265" t="s">
        <v>3332</v>
      </c>
      <c r="J265" t="s">
        <v>37</v>
      </c>
      <c r="K265">
        <v>10090</v>
      </c>
      <c r="L265" s="3" t="str">
        <f>HYPERLINK("http://www.uniprot.org/uniprot/P21550", "P21550")</f>
        <v>P21550</v>
      </c>
      <c r="M265" t="s">
        <v>3333</v>
      </c>
      <c r="N265" t="str">
        <f>"Eno3"</f>
        <v>Eno3</v>
      </c>
      <c r="O265" s="3" t="str">
        <f>HYPERLINK("http://www.informatics.jax.org/marker/MGI:95395", "MGI:95395")</f>
        <v>MGI:95395</v>
      </c>
      <c r="P265" t="s">
        <v>3334</v>
      </c>
      <c r="Q265" t="s">
        <v>221</v>
      </c>
      <c r="R265" t="s">
        <v>418</v>
      </c>
      <c r="S265" t="s">
        <v>32</v>
      </c>
      <c r="T265" t="s">
        <v>32</v>
      </c>
      <c r="U265" t="s">
        <v>32</v>
      </c>
      <c r="V265" t="s">
        <v>32</v>
      </c>
      <c r="W265" t="s">
        <v>223</v>
      </c>
      <c r="X265" t="s">
        <v>224</v>
      </c>
      <c r="Y265" t="s">
        <v>157</v>
      </c>
      <c r="Z265" t="s">
        <v>32</v>
      </c>
      <c r="AA265" t="s">
        <v>3335</v>
      </c>
      <c r="AB265" t="s">
        <v>3336</v>
      </c>
      <c r="AC265" t="s">
        <v>3337</v>
      </c>
      <c r="AD265" t="s">
        <v>3338</v>
      </c>
      <c r="AE265" t="s">
        <v>230</v>
      </c>
      <c r="AF265" t="s">
        <v>46835</v>
      </c>
    </row>
    <row r="266" spans="1:32" x14ac:dyDescent="0.2">
      <c r="A266">
        <v>261</v>
      </c>
      <c r="B266" t="s">
        <v>3339</v>
      </c>
      <c r="C266" t="s">
        <v>3340</v>
      </c>
      <c r="D266" t="s">
        <v>3341</v>
      </c>
      <c r="E266" t="s">
        <v>3342</v>
      </c>
      <c r="F266" t="s">
        <v>3343</v>
      </c>
      <c r="G266" t="s">
        <v>3344</v>
      </c>
      <c r="H266" t="str">
        <f>"Psmc1"</f>
        <v>Psmc1</v>
      </c>
      <c r="I266" t="s">
        <v>32</v>
      </c>
      <c r="J266" t="s">
        <v>37</v>
      </c>
      <c r="K266">
        <v>10090</v>
      </c>
      <c r="L266" s="3" t="str">
        <f>HYPERLINK("http://www.uniprot.org/uniprot/P62192", "P62192")</f>
        <v>P62192</v>
      </c>
      <c r="M266" t="s">
        <v>3345</v>
      </c>
      <c r="N266" t="str">
        <f>"Psmc1"</f>
        <v>Psmc1</v>
      </c>
      <c r="O266" s="3" t="str">
        <f>HYPERLINK("http://www.informatics.jax.org/marker/MGI:106054", "MGI:106054")</f>
        <v>MGI:106054</v>
      </c>
      <c r="P266" t="s">
        <v>3346</v>
      </c>
      <c r="Q266" t="s">
        <v>32</v>
      </c>
      <c r="R266" t="s">
        <v>3347</v>
      </c>
      <c r="S266" t="s">
        <v>32</v>
      </c>
      <c r="T266" t="s">
        <v>32</v>
      </c>
      <c r="U266" t="s">
        <v>32</v>
      </c>
      <c r="V266" t="s">
        <v>32</v>
      </c>
      <c r="W266" t="s">
        <v>205</v>
      </c>
      <c r="X266" t="s">
        <v>32</v>
      </c>
      <c r="Y266" t="s">
        <v>2547</v>
      </c>
      <c r="Z266" t="s">
        <v>32</v>
      </c>
      <c r="AA266" t="s">
        <v>3348</v>
      </c>
      <c r="AB266" t="s">
        <v>3349</v>
      </c>
      <c r="AC266" t="s">
        <v>3350</v>
      </c>
      <c r="AD266" t="s">
        <v>32</v>
      </c>
      <c r="AE266" t="s">
        <v>3351</v>
      </c>
      <c r="AF266" t="s">
        <v>46835</v>
      </c>
    </row>
    <row r="267" spans="1:32" x14ac:dyDescent="0.2">
      <c r="A267">
        <v>262</v>
      </c>
      <c r="B267" t="s">
        <v>3352</v>
      </c>
      <c r="C267" t="s">
        <v>3353</v>
      </c>
      <c r="D267" t="s">
        <v>3354</v>
      </c>
      <c r="E267" t="s">
        <v>3355</v>
      </c>
      <c r="F267" t="s">
        <v>3356</v>
      </c>
      <c r="G267" t="s">
        <v>3357</v>
      </c>
      <c r="H267" t="str">
        <f>"Yars1"</f>
        <v>Yars1</v>
      </c>
      <c r="I267" t="s">
        <v>3358</v>
      </c>
      <c r="J267" t="s">
        <v>37</v>
      </c>
      <c r="K267">
        <v>10090</v>
      </c>
      <c r="L267" s="3" t="str">
        <f>HYPERLINK("http://www.uniprot.org/uniprot/Q91WQ3", "Q91WQ3")</f>
        <v>Q91WQ3</v>
      </c>
      <c r="M267" t="s">
        <v>3359</v>
      </c>
      <c r="N267" t="str">
        <f>"Yars"</f>
        <v>Yars</v>
      </c>
      <c r="O267" s="3" t="str">
        <f>HYPERLINK("http://www.informatics.jax.org/marker/MGI:2147627", "MGI:2147627")</f>
        <v>MGI:2147627</v>
      </c>
      <c r="P267" t="s">
        <v>3360</v>
      </c>
      <c r="Q267" t="s">
        <v>260</v>
      </c>
      <c r="R267" t="s">
        <v>40</v>
      </c>
      <c r="S267" t="s">
        <v>32</v>
      </c>
      <c r="T267" t="s">
        <v>32</v>
      </c>
      <c r="U267" t="s">
        <v>32</v>
      </c>
      <c r="V267" t="s">
        <v>32</v>
      </c>
      <c r="W267" t="s">
        <v>205</v>
      </c>
      <c r="X267" t="s">
        <v>3361</v>
      </c>
      <c r="Y267" t="s">
        <v>157</v>
      </c>
      <c r="Z267" t="s">
        <v>32</v>
      </c>
      <c r="AA267" t="s">
        <v>3362</v>
      </c>
      <c r="AB267" t="s">
        <v>3363</v>
      </c>
      <c r="AC267" t="s">
        <v>3364</v>
      </c>
      <c r="AD267" t="s">
        <v>32</v>
      </c>
      <c r="AE267" t="s">
        <v>32</v>
      </c>
      <c r="AF267" t="s">
        <v>46835</v>
      </c>
    </row>
    <row r="268" spans="1:32" x14ac:dyDescent="0.2">
      <c r="A268">
        <v>263</v>
      </c>
      <c r="B268" t="s">
        <v>3365</v>
      </c>
      <c r="C268" t="s">
        <v>3366</v>
      </c>
      <c r="D268" t="s">
        <v>3367</v>
      </c>
      <c r="E268" t="s">
        <v>3368</v>
      </c>
      <c r="F268" t="s">
        <v>3369</v>
      </c>
      <c r="G268" t="s">
        <v>32</v>
      </c>
      <c r="H268" t="str">
        <f>"Psat1"</f>
        <v>Psat1</v>
      </c>
      <c r="I268" t="s">
        <v>3370</v>
      </c>
      <c r="J268" t="s">
        <v>37</v>
      </c>
      <c r="K268">
        <v>10090</v>
      </c>
      <c r="L268" s="3" t="str">
        <f>HYPERLINK("http://www.uniprot.org/uniprot/Q99K85", "Q99K85")</f>
        <v>Q99K85</v>
      </c>
      <c r="M268" t="s">
        <v>3371</v>
      </c>
      <c r="N268" t="str">
        <f>"Psat1"</f>
        <v>Psat1</v>
      </c>
      <c r="O268" s="3" t="str">
        <f>HYPERLINK("http://www.informatics.jax.org/marker/MGI:2183441", "MGI:2183441")</f>
        <v>MGI:2183441</v>
      </c>
      <c r="P268" t="s">
        <v>3372</v>
      </c>
      <c r="Q268" t="s">
        <v>2043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3373</v>
      </c>
      <c r="X268" t="s">
        <v>3374</v>
      </c>
      <c r="Y268" t="s">
        <v>157</v>
      </c>
      <c r="Z268" t="s">
        <v>32</v>
      </c>
      <c r="AA268" t="s">
        <v>3375</v>
      </c>
      <c r="AB268" t="s">
        <v>2206</v>
      </c>
      <c r="AC268" t="s">
        <v>3376</v>
      </c>
      <c r="AD268" t="s">
        <v>3377</v>
      </c>
      <c r="AE268" t="s">
        <v>2048</v>
      </c>
      <c r="AF268" t="s">
        <v>46835</v>
      </c>
    </row>
    <row r="269" spans="1:32" x14ac:dyDescent="0.2">
      <c r="A269">
        <v>264</v>
      </c>
      <c r="B269" t="s">
        <v>3378</v>
      </c>
      <c r="C269" t="s">
        <v>3379</v>
      </c>
      <c r="D269" t="s">
        <v>3380</v>
      </c>
      <c r="E269" t="s">
        <v>3381</v>
      </c>
      <c r="F269" t="s">
        <v>3382</v>
      </c>
      <c r="G269" t="s">
        <v>3383</v>
      </c>
      <c r="H269" t="str">
        <f>"Aco2"</f>
        <v>Aco2</v>
      </c>
      <c r="I269" t="s">
        <v>32</v>
      </c>
      <c r="J269" t="s">
        <v>37</v>
      </c>
      <c r="K269">
        <v>10090</v>
      </c>
      <c r="L269" s="3" t="str">
        <f>HYPERLINK("http://www.uniprot.org/uniprot/Q99KI0", "Q99KI0")</f>
        <v>Q99KI0</v>
      </c>
      <c r="M269" t="s">
        <v>3384</v>
      </c>
      <c r="N269" t="str">
        <f>"Aco2"</f>
        <v>Aco2</v>
      </c>
      <c r="O269" s="3" t="str">
        <f>HYPERLINK("http://www.informatics.jax.org/marker/MGI:87880", "MGI:87880")</f>
        <v>MGI:87880</v>
      </c>
      <c r="P269" t="s">
        <v>3385</v>
      </c>
      <c r="Q269" t="s">
        <v>1756</v>
      </c>
      <c r="R269" t="s">
        <v>1038</v>
      </c>
      <c r="S269" t="s">
        <v>32</v>
      </c>
      <c r="T269" t="s">
        <v>32</v>
      </c>
      <c r="U269" t="s">
        <v>32</v>
      </c>
      <c r="V269" t="s">
        <v>1039</v>
      </c>
      <c r="W269" t="s">
        <v>3386</v>
      </c>
      <c r="X269" t="s">
        <v>224</v>
      </c>
      <c r="Y269" t="s">
        <v>157</v>
      </c>
      <c r="Z269" t="s">
        <v>32</v>
      </c>
      <c r="AA269" t="s">
        <v>3387</v>
      </c>
      <c r="AB269" t="s">
        <v>1093</v>
      </c>
      <c r="AC269" t="s">
        <v>3388</v>
      </c>
      <c r="AD269" t="s">
        <v>3389</v>
      </c>
      <c r="AE269" t="s">
        <v>3390</v>
      </c>
      <c r="AF269" t="s">
        <v>46835</v>
      </c>
    </row>
    <row r="270" spans="1:32" x14ac:dyDescent="0.2">
      <c r="A270">
        <v>265</v>
      </c>
      <c r="B270" t="s">
        <v>3391</v>
      </c>
      <c r="C270" t="s">
        <v>3392</v>
      </c>
      <c r="D270" t="s">
        <v>3393</v>
      </c>
      <c r="E270" t="s">
        <v>3394</v>
      </c>
      <c r="F270" t="s">
        <v>3395</v>
      </c>
      <c r="G270" t="s">
        <v>3396</v>
      </c>
      <c r="H270" t="str">
        <f>"Ube2n"</f>
        <v>Ube2n</v>
      </c>
      <c r="I270" t="s">
        <v>3397</v>
      </c>
      <c r="J270" t="s">
        <v>37</v>
      </c>
      <c r="K270">
        <v>10090</v>
      </c>
      <c r="L270" s="3" t="str">
        <f>HYPERLINK("http://www.uniprot.org/uniprot/P61089", "P61089")</f>
        <v>P61089</v>
      </c>
      <c r="M270" t="s">
        <v>3398</v>
      </c>
      <c r="N270" t="str">
        <f>"Ube2n"</f>
        <v>Ube2n</v>
      </c>
      <c r="O270" s="3" t="str">
        <f>HYPERLINK("http://www.informatics.jax.org/marker/MGI:1934835", "MGI:1934835")</f>
        <v>MGI:1934835</v>
      </c>
      <c r="P270" t="s">
        <v>3399</v>
      </c>
      <c r="Q270" t="s">
        <v>3400</v>
      </c>
      <c r="R270" t="s">
        <v>40</v>
      </c>
      <c r="S270" t="s">
        <v>32</v>
      </c>
      <c r="T270" t="s">
        <v>32</v>
      </c>
      <c r="U270" t="s">
        <v>32</v>
      </c>
      <c r="V270" t="s">
        <v>32</v>
      </c>
      <c r="W270" t="s">
        <v>205</v>
      </c>
      <c r="X270" t="s">
        <v>515</v>
      </c>
      <c r="Y270" t="s">
        <v>461</v>
      </c>
      <c r="Z270" t="s">
        <v>32</v>
      </c>
      <c r="AA270" t="s">
        <v>3401</v>
      </c>
      <c r="AB270" t="s">
        <v>3402</v>
      </c>
      <c r="AC270" t="s">
        <v>3403</v>
      </c>
      <c r="AD270" t="s">
        <v>1027</v>
      </c>
      <c r="AE270" t="s">
        <v>3404</v>
      </c>
      <c r="AF270" t="s">
        <v>46835</v>
      </c>
    </row>
    <row r="271" spans="1:32" x14ac:dyDescent="0.2">
      <c r="A271">
        <v>266</v>
      </c>
      <c r="B271" t="s">
        <v>3405</v>
      </c>
      <c r="C271" t="s">
        <v>3406</v>
      </c>
      <c r="D271" t="s">
        <v>3407</v>
      </c>
      <c r="E271" t="s">
        <v>3408</v>
      </c>
      <c r="F271" t="s">
        <v>3409</v>
      </c>
      <c r="G271" t="s">
        <v>32</v>
      </c>
      <c r="H271" t="str">
        <f>"Anxa1"</f>
        <v>Anxa1</v>
      </c>
      <c r="I271" t="s">
        <v>3410</v>
      </c>
      <c r="J271" t="s">
        <v>37</v>
      </c>
      <c r="K271">
        <v>10090</v>
      </c>
      <c r="L271" s="3" t="str">
        <f>HYPERLINK("http://www.uniprot.org/uniprot/P10107", "P10107")</f>
        <v>P10107</v>
      </c>
      <c r="M271" t="s">
        <v>3411</v>
      </c>
      <c r="N271" t="str">
        <f>"Anxa1"</f>
        <v>Anxa1</v>
      </c>
      <c r="O271" s="3" t="str">
        <f>HYPERLINK("http://www.informatics.jax.org/marker/MGI:96819", "MGI:96819")</f>
        <v>MGI:96819</v>
      </c>
      <c r="P271" t="s">
        <v>3412</v>
      </c>
      <c r="Q271" t="s">
        <v>3413</v>
      </c>
      <c r="R271" t="s">
        <v>3414</v>
      </c>
      <c r="S271" t="s">
        <v>32</v>
      </c>
      <c r="T271" t="s">
        <v>32</v>
      </c>
      <c r="U271" t="s">
        <v>32</v>
      </c>
      <c r="V271" t="s">
        <v>3029</v>
      </c>
      <c r="W271" t="s">
        <v>3415</v>
      </c>
      <c r="X271" t="s">
        <v>3416</v>
      </c>
      <c r="Y271" t="s">
        <v>1335</v>
      </c>
      <c r="Z271" t="s">
        <v>32</v>
      </c>
      <c r="AA271" t="s">
        <v>3417</v>
      </c>
      <c r="AB271" t="s">
        <v>3418</v>
      </c>
      <c r="AC271" t="s">
        <v>3419</v>
      </c>
      <c r="AD271" t="s">
        <v>32</v>
      </c>
      <c r="AE271" t="s">
        <v>3420</v>
      </c>
      <c r="AF271" t="s">
        <v>46835</v>
      </c>
    </row>
    <row r="272" spans="1:32" x14ac:dyDescent="0.2">
      <c r="A272">
        <v>267</v>
      </c>
      <c r="B272" t="s">
        <v>3421</v>
      </c>
      <c r="C272" t="s">
        <v>3422</v>
      </c>
      <c r="D272" t="s">
        <v>3423</v>
      </c>
      <c r="E272" t="s">
        <v>3424</v>
      </c>
      <c r="F272" t="s">
        <v>3425</v>
      </c>
      <c r="G272" t="s">
        <v>3426</v>
      </c>
      <c r="H272" t="str">
        <f>"Ddx3x"</f>
        <v>Ddx3x</v>
      </c>
      <c r="I272" t="s">
        <v>32</v>
      </c>
      <c r="J272" t="s">
        <v>37</v>
      </c>
      <c r="K272">
        <v>10090</v>
      </c>
      <c r="L272" s="3" t="str">
        <f>HYPERLINK("http://www.uniprot.org/uniprot/Q62167", "Q62167")</f>
        <v>Q62167</v>
      </c>
      <c r="M272" t="s">
        <v>3427</v>
      </c>
      <c r="N272" t="str">
        <f>"Ddx3x"</f>
        <v>Ddx3x</v>
      </c>
      <c r="O272" s="3" t="str">
        <f>HYPERLINK("http://www.informatics.jax.org/marker/MGI:103064", "MGI:103064")</f>
        <v>MGI:103064</v>
      </c>
      <c r="P272" t="s">
        <v>3428</v>
      </c>
      <c r="Q272" t="s">
        <v>3429</v>
      </c>
      <c r="R272" t="s">
        <v>3430</v>
      </c>
      <c r="S272" t="s">
        <v>32</v>
      </c>
      <c r="T272" t="s">
        <v>32</v>
      </c>
      <c r="U272" t="s">
        <v>32</v>
      </c>
      <c r="V272" t="s">
        <v>32</v>
      </c>
      <c r="W272" t="s">
        <v>205</v>
      </c>
      <c r="X272" t="s">
        <v>3431</v>
      </c>
      <c r="Y272" t="s">
        <v>207</v>
      </c>
      <c r="Z272" t="s">
        <v>32</v>
      </c>
      <c r="AA272" t="s">
        <v>3432</v>
      </c>
      <c r="AB272" t="s">
        <v>3433</v>
      </c>
      <c r="AC272" t="s">
        <v>3434</v>
      </c>
      <c r="AD272" t="s">
        <v>32</v>
      </c>
      <c r="AE272" t="s">
        <v>548</v>
      </c>
      <c r="AF272" t="s">
        <v>46835</v>
      </c>
    </row>
    <row r="273" spans="1:32" x14ac:dyDescent="0.2">
      <c r="A273">
        <v>268</v>
      </c>
      <c r="B273" t="s">
        <v>3435</v>
      </c>
      <c r="C273" t="s">
        <v>3436</v>
      </c>
      <c r="D273" t="s">
        <v>3437</v>
      </c>
      <c r="E273" t="s">
        <v>3438</v>
      </c>
      <c r="F273" t="s">
        <v>3439</v>
      </c>
      <c r="G273" t="s">
        <v>32</v>
      </c>
      <c r="H273" t="str">
        <f>"Mif"</f>
        <v>Mif</v>
      </c>
      <c r="I273" t="s">
        <v>32</v>
      </c>
      <c r="J273" t="s">
        <v>37</v>
      </c>
      <c r="K273">
        <v>10090</v>
      </c>
      <c r="L273" s="3" t="str">
        <f>HYPERLINK("http://www.uniprot.org/uniprot/P34884", "P34884")</f>
        <v>P34884</v>
      </c>
      <c r="M273" t="s">
        <v>3440</v>
      </c>
      <c r="N273" t="str">
        <f>"Mif"</f>
        <v>Mif</v>
      </c>
      <c r="O273" s="3" t="str">
        <f>HYPERLINK("http://www.informatics.jax.org/marker/MGI:96982", "MGI:96982")</f>
        <v>MGI:96982</v>
      </c>
      <c r="P273" t="s">
        <v>3441</v>
      </c>
      <c r="Q273" t="s">
        <v>3442</v>
      </c>
      <c r="R273" t="s">
        <v>2446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3443</v>
      </c>
      <c r="Y273" t="s">
        <v>78</v>
      </c>
      <c r="Z273" t="s">
        <v>126</v>
      </c>
      <c r="AA273" t="s">
        <v>3444</v>
      </c>
      <c r="AB273" t="s">
        <v>3445</v>
      </c>
      <c r="AC273" t="s">
        <v>3446</v>
      </c>
      <c r="AD273" t="s">
        <v>32</v>
      </c>
      <c r="AE273" t="s">
        <v>3447</v>
      </c>
      <c r="AF273" t="s">
        <v>46835</v>
      </c>
    </row>
    <row r="274" spans="1:32" x14ac:dyDescent="0.2">
      <c r="A274">
        <v>269</v>
      </c>
      <c r="B274" t="s">
        <v>3448</v>
      </c>
      <c r="C274" t="s">
        <v>3449</v>
      </c>
      <c r="D274" t="s">
        <v>3450</v>
      </c>
      <c r="E274" t="s">
        <v>3451</v>
      </c>
      <c r="F274" t="s">
        <v>3452</v>
      </c>
      <c r="G274" t="s">
        <v>32</v>
      </c>
      <c r="H274" t="str">
        <f>"Metap1"</f>
        <v>Metap1</v>
      </c>
      <c r="I274" t="s">
        <v>32</v>
      </c>
      <c r="J274" t="s">
        <v>37</v>
      </c>
      <c r="K274">
        <v>10090</v>
      </c>
      <c r="L274" s="3" t="str">
        <f>HYPERLINK("http://www.uniprot.org/uniprot/Q8BP48", "Q8BP48")</f>
        <v>Q8BP48</v>
      </c>
      <c r="M274" t="s">
        <v>3453</v>
      </c>
      <c r="N274" t="str">
        <f>"Metap1"</f>
        <v>Metap1</v>
      </c>
      <c r="O274" s="3" t="str">
        <f>HYPERLINK("http://www.informatics.jax.org/marker/MGI:1922874", "MGI:1922874")</f>
        <v>MGI:1922874</v>
      </c>
      <c r="P274" t="s">
        <v>3454</v>
      </c>
      <c r="Q274" t="s">
        <v>32</v>
      </c>
      <c r="R274" t="s">
        <v>418</v>
      </c>
      <c r="S274" t="s">
        <v>32</v>
      </c>
      <c r="T274" t="s">
        <v>32</v>
      </c>
      <c r="U274" t="s">
        <v>32</v>
      </c>
      <c r="V274" t="s">
        <v>446</v>
      </c>
      <c r="W274" t="s">
        <v>42</v>
      </c>
      <c r="X274" t="s">
        <v>3455</v>
      </c>
      <c r="Y274" t="s">
        <v>78</v>
      </c>
      <c r="Z274" t="s">
        <v>126</v>
      </c>
      <c r="AA274" t="s">
        <v>3456</v>
      </c>
      <c r="AB274" t="s">
        <v>1268</v>
      </c>
      <c r="AC274" t="s">
        <v>3457</v>
      </c>
      <c r="AD274" t="s">
        <v>32</v>
      </c>
      <c r="AE274" t="s">
        <v>3458</v>
      </c>
      <c r="AF274" t="s">
        <v>46835</v>
      </c>
    </row>
    <row r="275" spans="1:32" x14ac:dyDescent="0.2">
      <c r="A275">
        <v>270</v>
      </c>
      <c r="B275" t="s">
        <v>3459</v>
      </c>
      <c r="C275" t="s">
        <v>3460</v>
      </c>
      <c r="D275" t="s">
        <v>3461</v>
      </c>
      <c r="E275" t="s">
        <v>3462</v>
      </c>
      <c r="F275" t="s">
        <v>3463</v>
      </c>
      <c r="G275" t="s">
        <v>32</v>
      </c>
      <c r="H275" t="str">
        <f>"Eif3i"</f>
        <v>Eif3i</v>
      </c>
      <c r="I275" t="s">
        <v>3464</v>
      </c>
      <c r="J275" t="s">
        <v>37</v>
      </c>
      <c r="K275">
        <v>10090</v>
      </c>
      <c r="L275" s="3" t="str">
        <f>HYPERLINK("http://www.uniprot.org/uniprot/Q9QZD9", "Q9QZD9")</f>
        <v>Q9QZD9</v>
      </c>
      <c r="M275" t="s">
        <v>3465</v>
      </c>
      <c r="N275" t="str">
        <f>"Eif3i"</f>
        <v>Eif3i</v>
      </c>
      <c r="O275" s="3" t="str">
        <f>HYPERLINK("http://www.informatics.jax.org/marker/MGI:1860763", "MGI:1860763")</f>
        <v>MGI:1860763</v>
      </c>
      <c r="P275" t="s">
        <v>3466</v>
      </c>
      <c r="Q275" t="s">
        <v>260</v>
      </c>
      <c r="R275" t="s">
        <v>418</v>
      </c>
      <c r="S275" t="s">
        <v>32</v>
      </c>
      <c r="T275" t="s">
        <v>32</v>
      </c>
      <c r="U275" t="s">
        <v>32</v>
      </c>
      <c r="V275" t="s">
        <v>1910</v>
      </c>
      <c r="W275" t="s">
        <v>32</v>
      </c>
      <c r="X275" t="s">
        <v>2675</v>
      </c>
      <c r="Y275" t="s">
        <v>516</v>
      </c>
      <c r="Z275" t="s">
        <v>32</v>
      </c>
      <c r="AA275" t="s">
        <v>3467</v>
      </c>
      <c r="AB275" t="s">
        <v>2677</v>
      </c>
      <c r="AC275" t="s">
        <v>3468</v>
      </c>
      <c r="AD275" t="s">
        <v>32</v>
      </c>
      <c r="AE275" t="s">
        <v>1570</v>
      </c>
      <c r="AF275" t="s">
        <v>46835</v>
      </c>
    </row>
    <row r="276" spans="1:32" x14ac:dyDescent="0.2">
      <c r="A276">
        <v>271</v>
      </c>
      <c r="B276" t="s">
        <v>3469</v>
      </c>
      <c r="C276" t="s">
        <v>3470</v>
      </c>
      <c r="D276" t="s">
        <v>3471</v>
      </c>
      <c r="E276" t="s">
        <v>3472</v>
      </c>
      <c r="F276" t="s">
        <v>3473</v>
      </c>
      <c r="G276" t="s">
        <v>32</v>
      </c>
      <c r="H276" t="str">
        <f>"Psma3"</f>
        <v>Psma3</v>
      </c>
      <c r="I276" t="s">
        <v>32</v>
      </c>
      <c r="J276" t="s">
        <v>37</v>
      </c>
      <c r="K276">
        <v>10090</v>
      </c>
      <c r="L276" s="3" t="str">
        <f>HYPERLINK("http://www.uniprot.org/uniprot/O70435", "O70435")</f>
        <v>O70435</v>
      </c>
      <c r="M276" t="s">
        <v>3474</v>
      </c>
      <c r="N276" t="str">
        <f>"Psma3"</f>
        <v>Psma3</v>
      </c>
      <c r="O276" s="3" t="str">
        <f>HYPERLINK("http://www.informatics.jax.org/marker/MGI:104883", "MGI:104883")</f>
        <v>MGI:104883</v>
      </c>
      <c r="P276" t="s">
        <v>3140</v>
      </c>
      <c r="Q276" t="s">
        <v>32</v>
      </c>
      <c r="R276" t="s">
        <v>2586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t="s">
        <v>157</v>
      </c>
      <c r="Z276" t="s">
        <v>126</v>
      </c>
      <c r="AA276" t="s">
        <v>3475</v>
      </c>
      <c r="AB276" t="s">
        <v>3476</v>
      </c>
      <c r="AC276" t="s">
        <v>3477</v>
      </c>
      <c r="AD276" t="s">
        <v>32</v>
      </c>
      <c r="AE276" t="s">
        <v>2774</v>
      </c>
      <c r="AF276" t="s">
        <v>46835</v>
      </c>
    </row>
    <row r="277" spans="1:32" x14ac:dyDescent="0.2">
      <c r="A277">
        <v>272</v>
      </c>
      <c r="B277" t="s">
        <v>3478</v>
      </c>
      <c r="C277" t="s">
        <v>3479</v>
      </c>
      <c r="D277" t="s">
        <v>3480</v>
      </c>
      <c r="E277" t="s">
        <v>3481</v>
      </c>
      <c r="F277" t="s">
        <v>3482</v>
      </c>
      <c r="G277" t="s">
        <v>3483</v>
      </c>
      <c r="H277" t="str">
        <f>"Eif5b"</f>
        <v>Eif5b</v>
      </c>
      <c r="I277" t="s">
        <v>3484</v>
      </c>
      <c r="J277" t="s">
        <v>37</v>
      </c>
      <c r="K277">
        <v>10090</v>
      </c>
      <c r="L277" s="3" t="str">
        <f>HYPERLINK("http://www.uniprot.org/uniprot/Q05D44", "Q05D44")</f>
        <v>Q05D44</v>
      </c>
      <c r="M277" t="s">
        <v>3485</v>
      </c>
      <c r="N277" t="str">
        <f>"Eif5b"</f>
        <v>Eif5b</v>
      </c>
      <c r="O277" s="3" t="str">
        <f>HYPERLINK("http://www.informatics.jax.org/marker/MGI:2441772", "MGI:2441772")</f>
        <v>MGI:2441772</v>
      </c>
      <c r="P277" t="s">
        <v>3486</v>
      </c>
      <c r="Q277" t="s">
        <v>260</v>
      </c>
      <c r="R277" t="s">
        <v>418</v>
      </c>
      <c r="S277" t="s">
        <v>32</v>
      </c>
      <c r="T277" t="s">
        <v>32</v>
      </c>
      <c r="U277" t="s">
        <v>32</v>
      </c>
      <c r="V277" t="s">
        <v>32</v>
      </c>
      <c r="W277" t="s">
        <v>3487</v>
      </c>
      <c r="X277" t="s">
        <v>3488</v>
      </c>
      <c r="Y277" t="s">
        <v>618</v>
      </c>
      <c r="Z277" t="s">
        <v>32</v>
      </c>
      <c r="AA277" t="s">
        <v>3489</v>
      </c>
      <c r="AB277" t="s">
        <v>3490</v>
      </c>
      <c r="AC277" t="s">
        <v>3491</v>
      </c>
      <c r="AD277" t="s">
        <v>32</v>
      </c>
      <c r="AE277" t="s">
        <v>3492</v>
      </c>
      <c r="AF277" t="s">
        <v>46835</v>
      </c>
    </row>
    <row r="278" spans="1:32" x14ac:dyDescent="0.2">
      <c r="A278">
        <v>273</v>
      </c>
      <c r="B278" t="s">
        <v>3493</v>
      </c>
      <c r="C278" t="s">
        <v>3494</v>
      </c>
      <c r="D278" t="s">
        <v>32</v>
      </c>
      <c r="E278" t="s">
        <v>3495</v>
      </c>
      <c r="F278" t="s">
        <v>3496</v>
      </c>
      <c r="G278" t="s">
        <v>3497</v>
      </c>
      <c r="H278" t="str">
        <f>"Rpl11"</f>
        <v>Rpl11</v>
      </c>
      <c r="I278" t="s">
        <v>32</v>
      </c>
      <c r="J278" t="s">
        <v>37</v>
      </c>
      <c r="K278">
        <v>10090</v>
      </c>
      <c r="L278" s="3" t="str">
        <f>HYPERLINK("http://www.uniprot.org/uniprot/Q9CXW4", "Q9CXW4")</f>
        <v>Q9CXW4</v>
      </c>
      <c r="M278" t="s">
        <v>3498</v>
      </c>
      <c r="N278" t="str">
        <f>"Rpl11"</f>
        <v>Rpl11</v>
      </c>
      <c r="O278" s="3" t="str">
        <f>HYPERLINK("http://www.informatics.jax.org/marker/MGI:1914275", "MGI:1914275")</f>
        <v>MGI:1914275</v>
      </c>
      <c r="P278" t="s">
        <v>886</v>
      </c>
      <c r="Q278" t="s">
        <v>32</v>
      </c>
      <c r="R278" t="s">
        <v>40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887</v>
      </c>
      <c r="Y278" t="s">
        <v>516</v>
      </c>
      <c r="Z278" t="s">
        <v>126</v>
      </c>
      <c r="AA278" t="s">
        <v>3499</v>
      </c>
      <c r="AB278" t="s">
        <v>3500</v>
      </c>
      <c r="AC278" t="s">
        <v>3501</v>
      </c>
      <c r="AD278" t="s">
        <v>32</v>
      </c>
      <c r="AE278" t="s">
        <v>765</v>
      </c>
      <c r="AF278" t="s">
        <v>46835</v>
      </c>
    </row>
    <row r="279" spans="1:32" x14ac:dyDescent="0.2">
      <c r="A279">
        <v>274</v>
      </c>
      <c r="B279" t="s">
        <v>3502</v>
      </c>
      <c r="C279" t="s">
        <v>3503</v>
      </c>
      <c r="D279" t="s">
        <v>32</v>
      </c>
      <c r="E279" t="s">
        <v>3504</v>
      </c>
      <c r="F279" t="s">
        <v>3505</v>
      </c>
      <c r="G279" t="s">
        <v>3506</v>
      </c>
      <c r="H279" t="str">
        <f>"Rpl19"</f>
        <v>Rpl19</v>
      </c>
      <c r="I279" t="s">
        <v>32</v>
      </c>
      <c r="J279" t="s">
        <v>37</v>
      </c>
      <c r="K279">
        <v>10090</v>
      </c>
      <c r="L279" s="3" t="str">
        <f>HYPERLINK("http://www.uniprot.org/uniprot/P84099", "P84099")</f>
        <v>P84099</v>
      </c>
      <c r="M279" t="s">
        <v>3507</v>
      </c>
      <c r="N279" t="str">
        <f>"Rpl19"</f>
        <v>Rpl19</v>
      </c>
      <c r="O279" s="3" t="str">
        <f>HYPERLINK("http://www.informatics.jax.org/marker/MGI:98020", "MGI:98020")</f>
        <v>MGI:98020</v>
      </c>
      <c r="P279" t="s">
        <v>3508</v>
      </c>
      <c r="Q279" t="s">
        <v>32</v>
      </c>
      <c r="R279" t="s">
        <v>418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447</v>
      </c>
      <c r="Y279" t="s">
        <v>3509</v>
      </c>
      <c r="Z279" t="s">
        <v>126</v>
      </c>
      <c r="AA279" t="s">
        <v>1792</v>
      </c>
      <c r="AB279" t="s">
        <v>3510</v>
      </c>
      <c r="AC279" t="s">
        <v>3511</v>
      </c>
      <c r="AD279" t="s">
        <v>32</v>
      </c>
      <c r="AE279" t="s">
        <v>765</v>
      </c>
      <c r="AF279" t="s">
        <v>46835</v>
      </c>
    </row>
    <row r="280" spans="1:32" x14ac:dyDescent="0.2">
      <c r="A280">
        <v>275</v>
      </c>
      <c r="B280" t="s">
        <v>3512</v>
      </c>
      <c r="C280" t="s">
        <v>3513</v>
      </c>
      <c r="D280" t="s">
        <v>32</v>
      </c>
      <c r="E280" t="s">
        <v>3514</v>
      </c>
      <c r="F280" t="s">
        <v>3515</v>
      </c>
      <c r="G280" t="s">
        <v>3516</v>
      </c>
      <c r="H280" t="str">
        <f>"Rpl15"</f>
        <v>Rpl15</v>
      </c>
      <c r="I280" t="s">
        <v>32</v>
      </c>
      <c r="J280" t="s">
        <v>37</v>
      </c>
      <c r="K280">
        <v>10090</v>
      </c>
      <c r="L280" s="3" t="str">
        <f>HYPERLINK("http://www.uniprot.org/uniprot/Q9CZM2", "Q9CZM2")</f>
        <v>Q9CZM2</v>
      </c>
      <c r="M280" t="s">
        <v>3517</v>
      </c>
      <c r="N280" t="str">
        <f>"Rpl15"</f>
        <v>Rpl15</v>
      </c>
      <c r="O280" s="3" t="str">
        <f>HYPERLINK("http://www.informatics.jax.org/marker/MGI:1913730", "MGI:1913730")</f>
        <v>MGI:1913730</v>
      </c>
      <c r="P280" t="s">
        <v>3518</v>
      </c>
      <c r="Q280" t="s">
        <v>32</v>
      </c>
      <c r="R280" t="s">
        <v>418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447</v>
      </c>
      <c r="Y280" t="s">
        <v>2944</v>
      </c>
      <c r="Z280" t="s">
        <v>126</v>
      </c>
      <c r="AA280" t="s">
        <v>3519</v>
      </c>
      <c r="AB280" t="s">
        <v>3520</v>
      </c>
      <c r="AC280" t="s">
        <v>1056</v>
      </c>
      <c r="AD280" t="s">
        <v>32</v>
      </c>
      <c r="AE280" t="s">
        <v>765</v>
      </c>
      <c r="AF280" t="s">
        <v>46835</v>
      </c>
    </row>
    <row r="281" spans="1:32" x14ac:dyDescent="0.2">
      <c r="A281">
        <v>276</v>
      </c>
      <c r="B281" t="s">
        <v>3521</v>
      </c>
      <c r="C281" t="s">
        <v>3522</v>
      </c>
      <c r="D281" t="s">
        <v>3523</v>
      </c>
      <c r="E281" t="s">
        <v>3524</v>
      </c>
      <c r="F281" t="s">
        <v>3525</v>
      </c>
      <c r="G281" t="s">
        <v>3526</v>
      </c>
      <c r="H281" t="str">
        <f>"Iars1"</f>
        <v>Iars1</v>
      </c>
      <c r="I281" t="s">
        <v>3527</v>
      </c>
      <c r="J281" t="s">
        <v>37</v>
      </c>
      <c r="K281">
        <v>10090</v>
      </c>
      <c r="L281" s="3" t="str">
        <f>HYPERLINK("http://www.uniprot.org/uniprot/Q8BU30", "Q8BU30")</f>
        <v>Q8BU30</v>
      </c>
      <c r="M281" t="s">
        <v>3528</v>
      </c>
      <c r="N281" t="str">
        <f>"Iars"</f>
        <v>Iars</v>
      </c>
      <c r="O281" s="3" t="str">
        <f>HYPERLINK("http://www.informatics.jax.org/marker/MGI:2145219", "MGI:2145219")</f>
        <v>MGI:2145219</v>
      </c>
      <c r="P281" t="s">
        <v>2982</v>
      </c>
      <c r="Q281" t="s">
        <v>260</v>
      </c>
      <c r="R281" t="s">
        <v>418</v>
      </c>
      <c r="S281" t="s">
        <v>32</v>
      </c>
      <c r="T281" t="s">
        <v>32</v>
      </c>
      <c r="U281" t="s">
        <v>32</v>
      </c>
      <c r="V281" t="s">
        <v>32</v>
      </c>
      <c r="W281" t="s">
        <v>205</v>
      </c>
      <c r="X281" t="s">
        <v>2983</v>
      </c>
      <c r="Y281" t="s">
        <v>157</v>
      </c>
      <c r="Z281" t="s">
        <v>32</v>
      </c>
      <c r="AA281" t="s">
        <v>3529</v>
      </c>
      <c r="AB281" t="s">
        <v>3530</v>
      </c>
      <c r="AC281" t="s">
        <v>3531</v>
      </c>
      <c r="AD281" t="s">
        <v>32</v>
      </c>
      <c r="AE281" t="s">
        <v>32</v>
      </c>
      <c r="AF281" t="s">
        <v>46835</v>
      </c>
    </row>
    <row r="282" spans="1:32" x14ac:dyDescent="0.2">
      <c r="A282">
        <v>277</v>
      </c>
      <c r="B282" t="s">
        <v>3532</v>
      </c>
      <c r="C282" t="s">
        <v>3533</v>
      </c>
      <c r="D282" t="s">
        <v>3534</v>
      </c>
      <c r="E282" t="s">
        <v>3535</v>
      </c>
      <c r="F282" t="s">
        <v>3536</v>
      </c>
      <c r="G282" t="s">
        <v>3537</v>
      </c>
      <c r="H282" t="str">
        <f>"Synm"</f>
        <v>Synm</v>
      </c>
      <c r="I282" t="s">
        <v>32</v>
      </c>
      <c r="J282" t="s">
        <v>37</v>
      </c>
      <c r="K282">
        <v>10090</v>
      </c>
      <c r="L282" s="3" t="str">
        <f>HYPERLINK("http://www.uniprot.org/uniprot/Q70IV5", "Q70IV5")</f>
        <v>Q70IV5</v>
      </c>
      <c r="M282" t="s">
        <v>3538</v>
      </c>
      <c r="N282" t="str">
        <f>"Synm"</f>
        <v>Synm</v>
      </c>
      <c r="O282" s="3" t="str">
        <f>HYPERLINK("http://www.informatics.jax.org/marker/MGI:2661187", "MGI:2661187")</f>
        <v>MGI:2661187</v>
      </c>
      <c r="P282" t="s">
        <v>3539</v>
      </c>
      <c r="Q282" t="s">
        <v>32</v>
      </c>
      <c r="R282" t="s">
        <v>3540</v>
      </c>
      <c r="S282" t="s">
        <v>41</v>
      </c>
      <c r="T282" t="s">
        <v>32</v>
      </c>
      <c r="U282" t="s">
        <v>32</v>
      </c>
      <c r="V282" t="s">
        <v>290</v>
      </c>
      <c r="W282" t="s">
        <v>32</v>
      </c>
      <c r="X282" t="s">
        <v>32</v>
      </c>
      <c r="Y282" t="s">
        <v>2734</v>
      </c>
      <c r="Z282" t="s">
        <v>32</v>
      </c>
      <c r="AA282" t="s">
        <v>3541</v>
      </c>
      <c r="AB282" t="s">
        <v>3542</v>
      </c>
      <c r="AC282" t="s">
        <v>3543</v>
      </c>
      <c r="AD282" t="s">
        <v>32</v>
      </c>
      <c r="AE282" t="s">
        <v>32</v>
      </c>
      <c r="AF282" t="s">
        <v>46835</v>
      </c>
    </row>
    <row r="283" spans="1:32" x14ac:dyDescent="0.2">
      <c r="A283">
        <v>278</v>
      </c>
      <c r="B283" t="s">
        <v>3544</v>
      </c>
      <c r="C283" t="s">
        <v>3545</v>
      </c>
      <c r="D283" t="s">
        <v>3546</v>
      </c>
      <c r="E283" t="s">
        <v>3547</v>
      </c>
      <c r="F283" t="s">
        <v>3548</v>
      </c>
      <c r="G283" t="s">
        <v>3549</v>
      </c>
      <c r="H283" t="str">
        <f>"Pgm1"</f>
        <v>Pgm1</v>
      </c>
      <c r="I283" t="s">
        <v>3550</v>
      </c>
      <c r="J283" t="s">
        <v>37</v>
      </c>
      <c r="K283">
        <v>10090</v>
      </c>
      <c r="L283" s="3" t="str">
        <f>HYPERLINK("http://www.uniprot.org/uniprot/Q9D0F9", "Q9D0F9")</f>
        <v>Q9D0F9</v>
      </c>
      <c r="M283" t="s">
        <v>3551</v>
      </c>
      <c r="N283" t="str">
        <f>"Pgm1"</f>
        <v>Pgm1</v>
      </c>
      <c r="O283" s="3" t="str">
        <f>HYPERLINK("http://www.informatics.jax.org/marker/MGI:97565", "MGI:97565")</f>
        <v>MGI:97565</v>
      </c>
      <c r="P283" t="s">
        <v>3552</v>
      </c>
      <c r="Q283" t="s">
        <v>3553</v>
      </c>
      <c r="R283" t="s">
        <v>418</v>
      </c>
      <c r="S283" t="s">
        <v>32</v>
      </c>
      <c r="T283" t="s">
        <v>32</v>
      </c>
      <c r="U283" t="s">
        <v>32</v>
      </c>
      <c r="V283" t="s">
        <v>32</v>
      </c>
      <c r="W283" t="s">
        <v>223</v>
      </c>
      <c r="X283" t="s">
        <v>673</v>
      </c>
      <c r="Y283" t="s">
        <v>157</v>
      </c>
      <c r="Z283" t="s">
        <v>32</v>
      </c>
      <c r="AA283" t="s">
        <v>3554</v>
      </c>
      <c r="AB283" t="s">
        <v>3555</v>
      </c>
      <c r="AC283" t="s">
        <v>3556</v>
      </c>
      <c r="AD283" t="s">
        <v>32</v>
      </c>
      <c r="AE283" t="s">
        <v>3557</v>
      </c>
      <c r="AF283" t="s">
        <v>46835</v>
      </c>
    </row>
    <row r="284" spans="1:32" x14ac:dyDescent="0.2">
      <c r="A284">
        <v>279</v>
      </c>
      <c r="B284" t="s">
        <v>3558</v>
      </c>
      <c r="C284" t="s">
        <v>3559</v>
      </c>
      <c r="D284" t="s">
        <v>3560</v>
      </c>
      <c r="E284" t="s">
        <v>3561</v>
      </c>
      <c r="F284" t="s">
        <v>3562</v>
      </c>
      <c r="G284" t="s">
        <v>32</v>
      </c>
      <c r="H284" t="str">
        <f>"Psmd2"</f>
        <v>Psmd2</v>
      </c>
      <c r="I284" t="s">
        <v>32</v>
      </c>
      <c r="J284" t="s">
        <v>37</v>
      </c>
      <c r="K284">
        <v>10090</v>
      </c>
      <c r="L284" s="3" t="str">
        <f>HYPERLINK("http://www.uniprot.org/uniprot/Q8VDM4", "Q8VDM4")</f>
        <v>Q8VDM4</v>
      </c>
      <c r="M284" t="s">
        <v>3563</v>
      </c>
      <c r="N284" t="str">
        <f>"Psmd2"</f>
        <v>Psmd2</v>
      </c>
      <c r="O284" s="3" t="str">
        <f>HYPERLINK("http://www.informatics.jax.org/marker/MGI:1096584", "MGI:1096584")</f>
        <v>MGI:1096584</v>
      </c>
      <c r="P284" t="s">
        <v>3564</v>
      </c>
      <c r="Q284" t="s">
        <v>32</v>
      </c>
      <c r="R284" t="s">
        <v>3565</v>
      </c>
      <c r="S284" t="s">
        <v>32</v>
      </c>
      <c r="T284" t="s">
        <v>32</v>
      </c>
      <c r="U284" t="s">
        <v>32</v>
      </c>
      <c r="V284" t="s">
        <v>55</v>
      </c>
      <c r="W284" t="s">
        <v>32</v>
      </c>
      <c r="X284" t="s">
        <v>32</v>
      </c>
      <c r="Y284" t="s">
        <v>157</v>
      </c>
      <c r="Z284" t="s">
        <v>32</v>
      </c>
      <c r="AA284" t="s">
        <v>3566</v>
      </c>
      <c r="AB284" t="s">
        <v>3567</v>
      </c>
      <c r="AC284" t="s">
        <v>3568</v>
      </c>
      <c r="AD284" t="s">
        <v>32</v>
      </c>
      <c r="AE284" t="s">
        <v>2590</v>
      </c>
      <c r="AF284" t="s">
        <v>46835</v>
      </c>
    </row>
    <row r="285" spans="1:32" x14ac:dyDescent="0.2">
      <c r="A285">
        <v>280</v>
      </c>
      <c r="B285" t="s">
        <v>3569</v>
      </c>
      <c r="C285" t="s">
        <v>3570</v>
      </c>
      <c r="D285" t="s">
        <v>3571</v>
      </c>
      <c r="E285" t="s">
        <v>3572</v>
      </c>
      <c r="F285" t="s">
        <v>3573</v>
      </c>
      <c r="G285" t="s">
        <v>3574</v>
      </c>
      <c r="H285" t="str">
        <f>"Bpnt1"</f>
        <v>Bpnt1</v>
      </c>
      <c r="I285" t="s">
        <v>32</v>
      </c>
      <c r="J285" t="s">
        <v>37</v>
      </c>
      <c r="K285">
        <v>10090</v>
      </c>
      <c r="L285" s="3" t="str">
        <f>HYPERLINK("http://www.uniprot.org/uniprot/Q9Z0S1", "Q9Z0S1")</f>
        <v>Q9Z0S1</v>
      </c>
      <c r="M285" t="s">
        <v>3575</v>
      </c>
      <c r="N285" t="str">
        <f>"Bpnt1"</f>
        <v>Bpnt1</v>
      </c>
      <c r="O285" s="3" t="str">
        <f>HYPERLINK("http://www.informatics.jax.org/marker/MGI:1338800", "MGI:1338800")</f>
        <v>MGI:1338800</v>
      </c>
      <c r="P285" t="s">
        <v>3576</v>
      </c>
      <c r="Q285" t="s">
        <v>32</v>
      </c>
      <c r="R285" t="s">
        <v>32</v>
      </c>
      <c r="S285" t="s">
        <v>32</v>
      </c>
      <c r="T285" t="s">
        <v>32</v>
      </c>
      <c r="U285" t="s">
        <v>32</v>
      </c>
      <c r="V285" t="s">
        <v>32</v>
      </c>
      <c r="W285" t="s">
        <v>3577</v>
      </c>
      <c r="X285" t="s">
        <v>343</v>
      </c>
      <c r="Y285" t="s">
        <v>157</v>
      </c>
      <c r="Z285" t="s">
        <v>32</v>
      </c>
      <c r="AA285" t="s">
        <v>3578</v>
      </c>
      <c r="AB285" t="s">
        <v>32</v>
      </c>
      <c r="AC285" t="s">
        <v>3579</v>
      </c>
      <c r="AD285" t="s">
        <v>32</v>
      </c>
      <c r="AE285" t="s">
        <v>3580</v>
      </c>
      <c r="AF285" t="s">
        <v>46835</v>
      </c>
    </row>
    <row r="286" spans="1:32" x14ac:dyDescent="0.2">
      <c r="A286">
        <v>281</v>
      </c>
      <c r="B286" t="s">
        <v>3581</v>
      </c>
      <c r="C286" t="s">
        <v>3582</v>
      </c>
      <c r="D286" t="s">
        <v>3583</v>
      </c>
      <c r="E286" t="s">
        <v>3584</v>
      </c>
      <c r="F286" t="s">
        <v>3585</v>
      </c>
      <c r="G286" t="s">
        <v>3586</v>
      </c>
      <c r="H286" t="str">
        <f>"Dynll1"</f>
        <v>Dynll1</v>
      </c>
      <c r="I286" t="s">
        <v>3587</v>
      </c>
      <c r="J286" t="s">
        <v>37</v>
      </c>
      <c r="K286">
        <v>10090</v>
      </c>
      <c r="L286" s="3" t="str">
        <f>HYPERLINK("http://www.uniprot.org/uniprot/P63168", "P63168")</f>
        <v>P63168</v>
      </c>
      <c r="M286" t="s">
        <v>3588</v>
      </c>
      <c r="N286" t="str">
        <f>"Dynll1"</f>
        <v>Dynll1</v>
      </c>
      <c r="O286" s="3" t="str">
        <f>HYPERLINK("http://www.informatics.jax.org/marker/MGI:1861457", "MGI:1861457")</f>
        <v>MGI:1861457</v>
      </c>
      <c r="P286" t="s">
        <v>3589</v>
      </c>
      <c r="Q286" t="s">
        <v>3590</v>
      </c>
      <c r="R286" t="s">
        <v>3591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3592</v>
      </c>
      <c r="Y286" t="s">
        <v>516</v>
      </c>
      <c r="Z286" t="s">
        <v>32</v>
      </c>
      <c r="AA286" t="s">
        <v>3593</v>
      </c>
      <c r="AB286" t="s">
        <v>3594</v>
      </c>
      <c r="AC286" t="s">
        <v>3595</v>
      </c>
      <c r="AD286" t="s">
        <v>32</v>
      </c>
      <c r="AE286" t="s">
        <v>3596</v>
      </c>
      <c r="AF286" t="s">
        <v>46835</v>
      </c>
    </row>
    <row r="287" spans="1:32" x14ac:dyDescent="0.2">
      <c r="A287">
        <v>282</v>
      </c>
      <c r="B287" t="s">
        <v>3597</v>
      </c>
      <c r="C287" t="s">
        <v>3598</v>
      </c>
      <c r="D287" t="s">
        <v>3599</v>
      </c>
      <c r="E287" t="s">
        <v>3600</v>
      </c>
      <c r="F287" t="s">
        <v>3601</v>
      </c>
      <c r="G287" t="s">
        <v>3602</v>
      </c>
      <c r="H287" t="str">
        <f>"Fkbp3"</f>
        <v>Fkbp3</v>
      </c>
      <c r="I287" t="s">
        <v>3603</v>
      </c>
      <c r="J287" t="s">
        <v>37</v>
      </c>
      <c r="K287">
        <v>10090</v>
      </c>
      <c r="L287" s="3" t="str">
        <f>HYPERLINK("http://www.uniprot.org/uniprot/Q62446", "Q62446")</f>
        <v>Q62446</v>
      </c>
      <c r="M287" t="s">
        <v>3604</v>
      </c>
      <c r="N287" t="str">
        <f>"Fkbp3"</f>
        <v>Fkbp3</v>
      </c>
      <c r="O287" s="3" t="str">
        <f>HYPERLINK("http://www.informatics.jax.org/marker/MGI:1353460", "MGI:1353460")</f>
        <v>MGI:1353460</v>
      </c>
      <c r="P287" t="s">
        <v>3605</v>
      </c>
      <c r="Q287" t="s">
        <v>32</v>
      </c>
      <c r="R287" t="s">
        <v>2279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543</v>
      </c>
      <c r="Y287" t="s">
        <v>157</v>
      </c>
      <c r="Z287" t="s">
        <v>126</v>
      </c>
      <c r="AA287" t="s">
        <v>32</v>
      </c>
      <c r="AB287" t="s">
        <v>3606</v>
      </c>
      <c r="AC287" t="s">
        <v>3607</v>
      </c>
      <c r="AD287" t="s">
        <v>32</v>
      </c>
      <c r="AE287" t="s">
        <v>32</v>
      </c>
      <c r="AF287" t="s">
        <v>46835</v>
      </c>
    </row>
    <row r="288" spans="1:32" x14ac:dyDescent="0.2">
      <c r="A288">
        <v>283</v>
      </c>
      <c r="B288" t="s">
        <v>3608</v>
      </c>
      <c r="C288" t="s">
        <v>3609</v>
      </c>
      <c r="D288" t="s">
        <v>3610</v>
      </c>
      <c r="E288" t="s">
        <v>3611</v>
      </c>
      <c r="F288" t="s">
        <v>3612</v>
      </c>
      <c r="G288" t="s">
        <v>3613</v>
      </c>
      <c r="H288" t="str">
        <f>"Rars1"</f>
        <v>Rars1</v>
      </c>
      <c r="I288" t="s">
        <v>3614</v>
      </c>
      <c r="J288" t="s">
        <v>37</v>
      </c>
      <c r="K288">
        <v>10090</v>
      </c>
      <c r="L288" s="3" t="str">
        <f>HYPERLINK("http://www.uniprot.org/uniprot/Q9D0I9", "Q9D0I9")</f>
        <v>Q9D0I9</v>
      </c>
      <c r="M288" t="s">
        <v>3615</v>
      </c>
      <c r="N288" t="str">
        <f>"Rars"</f>
        <v>Rars</v>
      </c>
      <c r="O288" s="3" t="str">
        <f>HYPERLINK("http://www.informatics.jax.org/marker/MGI:1914297", "MGI:1914297")</f>
        <v>MGI:1914297</v>
      </c>
      <c r="P288" t="s">
        <v>3616</v>
      </c>
      <c r="Q288" t="s">
        <v>260</v>
      </c>
      <c r="R288" t="s">
        <v>418</v>
      </c>
      <c r="S288" t="s">
        <v>32</v>
      </c>
      <c r="T288" t="s">
        <v>32</v>
      </c>
      <c r="U288" t="s">
        <v>32</v>
      </c>
      <c r="V288" t="s">
        <v>32</v>
      </c>
      <c r="W288" t="s">
        <v>205</v>
      </c>
      <c r="X288" t="s">
        <v>2983</v>
      </c>
      <c r="Y288" t="s">
        <v>78</v>
      </c>
      <c r="Z288" t="s">
        <v>32</v>
      </c>
      <c r="AA288" t="s">
        <v>3617</v>
      </c>
      <c r="AB288" t="s">
        <v>3618</v>
      </c>
      <c r="AC288" t="s">
        <v>3619</v>
      </c>
      <c r="AD288" t="s">
        <v>32</v>
      </c>
      <c r="AE288" t="s">
        <v>32</v>
      </c>
      <c r="AF288" t="s">
        <v>46835</v>
      </c>
    </row>
    <row r="289" spans="1:33" x14ac:dyDescent="0.2">
      <c r="A289">
        <v>284</v>
      </c>
      <c r="B289" t="s">
        <v>3620</v>
      </c>
      <c r="C289" t="s">
        <v>3621</v>
      </c>
      <c r="D289" t="s">
        <v>3622</v>
      </c>
      <c r="E289" t="s">
        <v>3623</v>
      </c>
      <c r="F289" t="s">
        <v>3624</v>
      </c>
      <c r="G289" t="s">
        <v>3625</v>
      </c>
      <c r="H289" t="str">
        <f>"Map1b"</f>
        <v>Map1b</v>
      </c>
      <c r="I289" t="s">
        <v>3626</v>
      </c>
      <c r="J289" t="s">
        <v>37</v>
      </c>
      <c r="K289">
        <v>10090</v>
      </c>
      <c r="L289" s="3" t="str">
        <f>HYPERLINK("http://www.uniprot.org/uniprot/P14873", "P14873")</f>
        <v>P14873</v>
      </c>
      <c r="M289" t="s">
        <v>3627</v>
      </c>
      <c r="N289" t="str">
        <f>"Map1b"</f>
        <v>Map1b</v>
      </c>
      <c r="O289" s="3" t="str">
        <f>HYPERLINK("http://www.informatics.jax.org/marker/MGI:1306778", "MGI:1306778")</f>
        <v>MGI:1306778</v>
      </c>
      <c r="P289" t="s">
        <v>3628</v>
      </c>
      <c r="Q289" t="s">
        <v>32</v>
      </c>
      <c r="R289" t="s">
        <v>3629</v>
      </c>
      <c r="S289" t="s">
        <v>32</v>
      </c>
      <c r="T289" t="s">
        <v>32</v>
      </c>
      <c r="U289" t="s">
        <v>32</v>
      </c>
      <c r="V289" t="s">
        <v>55</v>
      </c>
      <c r="W289" t="s">
        <v>32</v>
      </c>
      <c r="X289" t="s">
        <v>32</v>
      </c>
      <c r="Y289" t="s">
        <v>3630</v>
      </c>
      <c r="Z289" t="s">
        <v>32</v>
      </c>
      <c r="AA289" t="s">
        <v>3631</v>
      </c>
      <c r="AB289" t="s">
        <v>3632</v>
      </c>
      <c r="AC289" t="s">
        <v>3633</v>
      </c>
      <c r="AD289" t="s">
        <v>32</v>
      </c>
      <c r="AE289" t="s">
        <v>32</v>
      </c>
      <c r="AF289" t="s">
        <v>46835</v>
      </c>
    </row>
    <row r="290" spans="1:33" x14ac:dyDescent="0.2">
      <c r="A290">
        <v>285</v>
      </c>
      <c r="B290" t="s">
        <v>3634</v>
      </c>
      <c r="C290" t="s">
        <v>47112</v>
      </c>
      <c r="D290" t="s">
        <v>32</v>
      </c>
      <c r="E290" t="s">
        <v>46842</v>
      </c>
      <c r="F290" t="s">
        <v>46841</v>
      </c>
      <c r="G290" t="s">
        <v>32</v>
      </c>
      <c r="H290" t="s">
        <v>47243</v>
      </c>
      <c r="I290" t="s">
        <v>32</v>
      </c>
      <c r="J290" t="s">
        <v>37</v>
      </c>
      <c r="K290">
        <v>10090</v>
      </c>
      <c r="L290" s="3" t="str">
        <f>HYPERLINK(CONCATENATE("https://www.uniprot.org/uniprotkb/", AG290, "/entry"), AG290)</f>
        <v>Q9DBF1</v>
      </c>
      <c r="M290" t="s">
        <v>32</v>
      </c>
      <c r="N290" t="s">
        <v>32</v>
      </c>
      <c r="O290" s="3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32</v>
      </c>
      <c r="Y290" t="s">
        <v>32</v>
      </c>
      <c r="Z290" t="s">
        <v>32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t="s">
        <v>46835</v>
      </c>
      <c r="AG290" t="s">
        <v>46841</v>
      </c>
    </row>
    <row r="291" spans="1:33" x14ac:dyDescent="0.2">
      <c r="A291">
        <v>286</v>
      </c>
      <c r="B291" t="s">
        <v>3635</v>
      </c>
      <c r="C291" t="s">
        <v>3636</v>
      </c>
      <c r="D291" t="s">
        <v>3637</v>
      </c>
      <c r="E291" t="s">
        <v>3638</v>
      </c>
      <c r="F291" t="s">
        <v>3639</v>
      </c>
      <c r="G291" t="s">
        <v>3640</v>
      </c>
      <c r="H291" t="str">
        <f>"Psmc4"</f>
        <v>Psmc4</v>
      </c>
      <c r="I291" t="s">
        <v>3641</v>
      </c>
      <c r="J291" t="s">
        <v>37</v>
      </c>
      <c r="K291">
        <v>10090</v>
      </c>
      <c r="L291" s="3" t="str">
        <f>HYPERLINK("http://www.uniprot.org/uniprot/P54775", "P54775")</f>
        <v>P54775</v>
      </c>
      <c r="M291" t="s">
        <v>3642</v>
      </c>
      <c r="N291" t="str">
        <f>"Psmc4"</f>
        <v>Psmc4</v>
      </c>
      <c r="O291" s="3" t="str">
        <f>HYPERLINK("http://www.informatics.jax.org/marker/MGI:1346093", "MGI:1346093")</f>
        <v>MGI:1346093</v>
      </c>
      <c r="P291" t="s">
        <v>3643</v>
      </c>
      <c r="Q291" t="s">
        <v>32</v>
      </c>
      <c r="R291" t="s">
        <v>2586</v>
      </c>
      <c r="S291" t="s">
        <v>32</v>
      </c>
      <c r="T291" t="s">
        <v>32</v>
      </c>
      <c r="U291" t="s">
        <v>32</v>
      </c>
      <c r="V291" t="s">
        <v>32</v>
      </c>
      <c r="W291" t="s">
        <v>205</v>
      </c>
      <c r="X291" t="s">
        <v>32</v>
      </c>
      <c r="Y291" t="s">
        <v>157</v>
      </c>
      <c r="Z291" t="s">
        <v>126</v>
      </c>
      <c r="AA291" t="s">
        <v>3644</v>
      </c>
      <c r="AB291" t="s">
        <v>3645</v>
      </c>
      <c r="AC291" t="s">
        <v>3646</v>
      </c>
      <c r="AD291" t="s">
        <v>32</v>
      </c>
      <c r="AE291" t="s">
        <v>2774</v>
      </c>
      <c r="AF291" t="s">
        <v>46835</v>
      </c>
    </row>
    <row r="292" spans="1:33" x14ac:dyDescent="0.2">
      <c r="A292">
        <v>287</v>
      </c>
      <c r="B292" t="s">
        <v>3647</v>
      </c>
      <c r="C292" t="s">
        <v>3648</v>
      </c>
      <c r="D292" t="s">
        <v>3649</v>
      </c>
      <c r="E292" t="s">
        <v>3650</v>
      </c>
      <c r="F292" t="s">
        <v>3651</v>
      </c>
      <c r="G292" t="s">
        <v>3652</v>
      </c>
      <c r="H292" t="str">
        <f>"Atp1a1"</f>
        <v>Atp1a1</v>
      </c>
      <c r="I292" t="s">
        <v>32</v>
      </c>
      <c r="J292" t="s">
        <v>37</v>
      </c>
      <c r="K292">
        <v>10090</v>
      </c>
      <c r="L292" s="3" t="str">
        <f>HYPERLINK("http://www.uniprot.org/uniprot/Q8VDN2", "Q8VDN2")</f>
        <v>Q8VDN2</v>
      </c>
      <c r="M292" t="s">
        <v>3653</v>
      </c>
      <c r="N292" t="str">
        <f>"Atp1a1"</f>
        <v>Atp1a1</v>
      </c>
      <c r="O292" s="3" t="str">
        <f>HYPERLINK("http://www.informatics.jax.org/marker/MGI:88105", "MGI:88105")</f>
        <v>MGI:88105</v>
      </c>
      <c r="P292" t="s">
        <v>3654</v>
      </c>
      <c r="Q292" t="s">
        <v>3655</v>
      </c>
      <c r="R292" t="s">
        <v>2943</v>
      </c>
      <c r="S292" t="s">
        <v>32</v>
      </c>
      <c r="T292" t="s">
        <v>32</v>
      </c>
      <c r="U292" t="s">
        <v>32</v>
      </c>
      <c r="V292" t="s">
        <v>493</v>
      </c>
      <c r="W292" t="s">
        <v>3656</v>
      </c>
      <c r="X292" t="s">
        <v>1506</v>
      </c>
      <c r="Y292" t="s">
        <v>157</v>
      </c>
      <c r="Z292" t="s">
        <v>32</v>
      </c>
      <c r="AA292" t="s">
        <v>3657</v>
      </c>
      <c r="AB292" t="s">
        <v>3658</v>
      </c>
      <c r="AC292" t="s">
        <v>3659</v>
      </c>
      <c r="AD292" t="s">
        <v>32</v>
      </c>
      <c r="AE292" t="s">
        <v>3660</v>
      </c>
      <c r="AF292" t="s">
        <v>46835</v>
      </c>
    </row>
    <row r="293" spans="1:33" x14ac:dyDescent="0.2">
      <c r="A293">
        <v>288</v>
      </c>
      <c r="B293" t="s">
        <v>3661</v>
      </c>
      <c r="C293" t="s">
        <v>3662</v>
      </c>
      <c r="D293" t="s">
        <v>3663</v>
      </c>
      <c r="E293" t="s">
        <v>3664</v>
      </c>
      <c r="F293" t="s">
        <v>3665</v>
      </c>
      <c r="G293" t="s">
        <v>3666</v>
      </c>
      <c r="H293" t="str">
        <f>"Gars1"</f>
        <v>Gars1</v>
      </c>
      <c r="I293" t="s">
        <v>3667</v>
      </c>
      <c r="J293" t="s">
        <v>37</v>
      </c>
      <c r="K293">
        <v>10090</v>
      </c>
      <c r="L293" s="3" t="str">
        <f>HYPERLINK("http://www.uniprot.org/uniprot/Q9CZD3", "Q9CZD3")</f>
        <v>Q9CZD3</v>
      </c>
      <c r="M293" t="s">
        <v>3668</v>
      </c>
      <c r="N293" t="str">
        <f>"Gars"</f>
        <v>Gars</v>
      </c>
      <c r="O293" s="3" t="str">
        <f>HYPERLINK("http://www.informatics.jax.org/marker/MGI:2449057", "MGI:2449057")</f>
        <v>MGI:2449057</v>
      </c>
      <c r="P293" t="s">
        <v>3669</v>
      </c>
      <c r="Q293" t="s">
        <v>260</v>
      </c>
      <c r="R293" t="s">
        <v>3670</v>
      </c>
      <c r="S293" t="s">
        <v>32</v>
      </c>
      <c r="T293" t="s">
        <v>32</v>
      </c>
      <c r="U293" t="s">
        <v>829</v>
      </c>
      <c r="V293" t="s">
        <v>1039</v>
      </c>
      <c r="W293" t="s">
        <v>205</v>
      </c>
      <c r="X293" t="s">
        <v>3671</v>
      </c>
      <c r="Y293" t="s">
        <v>157</v>
      </c>
      <c r="Z293" t="s">
        <v>32</v>
      </c>
      <c r="AA293" t="s">
        <v>3672</v>
      </c>
      <c r="AB293" t="s">
        <v>3673</v>
      </c>
      <c r="AC293" t="s">
        <v>3674</v>
      </c>
      <c r="AD293" t="s">
        <v>32</v>
      </c>
      <c r="AE293" t="s">
        <v>32</v>
      </c>
      <c r="AF293" t="s">
        <v>46835</v>
      </c>
    </row>
    <row r="294" spans="1:33" x14ac:dyDescent="0.2">
      <c r="A294">
        <v>289</v>
      </c>
      <c r="B294" t="s">
        <v>3675</v>
      </c>
      <c r="C294" t="s">
        <v>3676</v>
      </c>
      <c r="D294" t="s">
        <v>3677</v>
      </c>
      <c r="E294" t="s">
        <v>3678</v>
      </c>
      <c r="F294" t="s">
        <v>3679</v>
      </c>
      <c r="G294" t="s">
        <v>32</v>
      </c>
      <c r="H294" t="str">
        <f>"Phpt1"</f>
        <v>Phpt1</v>
      </c>
      <c r="I294" t="s">
        <v>3680</v>
      </c>
      <c r="J294" t="s">
        <v>37</v>
      </c>
      <c r="K294">
        <v>10090</v>
      </c>
      <c r="L294" s="3" t="str">
        <f>HYPERLINK("http://www.uniprot.org/uniprot/Q9DAK9", "Q9DAK9")</f>
        <v>Q9DAK9</v>
      </c>
      <c r="M294" t="s">
        <v>3681</v>
      </c>
      <c r="N294" t="str">
        <f>"Phpt1"</f>
        <v>Phpt1</v>
      </c>
      <c r="O294" s="3" t="str">
        <f>HYPERLINK("http://www.informatics.jax.org/marker/MGI:1922704", "MGI:1922704")</f>
        <v>MGI:1922704</v>
      </c>
      <c r="P294" t="s">
        <v>3682</v>
      </c>
      <c r="Q294" t="s">
        <v>32</v>
      </c>
      <c r="R294" t="s">
        <v>418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3683</v>
      </c>
      <c r="Y294" t="s">
        <v>32</v>
      </c>
      <c r="Z294" t="s">
        <v>32</v>
      </c>
      <c r="AA294" t="s">
        <v>3684</v>
      </c>
      <c r="AB294" t="s">
        <v>3685</v>
      </c>
      <c r="AC294" t="s">
        <v>3686</v>
      </c>
      <c r="AD294" t="s">
        <v>32</v>
      </c>
      <c r="AE294" t="s">
        <v>32</v>
      </c>
      <c r="AF294" t="s">
        <v>46835</v>
      </c>
    </row>
    <row r="295" spans="1:33" x14ac:dyDescent="0.2">
      <c r="A295">
        <v>290</v>
      </c>
      <c r="B295" t="s">
        <v>3687</v>
      </c>
      <c r="C295" t="s">
        <v>3688</v>
      </c>
      <c r="D295" t="s">
        <v>3689</v>
      </c>
      <c r="E295" t="s">
        <v>3690</v>
      </c>
      <c r="F295" t="s">
        <v>3691</v>
      </c>
      <c r="G295" t="s">
        <v>3692</v>
      </c>
      <c r="H295" t="str">
        <f>"Strap"</f>
        <v>Strap</v>
      </c>
      <c r="I295" t="s">
        <v>3693</v>
      </c>
      <c r="J295" t="s">
        <v>37</v>
      </c>
      <c r="K295">
        <v>10090</v>
      </c>
      <c r="L295" s="3" t="str">
        <f>HYPERLINK("http://www.uniprot.org/uniprot/Q9Z1Z2", "Q9Z1Z2")</f>
        <v>Q9Z1Z2</v>
      </c>
      <c r="M295" t="s">
        <v>3694</v>
      </c>
      <c r="N295" t="str">
        <f>"Strap"</f>
        <v>Strap</v>
      </c>
      <c r="O295" s="3" t="str">
        <f>HYPERLINK("http://www.informatics.jax.org/marker/MGI:1329037", "MGI:1329037")</f>
        <v>MGI:1329037</v>
      </c>
      <c r="P295" t="s">
        <v>3695</v>
      </c>
      <c r="Q295" t="s">
        <v>2139</v>
      </c>
      <c r="R295" t="s">
        <v>40</v>
      </c>
      <c r="S295" t="s">
        <v>32</v>
      </c>
      <c r="T295" t="s">
        <v>32</v>
      </c>
      <c r="U295" t="s">
        <v>32</v>
      </c>
      <c r="V295" t="s">
        <v>1910</v>
      </c>
      <c r="W295" t="s">
        <v>32</v>
      </c>
      <c r="X295" t="s">
        <v>32</v>
      </c>
      <c r="Y295" t="s">
        <v>618</v>
      </c>
      <c r="Z295" t="s">
        <v>32</v>
      </c>
      <c r="AA295" t="s">
        <v>3696</v>
      </c>
      <c r="AB295" t="s">
        <v>3697</v>
      </c>
      <c r="AC295" t="s">
        <v>3698</v>
      </c>
      <c r="AD295" t="s">
        <v>32</v>
      </c>
      <c r="AE295" t="s">
        <v>3699</v>
      </c>
      <c r="AF295" t="s">
        <v>46835</v>
      </c>
    </row>
    <row r="296" spans="1:33" x14ac:dyDescent="0.2">
      <c r="A296">
        <v>291</v>
      </c>
      <c r="B296" t="s">
        <v>3700</v>
      </c>
      <c r="C296" t="s">
        <v>3701</v>
      </c>
      <c r="D296" t="s">
        <v>3702</v>
      </c>
      <c r="E296" t="s">
        <v>3703</v>
      </c>
      <c r="F296" t="s">
        <v>3704</v>
      </c>
      <c r="G296" t="s">
        <v>3705</v>
      </c>
      <c r="H296" t="str">
        <f>"Rac1"</f>
        <v>Rac1</v>
      </c>
      <c r="I296" t="s">
        <v>32</v>
      </c>
      <c r="J296" t="s">
        <v>37</v>
      </c>
      <c r="K296">
        <v>10090</v>
      </c>
      <c r="L296" s="3" t="str">
        <f>HYPERLINK("http://www.uniprot.org/uniprot/P63001", "P63001")</f>
        <v>P63001</v>
      </c>
      <c r="M296" t="s">
        <v>3706</v>
      </c>
      <c r="N296" t="str">
        <f>"Rac1"</f>
        <v>Rac1</v>
      </c>
      <c r="O296" s="3" t="str">
        <f>HYPERLINK("http://www.informatics.jax.org/marker/MGI:97845", "MGI:97845")</f>
        <v>MGI:97845</v>
      </c>
      <c r="P296" t="s">
        <v>3707</v>
      </c>
      <c r="Q296" t="s">
        <v>32</v>
      </c>
      <c r="R296" t="s">
        <v>3708</v>
      </c>
      <c r="S296" t="s">
        <v>32</v>
      </c>
      <c r="T296" t="s">
        <v>32</v>
      </c>
      <c r="U296" t="s">
        <v>32</v>
      </c>
      <c r="V296" t="s">
        <v>32</v>
      </c>
      <c r="W296" t="s">
        <v>261</v>
      </c>
      <c r="X296" t="s">
        <v>343</v>
      </c>
      <c r="Y296" t="s">
        <v>3709</v>
      </c>
      <c r="Z296" t="s">
        <v>32</v>
      </c>
      <c r="AA296" t="s">
        <v>3710</v>
      </c>
      <c r="AB296" t="s">
        <v>3711</v>
      </c>
      <c r="AC296" t="s">
        <v>3712</v>
      </c>
      <c r="AD296" t="s">
        <v>32</v>
      </c>
      <c r="AE296" t="s">
        <v>3713</v>
      </c>
      <c r="AF296" t="s">
        <v>46835</v>
      </c>
    </row>
    <row r="297" spans="1:33" x14ac:dyDescent="0.2">
      <c r="A297">
        <v>292</v>
      </c>
      <c r="B297" t="s">
        <v>3714</v>
      </c>
      <c r="C297" t="s">
        <v>3715</v>
      </c>
      <c r="D297" t="s">
        <v>32</v>
      </c>
      <c r="E297" t="s">
        <v>3716</v>
      </c>
      <c r="F297" t="s">
        <v>3717</v>
      </c>
      <c r="G297" t="s">
        <v>3718</v>
      </c>
      <c r="H297" t="str">
        <f>"Glod4"</f>
        <v>Glod4</v>
      </c>
      <c r="I297" t="s">
        <v>32</v>
      </c>
      <c r="J297" t="s">
        <v>37</v>
      </c>
      <c r="K297">
        <v>10090</v>
      </c>
      <c r="L297" s="3" t="str">
        <f>HYPERLINK("http://www.uniprot.org/uniprot/Q9CPV4", "Q9CPV4")</f>
        <v>Q9CPV4</v>
      </c>
      <c r="M297" t="s">
        <v>3719</v>
      </c>
      <c r="N297" t="str">
        <f>"Glod4"</f>
        <v>Glod4</v>
      </c>
      <c r="O297" s="3" t="str">
        <f>HYPERLINK("http://www.informatics.jax.org/marker/MGI:1914451", "MGI:1914451")</f>
        <v>MGI:1914451</v>
      </c>
      <c r="P297" t="s">
        <v>3720</v>
      </c>
      <c r="Q297" t="s">
        <v>32</v>
      </c>
      <c r="R297" t="s">
        <v>1038</v>
      </c>
      <c r="S297" t="s">
        <v>41</v>
      </c>
      <c r="T297" t="s">
        <v>32</v>
      </c>
      <c r="U297" t="s">
        <v>32</v>
      </c>
      <c r="V297" t="s">
        <v>55</v>
      </c>
      <c r="W297" t="s">
        <v>32</v>
      </c>
      <c r="X297" t="s">
        <v>32</v>
      </c>
      <c r="Y297" t="s">
        <v>618</v>
      </c>
      <c r="Z297" t="s">
        <v>32</v>
      </c>
      <c r="AA297" t="s">
        <v>32</v>
      </c>
      <c r="AB297" t="s">
        <v>3721</v>
      </c>
      <c r="AC297" t="s">
        <v>32</v>
      </c>
      <c r="AD297" t="s">
        <v>32</v>
      </c>
      <c r="AE297" t="s">
        <v>32</v>
      </c>
      <c r="AF297" t="s">
        <v>46835</v>
      </c>
    </row>
    <row r="298" spans="1:33" x14ac:dyDescent="0.2">
      <c r="A298">
        <v>293</v>
      </c>
      <c r="B298" t="s">
        <v>3722</v>
      </c>
      <c r="C298" t="s">
        <v>3723</v>
      </c>
      <c r="D298" t="s">
        <v>3724</v>
      </c>
      <c r="E298" t="s">
        <v>3725</v>
      </c>
      <c r="F298" t="s">
        <v>3726</v>
      </c>
      <c r="G298" t="s">
        <v>3727</v>
      </c>
      <c r="H298" t="str">
        <f>"P4ha1"</f>
        <v>P4ha1</v>
      </c>
      <c r="I298" t="s">
        <v>32</v>
      </c>
      <c r="J298" t="s">
        <v>37</v>
      </c>
      <c r="K298">
        <v>10090</v>
      </c>
      <c r="L298" s="3" t="str">
        <f>HYPERLINK("http://www.uniprot.org/uniprot/Q60715", "Q60715")</f>
        <v>Q60715</v>
      </c>
      <c r="M298" t="s">
        <v>3728</v>
      </c>
      <c r="N298" t="str">
        <f>"P4ha1"</f>
        <v>P4ha1</v>
      </c>
      <c r="O298" s="3" t="str">
        <f>HYPERLINK("http://www.informatics.jax.org/marker/MGI:97463", "MGI:97463")</f>
        <v>MGI:97463</v>
      </c>
      <c r="P298" t="s">
        <v>3729</v>
      </c>
      <c r="Q298" t="s">
        <v>32</v>
      </c>
      <c r="R298" t="s">
        <v>671</v>
      </c>
      <c r="S298" t="s">
        <v>41</v>
      </c>
      <c r="T298" t="s">
        <v>32</v>
      </c>
      <c r="U298" t="s">
        <v>32</v>
      </c>
      <c r="V298" t="s">
        <v>3730</v>
      </c>
      <c r="W298" t="s">
        <v>3731</v>
      </c>
      <c r="X298" t="s">
        <v>3732</v>
      </c>
      <c r="Y298" t="s">
        <v>3733</v>
      </c>
      <c r="Z298" t="s">
        <v>32</v>
      </c>
      <c r="AA298" t="s">
        <v>3734</v>
      </c>
      <c r="AB298" t="s">
        <v>3735</v>
      </c>
      <c r="AC298" t="s">
        <v>3736</v>
      </c>
      <c r="AD298" t="s">
        <v>32</v>
      </c>
      <c r="AE298" t="s">
        <v>2061</v>
      </c>
      <c r="AF298" t="s">
        <v>46835</v>
      </c>
    </row>
    <row r="299" spans="1:33" x14ac:dyDescent="0.2">
      <c r="A299">
        <v>294</v>
      </c>
      <c r="B299" t="s">
        <v>3737</v>
      </c>
      <c r="C299" t="s">
        <v>3738</v>
      </c>
      <c r="D299" t="s">
        <v>3739</v>
      </c>
      <c r="E299" t="s">
        <v>3740</v>
      </c>
      <c r="F299" t="s">
        <v>3741</v>
      </c>
      <c r="G299" t="s">
        <v>3742</v>
      </c>
      <c r="H299" t="str">
        <f>"Cdc42"</f>
        <v>Cdc42</v>
      </c>
      <c r="I299" t="s">
        <v>32</v>
      </c>
      <c r="J299" t="s">
        <v>37</v>
      </c>
      <c r="K299">
        <v>10090</v>
      </c>
      <c r="L299" s="3" t="str">
        <f>HYPERLINK("http://www.uniprot.org/uniprot/P60766", "P60766")</f>
        <v>P60766</v>
      </c>
      <c r="M299" t="s">
        <v>3743</v>
      </c>
      <c r="N299" t="str">
        <f>"Cdc42"</f>
        <v>Cdc42</v>
      </c>
      <c r="O299" s="3" t="str">
        <f>HYPERLINK("http://www.informatics.jax.org/marker/MGI:106211", "MGI:106211")</f>
        <v>MGI:106211</v>
      </c>
      <c r="P299" t="s">
        <v>3744</v>
      </c>
      <c r="Q299" t="s">
        <v>2027</v>
      </c>
      <c r="R299" t="s">
        <v>647</v>
      </c>
      <c r="S299" t="s">
        <v>41</v>
      </c>
      <c r="T299" t="s">
        <v>32</v>
      </c>
      <c r="U299" t="s">
        <v>32</v>
      </c>
      <c r="V299" t="s">
        <v>32</v>
      </c>
      <c r="W299" t="s">
        <v>261</v>
      </c>
      <c r="X299" t="s">
        <v>343</v>
      </c>
      <c r="Y299" t="s">
        <v>3745</v>
      </c>
      <c r="Z299" t="s">
        <v>126</v>
      </c>
      <c r="AA299" t="s">
        <v>3746</v>
      </c>
      <c r="AB299" t="s">
        <v>3747</v>
      </c>
      <c r="AC299" t="s">
        <v>3748</v>
      </c>
      <c r="AD299" t="s">
        <v>32</v>
      </c>
      <c r="AE299" t="s">
        <v>3749</v>
      </c>
      <c r="AF299" t="s">
        <v>46835</v>
      </c>
    </row>
    <row r="300" spans="1:33" x14ac:dyDescent="0.2">
      <c r="A300">
        <v>295</v>
      </c>
      <c r="B300" t="s">
        <v>3750</v>
      </c>
      <c r="C300" t="s">
        <v>3751</v>
      </c>
      <c r="D300" t="s">
        <v>32</v>
      </c>
      <c r="E300" t="s">
        <v>3752</v>
      </c>
      <c r="F300" t="s">
        <v>3753</v>
      </c>
      <c r="G300" t="s">
        <v>3754</v>
      </c>
      <c r="H300" t="str">
        <f>"Rps14"</f>
        <v>Rps14</v>
      </c>
      <c r="I300" t="s">
        <v>32</v>
      </c>
      <c r="J300" t="s">
        <v>37</v>
      </c>
      <c r="K300">
        <v>10090</v>
      </c>
      <c r="L300" s="3" t="str">
        <f>HYPERLINK("http://www.uniprot.org/uniprot/P62264", "P62264")</f>
        <v>P62264</v>
      </c>
      <c r="M300" t="s">
        <v>3755</v>
      </c>
      <c r="N300" t="str">
        <f>"Rps14"</f>
        <v>Rps14</v>
      </c>
      <c r="O300" s="3" t="str">
        <f>HYPERLINK("http://www.informatics.jax.org/marker/MGI:98107", "MGI:98107")</f>
        <v>MGI:98107</v>
      </c>
      <c r="P300" t="s">
        <v>2387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447</v>
      </c>
      <c r="Y300" t="s">
        <v>1007</v>
      </c>
      <c r="Z300" t="s">
        <v>126</v>
      </c>
      <c r="AA300" t="s">
        <v>3756</v>
      </c>
      <c r="AB300" t="s">
        <v>3757</v>
      </c>
      <c r="AC300" t="s">
        <v>3758</v>
      </c>
      <c r="AD300" t="s">
        <v>32</v>
      </c>
      <c r="AE300" t="s">
        <v>691</v>
      </c>
      <c r="AF300" t="s">
        <v>46835</v>
      </c>
    </row>
    <row r="301" spans="1:33" x14ac:dyDescent="0.2">
      <c r="A301">
        <v>296</v>
      </c>
      <c r="B301" t="s">
        <v>3759</v>
      </c>
      <c r="C301" t="s">
        <v>3760</v>
      </c>
      <c r="D301" t="s">
        <v>3761</v>
      </c>
      <c r="E301" t="s">
        <v>3762</v>
      </c>
      <c r="F301" t="s">
        <v>3763</v>
      </c>
      <c r="G301" t="s">
        <v>3764</v>
      </c>
      <c r="H301" t="str">
        <f>"Psmd3"</f>
        <v>Psmd3</v>
      </c>
      <c r="I301" t="s">
        <v>3765</v>
      </c>
      <c r="J301" t="s">
        <v>37</v>
      </c>
      <c r="K301">
        <v>10090</v>
      </c>
      <c r="L301" s="3" t="str">
        <f>HYPERLINK("http://www.uniprot.org/uniprot/P14685", "P14685")</f>
        <v>P14685</v>
      </c>
      <c r="M301" t="s">
        <v>3766</v>
      </c>
      <c r="N301" t="str">
        <f>"Psmd3"</f>
        <v>Psmd3</v>
      </c>
      <c r="O301" s="3" t="str">
        <f>HYPERLINK("http://www.informatics.jax.org/marker/MGI:98858", "MGI:98858")</f>
        <v>MGI:98858</v>
      </c>
      <c r="P301" t="s">
        <v>3767</v>
      </c>
      <c r="Q301" t="s">
        <v>32</v>
      </c>
      <c r="R301" t="s">
        <v>3565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3768</v>
      </c>
      <c r="Y301" t="s">
        <v>1007</v>
      </c>
      <c r="Z301" t="s">
        <v>32</v>
      </c>
      <c r="AA301" t="s">
        <v>3769</v>
      </c>
      <c r="AB301" t="s">
        <v>3770</v>
      </c>
      <c r="AC301" t="s">
        <v>3568</v>
      </c>
      <c r="AD301" t="s">
        <v>32</v>
      </c>
      <c r="AE301" t="s">
        <v>2590</v>
      </c>
      <c r="AF301" t="s">
        <v>46835</v>
      </c>
    </row>
    <row r="302" spans="1:33" x14ac:dyDescent="0.2">
      <c r="A302">
        <v>297</v>
      </c>
      <c r="B302" t="s">
        <v>3771</v>
      </c>
      <c r="C302" t="s">
        <v>3772</v>
      </c>
      <c r="D302" t="s">
        <v>3773</v>
      </c>
      <c r="E302" t="s">
        <v>3774</v>
      </c>
      <c r="F302" t="s">
        <v>3775</v>
      </c>
      <c r="G302" t="s">
        <v>3776</v>
      </c>
      <c r="H302" t="str">
        <f>"Rps15"</f>
        <v>Rps15</v>
      </c>
      <c r="I302" t="s">
        <v>3777</v>
      </c>
      <c r="J302" t="s">
        <v>37</v>
      </c>
      <c r="K302">
        <v>10090</v>
      </c>
      <c r="L302" s="3" t="str">
        <f>HYPERLINK("http://www.uniprot.org/uniprot/P62843", "P62843")</f>
        <v>P62843</v>
      </c>
      <c r="M302" t="s">
        <v>3778</v>
      </c>
      <c r="N302" t="str">
        <f>"Rps15"</f>
        <v>Rps15</v>
      </c>
      <c r="O302" s="3" t="str">
        <f>HYPERLINK("http://www.informatics.jax.org/marker/MGI:98117", "MGI:98117")</f>
        <v>MGI:98117</v>
      </c>
      <c r="P302" t="s">
        <v>3779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447</v>
      </c>
      <c r="Y302" t="s">
        <v>461</v>
      </c>
      <c r="Z302" t="s">
        <v>126</v>
      </c>
      <c r="AA302" t="s">
        <v>3780</v>
      </c>
      <c r="AB302" t="s">
        <v>3781</v>
      </c>
      <c r="AC302" t="s">
        <v>3782</v>
      </c>
      <c r="AD302" t="s">
        <v>32</v>
      </c>
      <c r="AE302" t="s">
        <v>691</v>
      </c>
      <c r="AF302" t="s">
        <v>46835</v>
      </c>
    </row>
    <row r="303" spans="1:33" x14ac:dyDescent="0.2">
      <c r="A303">
        <v>298</v>
      </c>
      <c r="B303" t="s">
        <v>3783</v>
      </c>
      <c r="C303" t="s">
        <v>3784</v>
      </c>
      <c r="D303" t="s">
        <v>3785</v>
      </c>
      <c r="E303" t="s">
        <v>3786</v>
      </c>
      <c r="F303" t="s">
        <v>3787</v>
      </c>
      <c r="G303" t="s">
        <v>32</v>
      </c>
      <c r="H303" t="str">
        <f>"Usp5"</f>
        <v>Usp5</v>
      </c>
      <c r="I303" t="s">
        <v>3788</v>
      </c>
      <c r="J303" t="s">
        <v>37</v>
      </c>
      <c r="K303">
        <v>10090</v>
      </c>
      <c r="L303" s="3" t="str">
        <f>HYPERLINK("http://www.uniprot.org/uniprot/P56399", "P56399")</f>
        <v>P56399</v>
      </c>
      <c r="M303" t="s">
        <v>3789</v>
      </c>
      <c r="N303" t="str">
        <f>"Usp5"</f>
        <v>Usp5</v>
      </c>
      <c r="O303" s="3" t="str">
        <f>HYPERLINK("http://www.informatics.jax.org/marker/MGI:1347343", "MGI:1347343")</f>
        <v>MGI:1347343</v>
      </c>
      <c r="P303" t="s">
        <v>3790</v>
      </c>
      <c r="Q303" t="s">
        <v>1020</v>
      </c>
      <c r="R303" t="s">
        <v>32</v>
      </c>
      <c r="S303" t="s">
        <v>32</v>
      </c>
      <c r="T303" t="s">
        <v>32</v>
      </c>
      <c r="U303" t="s">
        <v>32</v>
      </c>
      <c r="V303" t="s">
        <v>3791</v>
      </c>
      <c r="W303" t="s">
        <v>42</v>
      </c>
      <c r="X303" t="s">
        <v>557</v>
      </c>
      <c r="Y303" t="s">
        <v>480</v>
      </c>
      <c r="Z303" t="s">
        <v>32</v>
      </c>
      <c r="AA303" t="s">
        <v>3792</v>
      </c>
      <c r="AB303" t="s">
        <v>928</v>
      </c>
      <c r="AC303" t="s">
        <v>3793</v>
      </c>
      <c r="AD303" t="s">
        <v>32</v>
      </c>
      <c r="AE303" t="s">
        <v>3794</v>
      </c>
      <c r="AF303" t="s">
        <v>46835</v>
      </c>
    </row>
    <row r="304" spans="1:33" x14ac:dyDescent="0.2">
      <c r="A304">
        <v>299</v>
      </c>
      <c r="B304" t="s">
        <v>3795</v>
      </c>
      <c r="C304" t="s">
        <v>3796</v>
      </c>
      <c r="D304" t="s">
        <v>3797</v>
      </c>
      <c r="E304" t="s">
        <v>3798</v>
      </c>
      <c r="F304" t="s">
        <v>3799</v>
      </c>
      <c r="G304" t="s">
        <v>3800</v>
      </c>
      <c r="H304" t="str">
        <f>"Eif3l"</f>
        <v>Eif3l</v>
      </c>
      <c r="I304" t="s">
        <v>3801</v>
      </c>
      <c r="J304" t="s">
        <v>37</v>
      </c>
      <c r="K304">
        <v>10090</v>
      </c>
      <c r="L304" s="3" t="str">
        <f>HYPERLINK("http://www.uniprot.org/uniprot/Q8QZY1", "Q8QZY1")</f>
        <v>Q8QZY1</v>
      </c>
      <c r="M304" t="s">
        <v>3802</v>
      </c>
      <c r="N304" t="str">
        <f>"Eif3l"</f>
        <v>Eif3l</v>
      </c>
      <c r="O304" s="3" t="str">
        <f>HYPERLINK("http://www.informatics.jax.org/marker/MGI:2386251", "MGI:2386251")</f>
        <v>MGI:2386251</v>
      </c>
      <c r="P304" t="s">
        <v>3803</v>
      </c>
      <c r="Q304" t="s">
        <v>260</v>
      </c>
      <c r="R304" t="s">
        <v>418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2675</v>
      </c>
      <c r="Y304" t="s">
        <v>78</v>
      </c>
      <c r="Z304" t="s">
        <v>32</v>
      </c>
      <c r="AA304" t="s">
        <v>3804</v>
      </c>
      <c r="AB304" t="s">
        <v>3805</v>
      </c>
      <c r="AC304" t="s">
        <v>3806</v>
      </c>
      <c r="AD304" t="s">
        <v>32</v>
      </c>
      <c r="AE304" t="s">
        <v>1570</v>
      </c>
      <c r="AF304" t="s">
        <v>46835</v>
      </c>
    </row>
    <row r="305" spans="1:33" x14ac:dyDescent="0.2">
      <c r="A305">
        <v>300</v>
      </c>
      <c r="B305" t="s">
        <v>3807</v>
      </c>
      <c r="C305" t="s">
        <v>3808</v>
      </c>
      <c r="D305" t="s">
        <v>3809</v>
      </c>
      <c r="E305" t="s">
        <v>3810</v>
      </c>
      <c r="F305" t="s">
        <v>3811</v>
      </c>
      <c r="G305" t="s">
        <v>3812</v>
      </c>
      <c r="H305" t="str">
        <f>"Psmd1"</f>
        <v>Psmd1</v>
      </c>
      <c r="I305" t="s">
        <v>32</v>
      </c>
      <c r="J305" t="s">
        <v>37</v>
      </c>
      <c r="K305">
        <v>10090</v>
      </c>
      <c r="L305" s="3" t="str">
        <f>HYPERLINK("http://www.uniprot.org/uniprot/Q3TXS7", "Q3TXS7")</f>
        <v>Q3TXS7</v>
      </c>
      <c r="M305" t="s">
        <v>3813</v>
      </c>
      <c r="N305" t="str">
        <f>"Psmd1"</f>
        <v>Psmd1</v>
      </c>
      <c r="O305" s="3" t="str">
        <f>HYPERLINK("http://www.informatics.jax.org/marker/MGI:1917497", "MGI:1917497")</f>
        <v>MGI:1917497</v>
      </c>
      <c r="P305" t="s">
        <v>3564</v>
      </c>
      <c r="Q305" t="s">
        <v>32</v>
      </c>
      <c r="R305" t="s">
        <v>3565</v>
      </c>
      <c r="S305" t="s">
        <v>32</v>
      </c>
      <c r="T305" t="s">
        <v>32</v>
      </c>
      <c r="U305" t="s">
        <v>32</v>
      </c>
      <c r="V305" t="s">
        <v>55</v>
      </c>
      <c r="W305" t="s">
        <v>32</v>
      </c>
      <c r="X305" t="s">
        <v>32</v>
      </c>
      <c r="Y305" t="s">
        <v>157</v>
      </c>
      <c r="Z305" t="s">
        <v>32</v>
      </c>
      <c r="AA305" t="s">
        <v>3566</v>
      </c>
      <c r="AB305" t="s">
        <v>3814</v>
      </c>
      <c r="AC305" t="s">
        <v>3815</v>
      </c>
      <c r="AD305" t="s">
        <v>32</v>
      </c>
      <c r="AE305" t="s">
        <v>2590</v>
      </c>
      <c r="AF305" t="s">
        <v>46835</v>
      </c>
    </row>
    <row r="306" spans="1:33" x14ac:dyDescent="0.2">
      <c r="A306">
        <v>301</v>
      </c>
      <c r="B306" t="s">
        <v>3816</v>
      </c>
      <c r="C306" t="s">
        <v>3817</v>
      </c>
      <c r="D306" t="s">
        <v>3818</v>
      </c>
      <c r="E306" t="s">
        <v>3819</v>
      </c>
      <c r="F306" t="s">
        <v>3820</v>
      </c>
      <c r="G306" t="s">
        <v>32</v>
      </c>
      <c r="H306" t="str">
        <f>"Stmn1"</f>
        <v>Stmn1</v>
      </c>
      <c r="I306" t="s">
        <v>3821</v>
      </c>
      <c r="J306" t="s">
        <v>37</v>
      </c>
      <c r="K306">
        <v>10090</v>
      </c>
      <c r="L306" s="3" t="str">
        <f>HYPERLINK("http://www.uniprot.org/uniprot/P54227", "P54227")</f>
        <v>P54227</v>
      </c>
      <c r="M306" t="s">
        <v>3822</v>
      </c>
      <c r="N306" t="str">
        <f>"Stmn1"</f>
        <v>Stmn1</v>
      </c>
      <c r="O306" s="3" t="str">
        <f>HYPERLINK("http://www.informatics.jax.org/marker/MGI:96739", "MGI:96739")</f>
        <v>MGI:96739</v>
      </c>
      <c r="P306" t="s">
        <v>3823</v>
      </c>
      <c r="Q306" t="s">
        <v>2027</v>
      </c>
      <c r="R306" t="s">
        <v>341</v>
      </c>
      <c r="S306" t="s">
        <v>32</v>
      </c>
      <c r="T306" t="s">
        <v>32</v>
      </c>
      <c r="U306" t="s">
        <v>32</v>
      </c>
      <c r="V306" t="s">
        <v>290</v>
      </c>
      <c r="W306" t="s">
        <v>32</v>
      </c>
      <c r="X306" t="s">
        <v>2029</v>
      </c>
      <c r="Y306" t="s">
        <v>97</v>
      </c>
      <c r="Z306" t="s">
        <v>32</v>
      </c>
      <c r="AA306" t="s">
        <v>3824</v>
      </c>
      <c r="AB306" t="s">
        <v>3825</v>
      </c>
      <c r="AC306" t="s">
        <v>3826</v>
      </c>
      <c r="AD306" t="s">
        <v>32</v>
      </c>
      <c r="AE306" t="s">
        <v>32</v>
      </c>
      <c r="AF306" t="s">
        <v>46835</v>
      </c>
    </row>
    <row r="307" spans="1:33" x14ac:dyDescent="0.2">
      <c r="A307">
        <v>302</v>
      </c>
      <c r="B307" t="s">
        <v>3827</v>
      </c>
      <c r="C307" t="s">
        <v>3828</v>
      </c>
      <c r="D307" t="s">
        <v>3829</v>
      </c>
      <c r="E307" t="s">
        <v>3830</v>
      </c>
      <c r="F307" t="s">
        <v>3831</v>
      </c>
      <c r="G307" t="s">
        <v>32</v>
      </c>
      <c r="H307" t="str">
        <f>"Psma1"</f>
        <v>Psma1</v>
      </c>
      <c r="I307" t="s">
        <v>32</v>
      </c>
      <c r="J307" t="s">
        <v>37</v>
      </c>
      <c r="K307">
        <v>10090</v>
      </c>
      <c r="L307" s="3" t="str">
        <f>HYPERLINK("http://www.uniprot.org/uniprot/Q9R1P4", "Q9R1P4")</f>
        <v>Q9R1P4</v>
      </c>
      <c r="M307" t="s">
        <v>3832</v>
      </c>
      <c r="N307" t="str">
        <f>"Psma1"</f>
        <v>Psma1</v>
      </c>
      <c r="O307" s="3" t="str">
        <f>HYPERLINK("http://www.informatics.jax.org/marker/MGI:1347005", "MGI:1347005")</f>
        <v>MGI:1347005</v>
      </c>
      <c r="P307" t="s">
        <v>3833</v>
      </c>
      <c r="Q307" t="s">
        <v>3834</v>
      </c>
      <c r="R307" t="s">
        <v>2586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32</v>
      </c>
      <c r="Y307" t="s">
        <v>544</v>
      </c>
      <c r="Z307" t="s">
        <v>126</v>
      </c>
      <c r="AA307" t="s">
        <v>3835</v>
      </c>
      <c r="AB307" t="s">
        <v>3836</v>
      </c>
      <c r="AC307" t="s">
        <v>3837</v>
      </c>
      <c r="AD307" t="s">
        <v>32</v>
      </c>
      <c r="AE307" t="s">
        <v>2774</v>
      </c>
      <c r="AF307" t="s">
        <v>46835</v>
      </c>
    </row>
    <row r="308" spans="1:33" x14ac:dyDescent="0.2">
      <c r="A308">
        <v>303</v>
      </c>
      <c r="B308" t="s">
        <v>3838</v>
      </c>
      <c r="C308" t="s">
        <v>3839</v>
      </c>
      <c r="D308" t="s">
        <v>3840</v>
      </c>
      <c r="E308" t="s">
        <v>3841</v>
      </c>
      <c r="F308" t="s">
        <v>3842</v>
      </c>
      <c r="G308" t="s">
        <v>3843</v>
      </c>
      <c r="H308" t="str">
        <f>"Myo1b"</f>
        <v>Myo1b</v>
      </c>
      <c r="I308" t="s">
        <v>32</v>
      </c>
      <c r="J308" t="s">
        <v>37</v>
      </c>
      <c r="K308">
        <v>10090</v>
      </c>
      <c r="L308" s="3" t="str">
        <f>HYPERLINK("http://www.uniprot.org/uniprot/P46735", "P46735")</f>
        <v>P46735</v>
      </c>
      <c r="M308" t="s">
        <v>3844</v>
      </c>
      <c r="N308" t="str">
        <f>"Myo1b"</f>
        <v>Myo1b</v>
      </c>
      <c r="O308" s="3" t="str">
        <f>HYPERLINK("http://www.informatics.jax.org/marker/MGI:107752", "MGI:107752")</f>
        <v>MGI:107752</v>
      </c>
      <c r="P308" t="s">
        <v>3845</v>
      </c>
      <c r="Q308" t="s">
        <v>32</v>
      </c>
      <c r="R308" t="s">
        <v>32</v>
      </c>
      <c r="S308" t="s">
        <v>41</v>
      </c>
      <c r="T308" t="s">
        <v>32</v>
      </c>
      <c r="U308" t="s">
        <v>32</v>
      </c>
      <c r="V308" t="s">
        <v>55</v>
      </c>
      <c r="W308" t="s">
        <v>205</v>
      </c>
      <c r="X308" t="s">
        <v>1366</v>
      </c>
      <c r="Y308" t="s">
        <v>1007</v>
      </c>
      <c r="Z308" t="s">
        <v>32</v>
      </c>
      <c r="AA308" t="s">
        <v>3846</v>
      </c>
      <c r="AB308" t="s">
        <v>3847</v>
      </c>
      <c r="AC308" t="s">
        <v>3848</v>
      </c>
      <c r="AD308" t="s">
        <v>32</v>
      </c>
      <c r="AE308" t="s">
        <v>32</v>
      </c>
      <c r="AF308" t="s">
        <v>46835</v>
      </c>
    </row>
    <row r="309" spans="1:33" x14ac:dyDescent="0.2">
      <c r="A309">
        <v>304</v>
      </c>
      <c r="B309" t="s">
        <v>3849</v>
      </c>
      <c r="C309" t="s">
        <v>3850</v>
      </c>
      <c r="D309" t="s">
        <v>3851</v>
      </c>
      <c r="E309" t="s">
        <v>3852</v>
      </c>
      <c r="F309" t="s">
        <v>3853</v>
      </c>
      <c r="G309" t="s">
        <v>3854</v>
      </c>
      <c r="H309" t="str">
        <f>"Cox4i1"</f>
        <v>Cox4i1</v>
      </c>
      <c r="I309" t="s">
        <v>3855</v>
      </c>
      <c r="J309" t="s">
        <v>37</v>
      </c>
      <c r="K309">
        <v>10090</v>
      </c>
      <c r="L309" s="3" t="str">
        <f>HYPERLINK("http://www.uniprot.org/uniprot/P19783", "P19783")</f>
        <v>P19783</v>
      </c>
      <c r="M309" t="s">
        <v>3856</v>
      </c>
      <c r="N309" t="str">
        <f>"Cox4i1"</f>
        <v>Cox4i1</v>
      </c>
      <c r="O309" s="3" t="str">
        <f>HYPERLINK("http://www.informatics.jax.org/marker/MGI:88473", "MGI:88473")</f>
        <v>MGI:88473</v>
      </c>
      <c r="P309" t="s">
        <v>3857</v>
      </c>
      <c r="Q309" t="s">
        <v>32</v>
      </c>
      <c r="R309" t="s">
        <v>3858</v>
      </c>
      <c r="S309" t="s">
        <v>32</v>
      </c>
      <c r="T309" t="s">
        <v>32</v>
      </c>
      <c r="U309" t="s">
        <v>32</v>
      </c>
      <c r="V309" t="s">
        <v>3859</v>
      </c>
      <c r="W309" t="s">
        <v>32</v>
      </c>
      <c r="X309" t="s">
        <v>32</v>
      </c>
      <c r="Y309" t="s">
        <v>157</v>
      </c>
      <c r="Z309" t="s">
        <v>126</v>
      </c>
      <c r="AA309" t="s">
        <v>3860</v>
      </c>
      <c r="AB309" t="s">
        <v>3861</v>
      </c>
      <c r="AC309" t="s">
        <v>32</v>
      </c>
      <c r="AD309" t="s">
        <v>3862</v>
      </c>
      <c r="AE309" t="s">
        <v>3863</v>
      </c>
      <c r="AF309" t="s">
        <v>46835</v>
      </c>
    </row>
    <row r="310" spans="1:33" x14ac:dyDescent="0.2">
      <c r="A310">
        <v>305</v>
      </c>
      <c r="B310" t="s">
        <v>3864</v>
      </c>
      <c r="C310" t="s">
        <v>3865</v>
      </c>
      <c r="D310" t="s">
        <v>3866</v>
      </c>
      <c r="E310" t="s">
        <v>3867</v>
      </c>
      <c r="F310" t="s">
        <v>3868</v>
      </c>
      <c r="G310" t="s">
        <v>3869</v>
      </c>
      <c r="H310" t="str">
        <f>"Usp9x"</f>
        <v>Usp9x</v>
      </c>
      <c r="I310" t="s">
        <v>32</v>
      </c>
      <c r="J310" t="s">
        <v>37</v>
      </c>
      <c r="K310">
        <v>10090</v>
      </c>
      <c r="L310" s="3" t="str">
        <f>HYPERLINK("http://www.uniprot.org/uniprot/P70398", "P70398")</f>
        <v>P70398</v>
      </c>
      <c r="M310" t="s">
        <v>3870</v>
      </c>
      <c r="N310" t="str">
        <f>"Usp9x"</f>
        <v>Usp9x</v>
      </c>
      <c r="O310" s="3" t="str">
        <f>HYPERLINK("http://www.informatics.jax.org/marker/MGI:894681", "MGI:894681")</f>
        <v>MGI:894681</v>
      </c>
      <c r="P310" t="s">
        <v>3871</v>
      </c>
      <c r="Q310" t="s">
        <v>3872</v>
      </c>
      <c r="R310" t="s">
        <v>1210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557</v>
      </c>
      <c r="Y310" t="s">
        <v>618</v>
      </c>
      <c r="Z310" t="s">
        <v>32</v>
      </c>
      <c r="AA310" t="s">
        <v>3873</v>
      </c>
      <c r="AB310" t="s">
        <v>3874</v>
      </c>
      <c r="AC310" t="s">
        <v>3875</v>
      </c>
      <c r="AD310" t="s">
        <v>32</v>
      </c>
      <c r="AE310" t="s">
        <v>3876</v>
      </c>
      <c r="AF310" t="s">
        <v>46835</v>
      </c>
    </row>
    <row r="311" spans="1:33" x14ac:dyDescent="0.2">
      <c r="A311">
        <v>306</v>
      </c>
      <c r="B311" t="s">
        <v>3877</v>
      </c>
      <c r="C311" t="s">
        <v>3878</v>
      </c>
      <c r="D311" t="s">
        <v>3879</v>
      </c>
      <c r="E311" t="s">
        <v>3880</v>
      </c>
      <c r="F311" t="s">
        <v>3881</v>
      </c>
      <c r="G311" t="s">
        <v>3882</v>
      </c>
      <c r="H311" t="str">
        <f>"Pafah1b1"</f>
        <v>Pafah1b1</v>
      </c>
      <c r="I311" t="s">
        <v>3883</v>
      </c>
      <c r="J311" t="s">
        <v>37</v>
      </c>
      <c r="K311">
        <v>10090</v>
      </c>
      <c r="L311" s="3" t="str">
        <f>HYPERLINK("http://www.uniprot.org/uniprot/P63005", "P63005")</f>
        <v>P63005</v>
      </c>
      <c r="M311" t="s">
        <v>3884</v>
      </c>
      <c r="N311" t="str">
        <f>"Pafah1b1"</f>
        <v>Pafah1b1</v>
      </c>
      <c r="O311" s="3" t="str">
        <f>HYPERLINK("http://www.informatics.jax.org/marker/MGI:109520", "MGI:109520")</f>
        <v>MGI:109520</v>
      </c>
      <c r="P311" t="s">
        <v>3885</v>
      </c>
      <c r="Q311" t="s">
        <v>3886</v>
      </c>
      <c r="R311" t="s">
        <v>3887</v>
      </c>
      <c r="S311" t="s">
        <v>41</v>
      </c>
      <c r="T311" t="s">
        <v>32</v>
      </c>
      <c r="U311" t="s">
        <v>32</v>
      </c>
      <c r="V311" t="s">
        <v>3167</v>
      </c>
      <c r="W311" t="s">
        <v>32</v>
      </c>
      <c r="X311" t="s">
        <v>2029</v>
      </c>
      <c r="Y311" t="s">
        <v>157</v>
      </c>
      <c r="Z311" t="s">
        <v>126</v>
      </c>
      <c r="AA311" t="s">
        <v>3888</v>
      </c>
      <c r="AB311" t="s">
        <v>3889</v>
      </c>
      <c r="AC311" t="s">
        <v>3890</v>
      </c>
      <c r="AD311" t="s">
        <v>32</v>
      </c>
      <c r="AE311" t="s">
        <v>3891</v>
      </c>
      <c r="AF311" t="s">
        <v>46835</v>
      </c>
    </row>
    <row r="312" spans="1:33" x14ac:dyDescent="0.2">
      <c r="A312">
        <v>307</v>
      </c>
      <c r="B312" t="s">
        <v>3892</v>
      </c>
      <c r="C312" t="s">
        <v>47121</v>
      </c>
      <c r="D312" t="s">
        <v>32</v>
      </c>
      <c r="E312" t="s">
        <v>46844</v>
      </c>
      <c r="F312" t="s">
        <v>46843</v>
      </c>
      <c r="G312" t="s">
        <v>32</v>
      </c>
      <c r="H312" t="s">
        <v>47252</v>
      </c>
      <c r="I312" t="s">
        <v>32</v>
      </c>
      <c r="J312" t="s">
        <v>37</v>
      </c>
      <c r="K312">
        <v>10090</v>
      </c>
      <c r="L312" s="3" t="str">
        <f>HYPERLINK(CONCATENATE("https://www.uniprot.org/uniprotkb/", AG312, "/entry"), AG312)</f>
        <v>Q91ZU6</v>
      </c>
      <c r="M312" t="s">
        <v>32</v>
      </c>
      <c r="N312" t="s">
        <v>32</v>
      </c>
      <c r="O312" s="3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32</v>
      </c>
      <c r="Y312" t="s">
        <v>32</v>
      </c>
      <c r="Z312" t="s">
        <v>32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t="s">
        <v>46835</v>
      </c>
      <c r="AG312" t="s">
        <v>46843</v>
      </c>
    </row>
    <row r="313" spans="1:33" x14ac:dyDescent="0.2">
      <c r="A313">
        <v>308</v>
      </c>
      <c r="B313" t="s">
        <v>3893</v>
      </c>
      <c r="C313" t="s">
        <v>3894</v>
      </c>
      <c r="D313" t="s">
        <v>3895</v>
      </c>
      <c r="E313" t="s">
        <v>3896</v>
      </c>
      <c r="F313" t="s">
        <v>3897</v>
      </c>
      <c r="G313" t="s">
        <v>3898</v>
      </c>
      <c r="H313" t="str">
        <f>"Aars1"</f>
        <v>Aars1</v>
      </c>
      <c r="I313" t="s">
        <v>3899</v>
      </c>
      <c r="J313" t="s">
        <v>37</v>
      </c>
      <c r="K313">
        <v>10090</v>
      </c>
      <c r="L313" s="3" t="str">
        <f>HYPERLINK("http://www.uniprot.org/uniprot/Q8BGQ7", "Q8BGQ7")</f>
        <v>Q8BGQ7</v>
      </c>
      <c r="M313" t="s">
        <v>3900</v>
      </c>
      <c r="N313" t="str">
        <f>"Aars"</f>
        <v>Aars</v>
      </c>
      <c r="O313" s="3" t="str">
        <f>HYPERLINK("http://www.informatics.jax.org/marker/MGI:2384560", "MGI:2384560")</f>
        <v>MGI:2384560</v>
      </c>
      <c r="P313" t="s">
        <v>3901</v>
      </c>
      <c r="Q313" t="s">
        <v>260</v>
      </c>
      <c r="R313" t="s">
        <v>418</v>
      </c>
      <c r="S313" t="s">
        <v>32</v>
      </c>
      <c r="T313" t="s">
        <v>32</v>
      </c>
      <c r="U313" t="s">
        <v>829</v>
      </c>
      <c r="V313" t="s">
        <v>32</v>
      </c>
      <c r="W313" t="s">
        <v>2325</v>
      </c>
      <c r="X313" t="s">
        <v>3361</v>
      </c>
      <c r="Y313" t="s">
        <v>1023</v>
      </c>
      <c r="Z313" t="s">
        <v>32</v>
      </c>
      <c r="AA313" t="s">
        <v>3902</v>
      </c>
      <c r="AB313" t="s">
        <v>3903</v>
      </c>
      <c r="AC313" t="s">
        <v>3904</v>
      </c>
      <c r="AD313" t="s">
        <v>32</v>
      </c>
      <c r="AE313" t="s">
        <v>32</v>
      </c>
      <c r="AF313" t="s">
        <v>46835</v>
      </c>
    </row>
    <row r="314" spans="1:33" x14ac:dyDescent="0.2">
      <c r="A314">
        <v>309</v>
      </c>
      <c r="B314" t="s">
        <v>3905</v>
      </c>
      <c r="C314" t="s">
        <v>3906</v>
      </c>
      <c r="D314" t="s">
        <v>32</v>
      </c>
      <c r="E314" t="s">
        <v>3907</v>
      </c>
      <c r="F314" t="s">
        <v>3908</v>
      </c>
      <c r="G314" t="s">
        <v>3909</v>
      </c>
      <c r="H314" t="str">
        <f>"H2az1"</f>
        <v>H2az1</v>
      </c>
      <c r="I314" t="s">
        <v>32</v>
      </c>
      <c r="J314" t="s">
        <v>37</v>
      </c>
      <c r="K314">
        <v>10090</v>
      </c>
      <c r="L314" s="3" t="str">
        <f>HYPERLINK("http://www.uniprot.org/uniprot/P0C0S6", "P0C0S6")</f>
        <v>P0C0S6</v>
      </c>
      <c r="M314" t="s">
        <v>3910</v>
      </c>
      <c r="N314" t="str">
        <f>"H2az1"</f>
        <v>H2az1</v>
      </c>
      <c r="O314" s="3" t="str">
        <f>HYPERLINK("http://www.informatics.jax.org/marker/MGI:1888388", "MGI:1888388")</f>
        <v>MGI:1888388</v>
      </c>
      <c r="P314" t="s">
        <v>3911</v>
      </c>
      <c r="Q314" t="s">
        <v>32</v>
      </c>
      <c r="R314" t="s">
        <v>246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3912</v>
      </c>
      <c r="Y314" t="s">
        <v>1416</v>
      </c>
      <c r="Z314" t="s">
        <v>126</v>
      </c>
      <c r="AA314" t="s">
        <v>3913</v>
      </c>
      <c r="AB314" t="s">
        <v>3914</v>
      </c>
      <c r="AC314" t="s">
        <v>3915</v>
      </c>
      <c r="AD314" t="s">
        <v>32</v>
      </c>
      <c r="AE314" t="s">
        <v>3916</v>
      </c>
      <c r="AF314" t="s">
        <v>46835</v>
      </c>
    </row>
    <row r="315" spans="1:33" x14ac:dyDescent="0.2">
      <c r="A315">
        <v>310</v>
      </c>
      <c r="B315" t="s">
        <v>3917</v>
      </c>
      <c r="C315" t="s">
        <v>3918</v>
      </c>
      <c r="D315" t="s">
        <v>3919</v>
      </c>
      <c r="E315" t="s">
        <v>3920</v>
      </c>
      <c r="F315" t="s">
        <v>3921</v>
      </c>
      <c r="G315" t="s">
        <v>32</v>
      </c>
      <c r="H315" t="str">
        <f>"Ppp2r1a"</f>
        <v>Ppp2r1a</v>
      </c>
      <c r="I315" t="s">
        <v>32</v>
      </c>
      <c r="J315" t="s">
        <v>37</v>
      </c>
      <c r="K315">
        <v>10090</v>
      </c>
      <c r="L315" s="3" t="str">
        <f>HYPERLINK("http://www.uniprot.org/uniprot/Q76MZ3", "Q76MZ3")</f>
        <v>Q76MZ3</v>
      </c>
      <c r="M315" t="s">
        <v>3922</v>
      </c>
      <c r="N315" t="str">
        <f>"Ppp2r1a"</f>
        <v>Ppp2r1a</v>
      </c>
      <c r="O315" s="3" t="str">
        <f>HYPERLINK("http://www.informatics.jax.org/marker/MGI:1926334", "MGI:1926334")</f>
        <v>MGI:1926334</v>
      </c>
      <c r="P315" t="s">
        <v>3923</v>
      </c>
      <c r="Q315" t="s">
        <v>3924</v>
      </c>
      <c r="R315" t="s">
        <v>3925</v>
      </c>
      <c r="S315" t="s">
        <v>32</v>
      </c>
      <c r="T315" t="s">
        <v>32</v>
      </c>
      <c r="U315" t="s">
        <v>32</v>
      </c>
      <c r="V315" t="s">
        <v>55</v>
      </c>
      <c r="W315" t="s">
        <v>32</v>
      </c>
      <c r="X315" t="s">
        <v>32</v>
      </c>
      <c r="Y315" t="s">
        <v>78</v>
      </c>
      <c r="Z315" t="s">
        <v>126</v>
      </c>
      <c r="AA315" t="s">
        <v>3926</v>
      </c>
      <c r="AB315" t="s">
        <v>3927</v>
      </c>
      <c r="AC315" t="s">
        <v>3928</v>
      </c>
      <c r="AD315" t="s">
        <v>32</v>
      </c>
      <c r="AE315" t="s">
        <v>3929</v>
      </c>
      <c r="AF315" t="s">
        <v>46835</v>
      </c>
    </row>
    <row r="316" spans="1:33" x14ac:dyDescent="0.2">
      <c r="A316">
        <v>311</v>
      </c>
      <c r="B316" t="s">
        <v>3930</v>
      </c>
      <c r="C316" t="s">
        <v>3931</v>
      </c>
      <c r="D316" t="s">
        <v>3932</v>
      </c>
      <c r="E316" t="s">
        <v>3933</v>
      </c>
      <c r="F316" t="s">
        <v>3934</v>
      </c>
      <c r="G316" t="s">
        <v>32</v>
      </c>
      <c r="H316" t="str">
        <f>"Pcbp1"</f>
        <v>Pcbp1</v>
      </c>
      <c r="I316" t="s">
        <v>32</v>
      </c>
      <c r="J316" t="s">
        <v>37</v>
      </c>
      <c r="K316">
        <v>10090</v>
      </c>
      <c r="L316" s="3" t="str">
        <f>HYPERLINK("http://www.uniprot.org/uniprot/P60335", "P60335")</f>
        <v>P60335</v>
      </c>
      <c r="M316" t="s">
        <v>3935</v>
      </c>
      <c r="N316" t="str">
        <f>"Pcbp1"</f>
        <v>Pcbp1</v>
      </c>
      <c r="O316" s="3" t="str">
        <f>HYPERLINK("http://www.informatics.jax.org/marker/MGI:1345635", "MGI:1345635")</f>
        <v>MGI:1345635</v>
      </c>
      <c r="P316" t="s">
        <v>3936</v>
      </c>
      <c r="Q316" t="s">
        <v>32</v>
      </c>
      <c r="R316" t="s">
        <v>40</v>
      </c>
      <c r="S316" t="s">
        <v>32</v>
      </c>
      <c r="T316" t="s">
        <v>32</v>
      </c>
      <c r="U316" t="s">
        <v>32</v>
      </c>
      <c r="V316" t="s">
        <v>55</v>
      </c>
      <c r="W316" t="s">
        <v>32</v>
      </c>
      <c r="X316" t="s">
        <v>1993</v>
      </c>
      <c r="Y316" t="s">
        <v>516</v>
      </c>
      <c r="Z316" t="s">
        <v>32</v>
      </c>
      <c r="AA316" t="s">
        <v>3937</v>
      </c>
      <c r="AB316" t="s">
        <v>3938</v>
      </c>
      <c r="AC316" t="s">
        <v>3939</v>
      </c>
      <c r="AD316" t="s">
        <v>32</v>
      </c>
      <c r="AE316" t="s">
        <v>946</v>
      </c>
      <c r="AF316" t="s">
        <v>46835</v>
      </c>
    </row>
    <row r="317" spans="1:33" x14ac:dyDescent="0.2">
      <c r="A317">
        <v>312</v>
      </c>
      <c r="B317" t="s">
        <v>3940</v>
      </c>
      <c r="C317" t="s">
        <v>3941</v>
      </c>
      <c r="D317" t="s">
        <v>3942</v>
      </c>
      <c r="E317" t="s">
        <v>3943</v>
      </c>
      <c r="F317" t="s">
        <v>3944</v>
      </c>
      <c r="G317" t="s">
        <v>3945</v>
      </c>
      <c r="H317" t="str">
        <f>"Rpn1"</f>
        <v>Rpn1</v>
      </c>
      <c r="I317" t="s">
        <v>32</v>
      </c>
      <c r="J317" t="s">
        <v>37</v>
      </c>
      <c r="K317">
        <v>10090</v>
      </c>
      <c r="L317" s="3" t="str">
        <f>HYPERLINK("http://www.uniprot.org/uniprot/Q91YQ5", "Q91YQ5")</f>
        <v>Q91YQ5</v>
      </c>
      <c r="M317" t="s">
        <v>3946</v>
      </c>
      <c r="N317" t="str">
        <f>"Rpn1"</f>
        <v>Rpn1</v>
      </c>
      <c r="O317" s="3" t="str">
        <f>HYPERLINK("http://www.informatics.jax.org/marker/MGI:98084", "MGI:98084")</f>
        <v>MGI:98084</v>
      </c>
      <c r="P317" t="s">
        <v>3947</v>
      </c>
      <c r="Q317" t="s">
        <v>32</v>
      </c>
      <c r="R317" t="s">
        <v>1664</v>
      </c>
      <c r="S317" t="s">
        <v>32</v>
      </c>
      <c r="T317" t="s">
        <v>32</v>
      </c>
      <c r="U317" t="s">
        <v>32</v>
      </c>
      <c r="V317" t="s">
        <v>3948</v>
      </c>
      <c r="W317" t="s">
        <v>32</v>
      </c>
      <c r="X317" t="s">
        <v>32</v>
      </c>
      <c r="Y317" t="s">
        <v>3949</v>
      </c>
      <c r="Z317" t="s">
        <v>32</v>
      </c>
      <c r="AA317" t="s">
        <v>3950</v>
      </c>
      <c r="AB317" t="s">
        <v>3951</v>
      </c>
      <c r="AC317" t="s">
        <v>32</v>
      </c>
      <c r="AD317" t="s">
        <v>3952</v>
      </c>
      <c r="AE317" t="s">
        <v>32</v>
      </c>
      <c r="AF317" t="s">
        <v>46835</v>
      </c>
    </row>
    <row r="318" spans="1:33" x14ac:dyDescent="0.2">
      <c r="A318">
        <v>313</v>
      </c>
      <c r="B318" t="s">
        <v>3953</v>
      </c>
      <c r="C318" t="s">
        <v>3954</v>
      </c>
      <c r="D318" t="s">
        <v>32</v>
      </c>
      <c r="E318" t="s">
        <v>3955</v>
      </c>
      <c r="F318" t="s">
        <v>3956</v>
      </c>
      <c r="G318" t="s">
        <v>3957</v>
      </c>
      <c r="H318" t="str">
        <f>"Rps5"</f>
        <v>Rps5</v>
      </c>
      <c r="I318" t="s">
        <v>32</v>
      </c>
      <c r="J318" t="s">
        <v>37</v>
      </c>
      <c r="K318">
        <v>10090</v>
      </c>
      <c r="L318" s="3" t="str">
        <f>HYPERLINK("http://www.uniprot.org/uniprot/P97461", "P97461")</f>
        <v>P97461</v>
      </c>
      <c r="M318" t="s">
        <v>3958</v>
      </c>
      <c r="N318" t="str">
        <f>"Rps5"</f>
        <v>Rps5</v>
      </c>
      <c r="O318" s="3" t="str">
        <f>HYPERLINK("http://www.informatics.jax.org/marker/MGI:1097682", "MGI:1097682")</f>
        <v>MGI:1097682</v>
      </c>
      <c r="P318" t="s">
        <v>2015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447</v>
      </c>
      <c r="Y318" t="s">
        <v>516</v>
      </c>
      <c r="Z318" t="s">
        <v>126</v>
      </c>
      <c r="AA318" t="s">
        <v>3959</v>
      </c>
      <c r="AB318" t="s">
        <v>3960</v>
      </c>
      <c r="AC318" t="s">
        <v>3961</v>
      </c>
      <c r="AD318" t="s">
        <v>32</v>
      </c>
      <c r="AE318" t="s">
        <v>691</v>
      </c>
      <c r="AF318" t="s">
        <v>46835</v>
      </c>
    </row>
    <row r="319" spans="1:33" x14ac:dyDescent="0.2">
      <c r="A319">
        <v>314</v>
      </c>
      <c r="B319" t="s">
        <v>3962</v>
      </c>
      <c r="C319" t="s">
        <v>3963</v>
      </c>
      <c r="D319" t="s">
        <v>3964</v>
      </c>
      <c r="E319" t="s">
        <v>3965</v>
      </c>
      <c r="F319" t="s">
        <v>3966</v>
      </c>
      <c r="G319" t="s">
        <v>3967</v>
      </c>
      <c r="H319" t="str">
        <f>"Eif2s2"</f>
        <v>Eif2s2</v>
      </c>
      <c r="I319" t="s">
        <v>32</v>
      </c>
      <c r="J319" t="s">
        <v>37</v>
      </c>
      <c r="K319">
        <v>10090</v>
      </c>
      <c r="L319" s="3" t="str">
        <f>HYPERLINK("http://www.uniprot.org/uniprot/Q99L45", "Q99L45")</f>
        <v>Q99L45</v>
      </c>
      <c r="M319" t="s">
        <v>3968</v>
      </c>
      <c r="N319" t="str">
        <f>"Eif2s2"</f>
        <v>Eif2s2</v>
      </c>
      <c r="O319" s="3" t="str">
        <f>HYPERLINK("http://www.informatics.jax.org/marker/MGI:1914454", "MGI:1914454")</f>
        <v>MGI:1914454</v>
      </c>
      <c r="P319" t="s">
        <v>3969</v>
      </c>
      <c r="Q319" t="s">
        <v>260</v>
      </c>
      <c r="R319" t="s">
        <v>32</v>
      </c>
      <c r="S319" t="s">
        <v>32</v>
      </c>
      <c r="T319" t="s">
        <v>32</v>
      </c>
      <c r="U319" t="s">
        <v>32</v>
      </c>
      <c r="V319" t="s">
        <v>446</v>
      </c>
      <c r="W319" t="s">
        <v>42</v>
      </c>
      <c r="X319" t="s">
        <v>2675</v>
      </c>
      <c r="Y319" t="s">
        <v>516</v>
      </c>
      <c r="Z319" t="s">
        <v>32</v>
      </c>
      <c r="AA319" t="s">
        <v>3970</v>
      </c>
      <c r="AB319" t="s">
        <v>3971</v>
      </c>
      <c r="AC319" t="s">
        <v>3972</v>
      </c>
      <c r="AD319" t="s">
        <v>32</v>
      </c>
      <c r="AE319" t="s">
        <v>2576</v>
      </c>
      <c r="AF319" t="s">
        <v>46835</v>
      </c>
    </row>
    <row r="320" spans="1:33" x14ac:dyDescent="0.2">
      <c r="A320">
        <v>315</v>
      </c>
      <c r="B320" t="s">
        <v>3973</v>
      </c>
      <c r="C320" t="s">
        <v>3974</v>
      </c>
      <c r="D320" t="s">
        <v>3975</v>
      </c>
      <c r="E320" t="s">
        <v>3976</v>
      </c>
      <c r="F320" t="s">
        <v>3977</v>
      </c>
      <c r="G320" t="s">
        <v>3978</v>
      </c>
      <c r="H320" t="str">
        <f>"Psmd12"</f>
        <v>Psmd12</v>
      </c>
      <c r="I320" t="s">
        <v>32</v>
      </c>
      <c r="J320" t="s">
        <v>37</v>
      </c>
      <c r="K320">
        <v>10090</v>
      </c>
      <c r="L320" s="3" t="str">
        <f>HYPERLINK("http://www.uniprot.org/uniprot/Q9D8W5", "Q9D8W5")</f>
        <v>Q9D8W5</v>
      </c>
      <c r="M320" t="s">
        <v>3979</v>
      </c>
      <c r="N320" t="str">
        <f>"Psmd12"</f>
        <v>Psmd12</v>
      </c>
      <c r="O320" s="3" t="str">
        <f>HYPERLINK("http://www.informatics.jax.org/marker/MGI:1914247", "MGI:1914247")</f>
        <v>MGI:1914247</v>
      </c>
      <c r="P320" t="s">
        <v>3980</v>
      </c>
      <c r="Q320" t="s">
        <v>32</v>
      </c>
      <c r="R320" t="s">
        <v>3565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32</v>
      </c>
      <c r="Y320" t="s">
        <v>461</v>
      </c>
      <c r="Z320" t="s">
        <v>32</v>
      </c>
      <c r="AA320" t="s">
        <v>32</v>
      </c>
      <c r="AB320" t="s">
        <v>3981</v>
      </c>
      <c r="AC320" t="s">
        <v>32</v>
      </c>
      <c r="AD320" t="s">
        <v>32</v>
      </c>
      <c r="AE320" t="s">
        <v>2590</v>
      </c>
      <c r="AF320" t="s">
        <v>46835</v>
      </c>
    </row>
    <row r="321" spans="1:32" x14ac:dyDescent="0.2">
      <c r="A321">
        <v>316</v>
      </c>
      <c r="B321" t="s">
        <v>3982</v>
      </c>
      <c r="C321" t="s">
        <v>3983</v>
      </c>
      <c r="D321" t="s">
        <v>3984</v>
      </c>
      <c r="E321" t="s">
        <v>3985</v>
      </c>
      <c r="F321" t="s">
        <v>3986</v>
      </c>
      <c r="G321" t="s">
        <v>32</v>
      </c>
      <c r="H321" t="str">
        <f>"Ssb"</f>
        <v>Ssb</v>
      </c>
      <c r="I321" t="s">
        <v>3987</v>
      </c>
      <c r="J321" t="s">
        <v>37</v>
      </c>
      <c r="K321">
        <v>10090</v>
      </c>
      <c r="L321" s="3" t="str">
        <f>HYPERLINK("http://www.uniprot.org/uniprot/P32067", "P32067")</f>
        <v>P32067</v>
      </c>
      <c r="M321" t="s">
        <v>3988</v>
      </c>
      <c r="N321" t="str">
        <f>"Ssb"</f>
        <v>Ssb</v>
      </c>
      <c r="O321" s="3" t="str">
        <f>HYPERLINK("http://www.informatics.jax.org/marker/MGI:98423", "MGI:98423")</f>
        <v>MGI:98423</v>
      </c>
      <c r="P321" t="s">
        <v>3989</v>
      </c>
      <c r="Q321" t="s">
        <v>32</v>
      </c>
      <c r="R321" t="s">
        <v>2279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1282</v>
      </c>
      <c r="Y321" t="s">
        <v>157</v>
      </c>
      <c r="Z321" t="s">
        <v>32</v>
      </c>
      <c r="AA321" t="s">
        <v>3990</v>
      </c>
      <c r="AB321" t="s">
        <v>3991</v>
      </c>
      <c r="AC321" t="s">
        <v>3992</v>
      </c>
      <c r="AD321" t="s">
        <v>32</v>
      </c>
      <c r="AE321" t="s">
        <v>32</v>
      </c>
      <c r="AF321" t="s">
        <v>46835</v>
      </c>
    </row>
    <row r="322" spans="1:32" x14ac:dyDescent="0.2">
      <c r="A322">
        <v>317</v>
      </c>
      <c r="B322" t="s">
        <v>3993</v>
      </c>
      <c r="C322" t="s">
        <v>3994</v>
      </c>
      <c r="D322" t="s">
        <v>3995</v>
      </c>
      <c r="E322" t="s">
        <v>3996</v>
      </c>
      <c r="F322" t="s">
        <v>3997</v>
      </c>
      <c r="G322" t="s">
        <v>3998</v>
      </c>
      <c r="H322" t="str">
        <f>"Bzw1"</f>
        <v>Bzw1</v>
      </c>
      <c r="I322" t="s">
        <v>3999</v>
      </c>
      <c r="J322" t="s">
        <v>37</v>
      </c>
      <c r="K322">
        <v>10090</v>
      </c>
      <c r="L322" s="3" t="str">
        <f>HYPERLINK("http://www.uniprot.org/uniprot/Q9CQC6", "Q9CQC6")</f>
        <v>Q9CQC6</v>
      </c>
      <c r="M322" t="s">
        <v>4000</v>
      </c>
      <c r="N322" t="str">
        <f>"Bzw1"</f>
        <v>Bzw1</v>
      </c>
      <c r="O322" s="3" t="str">
        <f>HYPERLINK("http://www.informatics.jax.org/marker/MGI:1914132", "MGI:1914132")</f>
        <v>MGI:1914132</v>
      </c>
      <c r="P322" t="s">
        <v>4001</v>
      </c>
      <c r="Q322" t="s">
        <v>4002</v>
      </c>
      <c r="R322" t="s">
        <v>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2602</v>
      </c>
      <c r="Y322" t="s">
        <v>516</v>
      </c>
      <c r="Z322" t="s">
        <v>32</v>
      </c>
      <c r="AA322" t="s">
        <v>4003</v>
      </c>
      <c r="AB322" t="s">
        <v>2172</v>
      </c>
      <c r="AC322" t="s">
        <v>32</v>
      </c>
      <c r="AD322" t="s">
        <v>32</v>
      </c>
      <c r="AE322" t="s">
        <v>32</v>
      </c>
      <c r="AF322" t="s">
        <v>46835</v>
      </c>
    </row>
    <row r="323" spans="1:32" x14ac:dyDescent="0.2">
      <c r="A323">
        <v>318</v>
      </c>
      <c r="B323" t="s">
        <v>4004</v>
      </c>
      <c r="C323" t="s">
        <v>4005</v>
      </c>
      <c r="D323" t="s">
        <v>4006</v>
      </c>
      <c r="E323" t="s">
        <v>4007</v>
      </c>
      <c r="F323" t="s">
        <v>4008</v>
      </c>
      <c r="G323" t="s">
        <v>4009</v>
      </c>
      <c r="H323" t="str">
        <f>"Psmb5"</f>
        <v>Psmb5</v>
      </c>
      <c r="I323" t="s">
        <v>32</v>
      </c>
      <c r="J323" t="s">
        <v>37</v>
      </c>
      <c r="K323">
        <v>10090</v>
      </c>
      <c r="L323" s="3" t="str">
        <f>HYPERLINK("http://www.uniprot.org/uniprot/O55234", "O55234")</f>
        <v>O55234</v>
      </c>
      <c r="M323" t="s">
        <v>4010</v>
      </c>
      <c r="N323" t="str">
        <f>"Psmb5"</f>
        <v>Psmb5</v>
      </c>
      <c r="O323" s="3" t="str">
        <f>HYPERLINK("http://www.informatics.jax.org/marker/MGI:1194513", "MGI:1194513")</f>
        <v>MGI:1194513</v>
      </c>
      <c r="P323" t="s">
        <v>4011</v>
      </c>
      <c r="Q323" t="s">
        <v>32</v>
      </c>
      <c r="R323" t="s">
        <v>2586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4012</v>
      </c>
      <c r="Y323" t="s">
        <v>4013</v>
      </c>
      <c r="Z323" t="s">
        <v>126</v>
      </c>
      <c r="AA323" t="s">
        <v>4014</v>
      </c>
      <c r="AB323" t="s">
        <v>4015</v>
      </c>
      <c r="AC323" t="s">
        <v>4016</v>
      </c>
      <c r="AD323" t="s">
        <v>32</v>
      </c>
      <c r="AE323" t="s">
        <v>2774</v>
      </c>
      <c r="AF323" t="s">
        <v>46835</v>
      </c>
    </row>
    <row r="324" spans="1:32" x14ac:dyDescent="0.2">
      <c r="A324">
        <v>319</v>
      </c>
      <c r="B324" t="s">
        <v>4017</v>
      </c>
      <c r="C324" t="s">
        <v>4018</v>
      </c>
      <c r="D324" t="s">
        <v>32</v>
      </c>
      <c r="E324" t="s">
        <v>4019</v>
      </c>
      <c r="F324" t="s">
        <v>4020</v>
      </c>
      <c r="G324" t="s">
        <v>32</v>
      </c>
      <c r="H324" t="str">
        <f>"Eif5"</f>
        <v>Eif5</v>
      </c>
      <c r="I324" t="s">
        <v>32</v>
      </c>
      <c r="J324" t="s">
        <v>37</v>
      </c>
      <c r="K324">
        <v>10090</v>
      </c>
      <c r="L324" s="3" t="str">
        <f>HYPERLINK("http://www.uniprot.org/uniprot/P59325", "P59325")</f>
        <v>P59325</v>
      </c>
      <c r="M324" t="s">
        <v>4021</v>
      </c>
      <c r="N324" t="str">
        <f>"Eif5"</f>
        <v>Eif5</v>
      </c>
      <c r="O324" s="3" t="str">
        <f>HYPERLINK("http://www.informatics.jax.org/marker/MGI:95309", "MGI:95309")</f>
        <v>MGI:95309</v>
      </c>
      <c r="P324" t="s">
        <v>4022</v>
      </c>
      <c r="Q324" t="s">
        <v>260</v>
      </c>
      <c r="R324" t="s">
        <v>32</v>
      </c>
      <c r="S324" t="s">
        <v>32</v>
      </c>
      <c r="T324" t="s">
        <v>32</v>
      </c>
      <c r="U324" t="s">
        <v>32</v>
      </c>
      <c r="V324" t="s">
        <v>32</v>
      </c>
      <c r="W324" t="s">
        <v>261</v>
      </c>
      <c r="X324" t="s">
        <v>2675</v>
      </c>
      <c r="Y324" t="s">
        <v>1007</v>
      </c>
      <c r="Z324" t="s">
        <v>32</v>
      </c>
      <c r="AA324" t="s">
        <v>4023</v>
      </c>
      <c r="AB324" t="s">
        <v>4024</v>
      </c>
      <c r="AC324" t="s">
        <v>4025</v>
      </c>
      <c r="AD324" t="s">
        <v>32</v>
      </c>
      <c r="AE324" t="s">
        <v>4026</v>
      </c>
      <c r="AF324" t="s">
        <v>46835</v>
      </c>
    </row>
    <row r="325" spans="1:32" x14ac:dyDescent="0.2">
      <c r="A325">
        <v>320</v>
      </c>
      <c r="B325" t="s">
        <v>4027</v>
      </c>
      <c r="C325" t="s">
        <v>4028</v>
      </c>
      <c r="D325" t="s">
        <v>32</v>
      </c>
      <c r="E325" t="s">
        <v>4029</v>
      </c>
      <c r="F325" t="s">
        <v>4030</v>
      </c>
      <c r="G325" t="s">
        <v>4031</v>
      </c>
      <c r="H325" t="str">
        <f>"Cap2"</f>
        <v>Cap2</v>
      </c>
      <c r="I325" t="s">
        <v>32</v>
      </c>
      <c r="J325" t="s">
        <v>37</v>
      </c>
      <c r="K325">
        <v>10090</v>
      </c>
      <c r="L325" s="3" t="str">
        <f>HYPERLINK("http://www.uniprot.org/uniprot/Q9CYT6", "Q9CYT6")</f>
        <v>Q9CYT6</v>
      </c>
      <c r="M325" t="s">
        <v>4032</v>
      </c>
      <c r="N325" t="str">
        <f>"Cap2"</f>
        <v>Cap2</v>
      </c>
      <c r="O325" s="3" t="str">
        <f>HYPERLINK("http://www.informatics.jax.org/marker/MGI:1914502", "MGI:1914502")</f>
        <v>MGI:1914502</v>
      </c>
      <c r="P325" t="s">
        <v>4033</v>
      </c>
      <c r="Q325" t="s">
        <v>32</v>
      </c>
      <c r="R325" t="s">
        <v>2474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32</v>
      </c>
      <c r="Y325" t="s">
        <v>618</v>
      </c>
      <c r="Z325" t="s">
        <v>32</v>
      </c>
      <c r="AA325" t="s">
        <v>4034</v>
      </c>
      <c r="AB325" t="s">
        <v>4035</v>
      </c>
      <c r="AC325" t="s">
        <v>4036</v>
      </c>
      <c r="AD325" t="s">
        <v>32</v>
      </c>
      <c r="AE325" t="s">
        <v>32</v>
      </c>
      <c r="AF325" t="s">
        <v>46835</v>
      </c>
    </row>
    <row r="326" spans="1:32" x14ac:dyDescent="0.2">
      <c r="A326">
        <v>321</v>
      </c>
      <c r="B326" t="s">
        <v>4037</v>
      </c>
      <c r="C326" t="s">
        <v>4038</v>
      </c>
      <c r="D326" t="s">
        <v>32</v>
      </c>
      <c r="E326" t="s">
        <v>4039</v>
      </c>
      <c r="F326" t="s">
        <v>4040</v>
      </c>
      <c r="G326" t="s">
        <v>4041</v>
      </c>
      <c r="H326" t="str">
        <f>"Rpl34"</f>
        <v>Rpl34</v>
      </c>
      <c r="I326" t="s">
        <v>32</v>
      </c>
      <c r="J326" t="s">
        <v>37</v>
      </c>
      <c r="K326">
        <v>10090</v>
      </c>
      <c r="L326" s="3" t="str">
        <f>HYPERLINK("http://www.uniprot.org/uniprot/Q9D1R9", "Q9D1R9")</f>
        <v>Q9D1R9</v>
      </c>
      <c r="M326" t="s">
        <v>4042</v>
      </c>
      <c r="N326" t="str">
        <f>"Rpl34"</f>
        <v>Rpl34</v>
      </c>
      <c r="O326" s="3" t="str">
        <f>HYPERLINK("http://www.informatics.jax.org/marker/MGI:1915686", "MGI:1915686")</f>
        <v>MGI:1915686</v>
      </c>
      <c r="P326" t="s">
        <v>898</v>
      </c>
      <c r="Q326" t="s">
        <v>32</v>
      </c>
      <c r="R326" t="s">
        <v>874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447</v>
      </c>
      <c r="Y326" t="s">
        <v>516</v>
      </c>
      <c r="Z326" t="s">
        <v>126</v>
      </c>
      <c r="AA326" t="s">
        <v>1405</v>
      </c>
      <c r="AB326" t="s">
        <v>4043</v>
      </c>
      <c r="AC326" t="s">
        <v>1010</v>
      </c>
      <c r="AD326" t="s">
        <v>32</v>
      </c>
      <c r="AE326" t="s">
        <v>765</v>
      </c>
      <c r="AF326" t="s">
        <v>46835</v>
      </c>
    </row>
    <row r="327" spans="1:32" x14ac:dyDescent="0.2">
      <c r="A327">
        <v>322</v>
      </c>
      <c r="B327" t="s">
        <v>4044</v>
      </c>
      <c r="C327" t="s">
        <v>4045</v>
      </c>
      <c r="D327" t="s">
        <v>4046</v>
      </c>
      <c r="E327" t="s">
        <v>4047</v>
      </c>
      <c r="F327" t="s">
        <v>4048</v>
      </c>
      <c r="G327" t="s">
        <v>4049</v>
      </c>
      <c r="H327" t="str">
        <f>"Atp2a2"</f>
        <v>Atp2a2</v>
      </c>
      <c r="I327" t="s">
        <v>32</v>
      </c>
      <c r="J327" t="s">
        <v>37</v>
      </c>
      <c r="K327">
        <v>10090</v>
      </c>
      <c r="L327" s="3" t="str">
        <f>HYPERLINK("http://www.uniprot.org/uniprot/O55143", "O55143")</f>
        <v>O55143</v>
      </c>
      <c r="M327" t="s">
        <v>4050</v>
      </c>
      <c r="N327" t="str">
        <f>"Atp2a2"</f>
        <v>Atp2a2</v>
      </c>
      <c r="O327" s="3" t="str">
        <f>HYPERLINK("http://www.informatics.jax.org/marker/MGI:88110", "MGI:88110")</f>
        <v>MGI:88110</v>
      </c>
      <c r="P327" t="s">
        <v>4051</v>
      </c>
      <c r="Q327" t="s">
        <v>4052</v>
      </c>
      <c r="R327" t="s">
        <v>4053</v>
      </c>
      <c r="S327" t="s">
        <v>41</v>
      </c>
      <c r="T327" t="s">
        <v>32</v>
      </c>
      <c r="U327" t="s">
        <v>32</v>
      </c>
      <c r="V327" t="s">
        <v>493</v>
      </c>
      <c r="W327" t="s">
        <v>4054</v>
      </c>
      <c r="X327" t="s">
        <v>1506</v>
      </c>
      <c r="Y327" t="s">
        <v>4055</v>
      </c>
      <c r="Z327" t="s">
        <v>32</v>
      </c>
      <c r="AA327" t="s">
        <v>4056</v>
      </c>
      <c r="AB327" t="s">
        <v>4057</v>
      </c>
      <c r="AC327" t="s">
        <v>4058</v>
      </c>
      <c r="AD327" t="s">
        <v>32</v>
      </c>
      <c r="AE327" t="s">
        <v>4059</v>
      </c>
      <c r="AF327" t="s">
        <v>46835</v>
      </c>
    </row>
    <row r="328" spans="1:32" x14ac:dyDescent="0.2">
      <c r="A328">
        <v>323</v>
      </c>
      <c r="B328" t="s">
        <v>4060</v>
      </c>
      <c r="C328" t="s">
        <v>4061</v>
      </c>
      <c r="D328" t="s">
        <v>32</v>
      </c>
      <c r="E328" t="s">
        <v>4062</v>
      </c>
      <c r="F328" t="s">
        <v>4063</v>
      </c>
      <c r="G328" t="s">
        <v>4064</v>
      </c>
      <c r="H328" t="str">
        <f>"Hnrnpa3"</f>
        <v>Hnrnpa3</v>
      </c>
      <c r="I328" t="s">
        <v>4065</v>
      </c>
      <c r="J328" t="s">
        <v>37</v>
      </c>
      <c r="K328">
        <v>10090</v>
      </c>
      <c r="L328" s="3" t="str">
        <f>HYPERLINK("http://www.uniprot.org/uniprot/Q8BG05", "Q8BG05")</f>
        <v>Q8BG05</v>
      </c>
      <c r="M328" t="s">
        <v>4066</v>
      </c>
      <c r="N328" t="str">
        <f>"Hnrnpa3"</f>
        <v>Hnrnpa3</v>
      </c>
      <c r="O328" s="3" t="str">
        <f>HYPERLINK("http://www.informatics.jax.org/marker/MGI:1917171", "MGI:1917171")</f>
        <v>MGI:1917171</v>
      </c>
      <c r="P328" t="s">
        <v>2138</v>
      </c>
      <c r="Q328" t="s">
        <v>2139</v>
      </c>
      <c r="R328" t="s">
        <v>2140</v>
      </c>
      <c r="S328" t="s">
        <v>41</v>
      </c>
      <c r="T328" t="s">
        <v>32</v>
      </c>
      <c r="U328" t="s">
        <v>32</v>
      </c>
      <c r="V328" t="s">
        <v>55</v>
      </c>
      <c r="W328" t="s">
        <v>32</v>
      </c>
      <c r="X328" t="s">
        <v>1129</v>
      </c>
      <c r="Y328" t="s">
        <v>207</v>
      </c>
      <c r="Z328" t="s">
        <v>32</v>
      </c>
      <c r="AA328" t="s">
        <v>4067</v>
      </c>
      <c r="AB328" t="s">
        <v>4068</v>
      </c>
      <c r="AC328" t="s">
        <v>4069</v>
      </c>
      <c r="AD328" t="s">
        <v>32</v>
      </c>
      <c r="AE328" t="s">
        <v>946</v>
      </c>
      <c r="AF328" t="s">
        <v>46835</v>
      </c>
    </row>
    <row r="329" spans="1:32" x14ac:dyDescent="0.2">
      <c r="A329">
        <v>324</v>
      </c>
      <c r="B329" t="s">
        <v>4070</v>
      </c>
      <c r="C329" t="s">
        <v>4071</v>
      </c>
      <c r="D329" t="s">
        <v>32</v>
      </c>
      <c r="E329" t="s">
        <v>4072</v>
      </c>
      <c r="F329" t="s">
        <v>4073</v>
      </c>
      <c r="G329" t="s">
        <v>4074</v>
      </c>
      <c r="H329" t="str">
        <f>"Eif4g1"</f>
        <v>Eif4g1</v>
      </c>
      <c r="I329" t="s">
        <v>32</v>
      </c>
      <c r="J329" t="s">
        <v>37</v>
      </c>
      <c r="K329">
        <v>10090</v>
      </c>
      <c r="L329" s="3" t="str">
        <f>HYPERLINK("http://www.uniprot.org/uniprot/Q6NZJ6", "Q6NZJ6")</f>
        <v>Q6NZJ6</v>
      </c>
      <c r="M329" t="s">
        <v>4075</v>
      </c>
      <c r="N329" t="str">
        <f>"Eif4g1"</f>
        <v>Eif4g1</v>
      </c>
      <c r="O329" s="3" t="str">
        <f>HYPERLINK("http://www.informatics.jax.org/marker/MGI:2384784", "MGI:2384784")</f>
        <v>MGI:2384784</v>
      </c>
      <c r="P329" t="s">
        <v>4076</v>
      </c>
      <c r="Q329" t="s">
        <v>2324</v>
      </c>
      <c r="R329" t="s">
        <v>40</v>
      </c>
      <c r="S329" t="s">
        <v>41</v>
      </c>
      <c r="T329" t="s">
        <v>32</v>
      </c>
      <c r="U329" t="s">
        <v>32</v>
      </c>
      <c r="V329" t="s">
        <v>32</v>
      </c>
      <c r="W329" t="s">
        <v>32</v>
      </c>
      <c r="X329" t="s">
        <v>1566</v>
      </c>
      <c r="Y329" t="s">
        <v>97</v>
      </c>
      <c r="Z329" t="s">
        <v>32</v>
      </c>
      <c r="AA329" t="s">
        <v>4077</v>
      </c>
      <c r="AB329" t="s">
        <v>4078</v>
      </c>
      <c r="AC329" t="s">
        <v>4079</v>
      </c>
      <c r="AD329" t="s">
        <v>32</v>
      </c>
      <c r="AE329" t="s">
        <v>4080</v>
      </c>
      <c r="AF329" t="s">
        <v>46835</v>
      </c>
    </row>
    <row r="330" spans="1:32" x14ac:dyDescent="0.2">
      <c r="A330">
        <v>325</v>
      </c>
      <c r="B330" t="s">
        <v>4081</v>
      </c>
      <c r="C330" t="s">
        <v>4082</v>
      </c>
      <c r="D330" t="s">
        <v>32</v>
      </c>
      <c r="E330" t="s">
        <v>4083</v>
      </c>
      <c r="F330" t="s">
        <v>4084</v>
      </c>
      <c r="G330" t="s">
        <v>4085</v>
      </c>
      <c r="H330" t="str">
        <f>"Eif4b"</f>
        <v>Eif4b</v>
      </c>
      <c r="I330" t="s">
        <v>32</v>
      </c>
      <c r="J330" t="s">
        <v>37</v>
      </c>
      <c r="K330">
        <v>10090</v>
      </c>
      <c r="L330" s="3" t="str">
        <f>HYPERLINK("http://www.uniprot.org/uniprot/Q8BGD9", "Q8BGD9")</f>
        <v>Q8BGD9</v>
      </c>
      <c r="M330" t="s">
        <v>4086</v>
      </c>
      <c r="N330" t="str">
        <f>"Eif4b"</f>
        <v>Eif4b</v>
      </c>
      <c r="O330" s="3" t="str">
        <f>HYPERLINK("http://www.informatics.jax.org/marker/MGI:95304", "MGI:95304")</f>
        <v>MGI:95304</v>
      </c>
      <c r="P330" t="s">
        <v>4087</v>
      </c>
      <c r="Q330" t="s">
        <v>260</v>
      </c>
      <c r="R330" t="s">
        <v>32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1566</v>
      </c>
      <c r="Y330" t="s">
        <v>516</v>
      </c>
      <c r="Z330" t="s">
        <v>32</v>
      </c>
      <c r="AA330" t="s">
        <v>4088</v>
      </c>
      <c r="AB330" t="s">
        <v>4089</v>
      </c>
      <c r="AC330" t="s">
        <v>4090</v>
      </c>
      <c r="AD330" t="s">
        <v>32</v>
      </c>
      <c r="AE330" t="s">
        <v>4091</v>
      </c>
      <c r="AF330" t="s">
        <v>46835</v>
      </c>
    </row>
    <row r="331" spans="1:32" x14ac:dyDescent="0.2">
      <c r="A331">
        <v>326</v>
      </c>
      <c r="B331" t="s">
        <v>4092</v>
      </c>
      <c r="C331" t="s">
        <v>4093</v>
      </c>
      <c r="D331" t="s">
        <v>4094</v>
      </c>
      <c r="E331" t="s">
        <v>4095</v>
      </c>
      <c r="F331" t="s">
        <v>4096</v>
      </c>
      <c r="G331" t="s">
        <v>4097</v>
      </c>
      <c r="H331" t="str">
        <f>"Psmc2"</f>
        <v>Psmc2</v>
      </c>
      <c r="I331" t="s">
        <v>4098</v>
      </c>
      <c r="J331" t="s">
        <v>37</v>
      </c>
      <c r="K331">
        <v>10090</v>
      </c>
      <c r="L331" s="3" t="str">
        <f>HYPERLINK("http://www.uniprot.org/uniprot/P46471", "P46471")</f>
        <v>P46471</v>
      </c>
      <c r="M331" t="s">
        <v>4099</v>
      </c>
      <c r="N331" t="str">
        <f>"Psmc2"</f>
        <v>Psmc2</v>
      </c>
      <c r="O331" s="3" t="str">
        <f>HYPERLINK("http://www.informatics.jax.org/marker/MGI:109555", "MGI:109555")</f>
        <v>MGI:109555</v>
      </c>
      <c r="P331" t="s">
        <v>4100</v>
      </c>
      <c r="Q331" t="s">
        <v>32</v>
      </c>
      <c r="R331" t="s">
        <v>4101</v>
      </c>
      <c r="S331" t="s">
        <v>32</v>
      </c>
      <c r="T331" t="s">
        <v>32</v>
      </c>
      <c r="U331" t="s">
        <v>32</v>
      </c>
      <c r="V331" t="s">
        <v>32</v>
      </c>
      <c r="W331" t="s">
        <v>205</v>
      </c>
      <c r="X331" t="s">
        <v>32</v>
      </c>
      <c r="Y331" t="s">
        <v>4102</v>
      </c>
      <c r="Z331" t="s">
        <v>32</v>
      </c>
      <c r="AA331" t="s">
        <v>4103</v>
      </c>
      <c r="AB331" t="s">
        <v>4104</v>
      </c>
      <c r="AC331" t="s">
        <v>4105</v>
      </c>
      <c r="AD331" t="s">
        <v>32</v>
      </c>
      <c r="AE331" t="s">
        <v>2590</v>
      </c>
      <c r="AF331" t="s">
        <v>46835</v>
      </c>
    </row>
    <row r="332" spans="1:32" x14ac:dyDescent="0.2">
      <c r="A332">
        <v>327</v>
      </c>
      <c r="B332" t="s">
        <v>4106</v>
      </c>
      <c r="C332" t="s">
        <v>4107</v>
      </c>
      <c r="D332" t="s">
        <v>32</v>
      </c>
      <c r="E332" t="s">
        <v>4108</v>
      </c>
      <c r="F332" t="s">
        <v>4109</v>
      </c>
      <c r="G332" t="s">
        <v>4110</v>
      </c>
      <c r="H332" t="str">
        <f>"Pgd"</f>
        <v>Pgd</v>
      </c>
      <c r="I332" t="s">
        <v>32</v>
      </c>
      <c r="J332" t="s">
        <v>37</v>
      </c>
      <c r="K332">
        <v>10090</v>
      </c>
      <c r="L332" s="3" t="str">
        <f>HYPERLINK("http://www.uniprot.org/uniprot/Q9DCD0", "Q9DCD0")</f>
        <v>Q9DCD0</v>
      </c>
      <c r="M332" t="s">
        <v>4111</v>
      </c>
      <c r="N332" t="str">
        <f>"Pgd"</f>
        <v>Pgd</v>
      </c>
      <c r="O332" s="3" t="str">
        <f>HYPERLINK("http://www.informatics.jax.org/marker/MGI:97553", "MGI:97553")</f>
        <v>MGI:97553</v>
      </c>
      <c r="P332" t="s">
        <v>4112</v>
      </c>
      <c r="Q332" t="s">
        <v>4113</v>
      </c>
      <c r="R332" t="s">
        <v>418</v>
      </c>
      <c r="S332" t="s">
        <v>32</v>
      </c>
      <c r="T332" t="s">
        <v>32</v>
      </c>
      <c r="U332" t="s">
        <v>32</v>
      </c>
      <c r="V332" t="s">
        <v>32</v>
      </c>
      <c r="W332" t="s">
        <v>3204</v>
      </c>
      <c r="X332" t="s">
        <v>600</v>
      </c>
      <c r="Y332" t="s">
        <v>157</v>
      </c>
      <c r="Z332" t="s">
        <v>32</v>
      </c>
      <c r="AA332" t="s">
        <v>4114</v>
      </c>
      <c r="AB332" t="s">
        <v>4115</v>
      </c>
      <c r="AC332" t="s">
        <v>4116</v>
      </c>
      <c r="AD332" t="s">
        <v>4117</v>
      </c>
      <c r="AE332" t="s">
        <v>4118</v>
      </c>
      <c r="AF332" t="s">
        <v>46835</v>
      </c>
    </row>
    <row r="333" spans="1:32" x14ac:dyDescent="0.2">
      <c r="A333">
        <v>328</v>
      </c>
      <c r="B333" t="s">
        <v>4119</v>
      </c>
      <c r="C333" t="s">
        <v>4120</v>
      </c>
      <c r="D333" t="s">
        <v>4121</v>
      </c>
      <c r="E333" t="s">
        <v>4122</v>
      </c>
      <c r="F333" t="s">
        <v>4123</v>
      </c>
      <c r="G333" t="s">
        <v>4124</v>
      </c>
      <c r="H333" t="str">
        <f>"Arvcf"</f>
        <v>Arvcf</v>
      </c>
      <c r="I333" t="s">
        <v>32</v>
      </c>
      <c r="J333" t="s">
        <v>37</v>
      </c>
      <c r="K333">
        <v>10090</v>
      </c>
      <c r="L333" s="3" t="str">
        <f>HYPERLINK("http://www.uniprot.org/uniprot/P98203", "P98203")</f>
        <v>P98203</v>
      </c>
      <c r="M333" t="s">
        <v>4125</v>
      </c>
      <c r="N333" t="str">
        <f>"Arvcf"</f>
        <v>Arvcf</v>
      </c>
      <c r="O333" s="3" t="str">
        <f>HYPERLINK("http://www.informatics.jax.org/marker/MGI:109620", "MGI:109620")</f>
        <v>MGI:109620</v>
      </c>
      <c r="P333" t="s">
        <v>4126</v>
      </c>
      <c r="Q333" t="s">
        <v>4127</v>
      </c>
      <c r="R333" t="s">
        <v>4128</v>
      </c>
      <c r="S333" t="s">
        <v>41</v>
      </c>
      <c r="T333" t="s">
        <v>32</v>
      </c>
      <c r="U333" t="s">
        <v>32</v>
      </c>
      <c r="V333" t="s">
        <v>137</v>
      </c>
      <c r="W333" t="s">
        <v>32</v>
      </c>
      <c r="X333" t="s">
        <v>32</v>
      </c>
      <c r="Y333" t="s">
        <v>2734</v>
      </c>
      <c r="Z333" t="s">
        <v>32</v>
      </c>
      <c r="AA333" t="s">
        <v>4129</v>
      </c>
      <c r="AB333" t="s">
        <v>4130</v>
      </c>
      <c r="AC333" t="s">
        <v>4131</v>
      </c>
      <c r="AD333" t="s">
        <v>32</v>
      </c>
      <c r="AE333" t="s">
        <v>32</v>
      </c>
      <c r="AF333" t="s">
        <v>46835</v>
      </c>
    </row>
    <row r="334" spans="1:32" x14ac:dyDescent="0.2">
      <c r="A334">
        <v>329</v>
      </c>
      <c r="B334" t="s">
        <v>4132</v>
      </c>
      <c r="C334" t="s">
        <v>4133</v>
      </c>
      <c r="D334" t="s">
        <v>4134</v>
      </c>
      <c r="E334" t="s">
        <v>4135</v>
      </c>
      <c r="F334" t="s">
        <v>4136</v>
      </c>
      <c r="G334" t="s">
        <v>4137</v>
      </c>
      <c r="H334" t="str">
        <f>"Otub1"</f>
        <v>Otub1</v>
      </c>
      <c r="I334" t="s">
        <v>32</v>
      </c>
      <c r="J334" t="s">
        <v>37</v>
      </c>
      <c r="K334">
        <v>10090</v>
      </c>
      <c r="L334" s="3" t="str">
        <f>HYPERLINK("http://www.uniprot.org/uniprot/Q7TQI3", "Q7TQI3")</f>
        <v>Q7TQI3</v>
      </c>
      <c r="M334" t="s">
        <v>4138</v>
      </c>
      <c r="N334" t="str">
        <f>"Otub1"</f>
        <v>Otub1</v>
      </c>
      <c r="O334" s="3" t="str">
        <f>HYPERLINK("http://www.informatics.jax.org/marker/MGI:2147616", "MGI:2147616")</f>
        <v>MGI:2147616</v>
      </c>
      <c r="P334" t="s">
        <v>4139</v>
      </c>
      <c r="Q334" t="s">
        <v>4140</v>
      </c>
      <c r="R334" t="s">
        <v>418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557</v>
      </c>
      <c r="Y334" t="s">
        <v>157</v>
      </c>
      <c r="Z334" t="s">
        <v>32</v>
      </c>
      <c r="AA334" t="s">
        <v>4141</v>
      </c>
      <c r="AB334" t="s">
        <v>110</v>
      </c>
      <c r="AC334" t="s">
        <v>4142</v>
      </c>
      <c r="AD334" t="s">
        <v>32</v>
      </c>
      <c r="AE334" t="s">
        <v>4143</v>
      </c>
      <c r="AF334" t="s">
        <v>46835</v>
      </c>
    </row>
    <row r="335" spans="1:32" x14ac:dyDescent="0.2">
      <c r="A335">
        <v>330</v>
      </c>
      <c r="B335" t="s">
        <v>4144</v>
      </c>
      <c r="C335" t="s">
        <v>4145</v>
      </c>
      <c r="D335" t="s">
        <v>4146</v>
      </c>
      <c r="E335" t="s">
        <v>4147</v>
      </c>
      <c r="F335" t="s">
        <v>4148</v>
      </c>
      <c r="G335" t="s">
        <v>4149</v>
      </c>
      <c r="H335" t="str">
        <f>"Snd1"</f>
        <v>Snd1</v>
      </c>
      <c r="I335" t="s">
        <v>32</v>
      </c>
      <c r="J335" t="s">
        <v>37</v>
      </c>
      <c r="K335">
        <v>10090</v>
      </c>
      <c r="L335" s="3" t="str">
        <f>HYPERLINK("http://www.uniprot.org/uniprot/Q78PY7", "Q78PY7")</f>
        <v>Q78PY7</v>
      </c>
      <c r="M335" t="s">
        <v>4150</v>
      </c>
      <c r="N335" t="str">
        <f>"Snd1"</f>
        <v>Snd1</v>
      </c>
      <c r="O335" s="3" t="str">
        <f>HYPERLINK("http://www.informatics.jax.org/marker/MGI:1929266", "MGI:1929266")</f>
        <v>MGI:1929266</v>
      </c>
      <c r="P335" t="s">
        <v>4151</v>
      </c>
      <c r="Q335" t="s">
        <v>4152</v>
      </c>
      <c r="R335" t="s">
        <v>40</v>
      </c>
      <c r="S335" t="s">
        <v>32</v>
      </c>
      <c r="T335" t="s">
        <v>32</v>
      </c>
      <c r="U335" t="s">
        <v>32</v>
      </c>
      <c r="V335" t="s">
        <v>55</v>
      </c>
      <c r="W335" t="s">
        <v>32</v>
      </c>
      <c r="X335" t="s">
        <v>4153</v>
      </c>
      <c r="Y335" t="s">
        <v>516</v>
      </c>
      <c r="Z335" t="s">
        <v>32</v>
      </c>
      <c r="AA335" t="s">
        <v>4154</v>
      </c>
      <c r="AB335" t="s">
        <v>4155</v>
      </c>
      <c r="AC335" t="s">
        <v>4156</v>
      </c>
      <c r="AD335" t="s">
        <v>32</v>
      </c>
      <c r="AE335" t="s">
        <v>32</v>
      </c>
      <c r="AF335" t="s">
        <v>46835</v>
      </c>
    </row>
    <row r="336" spans="1:32" x14ac:dyDescent="0.2">
      <c r="A336">
        <v>331</v>
      </c>
      <c r="B336" t="s">
        <v>4157</v>
      </c>
      <c r="C336" t="s">
        <v>4158</v>
      </c>
      <c r="D336" t="s">
        <v>4159</v>
      </c>
      <c r="E336" t="s">
        <v>4160</v>
      </c>
      <c r="F336" t="s">
        <v>4161</v>
      </c>
      <c r="G336" t="s">
        <v>32</v>
      </c>
      <c r="H336" t="str">
        <f>"Hdlbp"</f>
        <v>Hdlbp</v>
      </c>
      <c r="I336" t="s">
        <v>32</v>
      </c>
      <c r="J336" t="s">
        <v>37</v>
      </c>
      <c r="K336">
        <v>10090</v>
      </c>
      <c r="L336" s="3" t="str">
        <f>HYPERLINK("http://www.uniprot.org/uniprot/Q8VDJ3", "Q8VDJ3")</f>
        <v>Q8VDJ3</v>
      </c>
      <c r="M336" t="s">
        <v>4162</v>
      </c>
      <c r="N336" t="str">
        <f>"Hdlbp"</f>
        <v>Hdlbp</v>
      </c>
      <c r="O336" s="3" t="str">
        <f>HYPERLINK("http://www.informatics.jax.org/marker/MGI:99256", "MGI:99256")</f>
        <v>MGI:99256</v>
      </c>
      <c r="P336" t="s">
        <v>4163</v>
      </c>
      <c r="Q336" t="s">
        <v>4164</v>
      </c>
      <c r="R336" t="s">
        <v>4165</v>
      </c>
      <c r="S336" t="s">
        <v>32</v>
      </c>
      <c r="T336" t="s">
        <v>32</v>
      </c>
      <c r="U336" t="s">
        <v>32</v>
      </c>
      <c r="V336" t="s">
        <v>55</v>
      </c>
      <c r="W336" t="s">
        <v>32</v>
      </c>
      <c r="X336" t="s">
        <v>1282</v>
      </c>
      <c r="Y336" t="s">
        <v>157</v>
      </c>
      <c r="Z336" t="s">
        <v>32</v>
      </c>
      <c r="AA336" t="s">
        <v>4166</v>
      </c>
      <c r="AB336" t="s">
        <v>4167</v>
      </c>
      <c r="AC336" t="s">
        <v>4168</v>
      </c>
      <c r="AD336" t="s">
        <v>32</v>
      </c>
      <c r="AE336" t="s">
        <v>4169</v>
      </c>
      <c r="AF336" t="s">
        <v>46835</v>
      </c>
    </row>
    <row r="337" spans="1:32" x14ac:dyDescent="0.2">
      <c r="A337">
        <v>332</v>
      </c>
      <c r="B337" t="s">
        <v>4170</v>
      </c>
      <c r="C337" t="s">
        <v>4171</v>
      </c>
      <c r="D337" t="s">
        <v>4172</v>
      </c>
      <c r="E337" t="s">
        <v>4173</v>
      </c>
      <c r="F337" t="s">
        <v>4174</v>
      </c>
      <c r="G337" t="s">
        <v>32</v>
      </c>
      <c r="H337" t="str">
        <f>"Cops4"</f>
        <v>Cops4</v>
      </c>
      <c r="I337" t="s">
        <v>4175</v>
      </c>
      <c r="J337" t="s">
        <v>37</v>
      </c>
      <c r="K337">
        <v>10090</v>
      </c>
      <c r="L337" s="3" t="str">
        <f>HYPERLINK("http://www.uniprot.org/uniprot/O88544", "O88544")</f>
        <v>O88544</v>
      </c>
      <c r="M337" t="s">
        <v>4176</v>
      </c>
      <c r="N337" t="str">
        <f>"Cops4"</f>
        <v>Cops4</v>
      </c>
      <c r="O337" s="3" t="str">
        <f>HYPERLINK("http://www.informatics.jax.org/marker/MGI:1349414", "MGI:1349414")</f>
        <v>MGI:1349414</v>
      </c>
      <c r="P337" t="s">
        <v>4177</v>
      </c>
      <c r="Q337" t="s">
        <v>32</v>
      </c>
      <c r="R337" t="s">
        <v>4178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32</v>
      </c>
      <c r="Y337" t="s">
        <v>78</v>
      </c>
      <c r="Z337" t="s">
        <v>126</v>
      </c>
      <c r="AA337" t="s">
        <v>4179</v>
      </c>
      <c r="AB337" t="s">
        <v>4180</v>
      </c>
      <c r="AC337" t="s">
        <v>32</v>
      </c>
      <c r="AD337" t="s">
        <v>32</v>
      </c>
      <c r="AE337" t="s">
        <v>4181</v>
      </c>
      <c r="AF337" t="s">
        <v>46835</v>
      </c>
    </row>
    <row r="338" spans="1:32" x14ac:dyDescent="0.2">
      <c r="A338">
        <v>333</v>
      </c>
      <c r="B338" t="s">
        <v>4182</v>
      </c>
      <c r="C338" t="s">
        <v>4183</v>
      </c>
      <c r="D338" t="s">
        <v>4184</v>
      </c>
      <c r="E338" t="s">
        <v>4185</v>
      </c>
      <c r="F338" t="s">
        <v>4186</v>
      </c>
      <c r="G338" t="s">
        <v>4187</v>
      </c>
      <c r="H338" t="str">
        <f>"Psmb7"</f>
        <v>Psmb7</v>
      </c>
      <c r="I338" t="s">
        <v>4188</v>
      </c>
      <c r="J338" t="s">
        <v>37</v>
      </c>
      <c r="K338">
        <v>10090</v>
      </c>
      <c r="L338" s="3" t="str">
        <f>HYPERLINK("http://www.uniprot.org/uniprot/P70195", "P70195")</f>
        <v>P70195</v>
      </c>
      <c r="M338" t="s">
        <v>4189</v>
      </c>
      <c r="N338" t="str">
        <f>"Psmb7"</f>
        <v>Psmb7</v>
      </c>
      <c r="O338" s="3" t="str">
        <f>HYPERLINK("http://www.informatics.jax.org/marker/MGI:107637", "MGI:107637")</f>
        <v>MGI:107637</v>
      </c>
      <c r="P338" t="s">
        <v>4011</v>
      </c>
      <c r="Q338" t="s">
        <v>32</v>
      </c>
      <c r="R338" t="s">
        <v>2586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4012</v>
      </c>
      <c r="Y338" t="s">
        <v>4013</v>
      </c>
      <c r="Z338" t="s">
        <v>126</v>
      </c>
      <c r="AA338" t="s">
        <v>4190</v>
      </c>
      <c r="AB338" t="s">
        <v>4191</v>
      </c>
      <c r="AC338" t="s">
        <v>4192</v>
      </c>
      <c r="AD338" t="s">
        <v>32</v>
      </c>
      <c r="AE338" t="s">
        <v>2590</v>
      </c>
      <c r="AF338" t="s">
        <v>46835</v>
      </c>
    </row>
    <row r="339" spans="1:32" x14ac:dyDescent="0.2">
      <c r="A339">
        <v>334</v>
      </c>
      <c r="B339" t="s">
        <v>4193</v>
      </c>
      <c r="C339" t="s">
        <v>4194</v>
      </c>
      <c r="D339" t="s">
        <v>4195</v>
      </c>
      <c r="E339" t="s">
        <v>4196</v>
      </c>
      <c r="F339" t="s">
        <v>4197</v>
      </c>
      <c r="G339" t="s">
        <v>4198</v>
      </c>
      <c r="H339" t="str">
        <f>"Mtap"</f>
        <v>Mtap</v>
      </c>
      <c r="I339" t="s">
        <v>32</v>
      </c>
      <c r="J339" t="s">
        <v>37</v>
      </c>
      <c r="K339">
        <v>10090</v>
      </c>
      <c r="L339" s="3" t="str">
        <f>HYPERLINK("http://www.uniprot.org/uniprot/Q9CQ65", "Q9CQ65")</f>
        <v>Q9CQ65</v>
      </c>
      <c r="M339" t="s">
        <v>4199</v>
      </c>
      <c r="N339" t="str">
        <f>"Mtap"</f>
        <v>Mtap</v>
      </c>
      <c r="O339" s="3" t="str">
        <f>HYPERLINK("http://www.informatics.jax.org/marker/MGI:1914152", "MGI:1914152")</f>
        <v>MGI:1914152</v>
      </c>
      <c r="P339" t="s">
        <v>4200</v>
      </c>
      <c r="Q339" t="s">
        <v>2361</v>
      </c>
      <c r="R339" t="s">
        <v>40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2362</v>
      </c>
      <c r="Y339" t="s">
        <v>78</v>
      </c>
      <c r="Z339" t="s">
        <v>32</v>
      </c>
      <c r="AA339" t="s">
        <v>4201</v>
      </c>
      <c r="AB339" t="s">
        <v>4202</v>
      </c>
      <c r="AC339" t="s">
        <v>4203</v>
      </c>
      <c r="AD339" t="s">
        <v>4204</v>
      </c>
      <c r="AE339" t="s">
        <v>4205</v>
      </c>
      <c r="AF339" t="s">
        <v>46835</v>
      </c>
    </row>
    <row r="340" spans="1:32" x14ac:dyDescent="0.2">
      <c r="A340">
        <v>335</v>
      </c>
      <c r="B340" t="s">
        <v>4206</v>
      </c>
      <c r="C340" t="s">
        <v>4207</v>
      </c>
      <c r="D340" t="s">
        <v>4208</v>
      </c>
      <c r="E340" t="s">
        <v>4209</v>
      </c>
      <c r="F340" t="s">
        <v>4210</v>
      </c>
      <c r="G340" t="s">
        <v>4211</v>
      </c>
      <c r="H340" t="str">
        <f>"Npepps"</f>
        <v>Npepps</v>
      </c>
      <c r="I340" t="s">
        <v>4212</v>
      </c>
      <c r="J340" t="s">
        <v>37</v>
      </c>
      <c r="K340">
        <v>10090</v>
      </c>
      <c r="L340" s="3" t="str">
        <f>HYPERLINK("http://www.uniprot.org/uniprot/Q11011", "Q11011")</f>
        <v>Q11011</v>
      </c>
      <c r="M340" t="s">
        <v>4213</v>
      </c>
      <c r="N340" t="str">
        <f>"Npepps"</f>
        <v>Npepps</v>
      </c>
      <c r="O340" s="3" t="str">
        <f>HYPERLINK("http://www.informatics.jax.org/marker/MGI:1101358", "MGI:1101358")</f>
        <v>MGI:1101358</v>
      </c>
      <c r="P340" t="s">
        <v>4214</v>
      </c>
      <c r="Q340" t="s">
        <v>32</v>
      </c>
      <c r="R340" t="s">
        <v>40</v>
      </c>
      <c r="S340" t="s">
        <v>32</v>
      </c>
      <c r="T340" t="s">
        <v>32</v>
      </c>
      <c r="U340" t="s">
        <v>32</v>
      </c>
      <c r="V340" t="s">
        <v>32</v>
      </c>
      <c r="W340" t="s">
        <v>42</v>
      </c>
      <c r="X340" t="s">
        <v>4215</v>
      </c>
      <c r="Y340" t="s">
        <v>4216</v>
      </c>
      <c r="Z340" t="s">
        <v>32</v>
      </c>
      <c r="AA340" t="s">
        <v>4217</v>
      </c>
      <c r="AB340" t="s">
        <v>4218</v>
      </c>
      <c r="AC340" t="s">
        <v>4219</v>
      </c>
      <c r="AD340" t="s">
        <v>32</v>
      </c>
      <c r="AE340" t="s">
        <v>4220</v>
      </c>
      <c r="AF340" t="s">
        <v>46835</v>
      </c>
    </row>
    <row r="341" spans="1:32" x14ac:dyDescent="0.2">
      <c r="A341">
        <v>336</v>
      </c>
      <c r="B341" t="s">
        <v>4221</v>
      </c>
      <c r="C341" t="s">
        <v>4222</v>
      </c>
      <c r="D341" t="s">
        <v>32</v>
      </c>
      <c r="E341" t="s">
        <v>4223</v>
      </c>
      <c r="F341" t="s">
        <v>4224</v>
      </c>
      <c r="G341" t="s">
        <v>32</v>
      </c>
      <c r="H341" t="str">
        <f>"Hspg2"</f>
        <v>Hspg2</v>
      </c>
      <c r="I341" t="s">
        <v>32</v>
      </c>
      <c r="J341" t="s">
        <v>37</v>
      </c>
      <c r="K341">
        <v>10090</v>
      </c>
      <c r="L341" s="3" t="str">
        <f>HYPERLINK("http://www.uniprot.org/uniprot/Q05793", "Q05793")</f>
        <v>Q05793</v>
      </c>
      <c r="M341" t="s">
        <v>4225</v>
      </c>
      <c r="N341" t="str">
        <f>"Hspg2"</f>
        <v>Hspg2</v>
      </c>
      <c r="O341" s="3" t="str">
        <f>HYPERLINK("http://www.informatics.jax.org/marker/MGI:96257", "MGI:96257")</f>
        <v>MGI:96257</v>
      </c>
      <c r="P341" t="s">
        <v>4226</v>
      </c>
      <c r="Q341" t="s">
        <v>4227</v>
      </c>
      <c r="R341" t="s">
        <v>2785</v>
      </c>
      <c r="S341" t="s">
        <v>32</v>
      </c>
      <c r="T341" t="s">
        <v>32</v>
      </c>
      <c r="U341" t="s">
        <v>32</v>
      </c>
      <c r="V341" t="s">
        <v>4228</v>
      </c>
      <c r="W341" t="s">
        <v>188</v>
      </c>
      <c r="X341" t="s">
        <v>32</v>
      </c>
      <c r="Y341" t="s">
        <v>4229</v>
      </c>
      <c r="Z341" t="s">
        <v>126</v>
      </c>
      <c r="AA341" t="s">
        <v>4230</v>
      </c>
      <c r="AB341" t="s">
        <v>4231</v>
      </c>
      <c r="AC341" t="s">
        <v>4232</v>
      </c>
      <c r="AD341" t="s">
        <v>32</v>
      </c>
      <c r="AE341" t="s">
        <v>32</v>
      </c>
      <c r="AF341" t="s">
        <v>46835</v>
      </c>
    </row>
    <row r="342" spans="1:32" x14ac:dyDescent="0.2">
      <c r="A342">
        <v>337</v>
      </c>
      <c r="B342" t="s">
        <v>4233</v>
      </c>
      <c r="C342" t="s">
        <v>4234</v>
      </c>
      <c r="D342" t="s">
        <v>4235</v>
      </c>
      <c r="E342" t="s">
        <v>4236</v>
      </c>
      <c r="F342" t="s">
        <v>4237</v>
      </c>
      <c r="G342" t="s">
        <v>4238</v>
      </c>
      <c r="H342" t="str">
        <f>"Txn"</f>
        <v>Txn</v>
      </c>
      <c r="I342" t="s">
        <v>4239</v>
      </c>
      <c r="J342" t="s">
        <v>37</v>
      </c>
      <c r="K342">
        <v>10090</v>
      </c>
      <c r="L342" s="3" t="str">
        <f>HYPERLINK("http://www.uniprot.org/uniprot/P10639", "P10639")</f>
        <v>P10639</v>
      </c>
      <c r="M342" t="s">
        <v>4240</v>
      </c>
      <c r="N342" t="str">
        <f>"Txn1"</f>
        <v>Txn1</v>
      </c>
      <c r="O342" s="3" t="str">
        <f>HYPERLINK("http://www.informatics.jax.org/marker/MGI:98874", "MGI:98874")</f>
        <v>MGI:98874</v>
      </c>
      <c r="P342" t="s">
        <v>4241</v>
      </c>
      <c r="Q342" t="s">
        <v>4242</v>
      </c>
      <c r="R342" t="s">
        <v>542</v>
      </c>
      <c r="S342" t="s">
        <v>32</v>
      </c>
      <c r="T342" t="s">
        <v>32</v>
      </c>
      <c r="U342" t="s">
        <v>32</v>
      </c>
      <c r="V342" t="s">
        <v>1090</v>
      </c>
      <c r="W342" t="s">
        <v>32</v>
      </c>
      <c r="X342" t="s">
        <v>2602</v>
      </c>
      <c r="Y342" t="s">
        <v>4243</v>
      </c>
      <c r="Z342" t="s">
        <v>32</v>
      </c>
      <c r="AA342" t="s">
        <v>4244</v>
      </c>
      <c r="AB342" t="s">
        <v>4245</v>
      </c>
      <c r="AC342" t="s">
        <v>4246</v>
      </c>
      <c r="AD342" t="s">
        <v>32</v>
      </c>
      <c r="AE342" t="s">
        <v>4247</v>
      </c>
      <c r="AF342" t="s">
        <v>46835</v>
      </c>
    </row>
    <row r="343" spans="1:32" x14ac:dyDescent="0.2">
      <c r="A343">
        <v>338</v>
      </c>
      <c r="B343" t="s">
        <v>4248</v>
      </c>
      <c r="C343" t="s">
        <v>4249</v>
      </c>
      <c r="D343" t="s">
        <v>4250</v>
      </c>
      <c r="E343" t="s">
        <v>4251</v>
      </c>
      <c r="F343" t="s">
        <v>4252</v>
      </c>
      <c r="G343" t="s">
        <v>4253</v>
      </c>
      <c r="H343" t="str">
        <f>"Atp5pd"</f>
        <v>Atp5pd</v>
      </c>
      <c r="I343" t="s">
        <v>4254</v>
      </c>
      <c r="J343" t="s">
        <v>37</v>
      </c>
      <c r="K343">
        <v>10090</v>
      </c>
      <c r="L343" s="3" t="str">
        <f>HYPERLINK("http://www.uniprot.org/uniprot/Q9DCX2", "Q9DCX2")</f>
        <v>Q9DCX2</v>
      </c>
      <c r="M343" t="s">
        <v>4255</v>
      </c>
      <c r="N343" t="str">
        <f>"Atp5h"</f>
        <v>Atp5h</v>
      </c>
      <c r="O343" s="3" t="str">
        <f>HYPERLINK("http://www.informatics.jax.org/marker/MGI:1918929", "MGI:1918929")</f>
        <v>MGI:1918929</v>
      </c>
      <c r="P343" t="s">
        <v>4256</v>
      </c>
      <c r="Q343" t="s">
        <v>4257</v>
      </c>
      <c r="R343" t="s">
        <v>4258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t="s">
        <v>78</v>
      </c>
      <c r="Z343" t="s">
        <v>32</v>
      </c>
      <c r="AA343" t="s">
        <v>4259</v>
      </c>
      <c r="AB343" t="s">
        <v>4260</v>
      </c>
      <c r="AC343" t="s">
        <v>4261</v>
      </c>
      <c r="AD343" t="s">
        <v>32</v>
      </c>
      <c r="AE343" t="s">
        <v>1147</v>
      </c>
      <c r="AF343" t="s">
        <v>46835</v>
      </c>
    </row>
    <row r="344" spans="1:32" x14ac:dyDescent="0.2">
      <c r="A344">
        <v>339</v>
      </c>
      <c r="B344" t="s">
        <v>4262</v>
      </c>
      <c r="C344" t="s">
        <v>4263</v>
      </c>
      <c r="D344" t="s">
        <v>4264</v>
      </c>
      <c r="E344" t="s">
        <v>4265</v>
      </c>
      <c r="F344" t="s">
        <v>4266</v>
      </c>
      <c r="G344" t="s">
        <v>4267</v>
      </c>
      <c r="H344" t="str">
        <f>"Rrbp1"</f>
        <v>Rrbp1</v>
      </c>
      <c r="I344" t="s">
        <v>32</v>
      </c>
      <c r="J344" t="s">
        <v>37</v>
      </c>
      <c r="K344">
        <v>10090</v>
      </c>
      <c r="L344" s="3" t="str">
        <f>HYPERLINK("http://www.uniprot.org/uniprot/Q99PL5", "Q99PL5")</f>
        <v>Q99PL5</v>
      </c>
      <c r="M344" t="s">
        <v>4268</v>
      </c>
      <c r="N344" t="str">
        <f>"Rrbp1"</f>
        <v>Rrbp1</v>
      </c>
      <c r="O344" s="3" t="str">
        <f>HYPERLINK("http://www.informatics.jax.org/marker/MGI:1932395", "MGI:1932395")</f>
        <v>MGI:1932395</v>
      </c>
      <c r="P344" t="s">
        <v>4269</v>
      </c>
      <c r="Q344" t="s">
        <v>4270</v>
      </c>
      <c r="R344" t="s">
        <v>1664</v>
      </c>
      <c r="S344" t="s">
        <v>41</v>
      </c>
      <c r="T344" t="s">
        <v>32</v>
      </c>
      <c r="U344" t="s">
        <v>32</v>
      </c>
      <c r="V344" t="s">
        <v>1620</v>
      </c>
      <c r="W344" t="s">
        <v>32</v>
      </c>
      <c r="X344" t="s">
        <v>32</v>
      </c>
      <c r="Y344" t="s">
        <v>516</v>
      </c>
      <c r="Z344" t="s">
        <v>32</v>
      </c>
      <c r="AA344" t="s">
        <v>4271</v>
      </c>
      <c r="AB344" t="s">
        <v>4272</v>
      </c>
      <c r="AC344" t="s">
        <v>32</v>
      </c>
      <c r="AD344" t="s">
        <v>32</v>
      </c>
      <c r="AE344" t="s">
        <v>32</v>
      </c>
      <c r="AF344" t="s">
        <v>46835</v>
      </c>
    </row>
    <row r="345" spans="1:32" x14ac:dyDescent="0.2">
      <c r="A345">
        <v>340</v>
      </c>
      <c r="B345" t="s">
        <v>4273</v>
      </c>
      <c r="C345" t="s">
        <v>4274</v>
      </c>
      <c r="D345" t="s">
        <v>4275</v>
      </c>
      <c r="E345" t="s">
        <v>4276</v>
      </c>
      <c r="F345" t="s">
        <v>4277</v>
      </c>
      <c r="G345" t="s">
        <v>4278</v>
      </c>
      <c r="H345" t="str">
        <f>"Sars1"</f>
        <v>Sars1</v>
      </c>
      <c r="I345" t="s">
        <v>4279</v>
      </c>
      <c r="J345" t="s">
        <v>37</v>
      </c>
      <c r="K345">
        <v>10090</v>
      </c>
      <c r="L345" s="3" t="str">
        <f>HYPERLINK("http://www.uniprot.org/uniprot/P26638", "P26638")</f>
        <v>P26638</v>
      </c>
      <c r="M345" t="s">
        <v>4280</v>
      </c>
      <c r="N345" t="str">
        <f>"Sars"</f>
        <v>Sars</v>
      </c>
      <c r="O345" s="3" t="str">
        <f>HYPERLINK("http://www.informatics.jax.org/marker/MGI:102809", "MGI:102809")</f>
        <v>MGI:102809</v>
      </c>
      <c r="P345" t="s">
        <v>4281</v>
      </c>
      <c r="Q345" t="s">
        <v>260</v>
      </c>
      <c r="R345" t="s">
        <v>40</v>
      </c>
      <c r="S345" t="s">
        <v>32</v>
      </c>
      <c r="T345" t="s">
        <v>32</v>
      </c>
      <c r="U345" t="s">
        <v>32</v>
      </c>
      <c r="V345" t="s">
        <v>32</v>
      </c>
      <c r="W345" t="s">
        <v>205</v>
      </c>
      <c r="X345" t="s">
        <v>4282</v>
      </c>
      <c r="Y345" t="s">
        <v>157</v>
      </c>
      <c r="Z345" t="s">
        <v>32</v>
      </c>
      <c r="AA345" t="s">
        <v>4283</v>
      </c>
      <c r="AB345" t="s">
        <v>1655</v>
      </c>
      <c r="AC345" t="s">
        <v>4284</v>
      </c>
      <c r="AD345" t="s">
        <v>4285</v>
      </c>
      <c r="AE345" t="s">
        <v>32</v>
      </c>
      <c r="AF345" t="s">
        <v>46835</v>
      </c>
    </row>
    <row r="346" spans="1:32" x14ac:dyDescent="0.2">
      <c r="A346">
        <v>341</v>
      </c>
      <c r="B346" t="s">
        <v>4286</v>
      </c>
      <c r="C346" t="s">
        <v>4287</v>
      </c>
      <c r="D346" t="s">
        <v>4288</v>
      </c>
      <c r="E346" t="s">
        <v>4289</v>
      </c>
      <c r="F346" t="s">
        <v>4290</v>
      </c>
      <c r="G346" t="s">
        <v>4291</v>
      </c>
      <c r="H346" t="str">
        <f>"Lars1"</f>
        <v>Lars1</v>
      </c>
      <c r="I346" t="s">
        <v>4292</v>
      </c>
      <c r="J346" t="s">
        <v>37</v>
      </c>
      <c r="K346">
        <v>10090</v>
      </c>
      <c r="L346" s="3" t="str">
        <f>HYPERLINK("http://www.uniprot.org/uniprot/Q8BMJ2", "Q8BMJ2")</f>
        <v>Q8BMJ2</v>
      </c>
      <c r="M346" t="s">
        <v>4293</v>
      </c>
      <c r="N346" t="str">
        <f>"Lars"</f>
        <v>Lars</v>
      </c>
      <c r="O346" s="3" t="str">
        <f>HYPERLINK("http://www.informatics.jax.org/marker/MGI:1913808", "MGI:1913808")</f>
        <v>MGI:1913808</v>
      </c>
      <c r="P346" t="s">
        <v>2982</v>
      </c>
      <c r="Q346" t="s">
        <v>260</v>
      </c>
      <c r="R346" t="s">
        <v>418</v>
      </c>
      <c r="S346" t="s">
        <v>32</v>
      </c>
      <c r="T346" t="s">
        <v>32</v>
      </c>
      <c r="U346" t="s">
        <v>32</v>
      </c>
      <c r="V346" t="s">
        <v>32</v>
      </c>
      <c r="W346" t="s">
        <v>205</v>
      </c>
      <c r="X346" t="s">
        <v>2983</v>
      </c>
      <c r="Y346" t="s">
        <v>157</v>
      </c>
      <c r="Z346" t="s">
        <v>32</v>
      </c>
      <c r="AA346" t="s">
        <v>4294</v>
      </c>
      <c r="AB346" t="s">
        <v>4295</v>
      </c>
      <c r="AC346" t="s">
        <v>4296</v>
      </c>
      <c r="AD346" t="s">
        <v>32</v>
      </c>
      <c r="AE346" t="s">
        <v>32</v>
      </c>
      <c r="AF346" t="s">
        <v>46835</v>
      </c>
    </row>
    <row r="347" spans="1:32" x14ac:dyDescent="0.2">
      <c r="A347">
        <v>342</v>
      </c>
      <c r="B347" t="s">
        <v>4297</v>
      </c>
      <c r="C347" t="s">
        <v>4298</v>
      </c>
      <c r="D347" t="s">
        <v>4299</v>
      </c>
      <c r="E347" t="s">
        <v>4300</v>
      </c>
      <c r="F347" t="s">
        <v>4301</v>
      </c>
      <c r="G347" t="s">
        <v>4302</v>
      </c>
      <c r="H347" t="str">
        <f>"Psma2"</f>
        <v>Psma2</v>
      </c>
      <c r="I347" t="s">
        <v>4303</v>
      </c>
      <c r="J347" t="s">
        <v>37</v>
      </c>
      <c r="K347">
        <v>10090</v>
      </c>
      <c r="L347" s="3" t="str">
        <f>HYPERLINK("http://www.uniprot.org/uniprot/P49722", "P49722")</f>
        <v>P49722</v>
      </c>
      <c r="M347" t="s">
        <v>4304</v>
      </c>
      <c r="N347" t="str">
        <f>"Psma2"</f>
        <v>Psma2</v>
      </c>
      <c r="O347" s="3" t="str">
        <f>HYPERLINK("http://www.informatics.jax.org/marker/MGI:104885", "MGI:104885")</f>
        <v>MGI:104885</v>
      </c>
      <c r="P347" t="s">
        <v>3140</v>
      </c>
      <c r="Q347" t="s">
        <v>32</v>
      </c>
      <c r="R347" t="s">
        <v>2586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 t="s">
        <v>157</v>
      </c>
      <c r="Z347" t="s">
        <v>126</v>
      </c>
      <c r="AA347" t="s">
        <v>4305</v>
      </c>
      <c r="AB347" t="s">
        <v>4306</v>
      </c>
      <c r="AC347" t="s">
        <v>32</v>
      </c>
      <c r="AD347" t="s">
        <v>32</v>
      </c>
      <c r="AE347" t="s">
        <v>2590</v>
      </c>
      <c r="AF347" t="s">
        <v>46835</v>
      </c>
    </row>
    <row r="348" spans="1:32" x14ac:dyDescent="0.2">
      <c r="A348">
        <v>343</v>
      </c>
      <c r="B348" t="s">
        <v>4307</v>
      </c>
      <c r="C348" t="s">
        <v>4308</v>
      </c>
      <c r="D348" t="s">
        <v>4309</v>
      </c>
      <c r="E348" t="s">
        <v>4310</v>
      </c>
      <c r="F348" t="s">
        <v>4311</v>
      </c>
      <c r="G348" t="s">
        <v>4312</v>
      </c>
      <c r="H348" t="str">
        <f>"Ganab"</f>
        <v>Ganab</v>
      </c>
      <c r="I348" t="s">
        <v>32</v>
      </c>
      <c r="J348" t="s">
        <v>37</v>
      </c>
      <c r="K348">
        <v>10090</v>
      </c>
      <c r="L348" s="3" t="str">
        <f>HYPERLINK("http://www.uniprot.org/uniprot/Q8BHN3", "Q8BHN3")</f>
        <v>Q8BHN3</v>
      </c>
      <c r="M348" t="s">
        <v>4313</v>
      </c>
      <c r="N348" t="str">
        <f>"Ganab"</f>
        <v>Ganab</v>
      </c>
      <c r="O348" s="3" t="str">
        <f>HYPERLINK("http://www.informatics.jax.org/marker/MGI:1097667", "MGI:1097667")</f>
        <v>MGI:1097667</v>
      </c>
      <c r="P348" t="s">
        <v>4314</v>
      </c>
      <c r="Q348" t="s">
        <v>32</v>
      </c>
      <c r="R348" t="s">
        <v>4315</v>
      </c>
      <c r="S348" t="s">
        <v>41</v>
      </c>
      <c r="T348" t="s">
        <v>32</v>
      </c>
      <c r="U348" t="s">
        <v>32</v>
      </c>
      <c r="V348" t="s">
        <v>811</v>
      </c>
      <c r="W348" t="s">
        <v>32</v>
      </c>
      <c r="X348" t="s">
        <v>4316</v>
      </c>
      <c r="Y348" t="s">
        <v>2865</v>
      </c>
      <c r="Z348" t="s">
        <v>126</v>
      </c>
      <c r="AA348" t="s">
        <v>4317</v>
      </c>
      <c r="AB348" t="s">
        <v>4318</v>
      </c>
      <c r="AC348" t="s">
        <v>4319</v>
      </c>
      <c r="AD348" t="s">
        <v>4320</v>
      </c>
      <c r="AE348" t="s">
        <v>32</v>
      </c>
      <c r="AF348" t="s">
        <v>46835</v>
      </c>
    </row>
    <row r="349" spans="1:32" x14ac:dyDescent="0.2">
      <c r="A349">
        <v>344</v>
      </c>
      <c r="B349" t="s">
        <v>4321</v>
      </c>
      <c r="C349" t="s">
        <v>4322</v>
      </c>
      <c r="D349" t="s">
        <v>4323</v>
      </c>
      <c r="E349" t="s">
        <v>4324</v>
      </c>
      <c r="F349" t="s">
        <v>4325</v>
      </c>
      <c r="G349" t="s">
        <v>32</v>
      </c>
      <c r="H349" t="str">
        <f>"Lamc1"</f>
        <v>Lamc1</v>
      </c>
      <c r="I349" t="s">
        <v>4326</v>
      </c>
      <c r="J349" t="s">
        <v>37</v>
      </c>
      <c r="K349">
        <v>10090</v>
      </c>
      <c r="L349" s="3" t="str">
        <f>HYPERLINK("http://www.uniprot.org/uniprot/P02468", "P02468")</f>
        <v>P02468</v>
      </c>
      <c r="M349" t="s">
        <v>4327</v>
      </c>
      <c r="N349" t="str">
        <f>"Lamc1"</f>
        <v>Lamc1</v>
      </c>
      <c r="O349" s="3" t="str">
        <f>HYPERLINK("http://www.informatics.jax.org/marker/MGI:99914", "MGI:99914")</f>
        <v>MGI:99914</v>
      </c>
      <c r="P349" t="s">
        <v>3227</v>
      </c>
      <c r="Q349" t="s">
        <v>2784</v>
      </c>
      <c r="R349" t="s">
        <v>2785</v>
      </c>
      <c r="S349" t="s">
        <v>32</v>
      </c>
      <c r="T349" t="s">
        <v>32</v>
      </c>
      <c r="U349" t="s">
        <v>32</v>
      </c>
      <c r="V349" t="s">
        <v>3228</v>
      </c>
      <c r="W349" t="s">
        <v>32</v>
      </c>
      <c r="X349" t="s">
        <v>32</v>
      </c>
      <c r="Y349" t="s">
        <v>2865</v>
      </c>
      <c r="Z349" t="s">
        <v>126</v>
      </c>
      <c r="AA349" t="s">
        <v>4328</v>
      </c>
      <c r="AB349" t="s">
        <v>4329</v>
      </c>
      <c r="AC349" t="s">
        <v>4330</v>
      </c>
      <c r="AD349" t="s">
        <v>32</v>
      </c>
      <c r="AE349" t="s">
        <v>32</v>
      </c>
      <c r="AF349" t="s">
        <v>46835</v>
      </c>
    </row>
    <row r="350" spans="1:32" x14ac:dyDescent="0.2">
      <c r="A350">
        <v>345</v>
      </c>
      <c r="B350" t="s">
        <v>4331</v>
      </c>
      <c r="C350" t="s">
        <v>4332</v>
      </c>
      <c r="D350" t="s">
        <v>4333</v>
      </c>
      <c r="E350" t="s">
        <v>4334</v>
      </c>
      <c r="F350" t="s">
        <v>4335</v>
      </c>
      <c r="G350" t="s">
        <v>4336</v>
      </c>
      <c r="H350" t="str">
        <f>"Gstp1"</f>
        <v>Gstp1</v>
      </c>
      <c r="I350" t="s">
        <v>4337</v>
      </c>
      <c r="J350" t="s">
        <v>37</v>
      </c>
      <c r="K350">
        <v>10090</v>
      </c>
      <c r="L350" s="3" t="str">
        <f>HYPERLINK("http://www.uniprot.org/uniprot/P19157", "P19157")</f>
        <v>P19157</v>
      </c>
      <c r="M350" t="s">
        <v>4338</v>
      </c>
      <c r="N350" t="str">
        <f>"Gstp1"</f>
        <v>Gstp1</v>
      </c>
      <c r="O350" s="3" t="str">
        <f>HYPERLINK("http://www.informatics.jax.org/marker/MGI:95865", "MGI:95865")</f>
        <v>MGI:95865</v>
      </c>
      <c r="P350" t="s">
        <v>4339</v>
      </c>
      <c r="Q350" t="s">
        <v>598</v>
      </c>
      <c r="R350" t="s">
        <v>1021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515</v>
      </c>
      <c r="Y350" t="s">
        <v>157</v>
      </c>
      <c r="Z350" t="s">
        <v>126</v>
      </c>
      <c r="AA350" t="s">
        <v>4340</v>
      </c>
      <c r="AB350" t="s">
        <v>4341</v>
      </c>
      <c r="AC350" t="s">
        <v>4342</v>
      </c>
      <c r="AD350" t="s">
        <v>32</v>
      </c>
      <c r="AE350" t="s">
        <v>4343</v>
      </c>
      <c r="AF350" t="s">
        <v>46835</v>
      </c>
    </row>
    <row r="351" spans="1:32" x14ac:dyDescent="0.2">
      <c r="A351">
        <v>346</v>
      </c>
      <c r="B351" t="s">
        <v>4344</v>
      </c>
      <c r="C351" t="s">
        <v>4345</v>
      </c>
      <c r="D351" t="s">
        <v>4346</v>
      </c>
      <c r="E351" t="s">
        <v>4347</v>
      </c>
      <c r="F351" t="s">
        <v>4348</v>
      </c>
      <c r="G351" t="s">
        <v>4349</v>
      </c>
      <c r="H351" t="str">
        <f>"Gart"</f>
        <v>Gart</v>
      </c>
      <c r="I351" t="s">
        <v>32</v>
      </c>
      <c r="J351" t="s">
        <v>37</v>
      </c>
      <c r="K351">
        <v>10090</v>
      </c>
      <c r="L351" s="3" t="str">
        <f>HYPERLINK("http://www.uniprot.org/uniprot/Q64737", "Q64737")</f>
        <v>Q64737</v>
      </c>
      <c r="M351" t="s">
        <v>4350</v>
      </c>
      <c r="N351" t="str">
        <f>"Gart"</f>
        <v>Gart</v>
      </c>
      <c r="O351" s="3" t="str">
        <f>HYPERLINK("http://www.informatics.jax.org/marker/MGI:95654", "MGI:95654")</f>
        <v>MGI:95654</v>
      </c>
      <c r="P351" t="s">
        <v>4351</v>
      </c>
      <c r="Q351" t="s">
        <v>2203</v>
      </c>
      <c r="R351" t="s">
        <v>32</v>
      </c>
      <c r="S351" t="s">
        <v>41</v>
      </c>
      <c r="T351" t="s">
        <v>32</v>
      </c>
      <c r="U351" t="s">
        <v>32</v>
      </c>
      <c r="V351" t="s">
        <v>32</v>
      </c>
      <c r="W351" t="s">
        <v>4352</v>
      </c>
      <c r="X351" t="s">
        <v>4353</v>
      </c>
      <c r="Y351" t="s">
        <v>157</v>
      </c>
      <c r="Z351" t="s">
        <v>32</v>
      </c>
      <c r="AA351" t="s">
        <v>4354</v>
      </c>
      <c r="AB351" t="s">
        <v>1268</v>
      </c>
      <c r="AC351" t="s">
        <v>4355</v>
      </c>
      <c r="AD351" t="s">
        <v>4356</v>
      </c>
      <c r="AE351" t="s">
        <v>2209</v>
      </c>
      <c r="AF351" t="s">
        <v>46835</v>
      </c>
    </row>
    <row r="352" spans="1:32" x14ac:dyDescent="0.2">
      <c r="A352">
        <v>347</v>
      </c>
      <c r="B352" t="s">
        <v>4357</v>
      </c>
      <c r="C352" t="s">
        <v>4358</v>
      </c>
      <c r="D352" t="s">
        <v>32</v>
      </c>
      <c r="E352" t="s">
        <v>4359</v>
      </c>
      <c r="F352" t="s">
        <v>4360</v>
      </c>
      <c r="G352" t="s">
        <v>32</v>
      </c>
      <c r="H352" t="str">
        <f>"RTRAF"</f>
        <v>RTRAF</v>
      </c>
      <c r="I352" t="s">
        <v>32</v>
      </c>
      <c r="J352" t="s">
        <v>37</v>
      </c>
      <c r="K352">
        <v>10090</v>
      </c>
      <c r="L352" s="3" t="str">
        <f>HYPERLINK("http://www.uniprot.org/uniprot/Q9CQE8", "Q9CQE8")</f>
        <v>Q9CQE8</v>
      </c>
      <c r="M352" t="s">
        <v>4361</v>
      </c>
      <c r="N352" t="str">
        <f>"Rtraf"</f>
        <v>Rtraf</v>
      </c>
      <c r="O352" s="3" t="str">
        <f>HYPERLINK("http://www.informatics.jax.org/marker/MGI:1915295", "MGI:1915295")</f>
        <v>MGI:1915295</v>
      </c>
      <c r="P352" t="s">
        <v>4362</v>
      </c>
      <c r="Q352" t="s">
        <v>4152</v>
      </c>
      <c r="R352" t="s">
        <v>324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1282</v>
      </c>
      <c r="Y352" t="s">
        <v>78</v>
      </c>
      <c r="Z352" t="s">
        <v>32</v>
      </c>
      <c r="AA352" t="s">
        <v>4363</v>
      </c>
      <c r="AB352" t="s">
        <v>4364</v>
      </c>
      <c r="AC352" t="s">
        <v>4365</v>
      </c>
      <c r="AD352" t="s">
        <v>32</v>
      </c>
      <c r="AE352" t="s">
        <v>32</v>
      </c>
      <c r="AF352" t="s">
        <v>46835</v>
      </c>
    </row>
    <row r="353" spans="1:33" x14ac:dyDescent="0.2">
      <c r="A353">
        <v>348</v>
      </c>
      <c r="B353" t="s">
        <v>4366</v>
      </c>
      <c r="C353" t="s">
        <v>47204</v>
      </c>
      <c r="D353" t="s">
        <v>32</v>
      </c>
      <c r="E353" t="s">
        <v>46846</v>
      </c>
      <c r="F353" t="s">
        <v>46845</v>
      </c>
      <c r="G353" t="s">
        <v>32</v>
      </c>
      <c r="H353" t="s">
        <v>47336</v>
      </c>
      <c r="I353" t="s">
        <v>32</v>
      </c>
      <c r="J353" t="s">
        <v>37</v>
      </c>
      <c r="K353">
        <v>10090</v>
      </c>
      <c r="L353" s="3" t="str">
        <f>HYPERLINK(CONCATENATE("https://www.uniprot.org/uniprotkb/", AG353, "/entry"), AG353)</f>
        <v>E9PVZ8</v>
      </c>
      <c r="M353" t="s">
        <v>32</v>
      </c>
      <c r="N353" t="s">
        <v>32</v>
      </c>
      <c r="O353" s="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32</v>
      </c>
      <c r="Y353" t="s">
        <v>32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t="s">
        <v>46835</v>
      </c>
      <c r="AG353" t="s">
        <v>46845</v>
      </c>
    </row>
    <row r="354" spans="1:33" x14ac:dyDescent="0.2">
      <c r="A354">
        <v>349</v>
      </c>
      <c r="B354" t="s">
        <v>4367</v>
      </c>
      <c r="C354" t="s">
        <v>4368</v>
      </c>
      <c r="D354" t="s">
        <v>4369</v>
      </c>
      <c r="E354" t="s">
        <v>4370</v>
      </c>
      <c r="F354" t="s">
        <v>4371</v>
      </c>
      <c r="G354" t="s">
        <v>4372</v>
      </c>
      <c r="H354" t="str">
        <f>"Vwa5a"</f>
        <v>Vwa5a</v>
      </c>
      <c r="I354" t="s">
        <v>4373</v>
      </c>
      <c r="J354" t="s">
        <v>37</v>
      </c>
      <c r="K354">
        <v>10090</v>
      </c>
      <c r="L354" s="3" t="str">
        <f>HYPERLINK("http://www.uniprot.org/uniprot/Q99KC8", "Q99KC8")</f>
        <v>Q99KC8</v>
      </c>
      <c r="M354" t="s">
        <v>4374</v>
      </c>
      <c r="N354" t="str">
        <f>"Vwa5a"</f>
        <v>Vwa5a</v>
      </c>
      <c r="O354" s="3" t="str">
        <f>HYPERLINK("http://www.informatics.jax.org/marker/MGI:1915026", "MGI:1915026")</f>
        <v>MGI:1915026</v>
      </c>
      <c r="P354" t="s">
        <v>4375</v>
      </c>
      <c r="Q354" t="s">
        <v>32</v>
      </c>
      <c r="R354" t="s">
        <v>32</v>
      </c>
      <c r="S354" t="s">
        <v>32</v>
      </c>
      <c r="T354" t="s">
        <v>32</v>
      </c>
      <c r="U354" t="s">
        <v>1636</v>
      </c>
      <c r="V354" t="s">
        <v>32</v>
      </c>
      <c r="W354" t="s">
        <v>32</v>
      </c>
      <c r="X354" t="s">
        <v>32</v>
      </c>
      <c r="Y354" t="s">
        <v>618</v>
      </c>
      <c r="Z354" t="s">
        <v>32</v>
      </c>
      <c r="AA354" t="s">
        <v>32</v>
      </c>
      <c r="AB354" t="s">
        <v>4376</v>
      </c>
      <c r="AC354" t="s">
        <v>32</v>
      </c>
      <c r="AD354" t="s">
        <v>32</v>
      </c>
      <c r="AE354" t="s">
        <v>32</v>
      </c>
      <c r="AF354" t="s">
        <v>46835</v>
      </c>
    </row>
    <row r="355" spans="1:33" x14ac:dyDescent="0.2">
      <c r="A355">
        <v>350</v>
      </c>
      <c r="B355" t="s">
        <v>4377</v>
      </c>
      <c r="C355" t="s">
        <v>4378</v>
      </c>
      <c r="D355" t="s">
        <v>4379</v>
      </c>
      <c r="E355" t="s">
        <v>4380</v>
      </c>
      <c r="F355" t="s">
        <v>4381</v>
      </c>
      <c r="G355" t="s">
        <v>4382</v>
      </c>
      <c r="H355" t="str">
        <f>"Rtcb"</f>
        <v>Rtcb</v>
      </c>
      <c r="I355" t="s">
        <v>4383</v>
      </c>
      <c r="J355" t="s">
        <v>37</v>
      </c>
      <c r="K355">
        <v>10090</v>
      </c>
      <c r="L355" s="3" t="str">
        <f>HYPERLINK("http://www.uniprot.org/uniprot/Q99LF4", "Q99LF4")</f>
        <v>Q99LF4</v>
      </c>
      <c r="M355" t="s">
        <v>4384</v>
      </c>
      <c r="N355" t="str">
        <f>"Rtcb"</f>
        <v>Rtcb</v>
      </c>
      <c r="O355" s="3" t="str">
        <f>HYPERLINK("http://www.informatics.jax.org/marker/MGI:106379", "MGI:106379")</f>
        <v>MGI:106379</v>
      </c>
      <c r="P355" t="s">
        <v>4385</v>
      </c>
      <c r="Q355" t="s">
        <v>4386</v>
      </c>
      <c r="R355" t="s">
        <v>40</v>
      </c>
      <c r="S355" t="s">
        <v>32</v>
      </c>
      <c r="T355" t="s">
        <v>32</v>
      </c>
      <c r="U355" t="s">
        <v>32</v>
      </c>
      <c r="V355" t="s">
        <v>32</v>
      </c>
      <c r="W355" t="s">
        <v>4387</v>
      </c>
      <c r="X355" t="s">
        <v>1022</v>
      </c>
      <c r="Y355" t="s">
        <v>1007</v>
      </c>
      <c r="Z355" t="s">
        <v>32</v>
      </c>
      <c r="AA355" t="s">
        <v>4388</v>
      </c>
      <c r="AB355" t="s">
        <v>4389</v>
      </c>
      <c r="AC355" t="s">
        <v>4390</v>
      </c>
      <c r="AD355" t="s">
        <v>32</v>
      </c>
      <c r="AE355" t="s">
        <v>32</v>
      </c>
      <c r="AF355" t="s">
        <v>46835</v>
      </c>
    </row>
    <row r="356" spans="1:33" x14ac:dyDescent="0.2">
      <c r="A356">
        <v>351</v>
      </c>
      <c r="B356" t="s">
        <v>4391</v>
      </c>
      <c r="C356" t="s">
        <v>47181</v>
      </c>
      <c r="D356" t="s">
        <v>32</v>
      </c>
      <c r="E356" t="s">
        <v>46848</v>
      </c>
      <c r="F356" t="s">
        <v>46847</v>
      </c>
      <c r="G356" t="s">
        <v>32</v>
      </c>
      <c r="H356" t="s">
        <v>47312</v>
      </c>
      <c r="I356" t="s">
        <v>32</v>
      </c>
      <c r="J356" t="s">
        <v>37</v>
      </c>
      <c r="K356">
        <v>10090</v>
      </c>
      <c r="L356" s="3" t="str">
        <f>HYPERLINK(CONCATENATE("https://www.uniprot.org/uniprotkb/", AG356, "/entry"), AG356)</f>
        <v>E9QA15</v>
      </c>
      <c r="M356" t="s">
        <v>32</v>
      </c>
      <c r="N356" t="s">
        <v>32</v>
      </c>
      <c r="O356" s="3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t="s">
        <v>32</v>
      </c>
      <c r="Z356" t="s">
        <v>32</v>
      </c>
      <c r="AA356" t="s">
        <v>32</v>
      </c>
      <c r="AB356" t="s">
        <v>32</v>
      </c>
      <c r="AC356" t="s">
        <v>32</v>
      </c>
      <c r="AD356" t="s">
        <v>32</v>
      </c>
      <c r="AE356" t="s">
        <v>32</v>
      </c>
      <c r="AF356" t="s">
        <v>46835</v>
      </c>
      <c r="AG356" t="s">
        <v>46847</v>
      </c>
    </row>
    <row r="357" spans="1:33" x14ac:dyDescent="0.2">
      <c r="A357">
        <v>352</v>
      </c>
      <c r="B357" t="s">
        <v>4392</v>
      </c>
      <c r="C357" t="s">
        <v>4393</v>
      </c>
      <c r="D357" t="s">
        <v>4394</v>
      </c>
      <c r="E357" t="s">
        <v>4395</v>
      </c>
      <c r="F357" t="s">
        <v>4396</v>
      </c>
      <c r="G357" t="s">
        <v>4397</v>
      </c>
      <c r="H357" t="str">
        <f>"Slc25a5"</f>
        <v>Slc25a5</v>
      </c>
      <c r="I357" t="s">
        <v>32</v>
      </c>
      <c r="J357" t="s">
        <v>37</v>
      </c>
      <c r="K357">
        <v>10090</v>
      </c>
      <c r="L357" s="3" t="str">
        <f>HYPERLINK("http://www.uniprot.org/uniprot/P51881", "P51881")</f>
        <v>P51881</v>
      </c>
      <c r="M357" t="s">
        <v>4398</v>
      </c>
      <c r="N357" t="str">
        <f>"Slc25a5"</f>
        <v>Slc25a5</v>
      </c>
      <c r="O357" s="3" t="str">
        <f>HYPERLINK("http://www.informatics.jax.org/marker/MGI:1353496", "MGI:1353496")</f>
        <v>MGI:1353496</v>
      </c>
      <c r="P357" t="s">
        <v>4399</v>
      </c>
      <c r="Q357" t="s">
        <v>4400</v>
      </c>
      <c r="R357" t="s">
        <v>3858</v>
      </c>
      <c r="S357" t="s">
        <v>32</v>
      </c>
      <c r="T357" t="s">
        <v>32</v>
      </c>
      <c r="U357" t="s">
        <v>32</v>
      </c>
      <c r="V357" t="s">
        <v>1620</v>
      </c>
      <c r="W357" t="s">
        <v>32</v>
      </c>
      <c r="X357" t="s">
        <v>32</v>
      </c>
      <c r="Y357" t="s">
        <v>97</v>
      </c>
      <c r="Z357" t="s">
        <v>32</v>
      </c>
      <c r="AA357" t="s">
        <v>4401</v>
      </c>
      <c r="AB357" t="s">
        <v>4402</v>
      </c>
      <c r="AC357" t="s">
        <v>4403</v>
      </c>
      <c r="AD357" t="s">
        <v>32</v>
      </c>
      <c r="AE357" t="s">
        <v>4404</v>
      </c>
      <c r="AF357" t="s">
        <v>46835</v>
      </c>
    </row>
    <row r="358" spans="1:33" x14ac:dyDescent="0.2">
      <c r="A358">
        <v>353</v>
      </c>
      <c r="B358" t="s">
        <v>4405</v>
      </c>
      <c r="C358" t="s">
        <v>4406</v>
      </c>
      <c r="D358" t="s">
        <v>4407</v>
      </c>
      <c r="E358" t="s">
        <v>4408</v>
      </c>
      <c r="F358" t="s">
        <v>4409</v>
      </c>
      <c r="G358" t="s">
        <v>4410</v>
      </c>
      <c r="H358" t="str">
        <f>"Glrx3"</f>
        <v>Glrx3</v>
      </c>
      <c r="I358" t="s">
        <v>4411</v>
      </c>
      <c r="J358" t="s">
        <v>37</v>
      </c>
      <c r="K358">
        <v>10090</v>
      </c>
      <c r="L358" s="3" t="str">
        <f>HYPERLINK("http://www.uniprot.org/uniprot/Q9CQM9", "Q9CQM9")</f>
        <v>Q9CQM9</v>
      </c>
      <c r="M358" t="s">
        <v>4412</v>
      </c>
      <c r="N358" t="str">
        <f>"Glrx3"</f>
        <v>Glrx3</v>
      </c>
      <c r="O358" s="3" t="str">
        <f>HYPERLINK("http://www.informatics.jax.org/marker/MGI:1353653", "MGI:1353653")</f>
        <v>MGI:1353653</v>
      </c>
      <c r="P358" t="s">
        <v>4413</v>
      </c>
      <c r="Q358" t="s">
        <v>32</v>
      </c>
      <c r="R358" t="s">
        <v>418</v>
      </c>
      <c r="S358" t="s">
        <v>32</v>
      </c>
      <c r="T358" t="s">
        <v>32</v>
      </c>
      <c r="U358" t="s">
        <v>32</v>
      </c>
      <c r="V358" t="s">
        <v>55</v>
      </c>
      <c r="W358" t="s">
        <v>4414</v>
      </c>
      <c r="X358" t="s">
        <v>32</v>
      </c>
      <c r="Y358" t="s">
        <v>157</v>
      </c>
      <c r="Z358" t="s">
        <v>126</v>
      </c>
      <c r="AA358" t="s">
        <v>4415</v>
      </c>
      <c r="AB358" t="s">
        <v>4416</v>
      </c>
      <c r="AC358" t="s">
        <v>4417</v>
      </c>
      <c r="AD358" t="s">
        <v>32</v>
      </c>
      <c r="AE358" t="s">
        <v>32</v>
      </c>
      <c r="AF358" t="s">
        <v>46835</v>
      </c>
    </row>
    <row r="359" spans="1:33" x14ac:dyDescent="0.2">
      <c r="A359">
        <v>354</v>
      </c>
      <c r="B359" t="s">
        <v>4418</v>
      </c>
      <c r="C359" t="s">
        <v>4419</v>
      </c>
      <c r="D359" t="s">
        <v>4420</v>
      </c>
      <c r="E359" t="s">
        <v>4421</v>
      </c>
      <c r="F359" t="s">
        <v>4422</v>
      </c>
      <c r="G359" t="s">
        <v>32</v>
      </c>
      <c r="H359" t="str">
        <f>"Dbi"</f>
        <v>Dbi</v>
      </c>
      <c r="I359" t="s">
        <v>32</v>
      </c>
      <c r="J359" t="s">
        <v>37</v>
      </c>
      <c r="K359">
        <v>10090</v>
      </c>
      <c r="L359" s="3" t="str">
        <f>HYPERLINK("http://www.uniprot.org/uniprot/P31786", "P31786")</f>
        <v>P31786</v>
      </c>
      <c r="M359" t="s">
        <v>4423</v>
      </c>
      <c r="N359" t="str">
        <f>"Dbi"</f>
        <v>Dbi</v>
      </c>
      <c r="O359" s="3" t="str">
        <f>HYPERLINK("http://www.informatics.jax.org/marker/MGI:94865", "MGI:94865")</f>
        <v>MGI:94865</v>
      </c>
      <c r="P359" t="s">
        <v>4424</v>
      </c>
      <c r="Q359" t="s">
        <v>4425</v>
      </c>
      <c r="R359" t="s">
        <v>4315</v>
      </c>
      <c r="S359" t="s">
        <v>32</v>
      </c>
      <c r="T359" t="s">
        <v>32</v>
      </c>
      <c r="U359" t="s">
        <v>32</v>
      </c>
      <c r="V359" t="s">
        <v>32</v>
      </c>
      <c r="W359" t="s">
        <v>584</v>
      </c>
      <c r="X359" t="s">
        <v>32</v>
      </c>
      <c r="Y359" t="s">
        <v>420</v>
      </c>
      <c r="Z359" t="s">
        <v>32</v>
      </c>
      <c r="AA359" t="s">
        <v>4426</v>
      </c>
      <c r="AB359" t="s">
        <v>4427</v>
      </c>
      <c r="AC359" t="s">
        <v>4428</v>
      </c>
      <c r="AD359" t="s">
        <v>32</v>
      </c>
      <c r="AE359" t="s">
        <v>4429</v>
      </c>
      <c r="AF359" t="s">
        <v>46835</v>
      </c>
    </row>
    <row r="360" spans="1:33" x14ac:dyDescent="0.2">
      <c r="A360">
        <v>355</v>
      </c>
      <c r="B360" t="s">
        <v>4430</v>
      </c>
      <c r="C360" t="s">
        <v>4431</v>
      </c>
      <c r="D360" t="s">
        <v>4432</v>
      </c>
      <c r="E360" t="s">
        <v>4433</v>
      </c>
      <c r="F360" t="s">
        <v>4434</v>
      </c>
      <c r="G360" t="s">
        <v>4435</v>
      </c>
      <c r="H360" t="str">
        <f>"Lgals1"</f>
        <v>Lgals1</v>
      </c>
      <c r="I360" t="s">
        <v>4436</v>
      </c>
      <c r="J360" t="s">
        <v>37</v>
      </c>
      <c r="K360">
        <v>10090</v>
      </c>
      <c r="L360" s="3" t="str">
        <f>HYPERLINK("http://www.uniprot.org/uniprot/P16045", "P16045")</f>
        <v>P16045</v>
      </c>
      <c r="M360" t="s">
        <v>4437</v>
      </c>
      <c r="N360" t="str">
        <f>"Lgals1"</f>
        <v>Lgals1</v>
      </c>
      <c r="O360" s="3" t="str">
        <f>HYPERLINK("http://www.informatics.jax.org/marker/MGI:96777", "MGI:96777")</f>
        <v>MGI:96777</v>
      </c>
      <c r="P360" t="s">
        <v>4438</v>
      </c>
      <c r="Q360" t="s">
        <v>541</v>
      </c>
      <c r="R360" t="s">
        <v>4439</v>
      </c>
      <c r="S360" t="s">
        <v>32</v>
      </c>
      <c r="T360" t="s">
        <v>32</v>
      </c>
      <c r="U360" t="s">
        <v>32</v>
      </c>
      <c r="V360" t="s">
        <v>32</v>
      </c>
      <c r="W360" t="s">
        <v>4440</v>
      </c>
      <c r="X360" t="s">
        <v>32</v>
      </c>
      <c r="Y360" t="s">
        <v>157</v>
      </c>
      <c r="Z360" t="s">
        <v>126</v>
      </c>
      <c r="AA360" t="s">
        <v>4441</v>
      </c>
      <c r="AB360" t="s">
        <v>4442</v>
      </c>
      <c r="AC360" t="s">
        <v>4443</v>
      </c>
      <c r="AD360" t="s">
        <v>32</v>
      </c>
      <c r="AE360" t="s">
        <v>636</v>
      </c>
      <c r="AF360" t="s">
        <v>46835</v>
      </c>
    </row>
    <row r="361" spans="1:33" x14ac:dyDescent="0.2">
      <c r="A361">
        <v>356</v>
      </c>
      <c r="B361" t="s">
        <v>4444</v>
      </c>
      <c r="C361" t="s">
        <v>4445</v>
      </c>
      <c r="D361" t="s">
        <v>32</v>
      </c>
      <c r="E361" t="s">
        <v>4446</v>
      </c>
      <c r="F361" t="s">
        <v>4447</v>
      </c>
      <c r="G361" t="s">
        <v>4448</v>
      </c>
      <c r="H361" t="str">
        <f>"Ggct"</f>
        <v>Ggct</v>
      </c>
      <c r="I361" t="s">
        <v>32</v>
      </c>
      <c r="J361" t="s">
        <v>37</v>
      </c>
      <c r="K361">
        <v>10090</v>
      </c>
      <c r="L361" s="3" t="str">
        <f>HYPERLINK("http://www.uniprot.org/uniprot/Q9D7X8", "Q9D7X8")</f>
        <v>Q9D7X8</v>
      </c>
      <c r="M361" t="s">
        <v>4449</v>
      </c>
      <c r="N361" t="str">
        <f>"Ggct"</f>
        <v>Ggct</v>
      </c>
      <c r="O361" s="3" t="str">
        <f>HYPERLINK("http://www.informatics.jax.org/marker/MGI:95700", "MGI:95700")</f>
        <v>MGI:95700</v>
      </c>
      <c r="P361" t="s">
        <v>4450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224</v>
      </c>
      <c r="Y361" t="s">
        <v>618</v>
      </c>
      <c r="Z361" t="s">
        <v>32</v>
      </c>
      <c r="AA361" t="s">
        <v>4451</v>
      </c>
      <c r="AB361" t="s">
        <v>1268</v>
      </c>
      <c r="AC361" t="s">
        <v>4452</v>
      </c>
      <c r="AD361" t="s">
        <v>32</v>
      </c>
      <c r="AE361" t="s">
        <v>1271</v>
      </c>
      <c r="AF361" t="s">
        <v>46835</v>
      </c>
    </row>
    <row r="362" spans="1:33" x14ac:dyDescent="0.2">
      <c r="A362">
        <v>357</v>
      </c>
      <c r="B362" t="s">
        <v>4453</v>
      </c>
      <c r="C362" t="s">
        <v>4454</v>
      </c>
      <c r="D362" t="s">
        <v>4455</v>
      </c>
      <c r="E362" t="s">
        <v>4456</v>
      </c>
      <c r="F362" t="s">
        <v>4457</v>
      </c>
      <c r="G362" t="s">
        <v>32</v>
      </c>
      <c r="H362" t="str">
        <f>"Kars1"</f>
        <v>Kars1</v>
      </c>
      <c r="I362" t="s">
        <v>32</v>
      </c>
      <c r="J362" t="s">
        <v>37</v>
      </c>
      <c r="K362">
        <v>10090</v>
      </c>
      <c r="L362" s="3" t="str">
        <f>HYPERLINK("http://www.uniprot.org/uniprot/Q99MN1", "Q99MN1")</f>
        <v>Q99MN1</v>
      </c>
      <c r="M362" t="s">
        <v>4458</v>
      </c>
      <c r="N362" t="str">
        <f>"Kars"</f>
        <v>Kars</v>
      </c>
      <c r="O362" s="3" t="str">
        <f>HYPERLINK("http://www.informatics.jax.org/marker/MGI:1934754", "MGI:1934754")</f>
        <v>MGI:1934754</v>
      </c>
      <c r="P362" t="s">
        <v>4459</v>
      </c>
      <c r="Q362" t="s">
        <v>260</v>
      </c>
      <c r="R362" t="s">
        <v>387</v>
      </c>
      <c r="S362" t="s">
        <v>32</v>
      </c>
      <c r="T362" t="s">
        <v>32</v>
      </c>
      <c r="U362" t="s">
        <v>32</v>
      </c>
      <c r="V362" t="s">
        <v>32</v>
      </c>
      <c r="W362" t="s">
        <v>205</v>
      </c>
      <c r="X362" t="s">
        <v>4460</v>
      </c>
      <c r="Y362" t="s">
        <v>157</v>
      </c>
      <c r="Z362" t="s">
        <v>32</v>
      </c>
      <c r="AA362" t="s">
        <v>4461</v>
      </c>
      <c r="AB362" t="s">
        <v>4462</v>
      </c>
      <c r="AC362" t="s">
        <v>4463</v>
      </c>
      <c r="AD362" t="s">
        <v>32</v>
      </c>
      <c r="AE362" t="s">
        <v>32</v>
      </c>
      <c r="AF362" t="s">
        <v>46835</v>
      </c>
    </row>
    <row r="363" spans="1:33" x14ac:dyDescent="0.2">
      <c r="A363">
        <v>358</v>
      </c>
      <c r="B363" t="s">
        <v>4464</v>
      </c>
      <c r="C363" t="s">
        <v>4465</v>
      </c>
      <c r="D363" t="s">
        <v>4466</v>
      </c>
      <c r="E363" t="s">
        <v>4467</v>
      </c>
      <c r="F363" t="s">
        <v>4468</v>
      </c>
      <c r="G363" t="s">
        <v>32</v>
      </c>
      <c r="H363" t="str">
        <f>"Grifin"</f>
        <v>Grifin</v>
      </c>
      <c r="I363" t="s">
        <v>32</v>
      </c>
      <c r="J363" t="s">
        <v>37</v>
      </c>
      <c r="K363">
        <v>10090</v>
      </c>
      <c r="L363" s="3" t="str">
        <f>HYPERLINK("http://www.uniprot.org/uniprot/Q9D1U0", "Q9D1U0")</f>
        <v>Q9D1U0</v>
      </c>
      <c r="M363" t="s">
        <v>4469</v>
      </c>
      <c r="N363" t="str">
        <f>"Grifin"</f>
        <v>Grifin</v>
      </c>
      <c r="O363" s="3" t="str">
        <f>HYPERLINK("http://www.informatics.jax.org/marker/MGI:1925248", "MGI:1925248")</f>
        <v>MGI:1925248</v>
      </c>
      <c r="P363" t="s">
        <v>4470</v>
      </c>
      <c r="Q363" t="s">
        <v>32</v>
      </c>
      <c r="R363" t="s">
        <v>32</v>
      </c>
      <c r="S363" t="s">
        <v>32</v>
      </c>
      <c r="T363" t="s">
        <v>32</v>
      </c>
      <c r="U363" t="s">
        <v>32</v>
      </c>
      <c r="V363" t="s">
        <v>32</v>
      </c>
      <c r="W363" t="s">
        <v>4440</v>
      </c>
      <c r="X363" t="s">
        <v>32</v>
      </c>
      <c r="Y363" t="s">
        <v>618</v>
      </c>
      <c r="Z363" t="s">
        <v>32</v>
      </c>
      <c r="AA363" t="s">
        <v>32</v>
      </c>
      <c r="AB363" t="s">
        <v>2172</v>
      </c>
      <c r="AC363" t="s">
        <v>4471</v>
      </c>
      <c r="AD363" t="s">
        <v>32</v>
      </c>
      <c r="AE363" t="s">
        <v>32</v>
      </c>
      <c r="AF363" t="s">
        <v>46835</v>
      </c>
    </row>
    <row r="364" spans="1:33" x14ac:dyDescent="0.2">
      <c r="A364">
        <v>359</v>
      </c>
      <c r="B364" t="s">
        <v>4472</v>
      </c>
      <c r="C364" t="s">
        <v>4473</v>
      </c>
      <c r="D364" t="s">
        <v>4474</v>
      </c>
      <c r="E364" t="s">
        <v>4475</v>
      </c>
      <c r="F364" t="s">
        <v>4476</v>
      </c>
      <c r="G364" t="s">
        <v>4477</v>
      </c>
      <c r="H364" t="str">
        <f>"Slc25a4"</f>
        <v>Slc25a4</v>
      </c>
      <c r="I364" t="s">
        <v>32</v>
      </c>
      <c r="J364" t="s">
        <v>37</v>
      </c>
      <c r="K364">
        <v>10090</v>
      </c>
      <c r="L364" s="3" t="str">
        <f>HYPERLINK("http://www.uniprot.org/uniprot/P48962", "P48962")</f>
        <v>P48962</v>
      </c>
      <c r="M364" t="s">
        <v>4478</v>
      </c>
      <c r="N364" t="str">
        <f>"Slc25a4"</f>
        <v>Slc25a4</v>
      </c>
      <c r="O364" s="3" t="str">
        <f>HYPERLINK("http://www.informatics.jax.org/marker/MGI:1353495", "MGI:1353495")</f>
        <v>MGI:1353495</v>
      </c>
      <c r="P364" t="s">
        <v>4479</v>
      </c>
      <c r="Q364" t="s">
        <v>4480</v>
      </c>
      <c r="R364" t="s">
        <v>3858</v>
      </c>
      <c r="S364" t="s">
        <v>32</v>
      </c>
      <c r="T364" t="s">
        <v>32</v>
      </c>
      <c r="U364" t="s">
        <v>32</v>
      </c>
      <c r="V364" t="s">
        <v>1620</v>
      </c>
      <c r="W364" t="s">
        <v>32</v>
      </c>
      <c r="X364" t="s">
        <v>32</v>
      </c>
      <c r="Y364" t="s">
        <v>3630</v>
      </c>
      <c r="Z364" t="s">
        <v>32</v>
      </c>
      <c r="AA364" t="s">
        <v>4481</v>
      </c>
      <c r="AB364" t="s">
        <v>4482</v>
      </c>
      <c r="AC364" t="s">
        <v>4483</v>
      </c>
      <c r="AD364" t="s">
        <v>32</v>
      </c>
      <c r="AE364" t="s">
        <v>4404</v>
      </c>
      <c r="AF364" t="s">
        <v>46835</v>
      </c>
    </row>
    <row r="365" spans="1:33" x14ac:dyDescent="0.2">
      <c r="A365">
        <v>360</v>
      </c>
      <c r="B365" t="s">
        <v>4484</v>
      </c>
      <c r="C365" t="s">
        <v>4485</v>
      </c>
      <c r="D365" t="s">
        <v>4486</v>
      </c>
      <c r="E365" t="s">
        <v>4487</v>
      </c>
      <c r="F365" t="s">
        <v>4488</v>
      </c>
      <c r="G365" t="s">
        <v>4489</v>
      </c>
      <c r="H365" t="str">
        <f>"Prep"</f>
        <v>Prep</v>
      </c>
      <c r="I365" t="s">
        <v>4490</v>
      </c>
      <c r="J365" t="s">
        <v>37</v>
      </c>
      <c r="K365">
        <v>10090</v>
      </c>
      <c r="L365" s="3" t="str">
        <f>HYPERLINK("http://www.uniprot.org/uniprot/Q9QUR6", "Q9QUR6")</f>
        <v>Q9QUR6</v>
      </c>
      <c r="M365" t="s">
        <v>4491</v>
      </c>
      <c r="N365" t="str">
        <f>"Prep"</f>
        <v>Prep</v>
      </c>
      <c r="O365" s="3" t="str">
        <f>HYPERLINK("http://www.informatics.jax.org/marker/MGI:1270863", "MGI:1270863")</f>
        <v>MGI:1270863</v>
      </c>
      <c r="P365" t="s">
        <v>4492</v>
      </c>
      <c r="Q365" t="s">
        <v>32</v>
      </c>
      <c r="R365" t="s">
        <v>418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4493</v>
      </c>
      <c r="Y365" t="s">
        <v>78</v>
      </c>
      <c r="Z365" t="s">
        <v>32</v>
      </c>
      <c r="AA365" t="s">
        <v>4494</v>
      </c>
      <c r="AB365" t="s">
        <v>4218</v>
      </c>
      <c r="AC365" t="s">
        <v>4495</v>
      </c>
      <c r="AD365" t="s">
        <v>32</v>
      </c>
      <c r="AE365" t="s">
        <v>32</v>
      </c>
      <c r="AF365" t="s">
        <v>46835</v>
      </c>
    </row>
    <row r="366" spans="1:33" x14ac:dyDescent="0.2">
      <c r="A366">
        <v>361</v>
      </c>
      <c r="B366" t="s">
        <v>4496</v>
      </c>
      <c r="C366" t="s">
        <v>4497</v>
      </c>
      <c r="D366" t="s">
        <v>4498</v>
      </c>
      <c r="E366" t="s">
        <v>4499</v>
      </c>
      <c r="F366" t="s">
        <v>4500</v>
      </c>
      <c r="G366" t="s">
        <v>4501</v>
      </c>
      <c r="H366" t="str">
        <f>"Vcl"</f>
        <v>Vcl</v>
      </c>
      <c r="I366" t="s">
        <v>32</v>
      </c>
      <c r="J366" t="s">
        <v>37</v>
      </c>
      <c r="K366">
        <v>10090</v>
      </c>
      <c r="L366" s="3" t="str">
        <f>HYPERLINK("http://www.uniprot.org/uniprot/Q64727", "Q64727")</f>
        <v>Q64727</v>
      </c>
      <c r="M366" t="s">
        <v>4502</v>
      </c>
      <c r="N366" t="str">
        <f>"Vcl"</f>
        <v>Vcl</v>
      </c>
      <c r="O366" s="3" t="str">
        <f>HYPERLINK("http://www.informatics.jax.org/marker/MGI:98927", "MGI:98927")</f>
        <v>MGI:98927</v>
      </c>
      <c r="P366" t="s">
        <v>4503</v>
      </c>
      <c r="Q366" t="s">
        <v>2784</v>
      </c>
      <c r="R366" t="s">
        <v>3015</v>
      </c>
      <c r="S366" t="s">
        <v>32</v>
      </c>
      <c r="T366" t="s">
        <v>32</v>
      </c>
      <c r="U366" t="s">
        <v>32</v>
      </c>
      <c r="V366" t="s">
        <v>55</v>
      </c>
      <c r="W366" t="s">
        <v>32</v>
      </c>
      <c r="X366" t="s">
        <v>405</v>
      </c>
      <c r="Y366" t="s">
        <v>3079</v>
      </c>
      <c r="Z366" t="s">
        <v>126</v>
      </c>
      <c r="AA366" t="s">
        <v>4504</v>
      </c>
      <c r="AB366" t="s">
        <v>4505</v>
      </c>
      <c r="AC366" t="s">
        <v>4506</v>
      </c>
      <c r="AD366" t="s">
        <v>32</v>
      </c>
      <c r="AE366" t="s">
        <v>4507</v>
      </c>
      <c r="AF366" t="s">
        <v>46835</v>
      </c>
    </row>
    <row r="367" spans="1:33" x14ac:dyDescent="0.2">
      <c r="A367">
        <v>362</v>
      </c>
      <c r="B367" t="s">
        <v>4508</v>
      </c>
      <c r="C367" t="s">
        <v>4509</v>
      </c>
      <c r="D367" t="s">
        <v>4510</v>
      </c>
      <c r="E367" t="s">
        <v>4511</v>
      </c>
      <c r="F367" t="s">
        <v>4512</v>
      </c>
      <c r="G367" t="s">
        <v>32</v>
      </c>
      <c r="H367" t="str">
        <f>"Psma7"</f>
        <v>Psma7</v>
      </c>
      <c r="I367" t="s">
        <v>32</v>
      </c>
      <c r="J367" t="s">
        <v>37</v>
      </c>
      <c r="K367">
        <v>10090</v>
      </c>
      <c r="L367" s="3" t="str">
        <f>HYPERLINK("http://www.uniprot.org/uniprot/Q9Z2U0", "Q9Z2U0")</f>
        <v>Q9Z2U0</v>
      </c>
      <c r="M367" t="s">
        <v>4513</v>
      </c>
      <c r="N367" t="str">
        <f>"Psma7"</f>
        <v>Psma7</v>
      </c>
      <c r="O367" s="3" t="str">
        <f>HYPERLINK("http://www.informatics.jax.org/marker/MGI:1347070", "MGI:1347070")</f>
        <v>MGI:1347070</v>
      </c>
      <c r="P367" t="s">
        <v>4514</v>
      </c>
      <c r="Q367" t="s">
        <v>32</v>
      </c>
      <c r="R367" t="s">
        <v>2586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t="s">
        <v>372</v>
      </c>
      <c r="Z367" t="s">
        <v>126</v>
      </c>
      <c r="AA367" t="s">
        <v>3141</v>
      </c>
      <c r="AB367" t="s">
        <v>4515</v>
      </c>
      <c r="AC367" t="s">
        <v>4516</v>
      </c>
      <c r="AD367" t="s">
        <v>32</v>
      </c>
      <c r="AE367" t="s">
        <v>2774</v>
      </c>
      <c r="AF367" t="s">
        <v>46835</v>
      </c>
    </row>
    <row r="368" spans="1:33" x14ac:dyDescent="0.2">
      <c r="A368">
        <v>363</v>
      </c>
      <c r="B368" t="s">
        <v>4517</v>
      </c>
      <c r="C368" t="s">
        <v>4518</v>
      </c>
      <c r="D368" t="s">
        <v>4519</v>
      </c>
      <c r="E368" t="s">
        <v>4520</v>
      </c>
      <c r="F368" t="s">
        <v>4521</v>
      </c>
      <c r="G368" t="s">
        <v>32</v>
      </c>
      <c r="H368" t="str">
        <f>"Cox5b"</f>
        <v>Cox5b</v>
      </c>
      <c r="I368" t="s">
        <v>32</v>
      </c>
      <c r="J368" t="s">
        <v>37</v>
      </c>
      <c r="K368">
        <v>10090</v>
      </c>
      <c r="L368" s="3" t="str">
        <f>HYPERLINK("http://www.uniprot.org/uniprot/P19536", "P19536")</f>
        <v>P19536</v>
      </c>
      <c r="M368" t="s">
        <v>4522</v>
      </c>
      <c r="N368" t="str">
        <f>"Cox5b"</f>
        <v>Cox5b</v>
      </c>
      <c r="O368" s="3" t="str">
        <f>HYPERLINK("http://www.informatics.jax.org/marker/MGI:88475", "MGI:88475")</f>
        <v>MGI:88475</v>
      </c>
      <c r="P368" t="s">
        <v>4523</v>
      </c>
      <c r="Q368" t="s">
        <v>32</v>
      </c>
      <c r="R368" t="s">
        <v>3858</v>
      </c>
      <c r="S368" t="s">
        <v>32</v>
      </c>
      <c r="T368" t="s">
        <v>32</v>
      </c>
      <c r="U368" t="s">
        <v>32</v>
      </c>
      <c r="V368" t="s">
        <v>1039</v>
      </c>
      <c r="W368" t="s">
        <v>42</v>
      </c>
      <c r="X368" t="s">
        <v>32</v>
      </c>
      <c r="Y368" t="s">
        <v>78</v>
      </c>
      <c r="Z368" t="s">
        <v>126</v>
      </c>
      <c r="AA368" t="s">
        <v>3860</v>
      </c>
      <c r="AB368" t="s">
        <v>4524</v>
      </c>
      <c r="AC368" t="s">
        <v>4525</v>
      </c>
      <c r="AD368" t="s">
        <v>3862</v>
      </c>
      <c r="AE368" t="s">
        <v>3863</v>
      </c>
      <c r="AF368" t="s">
        <v>46835</v>
      </c>
    </row>
    <row r="369" spans="1:32" x14ac:dyDescent="0.2">
      <c r="A369">
        <v>364</v>
      </c>
      <c r="B369" t="s">
        <v>4526</v>
      </c>
      <c r="C369" t="s">
        <v>4527</v>
      </c>
      <c r="D369" t="s">
        <v>32</v>
      </c>
      <c r="E369" t="s">
        <v>4528</v>
      </c>
      <c r="F369" t="s">
        <v>4529</v>
      </c>
      <c r="G369" t="s">
        <v>4530</v>
      </c>
      <c r="H369" t="str">
        <f>"Ywhag"</f>
        <v>Ywhag</v>
      </c>
      <c r="I369" t="s">
        <v>32</v>
      </c>
      <c r="J369" t="s">
        <v>37</v>
      </c>
      <c r="K369">
        <v>10090</v>
      </c>
      <c r="L369" s="3" t="str">
        <f>HYPERLINK("http://www.uniprot.org/uniprot/P61982", "P61982")</f>
        <v>P61982</v>
      </c>
      <c r="M369" t="s">
        <v>4531</v>
      </c>
      <c r="N369" t="str">
        <f>"Ywhag"</f>
        <v>Ywhag</v>
      </c>
      <c r="O369" s="3" t="str">
        <f>HYPERLINK("http://www.informatics.jax.org/marker/MGI:108109", "MGI:108109")</f>
        <v>MGI:108109</v>
      </c>
      <c r="P369" t="s">
        <v>4532</v>
      </c>
      <c r="Q369" t="s">
        <v>32</v>
      </c>
      <c r="R369" t="s">
        <v>418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32</v>
      </c>
      <c r="Y369" t="s">
        <v>157</v>
      </c>
      <c r="Z369" t="s">
        <v>32</v>
      </c>
      <c r="AA369" t="s">
        <v>4533</v>
      </c>
      <c r="AB369" t="s">
        <v>4534</v>
      </c>
      <c r="AC369" t="s">
        <v>4535</v>
      </c>
      <c r="AD369" t="s">
        <v>32</v>
      </c>
      <c r="AE369" t="s">
        <v>4536</v>
      </c>
      <c r="AF369" t="s">
        <v>46835</v>
      </c>
    </row>
    <row r="370" spans="1:32" x14ac:dyDescent="0.2">
      <c r="A370">
        <v>365</v>
      </c>
      <c r="B370" t="s">
        <v>4537</v>
      </c>
      <c r="C370" t="s">
        <v>4538</v>
      </c>
      <c r="D370" t="s">
        <v>4539</v>
      </c>
      <c r="E370" t="s">
        <v>4540</v>
      </c>
      <c r="F370" t="s">
        <v>4541</v>
      </c>
      <c r="G370" t="s">
        <v>4542</v>
      </c>
      <c r="H370" t="str">
        <f>"Kif1a"</f>
        <v>Kif1a</v>
      </c>
      <c r="I370" t="s">
        <v>4543</v>
      </c>
      <c r="J370" t="s">
        <v>37</v>
      </c>
      <c r="K370">
        <v>10090</v>
      </c>
      <c r="L370" s="3" t="str">
        <f>HYPERLINK("http://www.uniprot.org/uniprot/P33173", "P33173")</f>
        <v>P33173</v>
      </c>
      <c r="M370" t="s">
        <v>4544</v>
      </c>
      <c r="N370" t="str">
        <f>"Kif1a"</f>
        <v>Kif1a</v>
      </c>
      <c r="O370" s="3" t="str">
        <f>HYPERLINK("http://www.informatics.jax.org/marker/MGI:108391", "MGI:108391")</f>
        <v>MGI:108391</v>
      </c>
      <c r="P370" t="s">
        <v>4545</v>
      </c>
      <c r="Q370" t="s">
        <v>32</v>
      </c>
      <c r="R370" t="s">
        <v>4546</v>
      </c>
      <c r="S370" t="s">
        <v>32</v>
      </c>
      <c r="T370" t="s">
        <v>32</v>
      </c>
      <c r="U370" t="s">
        <v>32</v>
      </c>
      <c r="V370" t="s">
        <v>290</v>
      </c>
      <c r="W370" t="s">
        <v>205</v>
      </c>
      <c r="X370" t="s">
        <v>830</v>
      </c>
      <c r="Y370" t="s">
        <v>618</v>
      </c>
      <c r="Z370" t="s">
        <v>126</v>
      </c>
      <c r="AA370" t="s">
        <v>4547</v>
      </c>
      <c r="AB370" t="s">
        <v>4548</v>
      </c>
      <c r="AC370" t="s">
        <v>4549</v>
      </c>
      <c r="AD370" t="s">
        <v>32</v>
      </c>
      <c r="AE370" t="s">
        <v>4550</v>
      </c>
      <c r="AF370" t="s">
        <v>46835</v>
      </c>
    </row>
    <row r="371" spans="1:32" x14ac:dyDescent="0.2">
      <c r="A371">
        <v>366</v>
      </c>
      <c r="B371" t="s">
        <v>4551</v>
      </c>
      <c r="C371" t="s">
        <v>4552</v>
      </c>
      <c r="D371" t="s">
        <v>32</v>
      </c>
      <c r="E371" t="s">
        <v>4553</v>
      </c>
      <c r="F371" t="s">
        <v>4554</v>
      </c>
      <c r="G371" t="s">
        <v>4555</v>
      </c>
      <c r="H371" t="str">
        <f>"Nasp"</f>
        <v>Nasp</v>
      </c>
      <c r="I371" t="s">
        <v>32</v>
      </c>
      <c r="J371" t="s">
        <v>37</v>
      </c>
      <c r="K371">
        <v>10090</v>
      </c>
      <c r="L371" s="3" t="str">
        <f>HYPERLINK("http://www.uniprot.org/uniprot/Q99MD9", "Q99MD9")</f>
        <v>Q99MD9</v>
      </c>
      <c r="M371" t="s">
        <v>4556</v>
      </c>
      <c r="N371" t="str">
        <f>"Nasp"</f>
        <v>Nasp</v>
      </c>
      <c r="O371" s="3" t="str">
        <f>HYPERLINK("http://www.informatics.jax.org/marker/MGI:1355328", "MGI:1355328")</f>
        <v>MGI:1355328</v>
      </c>
      <c r="P371" t="s">
        <v>4557</v>
      </c>
      <c r="Q371" t="s">
        <v>4558</v>
      </c>
      <c r="R371" t="s">
        <v>40</v>
      </c>
      <c r="S371" t="s">
        <v>41</v>
      </c>
      <c r="T371" t="s">
        <v>32</v>
      </c>
      <c r="U371" t="s">
        <v>32</v>
      </c>
      <c r="V371" t="s">
        <v>4559</v>
      </c>
      <c r="W371" t="s">
        <v>32</v>
      </c>
      <c r="X371" t="s">
        <v>32</v>
      </c>
      <c r="Y371" t="s">
        <v>516</v>
      </c>
      <c r="Z371" t="s">
        <v>32</v>
      </c>
      <c r="AA371" t="s">
        <v>4560</v>
      </c>
      <c r="AB371" t="s">
        <v>4561</v>
      </c>
      <c r="AC371" t="s">
        <v>4562</v>
      </c>
      <c r="AD371" t="s">
        <v>32</v>
      </c>
      <c r="AE371" t="s">
        <v>32</v>
      </c>
      <c r="AF371" t="s">
        <v>46835</v>
      </c>
    </row>
    <row r="372" spans="1:32" x14ac:dyDescent="0.2">
      <c r="A372">
        <v>367</v>
      </c>
      <c r="B372" t="s">
        <v>4563</v>
      </c>
      <c r="C372" t="s">
        <v>4564</v>
      </c>
      <c r="D372" t="s">
        <v>32</v>
      </c>
      <c r="E372" t="s">
        <v>4565</v>
      </c>
      <c r="F372" t="s">
        <v>4566</v>
      </c>
      <c r="G372" t="s">
        <v>4567</v>
      </c>
      <c r="H372" t="str">
        <f>"Tufm"</f>
        <v>Tufm</v>
      </c>
      <c r="I372" t="s">
        <v>32</v>
      </c>
      <c r="J372" t="s">
        <v>37</v>
      </c>
      <c r="K372">
        <v>10090</v>
      </c>
      <c r="L372" s="3" t="str">
        <f>HYPERLINK("http://www.uniprot.org/uniprot/Q8BFR5", "Q8BFR5")</f>
        <v>Q8BFR5</v>
      </c>
      <c r="M372" t="s">
        <v>4568</v>
      </c>
      <c r="N372" t="str">
        <f>"Tufm"</f>
        <v>Tufm</v>
      </c>
      <c r="O372" s="3" t="str">
        <f>HYPERLINK("http://www.informatics.jax.org/marker/MGI:1923686", "MGI:1923686")</f>
        <v>MGI:1923686</v>
      </c>
      <c r="P372" t="s">
        <v>4569</v>
      </c>
      <c r="Q372" t="s">
        <v>260</v>
      </c>
      <c r="R372" t="s">
        <v>1038</v>
      </c>
      <c r="S372" t="s">
        <v>41</v>
      </c>
      <c r="T372" t="s">
        <v>32</v>
      </c>
      <c r="U372" t="s">
        <v>32</v>
      </c>
      <c r="V372" t="s">
        <v>1039</v>
      </c>
      <c r="W372" t="s">
        <v>261</v>
      </c>
      <c r="X372" t="s">
        <v>262</v>
      </c>
      <c r="Y372" t="s">
        <v>157</v>
      </c>
      <c r="Z372" t="s">
        <v>32</v>
      </c>
      <c r="AA372" t="s">
        <v>4570</v>
      </c>
      <c r="AB372" t="s">
        <v>4571</v>
      </c>
      <c r="AC372" t="s">
        <v>4572</v>
      </c>
      <c r="AD372" t="s">
        <v>32</v>
      </c>
      <c r="AE372" t="s">
        <v>32</v>
      </c>
      <c r="AF372" t="s">
        <v>46835</v>
      </c>
    </row>
    <row r="373" spans="1:32" x14ac:dyDescent="0.2">
      <c r="A373">
        <v>368</v>
      </c>
      <c r="B373" t="s">
        <v>4573</v>
      </c>
      <c r="C373" t="s">
        <v>4574</v>
      </c>
      <c r="D373" t="s">
        <v>32</v>
      </c>
      <c r="E373" t="s">
        <v>4575</v>
      </c>
      <c r="F373" t="s">
        <v>4576</v>
      </c>
      <c r="G373" t="s">
        <v>4577</v>
      </c>
      <c r="H373" t="str">
        <f>"Eml2"</f>
        <v>Eml2</v>
      </c>
      <c r="I373" t="s">
        <v>32</v>
      </c>
      <c r="J373" t="s">
        <v>37</v>
      </c>
      <c r="K373">
        <v>10090</v>
      </c>
      <c r="L373" s="3" t="str">
        <f>HYPERLINK("http://www.uniprot.org/uniprot/Q7TNG5", "Q7TNG5")</f>
        <v>Q7TNG5</v>
      </c>
      <c r="M373" t="s">
        <v>4578</v>
      </c>
      <c r="N373" t="str">
        <f>"Eml2"</f>
        <v>Eml2</v>
      </c>
      <c r="O373" s="3" t="str">
        <f>HYPERLINK("http://www.informatics.jax.org/marker/MGI:1919455", "MGI:1919455")</f>
        <v>MGI:1919455</v>
      </c>
      <c r="P373" t="s">
        <v>4579</v>
      </c>
      <c r="Q373" t="s">
        <v>32</v>
      </c>
      <c r="R373" t="s">
        <v>341</v>
      </c>
      <c r="S373" t="s">
        <v>41</v>
      </c>
      <c r="T373" t="s">
        <v>32</v>
      </c>
      <c r="U373" t="s">
        <v>32</v>
      </c>
      <c r="V373" t="s">
        <v>3167</v>
      </c>
      <c r="W373" t="s">
        <v>32</v>
      </c>
      <c r="X373" t="s">
        <v>32</v>
      </c>
      <c r="Y373" t="s">
        <v>32</v>
      </c>
      <c r="Z373" t="s">
        <v>32</v>
      </c>
      <c r="AA373" t="s">
        <v>4580</v>
      </c>
      <c r="AB373" t="s">
        <v>4581</v>
      </c>
      <c r="AC373" t="s">
        <v>4582</v>
      </c>
      <c r="AD373" t="s">
        <v>32</v>
      </c>
      <c r="AE373" t="s">
        <v>32</v>
      </c>
      <c r="AF373" t="s">
        <v>46835</v>
      </c>
    </row>
    <row r="374" spans="1:32" x14ac:dyDescent="0.2">
      <c r="A374">
        <v>369</v>
      </c>
      <c r="B374" t="s">
        <v>4583</v>
      </c>
      <c r="C374" t="s">
        <v>4584</v>
      </c>
      <c r="D374" t="s">
        <v>4585</v>
      </c>
      <c r="E374" t="s">
        <v>4586</v>
      </c>
      <c r="F374" t="s">
        <v>4587</v>
      </c>
      <c r="G374" t="s">
        <v>32</v>
      </c>
      <c r="H374" t="str">
        <f>"Psmd11"</f>
        <v>Psmd11</v>
      </c>
      <c r="I374" t="s">
        <v>32</v>
      </c>
      <c r="J374" t="s">
        <v>37</v>
      </c>
      <c r="K374">
        <v>10090</v>
      </c>
      <c r="L374" s="3" t="str">
        <f>HYPERLINK("http://www.uniprot.org/uniprot/Q8BG32", "Q8BG32")</f>
        <v>Q8BG32</v>
      </c>
      <c r="M374" t="s">
        <v>4588</v>
      </c>
      <c r="N374" t="str">
        <f>"Psmd11"</f>
        <v>Psmd11</v>
      </c>
      <c r="O374" s="3" t="str">
        <f>HYPERLINK("http://www.informatics.jax.org/marker/MGI:1916327", "MGI:1916327")</f>
        <v>MGI:1916327</v>
      </c>
      <c r="P374" t="s">
        <v>4589</v>
      </c>
      <c r="Q374" t="s">
        <v>32</v>
      </c>
      <c r="R374" t="s">
        <v>3565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t="s">
        <v>516</v>
      </c>
      <c r="Z374" t="s">
        <v>32</v>
      </c>
      <c r="AA374" t="s">
        <v>4590</v>
      </c>
      <c r="AB374" t="s">
        <v>3770</v>
      </c>
      <c r="AC374" t="s">
        <v>4591</v>
      </c>
      <c r="AD374" t="s">
        <v>32</v>
      </c>
      <c r="AE374" t="s">
        <v>2590</v>
      </c>
      <c r="AF374" t="s">
        <v>46835</v>
      </c>
    </row>
    <row r="375" spans="1:32" x14ac:dyDescent="0.2">
      <c r="A375">
        <v>370</v>
      </c>
      <c r="B375" t="s">
        <v>4592</v>
      </c>
      <c r="C375" t="s">
        <v>4593</v>
      </c>
      <c r="D375" t="s">
        <v>32</v>
      </c>
      <c r="E375" t="s">
        <v>4594</v>
      </c>
      <c r="F375" t="s">
        <v>4595</v>
      </c>
      <c r="G375" t="s">
        <v>4596</v>
      </c>
      <c r="H375" t="str">
        <f>"Etfa"</f>
        <v>Etfa</v>
      </c>
      <c r="I375" t="s">
        <v>32</v>
      </c>
      <c r="J375" t="s">
        <v>37</v>
      </c>
      <c r="K375">
        <v>10090</v>
      </c>
      <c r="L375" s="3" t="str">
        <f>HYPERLINK("http://www.uniprot.org/uniprot/Q99LC5", "Q99LC5")</f>
        <v>Q99LC5</v>
      </c>
      <c r="M375" t="s">
        <v>4597</v>
      </c>
      <c r="N375" t="str">
        <f>"Etfa"</f>
        <v>Etfa</v>
      </c>
      <c r="O375" s="3" t="str">
        <f>HYPERLINK("http://www.informatics.jax.org/marker/MGI:106092", "MGI:106092")</f>
        <v>MGI:106092</v>
      </c>
      <c r="P375" t="s">
        <v>4598</v>
      </c>
      <c r="Q375" t="s">
        <v>4599</v>
      </c>
      <c r="R375" t="s">
        <v>1038</v>
      </c>
      <c r="S375" t="s">
        <v>32</v>
      </c>
      <c r="T375" t="s">
        <v>32</v>
      </c>
      <c r="U375" t="s">
        <v>32</v>
      </c>
      <c r="V375" t="s">
        <v>1039</v>
      </c>
      <c r="W375" t="s">
        <v>4600</v>
      </c>
      <c r="X375" t="s">
        <v>32</v>
      </c>
      <c r="Y375" t="s">
        <v>157</v>
      </c>
      <c r="Z375" t="s">
        <v>32</v>
      </c>
      <c r="AA375" t="s">
        <v>4601</v>
      </c>
      <c r="AB375" t="s">
        <v>4602</v>
      </c>
      <c r="AC375" t="s">
        <v>4603</v>
      </c>
      <c r="AD375" t="s">
        <v>32</v>
      </c>
      <c r="AE375" t="s">
        <v>4604</v>
      </c>
      <c r="AF375" t="s">
        <v>46835</v>
      </c>
    </row>
    <row r="376" spans="1:32" x14ac:dyDescent="0.2">
      <c r="A376">
        <v>371</v>
      </c>
      <c r="B376" t="s">
        <v>4605</v>
      </c>
      <c r="C376" t="s">
        <v>4606</v>
      </c>
      <c r="D376" t="s">
        <v>4607</v>
      </c>
      <c r="E376" t="s">
        <v>4608</v>
      </c>
      <c r="F376" t="s">
        <v>4609</v>
      </c>
      <c r="G376" t="s">
        <v>4610</v>
      </c>
      <c r="H376" t="str">
        <f>"Lap3"</f>
        <v>Lap3</v>
      </c>
      <c r="I376" t="s">
        <v>4611</v>
      </c>
      <c r="J376" t="s">
        <v>37</v>
      </c>
      <c r="K376">
        <v>10090</v>
      </c>
      <c r="L376" s="3" t="str">
        <f>HYPERLINK("http://www.uniprot.org/uniprot/Q9CPY7", "Q9CPY7")</f>
        <v>Q9CPY7</v>
      </c>
      <c r="M376" t="s">
        <v>4612</v>
      </c>
      <c r="N376" t="str">
        <f>"Lap3"</f>
        <v>Lap3</v>
      </c>
      <c r="O376" s="3" t="str">
        <f>HYPERLINK("http://www.informatics.jax.org/marker/MGI:1914238", "MGI:1914238")</f>
        <v>MGI:1914238</v>
      </c>
      <c r="P376" t="s">
        <v>4613</v>
      </c>
      <c r="Q376" t="s">
        <v>32</v>
      </c>
      <c r="R376" t="s">
        <v>418</v>
      </c>
      <c r="S376" t="s">
        <v>477</v>
      </c>
      <c r="T376" t="s">
        <v>32</v>
      </c>
      <c r="U376" t="s">
        <v>32</v>
      </c>
      <c r="V376" t="s">
        <v>32</v>
      </c>
      <c r="W376" t="s">
        <v>4614</v>
      </c>
      <c r="X376" t="s">
        <v>3455</v>
      </c>
      <c r="Y376" t="s">
        <v>157</v>
      </c>
      <c r="Z376" t="s">
        <v>32</v>
      </c>
      <c r="AA376" t="s">
        <v>4615</v>
      </c>
      <c r="AB376" t="s">
        <v>4616</v>
      </c>
      <c r="AC376" t="s">
        <v>4617</v>
      </c>
      <c r="AD376" t="s">
        <v>32</v>
      </c>
      <c r="AE376" t="s">
        <v>32</v>
      </c>
      <c r="AF376" t="s">
        <v>46835</v>
      </c>
    </row>
    <row r="377" spans="1:32" x14ac:dyDescent="0.2">
      <c r="A377">
        <v>372</v>
      </c>
      <c r="B377" t="s">
        <v>4618</v>
      </c>
      <c r="C377" t="s">
        <v>4619</v>
      </c>
      <c r="D377" t="s">
        <v>4620</v>
      </c>
      <c r="E377" t="s">
        <v>4621</v>
      </c>
      <c r="F377" t="s">
        <v>4622</v>
      </c>
      <c r="G377" t="s">
        <v>4623</v>
      </c>
      <c r="H377" t="str">
        <f>"Dnm1l"</f>
        <v>Dnm1l</v>
      </c>
      <c r="I377" t="s">
        <v>4624</v>
      </c>
      <c r="J377" t="s">
        <v>37</v>
      </c>
      <c r="K377">
        <v>10090</v>
      </c>
      <c r="L377" s="3" t="str">
        <f>HYPERLINK("http://www.uniprot.org/uniprot/Q8K1M6", "Q8K1M6")</f>
        <v>Q8K1M6</v>
      </c>
      <c r="M377" t="s">
        <v>4625</v>
      </c>
      <c r="N377" t="str">
        <f>"Dnm1l"</f>
        <v>Dnm1l</v>
      </c>
      <c r="O377" s="3" t="str">
        <f>HYPERLINK("http://www.informatics.jax.org/marker/MGI:1921256", "MGI:1921256")</f>
        <v>MGI:1921256</v>
      </c>
      <c r="P377" t="s">
        <v>4626</v>
      </c>
      <c r="Q377" t="s">
        <v>4627</v>
      </c>
      <c r="R377" t="s">
        <v>4628</v>
      </c>
      <c r="S377" t="s">
        <v>41</v>
      </c>
      <c r="T377" t="s">
        <v>32</v>
      </c>
      <c r="U377" t="s">
        <v>32</v>
      </c>
      <c r="V377" t="s">
        <v>32</v>
      </c>
      <c r="W377" t="s">
        <v>4629</v>
      </c>
      <c r="X377" t="s">
        <v>343</v>
      </c>
      <c r="Y377" t="s">
        <v>291</v>
      </c>
      <c r="Z377" t="s">
        <v>32</v>
      </c>
      <c r="AA377" t="s">
        <v>4630</v>
      </c>
      <c r="AB377" t="s">
        <v>4631</v>
      </c>
      <c r="AC377" t="s">
        <v>4632</v>
      </c>
      <c r="AD377" t="s">
        <v>32</v>
      </c>
      <c r="AE377" t="s">
        <v>4633</v>
      </c>
      <c r="AF377" t="s">
        <v>46835</v>
      </c>
    </row>
    <row r="378" spans="1:32" x14ac:dyDescent="0.2">
      <c r="A378">
        <v>373</v>
      </c>
      <c r="B378" t="s">
        <v>4634</v>
      </c>
      <c r="C378" t="s">
        <v>4635</v>
      </c>
      <c r="D378" t="s">
        <v>4636</v>
      </c>
      <c r="E378" t="s">
        <v>4637</v>
      </c>
      <c r="F378" t="s">
        <v>4638</v>
      </c>
      <c r="G378" t="s">
        <v>4639</v>
      </c>
      <c r="H378" t="str">
        <f>"Atic"</f>
        <v>Atic</v>
      </c>
      <c r="I378" t="s">
        <v>4640</v>
      </c>
      <c r="J378" t="s">
        <v>37</v>
      </c>
      <c r="K378">
        <v>10090</v>
      </c>
      <c r="L378" s="3" t="str">
        <f>HYPERLINK("http://www.uniprot.org/uniprot/Q9CWJ9", "Q9CWJ9")</f>
        <v>Q9CWJ9</v>
      </c>
      <c r="M378" t="s">
        <v>4641</v>
      </c>
      <c r="N378" t="str">
        <f>"Atic"</f>
        <v>Atic</v>
      </c>
      <c r="O378" s="3" t="str">
        <f>HYPERLINK("http://www.informatics.jax.org/marker/MGI:1351352", "MGI:1351352")</f>
        <v>MGI:1351352</v>
      </c>
      <c r="P378" t="s">
        <v>4642</v>
      </c>
      <c r="Q378" t="s">
        <v>2203</v>
      </c>
      <c r="R378" t="s">
        <v>32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4643</v>
      </c>
      <c r="Y378" t="s">
        <v>78</v>
      </c>
      <c r="Z378" t="s">
        <v>32</v>
      </c>
      <c r="AA378" t="s">
        <v>4644</v>
      </c>
      <c r="AB378" t="s">
        <v>4645</v>
      </c>
      <c r="AC378" t="s">
        <v>4646</v>
      </c>
      <c r="AD378" t="s">
        <v>4647</v>
      </c>
      <c r="AE378" t="s">
        <v>2209</v>
      </c>
      <c r="AF378" t="s">
        <v>46835</v>
      </c>
    </row>
    <row r="379" spans="1:32" x14ac:dyDescent="0.2">
      <c r="A379">
        <v>374</v>
      </c>
      <c r="B379" t="s">
        <v>4648</v>
      </c>
      <c r="C379" t="s">
        <v>4649</v>
      </c>
      <c r="D379" t="s">
        <v>4650</v>
      </c>
      <c r="E379" t="s">
        <v>4651</v>
      </c>
      <c r="F379" t="s">
        <v>4652</v>
      </c>
      <c r="G379" t="s">
        <v>4653</v>
      </c>
      <c r="H379" t="str">
        <f>"Cars1"</f>
        <v>Cars1</v>
      </c>
      <c r="I379" t="s">
        <v>4654</v>
      </c>
      <c r="J379" t="s">
        <v>37</v>
      </c>
      <c r="K379">
        <v>10090</v>
      </c>
      <c r="L379" s="3" t="str">
        <f>HYPERLINK("http://www.uniprot.org/uniprot/Q9ER72", "Q9ER72")</f>
        <v>Q9ER72</v>
      </c>
      <c r="M379" t="s">
        <v>4655</v>
      </c>
      <c r="N379" t="str">
        <f>"Cars"</f>
        <v>Cars</v>
      </c>
      <c r="O379" s="3" t="str">
        <f>HYPERLINK("http://www.informatics.jax.org/marker/MGI:1351477", "MGI:1351477")</f>
        <v>MGI:1351477</v>
      </c>
      <c r="P379" t="s">
        <v>4656</v>
      </c>
      <c r="Q379" t="s">
        <v>260</v>
      </c>
      <c r="R379" t="s">
        <v>418</v>
      </c>
      <c r="S379" t="s">
        <v>41</v>
      </c>
      <c r="T379" t="s">
        <v>32</v>
      </c>
      <c r="U379" t="s">
        <v>32</v>
      </c>
      <c r="V379" t="s">
        <v>32</v>
      </c>
      <c r="W379" t="s">
        <v>2325</v>
      </c>
      <c r="X379" t="s">
        <v>2983</v>
      </c>
      <c r="Y379" t="s">
        <v>157</v>
      </c>
      <c r="Z379" t="s">
        <v>32</v>
      </c>
      <c r="AA379" t="s">
        <v>4657</v>
      </c>
      <c r="AB379" t="s">
        <v>2206</v>
      </c>
      <c r="AC379" t="s">
        <v>4658</v>
      </c>
      <c r="AD379" t="s">
        <v>32</v>
      </c>
      <c r="AE379" t="s">
        <v>32</v>
      </c>
      <c r="AF379" t="s">
        <v>46835</v>
      </c>
    </row>
    <row r="380" spans="1:32" x14ac:dyDescent="0.2">
      <c r="A380">
        <v>375</v>
      </c>
      <c r="B380" t="s">
        <v>4659</v>
      </c>
      <c r="C380" t="s">
        <v>4660</v>
      </c>
      <c r="D380" t="s">
        <v>4661</v>
      </c>
      <c r="E380" t="s">
        <v>4662</v>
      </c>
      <c r="F380" t="s">
        <v>4663</v>
      </c>
      <c r="G380" t="s">
        <v>4664</v>
      </c>
      <c r="H380" t="str">
        <f>"Ywhaq"</f>
        <v>Ywhaq</v>
      </c>
      <c r="I380" t="s">
        <v>32</v>
      </c>
      <c r="J380" t="s">
        <v>37</v>
      </c>
      <c r="K380">
        <v>10090</v>
      </c>
      <c r="L380" s="3" t="str">
        <f>HYPERLINK("http://www.uniprot.org/uniprot/P68254", "P68254")</f>
        <v>P68254</v>
      </c>
      <c r="M380" t="s">
        <v>4665</v>
      </c>
      <c r="N380" t="str">
        <f>"Ywhaq"</f>
        <v>Ywhaq</v>
      </c>
      <c r="O380" s="3" t="str">
        <f>HYPERLINK("http://www.informatics.jax.org/marker/MGI:891963", "MGI:891963")</f>
        <v>MGI:891963</v>
      </c>
      <c r="P380" t="s">
        <v>4666</v>
      </c>
      <c r="Q380" t="s">
        <v>32</v>
      </c>
      <c r="R380" t="s">
        <v>418</v>
      </c>
      <c r="S380" t="s">
        <v>41</v>
      </c>
      <c r="T380" t="s">
        <v>32</v>
      </c>
      <c r="U380" t="s">
        <v>32</v>
      </c>
      <c r="V380" t="s">
        <v>32</v>
      </c>
      <c r="W380" t="s">
        <v>32</v>
      </c>
      <c r="X380" t="s">
        <v>32</v>
      </c>
      <c r="Y380" t="s">
        <v>4667</v>
      </c>
      <c r="Z380" t="s">
        <v>32</v>
      </c>
      <c r="AA380" t="s">
        <v>4668</v>
      </c>
      <c r="AB380" t="s">
        <v>4669</v>
      </c>
      <c r="AC380" t="s">
        <v>4670</v>
      </c>
      <c r="AD380" t="s">
        <v>32</v>
      </c>
      <c r="AE380" t="s">
        <v>4671</v>
      </c>
      <c r="AF380" t="s">
        <v>46835</v>
      </c>
    </row>
    <row r="381" spans="1:32" x14ac:dyDescent="0.2">
      <c r="A381">
        <v>376</v>
      </c>
      <c r="B381" t="s">
        <v>4672</v>
      </c>
      <c r="C381" t="s">
        <v>4673</v>
      </c>
      <c r="D381" t="s">
        <v>4674</v>
      </c>
      <c r="E381" t="s">
        <v>4675</v>
      </c>
      <c r="F381" t="s">
        <v>4676</v>
      </c>
      <c r="G381" t="s">
        <v>4677</v>
      </c>
      <c r="H381" t="str">
        <f>"Tpr"</f>
        <v>Tpr</v>
      </c>
      <c r="I381" t="s">
        <v>32</v>
      </c>
      <c r="J381" t="s">
        <v>37</v>
      </c>
      <c r="K381">
        <v>10090</v>
      </c>
      <c r="L381" s="3" t="str">
        <f>HYPERLINK("http://www.uniprot.org/uniprot/F6ZDS4", "F6ZDS4")</f>
        <v>F6ZDS4</v>
      </c>
      <c r="M381" t="s">
        <v>4678</v>
      </c>
      <c r="N381" t="str">
        <f>"Tpr"</f>
        <v>Tpr</v>
      </c>
      <c r="O381" s="3" t="str">
        <f>HYPERLINK("http://www.informatics.jax.org/marker/MGI:1922066", "MGI:1922066")</f>
        <v>MGI:1922066</v>
      </c>
      <c r="P381" t="s">
        <v>4679</v>
      </c>
      <c r="Q381" t="s">
        <v>4680</v>
      </c>
      <c r="R381" t="s">
        <v>4681</v>
      </c>
      <c r="S381" t="s">
        <v>32</v>
      </c>
      <c r="T381" t="s">
        <v>32</v>
      </c>
      <c r="U381" t="s">
        <v>4682</v>
      </c>
      <c r="V381" t="s">
        <v>290</v>
      </c>
      <c r="W381" t="s">
        <v>32</v>
      </c>
      <c r="X381" t="s">
        <v>32</v>
      </c>
      <c r="Y381" t="s">
        <v>97</v>
      </c>
      <c r="Z381" t="s">
        <v>32</v>
      </c>
      <c r="AA381" t="s">
        <v>4683</v>
      </c>
      <c r="AB381" t="s">
        <v>4684</v>
      </c>
      <c r="AC381" t="s">
        <v>4685</v>
      </c>
      <c r="AD381" t="s">
        <v>32</v>
      </c>
      <c r="AE381" t="s">
        <v>4686</v>
      </c>
      <c r="AF381" t="s">
        <v>46835</v>
      </c>
    </row>
    <row r="382" spans="1:32" x14ac:dyDescent="0.2">
      <c r="A382">
        <v>377</v>
      </c>
      <c r="B382" t="s">
        <v>4687</v>
      </c>
      <c r="C382" t="s">
        <v>4688</v>
      </c>
      <c r="D382" t="s">
        <v>4689</v>
      </c>
      <c r="E382" t="s">
        <v>4690</v>
      </c>
      <c r="F382" t="s">
        <v>4691</v>
      </c>
      <c r="G382" t="s">
        <v>4692</v>
      </c>
      <c r="H382" t="str">
        <f>"Copa"</f>
        <v>Copa</v>
      </c>
      <c r="I382" t="s">
        <v>32</v>
      </c>
      <c r="J382" t="s">
        <v>37</v>
      </c>
      <c r="K382">
        <v>10090</v>
      </c>
      <c r="L382" s="3" t="str">
        <f>HYPERLINK("http://www.uniprot.org/uniprot/Q8CIE6", "Q8CIE6")</f>
        <v>Q8CIE6</v>
      </c>
      <c r="M382" t="s">
        <v>4693</v>
      </c>
      <c r="N382" t="str">
        <f>"Copa"</f>
        <v>Copa</v>
      </c>
      <c r="O382" s="3" t="str">
        <f>HYPERLINK("http://www.informatics.jax.org/marker/MGI:1334462", "MGI:1334462")</f>
        <v>MGI:1334462</v>
      </c>
      <c r="P382" t="s">
        <v>4694</v>
      </c>
      <c r="Q382" t="s">
        <v>2916</v>
      </c>
      <c r="R382" t="s">
        <v>4695</v>
      </c>
      <c r="S382" t="s">
        <v>32</v>
      </c>
      <c r="T382" t="s">
        <v>32</v>
      </c>
      <c r="U382" t="s">
        <v>32</v>
      </c>
      <c r="V382" t="s">
        <v>1910</v>
      </c>
      <c r="W382" t="s">
        <v>32</v>
      </c>
      <c r="X382" t="s">
        <v>4696</v>
      </c>
      <c r="Y382" t="s">
        <v>2734</v>
      </c>
      <c r="Z382" t="s">
        <v>126</v>
      </c>
      <c r="AA382" t="s">
        <v>4697</v>
      </c>
      <c r="AB382" t="s">
        <v>4698</v>
      </c>
      <c r="AC382" t="s">
        <v>4699</v>
      </c>
      <c r="AD382" t="s">
        <v>32</v>
      </c>
      <c r="AE382" t="s">
        <v>3171</v>
      </c>
      <c r="AF382" t="s">
        <v>46835</v>
      </c>
    </row>
    <row r="383" spans="1:32" x14ac:dyDescent="0.2">
      <c r="A383">
        <v>378</v>
      </c>
      <c r="B383" t="s">
        <v>4700</v>
      </c>
      <c r="C383" t="s">
        <v>4701</v>
      </c>
      <c r="D383" t="s">
        <v>4702</v>
      </c>
      <c r="E383" t="s">
        <v>4703</v>
      </c>
      <c r="F383" t="s">
        <v>4704</v>
      </c>
      <c r="G383" t="s">
        <v>4705</v>
      </c>
      <c r="H383" t="str">
        <f>"Caprin1"</f>
        <v>Caprin1</v>
      </c>
      <c r="I383" t="s">
        <v>4706</v>
      </c>
      <c r="J383" t="s">
        <v>37</v>
      </c>
      <c r="K383">
        <v>10090</v>
      </c>
      <c r="L383" s="3" t="str">
        <f>HYPERLINK("http://www.uniprot.org/uniprot/Q60865", "Q60865")</f>
        <v>Q60865</v>
      </c>
      <c r="M383" t="s">
        <v>4707</v>
      </c>
      <c r="N383" t="str">
        <f>"Caprin1"</f>
        <v>Caprin1</v>
      </c>
      <c r="O383" s="3" t="str">
        <f>HYPERLINK("http://www.informatics.jax.org/marker/MGI:1858234", "MGI:1858234")</f>
        <v>MGI:1858234</v>
      </c>
      <c r="P383" t="s">
        <v>4708</v>
      </c>
      <c r="Q383" t="s">
        <v>687</v>
      </c>
      <c r="R383" t="s">
        <v>599</v>
      </c>
      <c r="S383" t="s">
        <v>32</v>
      </c>
      <c r="T383" t="s">
        <v>32</v>
      </c>
      <c r="U383" t="s">
        <v>32</v>
      </c>
      <c r="V383" t="s">
        <v>290</v>
      </c>
      <c r="W383" t="s">
        <v>32</v>
      </c>
      <c r="X383" t="s">
        <v>1157</v>
      </c>
      <c r="Y383" t="s">
        <v>44</v>
      </c>
      <c r="Z383" t="s">
        <v>32</v>
      </c>
      <c r="AA383" t="s">
        <v>4709</v>
      </c>
      <c r="AB383" t="s">
        <v>4710</v>
      </c>
      <c r="AC383" t="s">
        <v>4711</v>
      </c>
      <c r="AD383" t="s">
        <v>32</v>
      </c>
      <c r="AE383" t="s">
        <v>32</v>
      </c>
      <c r="AF383" t="s">
        <v>46835</v>
      </c>
    </row>
    <row r="384" spans="1:32" x14ac:dyDescent="0.2">
      <c r="A384">
        <v>379</v>
      </c>
      <c r="B384" t="s">
        <v>4712</v>
      </c>
      <c r="C384" t="s">
        <v>4713</v>
      </c>
      <c r="D384" t="s">
        <v>32</v>
      </c>
      <c r="E384" t="s">
        <v>4714</v>
      </c>
      <c r="F384" t="s">
        <v>4715</v>
      </c>
      <c r="G384" t="s">
        <v>4716</v>
      </c>
      <c r="H384" t="str">
        <f>"Rcn1"</f>
        <v>Rcn1</v>
      </c>
      <c r="I384" t="s">
        <v>4717</v>
      </c>
      <c r="J384" t="s">
        <v>37</v>
      </c>
      <c r="K384">
        <v>10090</v>
      </c>
      <c r="L384" s="3" t="str">
        <f>HYPERLINK("http://www.uniprot.org/uniprot/Q05186", "Q05186")</f>
        <v>Q05186</v>
      </c>
      <c r="M384" t="s">
        <v>4718</v>
      </c>
      <c r="N384" t="str">
        <f>"Rcn1"</f>
        <v>Rcn1</v>
      </c>
      <c r="O384" s="3" t="str">
        <f>HYPERLINK("http://www.informatics.jax.org/marker/MGI:104559", "MGI:104559")</f>
        <v>MGI:104559</v>
      </c>
      <c r="P384" t="s">
        <v>4719</v>
      </c>
      <c r="Q384" t="s">
        <v>32</v>
      </c>
      <c r="R384" t="s">
        <v>671</v>
      </c>
      <c r="S384" t="s">
        <v>32</v>
      </c>
      <c r="T384" t="s">
        <v>32</v>
      </c>
      <c r="U384" t="s">
        <v>32</v>
      </c>
      <c r="V384" t="s">
        <v>478</v>
      </c>
      <c r="W384" t="s">
        <v>188</v>
      </c>
      <c r="X384" t="s">
        <v>32</v>
      </c>
      <c r="Y384" t="s">
        <v>4720</v>
      </c>
      <c r="Z384" t="s">
        <v>32</v>
      </c>
      <c r="AA384" t="s">
        <v>4721</v>
      </c>
      <c r="AB384" t="s">
        <v>4722</v>
      </c>
      <c r="AC384" t="s">
        <v>4723</v>
      </c>
      <c r="AD384" t="s">
        <v>32</v>
      </c>
      <c r="AE384" t="s">
        <v>636</v>
      </c>
      <c r="AF384" t="s">
        <v>46835</v>
      </c>
    </row>
    <row r="385" spans="1:32" x14ac:dyDescent="0.2">
      <c r="A385">
        <v>380</v>
      </c>
      <c r="B385" t="s">
        <v>4724</v>
      </c>
      <c r="C385" t="s">
        <v>4725</v>
      </c>
      <c r="D385" t="s">
        <v>4726</v>
      </c>
      <c r="E385" t="s">
        <v>4727</v>
      </c>
      <c r="F385" t="s">
        <v>4728</v>
      </c>
      <c r="G385" t="s">
        <v>4729</v>
      </c>
      <c r="H385" t="str">
        <f>"Pdcd6ip"</f>
        <v>Pdcd6ip</v>
      </c>
      <c r="I385" t="s">
        <v>4730</v>
      </c>
      <c r="J385" t="s">
        <v>37</v>
      </c>
      <c r="K385">
        <v>10090</v>
      </c>
      <c r="L385" s="3" t="str">
        <f>HYPERLINK("http://www.uniprot.org/uniprot/Q9WU78", "Q9WU78")</f>
        <v>Q9WU78</v>
      </c>
      <c r="M385" t="s">
        <v>4731</v>
      </c>
      <c r="N385" t="str">
        <f>"Pdcd6ip"</f>
        <v>Pdcd6ip</v>
      </c>
      <c r="O385" s="3" t="str">
        <f>HYPERLINK("http://www.informatics.jax.org/marker/MGI:1333753", "MGI:1333753")</f>
        <v>MGI:1333753</v>
      </c>
      <c r="P385" t="s">
        <v>4732</v>
      </c>
      <c r="Q385" t="s">
        <v>4733</v>
      </c>
      <c r="R385" t="s">
        <v>4734</v>
      </c>
      <c r="S385" t="s">
        <v>41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t="s">
        <v>97</v>
      </c>
      <c r="Z385" t="s">
        <v>32</v>
      </c>
      <c r="AA385" t="s">
        <v>4735</v>
      </c>
      <c r="AB385" t="s">
        <v>4736</v>
      </c>
      <c r="AC385" t="s">
        <v>4737</v>
      </c>
      <c r="AD385" t="s">
        <v>32</v>
      </c>
      <c r="AE385" t="s">
        <v>4738</v>
      </c>
      <c r="AF385" t="s">
        <v>46835</v>
      </c>
    </row>
    <row r="386" spans="1:32" x14ac:dyDescent="0.2">
      <c r="A386">
        <v>381</v>
      </c>
      <c r="B386" t="s">
        <v>4739</v>
      </c>
      <c r="C386" t="s">
        <v>4740</v>
      </c>
      <c r="D386" t="s">
        <v>32</v>
      </c>
      <c r="E386" t="s">
        <v>4741</v>
      </c>
      <c r="F386" t="s">
        <v>4742</v>
      </c>
      <c r="G386" t="s">
        <v>32</v>
      </c>
      <c r="H386" t="str">
        <f>"Rab11b"</f>
        <v>Rab11b</v>
      </c>
      <c r="I386" t="s">
        <v>32</v>
      </c>
      <c r="J386" t="s">
        <v>37</v>
      </c>
      <c r="K386">
        <v>10090</v>
      </c>
      <c r="L386" s="3" t="str">
        <f>HYPERLINK("http://www.uniprot.org/uniprot/P46638", "P46638")</f>
        <v>P46638</v>
      </c>
      <c r="M386" t="s">
        <v>4743</v>
      </c>
      <c r="N386" t="str">
        <f>"Rab11b"</f>
        <v>Rab11b</v>
      </c>
      <c r="O386" s="3" t="str">
        <f>HYPERLINK("http://www.informatics.jax.org/marker/MGI:99425", "MGI:99425")</f>
        <v>MGI:99425</v>
      </c>
      <c r="P386" t="s">
        <v>4744</v>
      </c>
      <c r="Q386" t="s">
        <v>434</v>
      </c>
      <c r="R386" t="s">
        <v>4745</v>
      </c>
      <c r="S386" t="s">
        <v>32</v>
      </c>
      <c r="T386" t="s">
        <v>32</v>
      </c>
      <c r="U386" t="s">
        <v>32</v>
      </c>
      <c r="V386" t="s">
        <v>32</v>
      </c>
      <c r="W386" t="s">
        <v>261</v>
      </c>
      <c r="X386" t="s">
        <v>343</v>
      </c>
      <c r="Y386" t="s">
        <v>4746</v>
      </c>
      <c r="Z386" t="s">
        <v>32</v>
      </c>
      <c r="AA386" t="s">
        <v>4747</v>
      </c>
      <c r="AB386" t="s">
        <v>4748</v>
      </c>
      <c r="AC386" t="s">
        <v>4749</v>
      </c>
      <c r="AD386" t="s">
        <v>32</v>
      </c>
      <c r="AE386" t="s">
        <v>4750</v>
      </c>
      <c r="AF386" t="s">
        <v>46835</v>
      </c>
    </row>
    <row r="387" spans="1:32" x14ac:dyDescent="0.2">
      <c r="A387">
        <v>382</v>
      </c>
      <c r="B387" t="s">
        <v>4751</v>
      </c>
      <c r="C387" t="s">
        <v>4752</v>
      </c>
      <c r="D387" t="s">
        <v>4753</v>
      </c>
      <c r="E387" t="s">
        <v>4754</v>
      </c>
      <c r="F387" t="s">
        <v>4755</v>
      </c>
      <c r="G387" t="s">
        <v>4756</v>
      </c>
      <c r="H387" t="str">
        <f>"Arhgdia"</f>
        <v>Arhgdia</v>
      </c>
      <c r="I387" t="s">
        <v>4757</v>
      </c>
      <c r="J387" t="s">
        <v>37</v>
      </c>
      <c r="K387">
        <v>10090</v>
      </c>
      <c r="L387" s="3" t="str">
        <f>HYPERLINK("http://www.uniprot.org/uniprot/Q99PT1", "Q99PT1")</f>
        <v>Q99PT1</v>
      </c>
      <c r="M387" t="s">
        <v>4758</v>
      </c>
      <c r="N387" t="str">
        <f>"Arhgdia"</f>
        <v>Arhgdia</v>
      </c>
      <c r="O387" s="3" t="str">
        <f>HYPERLINK("http://www.informatics.jax.org/marker/MGI:2178103", "MGI:2178103")</f>
        <v>MGI:2178103</v>
      </c>
      <c r="P387" t="s">
        <v>4759</v>
      </c>
      <c r="Q387" t="s">
        <v>32</v>
      </c>
      <c r="R387" t="s">
        <v>418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715</v>
      </c>
      <c r="Y387" t="s">
        <v>516</v>
      </c>
      <c r="Z387" t="s">
        <v>126</v>
      </c>
      <c r="AA387" t="s">
        <v>4760</v>
      </c>
      <c r="AB387" t="s">
        <v>4761</v>
      </c>
      <c r="AC387" t="s">
        <v>4762</v>
      </c>
      <c r="AD387" t="s">
        <v>32</v>
      </c>
      <c r="AE387" t="s">
        <v>4763</v>
      </c>
      <c r="AF387" t="s">
        <v>46835</v>
      </c>
    </row>
    <row r="388" spans="1:32" x14ac:dyDescent="0.2">
      <c r="A388">
        <v>383</v>
      </c>
      <c r="B388" t="s">
        <v>4764</v>
      </c>
      <c r="C388" t="s">
        <v>4765</v>
      </c>
      <c r="D388" t="s">
        <v>32</v>
      </c>
      <c r="E388" t="s">
        <v>4766</v>
      </c>
      <c r="F388" t="s">
        <v>4767</v>
      </c>
      <c r="G388" t="s">
        <v>4768</v>
      </c>
      <c r="H388" t="str">
        <f>"Blmh"</f>
        <v>Blmh</v>
      </c>
      <c r="I388" t="s">
        <v>32</v>
      </c>
      <c r="J388" t="s">
        <v>37</v>
      </c>
      <c r="K388">
        <v>10090</v>
      </c>
      <c r="L388" s="3" t="str">
        <f>HYPERLINK("http://www.uniprot.org/uniprot/Q8R016", "Q8R016")</f>
        <v>Q8R016</v>
      </c>
      <c r="M388" t="s">
        <v>4769</v>
      </c>
      <c r="N388" t="str">
        <f>"Blmh"</f>
        <v>Blmh</v>
      </c>
      <c r="O388" s="3" t="str">
        <f>HYPERLINK("http://www.informatics.jax.org/marker/MGI:1345186", "MGI:1345186")</f>
        <v>MGI:1345186</v>
      </c>
      <c r="P388" t="s">
        <v>4770</v>
      </c>
      <c r="Q388" t="s">
        <v>32</v>
      </c>
      <c r="R388" t="s">
        <v>418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557</v>
      </c>
      <c r="Y388" t="s">
        <v>78</v>
      </c>
      <c r="Z388" t="s">
        <v>32</v>
      </c>
      <c r="AA388" t="s">
        <v>4771</v>
      </c>
      <c r="AB388" t="s">
        <v>2172</v>
      </c>
      <c r="AC388" t="s">
        <v>4772</v>
      </c>
      <c r="AD388" t="s">
        <v>32</v>
      </c>
      <c r="AE388" t="s">
        <v>4220</v>
      </c>
      <c r="AF388" t="s">
        <v>46835</v>
      </c>
    </row>
    <row r="389" spans="1:32" x14ac:dyDescent="0.2">
      <c r="A389">
        <v>384</v>
      </c>
      <c r="B389" t="s">
        <v>4773</v>
      </c>
      <c r="C389" t="s">
        <v>4774</v>
      </c>
      <c r="D389" t="s">
        <v>4775</v>
      </c>
      <c r="E389" t="s">
        <v>4776</v>
      </c>
      <c r="F389" t="s">
        <v>4777</v>
      </c>
      <c r="G389" t="s">
        <v>4778</v>
      </c>
      <c r="H389" t="str">
        <f>"Cisd1"</f>
        <v>Cisd1</v>
      </c>
      <c r="I389" t="s">
        <v>4779</v>
      </c>
      <c r="J389" t="s">
        <v>37</v>
      </c>
      <c r="K389">
        <v>10090</v>
      </c>
      <c r="L389" s="3" t="str">
        <f>HYPERLINK("http://www.uniprot.org/uniprot/Q91WS0", "Q91WS0")</f>
        <v>Q91WS0</v>
      </c>
      <c r="M389" t="s">
        <v>4780</v>
      </c>
      <c r="N389" t="str">
        <f>"Cisd1"</f>
        <v>Cisd1</v>
      </c>
      <c r="O389" s="3" t="str">
        <f>HYPERLINK("http://www.informatics.jax.org/marker/MGI:1261855", "MGI:1261855")</f>
        <v>MGI:1261855</v>
      </c>
      <c r="P389" t="s">
        <v>4781</v>
      </c>
      <c r="Q389" t="s">
        <v>32</v>
      </c>
      <c r="R389" t="s">
        <v>4782</v>
      </c>
      <c r="S389" t="s">
        <v>32</v>
      </c>
      <c r="T389" t="s">
        <v>32</v>
      </c>
      <c r="U389" t="s">
        <v>32</v>
      </c>
      <c r="V389" t="s">
        <v>1550</v>
      </c>
      <c r="W389" t="s">
        <v>4783</v>
      </c>
      <c r="X389" t="s">
        <v>32</v>
      </c>
      <c r="Y389" t="s">
        <v>461</v>
      </c>
      <c r="Z389" t="s">
        <v>32</v>
      </c>
      <c r="AA389" t="s">
        <v>4784</v>
      </c>
      <c r="AB389" t="s">
        <v>4785</v>
      </c>
      <c r="AC389" t="s">
        <v>4786</v>
      </c>
      <c r="AD389" t="s">
        <v>32</v>
      </c>
      <c r="AE389" t="s">
        <v>32</v>
      </c>
      <c r="AF389" t="s">
        <v>46835</v>
      </c>
    </row>
    <row r="390" spans="1:32" x14ac:dyDescent="0.2">
      <c r="A390">
        <v>385</v>
      </c>
      <c r="B390" t="s">
        <v>4787</v>
      </c>
      <c r="C390" t="s">
        <v>4788</v>
      </c>
      <c r="D390" t="s">
        <v>4789</v>
      </c>
      <c r="E390" t="s">
        <v>4790</v>
      </c>
      <c r="F390" t="s">
        <v>4791</v>
      </c>
      <c r="G390" t="s">
        <v>4792</v>
      </c>
      <c r="H390" t="str">
        <f>"Naa15"</f>
        <v>Naa15</v>
      </c>
      <c r="I390" t="s">
        <v>4793</v>
      </c>
      <c r="J390" t="s">
        <v>37</v>
      </c>
      <c r="K390">
        <v>10090</v>
      </c>
      <c r="L390" s="3" t="str">
        <f>HYPERLINK("http://www.uniprot.org/uniprot/Q80UM3", "Q80UM3")</f>
        <v>Q80UM3</v>
      </c>
      <c r="M390" t="s">
        <v>4794</v>
      </c>
      <c r="N390" t="str">
        <f>"Naa15"</f>
        <v>Naa15</v>
      </c>
      <c r="O390" s="3" t="str">
        <f>HYPERLINK("http://www.informatics.jax.org/marker/MGI:1922088", "MGI:1922088")</f>
        <v>MGI:1922088</v>
      </c>
      <c r="P390" t="s">
        <v>4795</v>
      </c>
      <c r="Q390" t="s">
        <v>4796</v>
      </c>
      <c r="R390" t="s">
        <v>40</v>
      </c>
      <c r="S390" t="s">
        <v>32</v>
      </c>
      <c r="T390" t="s">
        <v>32</v>
      </c>
      <c r="U390" t="s">
        <v>32</v>
      </c>
      <c r="V390" t="s">
        <v>995</v>
      </c>
      <c r="W390" t="s">
        <v>32</v>
      </c>
      <c r="X390" t="s">
        <v>2029</v>
      </c>
      <c r="Y390" t="s">
        <v>157</v>
      </c>
      <c r="Z390" t="s">
        <v>32</v>
      </c>
      <c r="AA390" t="s">
        <v>4797</v>
      </c>
      <c r="AB390" t="s">
        <v>4798</v>
      </c>
      <c r="AC390" t="s">
        <v>4799</v>
      </c>
      <c r="AD390" t="s">
        <v>32</v>
      </c>
      <c r="AE390" t="s">
        <v>32</v>
      </c>
      <c r="AF390" t="s">
        <v>46835</v>
      </c>
    </row>
    <row r="391" spans="1:32" x14ac:dyDescent="0.2">
      <c r="A391">
        <v>386</v>
      </c>
      <c r="B391" t="s">
        <v>4800</v>
      </c>
      <c r="C391" t="s">
        <v>4801</v>
      </c>
      <c r="D391" t="s">
        <v>4802</v>
      </c>
      <c r="E391" t="s">
        <v>4803</v>
      </c>
      <c r="F391" t="s">
        <v>4804</v>
      </c>
      <c r="G391" t="s">
        <v>4805</v>
      </c>
      <c r="H391" t="str">
        <f>"Prdx6"</f>
        <v>Prdx6</v>
      </c>
      <c r="I391" t="s">
        <v>4806</v>
      </c>
      <c r="J391" t="s">
        <v>37</v>
      </c>
      <c r="K391">
        <v>10090</v>
      </c>
      <c r="L391" s="3" t="str">
        <f>HYPERLINK("http://www.uniprot.org/uniprot/O08709", "O08709")</f>
        <v>O08709</v>
      </c>
      <c r="M391" t="s">
        <v>4807</v>
      </c>
      <c r="N391" t="str">
        <f>"Prdx6"</f>
        <v>Prdx6</v>
      </c>
      <c r="O391" s="3" t="str">
        <f>HYPERLINK("http://www.informatics.jax.org/marker/MGI:894320", "MGI:894320")</f>
        <v>MGI:894320</v>
      </c>
      <c r="P391" t="s">
        <v>4808</v>
      </c>
      <c r="Q391" t="s">
        <v>4809</v>
      </c>
      <c r="R391" t="s">
        <v>4810</v>
      </c>
      <c r="S391" t="s">
        <v>32</v>
      </c>
      <c r="T391" t="s">
        <v>32</v>
      </c>
      <c r="U391" t="s">
        <v>32</v>
      </c>
      <c r="V391" t="s">
        <v>1090</v>
      </c>
      <c r="W391" t="s">
        <v>32</v>
      </c>
      <c r="X391" t="s">
        <v>4811</v>
      </c>
      <c r="Y391" t="s">
        <v>157</v>
      </c>
      <c r="Z391" t="s">
        <v>32</v>
      </c>
      <c r="AA391" t="s">
        <v>4812</v>
      </c>
      <c r="AB391" t="s">
        <v>4813</v>
      </c>
      <c r="AC391" t="s">
        <v>4814</v>
      </c>
      <c r="AD391" t="s">
        <v>32</v>
      </c>
      <c r="AE391" t="s">
        <v>4815</v>
      </c>
      <c r="AF391" t="s">
        <v>46835</v>
      </c>
    </row>
    <row r="392" spans="1:32" x14ac:dyDescent="0.2">
      <c r="A392">
        <v>387</v>
      </c>
      <c r="B392" t="s">
        <v>4816</v>
      </c>
      <c r="C392" t="s">
        <v>4817</v>
      </c>
      <c r="D392" t="s">
        <v>4818</v>
      </c>
      <c r="E392" t="s">
        <v>4819</v>
      </c>
      <c r="F392" t="s">
        <v>4820</v>
      </c>
      <c r="G392" t="s">
        <v>4821</v>
      </c>
      <c r="H392" t="str">
        <f>"Psme1"</f>
        <v>Psme1</v>
      </c>
      <c r="I392" t="s">
        <v>32</v>
      </c>
      <c r="J392" t="s">
        <v>37</v>
      </c>
      <c r="K392">
        <v>10090</v>
      </c>
      <c r="L392" s="3" t="str">
        <f>HYPERLINK("http://www.uniprot.org/uniprot/P97371", "P97371")</f>
        <v>P97371</v>
      </c>
      <c r="M392" t="s">
        <v>4822</v>
      </c>
      <c r="N392" t="str">
        <f>"Psme1"</f>
        <v>Psme1</v>
      </c>
      <c r="O392" s="3" t="str">
        <f>HYPERLINK("http://www.informatics.jax.org/marker/MGI:1096367", "MGI:1096367")</f>
        <v>MGI:1096367</v>
      </c>
      <c r="P392" t="s">
        <v>4823</v>
      </c>
      <c r="Q392" t="s">
        <v>32</v>
      </c>
      <c r="R392" t="s">
        <v>3565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32</v>
      </c>
      <c r="Y392" t="s">
        <v>32</v>
      </c>
      <c r="Z392" t="s">
        <v>126</v>
      </c>
      <c r="AA392" t="s">
        <v>4824</v>
      </c>
      <c r="AB392" t="s">
        <v>4825</v>
      </c>
      <c r="AC392" t="s">
        <v>4826</v>
      </c>
      <c r="AD392" t="s">
        <v>32</v>
      </c>
      <c r="AE392" t="s">
        <v>2774</v>
      </c>
      <c r="AF392" t="s">
        <v>46835</v>
      </c>
    </row>
    <row r="393" spans="1:32" x14ac:dyDescent="0.2">
      <c r="A393">
        <v>388</v>
      </c>
      <c r="B393" t="s">
        <v>4827</v>
      </c>
      <c r="C393" t="s">
        <v>4828</v>
      </c>
      <c r="D393" t="s">
        <v>4829</v>
      </c>
      <c r="E393" t="s">
        <v>4830</v>
      </c>
      <c r="F393" t="s">
        <v>4831</v>
      </c>
      <c r="G393" t="s">
        <v>32</v>
      </c>
      <c r="H393" t="str">
        <f>"Tbca"</f>
        <v>Tbca</v>
      </c>
      <c r="I393" t="s">
        <v>32</v>
      </c>
      <c r="J393" t="s">
        <v>37</v>
      </c>
      <c r="K393">
        <v>10090</v>
      </c>
      <c r="L393" s="3" t="str">
        <f>HYPERLINK("http://www.uniprot.org/uniprot/P48428", "P48428")</f>
        <v>P48428</v>
      </c>
      <c r="M393" t="s">
        <v>4832</v>
      </c>
      <c r="N393" t="str">
        <f>"Tbca"</f>
        <v>Tbca</v>
      </c>
      <c r="O393" s="3" t="str">
        <f>HYPERLINK("http://www.informatics.jax.org/marker/MGI:107549", "MGI:107549")</f>
        <v>MGI:107549</v>
      </c>
      <c r="P393" t="s">
        <v>4833</v>
      </c>
      <c r="Q393" t="s">
        <v>32</v>
      </c>
      <c r="R393" t="s">
        <v>341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388</v>
      </c>
      <c r="Y393" t="s">
        <v>78</v>
      </c>
      <c r="Z393" t="s">
        <v>32</v>
      </c>
      <c r="AA393" t="s">
        <v>4834</v>
      </c>
      <c r="AB393" t="s">
        <v>4835</v>
      </c>
      <c r="AC393" t="s">
        <v>4836</v>
      </c>
      <c r="AD393" t="s">
        <v>32</v>
      </c>
      <c r="AE393" t="s">
        <v>32</v>
      </c>
      <c r="AF393" t="s">
        <v>46835</v>
      </c>
    </row>
    <row r="394" spans="1:32" x14ac:dyDescent="0.2">
      <c r="A394">
        <v>389</v>
      </c>
      <c r="B394" t="s">
        <v>4837</v>
      </c>
      <c r="C394" t="s">
        <v>4838</v>
      </c>
      <c r="D394" t="s">
        <v>4839</v>
      </c>
      <c r="E394" t="s">
        <v>4840</v>
      </c>
      <c r="F394" t="s">
        <v>4841</v>
      </c>
      <c r="G394" t="s">
        <v>4842</v>
      </c>
      <c r="H394" t="str">
        <f>"Gja3"</f>
        <v>Gja3</v>
      </c>
      <c r="I394" t="s">
        <v>32</v>
      </c>
      <c r="J394" t="s">
        <v>37</v>
      </c>
      <c r="K394">
        <v>10090</v>
      </c>
      <c r="L394" s="3" t="str">
        <f>HYPERLINK("http://www.uniprot.org/uniprot/Q64448", "Q64448")</f>
        <v>Q64448</v>
      </c>
      <c r="M394" t="s">
        <v>4843</v>
      </c>
      <c r="N394" t="str">
        <f>"Gja3"</f>
        <v>Gja3</v>
      </c>
      <c r="O394" s="3" t="str">
        <f>HYPERLINK("http://www.informatics.jax.org/marker/MGI:95714", "MGI:95714")</f>
        <v>MGI:95714</v>
      </c>
      <c r="P394" t="s">
        <v>491</v>
      </c>
      <c r="Q394" t="s">
        <v>32</v>
      </c>
      <c r="R394" t="s">
        <v>492</v>
      </c>
      <c r="S394" t="s">
        <v>32</v>
      </c>
      <c r="T394" t="s">
        <v>32</v>
      </c>
      <c r="U394" t="s">
        <v>32</v>
      </c>
      <c r="V394" t="s">
        <v>493</v>
      </c>
      <c r="W394" t="s">
        <v>32</v>
      </c>
      <c r="X394" t="s">
        <v>32</v>
      </c>
      <c r="Y394" t="s">
        <v>494</v>
      </c>
      <c r="Z394" t="s">
        <v>32</v>
      </c>
      <c r="AA394" t="s">
        <v>4844</v>
      </c>
      <c r="AB394" t="s">
        <v>4845</v>
      </c>
      <c r="AC394" t="s">
        <v>4846</v>
      </c>
      <c r="AD394" t="s">
        <v>32</v>
      </c>
      <c r="AE394" t="s">
        <v>498</v>
      </c>
      <c r="AF394" t="s">
        <v>46835</v>
      </c>
    </row>
    <row r="395" spans="1:32" x14ac:dyDescent="0.2">
      <c r="A395">
        <v>390</v>
      </c>
      <c r="B395" t="s">
        <v>4847</v>
      </c>
      <c r="C395" t="s">
        <v>4848</v>
      </c>
      <c r="D395" t="s">
        <v>32</v>
      </c>
      <c r="E395" t="s">
        <v>4849</v>
      </c>
      <c r="F395" t="s">
        <v>4850</v>
      </c>
      <c r="G395" t="s">
        <v>4851</v>
      </c>
      <c r="H395" t="str">
        <f>"Amph"</f>
        <v>Amph</v>
      </c>
      <c r="I395" t="s">
        <v>4852</v>
      </c>
      <c r="J395" t="s">
        <v>37</v>
      </c>
      <c r="K395">
        <v>10090</v>
      </c>
      <c r="L395" s="3" t="str">
        <f>HYPERLINK("http://www.uniprot.org/uniprot/Q7TQF7", "Q7TQF7")</f>
        <v>Q7TQF7</v>
      </c>
      <c r="M395" t="s">
        <v>4853</v>
      </c>
      <c r="N395" t="str">
        <f>"Amph"</f>
        <v>Amph</v>
      </c>
      <c r="O395" s="3" t="str">
        <f>HYPERLINK("http://www.informatics.jax.org/marker/MGI:103574", "MGI:103574")</f>
        <v>MGI:103574</v>
      </c>
      <c r="P395" t="s">
        <v>4854</v>
      </c>
      <c r="Q395" t="s">
        <v>32</v>
      </c>
      <c r="R395" t="s">
        <v>4855</v>
      </c>
      <c r="S395" t="s">
        <v>32</v>
      </c>
      <c r="T395" t="s">
        <v>32</v>
      </c>
      <c r="U395" t="s">
        <v>32</v>
      </c>
      <c r="V395" t="s">
        <v>1606</v>
      </c>
      <c r="W395" t="s">
        <v>32</v>
      </c>
      <c r="X395" t="s">
        <v>32</v>
      </c>
      <c r="Y395" t="s">
        <v>618</v>
      </c>
      <c r="Z395" t="s">
        <v>32</v>
      </c>
      <c r="AA395" t="s">
        <v>4856</v>
      </c>
      <c r="AB395" t="s">
        <v>4857</v>
      </c>
      <c r="AC395" t="s">
        <v>4858</v>
      </c>
      <c r="AD395" t="s">
        <v>32</v>
      </c>
      <c r="AE395" t="s">
        <v>4859</v>
      </c>
      <c r="AF395" t="s">
        <v>46835</v>
      </c>
    </row>
    <row r="396" spans="1:32" x14ac:dyDescent="0.2">
      <c r="A396">
        <v>391</v>
      </c>
      <c r="B396" t="s">
        <v>4860</v>
      </c>
      <c r="C396" t="s">
        <v>4861</v>
      </c>
      <c r="D396" t="s">
        <v>4862</v>
      </c>
      <c r="E396" t="s">
        <v>4863</v>
      </c>
      <c r="F396" t="s">
        <v>4864</v>
      </c>
      <c r="G396" t="s">
        <v>4865</v>
      </c>
      <c r="H396" t="str">
        <f>"Celf1"</f>
        <v>Celf1</v>
      </c>
      <c r="I396" t="s">
        <v>4866</v>
      </c>
      <c r="J396" t="s">
        <v>37</v>
      </c>
      <c r="K396">
        <v>10090</v>
      </c>
      <c r="L396" s="3" t="str">
        <f>HYPERLINK("http://www.uniprot.org/uniprot/P28659", "P28659")</f>
        <v>P28659</v>
      </c>
      <c r="M396" t="s">
        <v>4867</v>
      </c>
      <c r="N396" t="str">
        <f>"Celf1"</f>
        <v>Celf1</v>
      </c>
      <c r="O396" s="3" t="str">
        <f>HYPERLINK("http://www.informatics.jax.org/marker/MGI:1342295", "MGI:1342295")</f>
        <v>MGI:1342295</v>
      </c>
      <c r="P396" t="s">
        <v>4868</v>
      </c>
      <c r="Q396" t="s">
        <v>2139</v>
      </c>
      <c r="R396" t="s">
        <v>40</v>
      </c>
      <c r="S396" t="s">
        <v>41</v>
      </c>
      <c r="T396" t="s">
        <v>32</v>
      </c>
      <c r="U396" t="s">
        <v>32</v>
      </c>
      <c r="V396" t="s">
        <v>55</v>
      </c>
      <c r="W396" t="s">
        <v>32</v>
      </c>
      <c r="X396" t="s">
        <v>4869</v>
      </c>
      <c r="Y396" t="s">
        <v>516</v>
      </c>
      <c r="Z396" t="s">
        <v>32</v>
      </c>
      <c r="AA396" t="s">
        <v>4870</v>
      </c>
      <c r="AB396" t="s">
        <v>4871</v>
      </c>
      <c r="AC396" t="s">
        <v>4872</v>
      </c>
      <c r="AD396" t="s">
        <v>32</v>
      </c>
      <c r="AE396" t="s">
        <v>32</v>
      </c>
      <c r="AF396" t="s">
        <v>46835</v>
      </c>
    </row>
    <row r="397" spans="1:32" x14ac:dyDescent="0.2">
      <c r="A397">
        <v>392</v>
      </c>
      <c r="B397" t="s">
        <v>4873</v>
      </c>
      <c r="C397" t="s">
        <v>4874</v>
      </c>
      <c r="D397" t="s">
        <v>4875</v>
      </c>
      <c r="E397" t="s">
        <v>4876</v>
      </c>
      <c r="F397" t="s">
        <v>4877</v>
      </c>
      <c r="G397" t="s">
        <v>4878</v>
      </c>
      <c r="H397" t="str">
        <f>"Lta4h"</f>
        <v>Lta4h</v>
      </c>
      <c r="I397" t="s">
        <v>32</v>
      </c>
      <c r="J397" t="s">
        <v>37</v>
      </c>
      <c r="K397">
        <v>10090</v>
      </c>
      <c r="L397" s="3" t="str">
        <f>HYPERLINK("http://www.uniprot.org/uniprot/P24527", "P24527")</f>
        <v>P24527</v>
      </c>
      <c r="M397" t="s">
        <v>4879</v>
      </c>
      <c r="N397" t="str">
        <f>"Lta4h"</f>
        <v>Lta4h</v>
      </c>
      <c r="O397" s="3" t="str">
        <f>HYPERLINK("http://www.informatics.jax.org/marker/MGI:96836", "MGI:96836")</f>
        <v>MGI:96836</v>
      </c>
      <c r="P397" t="s">
        <v>4880</v>
      </c>
      <c r="Q397" t="s">
        <v>4881</v>
      </c>
      <c r="R397" t="s">
        <v>418</v>
      </c>
      <c r="S397" t="s">
        <v>32</v>
      </c>
      <c r="T397" t="s">
        <v>32</v>
      </c>
      <c r="U397" t="s">
        <v>32</v>
      </c>
      <c r="V397" t="s">
        <v>32</v>
      </c>
      <c r="W397" t="s">
        <v>42</v>
      </c>
      <c r="X397" t="s">
        <v>4882</v>
      </c>
      <c r="Y397" t="s">
        <v>157</v>
      </c>
      <c r="Z397" t="s">
        <v>32</v>
      </c>
      <c r="AA397" t="s">
        <v>4883</v>
      </c>
      <c r="AB397" t="s">
        <v>4884</v>
      </c>
      <c r="AC397" t="s">
        <v>4885</v>
      </c>
      <c r="AD397" t="s">
        <v>4886</v>
      </c>
      <c r="AE397" t="s">
        <v>4887</v>
      </c>
      <c r="AF397" t="s">
        <v>46835</v>
      </c>
    </row>
    <row r="398" spans="1:32" x14ac:dyDescent="0.2">
      <c r="A398">
        <v>393</v>
      </c>
      <c r="B398" t="s">
        <v>4888</v>
      </c>
      <c r="C398" t="s">
        <v>4889</v>
      </c>
      <c r="D398" t="s">
        <v>4890</v>
      </c>
      <c r="E398" t="s">
        <v>4891</v>
      </c>
      <c r="F398" t="s">
        <v>4892</v>
      </c>
      <c r="G398" t="s">
        <v>4893</v>
      </c>
      <c r="H398" t="str">
        <f>"Eif3g"</f>
        <v>Eif3g</v>
      </c>
      <c r="I398" t="s">
        <v>4894</v>
      </c>
      <c r="J398" t="s">
        <v>37</v>
      </c>
      <c r="K398">
        <v>10090</v>
      </c>
      <c r="L398" s="3" t="str">
        <f>HYPERLINK("http://www.uniprot.org/uniprot/Q9Z1D1", "Q9Z1D1")</f>
        <v>Q9Z1D1</v>
      </c>
      <c r="M398" t="s">
        <v>4895</v>
      </c>
      <c r="N398" t="str">
        <f>"Eif3g"</f>
        <v>Eif3g</v>
      </c>
      <c r="O398" s="3" t="str">
        <f>HYPERLINK("http://www.informatics.jax.org/marker/MGI:1858258", "MGI:1858258")</f>
        <v>MGI:1858258</v>
      </c>
      <c r="P398" t="s">
        <v>4896</v>
      </c>
      <c r="Q398" t="s">
        <v>260</v>
      </c>
      <c r="R398" t="s">
        <v>40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1566</v>
      </c>
      <c r="Y398" t="s">
        <v>618</v>
      </c>
      <c r="Z398" t="s">
        <v>32</v>
      </c>
      <c r="AA398" t="s">
        <v>3804</v>
      </c>
      <c r="AB398" t="s">
        <v>4897</v>
      </c>
      <c r="AC398" t="s">
        <v>4898</v>
      </c>
      <c r="AD398" t="s">
        <v>32</v>
      </c>
      <c r="AE398" t="s">
        <v>1570</v>
      </c>
      <c r="AF398" t="s">
        <v>46835</v>
      </c>
    </row>
    <row r="399" spans="1:32" x14ac:dyDescent="0.2">
      <c r="A399">
        <v>394</v>
      </c>
      <c r="B399" t="s">
        <v>4899</v>
      </c>
      <c r="C399" t="s">
        <v>4900</v>
      </c>
      <c r="D399" t="s">
        <v>4901</v>
      </c>
      <c r="E399" t="s">
        <v>4902</v>
      </c>
      <c r="F399" t="s">
        <v>4903</v>
      </c>
      <c r="G399" t="s">
        <v>4904</v>
      </c>
      <c r="H399" t="str">
        <f>"Napa"</f>
        <v>Napa</v>
      </c>
      <c r="I399" t="s">
        <v>4905</v>
      </c>
      <c r="J399" t="s">
        <v>37</v>
      </c>
      <c r="K399">
        <v>10090</v>
      </c>
      <c r="L399" s="3" t="str">
        <f>HYPERLINK("http://www.uniprot.org/uniprot/Q9DB05", "Q9DB05")</f>
        <v>Q9DB05</v>
      </c>
      <c r="M399" t="s">
        <v>4906</v>
      </c>
      <c r="N399" t="str">
        <f>"Napa"</f>
        <v>Napa</v>
      </c>
      <c r="O399" s="3" t="str">
        <f>HYPERLINK("http://www.informatics.jax.org/marker/MGI:104563", "MGI:104563")</f>
        <v>MGI:104563</v>
      </c>
      <c r="P399" t="s">
        <v>4907</v>
      </c>
      <c r="Q399" t="s">
        <v>2916</v>
      </c>
      <c r="R399" t="s">
        <v>2474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32</v>
      </c>
      <c r="Y399" t="s">
        <v>157</v>
      </c>
      <c r="Z399" t="s">
        <v>32</v>
      </c>
      <c r="AA399" t="s">
        <v>4908</v>
      </c>
      <c r="AB399" t="s">
        <v>4909</v>
      </c>
      <c r="AC399" t="s">
        <v>4910</v>
      </c>
      <c r="AD399" t="s">
        <v>32</v>
      </c>
      <c r="AE399" t="s">
        <v>4911</v>
      </c>
      <c r="AF399" t="s">
        <v>46835</v>
      </c>
    </row>
    <row r="400" spans="1:32" x14ac:dyDescent="0.2">
      <c r="A400">
        <v>395</v>
      </c>
      <c r="B400" t="s">
        <v>4912</v>
      </c>
      <c r="C400" t="s">
        <v>4913</v>
      </c>
      <c r="D400" t="s">
        <v>32</v>
      </c>
      <c r="E400" t="s">
        <v>4914</v>
      </c>
      <c r="F400" t="s">
        <v>4915</v>
      </c>
      <c r="G400" t="s">
        <v>4916</v>
      </c>
      <c r="H400" t="str">
        <f>"Ckap5"</f>
        <v>Ckap5</v>
      </c>
      <c r="I400" t="s">
        <v>32</v>
      </c>
      <c r="J400" t="s">
        <v>37</v>
      </c>
      <c r="K400">
        <v>10090</v>
      </c>
      <c r="L400" s="3" t="str">
        <f>HYPERLINK("http://www.uniprot.org/uniprot/A2AGT5", "A2AGT5")</f>
        <v>A2AGT5</v>
      </c>
      <c r="M400" t="s">
        <v>4917</v>
      </c>
      <c r="N400" t="str">
        <f>"Ckap5"</f>
        <v>Ckap5</v>
      </c>
      <c r="O400" s="3" t="str">
        <f>HYPERLINK("http://www.informatics.jax.org/marker/MGI:1923036", "MGI:1923036")</f>
        <v>MGI:1923036</v>
      </c>
      <c r="P400" t="s">
        <v>4918</v>
      </c>
      <c r="Q400" t="s">
        <v>2968</v>
      </c>
      <c r="R400" t="s">
        <v>4919</v>
      </c>
      <c r="S400" t="s">
        <v>41</v>
      </c>
      <c r="T400" t="s">
        <v>32</v>
      </c>
      <c r="U400" t="s">
        <v>32</v>
      </c>
      <c r="V400" t="s">
        <v>55</v>
      </c>
      <c r="W400" t="s">
        <v>32</v>
      </c>
      <c r="X400" t="s">
        <v>32</v>
      </c>
      <c r="Y400" t="s">
        <v>157</v>
      </c>
      <c r="Z400" t="s">
        <v>32</v>
      </c>
      <c r="AA400" t="s">
        <v>4920</v>
      </c>
      <c r="AB400" t="s">
        <v>4921</v>
      </c>
      <c r="AC400" t="s">
        <v>4922</v>
      </c>
      <c r="AD400" t="s">
        <v>32</v>
      </c>
      <c r="AE400" t="s">
        <v>4923</v>
      </c>
      <c r="AF400" t="s">
        <v>46835</v>
      </c>
    </row>
    <row r="401" spans="1:32" x14ac:dyDescent="0.2">
      <c r="A401">
        <v>396</v>
      </c>
      <c r="B401" t="s">
        <v>4924</v>
      </c>
      <c r="C401" t="s">
        <v>4925</v>
      </c>
      <c r="D401" t="s">
        <v>4926</v>
      </c>
      <c r="E401" t="s">
        <v>4927</v>
      </c>
      <c r="F401" t="s">
        <v>4928</v>
      </c>
      <c r="G401" t="s">
        <v>32</v>
      </c>
      <c r="H401" t="str">
        <f>"Ide"</f>
        <v>Ide</v>
      </c>
      <c r="I401" t="s">
        <v>32</v>
      </c>
      <c r="J401" t="s">
        <v>37</v>
      </c>
      <c r="K401">
        <v>10090</v>
      </c>
      <c r="L401" s="3" t="str">
        <f>HYPERLINK("http://www.uniprot.org/uniprot/Q9JHR7", "Q9JHR7")</f>
        <v>Q9JHR7</v>
      </c>
      <c r="M401" t="s">
        <v>4929</v>
      </c>
      <c r="N401" t="str">
        <f>"Ide"</f>
        <v>Ide</v>
      </c>
      <c r="O401" s="3" t="str">
        <f>HYPERLINK("http://www.informatics.jax.org/marker/MGI:96412", "MGI:96412")</f>
        <v>MGI:96412</v>
      </c>
      <c r="P401" t="s">
        <v>4930</v>
      </c>
      <c r="Q401" t="s">
        <v>32</v>
      </c>
      <c r="R401" t="s">
        <v>4931</v>
      </c>
      <c r="S401" t="s">
        <v>32</v>
      </c>
      <c r="T401" t="s">
        <v>32</v>
      </c>
      <c r="U401" t="s">
        <v>32</v>
      </c>
      <c r="V401" t="s">
        <v>32</v>
      </c>
      <c r="W401" t="s">
        <v>2325</v>
      </c>
      <c r="X401" t="s">
        <v>4932</v>
      </c>
      <c r="Y401" t="s">
        <v>32</v>
      </c>
      <c r="Z401" t="s">
        <v>32</v>
      </c>
      <c r="AA401" t="s">
        <v>4933</v>
      </c>
      <c r="AB401" t="s">
        <v>4934</v>
      </c>
      <c r="AC401" t="s">
        <v>4935</v>
      </c>
      <c r="AD401" t="s">
        <v>32</v>
      </c>
      <c r="AE401" t="s">
        <v>4936</v>
      </c>
      <c r="AF401" t="s">
        <v>46835</v>
      </c>
    </row>
    <row r="402" spans="1:32" x14ac:dyDescent="0.2">
      <c r="A402">
        <v>397</v>
      </c>
      <c r="B402" t="s">
        <v>4937</v>
      </c>
      <c r="C402" t="s">
        <v>4938</v>
      </c>
      <c r="D402" t="s">
        <v>4939</v>
      </c>
      <c r="E402" t="s">
        <v>4940</v>
      </c>
      <c r="F402" t="s">
        <v>4941</v>
      </c>
      <c r="G402" t="s">
        <v>4942</v>
      </c>
      <c r="H402" t="str">
        <f>"Aldh1a7"</f>
        <v>Aldh1a7</v>
      </c>
      <c r="I402" t="s">
        <v>4943</v>
      </c>
      <c r="J402" t="s">
        <v>37</v>
      </c>
      <c r="K402">
        <v>10090</v>
      </c>
      <c r="L402" s="3" t="str">
        <f>HYPERLINK("http://www.uniprot.org/uniprot/O35945", "O35945")</f>
        <v>O35945</v>
      </c>
      <c r="M402" t="s">
        <v>4944</v>
      </c>
      <c r="N402" t="str">
        <f>"Aldh1a7"</f>
        <v>Aldh1a7</v>
      </c>
      <c r="O402" s="3" t="str">
        <f>HYPERLINK("http://www.informatics.jax.org/marker/MGI:1347050", "MGI:1347050")</f>
        <v>MGI:1347050</v>
      </c>
      <c r="P402" t="s">
        <v>4945</v>
      </c>
      <c r="Q402" t="s">
        <v>32</v>
      </c>
      <c r="R402" t="s">
        <v>418</v>
      </c>
      <c r="S402" t="s">
        <v>32</v>
      </c>
      <c r="T402" t="s">
        <v>32</v>
      </c>
      <c r="U402" t="s">
        <v>32</v>
      </c>
      <c r="V402" t="s">
        <v>32</v>
      </c>
      <c r="W402" t="s">
        <v>325</v>
      </c>
      <c r="X402" t="s">
        <v>600</v>
      </c>
      <c r="Y402" t="s">
        <v>157</v>
      </c>
      <c r="Z402" t="s">
        <v>32</v>
      </c>
      <c r="AA402" t="s">
        <v>4946</v>
      </c>
      <c r="AB402" t="s">
        <v>1268</v>
      </c>
      <c r="AC402" t="s">
        <v>4947</v>
      </c>
      <c r="AD402" t="s">
        <v>4948</v>
      </c>
      <c r="AE402" t="s">
        <v>32</v>
      </c>
      <c r="AF402" t="s">
        <v>46835</v>
      </c>
    </row>
    <row r="403" spans="1:32" x14ac:dyDescent="0.2">
      <c r="A403">
        <v>398</v>
      </c>
      <c r="B403" t="s">
        <v>4949</v>
      </c>
      <c r="C403" t="s">
        <v>4950</v>
      </c>
      <c r="D403" t="s">
        <v>4951</v>
      </c>
      <c r="E403" t="s">
        <v>4952</v>
      </c>
      <c r="F403" t="s">
        <v>4953</v>
      </c>
      <c r="G403" t="s">
        <v>32</v>
      </c>
      <c r="H403" t="str">
        <f>"Psma5"</f>
        <v>Psma5</v>
      </c>
      <c r="I403" t="s">
        <v>32</v>
      </c>
      <c r="J403" t="s">
        <v>37</v>
      </c>
      <c r="K403">
        <v>10090</v>
      </c>
      <c r="L403" s="3" t="str">
        <f>HYPERLINK("http://www.uniprot.org/uniprot/Q9Z2U1", "Q9Z2U1")</f>
        <v>Q9Z2U1</v>
      </c>
      <c r="M403" t="s">
        <v>4954</v>
      </c>
      <c r="N403" t="str">
        <f>"Psma5"</f>
        <v>Psma5</v>
      </c>
      <c r="O403" s="3" t="str">
        <f>HYPERLINK("http://www.informatics.jax.org/marker/MGI:1347009", "MGI:1347009")</f>
        <v>MGI:1347009</v>
      </c>
      <c r="P403" t="s">
        <v>4514</v>
      </c>
      <c r="Q403" t="s">
        <v>32</v>
      </c>
      <c r="R403" t="s">
        <v>2586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32</v>
      </c>
      <c r="Y403" t="s">
        <v>372</v>
      </c>
      <c r="Z403" t="s">
        <v>126</v>
      </c>
      <c r="AA403" t="s">
        <v>4955</v>
      </c>
      <c r="AB403" t="s">
        <v>4956</v>
      </c>
      <c r="AC403" t="s">
        <v>32</v>
      </c>
      <c r="AD403" t="s">
        <v>32</v>
      </c>
      <c r="AE403" t="s">
        <v>2590</v>
      </c>
      <c r="AF403" t="s">
        <v>46835</v>
      </c>
    </row>
    <row r="404" spans="1:32" x14ac:dyDescent="0.2">
      <c r="A404">
        <v>399</v>
      </c>
      <c r="B404" t="s">
        <v>4957</v>
      </c>
      <c r="C404" t="s">
        <v>4958</v>
      </c>
      <c r="D404" t="s">
        <v>4959</v>
      </c>
      <c r="E404" t="s">
        <v>4960</v>
      </c>
      <c r="F404" t="s">
        <v>4961</v>
      </c>
      <c r="G404" t="s">
        <v>4962</v>
      </c>
      <c r="H404" t="str">
        <f>"Nsfl1c"</f>
        <v>Nsfl1c</v>
      </c>
      <c r="I404" t="s">
        <v>32</v>
      </c>
      <c r="J404" t="s">
        <v>37</v>
      </c>
      <c r="K404">
        <v>10090</v>
      </c>
      <c r="L404" s="3" t="str">
        <f>HYPERLINK("http://www.uniprot.org/uniprot/Q9CZ44", "Q9CZ44")</f>
        <v>Q9CZ44</v>
      </c>
      <c r="M404" t="s">
        <v>4963</v>
      </c>
      <c r="N404" t="str">
        <f>"Nsfl1c"</f>
        <v>Nsfl1c</v>
      </c>
      <c r="O404" s="3" t="str">
        <f>HYPERLINK("http://www.informatics.jax.org/marker/MGI:3042273", "MGI:3042273")</f>
        <v>MGI:3042273</v>
      </c>
      <c r="P404" t="s">
        <v>4964</v>
      </c>
      <c r="Q404" t="s">
        <v>32</v>
      </c>
      <c r="R404" t="s">
        <v>4965</v>
      </c>
      <c r="S404" t="s">
        <v>41</v>
      </c>
      <c r="T404" t="s">
        <v>32</v>
      </c>
      <c r="U404" t="s">
        <v>32</v>
      </c>
      <c r="V404" t="s">
        <v>32</v>
      </c>
      <c r="W404" t="s">
        <v>584</v>
      </c>
      <c r="X404" t="s">
        <v>32</v>
      </c>
      <c r="Y404" t="s">
        <v>618</v>
      </c>
      <c r="Z404" t="s">
        <v>32</v>
      </c>
      <c r="AA404" t="s">
        <v>4966</v>
      </c>
      <c r="AB404" t="s">
        <v>4967</v>
      </c>
      <c r="AC404" t="s">
        <v>4968</v>
      </c>
      <c r="AD404" t="s">
        <v>32</v>
      </c>
      <c r="AE404" t="s">
        <v>4969</v>
      </c>
      <c r="AF404" t="s">
        <v>46835</v>
      </c>
    </row>
    <row r="405" spans="1:32" x14ac:dyDescent="0.2">
      <c r="A405">
        <v>400</v>
      </c>
      <c r="B405" t="s">
        <v>4970</v>
      </c>
      <c r="C405" t="s">
        <v>4971</v>
      </c>
      <c r="D405" t="s">
        <v>4972</v>
      </c>
      <c r="E405" t="s">
        <v>4973</v>
      </c>
      <c r="F405" t="s">
        <v>4974</v>
      </c>
      <c r="G405" t="s">
        <v>4975</v>
      </c>
      <c r="H405" t="str">
        <f>"Eif3e"</f>
        <v>Eif3e</v>
      </c>
      <c r="I405" t="s">
        <v>4976</v>
      </c>
      <c r="J405" t="s">
        <v>37</v>
      </c>
      <c r="K405">
        <v>10090</v>
      </c>
      <c r="L405" s="3" t="str">
        <f>HYPERLINK("http://www.uniprot.org/uniprot/P60229", "P60229")</f>
        <v>P60229</v>
      </c>
      <c r="M405" t="s">
        <v>4977</v>
      </c>
      <c r="N405" t="str">
        <f>"Eif3e"</f>
        <v>Eif3e</v>
      </c>
      <c r="O405" s="3" t="str">
        <f>HYPERLINK("http://www.informatics.jax.org/marker/MGI:99257", "MGI:99257")</f>
        <v>MGI:99257</v>
      </c>
      <c r="P405" t="s">
        <v>4978</v>
      </c>
      <c r="Q405" t="s">
        <v>260</v>
      </c>
      <c r="R405" t="s">
        <v>40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2675</v>
      </c>
      <c r="Y405" t="s">
        <v>157</v>
      </c>
      <c r="Z405" t="s">
        <v>32</v>
      </c>
      <c r="AA405" t="s">
        <v>4979</v>
      </c>
      <c r="AB405" t="s">
        <v>4980</v>
      </c>
      <c r="AC405" t="s">
        <v>4981</v>
      </c>
      <c r="AD405" t="s">
        <v>32</v>
      </c>
      <c r="AE405" t="s">
        <v>1570</v>
      </c>
      <c r="AF405" t="s">
        <v>46835</v>
      </c>
    </row>
    <row r="406" spans="1:32" x14ac:dyDescent="0.2">
      <c r="A406">
        <v>401</v>
      </c>
      <c r="B406" t="s">
        <v>4982</v>
      </c>
      <c r="C406" t="s">
        <v>4983</v>
      </c>
      <c r="D406" t="s">
        <v>4984</v>
      </c>
      <c r="E406" t="s">
        <v>4985</v>
      </c>
      <c r="F406" t="s">
        <v>4986</v>
      </c>
      <c r="G406" t="s">
        <v>32</v>
      </c>
      <c r="H406" t="str">
        <f>"Carhsp1"</f>
        <v>Carhsp1</v>
      </c>
      <c r="I406" t="s">
        <v>32</v>
      </c>
      <c r="J406" t="s">
        <v>37</v>
      </c>
      <c r="K406">
        <v>10090</v>
      </c>
      <c r="L406" s="3" t="str">
        <f>HYPERLINK("http://www.uniprot.org/uniprot/Q9CR86", "Q9CR86")</f>
        <v>Q9CR86</v>
      </c>
      <c r="M406" t="s">
        <v>4987</v>
      </c>
      <c r="N406" t="str">
        <f>"Carhsp1"</f>
        <v>Carhsp1</v>
      </c>
      <c r="O406" s="3" t="str">
        <f>HYPERLINK("http://www.informatics.jax.org/marker/MGI:1196368", "MGI:1196368")</f>
        <v>MGI:1196368</v>
      </c>
      <c r="P406" t="s">
        <v>4988</v>
      </c>
      <c r="Q406" t="s">
        <v>32</v>
      </c>
      <c r="R406" t="s">
        <v>418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1282</v>
      </c>
      <c r="Y406" t="s">
        <v>157</v>
      </c>
      <c r="Z406" t="s">
        <v>32</v>
      </c>
      <c r="AA406" t="s">
        <v>4989</v>
      </c>
      <c r="AB406" t="s">
        <v>4990</v>
      </c>
      <c r="AC406" t="s">
        <v>4991</v>
      </c>
      <c r="AD406" t="s">
        <v>32</v>
      </c>
      <c r="AE406" t="s">
        <v>32</v>
      </c>
      <c r="AF406" t="s">
        <v>46835</v>
      </c>
    </row>
    <row r="407" spans="1:32" x14ac:dyDescent="0.2">
      <c r="A407">
        <v>402</v>
      </c>
      <c r="B407" t="s">
        <v>4992</v>
      </c>
      <c r="C407" t="s">
        <v>4993</v>
      </c>
      <c r="D407" t="s">
        <v>4994</v>
      </c>
      <c r="E407" t="s">
        <v>4995</v>
      </c>
      <c r="F407" t="s">
        <v>4996</v>
      </c>
      <c r="G407" t="s">
        <v>4997</v>
      </c>
      <c r="H407" t="str">
        <f>"Rnf187"</f>
        <v>Rnf187</v>
      </c>
      <c r="I407" t="s">
        <v>32</v>
      </c>
      <c r="J407" t="s">
        <v>37</v>
      </c>
      <c r="K407">
        <v>10090</v>
      </c>
      <c r="L407" s="3" t="str">
        <f>HYPERLINK("http://www.uniprot.org/uniprot/Q8BFX1", "Q8BFX1")</f>
        <v>Q8BFX1</v>
      </c>
      <c r="M407" t="s">
        <v>4998</v>
      </c>
      <c r="N407" t="str">
        <f>"Rnf187"</f>
        <v>Rnf187</v>
      </c>
      <c r="O407" s="3" t="str">
        <f>HYPERLINK("http://www.informatics.jax.org/marker/MGI:1914224", "MGI:1914224")</f>
        <v>MGI:1914224</v>
      </c>
      <c r="P407" t="s">
        <v>4999</v>
      </c>
      <c r="Q407" t="s">
        <v>1020</v>
      </c>
      <c r="R407" t="s">
        <v>40</v>
      </c>
      <c r="S407" t="s">
        <v>32</v>
      </c>
      <c r="T407" t="s">
        <v>32</v>
      </c>
      <c r="U407" t="s">
        <v>32</v>
      </c>
      <c r="V407" t="s">
        <v>446</v>
      </c>
      <c r="W407" t="s">
        <v>42</v>
      </c>
      <c r="X407" t="s">
        <v>515</v>
      </c>
      <c r="Y407" t="s">
        <v>2192</v>
      </c>
      <c r="Z407" t="s">
        <v>32</v>
      </c>
      <c r="AA407" t="s">
        <v>5000</v>
      </c>
      <c r="AB407" t="s">
        <v>4884</v>
      </c>
      <c r="AC407" t="s">
        <v>5001</v>
      </c>
      <c r="AD407" t="s">
        <v>1027</v>
      </c>
      <c r="AE407" t="s">
        <v>32</v>
      </c>
      <c r="AF407" t="s">
        <v>46835</v>
      </c>
    </row>
    <row r="408" spans="1:32" x14ac:dyDescent="0.2">
      <c r="A408">
        <v>403</v>
      </c>
      <c r="B408" t="s">
        <v>5002</v>
      </c>
      <c r="C408" t="s">
        <v>5003</v>
      </c>
      <c r="D408" t="s">
        <v>32</v>
      </c>
      <c r="E408" t="s">
        <v>5004</v>
      </c>
      <c r="F408" t="s">
        <v>5005</v>
      </c>
      <c r="G408" t="s">
        <v>5006</v>
      </c>
      <c r="H408" t="str">
        <f>"Rcc2"</f>
        <v>Rcc2</v>
      </c>
      <c r="I408" t="s">
        <v>5007</v>
      </c>
      <c r="J408" t="s">
        <v>37</v>
      </c>
      <c r="K408">
        <v>10090</v>
      </c>
      <c r="L408" s="3" t="str">
        <f>HYPERLINK("http://www.uniprot.org/uniprot/Q8BK67", "Q8BK67")</f>
        <v>Q8BK67</v>
      </c>
      <c r="M408" t="s">
        <v>5008</v>
      </c>
      <c r="N408" t="str">
        <f>"Rcc2"</f>
        <v>Rcc2</v>
      </c>
      <c r="O408" s="3" t="str">
        <f>HYPERLINK("http://www.informatics.jax.org/marker/MGI:1919784", "MGI:1919784")</f>
        <v>MGI:1919784</v>
      </c>
      <c r="P408" t="s">
        <v>5009</v>
      </c>
      <c r="Q408" t="s">
        <v>2968</v>
      </c>
      <c r="R408" t="s">
        <v>5010</v>
      </c>
      <c r="S408" t="s">
        <v>32</v>
      </c>
      <c r="T408" t="s">
        <v>32</v>
      </c>
      <c r="U408" t="s">
        <v>32</v>
      </c>
      <c r="V408" t="s">
        <v>55</v>
      </c>
      <c r="W408" t="s">
        <v>32</v>
      </c>
      <c r="X408" t="s">
        <v>5011</v>
      </c>
      <c r="Y408" t="s">
        <v>157</v>
      </c>
      <c r="Z408" t="s">
        <v>32</v>
      </c>
      <c r="AA408" t="s">
        <v>5012</v>
      </c>
      <c r="AB408" t="s">
        <v>5013</v>
      </c>
      <c r="AC408" t="s">
        <v>5014</v>
      </c>
      <c r="AD408" t="s">
        <v>32</v>
      </c>
      <c r="AE408" t="s">
        <v>5015</v>
      </c>
      <c r="AF408" t="s">
        <v>46835</v>
      </c>
    </row>
    <row r="409" spans="1:32" x14ac:dyDescent="0.2">
      <c r="A409">
        <v>404</v>
      </c>
      <c r="B409" t="s">
        <v>5016</v>
      </c>
      <c r="C409" t="s">
        <v>5017</v>
      </c>
      <c r="D409" t="s">
        <v>5018</v>
      </c>
      <c r="E409" t="s">
        <v>5019</v>
      </c>
      <c r="F409" t="s">
        <v>5020</v>
      </c>
      <c r="G409" t="s">
        <v>5021</v>
      </c>
      <c r="H409" t="str">
        <f>"Ube2o"</f>
        <v>Ube2o</v>
      </c>
      <c r="I409" t="s">
        <v>5022</v>
      </c>
      <c r="J409" t="s">
        <v>37</v>
      </c>
      <c r="K409">
        <v>10090</v>
      </c>
      <c r="L409" s="3" t="str">
        <f>HYPERLINK("http://www.uniprot.org/uniprot/Q6ZPJ3", "Q6ZPJ3")</f>
        <v>Q6ZPJ3</v>
      </c>
      <c r="M409" t="s">
        <v>5023</v>
      </c>
      <c r="N409" t="str">
        <f>"Ube2o"</f>
        <v>Ube2o</v>
      </c>
      <c r="O409" s="3" t="str">
        <f>HYPERLINK("http://www.informatics.jax.org/marker/MGI:2444266", "MGI:2444266")</f>
        <v>MGI:2444266</v>
      </c>
      <c r="P409" t="s">
        <v>5024</v>
      </c>
      <c r="Q409" t="s">
        <v>1020</v>
      </c>
      <c r="R409" t="s">
        <v>40</v>
      </c>
      <c r="S409" t="s">
        <v>32</v>
      </c>
      <c r="T409" t="s">
        <v>32</v>
      </c>
      <c r="U409" t="s">
        <v>32</v>
      </c>
      <c r="V409" t="s">
        <v>290</v>
      </c>
      <c r="W409" t="s">
        <v>205</v>
      </c>
      <c r="X409" t="s">
        <v>515</v>
      </c>
      <c r="Y409" t="s">
        <v>2836</v>
      </c>
      <c r="Z409" t="s">
        <v>32</v>
      </c>
      <c r="AA409" t="s">
        <v>5025</v>
      </c>
      <c r="AB409" t="s">
        <v>5026</v>
      </c>
      <c r="AC409" t="s">
        <v>5027</v>
      </c>
      <c r="AD409" t="s">
        <v>1027</v>
      </c>
      <c r="AE409" t="s">
        <v>4220</v>
      </c>
      <c r="AF409" t="s">
        <v>46835</v>
      </c>
    </row>
    <row r="410" spans="1:32" x14ac:dyDescent="0.2">
      <c r="A410">
        <v>405</v>
      </c>
      <c r="B410" t="s">
        <v>5028</v>
      </c>
      <c r="C410" t="s">
        <v>5029</v>
      </c>
      <c r="D410" t="s">
        <v>5030</v>
      </c>
      <c r="E410" t="s">
        <v>5031</v>
      </c>
      <c r="F410" t="s">
        <v>5032</v>
      </c>
      <c r="G410" t="s">
        <v>5033</v>
      </c>
      <c r="H410" t="str">
        <f>"Hsph1"</f>
        <v>Hsph1</v>
      </c>
      <c r="I410" t="s">
        <v>5034</v>
      </c>
      <c r="J410" t="s">
        <v>37</v>
      </c>
      <c r="K410">
        <v>10090</v>
      </c>
      <c r="L410" s="3" t="str">
        <f>HYPERLINK("http://www.uniprot.org/uniprot/Q61699", "Q61699")</f>
        <v>Q61699</v>
      </c>
      <c r="M410" t="s">
        <v>5035</v>
      </c>
      <c r="N410" t="str">
        <f>"Hsph1"</f>
        <v>Hsph1</v>
      </c>
      <c r="O410" s="3" t="str">
        <f>HYPERLINK("http://www.informatics.jax.org/marker/MGI:105053", "MGI:105053")</f>
        <v>MGI:105053</v>
      </c>
      <c r="P410" t="s">
        <v>5036</v>
      </c>
      <c r="Q410" t="s">
        <v>386</v>
      </c>
      <c r="R410" t="s">
        <v>40</v>
      </c>
      <c r="S410" t="s">
        <v>41</v>
      </c>
      <c r="T410" t="s">
        <v>32</v>
      </c>
      <c r="U410" t="s">
        <v>32</v>
      </c>
      <c r="V410" t="s">
        <v>32</v>
      </c>
      <c r="W410" t="s">
        <v>205</v>
      </c>
      <c r="X410" t="s">
        <v>32</v>
      </c>
      <c r="Y410" t="s">
        <v>157</v>
      </c>
      <c r="Z410" t="s">
        <v>32</v>
      </c>
      <c r="AA410" t="s">
        <v>5037</v>
      </c>
      <c r="AB410" t="s">
        <v>5038</v>
      </c>
      <c r="AC410" t="s">
        <v>5039</v>
      </c>
      <c r="AD410" t="s">
        <v>32</v>
      </c>
      <c r="AE410" t="s">
        <v>1445</v>
      </c>
      <c r="AF410" t="s">
        <v>46835</v>
      </c>
    </row>
    <row r="411" spans="1:32" x14ac:dyDescent="0.2">
      <c r="A411">
        <v>406</v>
      </c>
      <c r="B411" t="s">
        <v>5040</v>
      </c>
      <c r="C411" t="s">
        <v>5041</v>
      </c>
      <c r="D411" t="s">
        <v>5042</v>
      </c>
      <c r="E411" t="s">
        <v>5043</v>
      </c>
      <c r="F411" t="s">
        <v>5044</v>
      </c>
      <c r="G411" t="s">
        <v>5045</v>
      </c>
      <c r="H411" t="str">
        <f>"Ddx5"</f>
        <v>Ddx5</v>
      </c>
      <c r="I411" t="s">
        <v>5046</v>
      </c>
      <c r="J411" t="s">
        <v>37</v>
      </c>
      <c r="K411">
        <v>10090</v>
      </c>
      <c r="L411" s="3" t="str">
        <f>HYPERLINK("http://www.uniprot.org/uniprot/Q61656", "Q61656")</f>
        <v>Q61656</v>
      </c>
      <c r="M411" t="s">
        <v>5047</v>
      </c>
      <c r="N411" t="str">
        <f>"Ddx5"</f>
        <v>Ddx5</v>
      </c>
      <c r="O411" s="3" t="str">
        <f>HYPERLINK("http://www.informatics.jax.org/marker/MGI:105037", "MGI:105037")</f>
        <v>MGI:105037</v>
      </c>
      <c r="P411" t="s">
        <v>5048</v>
      </c>
      <c r="Q411" t="s">
        <v>5049</v>
      </c>
      <c r="R411" t="s">
        <v>2219</v>
      </c>
      <c r="S411" t="s">
        <v>32</v>
      </c>
      <c r="T411" t="s">
        <v>32</v>
      </c>
      <c r="U411" t="s">
        <v>32</v>
      </c>
      <c r="V411" t="s">
        <v>32</v>
      </c>
      <c r="W411" t="s">
        <v>205</v>
      </c>
      <c r="X411" t="s">
        <v>5050</v>
      </c>
      <c r="Y411" t="s">
        <v>207</v>
      </c>
      <c r="Z411" t="s">
        <v>32</v>
      </c>
      <c r="AA411" t="s">
        <v>5051</v>
      </c>
      <c r="AB411" t="s">
        <v>5052</v>
      </c>
      <c r="AC411" t="s">
        <v>5053</v>
      </c>
      <c r="AD411" t="s">
        <v>32</v>
      </c>
      <c r="AE411" t="s">
        <v>5054</v>
      </c>
      <c r="AF411" t="s">
        <v>46835</v>
      </c>
    </row>
    <row r="412" spans="1:32" x14ac:dyDescent="0.2">
      <c r="A412">
        <v>407</v>
      </c>
      <c r="B412" t="s">
        <v>5055</v>
      </c>
      <c r="C412" t="s">
        <v>5056</v>
      </c>
      <c r="D412" t="s">
        <v>5057</v>
      </c>
      <c r="E412" t="s">
        <v>5058</v>
      </c>
      <c r="F412" t="s">
        <v>5059</v>
      </c>
      <c r="G412" t="s">
        <v>32</v>
      </c>
      <c r="H412" t="str">
        <f>"Ddah2"</f>
        <v>Ddah2</v>
      </c>
      <c r="I412" t="s">
        <v>32</v>
      </c>
      <c r="J412" t="s">
        <v>37</v>
      </c>
      <c r="K412">
        <v>10090</v>
      </c>
      <c r="L412" s="3" t="str">
        <f>HYPERLINK("http://www.uniprot.org/uniprot/Q99LD8", "Q99LD8")</f>
        <v>Q99LD8</v>
      </c>
      <c r="M412" t="s">
        <v>5060</v>
      </c>
      <c r="N412" t="str">
        <f>"Ddah2"</f>
        <v>Ddah2</v>
      </c>
      <c r="O412" s="3" t="str">
        <f>HYPERLINK("http://www.informatics.jax.org/marker/MGI:1859016", "MGI:1859016")</f>
        <v>MGI:1859016</v>
      </c>
      <c r="P412" t="s">
        <v>5061</v>
      </c>
      <c r="Q412" t="s">
        <v>32</v>
      </c>
      <c r="R412" t="s">
        <v>1842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343</v>
      </c>
      <c r="Y412" t="s">
        <v>32</v>
      </c>
      <c r="Z412" t="s">
        <v>32</v>
      </c>
      <c r="AA412" t="s">
        <v>5062</v>
      </c>
      <c r="AB412" t="s">
        <v>3721</v>
      </c>
      <c r="AC412" t="s">
        <v>5063</v>
      </c>
      <c r="AD412" t="s">
        <v>32</v>
      </c>
      <c r="AE412" t="s">
        <v>5064</v>
      </c>
      <c r="AF412" t="s">
        <v>46835</v>
      </c>
    </row>
    <row r="413" spans="1:32" x14ac:dyDescent="0.2">
      <c r="A413">
        <v>408</v>
      </c>
      <c r="B413" t="s">
        <v>5065</v>
      </c>
      <c r="C413" t="s">
        <v>5066</v>
      </c>
      <c r="D413" t="s">
        <v>32</v>
      </c>
      <c r="E413" t="s">
        <v>5067</v>
      </c>
      <c r="F413" t="s">
        <v>5068</v>
      </c>
      <c r="G413" t="s">
        <v>5069</v>
      </c>
      <c r="H413" t="str">
        <f>"Rps24"</f>
        <v>Rps24</v>
      </c>
      <c r="I413" t="s">
        <v>32</v>
      </c>
      <c r="J413" t="s">
        <v>37</v>
      </c>
      <c r="K413">
        <v>10090</v>
      </c>
      <c r="L413" s="3" t="str">
        <f>HYPERLINK("http://www.uniprot.org/uniprot/P62849", "P62849")</f>
        <v>P62849</v>
      </c>
      <c r="M413" t="s">
        <v>5070</v>
      </c>
      <c r="N413" t="str">
        <f>"Rps24"</f>
        <v>Rps24</v>
      </c>
      <c r="O413" s="3" t="str">
        <f>HYPERLINK("http://www.informatics.jax.org/marker/MGI:98147", "MGI:98147")</f>
        <v>MGI:98147</v>
      </c>
      <c r="P413" t="s">
        <v>5071</v>
      </c>
      <c r="Q413" t="s">
        <v>32</v>
      </c>
      <c r="R413" t="s">
        <v>32</v>
      </c>
      <c r="S413" t="s">
        <v>41</v>
      </c>
      <c r="T413" t="s">
        <v>32</v>
      </c>
      <c r="U413" t="s">
        <v>32</v>
      </c>
      <c r="V413" t="s">
        <v>32</v>
      </c>
      <c r="W413" t="s">
        <v>32</v>
      </c>
      <c r="X413" t="s">
        <v>447</v>
      </c>
      <c r="Y413" t="s">
        <v>516</v>
      </c>
      <c r="Z413" t="s">
        <v>126</v>
      </c>
      <c r="AA413" t="s">
        <v>2388</v>
      </c>
      <c r="AB413" t="s">
        <v>5072</v>
      </c>
      <c r="AC413" t="s">
        <v>5073</v>
      </c>
      <c r="AD413" t="s">
        <v>32</v>
      </c>
      <c r="AE413" t="s">
        <v>691</v>
      </c>
      <c r="AF413" t="s">
        <v>46835</v>
      </c>
    </row>
    <row r="414" spans="1:32" x14ac:dyDescent="0.2">
      <c r="A414">
        <v>409</v>
      </c>
      <c r="B414" t="s">
        <v>5074</v>
      </c>
      <c r="C414" t="s">
        <v>5075</v>
      </c>
      <c r="D414" t="s">
        <v>5076</v>
      </c>
      <c r="E414" t="s">
        <v>5077</v>
      </c>
      <c r="F414" t="s">
        <v>5078</v>
      </c>
      <c r="G414" t="s">
        <v>5079</v>
      </c>
      <c r="H414" t="str">
        <f>"Dpp3"</f>
        <v>Dpp3</v>
      </c>
      <c r="I414" t="s">
        <v>32</v>
      </c>
      <c r="J414" t="s">
        <v>37</v>
      </c>
      <c r="K414">
        <v>10090</v>
      </c>
      <c r="L414" s="3" t="str">
        <f>HYPERLINK("http://www.uniprot.org/uniprot/Q99KK7", "Q99KK7")</f>
        <v>Q99KK7</v>
      </c>
      <c r="M414" t="s">
        <v>5080</v>
      </c>
      <c r="N414" t="str">
        <f>"Dpp3"</f>
        <v>Dpp3</v>
      </c>
      <c r="O414" s="3" t="str">
        <f>HYPERLINK("http://www.informatics.jax.org/marker/MGI:1922471", "MGI:1922471")</f>
        <v>MGI:1922471</v>
      </c>
      <c r="P414" t="s">
        <v>5081</v>
      </c>
      <c r="Q414" t="s">
        <v>32</v>
      </c>
      <c r="R414" t="s">
        <v>418</v>
      </c>
      <c r="S414" t="s">
        <v>32</v>
      </c>
      <c r="T414" t="s">
        <v>32</v>
      </c>
      <c r="U414" t="s">
        <v>32</v>
      </c>
      <c r="V414" t="s">
        <v>32</v>
      </c>
      <c r="W414" t="s">
        <v>42</v>
      </c>
      <c r="X414" t="s">
        <v>4215</v>
      </c>
      <c r="Y414" t="s">
        <v>78</v>
      </c>
      <c r="Z414" t="s">
        <v>32</v>
      </c>
      <c r="AA414" t="s">
        <v>5082</v>
      </c>
      <c r="AB414" t="s">
        <v>2206</v>
      </c>
      <c r="AC414" t="s">
        <v>5083</v>
      </c>
      <c r="AD414" t="s">
        <v>32</v>
      </c>
      <c r="AE414" t="s">
        <v>32</v>
      </c>
      <c r="AF414" t="s">
        <v>46835</v>
      </c>
    </row>
    <row r="415" spans="1:32" x14ac:dyDescent="0.2">
      <c r="A415">
        <v>410</v>
      </c>
      <c r="B415" t="s">
        <v>5084</v>
      </c>
      <c r="C415" t="s">
        <v>5085</v>
      </c>
      <c r="D415" t="s">
        <v>5086</v>
      </c>
      <c r="E415" t="s">
        <v>5087</v>
      </c>
      <c r="F415" t="s">
        <v>5088</v>
      </c>
      <c r="G415" t="s">
        <v>32</v>
      </c>
      <c r="H415" t="str">
        <f>"Anxa2"</f>
        <v>Anxa2</v>
      </c>
      <c r="I415" t="s">
        <v>5089</v>
      </c>
      <c r="J415" t="s">
        <v>37</v>
      </c>
      <c r="K415">
        <v>10090</v>
      </c>
      <c r="L415" s="3" t="str">
        <f>HYPERLINK("http://www.uniprot.org/uniprot/P07356", "P07356")</f>
        <v>P07356</v>
      </c>
      <c r="M415" t="s">
        <v>5090</v>
      </c>
      <c r="N415" t="str">
        <f>"Anxa2"</f>
        <v>Anxa2</v>
      </c>
      <c r="O415" s="3" t="str">
        <f>HYPERLINK("http://www.informatics.jax.org/marker/MGI:88246", "MGI:88246")</f>
        <v>MGI:88246</v>
      </c>
      <c r="P415" t="s">
        <v>5091</v>
      </c>
      <c r="Q415" t="s">
        <v>32</v>
      </c>
      <c r="R415" t="s">
        <v>2785</v>
      </c>
      <c r="S415" t="s">
        <v>32</v>
      </c>
      <c r="T415" t="s">
        <v>32</v>
      </c>
      <c r="U415" t="s">
        <v>32</v>
      </c>
      <c r="V415" t="s">
        <v>3029</v>
      </c>
      <c r="W415" t="s">
        <v>3030</v>
      </c>
      <c r="X415" t="s">
        <v>32</v>
      </c>
      <c r="Y415" t="s">
        <v>516</v>
      </c>
      <c r="Z415" t="s">
        <v>126</v>
      </c>
      <c r="AA415" t="s">
        <v>5092</v>
      </c>
      <c r="AB415" t="s">
        <v>5093</v>
      </c>
      <c r="AC415" t="s">
        <v>5094</v>
      </c>
      <c r="AD415" t="s">
        <v>32</v>
      </c>
      <c r="AE415" t="s">
        <v>5095</v>
      </c>
      <c r="AF415" t="s">
        <v>46835</v>
      </c>
    </row>
    <row r="416" spans="1:32" x14ac:dyDescent="0.2">
      <c r="A416">
        <v>411</v>
      </c>
      <c r="B416" t="s">
        <v>5096</v>
      </c>
      <c r="C416" t="s">
        <v>5097</v>
      </c>
      <c r="D416" t="s">
        <v>5098</v>
      </c>
      <c r="E416" t="s">
        <v>5099</v>
      </c>
      <c r="F416" t="s">
        <v>5100</v>
      </c>
      <c r="G416" t="s">
        <v>5101</v>
      </c>
      <c r="H416" t="str">
        <f>"Sorbs1"</f>
        <v>Sorbs1</v>
      </c>
      <c r="I416" t="s">
        <v>32</v>
      </c>
      <c r="J416" t="s">
        <v>37</v>
      </c>
      <c r="K416">
        <v>10090</v>
      </c>
      <c r="L416" s="3" t="str">
        <f>HYPERLINK("http://www.uniprot.org/uniprot/Q62417", "Q62417")</f>
        <v>Q62417</v>
      </c>
      <c r="M416" t="s">
        <v>5102</v>
      </c>
      <c r="N416" t="str">
        <f>"Sorbs1"</f>
        <v>Sorbs1</v>
      </c>
      <c r="O416" s="3" t="str">
        <f>HYPERLINK("http://www.informatics.jax.org/marker/MGI:700014", "MGI:700014")</f>
        <v>MGI:700014</v>
      </c>
      <c r="P416" t="s">
        <v>5103</v>
      </c>
      <c r="Q416" t="s">
        <v>4425</v>
      </c>
      <c r="R416" t="s">
        <v>5104</v>
      </c>
      <c r="S416" t="s">
        <v>41</v>
      </c>
      <c r="T416" t="s">
        <v>32</v>
      </c>
      <c r="U416" t="s">
        <v>32</v>
      </c>
      <c r="V416" t="s">
        <v>187</v>
      </c>
      <c r="W416" t="s">
        <v>32</v>
      </c>
      <c r="X416" t="s">
        <v>32</v>
      </c>
      <c r="Y416" t="s">
        <v>4720</v>
      </c>
      <c r="Z416" t="s">
        <v>32</v>
      </c>
      <c r="AA416" t="s">
        <v>5105</v>
      </c>
      <c r="AB416" t="s">
        <v>5106</v>
      </c>
      <c r="AC416" t="s">
        <v>5107</v>
      </c>
      <c r="AD416" t="s">
        <v>32</v>
      </c>
      <c r="AE416" t="s">
        <v>5108</v>
      </c>
      <c r="AF416" t="s">
        <v>46835</v>
      </c>
    </row>
    <row r="417" spans="1:32" x14ac:dyDescent="0.2">
      <c r="A417">
        <v>412</v>
      </c>
      <c r="B417" t="s">
        <v>5109</v>
      </c>
      <c r="C417" t="s">
        <v>5110</v>
      </c>
      <c r="D417" t="s">
        <v>5111</v>
      </c>
      <c r="E417" t="s">
        <v>5112</v>
      </c>
      <c r="F417" t="s">
        <v>5113</v>
      </c>
      <c r="G417" t="s">
        <v>5114</v>
      </c>
      <c r="H417" t="str">
        <f>"Btf3"</f>
        <v>Btf3</v>
      </c>
      <c r="I417" t="s">
        <v>32</v>
      </c>
      <c r="J417" t="s">
        <v>37</v>
      </c>
      <c r="K417">
        <v>10090</v>
      </c>
      <c r="L417" s="3" t="str">
        <f>HYPERLINK("http://www.uniprot.org/uniprot/Q64152", "Q64152")</f>
        <v>Q64152</v>
      </c>
      <c r="M417" t="s">
        <v>5115</v>
      </c>
      <c r="N417" t="str">
        <f>"Btf3"</f>
        <v>Btf3</v>
      </c>
      <c r="O417" s="3" t="str">
        <f>HYPERLINK("http://www.informatics.jax.org/marker/MGI:1202875", "MGI:1202875")</f>
        <v>MGI:1202875</v>
      </c>
      <c r="P417" t="s">
        <v>5116</v>
      </c>
      <c r="Q417" t="s">
        <v>5117</v>
      </c>
      <c r="R417" t="s">
        <v>40</v>
      </c>
      <c r="S417" t="s">
        <v>41</v>
      </c>
      <c r="T417" t="s">
        <v>32</v>
      </c>
      <c r="U417" t="s">
        <v>32</v>
      </c>
      <c r="V417" t="s">
        <v>32</v>
      </c>
      <c r="W417" t="s">
        <v>32</v>
      </c>
      <c r="X417" t="s">
        <v>388</v>
      </c>
      <c r="Y417" t="s">
        <v>2734</v>
      </c>
      <c r="Z417" t="s">
        <v>32</v>
      </c>
      <c r="AA417" t="s">
        <v>5118</v>
      </c>
      <c r="AB417" t="s">
        <v>5119</v>
      </c>
      <c r="AC417" t="s">
        <v>32</v>
      </c>
      <c r="AD417" t="s">
        <v>32</v>
      </c>
      <c r="AE417" t="s">
        <v>32</v>
      </c>
      <c r="AF417" t="s">
        <v>46835</v>
      </c>
    </row>
    <row r="418" spans="1:32" x14ac:dyDescent="0.2">
      <c r="A418">
        <v>413</v>
      </c>
      <c r="B418" t="s">
        <v>5120</v>
      </c>
      <c r="C418" t="s">
        <v>5121</v>
      </c>
      <c r="D418" t="s">
        <v>5122</v>
      </c>
      <c r="E418" t="s">
        <v>5123</v>
      </c>
      <c r="F418" t="s">
        <v>5124</v>
      </c>
      <c r="G418" t="s">
        <v>5125</v>
      </c>
      <c r="H418" t="str">
        <f>"Dhx9"</f>
        <v>Dhx9</v>
      </c>
      <c r="I418" t="s">
        <v>32</v>
      </c>
      <c r="J418" t="s">
        <v>37</v>
      </c>
      <c r="K418">
        <v>10090</v>
      </c>
      <c r="L418" s="3" t="str">
        <f>HYPERLINK("http://www.uniprot.org/uniprot/O70133", "O70133")</f>
        <v>O70133</v>
      </c>
      <c r="M418" t="s">
        <v>5126</v>
      </c>
      <c r="N418" t="str">
        <f>"Dhx9"</f>
        <v>Dhx9</v>
      </c>
      <c r="O418" s="3" t="str">
        <f>HYPERLINK("http://www.informatics.jax.org/marker/MGI:108177", "MGI:108177")</f>
        <v>MGI:108177</v>
      </c>
      <c r="P418" t="s">
        <v>5127</v>
      </c>
      <c r="Q418" t="s">
        <v>5128</v>
      </c>
      <c r="R418" t="s">
        <v>324</v>
      </c>
      <c r="S418" t="s">
        <v>41</v>
      </c>
      <c r="T418" t="s">
        <v>32</v>
      </c>
      <c r="U418" t="s">
        <v>32</v>
      </c>
      <c r="V418" t="s">
        <v>55</v>
      </c>
      <c r="W418" t="s">
        <v>5129</v>
      </c>
      <c r="X418" t="s">
        <v>5130</v>
      </c>
      <c r="Y418" t="s">
        <v>207</v>
      </c>
      <c r="Z418" t="s">
        <v>126</v>
      </c>
      <c r="AA418" t="s">
        <v>5131</v>
      </c>
      <c r="AB418" t="s">
        <v>5132</v>
      </c>
      <c r="AC418" t="s">
        <v>5133</v>
      </c>
      <c r="AD418" t="s">
        <v>32</v>
      </c>
      <c r="AE418" t="s">
        <v>5134</v>
      </c>
      <c r="AF418" t="s">
        <v>46835</v>
      </c>
    </row>
    <row r="419" spans="1:32" x14ac:dyDescent="0.2">
      <c r="A419">
        <v>414</v>
      </c>
      <c r="B419" t="s">
        <v>5135</v>
      </c>
      <c r="C419" t="s">
        <v>5136</v>
      </c>
      <c r="D419" t="s">
        <v>5137</v>
      </c>
      <c r="E419" t="s">
        <v>5138</v>
      </c>
      <c r="F419" t="s">
        <v>5139</v>
      </c>
      <c r="G419" t="s">
        <v>32</v>
      </c>
      <c r="H419" t="str">
        <f>"Pafah1b3"</f>
        <v>Pafah1b3</v>
      </c>
      <c r="I419" t="s">
        <v>5140</v>
      </c>
      <c r="J419" t="s">
        <v>37</v>
      </c>
      <c r="K419">
        <v>10090</v>
      </c>
      <c r="L419" s="3" t="str">
        <f>HYPERLINK("http://www.uniprot.org/uniprot/Q61205", "Q61205")</f>
        <v>Q61205</v>
      </c>
      <c r="M419" t="s">
        <v>5141</v>
      </c>
      <c r="N419" t="str">
        <f>"Pafah1b3"</f>
        <v>Pafah1b3</v>
      </c>
      <c r="O419" s="3" t="str">
        <f>HYPERLINK("http://www.informatics.jax.org/marker/MGI:108414", "MGI:108414")</f>
        <v>MGI:108414</v>
      </c>
      <c r="P419" t="s">
        <v>5142</v>
      </c>
      <c r="Q419" t="s">
        <v>4809</v>
      </c>
      <c r="R419" t="s">
        <v>418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343</v>
      </c>
      <c r="Y419" t="s">
        <v>157</v>
      </c>
      <c r="Z419" t="s">
        <v>32</v>
      </c>
      <c r="AA419" t="s">
        <v>5143</v>
      </c>
      <c r="AB419" t="s">
        <v>5144</v>
      </c>
      <c r="AC419" t="s">
        <v>5145</v>
      </c>
      <c r="AD419" t="s">
        <v>32</v>
      </c>
      <c r="AE419" t="s">
        <v>5146</v>
      </c>
      <c r="AF419" t="s">
        <v>46835</v>
      </c>
    </row>
    <row r="420" spans="1:32" x14ac:dyDescent="0.2">
      <c r="A420">
        <v>415</v>
      </c>
      <c r="B420" t="s">
        <v>5147</v>
      </c>
      <c r="C420" t="s">
        <v>5148</v>
      </c>
      <c r="D420" t="s">
        <v>5149</v>
      </c>
      <c r="E420" t="s">
        <v>5150</v>
      </c>
      <c r="F420" t="s">
        <v>5151</v>
      </c>
      <c r="G420" t="s">
        <v>5152</v>
      </c>
      <c r="H420" t="str">
        <f>"Dbn1"</f>
        <v>Dbn1</v>
      </c>
      <c r="I420" t="s">
        <v>5153</v>
      </c>
      <c r="J420" t="s">
        <v>37</v>
      </c>
      <c r="K420">
        <v>10090</v>
      </c>
      <c r="L420" s="3" t="str">
        <f>HYPERLINK("http://www.uniprot.org/uniprot/Q9QXS6", "Q9QXS6")</f>
        <v>Q9QXS6</v>
      </c>
      <c r="M420" t="s">
        <v>5154</v>
      </c>
      <c r="N420" t="str">
        <f>"Dbn1"</f>
        <v>Dbn1</v>
      </c>
      <c r="O420" s="3" t="str">
        <f>HYPERLINK("http://www.informatics.jax.org/marker/MGI:1931838", "MGI:1931838")</f>
        <v>MGI:1931838</v>
      </c>
      <c r="P420" t="s">
        <v>5155</v>
      </c>
      <c r="Q420" t="s">
        <v>2027</v>
      </c>
      <c r="R420" t="s">
        <v>5156</v>
      </c>
      <c r="S420" t="s">
        <v>41</v>
      </c>
      <c r="T420" t="s">
        <v>32</v>
      </c>
      <c r="U420" t="s">
        <v>32</v>
      </c>
      <c r="V420" t="s">
        <v>32</v>
      </c>
      <c r="W420" t="s">
        <v>32</v>
      </c>
      <c r="X420" t="s">
        <v>5157</v>
      </c>
      <c r="Y420" t="s">
        <v>157</v>
      </c>
      <c r="Z420" t="s">
        <v>32</v>
      </c>
      <c r="AA420" t="s">
        <v>5158</v>
      </c>
      <c r="AB420" t="s">
        <v>5159</v>
      </c>
      <c r="AC420" t="s">
        <v>5160</v>
      </c>
      <c r="AD420" t="s">
        <v>32</v>
      </c>
      <c r="AE420" t="s">
        <v>32</v>
      </c>
      <c r="AF420" t="s">
        <v>46835</v>
      </c>
    </row>
    <row r="421" spans="1:32" x14ac:dyDescent="0.2">
      <c r="A421">
        <v>416</v>
      </c>
      <c r="B421" t="s">
        <v>5161</v>
      </c>
      <c r="C421" t="s">
        <v>5162</v>
      </c>
      <c r="D421" t="s">
        <v>32</v>
      </c>
      <c r="E421" t="s">
        <v>5163</v>
      </c>
      <c r="F421" t="s">
        <v>5164</v>
      </c>
      <c r="G421" t="s">
        <v>5165</v>
      </c>
      <c r="H421" t="str">
        <f>"Hdgf"</f>
        <v>Hdgf</v>
      </c>
      <c r="I421" t="s">
        <v>5166</v>
      </c>
      <c r="J421" t="s">
        <v>37</v>
      </c>
      <c r="K421">
        <v>10090</v>
      </c>
      <c r="L421" s="3" t="str">
        <f>HYPERLINK("http://www.uniprot.org/uniprot/P51859", "P51859")</f>
        <v>P51859</v>
      </c>
      <c r="M421" t="s">
        <v>5167</v>
      </c>
      <c r="N421" t="str">
        <f>"Hdgf"</f>
        <v>Hdgf</v>
      </c>
      <c r="O421" s="3" t="str">
        <f>HYPERLINK("http://www.informatics.jax.org/marker/MGI:1194494", "MGI:1194494")</f>
        <v>MGI:1194494</v>
      </c>
      <c r="P421" t="s">
        <v>5168</v>
      </c>
      <c r="Q421" t="s">
        <v>4152</v>
      </c>
      <c r="R421" t="s">
        <v>542</v>
      </c>
      <c r="S421" t="s">
        <v>32</v>
      </c>
      <c r="T421" t="s">
        <v>32</v>
      </c>
      <c r="U421" t="s">
        <v>32</v>
      </c>
      <c r="V421" t="s">
        <v>32</v>
      </c>
      <c r="W421" t="s">
        <v>5169</v>
      </c>
      <c r="X421" t="s">
        <v>5170</v>
      </c>
      <c r="Y421" t="s">
        <v>1335</v>
      </c>
      <c r="Z421" t="s">
        <v>32</v>
      </c>
      <c r="AA421" t="s">
        <v>5171</v>
      </c>
      <c r="AB421" t="s">
        <v>5172</v>
      </c>
      <c r="AC421" t="s">
        <v>5173</v>
      </c>
      <c r="AD421" t="s">
        <v>32</v>
      </c>
      <c r="AE421" t="s">
        <v>32</v>
      </c>
      <c r="AF421" t="s">
        <v>46835</v>
      </c>
    </row>
    <row r="422" spans="1:32" x14ac:dyDescent="0.2">
      <c r="A422">
        <v>417</v>
      </c>
      <c r="B422" t="s">
        <v>5174</v>
      </c>
      <c r="C422" t="s">
        <v>5175</v>
      </c>
      <c r="D422" t="s">
        <v>5176</v>
      </c>
      <c r="E422" t="s">
        <v>5177</v>
      </c>
      <c r="F422" t="s">
        <v>5178</v>
      </c>
      <c r="G422" t="s">
        <v>5179</v>
      </c>
      <c r="H422" t="str">
        <f>"Ddx19a"</f>
        <v>Ddx19a</v>
      </c>
      <c r="I422" t="s">
        <v>5180</v>
      </c>
      <c r="J422" t="s">
        <v>37</v>
      </c>
      <c r="K422">
        <v>10090</v>
      </c>
      <c r="L422" s="3" t="str">
        <f>HYPERLINK("http://www.uniprot.org/uniprot/Q61655", "Q61655")</f>
        <v>Q61655</v>
      </c>
      <c r="M422" t="s">
        <v>5181</v>
      </c>
      <c r="N422" t="str">
        <f>"Ddx19a"</f>
        <v>Ddx19a</v>
      </c>
      <c r="O422" s="3" t="str">
        <f>HYPERLINK("http://www.informatics.jax.org/marker/MGI:99526", "MGI:99526")</f>
        <v>MGI:99526</v>
      </c>
      <c r="P422" t="s">
        <v>5182</v>
      </c>
      <c r="Q422" t="s">
        <v>32</v>
      </c>
      <c r="R422" t="s">
        <v>40</v>
      </c>
      <c r="S422" t="s">
        <v>32</v>
      </c>
      <c r="T422" t="s">
        <v>32</v>
      </c>
      <c r="U422" t="s">
        <v>32</v>
      </c>
      <c r="V422" t="s">
        <v>32</v>
      </c>
      <c r="W422" t="s">
        <v>205</v>
      </c>
      <c r="X422" t="s">
        <v>5050</v>
      </c>
      <c r="Y422" t="s">
        <v>516</v>
      </c>
      <c r="Z422" t="s">
        <v>32</v>
      </c>
      <c r="AA422" t="s">
        <v>5183</v>
      </c>
      <c r="AB422" t="s">
        <v>5184</v>
      </c>
      <c r="AC422" t="s">
        <v>5185</v>
      </c>
      <c r="AD422" t="s">
        <v>32</v>
      </c>
      <c r="AE422" t="s">
        <v>32</v>
      </c>
      <c r="AF422" t="s">
        <v>46835</v>
      </c>
    </row>
    <row r="423" spans="1:32" x14ac:dyDescent="0.2">
      <c r="A423">
        <v>418</v>
      </c>
      <c r="B423" t="s">
        <v>5186</v>
      </c>
      <c r="C423" t="s">
        <v>5187</v>
      </c>
      <c r="D423" t="s">
        <v>5188</v>
      </c>
      <c r="E423" t="s">
        <v>5189</v>
      </c>
      <c r="F423" t="s">
        <v>5190</v>
      </c>
      <c r="G423" t="s">
        <v>5191</v>
      </c>
      <c r="H423" t="str">
        <f>"Anp32a"</f>
        <v>Anp32a</v>
      </c>
      <c r="I423" t="s">
        <v>5192</v>
      </c>
      <c r="J423" t="s">
        <v>37</v>
      </c>
      <c r="K423">
        <v>10090</v>
      </c>
      <c r="L423" s="3" t="str">
        <f>HYPERLINK("http://www.uniprot.org/uniprot/O35381", "O35381")</f>
        <v>O35381</v>
      </c>
      <c r="M423" t="s">
        <v>5193</v>
      </c>
      <c r="N423" t="str">
        <f>"Anp32a"</f>
        <v>Anp32a</v>
      </c>
      <c r="O423" s="3" t="str">
        <f>HYPERLINK("http://www.informatics.jax.org/marker/MGI:108447", "MGI:108447")</f>
        <v>MGI:108447</v>
      </c>
      <c r="P423" t="s">
        <v>5194</v>
      </c>
      <c r="Q423" t="s">
        <v>4152</v>
      </c>
      <c r="R423" t="s">
        <v>729</v>
      </c>
      <c r="S423" t="s">
        <v>32</v>
      </c>
      <c r="T423" t="s">
        <v>32</v>
      </c>
      <c r="U423" t="s">
        <v>32</v>
      </c>
      <c r="V423" t="s">
        <v>2701</v>
      </c>
      <c r="W423" t="s">
        <v>32</v>
      </c>
      <c r="X423" t="s">
        <v>5195</v>
      </c>
      <c r="Y423" t="s">
        <v>618</v>
      </c>
      <c r="Z423" t="s">
        <v>126</v>
      </c>
      <c r="AA423" t="s">
        <v>5196</v>
      </c>
      <c r="AB423" t="s">
        <v>5197</v>
      </c>
      <c r="AC423" t="s">
        <v>5198</v>
      </c>
      <c r="AD423" t="s">
        <v>32</v>
      </c>
      <c r="AE423" t="s">
        <v>5199</v>
      </c>
      <c r="AF423" t="s">
        <v>46835</v>
      </c>
    </row>
    <row r="424" spans="1:32" x14ac:dyDescent="0.2">
      <c r="A424">
        <v>419</v>
      </c>
      <c r="B424" t="s">
        <v>5200</v>
      </c>
      <c r="C424" t="s">
        <v>5201</v>
      </c>
      <c r="D424" t="s">
        <v>5202</v>
      </c>
      <c r="E424" t="s">
        <v>5203</v>
      </c>
      <c r="F424" t="s">
        <v>5204</v>
      </c>
      <c r="G424" t="s">
        <v>5205</v>
      </c>
      <c r="H424" t="str">
        <f>"Cbx3"</f>
        <v>Cbx3</v>
      </c>
      <c r="I424" t="s">
        <v>32</v>
      </c>
      <c r="J424" t="s">
        <v>37</v>
      </c>
      <c r="K424">
        <v>10090</v>
      </c>
      <c r="L424" s="3" t="str">
        <f>HYPERLINK("http://www.uniprot.org/uniprot/P23198", "P23198")</f>
        <v>P23198</v>
      </c>
      <c r="M424" t="s">
        <v>5206</v>
      </c>
      <c r="N424" t="str">
        <f>"Cbx3"</f>
        <v>Cbx3</v>
      </c>
      <c r="O424" s="3" t="str">
        <f>HYPERLINK("http://www.informatics.jax.org/marker/MGI:108515", "MGI:108515")</f>
        <v>MGI:108515</v>
      </c>
      <c r="P424" t="s">
        <v>5207</v>
      </c>
      <c r="Q424" t="s">
        <v>1992</v>
      </c>
      <c r="R424" t="s">
        <v>2279</v>
      </c>
      <c r="S424" t="s">
        <v>32</v>
      </c>
      <c r="T424" t="s">
        <v>32</v>
      </c>
      <c r="U424" t="s">
        <v>32</v>
      </c>
      <c r="V424" t="s">
        <v>55</v>
      </c>
      <c r="W424" t="s">
        <v>32</v>
      </c>
      <c r="X424" t="s">
        <v>5208</v>
      </c>
      <c r="Y424" t="s">
        <v>516</v>
      </c>
      <c r="Z424" t="s">
        <v>32</v>
      </c>
      <c r="AA424" t="s">
        <v>5209</v>
      </c>
      <c r="AB424" t="s">
        <v>5210</v>
      </c>
      <c r="AC424" t="s">
        <v>5211</v>
      </c>
      <c r="AD424" t="s">
        <v>32</v>
      </c>
      <c r="AE424" t="s">
        <v>5212</v>
      </c>
      <c r="AF424" t="s">
        <v>46835</v>
      </c>
    </row>
    <row r="425" spans="1:32" x14ac:dyDescent="0.2">
      <c r="A425">
        <v>420</v>
      </c>
      <c r="B425" t="s">
        <v>5213</v>
      </c>
      <c r="C425" t="s">
        <v>5214</v>
      </c>
      <c r="D425" t="s">
        <v>5215</v>
      </c>
      <c r="E425" t="s">
        <v>5216</v>
      </c>
      <c r="F425" t="s">
        <v>5217</v>
      </c>
      <c r="G425" t="s">
        <v>5218</v>
      </c>
      <c r="H425" t="str">
        <f>"Plaat3"</f>
        <v>Plaat3</v>
      </c>
      <c r="I425" t="s">
        <v>32</v>
      </c>
      <c r="J425" t="s">
        <v>37</v>
      </c>
      <c r="K425">
        <v>10090</v>
      </c>
      <c r="L425" s="3" t="str">
        <f>HYPERLINK("http://www.uniprot.org/uniprot/Q8R3U1", "Q8R3U1")</f>
        <v>Q8R3U1</v>
      </c>
      <c r="M425" t="s">
        <v>5219</v>
      </c>
      <c r="N425" t="str">
        <f>"Plaat3"</f>
        <v>Plaat3</v>
      </c>
      <c r="O425" s="3" t="str">
        <f>HYPERLINK("http://www.informatics.jax.org/marker/MGI:2179715", "MGI:2179715")</f>
        <v>MGI:2179715</v>
      </c>
      <c r="P425" t="s">
        <v>5220</v>
      </c>
      <c r="Q425" t="s">
        <v>4809</v>
      </c>
      <c r="R425" t="s">
        <v>5221</v>
      </c>
      <c r="S425" t="s">
        <v>41</v>
      </c>
      <c r="T425" t="s">
        <v>32</v>
      </c>
      <c r="U425" t="s">
        <v>32</v>
      </c>
      <c r="V425" t="s">
        <v>493</v>
      </c>
      <c r="W425" t="s">
        <v>32</v>
      </c>
      <c r="X425" t="s">
        <v>5222</v>
      </c>
      <c r="Y425" t="s">
        <v>32</v>
      </c>
      <c r="Z425" t="s">
        <v>32</v>
      </c>
      <c r="AA425" t="s">
        <v>5223</v>
      </c>
      <c r="AB425" t="s">
        <v>5224</v>
      </c>
      <c r="AC425" t="s">
        <v>5225</v>
      </c>
      <c r="AD425" t="s">
        <v>32</v>
      </c>
      <c r="AE425" t="s">
        <v>5226</v>
      </c>
      <c r="AF425" t="s">
        <v>46835</v>
      </c>
    </row>
    <row r="426" spans="1:32" x14ac:dyDescent="0.2">
      <c r="A426">
        <v>421</v>
      </c>
      <c r="B426" t="s">
        <v>5227</v>
      </c>
      <c r="C426" t="s">
        <v>5228</v>
      </c>
      <c r="D426" t="s">
        <v>32</v>
      </c>
      <c r="E426" t="s">
        <v>5229</v>
      </c>
      <c r="F426" t="s">
        <v>5230</v>
      </c>
      <c r="G426" t="s">
        <v>5231</v>
      </c>
      <c r="H426" t="str">
        <f>"Ktn1"</f>
        <v>Ktn1</v>
      </c>
      <c r="I426" t="s">
        <v>32</v>
      </c>
      <c r="J426" t="s">
        <v>37</v>
      </c>
      <c r="K426">
        <v>10090</v>
      </c>
      <c r="L426" s="3" t="str">
        <f>HYPERLINK("http://www.uniprot.org/uniprot/Q61595", "Q61595")</f>
        <v>Q61595</v>
      </c>
      <c r="M426" t="s">
        <v>5232</v>
      </c>
      <c r="N426" t="str">
        <f>"Ktn1"</f>
        <v>Ktn1</v>
      </c>
      <c r="O426" s="3" t="str">
        <f>HYPERLINK("http://www.informatics.jax.org/marker/MGI:109153", "MGI:109153")</f>
        <v>MGI:109153</v>
      </c>
      <c r="P426" t="s">
        <v>5233</v>
      </c>
      <c r="Q426" t="s">
        <v>32</v>
      </c>
      <c r="R426" t="s">
        <v>1664</v>
      </c>
      <c r="S426" t="s">
        <v>41</v>
      </c>
      <c r="T426" t="s">
        <v>32</v>
      </c>
      <c r="U426" t="s">
        <v>32</v>
      </c>
      <c r="V426" t="s">
        <v>3078</v>
      </c>
      <c r="W426" t="s">
        <v>32</v>
      </c>
      <c r="X426" t="s">
        <v>32</v>
      </c>
      <c r="Y426" t="s">
        <v>4720</v>
      </c>
      <c r="Z426" t="s">
        <v>32</v>
      </c>
      <c r="AA426" t="s">
        <v>5234</v>
      </c>
      <c r="AB426" t="s">
        <v>4272</v>
      </c>
      <c r="AC426" t="s">
        <v>5235</v>
      </c>
      <c r="AD426" t="s">
        <v>32</v>
      </c>
      <c r="AE426" t="s">
        <v>5236</v>
      </c>
      <c r="AF426" t="s">
        <v>46835</v>
      </c>
    </row>
    <row r="427" spans="1:32" x14ac:dyDescent="0.2">
      <c r="A427">
        <v>422</v>
      </c>
      <c r="B427" t="s">
        <v>5237</v>
      </c>
      <c r="C427" t="s">
        <v>5238</v>
      </c>
      <c r="D427" t="s">
        <v>5239</v>
      </c>
      <c r="E427" t="s">
        <v>5240</v>
      </c>
      <c r="F427" t="s">
        <v>5241</v>
      </c>
      <c r="G427" t="s">
        <v>5242</v>
      </c>
      <c r="H427" t="str">
        <f>"Ncam1"</f>
        <v>Ncam1</v>
      </c>
      <c r="I427" t="s">
        <v>5243</v>
      </c>
      <c r="J427" t="s">
        <v>37</v>
      </c>
      <c r="K427">
        <v>10090</v>
      </c>
      <c r="L427" s="3" t="str">
        <f>HYPERLINK("http://www.uniprot.org/uniprot/P13595", "P13595")</f>
        <v>P13595</v>
      </c>
      <c r="M427" t="s">
        <v>5244</v>
      </c>
      <c r="N427" t="str">
        <f>"Ncam1"</f>
        <v>Ncam1</v>
      </c>
      <c r="O427" s="3" t="str">
        <f>HYPERLINK("http://www.informatics.jax.org/marker/MGI:97281", "MGI:97281")</f>
        <v>MGI:97281</v>
      </c>
      <c r="P427" t="s">
        <v>5245</v>
      </c>
      <c r="Q427" t="s">
        <v>2784</v>
      </c>
      <c r="R427" t="s">
        <v>2474</v>
      </c>
      <c r="S427" t="s">
        <v>41</v>
      </c>
      <c r="T427" t="s">
        <v>32</v>
      </c>
      <c r="U427" t="s">
        <v>32</v>
      </c>
      <c r="V427" t="s">
        <v>2864</v>
      </c>
      <c r="W427" t="s">
        <v>32</v>
      </c>
      <c r="X427" t="s">
        <v>5246</v>
      </c>
      <c r="Y427" t="s">
        <v>5247</v>
      </c>
      <c r="Z427" t="s">
        <v>126</v>
      </c>
      <c r="AA427" t="s">
        <v>5248</v>
      </c>
      <c r="AB427" t="s">
        <v>5249</v>
      </c>
      <c r="AC427" t="s">
        <v>5250</v>
      </c>
      <c r="AD427" t="s">
        <v>32</v>
      </c>
      <c r="AE427" t="s">
        <v>5251</v>
      </c>
      <c r="AF427" t="s">
        <v>46835</v>
      </c>
    </row>
    <row r="428" spans="1:32" x14ac:dyDescent="0.2">
      <c r="A428">
        <v>423</v>
      </c>
      <c r="B428" t="s">
        <v>5252</v>
      </c>
      <c r="C428" t="s">
        <v>5253</v>
      </c>
      <c r="D428" t="s">
        <v>5254</v>
      </c>
      <c r="E428" t="s">
        <v>5255</v>
      </c>
      <c r="F428" t="s">
        <v>5256</v>
      </c>
      <c r="G428" t="s">
        <v>32</v>
      </c>
      <c r="H428" t="str">
        <f>"Myl6"</f>
        <v>Myl6</v>
      </c>
      <c r="I428" t="s">
        <v>5257</v>
      </c>
      <c r="J428" t="s">
        <v>37</v>
      </c>
      <c r="K428">
        <v>10090</v>
      </c>
      <c r="L428" s="3" t="str">
        <f>HYPERLINK("http://www.uniprot.org/uniprot/Q60605", "Q60605")</f>
        <v>Q60605</v>
      </c>
      <c r="M428" t="s">
        <v>5258</v>
      </c>
      <c r="N428" t="str">
        <f>"Myl6"</f>
        <v>Myl6</v>
      </c>
      <c r="O428" s="3" t="str">
        <f>HYPERLINK("http://www.informatics.jax.org/marker/MGI:109318", "MGI:109318")</f>
        <v>MGI:109318</v>
      </c>
      <c r="P428" t="s">
        <v>5259</v>
      </c>
      <c r="Q428" t="s">
        <v>32</v>
      </c>
      <c r="R428" t="s">
        <v>32</v>
      </c>
      <c r="S428" t="s">
        <v>41</v>
      </c>
      <c r="T428" t="s">
        <v>32</v>
      </c>
      <c r="U428" t="s">
        <v>32</v>
      </c>
      <c r="V428" t="s">
        <v>55</v>
      </c>
      <c r="W428" t="s">
        <v>32</v>
      </c>
      <c r="X428" t="s">
        <v>5260</v>
      </c>
      <c r="Y428" t="s">
        <v>157</v>
      </c>
      <c r="Z428" t="s">
        <v>32</v>
      </c>
      <c r="AA428" t="s">
        <v>5261</v>
      </c>
      <c r="AB428" t="s">
        <v>5262</v>
      </c>
      <c r="AC428" t="s">
        <v>5263</v>
      </c>
      <c r="AD428" t="s">
        <v>32</v>
      </c>
      <c r="AE428" t="s">
        <v>5264</v>
      </c>
      <c r="AF428" t="s">
        <v>46835</v>
      </c>
    </row>
    <row r="429" spans="1:32" x14ac:dyDescent="0.2">
      <c r="A429">
        <v>424</v>
      </c>
      <c r="B429" t="s">
        <v>5265</v>
      </c>
      <c r="C429" t="s">
        <v>5266</v>
      </c>
      <c r="D429" t="s">
        <v>5267</v>
      </c>
      <c r="E429" t="s">
        <v>5268</v>
      </c>
      <c r="F429" t="s">
        <v>5269</v>
      </c>
      <c r="G429" t="s">
        <v>5270</v>
      </c>
      <c r="H429" t="str">
        <f>"Psap"</f>
        <v>Psap</v>
      </c>
      <c r="I429" t="s">
        <v>5271</v>
      </c>
      <c r="J429" t="s">
        <v>37</v>
      </c>
      <c r="K429">
        <v>10090</v>
      </c>
      <c r="L429" s="3" t="str">
        <f>HYPERLINK("http://www.uniprot.org/uniprot/Q61207", "Q61207")</f>
        <v>Q61207</v>
      </c>
      <c r="M429" t="s">
        <v>5272</v>
      </c>
      <c r="N429" t="str">
        <f>"Psap"</f>
        <v>Psap</v>
      </c>
      <c r="O429" s="3" t="str">
        <f>HYPERLINK("http://www.informatics.jax.org/marker/MGI:97783", "MGI:97783")</f>
        <v>MGI:97783</v>
      </c>
      <c r="P429" t="s">
        <v>5273</v>
      </c>
      <c r="Q429" t="s">
        <v>32</v>
      </c>
      <c r="R429" t="s">
        <v>5274</v>
      </c>
      <c r="S429" t="s">
        <v>32</v>
      </c>
      <c r="T429" t="s">
        <v>32</v>
      </c>
      <c r="U429" t="s">
        <v>32</v>
      </c>
      <c r="V429" t="s">
        <v>478</v>
      </c>
      <c r="W429" t="s">
        <v>32</v>
      </c>
      <c r="X429" t="s">
        <v>32</v>
      </c>
      <c r="Y429" t="s">
        <v>5275</v>
      </c>
      <c r="Z429" t="s">
        <v>126</v>
      </c>
      <c r="AA429" t="s">
        <v>5276</v>
      </c>
      <c r="AB429" t="s">
        <v>5277</v>
      </c>
      <c r="AC429" t="s">
        <v>5278</v>
      </c>
      <c r="AD429" t="s">
        <v>32</v>
      </c>
      <c r="AE429" t="s">
        <v>5279</v>
      </c>
      <c r="AF429" t="s">
        <v>46835</v>
      </c>
    </row>
    <row r="430" spans="1:32" x14ac:dyDescent="0.2">
      <c r="A430">
        <v>425</v>
      </c>
      <c r="B430" t="s">
        <v>5280</v>
      </c>
      <c r="C430" t="s">
        <v>5281</v>
      </c>
      <c r="D430" t="s">
        <v>5282</v>
      </c>
      <c r="E430" t="s">
        <v>5283</v>
      </c>
      <c r="F430" t="s">
        <v>5284</v>
      </c>
      <c r="G430" t="s">
        <v>5285</v>
      </c>
      <c r="H430" t="str">
        <f>"Ddx1"</f>
        <v>Ddx1</v>
      </c>
      <c r="I430" t="s">
        <v>32</v>
      </c>
      <c r="J430" t="s">
        <v>37</v>
      </c>
      <c r="K430">
        <v>10090</v>
      </c>
      <c r="L430" s="3" t="str">
        <f>HYPERLINK("http://www.uniprot.org/uniprot/Q91VR5", "Q91VR5")</f>
        <v>Q91VR5</v>
      </c>
      <c r="M430" t="s">
        <v>5286</v>
      </c>
      <c r="N430" t="str">
        <f>"Ddx1"</f>
        <v>Ddx1</v>
      </c>
      <c r="O430" s="3" t="str">
        <f>HYPERLINK("http://www.informatics.jax.org/marker/MGI:2144727", "MGI:2144727")</f>
        <v>MGI:2144727</v>
      </c>
      <c r="P430" t="s">
        <v>5287</v>
      </c>
      <c r="Q430" t="s">
        <v>5288</v>
      </c>
      <c r="R430" t="s">
        <v>1021</v>
      </c>
      <c r="S430" t="s">
        <v>32</v>
      </c>
      <c r="T430" t="s">
        <v>32</v>
      </c>
      <c r="U430" t="s">
        <v>32</v>
      </c>
      <c r="V430" t="s">
        <v>32</v>
      </c>
      <c r="W430" t="s">
        <v>205</v>
      </c>
      <c r="X430" t="s">
        <v>5289</v>
      </c>
      <c r="Y430" t="s">
        <v>516</v>
      </c>
      <c r="Z430" t="s">
        <v>32</v>
      </c>
      <c r="AA430" t="s">
        <v>5290</v>
      </c>
      <c r="AB430" t="s">
        <v>5291</v>
      </c>
      <c r="AC430" t="s">
        <v>5292</v>
      </c>
      <c r="AD430" t="s">
        <v>32</v>
      </c>
      <c r="AE430" t="s">
        <v>32</v>
      </c>
      <c r="AF430" t="s">
        <v>46835</v>
      </c>
    </row>
    <row r="431" spans="1:32" x14ac:dyDescent="0.2">
      <c r="A431">
        <v>426</v>
      </c>
      <c r="B431" t="s">
        <v>5293</v>
      </c>
      <c r="C431" t="s">
        <v>5294</v>
      </c>
      <c r="D431" t="s">
        <v>5295</v>
      </c>
      <c r="E431" t="s">
        <v>5296</v>
      </c>
      <c r="F431" t="s">
        <v>5297</v>
      </c>
      <c r="G431" t="s">
        <v>5298</v>
      </c>
      <c r="H431" t="str">
        <f>"NARS1"</f>
        <v>NARS1</v>
      </c>
      <c r="I431" t="s">
        <v>5299</v>
      </c>
      <c r="J431" t="s">
        <v>37</v>
      </c>
      <c r="K431">
        <v>10090</v>
      </c>
      <c r="L431" s="3" t="str">
        <f>HYPERLINK("http://www.uniprot.org/uniprot/Q8BP47", "Q8BP47")</f>
        <v>Q8BP47</v>
      </c>
      <c r="M431" t="s">
        <v>5300</v>
      </c>
      <c r="N431" t="str">
        <f>"Nars"</f>
        <v>Nars</v>
      </c>
      <c r="O431" s="3" t="str">
        <f>HYPERLINK("http://www.informatics.jax.org/marker/MGI:1917473", "MGI:1917473")</f>
        <v>MGI:1917473</v>
      </c>
      <c r="P431" t="s">
        <v>2982</v>
      </c>
      <c r="Q431" t="s">
        <v>260</v>
      </c>
      <c r="R431" t="s">
        <v>418</v>
      </c>
      <c r="S431" t="s">
        <v>32</v>
      </c>
      <c r="T431" t="s">
        <v>32</v>
      </c>
      <c r="U431" t="s">
        <v>32</v>
      </c>
      <c r="V431" t="s">
        <v>32</v>
      </c>
      <c r="W431" t="s">
        <v>205</v>
      </c>
      <c r="X431" t="s">
        <v>2983</v>
      </c>
      <c r="Y431" t="s">
        <v>157</v>
      </c>
      <c r="Z431" t="s">
        <v>32</v>
      </c>
      <c r="AA431" t="s">
        <v>5301</v>
      </c>
      <c r="AB431" t="s">
        <v>3903</v>
      </c>
      <c r="AC431" t="s">
        <v>5302</v>
      </c>
      <c r="AD431" t="s">
        <v>32</v>
      </c>
      <c r="AE431" t="s">
        <v>32</v>
      </c>
      <c r="AF431" t="s">
        <v>46835</v>
      </c>
    </row>
    <row r="432" spans="1:32" x14ac:dyDescent="0.2">
      <c r="A432">
        <v>427</v>
      </c>
      <c r="B432" t="s">
        <v>5303</v>
      </c>
      <c r="C432" t="s">
        <v>5304</v>
      </c>
      <c r="D432" t="s">
        <v>5305</v>
      </c>
      <c r="E432" t="s">
        <v>5306</v>
      </c>
      <c r="F432" t="s">
        <v>5307</v>
      </c>
      <c r="G432" t="s">
        <v>5308</v>
      </c>
      <c r="H432" t="str">
        <f>"Sugt1"</f>
        <v>Sugt1</v>
      </c>
      <c r="I432" t="s">
        <v>32</v>
      </c>
      <c r="J432" t="s">
        <v>37</v>
      </c>
      <c r="K432">
        <v>10090</v>
      </c>
      <c r="L432" s="3" t="str">
        <f>HYPERLINK("http://www.uniprot.org/uniprot/Q9CX34", "Q9CX34")</f>
        <v>Q9CX34</v>
      </c>
      <c r="M432" t="s">
        <v>5309</v>
      </c>
      <c r="N432" t="str">
        <f>"Sugt1"</f>
        <v>Sugt1</v>
      </c>
      <c r="O432" s="3" t="str">
        <f>HYPERLINK("http://www.informatics.jax.org/marker/MGI:1915205", "MGI:1915205")</f>
        <v>MGI:1915205</v>
      </c>
      <c r="P432" t="s">
        <v>5310</v>
      </c>
      <c r="Q432" t="s">
        <v>1020</v>
      </c>
      <c r="R432" t="s">
        <v>40</v>
      </c>
      <c r="S432" t="s">
        <v>32</v>
      </c>
      <c r="T432" t="s">
        <v>32</v>
      </c>
      <c r="U432" t="s">
        <v>32</v>
      </c>
      <c r="V432" t="s">
        <v>995</v>
      </c>
      <c r="W432" t="s">
        <v>32</v>
      </c>
      <c r="X432" t="s">
        <v>32</v>
      </c>
      <c r="Y432" t="s">
        <v>516</v>
      </c>
      <c r="Z432" t="s">
        <v>32</v>
      </c>
      <c r="AA432" t="s">
        <v>5311</v>
      </c>
      <c r="AB432" t="s">
        <v>5312</v>
      </c>
      <c r="AC432" t="s">
        <v>5313</v>
      </c>
      <c r="AD432" t="s">
        <v>32</v>
      </c>
      <c r="AE432" t="s">
        <v>5314</v>
      </c>
      <c r="AF432" t="s">
        <v>46835</v>
      </c>
    </row>
    <row r="433" spans="1:33" x14ac:dyDescent="0.2">
      <c r="A433">
        <v>428</v>
      </c>
      <c r="B433" t="s">
        <v>5315</v>
      </c>
      <c r="C433" t="s">
        <v>5316</v>
      </c>
      <c r="D433" t="s">
        <v>5317</v>
      </c>
      <c r="E433" t="s">
        <v>5318</v>
      </c>
      <c r="F433" t="s">
        <v>5319</v>
      </c>
      <c r="G433" t="s">
        <v>5320</v>
      </c>
      <c r="H433" t="str">
        <f>"Qars1"</f>
        <v>Qars1</v>
      </c>
      <c r="I433" t="s">
        <v>5321</v>
      </c>
      <c r="J433" t="s">
        <v>37</v>
      </c>
      <c r="K433">
        <v>10090</v>
      </c>
      <c r="L433" s="3" t="str">
        <f>HYPERLINK("http://www.uniprot.org/uniprot/Q8BML9", "Q8BML9")</f>
        <v>Q8BML9</v>
      </c>
      <c r="M433" t="s">
        <v>5322</v>
      </c>
      <c r="N433" t="str">
        <f>"Qars"</f>
        <v>Qars</v>
      </c>
      <c r="O433" s="3" t="str">
        <f>HYPERLINK("http://www.informatics.jax.org/marker/MGI:1915851", "MGI:1915851")</f>
        <v>MGI:1915851</v>
      </c>
      <c r="P433" t="s">
        <v>2982</v>
      </c>
      <c r="Q433" t="s">
        <v>260</v>
      </c>
      <c r="R433" t="s">
        <v>418</v>
      </c>
      <c r="S433" t="s">
        <v>32</v>
      </c>
      <c r="T433" t="s">
        <v>32</v>
      </c>
      <c r="U433" t="s">
        <v>32</v>
      </c>
      <c r="V433" t="s">
        <v>32</v>
      </c>
      <c r="W433" t="s">
        <v>205</v>
      </c>
      <c r="X433" t="s">
        <v>2983</v>
      </c>
      <c r="Y433" t="s">
        <v>157</v>
      </c>
      <c r="Z433" t="s">
        <v>32</v>
      </c>
      <c r="AA433" t="s">
        <v>5323</v>
      </c>
      <c r="AB433" t="s">
        <v>5324</v>
      </c>
      <c r="AC433" t="s">
        <v>5325</v>
      </c>
      <c r="AD433" t="s">
        <v>32</v>
      </c>
      <c r="AE433" t="s">
        <v>32</v>
      </c>
      <c r="AF433" t="s">
        <v>46835</v>
      </c>
    </row>
    <row r="434" spans="1:33" x14ac:dyDescent="0.2">
      <c r="A434">
        <v>429</v>
      </c>
      <c r="B434" t="s">
        <v>5326</v>
      </c>
      <c r="C434" t="s">
        <v>47205</v>
      </c>
      <c r="D434" t="s">
        <v>32</v>
      </c>
      <c r="E434" t="s">
        <v>46850</v>
      </c>
      <c r="F434" t="s">
        <v>46849</v>
      </c>
      <c r="G434" t="s">
        <v>32</v>
      </c>
      <c r="H434" t="s">
        <v>47337</v>
      </c>
      <c r="I434" t="s">
        <v>32</v>
      </c>
      <c r="J434" t="s">
        <v>37</v>
      </c>
      <c r="K434">
        <v>10090</v>
      </c>
      <c r="L434" s="3" t="str">
        <f>HYPERLINK(CONCATENATE("https://www.uniprot.org/uniprotkb/", AG434, "/entry"), AG434)</f>
        <v>E9PVA8</v>
      </c>
      <c r="M434" t="s">
        <v>32</v>
      </c>
      <c r="N434" t="s">
        <v>32</v>
      </c>
      <c r="O434" s="3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32</v>
      </c>
      <c r="Y434" t="s">
        <v>32</v>
      </c>
      <c r="Z434" t="s">
        <v>32</v>
      </c>
      <c r="AA434" t="s">
        <v>32</v>
      </c>
      <c r="AB434" t="s">
        <v>32</v>
      </c>
      <c r="AC434" t="s">
        <v>32</v>
      </c>
      <c r="AD434" t="s">
        <v>32</v>
      </c>
      <c r="AE434" t="s">
        <v>32</v>
      </c>
      <c r="AF434" t="s">
        <v>46835</v>
      </c>
      <c r="AG434" t="s">
        <v>46849</v>
      </c>
    </row>
    <row r="435" spans="1:33" x14ac:dyDescent="0.2">
      <c r="A435">
        <v>430</v>
      </c>
      <c r="B435" t="s">
        <v>5327</v>
      </c>
      <c r="C435" t="s">
        <v>5328</v>
      </c>
      <c r="D435" t="s">
        <v>5329</v>
      </c>
      <c r="E435" t="s">
        <v>5330</v>
      </c>
      <c r="F435" t="s">
        <v>5331</v>
      </c>
      <c r="G435" t="s">
        <v>32</v>
      </c>
      <c r="H435" t="str">
        <f>"Acly"</f>
        <v>Acly</v>
      </c>
      <c r="I435" t="s">
        <v>32</v>
      </c>
      <c r="J435" t="s">
        <v>37</v>
      </c>
      <c r="K435">
        <v>10090</v>
      </c>
      <c r="L435" s="3" t="str">
        <f>HYPERLINK("http://www.uniprot.org/uniprot/Q91V92", "Q91V92")</f>
        <v>Q91V92</v>
      </c>
      <c r="M435" t="s">
        <v>5332</v>
      </c>
      <c r="N435" t="str">
        <f>"Acly"</f>
        <v>Acly</v>
      </c>
      <c r="O435" s="3" t="str">
        <f>HYPERLINK("http://www.informatics.jax.org/marker/MGI:103251", "MGI:103251")</f>
        <v>MGI:103251</v>
      </c>
      <c r="P435" t="s">
        <v>5333</v>
      </c>
      <c r="Q435" t="s">
        <v>5334</v>
      </c>
      <c r="R435" t="s">
        <v>418</v>
      </c>
      <c r="S435" t="s">
        <v>32</v>
      </c>
      <c r="T435" t="s">
        <v>32</v>
      </c>
      <c r="U435" t="s">
        <v>32</v>
      </c>
      <c r="V435" t="s">
        <v>32</v>
      </c>
      <c r="W435" t="s">
        <v>1266</v>
      </c>
      <c r="X435" t="s">
        <v>515</v>
      </c>
      <c r="Y435" t="s">
        <v>516</v>
      </c>
      <c r="Z435" t="s">
        <v>32</v>
      </c>
      <c r="AA435" t="s">
        <v>5335</v>
      </c>
      <c r="AB435" t="s">
        <v>5336</v>
      </c>
      <c r="AC435" t="s">
        <v>5337</v>
      </c>
      <c r="AD435" t="s">
        <v>32</v>
      </c>
      <c r="AE435" t="s">
        <v>5338</v>
      </c>
      <c r="AF435" t="s">
        <v>46835</v>
      </c>
    </row>
    <row r="436" spans="1:33" x14ac:dyDescent="0.2">
      <c r="A436">
        <v>431</v>
      </c>
      <c r="B436" t="s">
        <v>5339</v>
      </c>
      <c r="C436" t="s">
        <v>5340</v>
      </c>
      <c r="D436" t="s">
        <v>5341</v>
      </c>
      <c r="E436" t="s">
        <v>5342</v>
      </c>
      <c r="F436" t="s">
        <v>5343</v>
      </c>
      <c r="G436" t="s">
        <v>5344</v>
      </c>
      <c r="H436" t="str">
        <f>"Psmd14"</f>
        <v>Psmd14</v>
      </c>
      <c r="I436" t="s">
        <v>5345</v>
      </c>
      <c r="J436" t="s">
        <v>37</v>
      </c>
      <c r="K436">
        <v>10090</v>
      </c>
      <c r="L436" s="3" t="str">
        <f>HYPERLINK("http://www.uniprot.org/uniprot/O35593", "O35593")</f>
        <v>O35593</v>
      </c>
      <c r="M436" t="s">
        <v>5346</v>
      </c>
      <c r="N436" t="str">
        <f>"Psmd14"</f>
        <v>Psmd14</v>
      </c>
      <c r="O436" s="3" t="str">
        <f>HYPERLINK("http://www.informatics.jax.org/marker/MGI:1913284", "MGI:1913284")</f>
        <v>MGI:1913284</v>
      </c>
      <c r="P436" t="s">
        <v>5347</v>
      </c>
      <c r="Q436" t="s">
        <v>3400</v>
      </c>
      <c r="R436" t="s">
        <v>3565</v>
      </c>
      <c r="S436" t="s">
        <v>32</v>
      </c>
      <c r="T436" t="s">
        <v>32</v>
      </c>
      <c r="U436" t="s">
        <v>32</v>
      </c>
      <c r="V436" t="s">
        <v>32</v>
      </c>
      <c r="W436" t="s">
        <v>42</v>
      </c>
      <c r="X436" t="s">
        <v>4882</v>
      </c>
      <c r="Y436" t="s">
        <v>618</v>
      </c>
      <c r="Z436" t="s">
        <v>32</v>
      </c>
      <c r="AA436" t="s">
        <v>5348</v>
      </c>
      <c r="AB436" t="s">
        <v>5349</v>
      </c>
      <c r="AC436" t="s">
        <v>5350</v>
      </c>
      <c r="AD436" t="s">
        <v>32</v>
      </c>
      <c r="AE436" t="s">
        <v>5351</v>
      </c>
      <c r="AF436" t="s">
        <v>46835</v>
      </c>
    </row>
    <row r="437" spans="1:33" x14ac:dyDescent="0.2">
      <c r="A437">
        <v>432</v>
      </c>
      <c r="B437" t="s">
        <v>5352</v>
      </c>
      <c r="C437" t="s">
        <v>5353</v>
      </c>
      <c r="D437" t="s">
        <v>5354</v>
      </c>
      <c r="E437" t="s">
        <v>5355</v>
      </c>
      <c r="F437" t="s">
        <v>5356</v>
      </c>
      <c r="G437" t="s">
        <v>32</v>
      </c>
      <c r="H437" t="str">
        <f>"Fdps"</f>
        <v>Fdps</v>
      </c>
      <c r="I437" t="s">
        <v>32</v>
      </c>
      <c r="J437" t="s">
        <v>37</v>
      </c>
      <c r="K437">
        <v>10090</v>
      </c>
      <c r="L437" s="3" t="str">
        <f>HYPERLINK("http://www.uniprot.org/uniprot/Q920E5", "Q920E5")</f>
        <v>Q920E5</v>
      </c>
      <c r="M437" t="s">
        <v>5357</v>
      </c>
      <c r="N437" t="str">
        <f>"Fdps"</f>
        <v>Fdps</v>
      </c>
      <c r="O437" s="3" t="str">
        <f>HYPERLINK("http://www.informatics.jax.org/marker/MGI:104888", "MGI:104888")</f>
        <v>MGI:104888</v>
      </c>
      <c r="P437" t="s">
        <v>5358</v>
      </c>
      <c r="Q437" t="s">
        <v>5359</v>
      </c>
      <c r="R437" t="s">
        <v>418</v>
      </c>
      <c r="S437" t="s">
        <v>32</v>
      </c>
      <c r="T437" t="s">
        <v>32</v>
      </c>
      <c r="U437" t="s">
        <v>32</v>
      </c>
      <c r="V437" t="s">
        <v>32</v>
      </c>
      <c r="W437" t="s">
        <v>223</v>
      </c>
      <c r="X437" t="s">
        <v>515</v>
      </c>
      <c r="Y437" t="s">
        <v>5360</v>
      </c>
      <c r="Z437" t="s">
        <v>32</v>
      </c>
      <c r="AA437" t="s">
        <v>5361</v>
      </c>
      <c r="AB437" t="s">
        <v>5362</v>
      </c>
      <c r="AC437" t="s">
        <v>5363</v>
      </c>
      <c r="AD437" t="s">
        <v>5364</v>
      </c>
      <c r="AE437" t="s">
        <v>5365</v>
      </c>
      <c r="AF437" t="s">
        <v>46835</v>
      </c>
    </row>
    <row r="438" spans="1:33" x14ac:dyDescent="0.2">
      <c r="A438">
        <v>433</v>
      </c>
      <c r="B438" t="s">
        <v>5366</v>
      </c>
      <c r="C438" t="s">
        <v>5367</v>
      </c>
      <c r="D438" t="s">
        <v>5368</v>
      </c>
      <c r="E438" t="s">
        <v>5369</v>
      </c>
      <c r="F438" t="s">
        <v>5370</v>
      </c>
      <c r="G438" t="s">
        <v>5371</v>
      </c>
      <c r="H438" t="str">
        <f>"Ywhab"</f>
        <v>Ywhab</v>
      </c>
      <c r="I438" t="s">
        <v>32</v>
      </c>
      <c r="J438" t="s">
        <v>37</v>
      </c>
      <c r="K438">
        <v>10090</v>
      </c>
      <c r="L438" s="3" t="str">
        <f>HYPERLINK("http://www.uniprot.org/uniprot/Q9CQV8", "Q9CQV8")</f>
        <v>Q9CQV8</v>
      </c>
      <c r="M438" t="s">
        <v>5372</v>
      </c>
      <c r="N438" t="str">
        <f>"Ywhab"</f>
        <v>Ywhab</v>
      </c>
      <c r="O438" s="3" t="str">
        <f>HYPERLINK("http://www.informatics.jax.org/marker/MGI:1891917", "MGI:1891917")</f>
        <v>MGI:1891917</v>
      </c>
      <c r="P438" t="s">
        <v>5373</v>
      </c>
      <c r="Q438" t="s">
        <v>32</v>
      </c>
      <c r="R438" t="s">
        <v>418</v>
      </c>
      <c r="S438" t="s">
        <v>477</v>
      </c>
      <c r="T438" t="s">
        <v>32</v>
      </c>
      <c r="U438" t="s">
        <v>32</v>
      </c>
      <c r="V438" t="s">
        <v>32</v>
      </c>
      <c r="W438" t="s">
        <v>32</v>
      </c>
      <c r="X438" t="s">
        <v>32</v>
      </c>
      <c r="Y438" t="s">
        <v>4667</v>
      </c>
      <c r="Z438" t="s">
        <v>126</v>
      </c>
      <c r="AA438" t="s">
        <v>5374</v>
      </c>
      <c r="AB438" t="s">
        <v>5375</v>
      </c>
      <c r="AC438" t="s">
        <v>5376</v>
      </c>
      <c r="AD438" t="s">
        <v>32</v>
      </c>
      <c r="AE438" t="s">
        <v>5377</v>
      </c>
      <c r="AF438" t="s">
        <v>46835</v>
      </c>
    </row>
    <row r="439" spans="1:33" x14ac:dyDescent="0.2">
      <c r="A439">
        <v>434</v>
      </c>
      <c r="B439" t="s">
        <v>5378</v>
      </c>
      <c r="C439" t="s">
        <v>5379</v>
      </c>
      <c r="D439" t="s">
        <v>5380</v>
      </c>
      <c r="E439" t="s">
        <v>5381</v>
      </c>
      <c r="F439" t="s">
        <v>5382</v>
      </c>
      <c r="G439" t="s">
        <v>5383</v>
      </c>
      <c r="H439" t="str">
        <f>"Fn3krp"</f>
        <v>Fn3krp</v>
      </c>
      <c r="I439" t="s">
        <v>32</v>
      </c>
      <c r="J439" t="s">
        <v>37</v>
      </c>
      <c r="K439">
        <v>10090</v>
      </c>
      <c r="L439" s="3" t="str">
        <f>HYPERLINK("http://www.uniprot.org/uniprot/Q8K274", "Q8K274")</f>
        <v>Q8K274</v>
      </c>
      <c r="M439" t="s">
        <v>5384</v>
      </c>
      <c r="N439" t="str">
        <f>"Fn3krp"</f>
        <v>Fn3krp</v>
      </c>
      <c r="O439" s="3" t="str">
        <f>HYPERLINK("http://www.informatics.jax.org/marker/MGI:2679256", "MGI:2679256")</f>
        <v>MGI:2679256</v>
      </c>
      <c r="P439" t="s">
        <v>5385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205</v>
      </c>
      <c r="X439" t="s">
        <v>419</v>
      </c>
      <c r="Y439" t="s">
        <v>618</v>
      </c>
      <c r="Z439" t="s">
        <v>32</v>
      </c>
      <c r="AA439" t="s">
        <v>5386</v>
      </c>
      <c r="AB439" t="s">
        <v>32</v>
      </c>
      <c r="AC439" t="s">
        <v>5387</v>
      </c>
      <c r="AD439" t="s">
        <v>32</v>
      </c>
      <c r="AE439" t="s">
        <v>5388</v>
      </c>
      <c r="AF439" t="s">
        <v>46835</v>
      </c>
    </row>
    <row r="440" spans="1:33" x14ac:dyDescent="0.2">
      <c r="A440">
        <v>435</v>
      </c>
      <c r="B440" t="s">
        <v>5389</v>
      </c>
      <c r="C440" t="s">
        <v>5390</v>
      </c>
      <c r="D440" t="s">
        <v>32</v>
      </c>
      <c r="E440" t="s">
        <v>5391</v>
      </c>
      <c r="F440" t="s">
        <v>5392</v>
      </c>
      <c r="G440" t="s">
        <v>5393</v>
      </c>
      <c r="H440" t="str">
        <f>"Rps25"</f>
        <v>Rps25</v>
      </c>
      <c r="I440" t="s">
        <v>32</v>
      </c>
      <c r="J440" t="s">
        <v>37</v>
      </c>
      <c r="K440">
        <v>10090</v>
      </c>
      <c r="L440" s="3" t="str">
        <f>HYPERLINK("http://www.uniprot.org/uniprot/P62852", "P62852")</f>
        <v>P62852</v>
      </c>
      <c r="M440" t="s">
        <v>5394</v>
      </c>
      <c r="N440" t="str">
        <f>"Rps25"</f>
        <v>Rps25</v>
      </c>
      <c r="O440" s="3" t="str">
        <f>HYPERLINK("http://www.informatics.jax.org/marker/MGI:1922867", "MGI:1922867")</f>
        <v>MGI:1922867</v>
      </c>
      <c r="P440" t="s">
        <v>5395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447</v>
      </c>
      <c r="Y440" t="s">
        <v>78</v>
      </c>
      <c r="Z440" t="s">
        <v>126</v>
      </c>
      <c r="AA440" t="s">
        <v>5396</v>
      </c>
      <c r="AB440" t="s">
        <v>5397</v>
      </c>
      <c r="AC440" t="s">
        <v>1010</v>
      </c>
      <c r="AD440" t="s">
        <v>32</v>
      </c>
      <c r="AE440" t="s">
        <v>691</v>
      </c>
      <c r="AF440" t="s">
        <v>46835</v>
      </c>
    </row>
    <row r="441" spans="1:33" x14ac:dyDescent="0.2">
      <c r="A441">
        <v>436</v>
      </c>
      <c r="B441" t="s">
        <v>5398</v>
      </c>
      <c r="C441" t="s">
        <v>5399</v>
      </c>
      <c r="D441" t="s">
        <v>5400</v>
      </c>
      <c r="E441" t="s">
        <v>5401</v>
      </c>
      <c r="F441" t="s">
        <v>5402</v>
      </c>
      <c r="G441" t="s">
        <v>32</v>
      </c>
      <c r="H441" t="str">
        <f>"S100a6"</f>
        <v>S100a6</v>
      </c>
      <c r="I441" t="s">
        <v>5403</v>
      </c>
      <c r="J441" t="s">
        <v>37</v>
      </c>
      <c r="K441">
        <v>10090</v>
      </c>
      <c r="L441" s="3" t="str">
        <f>HYPERLINK("http://www.uniprot.org/uniprot/P14069", "P14069")</f>
        <v>P14069</v>
      </c>
      <c r="M441" t="s">
        <v>5404</v>
      </c>
      <c r="N441" t="str">
        <f>"S100a6"</f>
        <v>S100a6</v>
      </c>
      <c r="O441" s="3" t="str">
        <f>HYPERLINK("http://www.informatics.jax.org/marker/MGI:1339467", "MGI:1339467")</f>
        <v>MGI:1339467</v>
      </c>
      <c r="P441" t="s">
        <v>5405</v>
      </c>
      <c r="Q441" t="s">
        <v>32</v>
      </c>
      <c r="R441" t="s">
        <v>276</v>
      </c>
      <c r="S441" t="s">
        <v>32</v>
      </c>
      <c r="T441" t="s">
        <v>32</v>
      </c>
      <c r="U441" t="s">
        <v>32</v>
      </c>
      <c r="V441" t="s">
        <v>55</v>
      </c>
      <c r="W441" t="s">
        <v>188</v>
      </c>
      <c r="X441" t="s">
        <v>32</v>
      </c>
      <c r="Y441" t="s">
        <v>157</v>
      </c>
      <c r="Z441" t="s">
        <v>126</v>
      </c>
      <c r="AA441" t="s">
        <v>32</v>
      </c>
      <c r="AB441" t="s">
        <v>5406</v>
      </c>
      <c r="AC441" t="s">
        <v>5407</v>
      </c>
      <c r="AD441" t="s">
        <v>32</v>
      </c>
      <c r="AE441" t="s">
        <v>32</v>
      </c>
      <c r="AF441" t="s">
        <v>46835</v>
      </c>
    </row>
    <row r="442" spans="1:33" x14ac:dyDescent="0.2">
      <c r="A442">
        <v>437</v>
      </c>
      <c r="B442" t="s">
        <v>5408</v>
      </c>
      <c r="C442" t="s">
        <v>5409</v>
      </c>
      <c r="D442" t="s">
        <v>5410</v>
      </c>
      <c r="E442" t="s">
        <v>5411</v>
      </c>
      <c r="F442" t="s">
        <v>5412</v>
      </c>
      <c r="G442" t="s">
        <v>5413</v>
      </c>
      <c r="H442" t="str">
        <f>"Mapk1"</f>
        <v>Mapk1</v>
      </c>
      <c r="I442" t="s">
        <v>5414</v>
      </c>
      <c r="J442" t="s">
        <v>37</v>
      </c>
      <c r="K442">
        <v>10090</v>
      </c>
      <c r="L442" s="3" t="str">
        <f>HYPERLINK("http://www.uniprot.org/uniprot/P63085", "P63085")</f>
        <v>P63085</v>
      </c>
      <c r="M442" t="s">
        <v>5415</v>
      </c>
      <c r="N442" t="str">
        <f>"Mapk1"</f>
        <v>Mapk1</v>
      </c>
      <c r="O442" s="3" t="str">
        <f>HYPERLINK("http://www.informatics.jax.org/marker/MGI:1346858", "MGI:1346858")</f>
        <v>MGI:1346858</v>
      </c>
      <c r="P442" t="s">
        <v>5416</v>
      </c>
      <c r="Q442" t="s">
        <v>5417</v>
      </c>
      <c r="R442" t="s">
        <v>5418</v>
      </c>
      <c r="S442" t="s">
        <v>32</v>
      </c>
      <c r="T442" t="s">
        <v>32</v>
      </c>
      <c r="U442" t="s">
        <v>32</v>
      </c>
      <c r="V442" t="s">
        <v>32</v>
      </c>
      <c r="W442" t="s">
        <v>205</v>
      </c>
      <c r="X442" t="s">
        <v>5419</v>
      </c>
      <c r="Y442" t="s">
        <v>1023</v>
      </c>
      <c r="Z442" t="s">
        <v>32</v>
      </c>
      <c r="AA442" t="s">
        <v>5420</v>
      </c>
      <c r="AB442" t="s">
        <v>5421</v>
      </c>
      <c r="AC442" t="s">
        <v>5422</v>
      </c>
      <c r="AD442" t="s">
        <v>32</v>
      </c>
      <c r="AE442" t="s">
        <v>5423</v>
      </c>
      <c r="AF442" t="s">
        <v>46835</v>
      </c>
    </row>
    <row r="443" spans="1:33" x14ac:dyDescent="0.2">
      <c r="A443">
        <v>438</v>
      </c>
      <c r="B443" t="s">
        <v>5424</v>
      </c>
      <c r="C443" t="s">
        <v>5425</v>
      </c>
      <c r="D443" t="s">
        <v>5426</v>
      </c>
      <c r="E443" t="s">
        <v>5427</v>
      </c>
      <c r="F443" t="s">
        <v>5428</v>
      </c>
      <c r="G443" t="s">
        <v>5429</v>
      </c>
      <c r="H443" t="str">
        <f>"Immt"</f>
        <v>Immt</v>
      </c>
      <c r="I443" t="s">
        <v>5430</v>
      </c>
      <c r="J443" t="s">
        <v>37</v>
      </c>
      <c r="K443">
        <v>10090</v>
      </c>
      <c r="L443" s="3" t="str">
        <f>HYPERLINK("http://www.uniprot.org/uniprot/Q8CAQ8", "Q8CAQ8")</f>
        <v>Q8CAQ8</v>
      </c>
      <c r="M443" t="s">
        <v>5431</v>
      </c>
      <c r="N443" t="str">
        <f>"Immt"</f>
        <v>Immt</v>
      </c>
      <c r="O443" s="3" t="str">
        <f>HYPERLINK("http://www.informatics.jax.org/marker/MGI:1923864", "MGI:1923864")</f>
        <v>MGI:1923864</v>
      </c>
      <c r="P443" t="s">
        <v>5432</v>
      </c>
      <c r="Q443" t="s">
        <v>32</v>
      </c>
      <c r="R443" t="s">
        <v>3858</v>
      </c>
      <c r="S443" t="s">
        <v>41</v>
      </c>
      <c r="T443" t="s">
        <v>32</v>
      </c>
      <c r="U443" t="s">
        <v>32</v>
      </c>
      <c r="V443" t="s">
        <v>5433</v>
      </c>
      <c r="W443" t="s">
        <v>32</v>
      </c>
      <c r="X443" t="s">
        <v>32</v>
      </c>
      <c r="Y443" t="s">
        <v>157</v>
      </c>
      <c r="Z443" t="s">
        <v>32</v>
      </c>
      <c r="AA443" t="s">
        <v>5434</v>
      </c>
      <c r="AB443" t="s">
        <v>5435</v>
      </c>
      <c r="AC443" t="s">
        <v>32</v>
      </c>
      <c r="AD443" t="s">
        <v>32</v>
      </c>
      <c r="AE443" t="s">
        <v>32</v>
      </c>
      <c r="AF443" t="s">
        <v>46835</v>
      </c>
    </row>
    <row r="444" spans="1:33" x14ac:dyDescent="0.2">
      <c r="A444">
        <v>439</v>
      </c>
      <c r="B444" t="s">
        <v>5436</v>
      </c>
      <c r="C444" t="s">
        <v>5437</v>
      </c>
      <c r="D444" t="s">
        <v>5438</v>
      </c>
      <c r="E444" t="s">
        <v>5439</v>
      </c>
      <c r="F444" t="s">
        <v>5440</v>
      </c>
      <c r="G444" t="s">
        <v>5441</v>
      </c>
      <c r="H444" t="str">
        <f>"Akr1a1"</f>
        <v>Akr1a1</v>
      </c>
      <c r="I444" t="s">
        <v>5442</v>
      </c>
      <c r="J444" t="s">
        <v>37</v>
      </c>
      <c r="K444">
        <v>10090</v>
      </c>
      <c r="L444" s="3" t="str">
        <f>HYPERLINK("http://www.uniprot.org/uniprot/Q9JII6", "Q9JII6")</f>
        <v>Q9JII6</v>
      </c>
      <c r="M444" t="s">
        <v>5443</v>
      </c>
      <c r="N444" t="str">
        <f>"Akr1a1"</f>
        <v>Akr1a1</v>
      </c>
      <c r="O444" s="3" t="str">
        <f>HYPERLINK("http://www.informatics.jax.org/marker/MGI:1929955", "MGI:1929955")</f>
        <v>MGI:1929955</v>
      </c>
      <c r="P444" t="s">
        <v>5444</v>
      </c>
      <c r="Q444" t="s">
        <v>598</v>
      </c>
      <c r="R444" t="s">
        <v>222</v>
      </c>
      <c r="S444" t="s">
        <v>32</v>
      </c>
      <c r="T444" t="s">
        <v>32</v>
      </c>
      <c r="U444" t="s">
        <v>32</v>
      </c>
      <c r="V444" t="s">
        <v>32</v>
      </c>
      <c r="W444" t="s">
        <v>3204</v>
      </c>
      <c r="X444" t="s">
        <v>600</v>
      </c>
      <c r="Y444" t="s">
        <v>157</v>
      </c>
      <c r="Z444" t="s">
        <v>126</v>
      </c>
      <c r="AA444" t="s">
        <v>5445</v>
      </c>
      <c r="AB444" t="s">
        <v>5446</v>
      </c>
      <c r="AC444" t="s">
        <v>5447</v>
      </c>
      <c r="AD444" t="s">
        <v>32</v>
      </c>
      <c r="AE444" t="s">
        <v>5448</v>
      </c>
      <c r="AF444" t="s">
        <v>46835</v>
      </c>
    </row>
    <row r="445" spans="1:33" x14ac:dyDescent="0.2">
      <c r="A445">
        <v>440</v>
      </c>
      <c r="B445" t="s">
        <v>5449</v>
      </c>
      <c r="C445" t="s">
        <v>5450</v>
      </c>
      <c r="D445" t="s">
        <v>32</v>
      </c>
      <c r="E445" t="s">
        <v>5451</v>
      </c>
      <c r="F445" t="s">
        <v>5452</v>
      </c>
      <c r="G445" t="s">
        <v>32</v>
      </c>
      <c r="H445" t="str">
        <f>"Csde1"</f>
        <v>Csde1</v>
      </c>
      <c r="I445" t="s">
        <v>5453</v>
      </c>
      <c r="J445" t="s">
        <v>37</v>
      </c>
      <c r="K445">
        <v>10090</v>
      </c>
      <c r="L445" s="3" t="str">
        <f>HYPERLINK("http://www.uniprot.org/uniprot/Q91W50", "Q91W50")</f>
        <v>Q91W50</v>
      </c>
      <c r="M445" t="s">
        <v>5454</v>
      </c>
      <c r="N445" t="str">
        <f>"Csde1"</f>
        <v>Csde1</v>
      </c>
      <c r="O445" s="3" t="str">
        <f>HYPERLINK("http://www.informatics.jax.org/marker/MGI:92356", "MGI:92356")</f>
        <v>MGI:92356</v>
      </c>
      <c r="P445" t="s">
        <v>5455</v>
      </c>
      <c r="Q445" t="s">
        <v>32</v>
      </c>
      <c r="R445" t="s">
        <v>418</v>
      </c>
      <c r="S445" t="s">
        <v>32</v>
      </c>
      <c r="T445" t="s">
        <v>32</v>
      </c>
      <c r="U445" t="s">
        <v>32</v>
      </c>
      <c r="V445" t="s">
        <v>55</v>
      </c>
      <c r="W445" t="s">
        <v>32</v>
      </c>
      <c r="X445" t="s">
        <v>1282</v>
      </c>
      <c r="Y445" t="s">
        <v>516</v>
      </c>
      <c r="Z445" t="s">
        <v>32</v>
      </c>
      <c r="AA445" t="s">
        <v>5456</v>
      </c>
      <c r="AB445" t="s">
        <v>5457</v>
      </c>
      <c r="AC445" t="s">
        <v>5458</v>
      </c>
      <c r="AD445" t="s">
        <v>32</v>
      </c>
      <c r="AE445" t="s">
        <v>32</v>
      </c>
      <c r="AF445" t="s">
        <v>46835</v>
      </c>
    </row>
    <row r="446" spans="1:33" x14ac:dyDescent="0.2">
      <c r="A446">
        <v>441</v>
      </c>
      <c r="B446" t="s">
        <v>5459</v>
      </c>
      <c r="C446" t="s">
        <v>47230</v>
      </c>
      <c r="D446" t="s">
        <v>32</v>
      </c>
      <c r="E446" t="s">
        <v>46852</v>
      </c>
      <c r="F446" t="s">
        <v>46851</v>
      </c>
      <c r="G446" t="s">
        <v>32</v>
      </c>
      <c r="H446" t="s">
        <v>47363</v>
      </c>
      <c r="I446" t="s">
        <v>32</v>
      </c>
      <c r="J446" t="s">
        <v>37</v>
      </c>
      <c r="K446">
        <v>10090</v>
      </c>
      <c r="L446" s="3" t="str">
        <f>HYPERLINK(CONCATENATE("https://www.uniprot.org/uniprotkb/", AG446, "/entry"), AG446)</f>
        <v>A0A2I3BR81</v>
      </c>
      <c r="M446" t="s">
        <v>32</v>
      </c>
      <c r="N446" t="s">
        <v>32</v>
      </c>
      <c r="O446" s="3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t="s">
        <v>32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t="s">
        <v>46835</v>
      </c>
      <c r="AG446" t="s">
        <v>46851</v>
      </c>
    </row>
    <row r="447" spans="1:33" x14ac:dyDescent="0.2">
      <c r="A447">
        <v>442</v>
      </c>
      <c r="B447" t="s">
        <v>5460</v>
      </c>
      <c r="C447" t="s">
        <v>5461</v>
      </c>
      <c r="D447" t="s">
        <v>32</v>
      </c>
      <c r="E447" t="s">
        <v>5462</v>
      </c>
      <c r="F447" t="s">
        <v>5463</v>
      </c>
      <c r="G447" t="s">
        <v>5464</v>
      </c>
      <c r="H447" t="str">
        <f>"Rpl24"</f>
        <v>Rpl24</v>
      </c>
      <c r="I447" t="s">
        <v>32</v>
      </c>
      <c r="J447" t="s">
        <v>37</v>
      </c>
      <c r="K447">
        <v>10090</v>
      </c>
      <c r="L447" s="3" t="str">
        <f>HYPERLINK("http://www.uniprot.org/uniprot/Q8BP67", "Q8BP67")</f>
        <v>Q8BP67</v>
      </c>
      <c r="M447" t="s">
        <v>5465</v>
      </c>
      <c r="N447" t="str">
        <f>"Rpl24"</f>
        <v>Rpl24</v>
      </c>
      <c r="O447" s="3" t="str">
        <f>HYPERLINK("http://www.informatics.jax.org/marker/MGI:1915443", "MGI:1915443")</f>
        <v>MGI:1915443</v>
      </c>
      <c r="P447" t="s">
        <v>5466</v>
      </c>
      <c r="Q447" t="s">
        <v>32</v>
      </c>
      <c r="R447" t="s">
        <v>418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447</v>
      </c>
      <c r="Y447" t="s">
        <v>448</v>
      </c>
      <c r="Z447" t="s">
        <v>126</v>
      </c>
      <c r="AA447" t="s">
        <v>5467</v>
      </c>
      <c r="AB447" t="s">
        <v>5468</v>
      </c>
      <c r="AC447" t="s">
        <v>1685</v>
      </c>
      <c r="AD447" t="s">
        <v>32</v>
      </c>
      <c r="AE447" t="s">
        <v>765</v>
      </c>
      <c r="AF447" t="s">
        <v>46835</v>
      </c>
    </row>
    <row r="448" spans="1:33" x14ac:dyDescent="0.2">
      <c r="A448">
        <v>443</v>
      </c>
      <c r="B448" t="s">
        <v>5469</v>
      </c>
      <c r="C448" t="s">
        <v>5470</v>
      </c>
      <c r="D448" t="s">
        <v>32</v>
      </c>
      <c r="E448" t="s">
        <v>5471</v>
      </c>
      <c r="F448" t="s">
        <v>5472</v>
      </c>
      <c r="G448" t="s">
        <v>32</v>
      </c>
      <c r="H448" t="str">
        <f>"Matr3"</f>
        <v>Matr3</v>
      </c>
      <c r="I448" t="s">
        <v>32</v>
      </c>
      <c r="J448" t="s">
        <v>37</v>
      </c>
      <c r="K448">
        <v>10090</v>
      </c>
      <c r="L448" s="3" t="str">
        <f>HYPERLINK("http://www.uniprot.org/uniprot/Q8K310", "Q8K310")</f>
        <v>Q8K310</v>
      </c>
      <c r="M448" t="s">
        <v>5473</v>
      </c>
      <c r="N448" t="str">
        <f>"Matr3"</f>
        <v>Matr3</v>
      </c>
      <c r="O448" s="3" t="str">
        <f>HYPERLINK("http://www.informatics.jax.org/marker/MGI:1298379", "MGI:1298379")</f>
        <v>MGI:1298379</v>
      </c>
      <c r="P448" t="s">
        <v>5474</v>
      </c>
      <c r="Q448" t="s">
        <v>5475</v>
      </c>
      <c r="R448" t="s">
        <v>2279</v>
      </c>
      <c r="S448" t="s">
        <v>32</v>
      </c>
      <c r="T448" t="s">
        <v>32</v>
      </c>
      <c r="U448" t="s">
        <v>32</v>
      </c>
      <c r="V448" t="s">
        <v>3791</v>
      </c>
      <c r="W448" t="s">
        <v>42</v>
      </c>
      <c r="X448" t="s">
        <v>1282</v>
      </c>
      <c r="Y448" t="s">
        <v>516</v>
      </c>
      <c r="Z448" t="s">
        <v>126</v>
      </c>
      <c r="AA448" t="s">
        <v>5476</v>
      </c>
      <c r="AB448" t="s">
        <v>5477</v>
      </c>
      <c r="AC448" t="s">
        <v>5478</v>
      </c>
      <c r="AD448" t="s">
        <v>32</v>
      </c>
      <c r="AE448" t="s">
        <v>32</v>
      </c>
      <c r="AF448" t="s">
        <v>46835</v>
      </c>
    </row>
    <row r="449" spans="1:32" x14ac:dyDescent="0.2">
      <c r="A449">
        <v>444</v>
      </c>
      <c r="B449" t="s">
        <v>5479</v>
      </c>
      <c r="C449" t="s">
        <v>5480</v>
      </c>
      <c r="D449" t="s">
        <v>5481</v>
      </c>
      <c r="E449" t="s">
        <v>5482</v>
      </c>
      <c r="F449" t="s">
        <v>5483</v>
      </c>
      <c r="G449" t="s">
        <v>5484</v>
      </c>
      <c r="H449" t="str">
        <f>"Skp1"</f>
        <v>Skp1</v>
      </c>
      <c r="I449" t="s">
        <v>32</v>
      </c>
      <c r="J449" t="s">
        <v>37</v>
      </c>
      <c r="K449">
        <v>10090</v>
      </c>
      <c r="L449" s="3" t="str">
        <f>HYPERLINK("http://www.uniprot.org/uniprot/Q9WTX5", "Q9WTX5")</f>
        <v>Q9WTX5</v>
      </c>
      <c r="M449" t="s">
        <v>5485</v>
      </c>
      <c r="N449" t="str">
        <f>"Skp1"</f>
        <v>Skp1</v>
      </c>
      <c r="O449" s="3" t="str">
        <f>HYPERLINK("http://www.informatics.jax.org/marker/MGI:103575", "MGI:103575")</f>
        <v>MGI:103575</v>
      </c>
      <c r="P449" t="s">
        <v>5486</v>
      </c>
      <c r="Q449" t="s">
        <v>1020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t="s">
        <v>1007</v>
      </c>
      <c r="Z449" t="s">
        <v>32</v>
      </c>
      <c r="AA449" t="s">
        <v>5487</v>
      </c>
      <c r="AB449" t="s">
        <v>5488</v>
      </c>
      <c r="AC449" t="s">
        <v>5489</v>
      </c>
      <c r="AD449" t="s">
        <v>1027</v>
      </c>
      <c r="AE449" t="s">
        <v>5490</v>
      </c>
      <c r="AF449" t="s">
        <v>46835</v>
      </c>
    </row>
    <row r="450" spans="1:32" x14ac:dyDescent="0.2">
      <c r="A450">
        <v>445</v>
      </c>
      <c r="B450" t="s">
        <v>5491</v>
      </c>
      <c r="C450" t="s">
        <v>5492</v>
      </c>
      <c r="D450" t="s">
        <v>5493</v>
      </c>
      <c r="E450" t="s">
        <v>5494</v>
      </c>
      <c r="F450" t="s">
        <v>5495</v>
      </c>
      <c r="G450" t="s">
        <v>32</v>
      </c>
      <c r="H450" t="str">
        <f>"Nme1"</f>
        <v>Nme1</v>
      </c>
      <c r="I450" t="s">
        <v>5496</v>
      </c>
      <c r="J450" t="s">
        <v>37</v>
      </c>
      <c r="K450">
        <v>10090</v>
      </c>
      <c r="L450" s="3" t="str">
        <f>HYPERLINK("http://www.uniprot.org/uniprot/P15532", "P15532")</f>
        <v>P15532</v>
      </c>
      <c r="M450" t="s">
        <v>5497</v>
      </c>
      <c r="N450" t="str">
        <f>"Nme1"</f>
        <v>Nme1</v>
      </c>
      <c r="O450" s="3" t="str">
        <f>HYPERLINK("http://www.informatics.jax.org/marker/MGI:97355", "MGI:97355")</f>
        <v>MGI:97355</v>
      </c>
      <c r="P450" t="s">
        <v>5498</v>
      </c>
      <c r="Q450" t="s">
        <v>5499</v>
      </c>
      <c r="R450" t="s">
        <v>40</v>
      </c>
      <c r="S450" t="s">
        <v>32</v>
      </c>
      <c r="T450" t="s">
        <v>32</v>
      </c>
      <c r="U450" t="s">
        <v>32</v>
      </c>
      <c r="V450" t="s">
        <v>32</v>
      </c>
      <c r="W450" t="s">
        <v>1266</v>
      </c>
      <c r="X450" t="s">
        <v>419</v>
      </c>
      <c r="Y450" t="s">
        <v>516</v>
      </c>
      <c r="Z450" t="s">
        <v>32</v>
      </c>
      <c r="AA450" t="s">
        <v>5500</v>
      </c>
      <c r="AB450" t="s">
        <v>5501</v>
      </c>
      <c r="AC450" t="s">
        <v>5502</v>
      </c>
      <c r="AD450" t="s">
        <v>32</v>
      </c>
      <c r="AE450" t="s">
        <v>5503</v>
      </c>
      <c r="AF450" t="s">
        <v>46835</v>
      </c>
    </row>
    <row r="451" spans="1:32" x14ac:dyDescent="0.2">
      <c r="A451">
        <v>446</v>
      </c>
      <c r="B451" t="s">
        <v>5504</v>
      </c>
      <c r="C451" t="s">
        <v>5505</v>
      </c>
      <c r="D451" t="s">
        <v>5506</v>
      </c>
      <c r="E451" t="s">
        <v>5507</v>
      </c>
      <c r="F451" t="s">
        <v>5508</v>
      </c>
      <c r="G451" t="s">
        <v>5509</v>
      </c>
      <c r="H451" t="str">
        <f>"Cdh2"</f>
        <v>Cdh2</v>
      </c>
      <c r="I451" t="s">
        <v>32</v>
      </c>
      <c r="J451" t="s">
        <v>37</v>
      </c>
      <c r="K451">
        <v>10090</v>
      </c>
      <c r="L451" s="3" t="str">
        <f>HYPERLINK("http://www.uniprot.org/uniprot/P15116", "P15116")</f>
        <v>P15116</v>
      </c>
      <c r="M451" t="s">
        <v>5510</v>
      </c>
      <c r="N451" t="str">
        <f>"Cdh2"</f>
        <v>Cdh2</v>
      </c>
      <c r="O451" s="3" t="str">
        <f>HYPERLINK("http://www.informatics.jax.org/marker/MGI:88355", "MGI:88355")</f>
        <v>MGI:88355</v>
      </c>
      <c r="P451" t="s">
        <v>5511</v>
      </c>
      <c r="Q451" t="s">
        <v>2784</v>
      </c>
      <c r="R451" t="s">
        <v>5512</v>
      </c>
      <c r="S451" t="s">
        <v>32</v>
      </c>
      <c r="T451" t="s">
        <v>32</v>
      </c>
      <c r="U451" t="s">
        <v>32</v>
      </c>
      <c r="V451" t="s">
        <v>1665</v>
      </c>
      <c r="W451" t="s">
        <v>188</v>
      </c>
      <c r="X451" t="s">
        <v>32</v>
      </c>
      <c r="Y451" t="s">
        <v>5513</v>
      </c>
      <c r="Z451" t="s">
        <v>126</v>
      </c>
      <c r="AA451" t="s">
        <v>5514</v>
      </c>
      <c r="AB451" t="s">
        <v>5515</v>
      </c>
      <c r="AC451" t="s">
        <v>5516</v>
      </c>
      <c r="AD451" t="s">
        <v>32</v>
      </c>
      <c r="AE451" t="s">
        <v>5517</v>
      </c>
      <c r="AF451" t="s">
        <v>46835</v>
      </c>
    </row>
    <row r="452" spans="1:32" x14ac:dyDescent="0.2">
      <c r="A452">
        <v>447</v>
      </c>
      <c r="B452" t="s">
        <v>5518</v>
      </c>
      <c r="C452" t="s">
        <v>5519</v>
      </c>
      <c r="D452" t="s">
        <v>5520</v>
      </c>
      <c r="E452" t="s">
        <v>5521</v>
      </c>
      <c r="F452" t="s">
        <v>5522</v>
      </c>
      <c r="G452" t="s">
        <v>32</v>
      </c>
      <c r="H452" t="str">
        <f>"Myo6"</f>
        <v>Myo6</v>
      </c>
      <c r="I452" t="s">
        <v>5523</v>
      </c>
      <c r="J452" t="s">
        <v>37</v>
      </c>
      <c r="K452">
        <v>10090</v>
      </c>
      <c r="L452" s="3" t="str">
        <f>HYPERLINK("http://www.uniprot.org/uniprot/Q64331", "Q64331")</f>
        <v>Q64331</v>
      </c>
      <c r="M452" t="s">
        <v>5524</v>
      </c>
      <c r="N452" t="str">
        <f>"Myo6"</f>
        <v>Myo6</v>
      </c>
      <c r="O452" s="3" t="str">
        <f>HYPERLINK("http://www.informatics.jax.org/marker/MGI:104785", "MGI:104785")</f>
        <v>MGI:104785</v>
      </c>
      <c r="P452" t="s">
        <v>5525</v>
      </c>
      <c r="Q452" t="s">
        <v>5526</v>
      </c>
      <c r="R452" t="s">
        <v>5527</v>
      </c>
      <c r="S452" t="s">
        <v>32</v>
      </c>
      <c r="T452" t="s">
        <v>32</v>
      </c>
      <c r="U452" t="s">
        <v>5528</v>
      </c>
      <c r="V452" t="s">
        <v>32</v>
      </c>
      <c r="W452" t="s">
        <v>205</v>
      </c>
      <c r="X452" t="s">
        <v>1366</v>
      </c>
      <c r="Y452" t="s">
        <v>618</v>
      </c>
      <c r="Z452" t="s">
        <v>126</v>
      </c>
      <c r="AA452" t="s">
        <v>5529</v>
      </c>
      <c r="AB452" t="s">
        <v>5530</v>
      </c>
      <c r="AC452" t="s">
        <v>5531</v>
      </c>
      <c r="AD452" t="s">
        <v>32</v>
      </c>
      <c r="AE452" t="s">
        <v>5532</v>
      </c>
      <c r="AF452" t="s">
        <v>46835</v>
      </c>
    </row>
    <row r="453" spans="1:32" x14ac:dyDescent="0.2">
      <c r="A453">
        <v>448</v>
      </c>
      <c r="B453" t="s">
        <v>5533</v>
      </c>
      <c r="C453" t="s">
        <v>5534</v>
      </c>
      <c r="D453" t="s">
        <v>5535</v>
      </c>
      <c r="E453" t="s">
        <v>5536</v>
      </c>
      <c r="F453" t="s">
        <v>5537</v>
      </c>
      <c r="G453" t="s">
        <v>5538</v>
      </c>
      <c r="H453" t="str">
        <f>"Psmd4"</f>
        <v>Psmd4</v>
      </c>
      <c r="I453" t="s">
        <v>5539</v>
      </c>
      <c r="J453" t="s">
        <v>37</v>
      </c>
      <c r="K453">
        <v>10090</v>
      </c>
      <c r="L453" s="3" t="str">
        <f>HYPERLINK("http://www.uniprot.org/uniprot/O35226", "O35226")</f>
        <v>O35226</v>
      </c>
      <c r="M453" t="s">
        <v>5540</v>
      </c>
      <c r="N453" t="str">
        <f>"Psmd4"</f>
        <v>Psmd4</v>
      </c>
      <c r="O453" s="3" t="str">
        <f>HYPERLINK("http://www.informatics.jax.org/marker/MGI:1201670", "MGI:1201670")</f>
        <v>MGI:1201670</v>
      </c>
      <c r="P453" t="s">
        <v>5541</v>
      </c>
      <c r="Q453" t="s">
        <v>32</v>
      </c>
      <c r="R453" t="s">
        <v>3565</v>
      </c>
      <c r="S453" t="s">
        <v>41</v>
      </c>
      <c r="T453" t="s">
        <v>32</v>
      </c>
      <c r="U453" t="s">
        <v>32</v>
      </c>
      <c r="V453" t="s">
        <v>55</v>
      </c>
      <c r="W453" t="s">
        <v>32</v>
      </c>
      <c r="X453" t="s">
        <v>32</v>
      </c>
      <c r="Y453" t="s">
        <v>1007</v>
      </c>
      <c r="Z453" t="s">
        <v>32</v>
      </c>
      <c r="AA453" t="s">
        <v>5542</v>
      </c>
      <c r="AB453" t="s">
        <v>5543</v>
      </c>
      <c r="AC453" t="s">
        <v>5544</v>
      </c>
      <c r="AD453" t="s">
        <v>32</v>
      </c>
      <c r="AE453" t="s">
        <v>2774</v>
      </c>
      <c r="AF453" t="s">
        <v>46835</v>
      </c>
    </row>
    <row r="454" spans="1:32" x14ac:dyDescent="0.2">
      <c r="A454">
        <v>449</v>
      </c>
      <c r="B454" t="s">
        <v>5545</v>
      </c>
      <c r="C454" t="s">
        <v>5546</v>
      </c>
      <c r="D454" t="s">
        <v>32</v>
      </c>
      <c r="E454" t="s">
        <v>5547</v>
      </c>
      <c r="F454" t="s">
        <v>5548</v>
      </c>
      <c r="G454" t="s">
        <v>32</v>
      </c>
      <c r="H454" t="str">
        <f>"Rpl35"</f>
        <v>Rpl35</v>
      </c>
      <c r="I454" t="s">
        <v>32</v>
      </c>
      <c r="J454" t="s">
        <v>37</v>
      </c>
      <c r="K454">
        <v>10090</v>
      </c>
      <c r="L454" s="3" t="str">
        <f>HYPERLINK("http://www.uniprot.org/uniprot/Q6ZWV7", "Q6ZWV7")</f>
        <v>Q6ZWV7</v>
      </c>
      <c r="M454" t="s">
        <v>5549</v>
      </c>
      <c r="N454" t="str">
        <f>"Rpl35"</f>
        <v>Rpl35</v>
      </c>
      <c r="O454" s="3" t="str">
        <f>HYPERLINK("http://www.informatics.jax.org/marker/MGI:1913739", "MGI:1913739")</f>
        <v>MGI:1913739</v>
      </c>
      <c r="P454" t="s">
        <v>1732</v>
      </c>
      <c r="Q454" t="s">
        <v>32</v>
      </c>
      <c r="R454" t="s">
        <v>418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447</v>
      </c>
      <c r="Y454" t="s">
        <v>516</v>
      </c>
      <c r="Z454" t="s">
        <v>126</v>
      </c>
      <c r="AA454" t="s">
        <v>5550</v>
      </c>
      <c r="AB454" t="s">
        <v>3056</v>
      </c>
      <c r="AC454" t="s">
        <v>5551</v>
      </c>
      <c r="AD454" t="s">
        <v>32</v>
      </c>
      <c r="AE454" t="s">
        <v>765</v>
      </c>
      <c r="AF454" t="s">
        <v>46835</v>
      </c>
    </row>
    <row r="455" spans="1:32" x14ac:dyDescent="0.2">
      <c r="A455">
        <v>450</v>
      </c>
      <c r="B455" t="s">
        <v>5552</v>
      </c>
      <c r="C455" t="s">
        <v>5553</v>
      </c>
      <c r="D455" t="s">
        <v>5554</v>
      </c>
      <c r="E455" t="s">
        <v>5555</v>
      </c>
      <c r="F455" t="s">
        <v>5556</v>
      </c>
      <c r="G455" t="s">
        <v>5557</v>
      </c>
      <c r="H455" t="str">
        <f>"Marcksl1"</f>
        <v>Marcksl1</v>
      </c>
      <c r="I455" t="s">
        <v>5558</v>
      </c>
      <c r="J455" t="s">
        <v>37</v>
      </c>
      <c r="K455">
        <v>10090</v>
      </c>
      <c r="L455" s="3" t="str">
        <f>HYPERLINK("http://www.uniprot.org/uniprot/P28667", "P28667")</f>
        <v>P28667</v>
      </c>
      <c r="M455" t="s">
        <v>5559</v>
      </c>
      <c r="N455" t="str">
        <f>"Marcksl1"</f>
        <v>Marcksl1</v>
      </c>
      <c r="O455" s="3" t="str">
        <f>HYPERLINK("http://www.informatics.jax.org/marker/MGI:97143", "MGI:97143")</f>
        <v>MGI:97143</v>
      </c>
      <c r="P455" t="s">
        <v>5560</v>
      </c>
      <c r="Q455" t="s">
        <v>32</v>
      </c>
      <c r="R455" t="s">
        <v>371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5561</v>
      </c>
      <c r="Y455" t="s">
        <v>5562</v>
      </c>
      <c r="Z455" t="s">
        <v>32</v>
      </c>
      <c r="AA455" t="s">
        <v>5563</v>
      </c>
      <c r="AB455" t="s">
        <v>5564</v>
      </c>
      <c r="AC455" t="s">
        <v>5565</v>
      </c>
      <c r="AD455" t="s">
        <v>32</v>
      </c>
      <c r="AE455" t="s">
        <v>32</v>
      </c>
      <c r="AF455" t="s">
        <v>46835</v>
      </c>
    </row>
    <row r="456" spans="1:32" x14ac:dyDescent="0.2">
      <c r="A456">
        <v>451</v>
      </c>
      <c r="B456" t="s">
        <v>5566</v>
      </c>
      <c r="C456" t="s">
        <v>5567</v>
      </c>
      <c r="D456" t="s">
        <v>5568</v>
      </c>
      <c r="E456" t="s">
        <v>5569</v>
      </c>
      <c r="F456" t="s">
        <v>5570</v>
      </c>
      <c r="G456" t="s">
        <v>5571</v>
      </c>
      <c r="H456" t="str">
        <f>"Pdlim1"</f>
        <v>Pdlim1</v>
      </c>
      <c r="I456" t="s">
        <v>5572</v>
      </c>
      <c r="J456" t="s">
        <v>37</v>
      </c>
      <c r="K456">
        <v>10090</v>
      </c>
      <c r="L456" s="3" t="str">
        <f>HYPERLINK("http://www.uniprot.org/uniprot/O70400", "O70400")</f>
        <v>O70400</v>
      </c>
      <c r="M456" t="s">
        <v>5573</v>
      </c>
      <c r="N456" t="str">
        <f>"Pdlim1"</f>
        <v>Pdlim1</v>
      </c>
      <c r="O456" s="3" t="str">
        <f>HYPERLINK("http://www.informatics.jax.org/marker/MGI:1860611", "MGI:1860611")</f>
        <v>MGI:1860611</v>
      </c>
      <c r="P456" t="s">
        <v>5574</v>
      </c>
      <c r="Q456" t="s">
        <v>32</v>
      </c>
      <c r="R456" t="s">
        <v>186</v>
      </c>
      <c r="S456" t="s">
        <v>32</v>
      </c>
      <c r="T456" t="s">
        <v>32</v>
      </c>
      <c r="U456" t="s">
        <v>32</v>
      </c>
      <c r="V456" t="s">
        <v>5575</v>
      </c>
      <c r="W456" t="s">
        <v>42</v>
      </c>
      <c r="X456" t="s">
        <v>32</v>
      </c>
      <c r="Y456" t="s">
        <v>157</v>
      </c>
      <c r="Z456" t="s">
        <v>32</v>
      </c>
      <c r="AA456" t="s">
        <v>5576</v>
      </c>
      <c r="AB456" t="s">
        <v>5577</v>
      </c>
      <c r="AC456" t="s">
        <v>5578</v>
      </c>
      <c r="AD456" t="s">
        <v>32</v>
      </c>
      <c r="AE456" t="s">
        <v>32</v>
      </c>
      <c r="AF456" t="s">
        <v>46835</v>
      </c>
    </row>
    <row r="457" spans="1:32" x14ac:dyDescent="0.2">
      <c r="A457">
        <v>452</v>
      </c>
      <c r="B457" t="s">
        <v>5579</v>
      </c>
      <c r="C457" t="s">
        <v>5580</v>
      </c>
      <c r="D457" t="s">
        <v>32</v>
      </c>
      <c r="E457" t="s">
        <v>5581</v>
      </c>
      <c r="F457" t="s">
        <v>5582</v>
      </c>
      <c r="G457" t="s">
        <v>5583</v>
      </c>
      <c r="H457" t="str">
        <f>"Fbn2"</f>
        <v>Fbn2</v>
      </c>
      <c r="I457" t="s">
        <v>32</v>
      </c>
      <c r="J457" t="s">
        <v>37</v>
      </c>
      <c r="K457">
        <v>10090</v>
      </c>
      <c r="L457" s="3" t="str">
        <f>HYPERLINK("http://www.uniprot.org/uniprot/Q61555", "Q61555")</f>
        <v>Q61555</v>
      </c>
      <c r="M457" t="s">
        <v>5584</v>
      </c>
      <c r="N457" t="str">
        <f>"Fbn2"</f>
        <v>Fbn2</v>
      </c>
      <c r="O457" s="3" t="str">
        <f>HYPERLINK("http://www.informatics.jax.org/marker/MGI:95490", "MGI:95490")</f>
        <v>MGI:95490</v>
      </c>
      <c r="P457" t="s">
        <v>5585</v>
      </c>
      <c r="Q457" t="s">
        <v>32</v>
      </c>
      <c r="R457" t="s">
        <v>5586</v>
      </c>
      <c r="S457" t="s">
        <v>32</v>
      </c>
      <c r="T457" t="s">
        <v>32</v>
      </c>
      <c r="U457" t="s">
        <v>32</v>
      </c>
      <c r="V457" t="s">
        <v>2786</v>
      </c>
      <c r="W457" t="s">
        <v>1380</v>
      </c>
      <c r="X457" t="s">
        <v>32</v>
      </c>
      <c r="Y457" t="s">
        <v>5275</v>
      </c>
      <c r="Z457" t="s">
        <v>32</v>
      </c>
      <c r="AA457" t="s">
        <v>5587</v>
      </c>
      <c r="AB457" t="s">
        <v>5588</v>
      </c>
      <c r="AC457" t="s">
        <v>5589</v>
      </c>
      <c r="AD457" t="s">
        <v>32</v>
      </c>
      <c r="AE457" t="s">
        <v>5590</v>
      </c>
      <c r="AF457" t="s">
        <v>46835</v>
      </c>
    </row>
    <row r="458" spans="1:32" x14ac:dyDescent="0.2">
      <c r="A458">
        <v>453</v>
      </c>
      <c r="B458" t="s">
        <v>5591</v>
      </c>
      <c r="C458" t="s">
        <v>5592</v>
      </c>
      <c r="D458" t="s">
        <v>5593</v>
      </c>
      <c r="E458" t="s">
        <v>5594</v>
      </c>
      <c r="F458" t="s">
        <v>5595</v>
      </c>
      <c r="G458" t="s">
        <v>5596</v>
      </c>
      <c r="H458" t="str">
        <f>"Eloc"</f>
        <v>Eloc</v>
      </c>
      <c r="I458" t="s">
        <v>32</v>
      </c>
      <c r="J458" t="s">
        <v>37</v>
      </c>
      <c r="K458">
        <v>10090</v>
      </c>
      <c r="L458" s="3" t="str">
        <f>HYPERLINK("http://www.uniprot.org/uniprot/P83940", "P83940")</f>
        <v>P83940</v>
      </c>
      <c r="M458" t="s">
        <v>5597</v>
      </c>
      <c r="N458" t="str">
        <f>"Eloc"</f>
        <v>Eloc</v>
      </c>
      <c r="O458" s="3" t="str">
        <f>HYPERLINK("http://www.informatics.jax.org/marker/MGI:1915173", "MGI:1915173")</f>
        <v>MGI:1915173</v>
      </c>
      <c r="P458" t="s">
        <v>5598</v>
      </c>
      <c r="Q458" t="s">
        <v>2278</v>
      </c>
      <c r="R458" t="s">
        <v>2279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t="s">
        <v>5599</v>
      </c>
      <c r="Z458" t="s">
        <v>126</v>
      </c>
      <c r="AA458" t="s">
        <v>5600</v>
      </c>
      <c r="AB458" t="s">
        <v>5601</v>
      </c>
      <c r="AC458" t="s">
        <v>5602</v>
      </c>
      <c r="AD458" t="s">
        <v>1027</v>
      </c>
      <c r="AE458" t="s">
        <v>5603</v>
      </c>
      <c r="AF458" t="s">
        <v>46835</v>
      </c>
    </row>
    <row r="459" spans="1:32" x14ac:dyDescent="0.2">
      <c r="A459">
        <v>454</v>
      </c>
      <c r="B459" t="s">
        <v>5604</v>
      </c>
      <c r="C459" t="s">
        <v>5605</v>
      </c>
      <c r="D459" t="s">
        <v>32</v>
      </c>
      <c r="E459" t="s">
        <v>5606</v>
      </c>
      <c r="F459" t="s">
        <v>5607</v>
      </c>
      <c r="G459" t="s">
        <v>5608</v>
      </c>
      <c r="H459" t="str">
        <f>"Rplp2"</f>
        <v>Rplp2</v>
      </c>
      <c r="I459" t="s">
        <v>32</v>
      </c>
      <c r="J459" t="s">
        <v>37</v>
      </c>
      <c r="K459">
        <v>10090</v>
      </c>
      <c r="L459" s="3" t="str">
        <f>HYPERLINK("http://www.uniprot.org/uniprot/P99027", "P99027")</f>
        <v>P99027</v>
      </c>
      <c r="M459" t="s">
        <v>5609</v>
      </c>
      <c r="N459" t="str">
        <f>"Rplp2"</f>
        <v>Rplp2</v>
      </c>
      <c r="O459" s="3" t="str">
        <f>HYPERLINK("http://www.informatics.jax.org/marker/MGI:1914436", "MGI:1914436")</f>
        <v>MGI:1914436</v>
      </c>
      <c r="P459" t="s">
        <v>5610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447</v>
      </c>
      <c r="Y459" t="s">
        <v>157</v>
      </c>
      <c r="Z459" t="s">
        <v>32</v>
      </c>
      <c r="AA459" t="s">
        <v>5611</v>
      </c>
      <c r="AB459" t="s">
        <v>5612</v>
      </c>
      <c r="AC459" t="s">
        <v>5613</v>
      </c>
      <c r="AD459" t="s">
        <v>32</v>
      </c>
      <c r="AE459" t="s">
        <v>765</v>
      </c>
      <c r="AF459" t="s">
        <v>46835</v>
      </c>
    </row>
    <row r="460" spans="1:32" x14ac:dyDescent="0.2">
      <c r="A460">
        <v>455</v>
      </c>
      <c r="B460" t="s">
        <v>5614</v>
      </c>
      <c r="C460" t="s">
        <v>5615</v>
      </c>
      <c r="D460" t="s">
        <v>5616</v>
      </c>
      <c r="E460" t="s">
        <v>5617</v>
      </c>
      <c r="F460" t="s">
        <v>5618</v>
      </c>
      <c r="G460" t="s">
        <v>5619</v>
      </c>
      <c r="H460" t="str">
        <f>"Ybx1"</f>
        <v>Ybx1</v>
      </c>
      <c r="I460" t="s">
        <v>32</v>
      </c>
      <c r="J460" t="s">
        <v>37</v>
      </c>
      <c r="K460">
        <v>10090</v>
      </c>
      <c r="L460" s="3" t="str">
        <f>HYPERLINK("http://www.uniprot.org/uniprot/P62960", "P62960")</f>
        <v>P62960</v>
      </c>
      <c r="M460" t="s">
        <v>5620</v>
      </c>
      <c r="N460" t="str">
        <f>"Ybx1"</f>
        <v>Ybx1</v>
      </c>
      <c r="O460" s="3" t="str">
        <f>HYPERLINK("http://www.informatics.jax.org/marker/MGI:99146", "MGI:99146")</f>
        <v>MGI:99146</v>
      </c>
      <c r="P460" t="s">
        <v>5621</v>
      </c>
      <c r="Q460" t="s">
        <v>1348</v>
      </c>
      <c r="R460" t="s">
        <v>542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5622</v>
      </c>
      <c r="Y460" t="s">
        <v>516</v>
      </c>
      <c r="Z460" t="s">
        <v>32</v>
      </c>
      <c r="AA460" t="s">
        <v>5623</v>
      </c>
      <c r="AB460" t="s">
        <v>5624</v>
      </c>
      <c r="AC460" t="s">
        <v>5625</v>
      </c>
      <c r="AD460" t="s">
        <v>32</v>
      </c>
      <c r="AE460" t="s">
        <v>5626</v>
      </c>
      <c r="AF460" t="s">
        <v>46835</v>
      </c>
    </row>
    <row r="461" spans="1:32" x14ac:dyDescent="0.2">
      <c r="A461">
        <v>456</v>
      </c>
      <c r="B461" t="s">
        <v>5627</v>
      </c>
      <c r="C461" t="s">
        <v>5628</v>
      </c>
      <c r="D461" t="s">
        <v>5629</v>
      </c>
      <c r="E461" t="s">
        <v>5630</v>
      </c>
      <c r="F461" t="s">
        <v>5631</v>
      </c>
      <c r="G461" t="s">
        <v>5632</v>
      </c>
      <c r="H461" t="str">
        <f>"Apoa1"</f>
        <v>Apoa1</v>
      </c>
      <c r="I461" t="s">
        <v>32</v>
      </c>
      <c r="J461" t="s">
        <v>37</v>
      </c>
      <c r="K461">
        <v>10090</v>
      </c>
      <c r="L461" s="3" t="str">
        <f>HYPERLINK("http://www.uniprot.org/uniprot/Q00623", "Q00623")</f>
        <v>Q00623</v>
      </c>
      <c r="M461" t="s">
        <v>5633</v>
      </c>
      <c r="N461" t="str">
        <f>"Apoa1"</f>
        <v>Apoa1</v>
      </c>
      <c r="O461" s="3" t="str">
        <f>HYPERLINK("http://www.informatics.jax.org/marker/MGI:88049", "MGI:88049")</f>
        <v>MGI:88049</v>
      </c>
      <c r="P461" t="s">
        <v>5634</v>
      </c>
      <c r="Q461" t="s">
        <v>4164</v>
      </c>
      <c r="R461" t="s">
        <v>5635</v>
      </c>
      <c r="S461" t="s">
        <v>32</v>
      </c>
      <c r="T461" t="s">
        <v>32</v>
      </c>
      <c r="U461" t="s">
        <v>32</v>
      </c>
      <c r="V461" t="s">
        <v>478</v>
      </c>
      <c r="W461" t="s">
        <v>32</v>
      </c>
      <c r="X461" t="s">
        <v>32</v>
      </c>
      <c r="Y461" t="s">
        <v>5636</v>
      </c>
      <c r="Z461" t="s">
        <v>126</v>
      </c>
      <c r="AA461" t="s">
        <v>5637</v>
      </c>
      <c r="AB461" t="s">
        <v>5638</v>
      </c>
      <c r="AC461" t="s">
        <v>5639</v>
      </c>
      <c r="AD461" t="s">
        <v>32</v>
      </c>
      <c r="AE461" t="s">
        <v>5640</v>
      </c>
      <c r="AF461" t="s">
        <v>46835</v>
      </c>
    </row>
    <row r="462" spans="1:32" x14ac:dyDescent="0.2">
      <c r="A462">
        <v>457</v>
      </c>
      <c r="B462" t="s">
        <v>5641</v>
      </c>
      <c r="C462" t="s">
        <v>5642</v>
      </c>
      <c r="D462" t="s">
        <v>5643</v>
      </c>
      <c r="E462" t="s">
        <v>5644</v>
      </c>
      <c r="F462" t="s">
        <v>5645</v>
      </c>
      <c r="G462" t="s">
        <v>5646</v>
      </c>
      <c r="H462" t="str">
        <f>"Pfkl"</f>
        <v>Pfkl</v>
      </c>
      <c r="I462" t="s">
        <v>5647</v>
      </c>
      <c r="J462" t="s">
        <v>37</v>
      </c>
      <c r="K462">
        <v>10090</v>
      </c>
      <c r="L462" s="3" t="str">
        <f>HYPERLINK("http://www.uniprot.org/uniprot/P12382", "P12382")</f>
        <v>P12382</v>
      </c>
      <c r="M462" t="s">
        <v>5648</v>
      </c>
      <c r="N462" t="str">
        <f>"Pfkl"</f>
        <v>Pfkl</v>
      </c>
      <c r="O462" s="3" t="str">
        <f>HYPERLINK("http://www.informatics.jax.org/marker/MGI:97547", "MGI:97547")</f>
        <v>MGI:97547</v>
      </c>
      <c r="P462" t="s">
        <v>5649</v>
      </c>
      <c r="Q462" t="s">
        <v>221</v>
      </c>
      <c r="R462" t="s">
        <v>418</v>
      </c>
      <c r="S462" t="s">
        <v>32</v>
      </c>
      <c r="T462" t="s">
        <v>32</v>
      </c>
      <c r="U462" t="s">
        <v>32</v>
      </c>
      <c r="V462" t="s">
        <v>32</v>
      </c>
      <c r="W462" t="s">
        <v>1266</v>
      </c>
      <c r="X462" t="s">
        <v>307</v>
      </c>
      <c r="Y462" t="s">
        <v>372</v>
      </c>
      <c r="Z462" t="s">
        <v>32</v>
      </c>
      <c r="AA462" t="s">
        <v>5650</v>
      </c>
      <c r="AB462" t="s">
        <v>5651</v>
      </c>
      <c r="AC462" t="s">
        <v>5652</v>
      </c>
      <c r="AD462" t="s">
        <v>5653</v>
      </c>
      <c r="AE462" t="s">
        <v>313</v>
      </c>
      <c r="AF462" t="s">
        <v>46835</v>
      </c>
    </row>
    <row r="463" spans="1:32" x14ac:dyDescent="0.2">
      <c r="A463">
        <v>458</v>
      </c>
      <c r="B463" t="s">
        <v>5654</v>
      </c>
      <c r="C463" t="s">
        <v>5655</v>
      </c>
      <c r="D463" t="s">
        <v>5656</v>
      </c>
      <c r="E463" t="s">
        <v>5657</v>
      </c>
      <c r="F463" t="s">
        <v>5658</v>
      </c>
      <c r="G463" t="s">
        <v>32</v>
      </c>
      <c r="H463" t="str">
        <f>"Pcna"</f>
        <v>Pcna</v>
      </c>
      <c r="I463" t="s">
        <v>32</v>
      </c>
      <c r="J463" t="s">
        <v>37</v>
      </c>
      <c r="K463">
        <v>10090</v>
      </c>
      <c r="L463" s="3" t="str">
        <f>HYPERLINK("http://www.uniprot.org/uniprot/P17918", "P17918")</f>
        <v>P17918</v>
      </c>
      <c r="M463" t="s">
        <v>5659</v>
      </c>
      <c r="N463" t="str">
        <f>"Pcna"</f>
        <v>Pcna</v>
      </c>
      <c r="O463" s="3" t="str">
        <f>HYPERLINK("http://www.informatics.jax.org/marker/MGI:97503", "MGI:97503")</f>
        <v>MGI:97503</v>
      </c>
      <c r="P463" t="s">
        <v>5660</v>
      </c>
      <c r="Q463" t="s">
        <v>5661</v>
      </c>
      <c r="R463" t="s">
        <v>2279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247</v>
      </c>
      <c r="Y463" t="s">
        <v>207</v>
      </c>
      <c r="Z463" t="s">
        <v>32</v>
      </c>
      <c r="AA463" t="s">
        <v>5662</v>
      </c>
      <c r="AB463" t="s">
        <v>5663</v>
      </c>
      <c r="AC463" t="s">
        <v>5664</v>
      </c>
      <c r="AD463" t="s">
        <v>32</v>
      </c>
      <c r="AE463" t="s">
        <v>5665</v>
      </c>
      <c r="AF463" t="s">
        <v>46835</v>
      </c>
    </row>
    <row r="464" spans="1:32" x14ac:dyDescent="0.2">
      <c r="A464">
        <v>459</v>
      </c>
      <c r="B464" t="s">
        <v>5666</v>
      </c>
      <c r="C464" t="s">
        <v>5667</v>
      </c>
      <c r="D464" t="s">
        <v>5668</v>
      </c>
      <c r="E464" t="s">
        <v>5669</v>
      </c>
      <c r="F464" t="s">
        <v>5670</v>
      </c>
      <c r="G464" t="s">
        <v>5671</v>
      </c>
      <c r="H464" t="str">
        <f>"Vars1"</f>
        <v>Vars1</v>
      </c>
      <c r="I464" t="s">
        <v>5672</v>
      </c>
      <c r="J464" t="s">
        <v>37</v>
      </c>
      <c r="K464">
        <v>10090</v>
      </c>
      <c r="L464" s="3" t="str">
        <f>HYPERLINK("http://www.uniprot.org/uniprot/Q9Z1Q9", "Q9Z1Q9")</f>
        <v>Q9Z1Q9</v>
      </c>
      <c r="M464" t="s">
        <v>5673</v>
      </c>
      <c r="N464" t="str">
        <f>"Vars"</f>
        <v>Vars</v>
      </c>
      <c r="O464" s="3" t="str">
        <f>HYPERLINK("http://www.informatics.jax.org/marker/MGI:90675", "MGI:90675")</f>
        <v>MGI:90675</v>
      </c>
      <c r="P464" t="s">
        <v>5674</v>
      </c>
      <c r="Q464" t="s">
        <v>260</v>
      </c>
      <c r="R464" t="s">
        <v>32</v>
      </c>
      <c r="S464" t="s">
        <v>32</v>
      </c>
      <c r="T464" t="s">
        <v>32</v>
      </c>
      <c r="U464" t="s">
        <v>32</v>
      </c>
      <c r="V464" t="s">
        <v>32</v>
      </c>
      <c r="W464" t="s">
        <v>205</v>
      </c>
      <c r="X464" t="s">
        <v>2983</v>
      </c>
      <c r="Y464" t="s">
        <v>157</v>
      </c>
      <c r="Z464" t="s">
        <v>32</v>
      </c>
      <c r="AA464" t="s">
        <v>5675</v>
      </c>
      <c r="AB464" t="s">
        <v>5676</v>
      </c>
      <c r="AC464" t="s">
        <v>5677</v>
      </c>
      <c r="AD464" t="s">
        <v>32</v>
      </c>
      <c r="AE464" t="s">
        <v>32</v>
      </c>
      <c r="AF464" t="s">
        <v>46835</v>
      </c>
    </row>
    <row r="465" spans="1:32" x14ac:dyDescent="0.2">
      <c r="A465">
        <v>460</v>
      </c>
      <c r="B465" t="s">
        <v>5678</v>
      </c>
      <c r="C465" t="s">
        <v>5679</v>
      </c>
      <c r="D465" t="s">
        <v>5680</v>
      </c>
      <c r="E465" t="s">
        <v>5681</v>
      </c>
      <c r="F465" t="s">
        <v>5682</v>
      </c>
      <c r="G465" t="s">
        <v>5683</v>
      </c>
      <c r="H465" t="str">
        <f>"Prdx5"</f>
        <v>Prdx5</v>
      </c>
      <c r="I465" t="s">
        <v>5684</v>
      </c>
      <c r="J465" t="s">
        <v>37</v>
      </c>
      <c r="K465">
        <v>10090</v>
      </c>
      <c r="L465" s="3" t="str">
        <f>HYPERLINK("http://www.uniprot.org/uniprot/P99029", "P99029")</f>
        <v>P99029</v>
      </c>
      <c r="M465" t="s">
        <v>5685</v>
      </c>
      <c r="N465" t="str">
        <f>"Prdx5"</f>
        <v>Prdx5</v>
      </c>
      <c r="O465" s="3" t="str">
        <f>HYPERLINK("http://www.informatics.jax.org/marker/MGI:1859821", "MGI:1859821")</f>
        <v>MGI:1859821</v>
      </c>
      <c r="P465" t="s">
        <v>5686</v>
      </c>
      <c r="Q465" t="s">
        <v>32</v>
      </c>
      <c r="R465" t="s">
        <v>5687</v>
      </c>
      <c r="S465" t="s">
        <v>477</v>
      </c>
      <c r="T465" t="s">
        <v>32</v>
      </c>
      <c r="U465" t="s">
        <v>32</v>
      </c>
      <c r="V465" t="s">
        <v>5688</v>
      </c>
      <c r="W465" t="s">
        <v>32</v>
      </c>
      <c r="X465" t="s">
        <v>1091</v>
      </c>
      <c r="Y465" t="s">
        <v>1236</v>
      </c>
      <c r="Z465" t="s">
        <v>32</v>
      </c>
      <c r="AA465" t="s">
        <v>5689</v>
      </c>
      <c r="AB465" t="s">
        <v>5690</v>
      </c>
      <c r="AC465" t="s">
        <v>5691</v>
      </c>
      <c r="AD465" t="s">
        <v>32</v>
      </c>
      <c r="AE465" t="s">
        <v>1095</v>
      </c>
      <c r="AF465" t="s">
        <v>46835</v>
      </c>
    </row>
    <row r="466" spans="1:32" x14ac:dyDescent="0.2">
      <c r="A466">
        <v>461</v>
      </c>
      <c r="B466" t="s">
        <v>5692</v>
      </c>
      <c r="C466" t="s">
        <v>5693</v>
      </c>
      <c r="D466" t="s">
        <v>5694</v>
      </c>
      <c r="E466" t="s">
        <v>5695</v>
      </c>
      <c r="F466" t="s">
        <v>5696</v>
      </c>
      <c r="G466" t="s">
        <v>5697</v>
      </c>
      <c r="H466" t="str">
        <f>"Tpp2"</f>
        <v>Tpp2</v>
      </c>
      <c r="I466" t="s">
        <v>32</v>
      </c>
      <c r="J466" t="s">
        <v>37</v>
      </c>
      <c r="K466">
        <v>10090</v>
      </c>
      <c r="L466" s="3" t="str">
        <f>HYPERLINK("http://www.uniprot.org/uniprot/Q64514", "Q64514")</f>
        <v>Q64514</v>
      </c>
      <c r="M466" t="s">
        <v>5698</v>
      </c>
      <c r="N466" t="str">
        <f>"Tpp2"</f>
        <v>Tpp2</v>
      </c>
      <c r="O466" s="3" t="str">
        <f>HYPERLINK("http://www.informatics.jax.org/marker/MGI:102724", "MGI:102724")</f>
        <v>MGI:102724</v>
      </c>
      <c r="P466" t="s">
        <v>5699</v>
      </c>
      <c r="Q466" t="s">
        <v>32</v>
      </c>
      <c r="R466" t="s">
        <v>40</v>
      </c>
      <c r="S466" t="s">
        <v>41</v>
      </c>
      <c r="T466" t="s">
        <v>32</v>
      </c>
      <c r="U466" t="s">
        <v>32</v>
      </c>
      <c r="V466" t="s">
        <v>32</v>
      </c>
      <c r="W466" t="s">
        <v>32</v>
      </c>
      <c r="X466" t="s">
        <v>5700</v>
      </c>
      <c r="Y466" t="s">
        <v>157</v>
      </c>
      <c r="Z466" t="s">
        <v>32</v>
      </c>
      <c r="AA466" t="s">
        <v>5701</v>
      </c>
      <c r="AB466" t="s">
        <v>5702</v>
      </c>
      <c r="AC466" t="s">
        <v>5703</v>
      </c>
      <c r="AD466" t="s">
        <v>32</v>
      </c>
      <c r="AE466" t="s">
        <v>4220</v>
      </c>
      <c r="AF466" t="s">
        <v>46835</v>
      </c>
    </row>
    <row r="467" spans="1:32" x14ac:dyDescent="0.2">
      <c r="A467">
        <v>462</v>
      </c>
      <c r="B467" t="s">
        <v>5704</v>
      </c>
      <c r="C467" t="s">
        <v>5705</v>
      </c>
      <c r="D467" t="s">
        <v>5706</v>
      </c>
      <c r="E467" t="s">
        <v>5707</v>
      </c>
      <c r="F467" t="s">
        <v>5708</v>
      </c>
      <c r="G467" t="s">
        <v>5709</v>
      </c>
      <c r="H467" t="str">
        <f>"Macroh2a1"</f>
        <v>Macroh2a1</v>
      </c>
      <c r="I467" t="s">
        <v>32</v>
      </c>
      <c r="J467" t="s">
        <v>37</v>
      </c>
      <c r="K467">
        <v>10090</v>
      </c>
      <c r="L467" s="3" t="str">
        <f>HYPERLINK("http://www.uniprot.org/uniprot/Q9QZQ8", "Q9QZQ8")</f>
        <v>Q9QZQ8</v>
      </c>
      <c r="M467" t="s">
        <v>5710</v>
      </c>
      <c r="N467" t="str">
        <f>"Macroh2a1"</f>
        <v>Macroh2a1</v>
      </c>
      <c r="O467" s="3" t="str">
        <f>HYPERLINK("http://www.informatics.jax.org/marker/MGI:1349392", "MGI:1349392")</f>
        <v>MGI:1349392</v>
      </c>
      <c r="P467" t="s">
        <v>5711</v>
      </c>
      <c r="Q467" t="s">
        <v>32</v>
      </c>
      <c r="R467" t="s">
        <v>246</v>
      </c>
      <c r="S467" t="s">
        <v>41</v>
      </c>
      <c r="T467" t="s">
        <v>32</v>
      </c>
      <c r="U467" t="s">
        <v>32</v>
      </c>
      <c r="V467" t="s">
        <v>32</v>
      </c>
      <c r="W467" t="s">
        <v>32</v>
      </c>
      <c r="X467" t="s">
        <v>5712</v>
      </c>
      <c r="Y467" t="s">
        <v>207</v>
      </c>
      <c r="Z467" t="s">
        <v>32</v>
      </c>
      <c r="AA467" t="s">
        <v>5713</v>
      </c>
      <c r="AB467" t="s">
        <v>5714</v>
      </c>
      <c r="AC467" t="s">
        <v>5715</v>
      </c>
      <c r="AD467" t="s">
        <v>32</v>
      </c>
      <c r="AE467" t="s">
        <v>32</v>
      </c>
      <c r="AF467" t="s">
        <v>46835</v>
      </c>
    </row>
    <row r="468" spans="1:32" x14ac:dyDescent="0.2">
      <c r="A468">
        <v>463</v>
      </c>
      <c r="B468" t="s">
        <v>5716</v>
      </c>
      <c r="C468" t="s">
        <v>5717</v>
      </c>
      <c r="D468" t="s">
        <v>32</v>
      </c>
      <c r="E468" t="s">
        <v>5718</v>
      </c>
      <c r="F468" t="s">
        <v>5719</v>
      </c>
      <c r="G468" t="s">
        <v>5720</v>
      </c>
      <c r="H468" t="str">
        <f>"Lrrc59"</f>
        <v>Lrrc59</v>
      </c>
      <c r="I468" t="s">
        <v>32</v>
      </c>
      <c r="J468" t="s">
        <v>37</v>
      </c>
      <c r="K468">
        <v>10090</v>
      </c>
      <c r="L468" s="3" t="str">
        <f>HYPERLINK("http://www.uniprot.org/uniprot/Q922Q8", "Q922Q8")</f>
        <v>Q922Q8</v>
      </c>
      <c r="M468" t="s">
        <v>5721</v>
      </c>
      <c r="N468" t="str">
        <f>"Lrrc59"</f>
        <v>Lrrc59</v>
      </c>
      <c r="O468" s="3" t="str">
        <f>HYPERLINK("http://www.informatics.jax.org/marker/MGI:2138133", "MGI:2138133")</f>
        <v>MGI:2138133</v>
      </c>
      <c r="P468" t="s">
        <v>5722</v>
      </c>
      <c r="Q468" t="s">
        <v>32</v>
      </c>
      <c r="R468" t="s">
        <v>5723</v>
      </c>
      <c r="S468" t="s">
        <v>32</v>
      </c>
      <c r="T468" t="s">
        <v>32</v>
      </c>
      <c r="U468" t="s">
        <v>32</v>
      </c>
      <c r="V468" t="s">
        <v>5724</v>
      </c>
      <c r="W468" t="s">
        <v>32</v>
      </c>
      <c r="X468" t="s">
        <v>32</v>
      </c>
      <c r="Y468" t="s">
        <v>157</v>
      </c>
      <c r="Z468" t="s">
        <v>32</v>
      </c>
      <c r="AA468" t="s">
        <v>32</v>
      </c>
      <c r="AB468" t="s">
        <v>5725</v>
      </c>
      <c r="AC468" t="s">
        <v>32</v>
      </c>
      <c r="AD468" t="s">
        <v>32</v>
      </c>
      <c r="AE468" t="s">
        <v>32</v>
      </c>
      <c r="AF468" t="s">
        <v>46835</v>
      </c>
    </row>
    <row r="469" spans="1:32" x14ac:dyDescent="0.2">
      <c r="A469">
        <v>464</v>
      </c>
      <c r="B469" t="s">
        <v>5726</v>
      </c>
      <c r="C469" t="s">
        <v>5727</v>
      </c>
      <c r="D469" t="s">
        <v>32</v>
      </c>
      <c r="E469" t="s">
        <v>5728</v>
      </c>
      <c r="F469" t="s">
        <v>5729</v>
      </c>
      <c r="G469" t="s">
        <v>5730</v>
      </c>
      <c r="H469" t="str">
        <f>"Hnrnpf"</f>
        <v>Hnrnpf</v>
      </c>
      <c r="I469" t="s">
        <v>5731</v>
      </c>
      <c r="J469" t="s">
        <v>37</v>
      </c>
      <c r="K469">
        <v>10090</v>
      </c>
      <c r="L469" s="3" t="str">
        <f>HYPERLINK("http://www.uniprot.org/uniprot/Q9Z2X1", "Q9Z2X1")</f>
        <v>Q9Z2X1</v>
      </c>
      <c r="M469" t="s">
        <v>5732</v>
      </c>
      <c r="N469" t="str">
        <f>"Hnrnpf"</f>
        <v>Hnrnpf</v>
      </c>
      <c r="O469" s="3" t="str">
        <f>HYPERLINK("http://www.informatics.jax.org/marker/MGI:2138741", "MGI:2138741")</f>
        <v>MGI:2138741</v>
      </c>
      <c r="P469" t="s">
        <v>5733</v>
      </c>
      <c r="Q469" t="s">
        <v>2139</v>
      </c>
      <c r="R469" t="s">
        <v>2140</v>
      </c>
      <c r="S469" t="s">
        <v>41</v>
      </c>
      <c r="T469" t="s">
        <v>32</v>
      </c>
      <c r="U469" t="s">
        <v>32</v>
      </c>
      <c r="V469" t="s">
        <v>55</v>
      </c>
      <c r="W469" t="s">
        <v>32</v>
      </c>
      <c r="X469" t="s">
        <v>1129</v>
      </c>
      <c r="Y469" t="s">
        <v>516</v>
      </c>
      <c r="Z469" t="s">
        <v>126</v>
      </c>
      <c r="AA469" t="s">
        <v>5734</v>
      </c>
      <c r="AB469" t="s">
        <v>5735</v>
      </c>
      <c r="AC469" t="s">
        <v>5736</v>
      </c>
      <c r="AD469" t="s">
        <v>32</v>
      </c>
      <c r="AE469" t="s">
        <v>946</v>
      </c>
      <c r="AF469" t="s">
        <v>46835</v>
      </c>
    </row>
    <row r="470" spans="1:32" x14ac:dyDescent="0.2">
      <c r="A470">
        <v>465</v>
      </c>
      <c r="B470" t="s">
        <v>5737</v>
      </c>
      <c r="C470" t="s">
        <v>5738</v>
      </c>
      <c r="D470" t="s">
        <v>5739</v>
      </c>
      <c r="E470" t="s">
        <v>5740</v>
      </c>
      <c r="F470" t="s">
        <v>5741</v>
      </c>
      <c r="G470" t="s">
        <v>5742</v>
      </c>
      <c r="H470" t="str">
        <f>"Idi1"</f>
        <v>Idi1</v>
      </c>
      <c r="I470" t="s">
        <v>32</v>
      </c>
      <c r="J470" t="s">
        <v>37</v>
      </c>
      <c r="K470">
        <v>10090</v>
      </c>
      <c r="L470" s="3" t="str">
        <f>HYPERLINK("http://www.uniprot.org/uniprot/P58044", "P58044")</f>
        <v>P58044</v>
      </c>
      <c r="M470" t="s">
        <v>5743</v>
      </c>
      <c r="N470" t="str">
        <f>"Idi1"</f>
        <v>Idi1</v>
      </c>
      <c r="O470" s="3" t="str">
        <f>HYPERLINK("http://www.informatics.jax.org/marker/MGI:2442264", "MGI:2442264")</f>
        <v>MGI:2442264</v>
      </c>
      <c r="P470" t="s">
        <v>5744</v>
      </c>
      <c r="Q470" t="s">
        <v>5359</v>
      </c>
      <c r="R470" t="s">
        <v>5745</v>
      </c>
      <c r="S470" t="s">
        <v>32</v>
      </c>
      <c r="T470" t="s">
        <v>32</v>
      </c>
      <c r="U470" t="s">
        <v>32</v>
      </c>
      <c r="V470" t="s">
        <v>32</v>
      </c>
      <c r="W470" t="s">
        <v>223</v>
      </c>
      <c r="X470" t="s">
        <v>673</v>
      </c>
      <c r="Y470" t="s">
        <v>78</v>
      </c>
      <c r="Z470" t="s">
        <v>32</v>
      </c>
      <c r="AA470" t="s">
        <v>5746</v>
      </c>
      <c r="AB470" t="s">
        <v>5747</v>
      </c>
      <c r="AC470" t="s">
        <v>5748</v>
      </c>
      <c r="AD470" t="s">
        <v>5749</v>
      </c>
      <c r="AE470" t="s">
        <v>5365</v>
      </c>
      <c r="AF470" t="s">
        <v>46835</v>
      </c>
    </row>
    <row r="471" spans="1:32" x14ac:dyDescent="0.2">
      <c r="A471">
        <v>466</v>
      </c>
      <c r="B471" t="s">
        <v>5750</v>
      </c>
      <c r="C471" t="s">
        <v>5751</v>
      </c>
      <c r="D471" t="s">
        <v>5752</v>
      </c>
      <c r="E471" t="s">
        <v>5753</v>
      </c>
      <c r="F471" t="s">
        <v>5754</v>
      </c>
      <c r="G471" t="s">
        <v>5755</v>
      </c>
      <c r="H471" t="str">
        <f>"Hnrnpab"</f>
        <v>Hnrnpab</v>
      </c>
      <c r="I471" t="s">
        <v>5756</v>
      </c>
      <c r="J471" t="s">
        <v>37</v>
      </c>
      <c r="K471">
        <v>10090</v>
      </c>
      <c r="L471" s="3" t="str">
        <f>HYPERLINK("http://www.uniprot.org/uniprot/Q99020", "Q99020")</f>
        <v>Q99020</v>
      </c>
      <c r="M471" t="s">
        <v>5757</v>
      </c>
      <c r="N471" t="str">
        <f>"Hnrnpab"</f>
        <v>Hnrnpab</v>
      </c>
      <c r="O471" s="3" t="str">
        <f>HYPERLINK("http://www.informatics.jax.org/marker/MGI:1330294", "MGI:1330294")</f>
        <v>MGI:1330294</v>
      </c>
      <c r="P471" t="s">
        <v>5758</v>
      </c>
      <c r="Q471" t="s">
        <v>4152</v>
      </c>
      <c r="R471" t="s">
        <v>40</v>
      </c>
      <c r="S471" t="s">
        <v>32</v>
      </c>
      <c r="T471" t="s">
        <v>32</v>
      </c>
      <c r="U471" t="s">
        <v>32</v>
      </c>
      <c r="V471" t="s">
        <v>55</v>
      </c>
      <c r="W471" t="s">
        <v>32</v>
      </c>
      <c r="X471" t="s">
        <v>5759</v>
      </c>
      <c r="Y471" t="s">
        <v>207</v>
      </c>
      <c r="Z471" t="s">
        <v>32</v>
      </c>
      <c r="AA471" t="s">
        <v>5760</v>
      </c>
      <c r="AB471" t="s">
        <v>5761</v>
      </c>
      <c r="AC471" t="s">
        <v>5762</v>
      </c>
      <c r="AD471" t="s">
        <v>32</v>
      </c>
      <c r="AE471" t="s">
        <v>32</v>
      </c>
      <c r="AF471" t="s">
        <v>46835</v>
      </c>
    </row>
    <row r="472" spans="1:32" x14ac:dyDescent="0.2">
      <c r="A472">
        <v>467</v>
      </c>
      <c r="B472" t="s">
        <v>5763</v>
      </c>
      <c r="C472" t="s">
        <v>5764</v>
      </c>
      <c r="D472" t="s">
        <v>32</v>
      </c>
      <c r="E472" t="s">
        <v>5765</v>
      </c>
      <c r="F472" t="s">
        <v>5766</v>
      </c>
      <c r="G472" t="s">
        <v>5767</v>
      </c>
      <c r="H472" t="str">
        <f>"Fubp1"</f>
        <v>Fubp1</v>
      </c>
      <c r="I472" t="s">
        <v>5768</v>
      </c>
      <c r="J472" t="s">
        <v>37</v>
      </c>
      <c r="K472">
        <v>10090</v>
      </c>
      <c r="L472" s="3" t="str">
        <f>HYPERLINK("http://www.uniprot.org/uniprot/Q91WJ8", "Q91WJ8")</f>
        <v>Q91WJ8</v>
      </c>
      <c r="M472" t="s">
        <v>5769</v>
      </c>
      <c r="N472" t="str">
        <f>"Fubp1"</f>
        <v>Fubp1</v>
      </c>
      <c r="O472" s="3" t="str">
        <f>HYPERLINK("http://www.informatics.jax.org/marker/MGI:1196294", "MGI:1196294")</f>
        <v>MGI:1196294</v>
      </c>
      <c r="P472" t="s">
        <v>5770</v>
      </c>
      <c r="Q472" t="s">
        <v>4152</v>
      </c>
      <c r="R472" t="s">
        <v>2279</v>
      </c>
      <c r="S472" t="s">
        <v>41</v>
      </c>
      <c r="T472" t="s">
        <v>32</v>
      </c>
      <c r="U472" t="s">
        <v>32</v>
      </c>
      <c r="V472" t="s">
        <v>55</v>
      </c>
      <c r="W472" t="s">
        <v>32</v>
      </c>
      <c r="X472" t="s">
        <v>247</v>
      </c>
      <c r="Y472" t="s">
        <v>277</v>
      </c>
      <c r="Z472" t="s">
        <v>126</v>
      </c>
      <c r="AA472" t="s">
        <v>5771</v>
      </c>
      <c r="AB472" t="s">
        <v>5772</v>
      </c>
      <c r="AC472" t="s">
        <v>5773</v>
      </c>
      <c r="AD472" t="s">
        <v>32</v>
      </c>
      <c r="AE472" t="s">
        <v>32</v>
      </c>
      <c r="AF472" t="s">
        <v>46835</v>
      </c>
    </row>
    <row r="473" spans="1:32" x14ac:dyDescent="0.2">
      <c r="A473">
        <v>468</v>
      </c>
      <c r="B473" t="s">
        <v>5774</v>
      </c>
      <c r="C473" t="s">
        <v>5775</v>
      </c>
      <c r="D473" t="s">
        <v>32</v>
      </c>
      <c r="E473" t="s">
        <v>5776</v>
      </c>
      <c r="F473" t="s">
        <v>5777</v>
      </c>
      <c r="G473" t="s">
        <v>32</v>
      </c>
      <c r="H473" t="str">
        <f>"Ctsd"</f>
        <v>Ctsd</v>
      </c>
      <c r="I473" t="s">
        <v>32</v>
      </c>
      <c r="J473" t="s">
        <v>37</v>
      </c>
      <c r="K473">
        <v>10090</v>
      </c>
      <c r="L473" s="3" t="str">
        <f>HYPERLINK("http://www.uniprot.org/uniprot/P18242", "P18242")</f>
        <v>P18242</v>
      </c>
      <c r="M473" t="s">
        <v>5778</v>
      </c>
      <c r="N473" t="str">
        <f>"Ctsd"</f>
        <v>Ctsd</v>
      </c>
      <c r="O473" s="3" t="str">
        <f>HYPERLINK("http://www.informatics.jax.org/marker/MGI:88562", "MGI:88562")</f>
        <v>MGI:88562</v>
      </c>
      <c r="P473" t="s">
        <v>5779</v>
      </c>
      <c r="Q473" t="s">
        <v>32</v>
      </c>
      <c r="R473" t="s">
        <v>5274</v>
      </c>
      <c r="S473" t="s">
        <v>32</v>
      </c>
      <c r="T473" t="s">
        <v>32</v>
      </c>
      <c r="U473" t="s">
        <v>32</v>
      </c>
      <c r="V473" t="s">
        <v>811</v>
      </c>
      <c r="W473" t="s">
        <v>32</v>
      </c>
      <c r="X473" t="s">
        <v>5780</v>
      </c>
      <c r="Y473" t="s">
        <v>5781</v>
      </c>
      <c r="Z473" t="s">
        <v>32</v>
      </c>
      <c r="AA473" t="s">
        <v>5782</v>
      </c>
      <c r="AB473" t="s">
        <v>5783</v>
      </c>
      <c r="AC473" t="s">
        <v>5784</v>
      </c>
      <c r="AD473" t="s">
        <v>32</v>
      </c>
      <c r="AE473" t="s">
        <v>5785</v>
      </c>
      <c r="AF473" t="s">
        <v>46835</v>
      </c>
    </row>
    <row r="474" spans="1:32" x14ac:dyDescent="0.2">
      <c r="A474">
        <v>469</v>
      </c>
      <c r="B474" t="s">
        <v>5786</v>
      </c>
      <c r="C474" t="s">
        <v>5787</v>
      </c>
      <c r="D474" t="s">
        <v>5788</v>
      </c>
      <c r="E474" t="s">
        <v>5789</v>
      </c>
      <c r="F474" t="s">
        <v>5790</v>
      </c>
      <c r="G474" t="s">
        <v>5791</v>
      </c>
      <c r="H474" t="str">
        <f>"Oga"</f>
        <v>Oga</v>
      </c>
      <c r="I474" t="s">
        <v>5792</v>
      </c>
      <c r="J474" t="s">
        <v>37</v>
      </c>
      <c r="K474">
        <v>10090</v>
      </c>
      <c r="L474" s="3" t="str">
        <f>HYPERLINK("http://www.uniprot.org/uniprot/Q9EQQ9", "Q9EQQ9")</f>
        <v>Q9EQQ9</v>
      </c>
      <c r="M474" t="s">
        <v>5793</v>
      </c>
      <c r="N474" t="str">
        <f>"Oga"</f>
        <v>Oga</v>
      </c>
      <c r="O474" s="3" t="str">
        <f>HYPERLINK("http://www.informatics.jax.org/marker/MGI:1932139", "MGI:1932139")</f>
        <v>MGI:1932139</v>
      </c>
      <c r="P474" t="s">
        <v>5794</v>
      </c>
      <c r="Q474" t="s">
        <v>32</v>
      </c>
      <c r="R474" t="s">
        <v>40</v>
      </c>
      <c r="S474" t="s">
        <v>41</v>
      </c>
      <c r="T474" t="s">
        <v>32</v>
      </c>
      <c r="U474" t="s">
        <v>32</v>
      </c>
      <c r="V474" t="s">
        <v>32</v>
      </c>
      <c r="W474" t="s">
        <v>32</v>
      </c>
      <c r="X474" t="s">
        <v>4316</v>
      </c>
      <c r="Y474" t="s">
        <v>618</v>
      </c>
      <c r="Z474" t="s">
        <v>32</v>
      </c>
      <c r="AA474" t="s">
        <v>5795</v>
      </c>
      <c r="AB474" t="s">
        <v>5796</v>
      </c>
      <c r="AC474" t="s">
        <v>5797</v>
      </c>
      <c r="AD474" t="s">
        <v>32</v>
      </c>
      <c r="AE474" t="s">
        <v>32</v>
      </c>
      <c r="AF474" t="s">
        <v>46835</v>
      </c>
    </row>
    <row r="475" spans="1:32" x14ac:dyDescent="0.2">
      <c r="A475">
        <v>470</v>
      </c>
      <c r="B475" t="s">
        <v>5798</v>
      </c>
      <c r="C475" t="s">
        <v>5799</v>
      </c>
      <c r="D475" t="s">
        <v>5800</v>
      </c>
      <c r="E475" t="s">
        <v>5801</v>
      </c>
      <c r="F475" t="s">
        <v>5802</v>
      </c>
      <c r="G475" t="s">
        <v>5803</v>
      </c>
      <c r="H475" t="str">
        <f>"Mtpn"</f>
        <v>Mtpn</v>
      </c>
      <c r="I475" t="s">
        <v>5804</v>
      </c>
      <c r="J475" t="s">
        <v>37</v>
      </c>
      <c r="K475">
        <v>10090</v>
      </c>
      <c r="L475" s="3" t="str">
        <f>HYPERLINK("http://www.uniprot.org/uniprot/P62774", "P62774")</f>
        <v>P62774</v>
      </c>
      <c r="M475" t="s">
        <v>5805</v>
      </c>
      <c r="N475" t="str">
        <f>"Mtpn"</f>
        <v>Mtpn</v>
      </c>
      <c r="O475" s="3" t="str">
        <f>HYPERLINK("http://www.informatics.jax.org/marker/MGI:99445", "MGI:99445")</f>
        <v>MGI:99445</v>
      </c>
      <c r="P475" t="s">
        <v>5806</v>
      </c>
      <c r="Q475" t="s">
        <v>32</v>
      </c>
      <c r="R475" t="s">
        <v>40</v>
      </c>
      <c r="S475" t="s">
        <v>32</v>
      </c>
      <c r="T475" t="s">
        <v>32</v>
      </c>
      <c r="U475" t="s">
        <v>32</v>
      </c>
      <c r="V475" t="s">
        <v>912</v>
      </c>
      <c r="W475" t="s">
        <v>32</v>
      </c>
      <c r="X475" t="s">
        <v>32</v>
      </c>
      <c r="Y475" t="s">
        <v>157</v>
      </c>
      <c r="Z475" t="s">
        <v>126</v>
      </c>
      <c r="AA475" t="s">
        <v>5807</v>
      </c>
      <c r="AB475" t="s">
        <v>5808</v>
      </c>
      <c r="AC475" t="s">
        <v>5809</v>
      </c>
      <c r="AD475" t="s">
        <v>32</v>
      </c>
      <c r="AE475" t="s">
        <v>32</v>
      </c>
      <c r="AF475" t="s">
        <v>46835</v>
      </c>
    </row>
    <row r="476" spans="1:32" x14ac:dyDescent="0.2">
      <c r="A476">
        <v>471</v>
      </c>
      <c r="B476" t="s">
        <v>5810</v>
      </c>
      <c r="C476" t="s">
        <v>5811</v>
      </c>
      <c r="D476" t="s">
        <v>32</v>
      </c>
      <c r="E476" t="s">
        <v>5812</v>
      </c>
      <c r="F476" t="s">
        <v>5813</v>
      </c>
      <c r="G476" t="s">
        <v>5814</v>
      </c>
      <c r="H476" t="str">
        <f>"Tppp3"</f>
        <v>Tppp3</v>
      </c>
      <c r="I476" t="s">
        <v>32</v>
      </c>
      <c r="J476" t="s">
        <v>37</v>
      </c>
      <c r="K476">
        <v>10090</v>
      </c>
      <c r="L476" s="3" t="str">
        <f>HYPERLINK("http://www.uniprot.org/uniprot/Q9CRB6", "Q9CRB6")</f>
        <v>Q9CRB6</v>
      </c>
      <c r="M476" t="s">
        <v>5815</v>
      </c>
      <c r="N476" t="str">
        <f>"Tppp3"</f>
        <v>Tppp3</v>
      </c>
      <c r="O476" s="3" t="str">
        <f>HYPERLINK("http://www.informatics.jax.org/marker/MGI:1915221", "MGI:1915221")</f>
        <v>MGI:1915221</v>
      </c>
      <c r="P476" t="s">
        <v>5816</v>
      </c>
      <c r="Q476" t="s">
        <v>32</v>
      </c>
      <c r="R476" t="s">
        <v>341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32</v>
      </c>
      <c r="Y476" t="s">
        <v>78</v>
      </c>
      <c r="Z476" t="s">
        <v>126</v>
      </c>
      <c r="AA476" t="s">
        <v>5817</v>
      </c>
      <c r="AB476" t="s">
        <v>5818</v>
      </c>
      <c r="AC476" t="s">
        <v>3826</v>
      </c>
      <c r="AD476" t="s">
        <v>32</v>
      </c>
      <c r="AE476" t="s">
        <v>32</v>
      </c>
      <c r="AF476" t="s">
        <v>46835</v>
      </c>
    </row>
    <row r="477" spans="1:32" x14ac:dyDescent="0.2">
      <c r="A477">
        <v>472</v>
      </c>
      <c r="B477" t="s">
        <v>5819</v>
      </c>
      <c r="C477" t="s">
        <v>5820</v>
      </c>
      <c r="D477" t="s">
        <v>5821</v>
      </c>
      <c r="E477" t="s">
        <v>5822</v>
      </c>
      <c r="F477" t="s">
        <v>5823</v>
      </c>
      <c r="G477" t="s">
        <v>5824</v>
      </c>
      <c r="H477" t="str">
        <f>"Arpc2"</f>
        <v>Arpc2</v>
      </c>
      <c r="I477" t="s">
        <v>32</v>
      </c>
      <c r="J477" t="s">
        <v>37</v>
      </c>
      <c r="K477">
        <v>10090</v>
      </c>
      <c r="L477" s="3" t="str">
        <f>HYPERLINK("http://www.uniprot.org/uniprot/Q9CVB6", "Q9CVB6")</f>
        <v>Q9CVB6</v>
      </c>
      <c r="M477" t="s">
        <v>5825</v>
      </c>
      <c r="N477" t="str">
        <f>"Arpc2"</f>
        <v>Arpc2</v>
      </c>
      <c r="O477" s="3" t="str">
        <f>HYPERLINK("http://www.informatics.jax.org/marker/MGI:1923959", "MGI:1923959")</f>
        <v>MGI:1923959</v>
      </c>
      <c r="P477" t="s">
        <v>5826</v>
      </c>
      <c r="Q477" t="s">
        <v>32</v>
      </c>
      <c r="R477" t="s">
        <v>5827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405</v>
      </c>
      <c r="Y477" t="s">
        <v>78</v>
      </c>
      <c r="Z477" t="s">
        <v>126</v>
      </c>
      <c r="AA477" t="s">
        <v>5828</v>
      </c>
      <c r="AB477" t="s">
        <v>5829</v>
      </c>
      <c r="AC477" t="s">
        <v>5830</v>
      </c>
      <c r="AD477" t="s">
        <v>32</v>
      </c>
      <c r="AE477" t="s">
        <v>5831</v>
      </c>
      <c r="AF477" t="s">
        <v>46835</v>
      </c>
    </row>
    <row r="478" spans="1:32" x14ac:dyDescent="0.2">
      <c r="A478">
        <v>473</v>
      </c>
      <c r="B478" t="s">
        <v>5832</v>
      </c>
      <c r="C478" t="s">
        <v>5833</v>
      </c>
      <c r="D478" t="s">
        <v>5834</v>
      </c>
      <c r="E478" t="s">
        <v>5835</v>
      </c>
      <c r="F478" t="s">
        <v>5836</v>
      </c>
      <c r="G478" t="s">
        <v>5837</v>
      </c>
      <c r="H478" t="str">
        <f>"Elob"</f>
        <v>Elob</v>
      </c>
      <c r="I478" t="s">
        <v>5838</v>
      </c>
      <c r="J478" t="s">
        <v>37</v>
      </c>
      <c r="K478">
        <v>10090</v>
      </c>
      <c r="L478" s="3" t="str">
        <f>HYPERLINK("http://www.uniprot.org/uniprot/P62869", "P62869")</f>
        <v>P62869</v>
      </c>
      <c r="M478" t="s">
        <v>5839</v>
      </c>
      <c r="N478" t="str">
        <f>"Elob"</f>
        <v>Elob</v>
      </c>
      <c r="O478" s="3" t="str">
        <f>HYPERLINK("http://www.informatics.jax.org/marker/MGI:1914923", "MGI:1914923")</f>
        <v>MGI:1914923</v>
      </c>
      <c r="P478" t="s">
        <v>5840</v>
      </c>
      <c r="Q478" t="s">
        <v>2278</v>
      </c>
      <c r="R478" t="s">
        <v>2279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t="s">
        <v>157</v>
      </c>
      <c r="Z478" t="s">
        <v>126</v>
      </c>
      <c r="AA478" t="s">
        <v>5841</v>
      </c>
      <c r="AB478" t="s">
        <v>5842</v>
      </c>
      <c r="AC478" t="s">
        <v>5843</v>
      </c>
      <c r="AD478" t="s">
        <v>1027</v>
      </c>
      <c r="AE478" t="s">
        <v>5603</v>
      </c>
      <c r="AF478" t="s">
        <v>46835</v>
      </c>
    </row>
    <row r="479" spans="1:32" x14ac:dyDescent="0.2">
      <c r="A479">
        <v>474</v>
      </c>
      <c r="B479" t="s">
        <v>5844</v>
      </c>
      <c r="C479" t="s">
        <v>5845</v>
      </c>
      <c r="D479" t="s">
        <v>32</v>
      </c>
      <c r="E479" t="s">
        <v>5846</v>
      </c>
      <c r="F479" t="s">
        <v>5847</v>
      </c>
      <c r="G479" t="s">
        <v>5848</v>
      </c>
      <c r="H479" t="str">
        <f>"Rps20"</f>
        <v>Rps20</v>
      </c>
      <c r="I479" t="s">
        <v>32</v>
      </c>
      <c r="J479" t="s">
        <v>37</v>
      </c>
      <c r="K479">
        <v>10090</v>
      </c>
      <c r="L479" s="3" t="str">
        <f>HYPERLINK("http://www.uniprot.org/uniprot/P60867", "P60867")</f>
        <v>P60867</v>
      </c>
      <c r="M479" t="s">
        <v>5849</v>
      </c>
      <c r="N479" t="str">
        <f>"Rps20"</f>
        <v>Rps20</v>
      </c>
      <c r="O479" s="3" t="str">
        <f>HYPERLINK("http://www.informatics.jax.org/marker/MGI:1914677", "MGI:1914677")</f>
        <v>MGI:1914677</v>
      </c>
      <c r="P479" t="s">
        <v>1732</v>
      </c>
      <c r="Q479" t="s">
        <v>32</v>
      </c>
      <c r="R479" t="s">
        <v>418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447</v>
      </c>
      <c r="Y479" t="s">
        <v>516</v>
      </c>
      <c r="Z479" t="s">
        <v>126</v>
      </c>
      <c r="AA479" t="s">
        <v>5850</v>
      </c>
      <c r="AB479" t="s">
        <v>5851</v>
      </c>
      <c r="AC479" t="s">
        <v>3782</v>
      </c>
      <c r="AD479" t="s">
        <v>32</v>
      </c>
      <c r="AE479" t="s">
        <v>691</v>
      </c>
      <c r="AF479" t="s">
        <v>46835</v>
      </c>
    </row>
    <row r="480" spans="1:32" x14ac:dyDescent="0.2">
      <c r="A480">
        <v>475</v>
      </c>
      <c r="B480" t="s">
        <v>5852</v>
      </c>
      <c r="C480" t="s">
        <v>5853</v>
      </c>
      <c r="D480" t="s">
        <v>5854</v>
      </c>
      <c r="E480" t="s">
        <v>5855</v>
      </c>
      <c r="F480" t="s">
        <v>5856</v>
      </c>
      <c r="G480" t="s">
        <v>5857</v>
      </c>
      <c r="H480" t="str">
        <f>"Dctn1"</f>
        <v>Dctn1</v>
      </c>
      <c r="I480" t="s">
        <v>32</v>
      </c>
      <c r="J480" t="s">
        <v>37</v>
      </c>
      <c r="K480">
        <v>10090</v>
      </c>
      <c r="L480" s="3" t="str">
        <f>HYPERLINK("http://www.uniprot.org/uniprot/O08788", "O08788")</f>
        <v>O08788</v>
      </c>
      <c r="M480" t="s">
        <v>5858</v>
      </c>
      <c r="N480" t="str">
        <f>"Dctn1"</f>
        <v>Dctn1</v>
      </c>
      <c r="O480" s="3" t="str">
        <f>HYPERLINK("http://www.informatics.jax.org/marker/MGI:107745", "MGI:107745")</f>
        <v>MGI:107745</v>
      </c>
      <c r="P480" t="s">
        <v>5859</v>
      </c>
      <c r="Q480" t="s">
        <v>827</v>
      </c>
      <c r="R480" t="s">
        <v>5860</v>
      </c>
      <c r="S480" t="s">
        <v>41</v>
      </c>
      <c r="T480" t="s">
        <v>32</v>
      </c>
      <c r="U480" t="s">
        <v>32</v>
      </c>
      <c r="V480" t="s">
        <v>290</v>
      </c>
      <c r="W480" t="s">
        <v>32</v>
      </c>
      <c r="X480" t="s">
        <v>32</v>
      </c>
      <c r="Y480" t="s">
        <v>2836</v>
      </c>
      <c r="Z480" t="s">
        <v>32</v>
      </c>
      <c r="AA480" t="s">
        <v>5861</v>
      </c>
      <c r="AB480" t="s">
        <v>5862</v>
      </c>
      <c r="AC480" t="s">
        <v>5863</v>
      </c>
      <c r="AD480" t="s">
        <v>32</v>
      </c>
      <c r="AE480" t="s">
        <v>5864</v>
      </c>
      <c r="AF480" t="s">
        <v>46835</v>
      </c>
    </row>
    <row r="481" spans="1:32" x14ac:dyDescent="0.2">
      <c r="A481">
        <v>476</v>
      </c>
      <c r="B481" t="s">
        <v>5865</v>
      </c>
      <c r="C481" t="s">
        <v>5866</v>
      </c>
      <c r="D481" t="s">
        <v>32</v>
      </c>
      <c r="E481" t="s">
        <v>5867</v>
      </c>
      <c r="F481" t="s">
        <v>5868</v>
      </c>
      <c r="G481" t="s">
        <v>5869</v>
      </c>
      <c r="H481" t="str">
        <f>"Rpl9"</f>
        <v>Rpl9</v>
      </c>
      <c r="I481" t="s">
        <v>32</v>
      </c>
      <c r="J481" t="s">
        <v>37</v>
      </c>
      <c r="K481">
        <v>10090</v>
      </c>
      <c r="L481" s="3" t="str">
        <f>HYPERLINK("http://www.uniprot.org/uniprot/P51410", "P51410")</f>
        <v>P51410</v>
      </c>
      <c r="M481" t="s">
        <v>5870</v>
      </c>
      <c r="N481" t="str">
        <f>"Rpl9"</f>
        <v>Rpl9</v>
      </c>
      <c r="O481" s="3" t="str">
        <f>HYPERLINK("http://www.informatics.jax.org/marker/MGI:1298373", "MGI:1298373")</f>
        <v>MGI:1298373</v>
      </c>
      <c r="P481" t="s">
        <v>5871</v>
      </c>
      <c r="Q481" t="s">
        <v>32</v>
      </c>
      <c r="R481" t="s">
        <v>418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1681</v>
      </c>
      <c r="Y481" t="s">
        <v>78</v>
      </c>
      <c r="Z481" t="s">
        <v>126</v>
      </c>
      <c r="AA481" t="s">
        <v>1792</v>
      </c>
      <c r="AB481" t="s">
        <v>5872</v>
      </c>
      <c r="AC481" t="s">
        <v>1528</v>
      </c>
      <c r="AD481" t="s">
        <v>32</v>
      </c>
      <c r="AE481" t="s">
        <v>765</v>
      </c>
      <c r="AF481" t="s">
        <v>46835</v>
      </c>
    </row>
    <row r="482" spans="1:32" x14ac:dyDescent="0.2">
      <c r="A482">
        <v>477</v>
      </c>
      <c r="B482" t="s">
        <v>5873</v>
      </c>
      <c r="C482" t="s">
        <v>5874</v>
      </c>
      <c r="D482" t="s">
        <v>5875</v>
      </c>
      <c r="E482" t="s">
        <v>5876</v>
      </c>
      <c r="F482" t="s">
        <v>5877</v>
      </c>
      <c r="G482" t="s">
        <v>5878</v>
      </c>
      <c r="H482" t="str">
        <f>"Pepd"</f>
        <v>Pepd</v>
      </c>
      <c r="I482" t="s">
        <v>5879</v>
      </c>
      <c r="J482" t="s">
        <v>37</v>
      </c>
      <c r="K482">
        <v>10090</v>
      </c>
      <c r="L482" s="3" t="str">
        <f>HYPERLINK("http://www.uniprot.org/uniprot/Q11136", "Q11136")</f>
        <v>Q11136</v>
      </c>
      <c r="M482" t="s">
        <v>5880</v>
      </c>
      <c r="N482" t="str">
        <f>"Pepd"</f>
        <v>Pepd</v>
      </c>
      <c r="O482" s="3" t="str">
        <f>HYPERLINK("http://www.informatics.jax.org/marker/MGI:97542", "MGI:97542")</f>
        <v>MGI:97542</v>
      </c>
      <c r="P482" t="s">
        <v>5881</v>
      </c>
      <c r="Q482" t="s">
        <v>5882</v>
      </c>
      <c r="R482" t="s">
        <v>32</v>
      </c>
      <c r="S482" t="s">
        <v>32</v>
      </c>
      <c r="T482" t="s">
        <v>32</v>
      </c>
      <c r="U482" t="s">
        <v>32</v>
      </c>
      <c r="V482" t="s">
        <v>32</v>
      </c>
      <c r="W482" t="s">
        <v>5883</v>
      </c>
      <c r="X482" t="s">
        <v>5884</v>
      </c>
      <c r="Y482" t="s">
        <v>157</v>
      </c>
      <c r="Z482" t="s">
        <v>32</v>
      </c>
      <c r="AA482" t="s">
        <v>5885</v>
      </c>
      <c r="AB482" t="s">
        <v>32</v>
      </c>
      <c r="AC482" t="s">
        <v>5886</v>
      </c>
      <c r="AD482" t="s">
        <v>32</v>
      </c>
      <c r="AE482" t="s">
        <v>32</v>
      </c>
      <c r="AF482" t="s">
        <v>46835</v>
      </c>
    </row>
    <row r="483" spans="1:32" x14ac:dyDescent="0.2">
      <c r="A483">
        <v>478</v>
      </c>
      <c r="B483" t="s">
        <v>5887</v>
      </c>
      <c r="C483" t="s">
        <v>5888</v>
      </c>
      <c r="D483" t="s">
        <v>5889</v>
      </c>
      <c r="E483" t="s">
        <v>5890</v>
      </c>
      <c r="F483" t="s">
        <v>5891</v>
      </c>
      <c r="G483" t="s">
        <v>5892</v>
      </c>
      <c r="H483" t="str">
        <f>"Ppid"</f>
        <v>Ppid</v>
      </c>
      <c r="I483" t="s">
        <v>32</v>
      </c>
      <c r="J483" t="s">
        <v>37</v>
      </c>
      <c r="K483">
        <v>10090</v>
      </c>
      <c r="L483" s="3" t="str">
        <f>HYPERLINK("http://www.uniprot.org/uniprot/Q9CR16", "Q9CR16")</f>
        <v>Q9CR16</v>
      </c>
      <c r="M483" t="s">
        <v>5893</v>
      </c>
      <c r="N483" t="str">
        <f>"Ppid"</f>
        <v>Ppid</v>
      </c>
      <c r="O483" s="3" t="str">
        <f>HYPERLINK("http://www.informatics.jax.org/marker/MGI:1914988", "MGI:1914988")</f>
        <v>MGI:1914988</v>
      </c>
      <c r="P483" t="s">
        <v>5894</v>
      </c>
      <c r="Q483" t="s">
        <v>5895</v>
      </c>
      <c r="R483" t="s">
        <v>40</v>
      </c>
      <c r="S483" t="s">
        <v>32</v>
      </c>
      <c r="T483" t="s">
        <v>32</v>
      </c>
      <c r="U483" t="s">
        <v>32</v>
      </c>
      <c r="V483" t="s">
        <v>995</v>
      </c>
      <c r="W483" t="s">
        <v>32</v>
      </c>
      <c r="X483" t="s">
        <v>1805</v>
      </c>
      <c r="Y483" t="s">
        <v>157</v>
      </c>
      <c r="Z483" t="s">
        <v>32</v>
      </c>
      <c r="AA483" t="s">
        <v>5896</v>
      </c>
      <c r="AB483" t="s">
        <v>5897</v>
      </c>
      <c r="AC483" t="s">
        <v>5898</v>
      </c>
      <c r="AD483" t="s">
        <v>32</v>
      </c>
      <c r="AE483" t="s">
        <v>5899</v>
      </c>
      <c r="AF483" t="s">
        <v>46835</v>
      </c>
    </row>
    <row r="484" spans="1:32" x14ac:dyDescent="0.2">
      <c r="A484">
        <v>479</v>
      </c>
      <c r="B484" t="s">
        <v>5900</v>
      </c>
      <c r="C484" t="s">
        <v>5901</v>
      </c>
      <c r="D484" t="s">
        <v>5902</v>
      </c>
      <c r="E484" t="s">
        <v>5903</v>
      </c>
      <c r="F484" t="s">
        <v>5904</v>
      </c>
      <c r="G484" t="s">
        <v>5905</v>
      </c>
      <c r="H484" t="str">
        <f>"Psma6"</f>
        <v>Psma6</v>
      </c>
      <c r="I484" t="s">
        <v>32</v>
      </c>
      <c r="J484" t="s">
        <v>37</v>
      </c>
      <c r="K484">
        <v>10090</v>
      </c>
      <c r="L484" s="3" t="str">
        <f>HYPERLINK("http://www.uniprot.org/uniprot/Q9QUM9", "Q9QUM9")</f>
        <v>Q9QUM9</v>
      </c>
      <c r="M484" t="s">
        <v>5906</v>
      </c>
      <c r="N484" t="str">
        <f>"Psma6"</f>
        <v>Psma6</v>
      </c>
      <c r="O484" s="3" t="str">
        <f>HYPERLINK("http://www.informatics.jax.org/marker/MGI:1347006", "MGI:1347006")</f>
        <v>MGI:1347006</v>
      </c>
      <c r="P484" t="s">
        <v>4514</v>
      </c>
      <c r="Q484" t="s">
        <v>32</v>
      </c>
      <c r="R484" t="s">
        <v>2586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32</v>
      </c>
      <c r="Y484" t="s">
        <v>372</v>
      </c>
      <c r="Z484" t="s">
        <v>126</v>
      </c>
      <c r="AA484" t="s">
        <v>5907</v>
      </c>
      <c r="AB484" t="s">
        <v>5908</v>
      </c>
      <c r="AC484" t="s">
        <v>5909</v>
      </c>
      <c r="AD484" t="s">
        <v>32</v>
      </c>
      <c r="AE484" t="s">
        <v>2774</v>
      </c>
      <c r="AF484" t="s">
        <v>46835</v>
      </c>
    </row>
    <row r="485" spans="1:32" x14ac:dyDescent="0.2">
      <c r="A485">
        <v>480</v>
      </c>
      <c r="B485" t="s">
        <v>5910</v>
      </c>
      <c r="C485" t="s">
        <v>5911</v>
      </c>
      <c r="D485" t="s">
        <v>5912</v>
      </c>
      <c r="E485" t="s">
        <v>5913</v>
      </c>
      <c r="F485" t="s">
        <v>5914</v>
      </c>
      <c r="G485" t="s">
        <v>5915</v>
      </c>
      <c r="H485" t="str">
        <f>"Mapre1"</f>
        <v>Mapre1</v>
      </c>
      <c r="I485" t="s">
        <v>32</v>
      </c>
      <c r="J485" t="s">
        <v>37</v>
      </c>
      <c r="K485">
        <v>10090</v>
      </c>
      <c r="L485" s="3" t="str">
        <f>HYPERLINK("http://www.uniprot.org/uniprot/Q61166", "Q61166")</f>
        <v>Q61166</v>
      </c>
      <c r="M485" t="s">
        <v>5916</v>
      </c>
      <c r="N485" t="str">
        <f>"Mapre1"</f>
        <v>Mapre1</v>
      </c>
      <c r="O485" s="3" t="str">
        <f>HYPERLINK("http://www.informatics.jax.org/marker/MGI:891995", "MGI:891995")</f>
        <v>MGI:891995</v>
      </c>
      <c r="P485" t="s">
        <v>5917</v>
      </c>
      <c r="Q485" t="s">
        <v>2968</v>
      </c>
      <c r="R485" t="s">
        <v>341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32</v>
      </c>
      <c r="Y485" t="s">
        <v>157</v>
      </c>
      <c r="Z485" t="s">
        <v>126</v>
      </c>
      <c r="AA485" t="s">
        <v>5918</v>
      </c>
      <c r="AB485" t="s">
        <v>5919</v>
      </c>
      <c r="AC485" t="s">
        <v>5920</v>
      </c>
      <c r="AD485" t="s">
        <v>32</v>
      </c>
      <c r="AE485" t="s">
        <v>5921</v>
      </c>
      <c r="AF485" t="s">
        <v>46835</v>
      </c>
    </row>
    <row r="486" spans="1:32" x14ac:dyDescent="0.2">
      <c r="A486">
        <v>481</v>
      </c>
      <c r="B486" t="s">
        <v>5922</v>
      </c>
      <c r="C486" t="s">
        <v>5923</v>
      </c>
      <c r="D486" t="s">
        <v>5924</v>
      </c>
      <c r="E486" t="s">
        <v>5925</v>
      </c>
      <c r="F486" t="s">
        <v>5926</v>
      </c>
      <c r="G486" t="s">
        <v>5927</v>
      </c>
      <c r="H486" t="str">
        <f>"Sgta"</f>
        <v>Sgta</v>
      </c>
      <c r="I486" t="s">
        <v>5928</v>
      </c>
      <c r="J486" t="s">
        <v>37</v>
      </c>
      <c r="K486">
        <v>10090</v>
      </c>
      <c r="L486" s="3" t="str">
        <f>HYPERLINK("http://www.uniprot.org/uniprot/Q8BJU0", "Q8BJU0")</f>
        <v>Q8BJU0</v>
      </c>
      <c r="M486" t="s">
        <v>5929</v>
      </c>
      <c r="N486" t="str">
        <f>"Sgta"</f>
        <v>Sgta</v>
      </c>
      <c r="O486" s="3" t="str">
        <f>HYPERLINK("http://www.informatics.jax.org/marker/MGI:1098703", "MGI:1098703")</f>
        <v>MGI:1098703</v>
      </c>
      <c r="P486" t="s">
        <v>5930</v>
      </c>
      <c r="Q486" t="s">
        <v>32</v>
      </c>
      <c r="R486" t="s">
        <v>40</v>
      </c>
      <c r="S486" t="s">
        <v>41</v>
      </c>
      <c r="T486" t="s">
        <v>32</v>
      </c>
      <c r="U486" t="s">
        <v>32</v>
      </c>
      <c r="V486" t="s">
        <v>995</v>
      </c>
      <c r="W486" t="s">
        <v>32</v>
      </c>
      <c r="X486" t="s">
        <v>388</v>
      </c>
      <c r="Y486" t="s">
        <v>157</v>
      </c>
      <c r="Z486" t="s">
        <v>32</v>
      </c>
      <c r="AA486" t="s">
        <v>5931</v>
      </c>
      <c r="AB486" t="s">
        <v>5932</v>
      </c>
      <c r="AC486" t="s">
        <v>5933</v>
      </c>
      <c r="AD486" t="s">
        <v>32</v>
      </c>
      <c r="AE486" t="s">
        <v>5934</v>
      </c>
      <c r="AF486" t="s">
        <v>46835</v>
      </c>
    </row>
    <row r="487" spans="1:32" x14ac:dyDescent="0.2">
      <c r="A487">
        <v>482</v>
      </c>
      <c r="B487" t="s">
        <v>5935</v>
      </c>
      <c r="C487" t="s">
        <v>5936</v>
      </c>
      <c r="D487" t="s">
        <v>5937</v>
      </c>
      <c r="E487" t="s">
        <v>5938</v>
      </c>
      <c r="F487" t="s">
        <v>5939</v>
      </c>
      <c r="G487" t="s">
        <v>32</v>
      </c>
      <c r="H487" t="str">
        <f>"Ruvbl2"</f>
        <v>Ruvbl2</v>
      </c>
      <c r="I487" t="s">
        <v>32</v>
      </c>
      <c r="J487" t="s">
        <v>37</v>
      </c>
      <c r="K487">
        <v>10090</v>
      </c>
      <c r="L487" s="3" t="str">
        <f>HYPERLINK("http://www.uniprot.org/uniprot/Q9WTM5", "Q9WTM5")</f>
        <v>Q9WTM5</v>
      </c>
      <c r="M487" t="s">
        <v>5940</v>
      </c>
      <c r="N487" t="str">
        <f>"Ruvbl2"</f>
        <v>Ruvbl2</v>
      </c>
      <c r="O487" s="3" t="str">
        <f>HYPERLINK("http://www.informatics.jax.org/marker/MGI:1342299", "MGI:1342299")</f>
        <v>MGI:1342299</v>
      </c>
      <c r="P487" t="s">
        <v>5941</v>
      </c>
      <c r="Q487" t="s">
        <v>5942</v>
      </c>
      <c r="R487" t="s">
        <v>5943</v>
      </c>
      <c r="S487" t="s">
        <v>32</v>
      </c>
      <c r="T487" t="s">
        <v>32</v>
      </c>
      <c r="U487" t="s">
        <v>32</v>
      </c>
      <c r="V487" t="s">
        <v>32</v>
      </c>
      <c r="W487" t="s">
        <v>205</v>
      </c>
      <c r="X487" t="s">
        <v>5944</v>
      </c>
      <c r="Y487" t="s">
        <v>516</v>
      </c>
      <c r="Z487" t="s">
        <v>32</v>
      </c>
      <c r="AA487" t="s">
        <v>5945</v>
      </c>
      <c r="AB487" t="s">
        <v>5946</v>
      </c>
      <c r="AC487" t="s">
        <v>5947</v>
      </c>
      <c r="AD487" t="s">
        <v>32</v>
      </c>
      <c r="AE487" t="s">
        <v>32</v>
      </c>
      <c r="AF487" t="s">
        <v>46835</v>
      </c>
    </row>
    <row r="488" spans="1:32" x14ac:dyDescent="0.2">
      <c r="A488">
        <v>483</v>
      </c>
      <c r="B488" t="s">
        <v>5948</v>
      </c>
      <c r="C488" t="s">
        <v>5949</v>
      </c>
      <c r="D488" t="s">
        <v>5950</v>
      </c>
      <c r="E488" t="s">
        <v>5951</v>
      </c>
      <c r="F488" t="s">
        <v>5952</v>
      </c>
      <c r="G488" t="s">
        <v>32</v>
      </c>
      <c r="H488" t="str">
        <f>"Lrpap1"</f>
        <v>Lrpap1</v>
      </c>
      <c r="I488" t="s">
        <v>32</v>
      </c>
      <c r="J488" t="s">
        <v>37</v>
      </c>
      <c r="K488">
        <v>10090</v>
      </c>
      <c r="L488" s="3" t="str">
        <f>HYPERLINK("http://www.uniprot.org/uniprot/P55302", "P55302")</f>
        <v>P55302</v>
      </c>
      <c r="M488" t="s">
        <v>5953</v>
      </c>
      <c r="N488" t="str">
        <f>"Lrpap1"</f>
        <v>Lrpap1</v>
      </c>
      <c r="O488" s="3" t="str">
        <f>HYPERLINK("http://www.informatics.jax.org/marker/MGI:96829", "MGI:96829")</f>
        <v>MGI:96829</v>
      </c>
      <c r="P488" t="s">
        <v>5954</v>
      </c>
      <c r="Q488" t="s">
        <v>32</v>
      </c>
      <c r="R488" t="s">
        <v>5955</v>
      </c>
      <c r="S488" t="s">
        <v>32</v>
      </c>
      <c r="T488" t="s">
        <v>32</v>
      </c>
      <c r="U488" t="s">
        <v>32</v>
      </c>
      <c r="V488" t="s">
        <v>5956</v>
      </c>
      <c r="W488" t="s">
        <v>32</v>
      </c>
      <c r="X488" t="s">
        <v>5246</v>
      </c>
      <c r="Y488" t="s">
        <v>4720</v>
      </c>
      <c r="Z488" t="s">
        <v>32</v>
      </c>
      <c r="AA488" t="s">
        <v>5957</v>
      </c>
      <c r="AB488" t="s">
        <v>5958</v>
      </c>
      <c r="AC488" t="s">
        <v>5959</v>
      </c>
      <c r="AD488" t="s">
        <v>32</v>
      </c>
      <c r="AE488" t="s">
        <v>32</v>
      </c>
      <c r="AF488" t="s">
        <v>46835</v>
      </c>
    </row>
    <row r="489" spans="1:32" x14ac:dyDescent="0.2">
      <c r="A489">
        <v>484</v>
      </c>
      <c r="B489" t="s">
        <v>5960</v>
      </c>
      <c r="C489" t="s">
        <v>5961</v>
      </c>
      <c r="D489" t="s">
        <v>5962</v>
      </c>
      <c r="E489" t="s">
        <v>5963</v>
      </c>
      <c r="F489" t="s">
        <v>5964</v>
      </c>
      <c r="G489" t="s">
        <v>32</v>
      </c>
      <c r="H489" t="str">
        <f>"Cse1l"</f>
        <v>Cse1l</v>
      </c>
      <c r="I489" t="s">
        <v>5965</v>
      </c>
      <c r="J489" t="s">
        <v>37</v>
      </c>
      <c r="K489">
        <v>10090</v>
      </c>
      <c r="L489" s="3" t="str">
        <f>HYPERLINK("http://www.uniprot.org/uniprot/Q9ERK4", "Q9ERK4")</f>
        <v>Q9ERK4</v>
      </c>
      <c r="M489" t="s">
        <v>5966</v>
      </c>
      <c r="N489" t="str">
        <f>"Cse1l"</f>
        <v>Cse1l</v>
      </c>
      <c r="O489" s="3" t="str">
        <f>HYPERLINK("http://www.informatics.jax.org/marker/MGI:1339951", "MGI:1339951")</f>
        <v>MGI:1339951</v>
      </c>
      <c r="P489" t="s">
        <v>5967</v>
      </c>
      <c r="Q489" t="s">
        <v>434</v>
      </c>
      <c r="R489" t="s">
        <v>40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32</v>
      </c>
      <c r="Y489" t="s">
        <v>157</v>
      </c>
      <c r="Z489" t="s">
        <v>32</v>
      </c>
      <c r="AA489" t="s">
        <v>5968</v>
      </c>
      <c r="AB489" t="s">
        <v>5969</v>
      </c>
      <c r="AC489" t="s">
        <v>5970</v>
      </c>
      <c r="AD489" t="s">
        <v>32</v>
      </c>
      <c r="AE489" t="s">
        <v>32</v>
      </c>
      <c r="AF489" t="s">
        <v>46835</v>
      </c>
    </row>
    <row r="490" spans="1:32" x14ac:dyDescent="0.2">
      <c r="A490">
        <v>485</v>
      </c>
      <c r="B490" t="s">
        <v>5971</v>
      </c>
      <c r="C490" t="s">
        <v>5972</v>
      </c>
      <c r="D490" t="s">
        <v>5973</v>
      </c>
      <c r="E490" t="s">
        <v>5974</v>
      </c>
      <c r="F490" t="s">
        <v>5975</v>
      </c>
      <c r="G490" t="s">
        <v>5976</v>
      </c>
      <c r="H490" t="str">
        <f>"Psmd13"</f>
        <v>Psmd13</v>
      </c>
      <c r="I490" t="s">
        <v>32</v>
      </c>
      <c r="J490" t="s">
        <v>37</v>
      </c>
      <c r="K490">
        <v>10090</v>
      </c>
      <c r="L490" s="3" t="str">
        <f>HYPERLINK("http://www.uniprot.org/uniprot/Q9WVJ2", "Q9WVJ2")</f>
        <v>Q9WVJ2</v>
      </c>
      <c r="M490" t="s">
        <v>5977</v>
      </c>
      <c r="N490" t="str">
        <f>"Psmd13"</f>
        <v>Psmd13</v>
      </c>
      <c r="O490" s="3" t="str">
        <f>HYPERLINK("http://www.informatics.jax.org/marker/MGI:1345192", "MGI:1345192")</f>
        <v>MGI:1345192</v>
      </c>
      <c r="P490" t="s">
        <v>5978</v>
      </c>
      <c r="Q490" t="s">
        <v>32</v>
      </c>
      <c r="R490" t="s">
        <v>3565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32</v>
      </c>
      <c r="Y490" t="s">
        <v>78</v>
      </c>
      <c r="Z490" t="s">
        <v>32</v>
      </c>
      <c r="AA490" t="s">
        <v>5979</v>
      </c>
      <c r="AB490" t="s">
        <v>5980</v>
      </c>
      <c r="AC490" t="s">
        <v>5981</v>
      </c>
      <c r="AD490" t="s">
        <v>32</v>
      </c>
      <c r="AE490" t="s">
        <v>2590</v>
      </c>
      <c r="AF490" t="s">
        <v>46835</v>
      </c>
    </row>
    <row r="491" spans="1:32" x14ac:dyDescent="0.2">
      <c r="A491">
        <v>486</v>
      </c>
      <c r="B491" t="s">
        <v>5982</v>
      </c>
      <c r="C491" t="s">
        <v>5983</v>
      </c>
      <c r="D491" t="s">
        <v>5984</v>
      </c>
      <c r="E491" t="s">
        <v>5985</v>
      </c>
      <c r="F491" t="s">
        <v>5986</v>
      </c>
      <c r="G491" t="s">
        <v>32</v>
      </c>
      <c r="H491" t="str">
        <f>"Dnaja2"</f>
        <v>Dnaja2</v>
      </c>
      <c r="I491" t="s">
        <v>32</v>
      </c>
      <c r="J491" t="s">
        <v>37</v>
      </c>
      <c r="K491">
        <v>10090</v>
      </c>
      <c r="L491" s="3" t="str">
        <f>HYPERLINK("http://www.uniprot.org/uniprot/Q9QYJ0", "Q9QYJ0")</f>
        <v>Q9QYJ0</v>
      </c>
      <c r="M491" t="s">
        <v>5987</v>
      </c>
      <c r="N491" t="str">
        <f>"Dnaja2"</f>
        <v>Dnaja2</v>
      </c>
      <c r="O491" s="3" t="str">
        <f>HYPERLINK("http://www.informatics.jax.org/marker/MGI:1931882", "MGI:1931882")</f>
        <v>MGI:1931882</v>
      </c>
      <c r="P491" t="s">
        <v>5988</v>
      </c>
      <c r="Q491" t="s">
        <v>32</v>
      </c>
      <c r="R491" t="s">
        <v>5989</v>
      </c>
      <c r="S491" t="s">
        <v>32</v>
      </c>
      <c r="T491" t="s">
        <v>32</v>
      </c>
      <c r="U491" t="s">
        <v>32</v>
      </c>
      <c r="V491" t="s">
        <v>3791</v>
      </c>
      <c r="W491" t="s">
        <v>42</v>
      </c>
      <c r="X491" t="s">
        <v>388</v>
      </c>
      <c r="Y491" t="s">
        <v>5990</v>
      </c>
      <c r="Z491" t="s">
        <v>32</v>
      </c>
      <c r="AA491" t="s">
        <v>5991</v>
      </c>
      <c r="AB491" t="s">
        <v>5992</v>
      </c>
      <c r="AC491" t="s">
        <v>5993</v>
      </c>
      <c r="AD491" t="s">
        <v>32</v>
      </c>
      <c r="AE491" t="s">
        <v>5994</v>
      </c>
      <c r="AF491" t="s">
        <v>46835</v>
      </c>
    </row>
    <row r="492" spans="1:32" x14ac:dyDescent="0.2">
      <c r="A492">
        <v>487</v>
      </c>
      <c r="B492" t="s">
        <v>5995</v>
      </c>
      <c r="C492" t="s">
        <v>5996</v>
      </c>
      <c r="D492" t="s">
        <v>5997</v>
      </c>
      <c r="E492" t="s">
        <v>5998</v>
      </c>
      <c r="F492" t="s">
        <v>5999</v>
      </c>
      <c r="G492" t="s">
        <v>6000</v>
      </c>
      <c r="H492" t="str">
        <f>"Suclg1"</f>
        <v>Suclg1</v>
      </c>
      <c r="I492" t="s">
        <v>32</v>
      </c>
      <c r="J492" t="s">
        <v>37</v>
      </c>
      <c r="K492">
        <v>10090</v>
      </c>
      <c r="L492" s="3" t="str">
        <f>HYPERLINK("http://www.uniprot.org/uniprot/Q9WUM5", "Q9WUM5")</f>
        <v>Q9WUM5</v>
      </c>
      <c r="M492" t="s">
        <v>6001</v>
      </c>
      <c r="N492" t="str">
        <f>"Suclg1"</f>
        <v>Suclg1</v>
      </c>
      <c r="O492" s="3" t="str">
        <f>HYPERLINK("http://www.informatics.jax.org/marker/MGI:1927234", "MGI:1927234")</f>
        <v>MGI:1927234</v>
      </c>
      <c r="P492" t="s">
        <v>6002</v>
      </c>
      <c r="Q492" t="s">
        <v>1756</v>
      </c>
      <c r="R492" t="s">
        <v>1038</v>
      </c>
      <c r="S492" t="s">
        <v>32</v>
      </c>
      <c r="T492" t="s">
        <v>32</v>
      </c>
      <c r="U492" t="s">
        <v>32</v>
      </c>
      <c r="V492" t="s">
        <v>1039</v>
      </c>
      <c r="W492" t="s">
        <v>5169</v>
      </c>
      <c r="X492" t="s">
        <v>1022</v>
      </c>
      <c r="Y492" t="s">
        <v>78</v>
      </c>
      <c r="Z492" t="s">
        <v>32</v>
      </c>
      <c r="AA492" t="s">
        <v>6003</v>
      </c>
      <c r="AB492" t="s">
        <v>6004</v>
      </c>
      <c r="AC492" t="s">
        <v>6005</v>
      </c>
      <c r="AD492" t="s">
        <v>6006</v>
      </c>
      <c r="AE492" t="s">
        <v>3390</v>
      </c>
      <c r="AF492" t="s">
        <v>46835</v>
      </c>
    </row>
    <row r="493" spans="1:32" x14ac:dyDescent="0.2">
      <c r="A493">
        <v>488</v>
      </c>
      <c r="B493" t="s">
        <v>6007</v>
      </c>
      <c r="C493" t="s">
        <v>6008</v>
      </c>
      <c r="D493" t="s">
        <v>6009</v>
      </c>
      <c r="E493" t="s">
        <v>6010</v>
      </c>
      <c r="F493" t="s">
        <v>6011</v>
      </c>
      <c r="G493" t="s">
        <v>6012</v>
      </c>
      <c r="H493" t="str">
        <f>"Tubb4b"</f>
        <v>Tubb4b</v>
      </c>
      <c r="I493" t="s">
        <v>6013</v>
      </c>
      <c r="J493" t="s">
        <v>37</v>
      </c>
      <c r="K493">
        <v>10090</v>
      </c>
      <c r="L493" s="3" t="str">
        <f>HYPERLINK("http://www.uniprot.org/uniprot/P68372", "P68372")</f>
        <v>P68372</v>
      </c>
      <c r="M493" t="s">
        <v>6014</v>
      </c>
      <c r="N493" t="str">
        <f>"Tubb4b"</f>
        <v>Tubb4b</v>
      </c>
      <c r="O493" s="3" t="str">
        <f>HYPERLINK("http://www.informatics.jax.org/marker/MGI:1915472", "MGI:1915472")</f>
        <v>MGI:1915472</v>
      </c>
      <c r="P493" t="s">
        <v>6015</v>
      </c>
      <c r="Q493" t="s">
        <v>32</v>
      </c>
      <c r="R493" t="s">
        <v>341</v>
      </c>
      <c r="S493" t="s">
        <v>32</v>
      </c>
      <c r="T493" t="s">
        <v>32</v>
      </c>
      <c r="U493" t="s">
        <v>32</v>
      </c>
      <c r="V493" t="s">
        <v>32</v>
      </c>
      <c r="W493" t="s">
        <v>342</v>
      </c>
      <c r="X493" t="s">
        <v>32</v>
      </c>
      <c r="Y493" t="s">
        <v>6016</v>
      </c>
      <c r="Z493" t="s">
        <v>32</v>
      </c>
      <c r="AA493" t="s">
        <v>6017</v>
      </c>
      <c r="AB493" t="s">
        <v>6018</v>
      </c>
      <c r="AC493" t="s">
        <v>6019</v>
      </c>
      <c r="AD493" t="s">
        <v>32</v>
      </c>
      <c r="AE493" t="s">
        <v>6020</v>
      </c>
      <c r="AF493" t="s">
        <v>46835</v>
      </c>
    </row>
    <row r="494" spans="1:32" x14ac:dyDescent="0.2">
      <c r="A494">
        <v>489</v>
      </c>
      <c r="B494" t="s">
        <v>6021</v>
      </c>
      <c r="C494" t="s">
        <v>6022</v>
      </c>
      <c r="D494" t="s">
        <v>6023</v>
      </c>
      <c r="E494" t="s">
        <v>6024</v>
      </c>
      <c r="F494" t="s">
        <v>6025</v>
      </c>
      <c r="G494" t="s">
        <v>6026</v>
      </c>
      <c r="H494" t="str">
        <f>"Msn"</f>
        <v>Msn</v>
      </c>
      <c r="I494" t="s">
        <v>32</v>
      </c>
      <c r="J494" t="s">
        <v>37</v>
      </c>
      <c r="K494">
        <v>10090</v>
      </c>
      <c r="L494" s="3" t="str">
        <f>HYPERLINK("http://www.uniprot.org/uniprot/P26041", "P26041")</f>
        <v>P26041</v>
      </c>
      <c r="M494" t="s">
        <v>6027</v>
      </c>
      <c r="N494" t="str">
        <f>"Msn"</f>
        <v>Msn</v>
      </c>
      <c r="O494" s="3" t="str">
        <f>HYPERLINK("http://www.informatics.jax.org/marker/MGI:97167", "MGI:97167")</f>
        <v>MGI:97167</v>
      </c>
      <c r="P494" t="s">
        <v>6028</v>
      </c>
      <c r="Q494" t="s">
        <v>32</v>
      </c>
      <c r="R494" t="s">
        <v>647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32</v>
      </c>
      <c r="Y494" t="s">
        <v>648</v>
      </c>
      <c r="Z494" t="s">
        <v>126</v>
      </c>
      <c r="AA494" t="s">
        <v>6029</v>
      </c>
      <c r="AB494" t="s">
        <v>6030</v>
      </c>
      <c r="AC494" t="s">
        <v>6031</v>
      </c>
      <c r="AD494" t="s">
        <v>32</v>
      </c>
      <c r="AE494" t="s">
        <v>2894</v>
      </c>
      <c r="AF494" t="s">
        <v>46835</v>
      </c>
    </row>
    <row r="495" spans="1:32" x14ac:dyDescent="0.2">
      <c r="A495">
        <v>490</v>
      </c>
      <c r="B495" t="s">
        <v>6032</v>
      </c>
      <c r="C495" t="s">
        <v>6033</v>
      </c>
      <c r="D495" t="s">
        <v>6034</v>
      </c>
      <c r="E495" t="s">
        <v>6035</v>
      </c>
      <c r="F495" t="s">
        <v>6036</v>
      </c>
      <c r="G495" t="s">
        <v>6037</v>
      </c>
      <c r="H495" t="str">
        <f>"Syncrip"</f>
        <v>Syncrip</v>
      </c>
      <c r="I495" t="s">
        <v>6038</v>
      </c>
      <c r="J495" t="s">
        <v>37</v>
      </c>
      <c r="K495">
        <v>10090</v>
      </c>
      <c r="L495" s="3" t="str">
        <f>HYPERLINK("http://www.uniprot.org/uniprot/Q7TMK9", "Q7TMK9")</f>
        <v>Q7TMK9</v>
      </c>
      <c r="M495" t="s">
        <v>6039</v>
      </c>
      <c r="N495" t="str">
        <f>"Syncrip"</f>
        <v>Syncrip</v>
      </c>
      <c r="O495" s="3" t="str">
        <f>HYPERLINK("http://www.informatics.jax.org/marker/MGI:1891690", "MGI:1891690")</f>
        <v>MGI:1891690</v>
      </c>
      <c r="P495" t="s">
        <v>6040</v>
      </c>
      <c r="Q495" t="s">
        <v>2139</v>
      </c>
      <c r="R495" t="s">
        <v>6041</v>
      </c>
      <c r="S495" t="s">
        <v>41</v>
      </c>
      <c r="T495" t="s">
        <v>32</v>
      </c>
      <c r="U495" t="s">
        <v>32</v>
      </c>
      <c r="V495" t="s">
        <v>55</v>
      </c>
      <c r="W495" t="s">
        <v>32</v>
      </c>
      <c r="X495" t="s">
        <v>1129</v>
      </c>
      <c r="Y495" t="s">
        <v>207</v>
      </c>
      <c r="Z495" t="s">
        <v>32</v>
      </c>
      <c r="AA495" t="s">
        <v>6042</v>
      </c>
      <c r="AB495" t="s">
        <v>6043</v>
      </c>
      <c r="AC495" t="s">
        <v>6044</v>
      </c>
      <c r="AD495" t="s">
        <v>32</v>
      </c>
      <c r="AE495" t="s">
        <v>32</v>
      </c>
      <c r="AF495" t="s">
        <v>46835</v>
      </c>
    </row>
    <row r="496" spans="1:32" x14ac:dyDescent="0.2">
      <c r="A496">
        <v>491</v>
      </c>
      <c r="B496" t="s">
        <v>6045</v>
      </c>
      <c r="C496" t="s">
        <v>6046</v>
      </c>
      <c r="D496" t="s">
        <v>32</v>
      </c>
      <c r="E496" t="s">
        <v>6047</v>
      </c>
      <c r="F496" t="s">
        <v>6048</v>
      </c>
      <c r="G496" t="s">
        <v>6049</v>
      </c>
      <c r="H496" t="str">
        <f>"Cycs"</f>
        <v>Cycs</v>
      </c>
      <c r="I496" t="s">
        <v>32</v>
      </c>
      <c r="J496" t="s">
        <v>37</v>
      </c>
      <c r="K496">
        <v>10090</v>
      </c>
      <c r="L496" s="3" t="str">
        <f>HYPERLINK("http://www.uniprot.org/uniprot/P62897", "P62897")</f>
        <v>P62897</v>
      </c>
      <c r="M496" t="s">
        <v>6050</v>
      </c>
      <c r="N496" t="str">
        <f>"Cycs"</f>
        <v>Cycs</v>
      </c>
      <c r="O496" s="3" t="str">
        <f>HYPERLINK("http://www.informatics.jax.org/marker/MGI:88578", "MGI:88578")</f>
        <v>MGI:88578</v>
      </c>
      <c r="P496" t="s">
        <v>6051</v>
      </c>
      <c r="Q496" t="s">
        <v>6052</v>
      </c>
      <c r="R496" t="s">
        <v>1038</v>
      </c>
      <c r="S496" t="s">
        <v>32</v>
      </c>
      <c r="T496" t="s">
        <v>32</v>
      </c>
      <c r="U496" t="s">
        <v>32</v>
      </c>
      <c r="V496" t="s">
        <v>32</v>
      </c>
      <c r="W496" t="s">
        <v>6053</v>
      </c>
      <c r="X496" t="s">
        <v>32</v>
      </c>
      <c r="Y496" t="s">
        <v>157</v>
      </c>
      <c r="Z496" t="s">
        <v>32</v>
      </c>
      <c r="AA496" t="s">
        <v>6054</v>
      </c>
      <c r="AB496" t="s">
        <v>6055</v>
      </c>
      <c r="AC496" t="s">
        <v>6056</v>
      </c>
      <c r="AD496" t="s">
        <v>32</v>
      </c>
      <c r="AE496" t="s">
        <v>6057</v>
      </c>
      <c r="AF496" t="s">
        <v>46835</v>
      </c>
    </row>
    <row r="497" spans="1:32" x14ac:dyDescent="0.2">
      <c r="A497">
        <v>492</v>
      </c>
      <c r="B497" t="s">
        <v>6058</v>
      </c>
      <c r="C497" t="s">
        <v>6059</v>
      </c>
      <c r="D497" t="s">
        <v>6060</v>
      </c>
      <c r="E497" t="s">
        <v>6061</v>
      </c>
      <c r="F497" t="s">
        <v>6062</v>
      </c>
      <c r="G497" t="s">
        <v>6063</v>
      </c>
      <c r="H497" t="str">
        <f>"Abce1"</f>
        <v>Abce1</v>
      </c>
      <c r="I497" t="s">
        <v>6064</v>
      </c>
      <c r="J497" t="s">
        <v>37</v>
      </c>
      <c r="K497">
        <v>10090</v>
      </c>
      <c r="L497" s="3" t="str">
        <f>HYPERLINK("http://www.uniprot.org/uniprot/P61222", "P61222")</f>
        <v>P61222</v>
      </c>
      <c r="M497" t="s">
        <v>6065</v>
      </c>
      <c r="N497" t="str">
        <f>"Abce1"</f>
        <v>Abce1</v>
      </c>
      <c r="O497" s="3" t="str">
        <f>HYPERLINK("http://www.informatics.jax.org/marker/MGI:1195458", "MGI:1195458")</f>
        <v>MGI:1195458</v>
      </c>
      <c r="P497" t="s">
        <v>6066</v>
      </c>
      <c r="Q497" t="s">
        <v>1680</v>
      </c>
      <c r="R497" t="s">
        <v>1842</v>
      </c>
      <c r="S497" t="s">
        <v>32</v>
      </c>
      <c r="T497" t="s">
        <v>32</v>
      </c>
      <c r="U497" t="s">
        <v>32</v>
      </c>
      <c r="V497" t="s">
        <v>55</v>
      </c>
      <c r="W497" t="s">
        <v>6067</v>
      </c>
      <c r="X497" t="s">
        <v>388</v>
      </c>
      <c r="Y497" t="s">
        <v>2836</v>
      </c>
      <c r="Z497" t="s">
        <v>32</v>
      </c>
      <c r="AA497" t="s">
        <v>6068</v>
      </c>
      <c r="AB497" t="s">
        <v>3903</v>
      </c>
      <c r="AC497" t="s">
        <v>6069</v>
      </c>
      <c r="AD497" t="s">
        <v>32</v>
      </c>
      <c r="AE497" t="s">
        <v>6070</v>
      </c>
      <c r="AF497" t="s">
        <v>46835</v>
      </c>
    </row>
    <row r="498" spans="1:32" x14ac:dyDescent="0.2">
      <c r="A498">
        <v>493</v>
      </c>
      <c r="B498" t="s">
        <v>6071</v>
      </c>
      <c r="C498" t="s">
        <v>6072</v>
      </c>
      <c r="D498" t="s">
        <v>6073</v>
      </c>
      <c r="E498" t="s">
        <v>6074</v>
      </c>
      <c r="F498" t="s">
        <v>6075</v>
      </c>
      <c r="G498" t="s">
        <v>6076</v>
      </c>
      <c r="H498" t="str">
        <f>"Impdh2"</f>
        <v>Impdh2</v>
      </c>
      <c r="I498" t="s">
        <v>32</v>
      </c>
      <c r="J498" t="s">
        <v>37</v>
      </c>
      <c r="K498">
        <v>10090</v>
      </c>
      <c r="L498" s="3" t="str">
        <f>HYPERLINK("http://www.uniprot.org/uniprot/P24547", "P24547")</f>
        <v>P24547</v>
      </c>
      <c r="M498" t="s">
        <v>6077</v>
      </c>
      <c r="N498" t="str">
        <f>"Impdh2"</f>
        <v>Impdh2</v>
      </c>
      <c r="O498" s="3" t="str">
        <f>HYPERLINK("http://www.informatics.jax.org/marker/MGI:109367", "MGI:109367")</f>
        <v>MGI:109367</v>
      </c>
      <c r="P498" t="s">
        <v>6078</v>
      </c>
      <c r="Q498" t="s">
        <v>6079</v>
      </c>
      <c r="R498" t="s">
        <v>40</v>
      </c>
      <c r="S498" t="s">
        <v>32</v>
      </c>
      <c r="T498" t="s">
        <v>32</v>
      </c>
      <c r="U498" t="s">
        <v>32</v>
      </c>
      <c r="V498" t="s">
        <v>6080</v>
      </c>
      <c r="W498" t="s">
        <v>6081</v>
      </c>
      <c r="X498" t="s">
        <v>6082</v>
      </c>
      <c r="Y498" t="s">
        <v>516</v>
      </c>
      <c r="Z498" t="s">
        <v>32</v>
      </c>
      <c r="AA498" t="s">
        <v>6083</v>
      </c>
      <c r="AB498" t="s">
        <v>4218</v>
      </c>
      <c r="AC498" t="s">
        <v>6084</v>
      </c>
      <c r="AD498" t="s">
        <v>6085</v>
      </c>
      <c r="AE498" t="s">
        <v>6086</v>
      </c>
      <c r="AF498" t="s">
        <v>46835</v>
      </c>
    </row>
    <row r="499" spans="1:32" x14ac:dyDescent="0.2">
      <c r="A499">
        <v>494</v>
      </c>
      <c r="B499" t="s">
        <v>6087</v>
      </c>
      <c r="C499" t="s">
        <v>6088</v>
      </c>
      <c r="D499" t="s">
        <v>32</v>
      </c>
      <c r="E499" t="s">
        <v>6089</v>
      </c>
      <c r="F499" t="s">
        <v>6090</v>
      </c>
      <c r="G499" t="s">
        <v>6091</v>
      </c>
      <c r="H499" t="str">
        <f>"Rpl30"</f>
        <v>Rpl30</v>
      </c>
      <c r="I499" t="s">
        <v>32</v>
      </c>
      <c r="J499" t="s">
        <v>37</v>
      </c>
      <c r="K499">
        <v>10090</v>
      </c>
      <c r="L499" s="3" t="str">
        <f>HYPERLINK("http://www.uniprot.org/uniprot/P62889", "P62889")</f>
        <v>P62889</v>
      </c>
      <c r="M499" t="s">
        <v>6092</v>
      </c>
      <c r="N499" t="str">
        <f>"Rpl30"</f>
        <v>Rpl30</v>
      </c>
      <c r="O499" s="3" t="str">
        <f>HYPERLINK("http://www.informatics.jax.org/marker/MGI:98037", "MGI:98037")</f>
        <v>MGI:98037</v>
      </c>
      <c r="P499" t="s">
        <v>1732</v>
      </c>
      <c r="Q499" t="s">
        <v>32</v>
      </c>
      <c r="R499" t="s">
        <v>418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447</v>
      </c>
      <c r="Y499" t="s">
        <v>516</v>
      </c>
      <c r="Z499" t="s">
        <v>126</v>
      </c>
      <c r="AA499" t="s">
        <v>6093</v>
      </c>
      <c r="AB499" t="s">
        <v>6094</v>
      </c>
      <c r="AC499" t="s">
        <v>6095</v>
      </c>
      <c r="AD499" t="s">
        <v>32</v>
      </c>
      <c r="AE499" t="s">
        <v>765</v>
      </c>
      <c r="AF499" t="s">
        <v>46835</v>
      </c>
    </row>
    <row r="500" spans="1:32" x14ac:dyDescent="0.2">
      <c r="A500">
        <v>495</v>
      </c>
      <c r="B500" t="s">
        <v>6096</v>
      </c>
      <c r="C500" t="s">
        <v>6097</v>
      </c>
      <c r="D500" t="s">
        <v>32</v>
      </c>
      <c r="E500" t="s">
        <v>6098</v>
      </c>
      <c r="F500" t="s">
        <v>6099</v>
      </c>
      <c r="G500" t="s">
        <v>32</v>
      </c>
      <c r="H500" t="str">
        <f>"Tubb2a"</f>
        <v>Tubb2a</v>
      </c>
      <c r="I500" t="s">
        <v>6100</v>
      </c>
      <c r="J500" t="s">
        <v>37</v>
      </c>
      <c r="K500">
        <v>10090</v>
      </c>
      <c r="L500" s="3" t="str">
        <f>HYPERLINK("http://www.uniprot.org/uniprot/Q7TMM9", "Q7TMM9")</f>
        <v>Q7TMM9</v>
      </c>
      <c r="M500" t="s">
        <v>6101</v>
      </c>
      <c r="N500" t="str">
        <f>"Tubb2a"</f>
        <v>Tubb2a</v>
      </c>
      <c r="O500" s="3" t="str">
        <f>HYPERLINK("http://www.informatics.jax.org/marker/MGI:107861", "MGI:107861")</f>
        <v>MGI:107861</v>
      </c>
      <c r="P500" t="s">
        <v>2757</v>
      </c>
      <c r="Q500" t="s">
        <v>32</v>
      </c>
      <c r="R500" t="s">
        <v>341</v>
      </c>
      <c r="S500" t="s">
        <v>32</v>
      </c>
      <c r="T500" t="s">
        <v>32</v>
      </c>
      <c r="U500" t="s">
        <v>32</v>
      </c>
      <c r="V500" t="s">
        <v>32</v>
      </c>
      <c r="W500" t="s">
        <v>342</v>
      </c>
      <c r="X500" t="s">
        <v>32</v>
      </c>
      <c r="Y500" t="s">
        <v>207</v>
      </c>
      <c r="Z500" t="s">
        <v>32</v>
      </c>
      <c r="AA500" t="s">
        <v>6102</v>
      </c>
      <c r="AB500" t="s">
        <v>6103</v>
      </c>
      <c r="AC500" t="s">
        <v>6104</v>
      </c>
      <c r="AD500" t="s">
        <v>32</v>
      </c>
      <c r="AE500" t="s">
        <v>6105</v>
      </c>
      <c r="AF500" t="s">
        <v>46835</v>
      </c>
    </row>
    <row r="501" spans="1:32" x14ac:dyDescent="0.2">
      <c r="A501">
        <v>496</v>
      </c>
      <c r="B501" t="s">
        <v>6106</v>
      </c>
      <c r="C501" t="s">
        <v>6107</v>
      </c>
      <c r="D501" t="s">
        <v>6108</v>
      </c>
      <c r="E501" t="s">
        <v>6109</v>
      </c>
      <c r="F501" t="s">
        <v>6110</v>
      </c>
      <c r="G501" t="s">
        <v>6111</v>
      </c>
      <c r="H501" t="str">
        <f>"Septin2"</f>
        <v>Septin2</v>
      </c>
      <c r="I501" t="s">
        <v>32</v>
      </c>
      <c r="J501" t="s">
        <v>37</v>
      </c>
      <c r="K501">
        <v>10090</v>
      </c>
      <c r="L501" s="3" t="str">
        <f>HYPERLINK("http://www.uniprot.org/uniprot/P42208", "P42208")</f>
        <v>P42208</v>
      </c>
      <c r="M501" t="s">
        <v>6112</v>
      </c>
      <c r="N501" t="str">
        <f>"Septin2"</f>
        <v>Septin2</v>
      </c>
      <c r="O501" s="3" t="str">
        <f>HYPERLINK("http://www.informatics.jax.org/marker/MGI:97298", "MGI:97298")</f>
        <v>MGI:97298</v>
      </c>
      <c r="P501" t="s">
        <v>6113</v>
      </c>
      <c r="Q501" t="s">
        <v>6114</v>
      </c>
      <c r="R501" t="s">
        <v>6115</v>
      </c>
      <c r="S501" t="s">
        <v>32</v>
      </c>
      <c r="T501" t="s">
        <v>32</v>
      </c>
      <c r="U501" t="s">
        <v>32</v>
      </c>
      <c r="V501" t="s">
        <v>32</v>
      </c>
      <c r="W501" t="s">
        <v>261</v>
      </c>
      <c r="X501" t="s">
        <v>32</v>
      </c>
      <c r="Y501" t="s">
        <v>157</v>
      </c>
      <c r="Z501" t="s">
        <v>126</v>
      </c>
      <c r="AA501" t="s">
        <v>6116</v>
      </c>
      <c r="AB501" t="s">
        <v>6117</v>
      </c>
      <c r="AC501" t="s">
        <v>6118</v>
      </c>
      <c r="AD501" t="s">
        <v>32</v>
      </c>
      <c r="AE501" t="s">
        <v>6119</v>
      </c>
      <c r="AF501" t="s">
        <v>46835</v>
      </c>
    </row>
    <row r="502" spans="1:32" x14ac:dyDescent="0.2">
      <c r="A502">
        <v>497</v>
      </c>
      <c r="B502" t="s">
        <v>6120</v>
      </c>
      <c r="C502" t="s">
        <v>6121</v>
      </c>
      <c r="D502" t="s">
        <v>32</v>
      </c>
      <c r="E502" t="s">
        <v>6122</v>
      </c>
      <c r="F502" t="s">
        <v>6123</v>
      </c>
      <c r="G502" t="s">
        <v>6124</v>
      </c>
      <c r="H502" t="str">
        <f>"Rpl18"</f>
        <v>Rpl18</v>
      </c>
      <c r="I502" t="s">
        <v>32</v>
      </c>
      <c r="J502" t="s">
        <v>37</v>
      </c>
      <c r="K502">
        <v>10090</v>
      </c>
      <c r="L502" s="3" t="str">
        <f>HYPERLINK("http://www.uniprot.org/uniprot/P35980", "P35980")</f>
        <v>P35980</v>
      </c>
      <c r="M502" t="s">
        <v>6125</v>
      </c>
      <c r="N502" t="str">
        <f>"Rpl18"</f>
        <v>Rpl18</v>
      </c>
      <c r="O502" s="3" t="str">
        <f>HYPERLINK("http://www.informatics.jax.org/marker/MGI:98003", "MGI:98003")</f>
        <v>MGI:98003</v>
      </c>
      <c r="P502" t="s">
        <v>6126</v>
      </c>
      <c r="Q502" t="s">
        <v>32</v>
      </c>
      <c r="R502" t="s">
        <v>874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447</v>
      </c>
      <c r="Y502" t="s">
        <v>1007</v>
      </c>
      <c r="Z502" t="s">
        <v>126</v>
      </c>
      <c r="AA502" t="s">
        <v>1405</v>
      </c>
      <c r="AB502" t="s">
        <v>6127</v>
      </c>
      <c r="AC502" t="s">
        <v>1056</v>
      </c>
      <c r="AD502" t="s">
        <v>32</v>
      </c>
      <c r="AE502" t="s">
        <v>765</v>
      </c>
      <c r="AF502" t="s">
        <v>46835</v>
      </c>
    </row>
    <row r="503" spans="1:32" x14ac:dyDescent="0.2">
      <c r="A503">
        <v>498</v>
      </c>
      <c r="B503" t="s">
        <v>6128</v>
      </c>
      <c r="C503" t="s">
        <v>6129</v>
      </c>
      <c r="D503" t="s">
        <v>6130</v>
      </c>
      <c r="E503" t="s">
        <v>6131</v>
      </c>
      <c r="F503" t="s">
        <v>6132</v>
      </c>
      <c r="G503" t="s">
        <v>6133</v>
      </c>
      <c r="H503" t="str">
        <f>"Ak2"</f>
        <v>Ak2</v>
      </c>
      <c r="I503" t="s">
        <v>32</v>
      </c>
      <c r="J503" t="s">
        <v>37</v>
      </c>
      <c r="K503">
        <v>10090</v>
      </c>
      <c r="L503" s="3" t="str">
        <f>HYPERLINK("http://www.uniprot.org/uniprot/Q9WTP6", "Q9WTP6")</f>
        <v>Q9WTP6</v>
      </c>
      <c r="M503" t="s">
        <v>6134</v>
      </c>
      <c r="N503" t="str">
        <f>"Ak2"</f>
        <v>Ak2</v>
      </c>
      <c r="O503" s="3" t="str">
        <f>HYPERLINK("http://www.informatics.jax.org/marker/MGI:87978", "MGI:87978")</f>
        <v>MGI:87978</v>
      </c>
      <c r="P503" t="s">
        <v>6135</v>
      </c>
      <c r="Q503" t="s">
        <v>32</v>
      </c>
      <c r="R503" t="s">
        <v>1038</v>
      </c>
      <c r="S503" t="s">
        <v>41</v>
      </c>
      <c r="T503" t="s">
        <v>32</v>
      </c>
      <c r="U503" t="s">
        <v>32</v>
      </c>
      <c r="V503" t="s">
        <v>32</v>
      </c>
      <c r="W503" t="s">
        <v>205</v>
      </c>
      <c r="X503" t="s">
        <v>419</v>
      </c>
      <c r="Y503" t="s">
        <v>480</v>
      </c>
      <c r="Z503" t="s">
        <v>32</v>
      </c>
      <c r="AA503" t="s">
        <v>6136</v>
      </c>
      <c r="AB503" t="s">
        <v>6137</v>
      </c>
      <c r="AC503" t="s">
        <v>6138</v>
      </c>
      <c r="AD503" t="s">
        <v>32</v>
      </c>
      <c r="AE503" t="s">
        <v>6139</v>
      </c>
      <c r="AF503" t="s">
        <v>46835</v>
      </c>
    </row>
    <row r="504" spans="1:32" x14ac:dyDescent="0.2">
      <c r="A504">
        <v>499</v>
      </c>
      <c r="B504" t="s">
        <v>6140</v>
      </c>
      <c r="C504" t="s">
        <v>6141</v>
      </c>
      <c r="D504" t="s">
        <v>32</v>
      </c>
      <c r="E504" t="s">
        <v>6142</v>
      </c>
      <c r="F504" t="s">
        <v>6143</v>
      </c>
      <c r="G504" t="s">
        <v>6144</v>
      </c>
      <c r="H504" t="str">
        <f>"Spart"</f>
        <v>Spart</v>
      </c>
      <c r="I504" t="s">
        <v>32</v>
      </c>
      <c r="J504" t="s">
        <v>37</v>
      </c>
      <c r="K504">
        <v>10090</v>
      </c>
      <c r="L504" s="3" t="str">
        <f>HYPERLINK("http://www.uniprot.org/uniprot/Q8R1X6", "Q8R1X6")</f>
        <v>Q8R1X6</v>
      </c>
      <c r="M504" t="s">
        <v>6145</v>
      </c>
      <c r="N504" t="str">
        <f>"Spg20"</f>
        <v>Spg20</v>
      </c>
      <c r="O504" s="3" t="str">
        <f>HYPERLINK("http://www.informatics.jax.org/marker/MGI:2139806", "MGI:2139806")</f>
        <v>MGI:2139806</v>
      </c>
      <c r="P504" t="s">
        <v>6146</v>
      </c>
      <c r="Q504" t="s">
        <v>32</v>
      </c>
      <c r="R504" t="s">
        <v>418</v>
      </c>
      <c r="S504" t="s">
        <v>41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t="s">
        <v>516</v>
      </c>
      <c r="Z504" t="s">
        <v>32</v>
      </c>
      <c r="AA504" t="s">
        <v>6147</v>
      </c>
      <c r="AB504" t="s">
        <v>6148</v>
      </c>
      <c r="AC504" t="s">
        <v>3477</v>
      </c>
      <c r="AD504" t="s">
        <v>32</v>
      </c>
      <c r="AE504" t="s">
        <v>32</v>
      </c>
      <c r="AF504" t="s">
        <v>46835</v>
      </c>
    </row>
    <row r="505" spans="1:32" x14ac:dyDescent="0.2">
      <c r="A505">
        <v>500</v>
      </c>
      <c r="B505" t="s">
        <v>6149</v>
      </c>
      <c r="C505" t="s">
        <v>6150</v>
      </c>
      <c r="D505" t="s">
        <v>32</v>
      </c>
      <c r="E505" t="s">
        <v>6151</v>
      </c>
      <c r="F505" t="s">
        <v>6152</v>
      </c>
      <c r="G505" t="s">
        <v>6153</v>
      </c>
      <c r="H505" t="str">
        <f>"Rps26"</f>
        <v>Rps26</v>
      </c>
      <c r="I505" t="s">
        <v>32</v>
      </c>
      <c r="J505" t="s">
        <v>37</v>
      </c>
      <c r="K505">
        <v>10090</v>
      </c>
      <c r="L505" s="3" t="str">
        <f>HYPERLINK("http://www.uniprot.org/uniprot/P62855", "P62855")</f>
        <v>P62855</v>
      </c>
      <c r="M505" t="s">
        <v>6154</v>
      </c>
      <c r="N505" t="str">
        <f>"Rps26"</f>
        <v>Rps26</v>
      </c>
      <c r="O505" s="3" t="str">
        <f>HYPERLINK("http://www.informatics.jax.org/marker/MGI:1351628", "MGI:1351628")</f>
        <v>MGI:1351628</v>
      </c>
      <c r="P505" t="s">
        <v>6155</v>
      </c>
      <c r="Q505" t="s">
        <v>32</v>
      </c>
      <c r="R505" t="s">
        <v>874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447</v>
      </c>
      <c r="Y505" t="s">
        <v>618</v>
      </c>
      <c r="Z505" t="s">
        <v>126</v>
      </c>
      <c r="AA505" t="s">
        <v>2502</v>
      </c>
      <c r="AB505" t="s">
        <v>6156</v>
      </c>
      <c r="AC505" t="s">
        <v>1685</v>
      </c>
      <c r="AD505" t="s">
        <v>32</v>
      </c>
      <c r="AE505" t="s">
        <v>691</v>
      </c>
      <c r="AF505" t="s">
        <v>46835</v>
      </c>
    </row>
    <row r="506" spans="1:32" x14ac:dyDescent="0.2">
      <c r="A506">
        <v>501</v>
      </c>
      <c r="B506" t="s">
        <v>6157</v>
      </c>
      <c r="C506" t="s">
        <v>6158</v>
      </c>
      <c r="D506" t="s">
        <v>6159</v>
      </c>
      <c r="E506" t="s">
        <v>6160</v>
      </c>
      <c r="F506" t="s">
        <v>6161</v>
      </c>
      <c r="G506" t="s">
        <v>6162</v>
      </c>
      <c r="H506" t="str">
        <f>"Slc25a3"</f>
        <v>Slc25a3</v>
      </c>
      <c r="I506" t="s">
        <v>32</v>
      </c>
      <c r="J506" t="s">
        <v>37</v>
      </c>
      <c r="K506">
        <v>10090</v>
      </c>
      <c r="L506" s="3" t="str">
        <f>HYPERLINK("http://www.uniprot.org/uniprot/Q8VEM8", "Q8VEM8")</f>
        <v>Q8VEM8</v>
      </c>
      <c r="M506" t="s">
        <v>6163</v>
      </c>
      <c r="N506" t="str">
        <f>"Slc25a3"</f>
        <v>Slc25a3</v>
      </c>
      <c r="O506" s="3" t="str">
        <f>HYPERLINK("http://www.informatics.jax.org/marker/MGI:1353498", "MGI:1353498")</f>
        <v>MGI:1353498</v>
      </c>
      <c r="P506" t="s">
        <v>6164</v>
      </c>
      <c r="Q506" t="s">
        <v>6165</v>
      </c>
      <c r="R506" t="s">
        <v>3858</v>
      </c>
      <c r="S506" t="s">
        <v>32</v>
      </c>
      <c r="T506" t="s">
        <v>32</v>
      </c>
      <c r="U506" t="s">
        <v>32</v>
      </c>
      <c r="V506" t="s">
        <v>6166</v>
      </c>
      <c r="W506" t="s">
        <v>32</v>
      </c>
      <c r="X506" t="s">
        <v>32</v>
      </c>
      <c r="Y506" t="s">
        <v>97</v>
      </c>
      <c r="Z506" t="s">
        <v>32</v>
      </c>
      <c r="AA506" t="s">
        <v>6167</v>
      </c>
      <c r="AB506" t="s">
        <v>6168</v>
      </c>
      <c r="AC506" t="s">
        <v>6169</v>
      </c>
      <c r="AD506" t="s">
        <v>32</v>
      </c>
      <c r="AE506" t="s">
        <v>32</v>
      </c>
      <c r="AF506" t="s">
        <v>46835</v>
      </c>
    </row>
    <row r="507" spans="1:32" x14ac:dyDescent="0.2">
      <c r="A507">
        <v>502</v>
      </c>
      <c r="B507" t="s">
        <v>6170</v>
      </c>
      <c r="C507" t="s">
        <v>6171</v>
      </c>
      <c r="D507" t="s">
        <v>6172</v>
      </c>
      <c r="E507" t="s">
        <v>6173</v>
      </c>
      <c r="F507" t="s">
        <v>6174</v>
      </c>
      <c r="G507" t="s">
        <v>6175</v>
      </c>
      <c r="H507" t="str">
        <f>"Cnn3"</f>
        <v>Cnn3</v>
      </c>
      <c r="I507" t="s">
        <v>32</v>
      </c>
      <c r="J507" t="s">
        <v>37</v>
      </c>
      <c r="K507">
        <v>10090</v>
      </c>
      <c r="L507" s="3" t="str">
        <f>HYPERLINK("http://www.uniprot.org/uniprot/Q9DAW9", "Q9DAW9")</f>
        <v>Q9DAW9</v>
      </c>
      <c r="M507" t="s">
        <v>6176</v>
      </c>
      <c r="N507" t="str">
        <f>"Cnn3"</f>
        <v>Cnn3</v>
      </c>
      <c r="O507" s="3" t="str">
        <f>HYPERLINK("http://www.informatics.jax.org/marker/MGI:1919244", "MGI:1919244")</f>
        <v>MGI:1919244</v>
      </c>
      <c r="P507" t="s">
        <v>6177</v>
      </c>
      <c r="Q507" t="s">
        <v>32</v>
      </c>
      <c r="R507" t="s">
        <v>32</v>
      </c>
      <c r="S507" t="s">
        <v>32</v>
      </c>
      <c r="T507" t="s">
        <v>32</v>
      </c>
      <c r="U507" t="s">
        <v>32</v>
      </c>
      <c r="V507" t="s">
        <v>55</v>
      </c>
      <c r="W507" t="s">
        <v>32</v>
      </c>
      <c r="X507" t="s">
        <v>5561</v>
      </c>
      <c r="Y507" t="s">
        <v>57</v>
      </c>
      <c r="Z507" t="s">
        <v>32</v>
      </c>
      <c r="AA507" t="s">
        <v>6178</v>
      </c>
      <c r="AB507" t="s">
        <v>6179</v>
      </c>
      <c r="AC507" t="s">
        <v>6180</v>
      </c>
      <c r="AD507" t="s">
        <v>32</v>
      </c>
      <c r="AE507" t="s">
        <v>32</v>
      </c>
      <c r="AF507" t="s">
        <v>46835</v>
      </c>
    </row>
    <row r="508" spans="1:32" x14ac:dyDescent="0.2">
      <c r="A508">
        <v>503</v>
      </c>
      <c r="B508" t="s">
        <v>6181</v>
      </c>
      <c r="C508" t="s">
        <v>6182</v>
      </c>
      <c r="D508" t="s">
        <v>6183</v>
      </c>
      <c r="E508" t="s">
        <v>6184</v>
      </c>
      <c r="F508" t="s">
        <v>6185</v>
      </c>
      <c r="G508" t="s">
        <v>6186</v>
      </c>
      <c r="H508" t="str">
        <f>"S100a4"</f>
        <v>S100a4</v>
      </c>
      <c r="I508" t="s">
        <v>6187</v>
      </c>
      <c r="J508" t="s">
        <v>37</v>
      </c>
      <c r="K508">
        <v>10090</v>
      </c>
      <c r="L508" s="3" t="str">
        <f>HYPERLINK("http://www.uniprot.org/uniprot/P07091", "P07091")</f>
        <v>P07091</v>
      </c>
      <c r="M508" t="s">
        <v>6188</v>
      </c>
      <c r="N508" t="str">
        <f>"S100a4"</f>
        <v>S100a4</v>
      </c>
      <c r="O508" s="3" t="str">
        <f>HYPERLINK("http://www.informatics.jax.org/marker/MGI:1330282", "MGI:1330282")</f>
        <v>MGI:1330282</v>
      </c>
      <c r="P508" t="s">
        <v>6189</v>
      </c>
      <c r="Q508" t="s">
        <v>32</v>
      </c>
      <c r="R508" t="s">
        <v>542</v>
      </c>
      <c r="S508" t="s">
        <v>32</v>
      </c>
      <c r="T508" t="s">
        <v>32</v>
      </c>
      <c r="U508" t="s">
        <v>32</v>
      </c>
      <c r="V508" t="s">
        <v>55</v>
      </c>
      <c r="W508" t="s">
        <v>188</v>
      </c>
      <c r="X508" t="s">
        <v>32</v>
      </c>
      <c r="Y508" t="s">
        <v>78</v>
      </c>
      <c r="Z508" t="s">
        <v>32</v>
      </c>
      <c r="AA508" t="s">
        <v>6190</v>
      </c>
      <c r="AB508" t="s">
        <v>6191</v>
      </c>
      <c r="AC508" t="s">
        <v>6192</v>
      </c>
      <c r="AD508" t="s">
        <v>32</v>
      </c>
      <c r="AE508" t="s">
        <v>32</v>
      </c>
      <c r="AF508" t="s">
        <v>46835</v>
      </c>
    </row>
    <row r="509" spans="1:32" x14ac:dyDescent="0.2">
      <c r="A509">
        <v>504</v>
      </c>
      <c r="B509" t="s">
        <v>6193</v>
      </c>
      <c r="C509" t="s">
        <v>6194</v>
      </c>
      <c r="D509" t="s">
        <v>6195</v>
      </c>
      <c r="E509" t="s">
        <v>6196</v>
      </c>
      <c r="F509" t="s">
        <v>6197</v>
      </c>
      <c r="G509" t="s">
        <v>6198</v>
      </c>
      <c r="H509" t="str">
        <f>"Hyou1"</f>
        <v>Hyou1</v>
      </c>
      <c r="I509" t="s">
        <v>6199</v>
      </c>
      <c r="J509" t="s">
        <v>37</v>
      </c>
      <c r="K509">
        <v>10090</v>
      </c>
      <c r="L509" s="3" t="str">
        <f>HYPERLINK("http://www.uniprot.org/uniprot/Q9JKR6", "Q9JKR6")</f>
        <v>Q9JKR6</v>
      </c>
      <c r="M509" t="s">
        <v>6200</v>
      </c>
      <c r="N509" t="str">
        <f>"Hyou1"</f>
        <v>Hyou1</v>
      </c>
      <c r="O509" s="3" t="str">
        <f>HYPERLINK("http://www.informatics.jax.org/marker/MGI:108030", "MGI:108030")</f>
        <v>MGI:108030</v>
      </c>
      <c r="P509" t="s">
        <v>6201</v>
      </c>
      <c r="Q509" t="s">
        <v>386</v>
      </c>
      <c r="R509" t="s">
        <v>671</v>
      </c>
      <c r="S509" t="s">
        <v>32</v>
      </c>
      <c r="T509" t="s">
        <v>32</v>
      </c>
      <c r="U509" t="s">
        <v>32</v>
      </c>
      <c r="V509" t="s">
        <v>811</v>
      </c>
      <c r="W509" t="s">
        <v>205</v>
      </c>
      <c r="X509" t="s">
        <v>388</v>
      </c>
      <c r="Y509" t="s">
        <v>372</v>
      </c>
      <c r="Z509" t="s">
        <v>32</v>
      </c>
      <c r="AA509" t="s">
        <v>6202</v>
      </c>
      <c r="AB509" t="s">
        <v>6203</v>
      </c>
      <c r="AC509" t="s">
        <v>6204</v>
      </c>
      <c r="AD509" t="s">
        <v>32</v>
      </c>
      <c r="AE509" t="s">
        <v>32</v>
      </c>
      <c r="AF509" t="s">
        <v>46835</v>
      </c>
    </row>
    <row r="510" spans="1:32" x14ac:dyDescent="0.2">
      <c r="A510">
        <v>505</v>
      </c>
      <c r="B510" t="s">
        <v>6205</v>
      </c>
      <c r="C510" t="s">
        <v>6206</v>
      </c>
      <c r="D510" t="s">
        <v>6207</v>
      </c>
      <c r="E510" t="s">
        <v>6208</v>
      </c>
      <c r="F510" t="s">
        <v>6209</v>
      </c>
      <c r="G510" t="s">
        <v>6210</v>
      </c>
      <c r="H510" t="str">
        <f>"Hadh"</f>
        <v>Hadh</v>
      </c>
      <c r="I510" t="s">
        <v>6211</v>
      </c>
      <c r="J510" t="s">
        <v>37</v>
      </c>
      <c r="K510">
        <v>10090</v>
      </c>
      <c r="L510" s="3" t="str">
        <f>HYPERLINK("http://www.uniprot.org/uniprot/Q61425", "Q61425")</f>
        <v>Q61425</v>
      </c>
      <c r="M510" t="s">
        <v>6212</v>
      </c>
      <c r="N510" t="str">
        <f>"Hadh"</f>
        <v>Hadh</v>
      </c>
      <c r="O510" s="3" t="str">
        <f>HYPERLINK("http://www.informatics.jax.org/marker/MGI:96009", "MGI:96009")</f>
        <v>MGI:96009</v>
      </c>
      <c r="P510" t="s">
        <v>6213</v>
      </c>
      <c r="Q510" t="s">
        <v>6214</v>
      </c>
      <c r="R510" t="s">
        <v>1038</v>
      </c>
      <c r="S510" t="s">
        <v>32</v>
      </c>
      <c r="T510" t="s">
        <v>32</v>
      </c>
      <c r="U510" t="s">
        <v>32</v>
      </c>
      <c r="V510" t="s">
        <v>1039</v>
      </c>
      <c r="W510" t="s">
        <v>325</v>
      </c>
      <c r="X510" t="s">
        <v>600</v>
      </c>
      <c r="Y510" t="s">
        <v>5360</v>
      </c>
      <c r="Z510" t="s">
        <v>32</v>
      </c>
      <c r="AA510" t="s">
        <v>6215</v>
      </c>
      <c r="AB510" t="s">
        <v>6216</v>
      </c>
      <c r="AC510" t="s">
        <v>6217</v>
      </c>
      <c r="AD510" t="s">
        <v>6218</v>
      </c>
      <c r="AE510" t="s">
        <v>6219</v>
      </c>
      <c r="AF510" t="s">
        <v>46835</v>
      </c>
    </row>
    <row r="511" spans="1:32" x14ac:dyDescent="0.2">
      <c r="A511">
        <v>506</v>
      </c>
      <c r="B511" t="s">
        <v>6220</v>
      </c>
      <c r="C511" t="s">
        <v>6221</v>
      </c>
      <c r="D511" t="s">
        <v>6222</v>
      </c>
      <c r="E511" t="s">
        <v>6223</v>
      </c>
      <c r="F511" t="s">
        <v>6224</v>
      </c>
      <c r="G511" t="s">
        <v>6225</v>
      </c>
      <c r="H511" t="str">
        <f>"Ube2m"</f>
        <v>Ube2m</v>
      </c>
      <c r="I511" t="s">
        <v>6226</v>
      </c>
      <c r="J511" t="s">
        <v>37</v>
      </c>
      <c r="K511">
        <v>10090</v>
      </c>
      <c r="L511" s="3" t="str">
        <f>HYPERLINK("http://www.uniprot.org/uniprot/P61082", "P61082")</f>
        <v>P61082</v>
      </c>
      <c r="M511" t="s">
        <v>6227</v>
      </c>
      <c r="N511" t="str">
        <f>"Ube2m"</f>
        <v>Ube2m</v>
      </c>
      <c r="O511" s="3" t="str">
        <f>HYPERLINK("http://www.informatics.jax.org/marker/MGI:108278", "MGI:108278")</f>
        <v>MGI:108278</v>
      </c>
      <c r="P511" t="s">
        <v>6228</v>
      </c>
      <c r="Q511" t="s">
        <v>1020</v>
      </c>
      <c r="R511" t="s">
        <v>32</v>
      </c>
      <c r="S511" t="s">
        <v>32</v>
      </c>
      <c r="T511" t="s">
        <v>32</v>
      </c>
      <c r="U511" t="s">
        <v>32</v>
      </c>
      <c r="V511" t="s">
        <v>32</v>
      </c>
      <c r="W511" t="s">
        <v>205</v>
      </c>
      <c r="X511" t="s">
        <v>515</v>
      </c>
      <c r="Y511" t="s">
        <v>97</v>
      </c>
      <c r="Z511" t="s">
        <v>32</v>
      </c>
      <c r="AA511" t="s">
        <v>6229</v>
      </c>
      <c r="AB511" t="s">
        <v>3606</v>
      </c>
      <c r="AC511" t="s">
        <v>6230</v>
      </c>
      <c r="AD511" t="s">
        <v>6231</v>
      </c>
      <c r="AE511" t="s">
        <v>6232</v>
      </c>
      <c r="AF511" t="s">
        <v>46835</v>
      </c>
    </row>
    <row r="512" spans="1:32" x14ac:dyDescent="0.2">
      <c r="A512">
        <v>507</v>
      </c>
      <c r="B512" t="s">
        <v>6233</v>
      </c>
      <c r="C512" t="s">
        <v>6234</v>
      </c>
      <c r="D512" t="s">
        <v>32</v>
      </c>
      <c r="E512" t="s">
        <v>6235</v>
      </c>
      <c r="F512" t="s">
        <v>6236</v>
      </c>
      <c r="G512" t="s">
        <v>6237</v>
      </c>
      <c r="H512" t="str">
        <f>"Thop1"</f>
        <v>Thop1</v>
      </c>
      <c r="I512" t="s">
        <v>32</v>
      </c>
      <c r="J512" t="s">
        <v>37</v>
      </c>
      <c r="K512">
        <v>10090</v>
      </c>
      <c r="L512" s="3" t="str">
        <f>HYPERLINK("http://www.uniprot.org/uniprot/Q8C1A5", "Q8C1A5")</f>
        <v>Q8C1A5</v>
      </c>
      <c r="M512" t="s">
        <v>6238</v>
      </c>
      <c r="N512" t="str">
        <f>"Thop1"</f>
        <v>Thop1</v>
      </c>
      <c r="O512" s="3" t="str">
        <f>HYPERLINK("http://www.informatics.jax.org/marker/MGI:1354165", "MGI:1354165")</f>
        <v>MGI:1354165</v>
      </c>
      <c r="P512" t="s">
        <v>6239</v>
      </c>
      <c r="Q512" t="s">
        <v>32</v>
      </c>
      <c r="R512" t="s">
        <v>418</v>
      </c>
      <c r="S512" t="s">
        <v>32</v>
      </c>
      <c r="T512" t="s">
        <v>32</v>
      </c>
      <c r="U512" t="s">
        <v>32</v>
      </c>
      <c r="V512" t="s">
        <v>32</v>
      </c>
      <c r="W512" t="s">
        <v>42</v>
      </c>
      <c r="X512" t="s">
        <v>4882</v>
      </c>
      <c r="Y512" t="s">
        <v>157</v>
      </c>
      <c r="Z512" t="s">
        <v>32</v>
      </c>
      <c r="AA512" t="s">
        <v>6240</v>
      </c>
      <c r="AB512" t="s">
        <v>6241</v>
      </c>
      <c r="AC512" t="s">
        <v>6242</v>
      </c>
      <c r="AD512" t="s">
        <v>32</v>
      </c>
      <c r="AE512" t="s">
        <v>4220</v>
      </c>
      <c r="AF512" t="s">
        <v>46835</v>
      </c>
    </row>
    <row r="513" spans="1:32" x14ac:dyDescent="0.2">
      <c r="A513">
        <v>508</v>
      </c>
      <c r="B513" t="s">
        <v>6243</v>
      </c>
      <c r="C513" t="s">
        <v>6244</v>
      </c>
      <c r="D513" t="s">
        <v>6245</v>
      </c>
      <c r="E513" t="s">
        <v>6246</v>
      </c>
      <c r="F513" t="s">
        <v>6247</v>
      </c>
      <c r="G513" t="s">
        <v>6248</v>
      </c>
      <c r="H513" t="str">
        <f>"Cadm1"</f>
        <v>Cadm1</v>
      </c>
      <c r="I513" t="s">
        <v>32</v>
      </c>
      <c r="J513" t="s">
        <v>37</v>
      </c>
      <c r="K513">
        <v>10090</v>
      </c>
      <c r="L513" s="3" t="str">
        <f>HYPERLINK("http://www.uniprot.org/uniprot/Q8R5M8", "Q8R5M8")</f>
        <v>Q8R5M8</v>
      </c>
      <c r="M513" t="s">
        <v>6249</v>
      </c>
      <c r="N513" t="str">
        <f>"Cadm1"</f>
        <v>Cadm1</v>
      </c>
      <c r="O513" s="3" t="str">
        <f>HYPERLINK("http://www.informatics.jax.org/marker/MGI:1889272", "MGI:1889272")</f>
        <v>MGI:1889272</v>
      </c>
      <c r="P513" t="s">
        <v>6250</v>
      </c>
      <c r="Q513" t="s">
        <v>6251</v>
      </c>
      <c r="R513" t="s">
        <v>6252</v>
      </c>
      <c r="S513" t="s">
        <v>41</v>
      </c>
      <c r="T513" t="s">
        <v>32</v>
      </c>
      <c r="U513" t="s">
        <v>1636</v>
      </c>
      <c r="V513" t="s">
        <v>2864</v>
      </c>
      <c r="W513" t="s">
        <v>32</v>
      </c>
      <c r="X513" t="s">
        <v>2029</v>
      </c>
      <c r="Y513" t="s">
        <v>2865</v>
      </c>
      <c r="Z513" t="s">
        <v>32</v>
      </c>
      <c r="AA513" t="s">
        <v>6253</v>
      </c>
      <c r="AB513" t="s">
        <v>6254</v>
      </c>
      <c r="AC513" t="s">
        <v>6255</v>
      </c>
      <c r="AD513" t="s">
        <v>32</v>
      </c>
      <c r="AE513" t="s">
        <v>6256</v>
      </c>
      <c r="AF513" t="s">
        <v>46835</v>
      </c>
    </row>
    <row r="514" spans="1:32" x14ac:dyDescent="0.2">
      <c r="A514">
        <v>509</v>
      </c>
      <c r="B514" t="s">
        <v>6257</v>
      </c>
      <c r="C514" t="s">
        <v>6258</v>
      </c>
      <c r="D514" t="s">
        <v>6259</v>
      </c>
      <c r="E514" t="s">
        <v>6260</v>
      </c>
      <c r="F514" t="s">
        <v>6261</v>
      </c>
      <c r="G514" t="s">
        <v>6262</v>
      </c>
      <c r="H514" t="str">
        <f>"Pfn2"</f>
        <v>Pfn2</v>
      </c>
      <c r="I514" t="s">
        <v>32</v>
      </c>
      <c r="J514" t="s">
        <v>37</v>
      </c>
      <c r="K514">
        <v>10090</v>
      </c>
      <c r="L514" s="3" t="str">
        <f>HYPERLINK("http://www.uniprot.org/uniprot/Q9JJV2", "Q9JJV2")</f>
        <v>Q9JJV2</v>
      </c>
      <c r="M514" t="s">
        <v>6263</v>
      </c>
      <c r="N514" t="str">
        <f>"Pfn2"</f>
        <v>Pfn2</v>
      </c>
      <c r="O514" s="3" t="str">
        <f>HYPERLINK("http://www.informatics.jax.org/marker/MGI:97550", "MGI:97550")</f>
        <v>MGI:97550</v>
      </c>
      <c r="P514" t="s">
        <v>6264</v>
      </c>
      <c r="Q514" t="s">
        <v>32</v>
      </c>
      <c r="R514" t="s">
        <v>186</v>
      </c>
      <c r="S514" t="s">
        <v>41</v>
      </c>
      <c r="T514" t="s">
        <v>32</v>
      </c>
      <c r="U514" t="s">
        <v>32</v>
      </c>
      <c r="V514" t="s">
        <v>32</v>
      </c>
      <c r="W514" t="s">
        <v>32</v>
      </c>
      <c r="X514" t="s">
        <v>405</v>
      </c>
      <c r="Y514" t="s">
        <v>78</v>
      </c>
      <c r="Z514" t="s">
        <v>126</v>
      </c>
      <c r="AA514" t="s">
        <v>6265</v>
      </c>
      <c r="AB514" t="s">
        <v>6266</v>
      </c>
      <c r="AC514" t="s">
        <v>6267</v>
      </c>
      <c r="AD514" t="s">
        <v>32</v>
      </c>
      <c r="AE514" t="s">
        <v>6268</v>
      </c>
      <c r="AF514" t="s">
        <v>46835</v>
      </c>
    </row>
    <row r="515" spans="1:32" x14ac:dyDescent="0.2">
      <c r="A515">
        <v>510</v>
      </c>
      <c r="B515" t="s">
        <v>6269</v>
      </c>
      <c r="C515" t="s">
        <v>6270</v>
      </c>
      <c r="D515" t="s">
        <v>6271</v>
      </c>
      <c r="E515" t="s">
        <v>6272</v>
      </c>
      <c r="F515" t="s">
        <v>6273</v>
      </c>
      <c r="G515" t="s">
        <v>6274</v>
      </c>
      <c r="H515" t="str">
        <f>"Tbcb"</f>
        <v>Tbcb</v>
      </c>
      <c r="I515" t="s">
        <v>6275</v>
      </c>
      <c r="J515" t="s">
        <v>37</v>
      </c>
      <c r="K515">
        <v>10090</v>
      </c>
      <c r="L515" s="3" t="str">
        <f>HYPERLINK("http://www.uniprot.org/uniprot/Q9D1E6", "Q9D1E6")</f>
        <v>Q9D1E6</v>
      </c>
      <c r="M515" t="s">
        <v>6276</v>
      </c>
      <c r="N515" t="str">
        <f>"Tbcb"</f>
        <v>Tbcb</v>
      </c>
      <c r="O515" s="3" t="str">
        <f>HYPERLINK("http://www.informatics.jax.org/marker/MGI:1913661", "MGI:1913661")</f>
        <v>MGI:1913661</v>
      </c>
      <c r="P515" t="s">
        <v>6277</v>
      </c>
      <c r="Q515" t="s">
        <v>2027</v>
      </c>
      <c r="R515" t="s">
        <v>341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6278</v>
      </c>
      <c r="Y515" t="s">
        <v>1023</v>
      </c>
      <c r="Z515" t="s">
        <v>126</v>
      </c>
      <c r="AA515" t="s">
        <v>6279</v>
      </c>
      <c r="AB515" t="s">
        <v>6280</v>
      </c>
      <c r="AC515" t="s">
        <v>32</v>
      </c>
      <c r="AD515" t="s">
        <v>32</v>
      </c>
      <c r="AE515" t="s">
        <v>32</v>
      </c>
      <c r="AF515" t="s">
        <v>46835</v>
      </c>
    </row>
    <row r="516" spans="1:32" x14ac:dyDescent="0.2">
      <c r="A516">
        <v>511</v>
      </c>
      <c r="B516" t="s">
        <v>6281</v>
      </c>
      <c r="C516" t="s">
        <v>6282</v>
      </c>
      <c r="D516" t="s">
        <v>6283</v>
      </c>
      <c r="E516" t="s">
        <v>6284</v>
      </c>
      <c r="F516" t="s">
        <v>6285</v>
      </c>
      <c r="G516" t="s">
        <v>6286</v>
      </c>
      <c r="H516" t="str">
        <f>"Kif5b"</f>
        <v>Kif5b</v>
      </c>
      <c r="I516" t="s">
        <v>6287</v>
      </c>
      <c r="J516" t="s">
        <v>37</v>
      </c>
      <c r="K516">
        <v>10090</v>
      </c>
      <c r="L516" s="3" t="str">
        <f>HYPERLINK("http://www.uniprot.org/uniprot/Q61768", "Q61768")</f>
        <v>Q61768</v>
      </c>
      <c r="M516" t="s">
        <v>6288</v>
      </c>
      <c r="N516" t="str">
        <f>"Kif5b"</f>
        <v>Kif5b</v>
      </c>
      <c r="O516" s="3" t="str">
        <f>HYPERLINK("http://www.informatics.jax.org/marker/MGI:1098268", "MGI:1098268")</f>
        <v>MGI:1098268</v>
      </c>
      <c r="P516" t="s">
        <v>6289</v>
      </c>
      <c r="Q516" t="s">
        <v>32</v>
      </c>
      <c r="R516" t="s">
        <v>6290</v>
      </c>
      <c r="S516" t="s">
        <v>32</v>
      </c>
      <c r="T516" t="s">
        <v>32</v>
      </c>
      <c r="U516" t="s">
        <v>32</v>
      </c>
      <c r="V516" t="s">
        <v>290</v>
      </c>
      <c r="W516" t="s">
        <v>205</v>
      </c>
      <c r="X516" t="s">
        <v>830</v>
      </c>
      <c r="Y516" t="s">
        <v>207</v>
      </c>
      <c r="Z516" t="s">
        <v>126</v>
      </c>
      <c r="AA516" t="s">
        <v>6291</v>
      </c>
      <c r="AB516" t="s">
        <v>6292</v>
      </c>
      <c r="AC516" t="s">
        <v>6293</v>
      </c>
      <c r="AD516" t="s">
        <v>32</v>
      </c>
      <c r="AE516" t="s">
        <v>6294</v>
      </c>
      <c r="AF516" t="s">
        <v>46835</v>
      </c>
    </row>
    <row r="517" spans="1:32" x14ac:dyDescent="0.2">
      <c r="A517">
        <v>512</v>
      </c>
      <c r="B517" t="s">
        <v>6295</v>
      </c>
      <c r="C517" t="s">
        <v>6296</v>
      </c>
      <c r="D517" t="s">
        <v>32</v>
      </c>
      <c r="E517" t="s">
        <v>6297</v>
      </c>
      <c r="F517" t="s">
        <v>6298</v>
      </c>
      <c r="G517" t="s">
        <v>6299</v>
      </c>
      <c r="H517" t="str">
        <f>"Snx6"</f>
        <v>Snx6</v>
      </c>
      <c r="I517" t="s">
        <v>32</v>
      </c>
      <c r="J517" t="s">
        <v>37</v>
      </c>
      <c r="K517">
        <v>10090</v>
      </c>
      <c r="L517" s="3" t="str">
        <f>HYPERLINK("http://www.uniprot.org/uniprot/Q6P8X1", "Q6P8X1")</f>
        <v>Q6P8X1</v>
      </c>
      <c r="M517" t="s">
        <v>6300</v>
      </c>
      <c r="N517" t="str">
        <f>"Snx6"</f>
        <v>Snx6</v>
      </c>
      <c r="O517" s="3" t="str">
        <f>HYPERLINK("http://www.informatics.jax.org/marker/MGI:1919433", "MGI:1919433")</f>
        <v>MGI:1919433</v>
      </c>
      <c r="P517" t="s">
        <v>6301</v>
      </c>
      <c r="Q517" t="s">
        <v>434</v>
      </c>
      <c r="R517" t="s">
        <v>6302</v>
      </c>
      <c r="S517" t="s">
        <v>32</v>
      </c>
      <c r="T517" t="s">
        <v>32</v>
      </c>
      <c r="U517" t="s">
        <v>32</v>
      </c>
      <c r="V517" t="s">
        <v>32</v>
      </c>
      <c r="W517" t="s">
        <v>584</v>
      </c>
      <c r="X517" t="s">
        <v>32</v>
      </c>
      <c r="Y517" t="s">
        <v>157</v>
      </c>
      <c r="Z517" t="s">
        <v>32</v>
      </c>
      <c r="AA517" t="s">
        <v>6303</v>
      </c>
      <c r="AB517" t="s">
        <v>6304</v>
      </c>
      <c r="AC517" t="s">
        <v>6305</v>
      </c>
      <c r="AD517" t="s">
        <v>32</v>
      </c>
      <c r="AE517" t="s">
        <v>32</v>
      </c>
      <c r="AF517" t="s">
        <v>46835</v>
      </c>
    </row>
    <row r="518" spans="1:32" x14ac:dyDescent="0.2">
      <c r="A518">
        <v>513</v>
      </c>
      <c r="B518" t="s">
        <v>6306</v>
      </c>
      <c r="C518" t="s">
        <v>6307</v>
      </c>
      <c r="D518" t="s">
        <v>6308</v>
      </c>
      <c r="E518" t="s">
        <v>6309</v>
      </c>
      <c r="F518" t="s">
        <v>6310</v>
      </c>
      <c r="G518" t="s">
        <v>6311</v>
      </c>
      <c r="H518" t="str">
        <f>"Eif3d"</f>
        <v>Eif3d</v>
      </c>
      <c r="I518" t="s">
        <v>6312</v>
      </c>
      <c r="J518" t="s">
        <v>37</v>
      </c>
      <c r="K518">
        <v>10090</v>
      </c>
      <c r="L518" s="3" t="str">
        <f>HYPERLINK("http://www.uniprot.org/uniprot/O70194", "O70194")</f>
        <v>O70194</v>
      </c>
      <c r="M518" t="s">
        <v>6313</v>
      </c>
      <c r="N518" t="str">
        <f>"Eif3d"</f>
        <v>Eif3d</v>
      </c>
      <c r="O518" s="3" t="str">
        <f>HYPERLINK("http://www.informatics.jax.org/marker/MGI:1933181", "MGI:1933181")</f>
        <v>MGI:1933181</v>
      </c>
      <c r="P518" t="s">
        <v>6314</v>
      </c>
      <c r="Q518" t="s">
        <v>260</v>
      </c>
      <c r="R518" t="s">
        <v>418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1566</v>
      </c>
      <c r="Y518" t="s">
        <v>157</v>
      </c>
      <c r="Z518" t="s">
        <v>32</v>
      </c>
      <c r="AA518" t="s">
        <v>6315</v>
      </c>
      <c r="AB518" t="s">
        <v>2677</v>
      </c>
      <c r="AC518" t="s">
        <v>6316</v>
      </c>
      <c r="AD518" t="s">
        <v>32</v>
      </c>
      <c r="AE518" t="s">
        <v>1570</v>
      </c>
      <c r="AF518" t="s">
        <v>46835</v>
      </c>
    </row>
    <row r="519" spans="1:32" x14ac:dyDescent="0.2">
      <c r="A519">
        <v>514</v>
      </c>
      <c r="B519" t="s">
        <v>6317</v>
      </c>
      <c r="C519" t="s">
        <v>6318</v>
      </c>
      <c r="D519" t="s">
        <v>6319</v>
      </c>
      <c r="E519" t="s">
        <v>6320</v>
      </c>
      <c r="F519" t="s">
        <v>6321</v>
      </c>
      <c r="G519" t="s">
        <v>6322</v>
      </c>
      <c r="H519" t="str">
        <f>"Vdac2"</f>
        <v>Vdac2</v>
      </c>
      <c r="I519" t="s">
        <v>6323</v>
      </c>
      <c r="J519" t="s">
        <v>37</v>
      </c>
      <c r="K519">
        <v>10090</v>
      </c>
      <c r="L519" s="3" t="str">
        <f>HYPERLINK("http://www.uniprot.org/uniprot/Q60930", "Q60930")</f>
        <v>Q60930</v>
      </c>
      <c r="M519" t="s">
        <v>6324</v>
      </c>
      <c r="N519" t="str">
        <f>"Vdac2"</f>
        <v>Vdac2</v>
      </c>
      <c r="O519" s="3" t="str">
        <f>HYPERLINK("http://www.informatics.jax.org/marker/MGI:106915", "MGI:106915")</f>
        <v>MGI:106915</v>
      </c>
      <c r="P519" t="s">
        <v>6325</v>
      </c>
      <c r="Q519" t="s">
        <v>6326</v>
      </c>
      <c r="R519" t="s">
        <v>4782</v>
      </c>
      <c r="S519" t="s">
        <v>32</v>
      </c>
      <c r="T519" t="s">
        <v>32</v>
      </c>
      <c r="U519" t="s">
        <v>32</v>
      </c>
      <c r="V519" t="s">
        <v>6327</v>
      </c>
      <c r="W519" t="s">
        <v>6328</v>
      </c>
      <c r="X519" t="s">
        <v>6329</v>
      </c>
      <c r="Y519" t="s">
        <v>516</v>
      </c>
      <c r="Z519" t="s">
        <v>32</v>
      </c>
      <c r="AA519" t="s">
        <v>6330</v>
      </c>
      <c r="AB519" t="s">
        <v>6331</v>
      </c>
      <c r="AC519" t="s">
        <v>6332</v>
      </c>
      <c r="AD519" t="s">
        <v>32</v>
      </c>
      <c r="AE519" t="s">
        <v>6333</v>
      </c>
      <c r="AF519" t="s">
        <v>46835</v>
      </c>
    </row>
    <row r="520" spans="1:32" x14ac:dyDescent="0.2">
      <c r="A520">
        <v>515</v>
      </c>
      <c r="B520" t="s">
        <v>6334</v>
      </c>
      <c r="C520" t="s">
        <v>6335</v>
      </c>
      <c r="D520" t="s">
        <v>6336</v>
      </c>
      <c r="E520" t="s">
        <v>6337</v>
      </c>
      <c r="F520" t="s">
        <v>6338</v>
      </c>
      <c r="G520" t="s">
        <v>32</v>
      </c>
      <c r="H520" t="str">
        <f>"Dnajb1"</f>
        <v>Dnajb1</v>
      </c>
      <c r="I520" t="s">
        <v>6339</v>
      </c>
      <c r="J520" t="s">
        <v>37</v>
      </c>
      <c r="K520">
        <v>10090</v>
      </c>
      <c r="L520" s="3" t="str">
        <f>HYPERLINK("http://www.uniprot.org/uniprot/Q9QYJ3", "Q9QYJ3")</f>
        <v>Q9QYJ3</v>
      </c>
      <c r="M520" t="s">
        <v>6340</v>
      </c>
      <c r="N520" t="str">
        <f>"Dnajb1"</f>
        <v>Dnajb1</v>
      </c>
      <c r="O520" s="3" t="str">
        <f>HYPERLINK("http://www.informatics.jax.org/marker/MGI:1931874", "MGI:1931874")</f>
        <v>MGI:1931874</v>
      </c>
      <c r="P520" t="s">
        <v>6341</v>
      </c>
      <c r="Q520" t="s">
        <v>386</v>
      </c>
      <c r="R520" t="s">
        <v>40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388</v>
      </c>
      <c r="Y520" t="s">
        <v>618</v>
      </c>
      <c r="Z520" t="s">
        <v>32</v>
      </c>
      <c r="AA520" t="s">
        <v>6342</v>
      </c>
      <c r="AB520" t="s">
        <v>6343</v>
      </c>
      <c r="AC520" t="s">
        <v>6344</v>
      </c>
      <c r="AD520" t="s">
        <v>32</v>
      </c>
      <c r="AE520" t="s">
        <v>6345</v>
      </c>
      <c r="AF520" t="s">
        <v>46835</v>
      </c>
    </row>
    <row r="521" spans="1:32" x14ac:dyDescent="0.2">
      <c r="A521">
        <v>516</v>
      </c>
      <c r="B521" t="s">
        <v>6346</v>
      </c>
      <c r="C521" t="s">
        <v>6347</v>
      </c>
      <c r="D521" t="s">
        <v>6348</v>
      </c>
      <c r="E521" t="s">
        <v>6349</v>
      </c>
      <c r="F521" t="s">
        <v>6350</v>
      </c>
      <c r="G521" t="s">
        <v>32</v>
      </c>
      <c r="H521" t="str">
        <f>"Cyrib"</f>
        <v>Cyrib</v>
      </c>
      <c r="I521" t="s">
        <v>6351</v>
      </c>
      <c r="J521" t="s">
        <v>37</v>
      </c>
      <c r="K521">
        <v>10090</v>
      </c>
      <c r="L521" s="3" t="str">
        <f>HYPERLINK("http://www.uniprot.org/uniprot/Q921M7", "Q921M7")</f>
        <v>Q921M7</v>
      </c>
      <c r="M521" t="s">
        <v>6352</v>
      </c>
      <c r="N521" t="str">
        <f>"Cyrib"</f>
        <v>Cyrib</v>
      </c>
      <c r="O521" s="3" t="str">
        <f>HYPERLINK("http://www.informatics.jax.org/marker/MGI:1923520", "MGI:1923520")</f>
        <v>MGI:1923520</v>
      </c>
      <c r="P521" t="s">
        <v>6353</v>
      </c>
      <c r="Q521" t="s">
        <v>32</v>
      </c>
      <c r="R521" t="s">
        <v>6354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t="s">
        <v>6355</v>
      </c>
      <c r="Z521" t="s">
        <v>126</v>
      </c>
      <c r="AA521" t="s">
        <v>6356</v>
      </c>
      <c r="AB521" t="s">
        <v>6357</v>
      </c>
      <c r="AC521" t="s">
        <v>6358</v>
      </c>
      <c r="AD521" t="s">
        <v>32</v>
      </c>
      <c r="AE521" t="s">
        <v>2235</v>
      </c>
      <c r="AF521" t="s">
        <v>46835</v>
      </c>
    </row>
    <row r="522" spans="1:32" x14ac:dyDescent="0.2">
      <c r="A522">
        <v>517</v>
      </c>
      <c r="B522" t="s">
        <v>6359</v>
      </c>
      <c r="C522" t="s">
        <v>6360</v>
      </c>
      <c r="D522" t="s">
        <v>6361</v>
      </c>
      <c r="E522" t="s">
        <v>6362</v>
      </c>
      <c r="F522" t="s">
        <v>6363</v>
      </c>
      <c r="G522" t="s">
        <v>6364</v>
      </c>
      <c r="H522" t="str">
        <f>"Got2"</f>
        <v>Got2</v>
      </c>
      <c r="I522" t="s">
        <v>6365</v>
      </c>
      <c r="J522" t="s">
        <v>37</v>
      </c>
      <c r="K522">
        <v>10090</v>
      </c>
      <c r="L522" s="3" t="str">
        <f>HYPERLINK("http://www.uniprot.org/uniprot/P05202", "P05202")</f>
        <v>P05202</v>
      </c>
      <c r="M522" t="s">
        <v>6366</v>
      </c>
      <c r="N522" t="str">
        <f>"Got2"</f>
        <v>Got2</v>
      </c>
      <c r="O522" s="3" t="str">
        <f>HYPERLINK("http://www.informatics.jax.org/marker/MGI:95792", "MGI:95792")</f>
        <v>MGI:95792</v>
      </c>
      <c r="P522" t="s">
        <v>6367</v>
      </c>
      <c r="Q522" t="s">
        <v>582</v>
      </c>
      <c r="R522" t="s">
        <v>6368</v>
      </c>
      <c r="S522" t="s">
        <v>32</v>
      </c>
      <c r="T522" t="s">
        <v>32</v>
      </c>
      <c r="U522" t="s">
        <v>32</v>
      </c>
      <c r="V522" t="s">
        <v>1039</v>
      </c>
      <c r="W522" t="s">
        <v>3373</v>
      </c>
      <c r="X522" t="s">
        <v>3374</v>
      </c>
      <c r="Y522" t="s">
        <v>344</v>
      </c>
      <c r="Z522" t="s">
        <v>126</v>
      </c>
      <c r="AA522" t="s">
        <v>6369</v>
      </c>
      <c r="AB522" t="s">
        <v>6370</v>
      </c>
      <c r="AC522" t="s">
        <v>6371</v>
      </c>
      <c r="AD522" t="s">
        <v>32</v>
      </c>
      <c r="AE522" t="s">
        <v>6372</v>
      </c>
      <c r="AF522" t="s">
        <v>46835</v>
      </c>
    </row>
    <row r="523" spans="1:32" x14ac:dyDescent="0.2">
      <c r="A523">
        <v>518</v>
      </c>
      <c r="B523" t="s">
        <v>6373</v>
      </c>
      <c r="C523" t="s">
        <v>6374</v>
      </c>
      <c r="D523" t="s">
        <v>6375</v>
      </c>
      <c r="E523" t="s">
        <v>6376</v>
      </c>
      <c r="F523" t="s">
        <v>6377</v>
      </c>
      <c r="G523" t="s">
        <v>6378</v>
      </c>
      <c r="H523" t="str">
        <f>"Cs"</f>
        <v>Cs</v>
      </c>
      <c r="I523" t="s">
        <v>32</v>
      </c>
      <c r="J523" t="s">
        <v>37</v>
      </c>
      <c r="K523">
        <v>10090</v>
      </c>
      <c r="L523" s="3" t="str">
        <f>HYPERLINK("http://www.uniprot.org/uniprot/Q9CZU6", "Q9CZU6")</f>
        <v>Q9CZU6</v>
      </c>
      <c r="M523" t="s">
        <v>6379</v>
      </c>
      <c r="N523" t="str">
        <f>"Cs"</f>
        <v>Cs</v>
      </c>
      <c r="O523" s="3" t="str">
        <f>HYPERLINK("http://www.informatics.jax.org/marker/MGI:88529", "MGI:88529")</f>
        <v>MGI:88529</v>
      </c>
      <c r="P523" t="s">
        <v>6380</v>
      </c>
      <c r="Q523" t="s">
        <v>1756</v>
      </c>
      <c r="R523" t="s">
        <v>1038</v>
      </c>
      <c r="S523" t="s">
        <v>32</v>
      </c>
      <c r="T523" t="s">
        <v>32</v>
      </c>
      <c r="U523" t="s">
        <v>32</v>
      </c>
      <c r="V523" t="s">
        <v>1039</v>
      </c>
      <c r="W523" t="s">
        <v>32</v>
      </c>
      <c r="X523" t="s">
        <v>515</v>
      </c>
      <c r="Y523" t="s">
        <v>97</v>
      </c>
      <c r="Z523" t="s">
        <v>126</v>
      </c>
      <c r="AA523" t="s">
        <v>6381</v>
      </c>
      <c r="AB523" t="s">
        <v>2128</v>
      </c>
      <c r="AC523" t="s">
        <v>6382</v>
      </c>
      <c r="AD523" t="s">
        <v>6383</v>
      </c>
      <c r="AE523" t="s">
        <v>3390</v>
      </c>
      <c r="AF523" t="s">
        <v>46835</v>
      </c>
    </row>
    <row r="524" spans="1:32" x14ac:dyDescent="0.2">
      <c r="A524">
        <v>519</v>
      </c>
      <c r="B524" t="s">
        <v>6384</v>
      </c>
      <c r="C524" t="s">
        <v>6385</v>
      </c>
      <c r="D524" t="s">
        <v>6386</v>
      </c>
      <c r="E524" t="s">
        <v>6387</v>
      </c>
      <c r="F524" t="s">
        <v>6388</v>
      </c>
      <c r="G524" t="s">
        <v>6389</v>
      </c>
      <c r="H524" t="str">
        <f>"Rpl36a"</f>
        <v>Rpl36a</v>
      </c>
      <c r="I524" t="s">
        <v>6390</v>
      </c>
      <c r="J524" t="s">
        <v>37</v>
      </c>
      <c r="K524">
        <v>10090</v>
      </c>
      <c r="L524" s="3" t="str">
        <f>HYPERLINK("http://www.uniprot.org/uniprot/P83882", "P83882")</f>
        <v>P83882</v>
      </c>
      <c r="M524" t="s">
        <v>6391</v>
      </c>
      <c r="N524" t="str">
        <f>"Rpl36a"</f>
        <v>Rpl36a</v>
      </c>
      <c r="O524" s="3" t="str">
        <f>HYPERLINK("http://www.informatics.jax.org/marker/MGI:1201789", "MGI:1201789")</f>
        <v>MGI:1201789</v>
      </c>
      <c r="P524" t="s">
        <v>2067</v>
      </c>
      <c r="Q524" t="s">
        <v>32</v>
      </c>
      <c r="R524" t="s">
        <v>418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447</v>
      </c>
      <c r="Y524" t="s">
        <v>32</v>
      </c>
      <c r="Z524" t="s">
        <v>126</v>
      </c>
      <c r="AA524" t="s">
        <v>1405</v>
      </c>
      <c r="AB524" t="s">
        <v>6392</v>
      </c>
      <c r="AC524" t="s">
        <v>1010</v>
      </c>
      <c r="AD524" t="s">
        <v>32</v>
      </c>
      <c r="AE524" t="s">
        <v>765</v>
      </c>
      <c r="AF524" t="s">
        <v>46835</v>
      </c>
    </row>
    <row r="525" spans="1:32" x14ac:dyDescent="0.2">
      <c r="A525">
        <v>520</v>
      </c>
      <c r="B525" t="s">
        <v>6393</v>
      </c>
      <c r="C525" t="s">
        <v>6394</v>
      </c>
      <c r="D525" t="s">
        <v>32</v>
      </c>
      <c r="E525" t="s">
        <v>6395</v>
      </c>
      <c r="F525" t="s">
        <v>6396</v>
      </c>
      <c r="G525" t="s">
        <v>32</v>
      </c>
      <c r="H525" t="str">
        <f>"Rcl1"</f>
        <v>Rcl1</v>
      </c>
      <c r="I525" t="s">
        <v>6397</v>
      </c>
      <c r="J525" t="s">
        <v>37</v>
      </c>
      <c r="K525">
        <v>10090</v>
      </c>
      <c r="L525" s="3" t="str">
        <f>HYPERLINK("http://www.uniprot.org/uniprot/Q9JJT0", "Q9JJT0")</f>
        <v>Q9JJT0</v>
      </c>
      <c r="M525" t="s">
        <v>6398</v>
      </c>
      <c r="N525" t="str">
        <f>"Rcl1"</f>
        <v>Rcl1</v>
      </c>
      <c r="O525" s="3" t="str">
        <f>HYPERLINK("http://www.informatics.jax.org/marker/MGI:1913275", "MGI:1913275")</f>
        <v>MGI:1913275</v>
      </c>
      <c r="P525" t="s">
        <v>6399</v>
      </c>
      <c r="Q525" t="s">
        <v>6400</v>
      </c>
      <c r="R525" t="s">
        <v>2279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32</v>
      </c>
      <c r="Y525" t="s">
        <v>32</v>
      </c>
      <c r="Z525" t="s">
        <v>32</v>
      </c>
      <c r="AA525" t="s">
        <v>6401</v>
      </c>
      <c r="AB525" t="s">
        <v>6402</v>
      </c>
      <c r="AC525" t="s">
        <v>6403</v>
      </c>
      <c r="AD525" t="s">
        <v>32</v>
      </c>
      <c r="AE525" t="s">
        <v>960</v>
      </c>
      <c r="AF525" t="s">
        <v>46835</v>
      </c>
    </row>
    <row r="526" spans="1:32" x14ac:dyDescent="0.2">
      <c r="A526">
        <v>521</v>
      </c>
      <c r="B526" t="s">
        <v>6404</v>
      </c>
      <c r="C526" t="s">
        <v>6405</v>
      </c>
      <c r="D526" t="s">
        <v>6406</v>
      </c>
      <c r="E526" t="s">
        <v>6407</v>
      </c>
      <c r="F526" t="s">
        <v>6408</v>
      </c>
      <c r="G526" t="s">
        <v>6409</v>
      </c>
      <c r="H526" t="str">
        <f>"Dnajc7"</f>
        <v>Dnajc7</v>
      </c>
      <c r="I526" t="s">
        <v>6410</v>
      </c>
      <c r="J526" t="s">
        <v>37</v>
      </c>
      <c r="K526">
        <v>10090</v>
      </c>
      <c r="L526" s="3" t="str">
        <f>HYPERLINK("http://www.uniprot.org/uniprot/Q9QYI3", "Q9QYI3")</f>
        <v>Q9QYI3</v>
      </c>
      <c r="M526" t="s">
        <v>6411</v>
      </c>
      <c r="N526" t="str">
        <f>"Dnajc7"</f>
        <v>Dnajc7</v>
      </c>
      <c r="O526" s="3" t="str">
        <f>HYPERLINK("http://www.informatics.jax.org/marker/MGI:1928373", "MGI:1928373")</f>
        <v>MGI:1928373</v>
      </c>
      <c r="P526" t="s">
        <v>6412</v>
      </c>
      <c r="Q526" t="s">
        <v>32</v>
      </c>
      <c r="R526" t="s">
        <v>324</v>
      </c>
      <c r="S526" t="s">
        <v>32</v>
      </c>
      <c r="T526" t="s">
        <v>32</v>
      </c>
      <c r="U526" t="s">
        <v>32</v>
      </c>
      <c r="V526" t="s">
        <v>995</v>
      </c>
      <c r="W526" t="s">
        <v>32</v>
      </c>
      <c r="X526" t="s">
        <v>388</v>
      </c>
      <c r="Y526" t="s">
        <v>157</v>
      </c>
      <c r="Z526" t="s">
        <v>32</v>
      </c>
      <c r="AA526" t="s">
        <v>6413</v>
      </c>
      <c r="AB526" t="s">
        <v>6414</v>
      </c>
      <c r="AC526" t="s">
        <v>6415</v>
      </c>
      <c r="AD526" t="s">
        <v>32</v>
      </c>
      <c r="AE526" t="s">
        <v>32</v>
      </c>
      <c r="AF526" t="s">
        <v>46835</v>
      </c>
    </row>
    <row r="527" spans="1:32" x14ac:dyDescent="0.2">
      <c r="A527">
        <v>522</v>
      </c>
      <c r="B527" t="s">
        <v>6416</v>
      </c>
      <c r="C527" t="s">
        <v>6417</v>
      </c>
      <c r="D527" t="s">
        <v>32</v>
      </c>
      <c r="E527" t="s">
        <v>6418</v>
      </c>
      <c r="F527" t="s">
        <v>6419</v>
      </c>
      <c r="G527" t="s">
        <v>6420</v>
      </c>
      <c r="H527" t="str">
        <f>"Nutf2"</f>
        <v>Nutf2</v>
      </c>
      <c r="I527" t="s">
        <v>32</v>
      </c>
      <c r="J527" t="s">
        <v>37</v>
      </c>
      <c r="K527">
        <v>10090</v>
      </c>
      <c r="L527" s="3" t="str">
        <f>HYPERLINK("http://www.uniprot.org/uniprot/P61971", "P61971")</f>
        <v>P61971</v>
      </c>
      <c r="M527" t="s">
        <v>6421</v>
      </c>
      <c r="N527" t="str">
        <f>"Nutf2"</f>
        <v>Nutf2</v>
      </c>
      <c r="O527" s="3" t="str">
        <f>HYPERLINK("http://www.informatics.jax.org/marker/MGI:1915301", "MGI:1915301")</f>
        <v>MGI:1915301</v>
      </c>
      <c r="P527" t="s">
        <v>6422</v>
      </c>
      <c r="Q527" t="s">
        <v>6423</v>
      </c>
      <c r="R527" t="s">
        <v>6424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32</v>
      </c>
      <c r="Y527" t="s">
        <v>78</v>
      </c>
      <c r="Z527" t="s">
        <v>32</v>
      </c>
      <c r="AA527" t="s">
        <v>6425</v>
      </c>
      <c r="AB527" t="s">
        <v>6426</v>
      </c>
      <c r="AC527" t="s">
        <v>6427</v>
      </c>
      <c r="AD527" t="s">
        <v>32</v>
      </c>
      <c r="AE527" t="s">
        <v>32</v>
      </c>
      <c r="AF527" t="s">
        <v>46835</v>
      </c>
    </row>
    <row r="528" spans="1:32" x14ac:dyDescent="0.2">
      <c r="A528">
        <v>523</v>
      </c>
      <c r="B528" t="s">
        <v>6428</v>
      </c>
      <c r="C528" t="s">
        <v>6429</v>
      </c>
      <c r="D528" t="s">
        <v>6430</v>
      </c>
      <c r="E528" t="s">
        <v>6431</v>
      </c>
      <c r="F528" t="s">
        <v>6432</v>
      </c>
      <c r="G528" t="s">
        <v>6433</v>
      </c>
      <c r="H528" t="str">
        <f>"Ranbp1"</f>
        <v>Ranbp1</v>
      </c>
      <c r="I528" t="s">
        <v>6434</v>
      </c>
      <c r="J528" t="s">
        <v>37</v>
      </c>
      <c r="K528">
        <v>10090</v>
      </c>
      <c r="L528" s="3" t="str">
        <f>HYPERLINK("http://www.uniprot.org/uniprot/P34022", "P34022")</f>
        <v>P34022</v>
      </c>
      <c r="M528" t="s">
        <v>6435</v>
      </c>
      <c r="N528" t="str">
        <f>"Ranbp1"</f>
        <v>Ranbp1</v>
      </c>
      <c r="O528" s="3" t="str">
        <f>HYPERLINK("http://www.informatics.jax.org/marker/MGI:96269", "MGI:96269")</f>
        <v>MGI:96269</v>
      </c>
      <c r="P528" t="s">
        <v>6436</v>
      </c>
      <c r="Q528" t="s">
        <v>32</v>
      </c>
      <c r="R528" t="s">
        <v>32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715</v>
      </c>
      <c r="Y528" t="s">
        <v>157</v>
      </c>
      <c r="Z528" t="s">
        <v>32</v>
      </c>
      <c r="AA528" t="s">
        <v>6437</v>
      </c>
      <c r="AB528" t="s">
        <v>6438</v>
      </c>
      <c r="AC528" t="s">
        <v>6439</v>
      </c>
      <c r="AD528" t="s">
        <v>32</v>
      </c>
      <c r="AE528" t="s">
        <v>32</v>
      </c>
      <c r="AF528" t="s">
        <v>46835</v>
      </c>
    </row>
    <row r="529" spans="1:33" x14ac:dyDescent="0.2">
      <c r="A529">
        <v>524</v>
      </c>
      <c r="B529" t="s">
        <v>6440</v>
      </c>
      <c r="C529" t="s">
        <v>6441</v>
      </c>
      <c r="D529" t="s">
        <v>6442</v>
      </c>
      <c r="E529" t="s">
        <v>6443</v>
      </c>
      <c r="F529" t="s">
        <v>6444</v>
      </c>
      <c r="G529" t="s">
        <v>6445</v>
      </c>
      <c r="H529" t="str">
        <f>"Ndrg1"</f>
        <v>Ndrg1</v>
      </c>
      <c r="I529" t="s">
        <v>6446</v>
      </c>
      <c r="J529" t="s">
        <v>37</v>
      </c>
      <c r="K529">
        <v>10090</v>
      </c>
      <c r="L529" s="3" t="str">
        <f>HYPERLINK("http://www.uniprot.org/uniprot/Q62433", "Q62433")</f>
        <v>Q62433</v>
      </c>
      <c r="M529" t="s">
        <v>6447</v>
      </c>
      <c r="N529" t="str">
        <f>"Ndrg1"</f>
        <v>Ndrg1</v>
      </c>
      <c r="O529" s="3" t="str">
        <f>HYPERLINK("http://www.informatics.jax.org/marker/MGI:1341799", "MGI:1341799")</f>
        <v>MGI:1341799</v>
      </c>
      <c r="P529" t="s">
        <v>6448</v>
      </c>
      <c r="Q529" t="s">
        <v>32</v>
      </c>
      <c r="R529" t="s">
        <v>6449</v>
      </c>
      <c r="S529" t="s">
        <v>32</v>
      </c>
      <c r="T529" t="s">
        <v>32</v>
      </c>
      <c r="U529" t="s">
        <v>32</v>
      </c>
      <c r="V529" t="s">
        <v>55</v>
      </c>
      <c r="W529" t="s">
        <v>32</v>
      </c>
      <c r="X529" t="s">
        <v>32</v>
      </c>
      <c r="Y529" t="s">
        <v>157</v>
      </c>
      <c r="Z529" t="s">
        <v>32</v>
      </c>
      <c r="AA529" t="s">
        <v>6450</v>
      </c>
      <c r="AB529" t="s">
        <v>6451</v>
      </c>
      <c r="AC529" t="s">
        <v>6452</v>
      </c>
      <c r="AD529" t="s">
        <v>32</v>
      </c>
      <c r="AE529" t="s">
        <v>32</v>
      </c>
      <c r="AF529" t="s">
        <v>46835</v>
      </c>
    </row>
    <row r="530" spans="1:33" x14ac:dyDescent="0.2">
      <c r="A530">
        <v>525</v>
      </c>
      <c r="B530" t="s">
        <v>6453</v>
      </c>
      <c r="C530" t="s">
        <v>6454</v>
      </c>
      <c r="D530" t="s">
        <v>6455</v>
      </c>
      <c r="E530" t="s">
        <v>6456</v>
      </c>
      <c r="F530" t="s">
        <v>6457</v>
      </c>
      <c r="G530" t="s">
        <v>6458</v>
      </c>
      <c r="H530" t="str">
        <f>"Sdha"</f>
        <v>Sdha</v>
      </c>
      <c r="I530" t="s">
        <v>32</v>
      </c>
      <c r="J530" t="s">
        <v>37</v>
      </c>
      <c r="K530">
        <v>10090</v>
      </c>
      <c r="L530" s="3" t="str">
        <f>HYPERLINK("http://www.uniprot.org/uniprot/Q8K2B3", "Q8K2B3")</f>
        <v>Q8K2B3</v>
      </c>
      <c r="M530" t="s">
        <v>6459</v>
      </c>
      <c r="N530" t="str">
        <f>"Sdha"</f>
        <v>Sdha</v>
      </c>
      <c r="O530" s="3" t="str">
        <f>HYPERLINK("http://www.informatics.jax.org/marker/MGI:1914195", "MGI:1914195")</f>
        <v>MGI:1914195</v>
      </c>
      <c r="P530" t="s">
        <v>6460</v>
      </c>
      <c r="Q530" t="s">
        <v>6461</v>
      </c>
      <c r="R530" t="s">
        <v>3858</v>
      </c>
      <c r="S530" t="s">
        <v>32</v>
      </c>
      <c r="T530" t="s">
        <v>32</v>
      </c>
      <c r="U530" t="s">
        <v>1636</v>
      </c>
      <c r="V530" t="s">
        <v>1039</v>
      </c>
      <c r="W530" t="s">
        <v>4600</v>
      </c>
      <c r="X530" t="s">
        <v>600</v>
      </c>
      <c r="Y530" t="s">
        <v>157</v>
      </c>
      <c r="Z530" t="s">
        <v>32</v>
      </c>
      <c r="AA530" t="s">
        <v>6462</v>
      </c>
      <c r="AB530" t="s">
        <v>6463</v>
      </c>
      <c r="AC530" t="s">
        <v>6464</v>
      </c>
      <c r="AD530" t="s">
        <v>6465</v>
      </c>
      <c r="AE530" t="s">
        <v>3390</v>
      </c>
      <c r="AF530" t="s">
        <v>46835</v>
      </c>
    </row>
    <row r="531" spans="1:33" x14ac:dyDescent="0.2">
      <c r="A531">
        <v>526</v>
      </c>
      <c r="B531" t="s">
        <v>6466</v>
      </c>
      <c r="C531" t="s">
        <v>6467</v>
      </c>
      <c r="D531" t="s">
        <v>32</v>
      </c>
      <c r="E531" t="s">
        <v>6468</v>
      </c>
      <c r="F531" t="s">
        <v>6469</v>
      </c>
      <c r="G531" t="s">
        <v>32</v>
      </c>
      <c r="H531" t="str">
        <f>"G6pdx"</f>
        <v>G6pdx</v>
      </c>
      <c r="I531" t="s">
        <v>6470</v>
      </c>
      <c r="J531" t="s">
        <v>37</v>
      </c>
      <c r="K531">
        <v>10090</v>
      </c>
      <c r="L531" s="3" t="str">
        <f>HYPERLINK("http://www.uniprot.org/uniprot/Q00612", "Q00612")</f>
        <v>Q00612</v>
      </c>
      <c r="M531" t="s">
        <v>6471</v>
      </c>
      <c r="N531" t="str">
        <f>"G6pdx"</f>
        <v>G6pdx</v>
      </c>
      <c r="O531" s="3" t="str">
        <f>HYPERLINK("http://www.informatics.jax.org/marker/MGI:105979", "MGI:105979")</f>
        <v>MGI:105979</v>
      </c>
      <c r="P531" t="s">
        <v>6472</v>
      </c>
      <c r="Q531" t="s">
        <v>3553</v>
      </c>
      <c r="R531" t="s">
        <v>714</v>
      </c>
      <c r="S531" t="s">
        <v>32</v>
      </c>
      <c r="T531" t="s">
        <v>32</v>
      </c>
      <c r="U531" t="s">
        <v>32</v>
      </c>
      <c r="V531" t="s">
        <v>32</v>
      </c>
      <c r="W531" t="s">
        <v>3204</v>
      </c>
      <c r="X531" t="s">
        <v>600</v>
      </c>
      <c r="Y531" t="s">
        <v>157</v>
      </c>
      <c r="Z531" t="s">
        <v>32</v>
      </c>
      <c r="AA531" t="s">
        <v>6473</v>
      </c>
      <c r="AB531" t="s">
        <v>6474</v>
      </c>
      <c r="AC531" t="s">
        <v>6475</v>
      </c>
      <c r="AD531" t="s">
        <v>6476</v>
      </c>
      <c r="AE531" t="s">
        <v>6477</v>
      </c>
      <c r="AF531" t="s">
        <v>46835</v>
      </c>
    </row>
    <row r="532" spans="1:33" x14ac:dyDescent="0.2">
      <c r="A532">
        <v>527</v>
      </c>
      <c r="B532" t="s">
        <v>6478</v>
      </c>
      <c r="C532" t="s">
        <v>6479</v>
      </c>
      <c r="D532" t="s">
        <v>6480</v>
      </c>
      <c r="E532" t="s">
        <v>6481</v>
      </c>
      <c r="F532" t="s">
        <v>6482</v>
      </c>
      <c r="G532" t="s">
        <v>32</v>
      </c>
      <c r="H532" t="str">
        <f>"Hint1"</f>
        <v>Hint1</v>
      </c>
      <c r="I532" t="s">
        <v>6483</v>
      </c>
      <c r="J532" t="s">
        <v>37</v>
      </c>
      <c r="K532">
        <v>10090</v>
      </c>
      <c r="L532" s="3" t="str">
        <f>HYPERLINK("http://www.uniprot.org/uniprot/P70349", "P70349")</f>
        <v>P70349</v>
      </c>
      <c r="M532" t="s">
        <v>6484</v>
      </c>
      <c r="N532" t="str">
        <f>"Hint1"</f>
        <v>Hint1</v>
      </c>
      <c r="O532" s="3" t="str">
        <f>HYPERLINK("http://www.informatics.jax.org/marker/MGI:1321133", "MGI:1321133")</f>
        <v>MGI:1321133</v>
      </c>
      <c r="P532" t="s">
        <v>6485</v>
      </c>
      <c r="Q532" t="s">
        <v>6486</v>
      </c>
      <c r="R532" t="s">
        <v>40</v>
      </c>
      <c r="S532" t="s">
        <v>32</v>
      </c>
      <c r="T532" t="s">
        <v>32</v>
      </c>
      <c r="U532" t="s">
        <v>32</v>
      </c>
      <c r="V532" t="s">
        <v>32</v>
      </c>
      <c r="W532" t="s">
        <v>5169</v>
      </c>
      <c r="X532" t="s">
        <v>557</v>
      </c>
      <c r="Y532" t="s">
        <v>157</v>
      </c>
      <c r="Z532" t="s">
        <v>32</v>
      </c>
      <c r="AA532" t="s">
        <v>6487</v>
      </c>
      <c r="AB532" t="s">
        <v>6488</v>
      </c>
      <c r="AC532" t="s">
        <v>6489</v>
      </c>
      <c r="AD532" t="s">
        <v>32</v>
      </c>
      <c r="AE532" t="s">
        <v>32</v>
      </c>
      <c r="AF532" t="s">
        <v>46835</v>
      </c>
    </row>
    <row r="533" spans="1:33" x14ac:dyDescent="0.2">
      <c r="A533">
        <v>528</v>
      </c>
      <c r="B533" t="s">
        <v>6490</v>
      </c>
      <c r="C533" t="s">
        <v>6491</v>
      </c>
      <c r="D533" t="s">
        <v>6492</v>
      </c>
      <c r="E533" t="s">
        <v>6493</v>
      </c>
      <c r="F533" t="s">
        <v>6494</v>
      </c>
      <c r="G533" t="s">
        <v>6495</v>
      </c>
      <c r="H533" t="str">
        <f>"Vapa"</f>
        <v>Vapa</v>
      </c>
      <c r="I533" t="s">
        <v>6496</v>
      </c>
      <c r="J533" t="s">
        <v>37</v>
      </c>
      <c r="K533">
        <v>10090</v>
      </c>
      <c r="L533" s="3" t="str">
        <f>HYPERLINK("http://www.uniprot.org/uniprot/Q9WV55", "Q9WV55")</f>
        <v>Q9WV55</v>
      </c>
      <c r="M533" t="s">
        <v>6497</v>
      </c>
      <c r="N533" t="str">
        <f>"Vapa"</f>
        <v>Vapa</v>
      </c>
      <c r="O533" s="3" t="str">
        <f>HYPERLINK("http://www.informatics.jax.org/marker/MGI:1353561", "MGI:1353561")</f>
        <v>MGI:1353561</v>
      </c>
      <c r="P533" t="s">
        <v>6498</v>
      </c>
      <c r="Q533" t="s">
        <v>32</v>
      </c>
      <c r="R533" t="s">
        <v>6499</v>
      </c>
      <c r="S533" t="s">
        <v>32</v>
      </c>
      <c r="T533" t="s">
        <v>32</v>
      </c>
      <c r="U533" t="s">
        <v>32</v>
      </c>
      <c r="V533" t="s">
        <v>6500</v>
      </c>
      <c r="W533" t="s">
        <v>32</v>
      </c>
      <c r="X533" t="s">
        <v>32</v>
      </c>
      <c r="Y533" t="s">
        <v>157</v>
      </c>
      <c r="Z533" t="s">
        <v>126</v>
      </c>
      <c r="AA533" t="s">
        <v>6501</v>
      </c>
      <c r="AB533" t="s">
        <v>6502</v>
      </c>
      <c r="AC533" t="s">
        <v>6503</v>
      </c>
      <c r="AD533" t="s">
        <v>32</v>
      </c>
      <c r="AE533" t="s">
        <v>6504</v>
      </c>
      <c r="AF533" t="s">
        <v>46835</v>
      </c>
    </row>
    <row r="534" spans="1:33" x14ac:dyDescent="0.2">
      <c r="A534">
        <v>529</v>
      </c>
      <c r="B534" t="s">
        <v>6505</v>
      </c>
      <c r="C534" t="s">
        <v>6506</v>
      </c>
      <c r="D534" t="s">
        <v>6507</v>
      </c>
      <c r="E534" t="s">
        <v>6508</v>
      </c>
      <c r="F534" t="s">
        <v>6509</v>
      </c>
      <c r="G534" t="s">
        <v>6510</v>
      </c>
      <c r="H534" t="str">
        <f>"Hip1"</f>
        <v>Hip1</v>
      </c>
      <c r="I534" t="s">
        <v>32</v>
      </c>
      <c r="J534" t="s">
        <v>37</v>
      </c>
      <c r="K534">
        <v>10090</v>
      </c>
      <c r="L534" s="3" t="str">
        <f>HYPERLINK("http://www.uniprot.org/uniprot/Q8VD75", "Q8VD75")</f>
        <v>Q8VD75</v>
      </c>
      <c r="M534" t="s">
        <v>6511</v>
      </c>
      <c r="N534" t="str">
        <f>"Hip1"</f>
        <v>Hip1</v>
      </c>
      <c r="O534" s="3" t="str">
        <f>HYPERLINK("http://www.informatics.jax.org/marker/MGI:1099804", "MGI:1099804")</f>
        <v>MGI:1099804</v>
      </c>
      <c r="P534" t="s">
        <v>6512</v>
      </c>
      <c r="Q534" t="s">
        <v>6513</v>
      </c>
      <c r="R534" t="s">
        <v>6514</v>
      </c>
      <c r="S534" t="s">
        <v>32</v>
      </c>
      <c r="T534" t="s">
        <v>32</v>
      </c>
      <c r="U534" t="s">
        <v>6515</v>
      </c>
      <c r="V534" t="s">
        <v>290</v>
      </c>
      <c r="W534" t="s">
        <v>32</v>
      </c>
      <c r="X534" t="s">
        <v>6516</v>
      </c>
      <c r="Y534" t="s">
        <v>618</v>
      </c>
      <c r="Z534" t="s">
        <v>32</v>
      </c>
      <c r="AA534" t="s">
        <v>6517</v>
      </c>
      <c r="AB534" t="s">
        <v>6518</v>
      </c>
      <c r="AC534" t="s">
        <v>6519</v>
      </c>
      <c r="AD534" t="s">
        <v>32</v>
      </c>
      <c r="AE534" t="s">
        <v>4859</v>
      </c>
      <c r="AF534" t="s">
        <v>46835</v>
      </c>
    </row>
    <row r="535" spans="1:33" x14ac:dyDescent="0.2">
      <c r="A535">
        <v>530</v>
      </c>
      <c r="B535" t="s">
        <v>6520</v>
      </c>
      <c r="C535" t="s">
        <v>6521</v>
      </c>
      <c r="D535" t="s">
        <v>32</v>
      </c>
      <c r="E535" t="s">
        <v>6522</v>
      </c>
      <c r="F535" t="s">
        <v>6523</v>
      </c>
      <c r="G535" t="s">
        <v>6524</v>
      </c>
      <c r="H535" t="str">
        <f>"Tardbp"</f>
        <v>Tardbp</v>
      </c>
      <c r="I535" t="s">
        <v>6525</v>
      </c>
      <c r="J535" t="s">
        <v>37</v>
      </c>
      <c r="K535">
        <v>10090</v>
      </c>
      <c r="L535" s="3" t="str">
        <f>HYPERLINK("http://www.uniprot.org/uniprot/Q921F2", "Q921F2")</f>
        <v>Q921F2</v>
      </c>
      <c r="M535" t="s">
        <v>6526</v>
      </c>
      <c r="N535" t="str">
        <f>"Tardbp"</f>
        <v>Tardbp</v>
      </c>
      <c r="O535" s="3" t="str">
        <f>HYPERLINK("http://www.informatics.jax.org/marker/MGI:2387629", "MGI:2387629")</f>
        <v>MGI:2387629</v>
      </c>
      <c r="P535" t="s">
        <v>6527</v>
      </c>
      <c r="Q535" t="s">
        <v>5049</v>
      </c>
      <c r="R535" t="s">
        <v>1021</v>
      </c>
      <c r="S535" t="s">
        <v>32</v>
      </c>
      <c r="T535" t="s">
        <v>32</v>
      </c>
      <c r="U535" t="s">
        <v>32</v>
      </c>
      <c r="V535" t="s">
        <v>55</v>
      </c>
      <c r="W535" t="s">
        <v>32</v>
      </c>
      <c r="X535" t="s">
        <v>5759</v>
      </c>
      <c r="Y535" t="s">
        <v>2192</v>
      </c>
      <c r="Z535" t="s">
        <v>126</v>
      </c>
      <c r="AA535" t="s">
        <v>6528</v>
      </c>
      <c r="AB535" t="s">
        <v>6529</v>
      </c>
      <c r="AC535" t="s">
        <v>6530</v>
      </c>
      <c r="AD535" t="s">
        <v>32</v>
      </c>
      <c r="AE535" t="s">
        <v>32</v>
      </c>
      <c r="AF535" t="s">
        <v>46835</v>
      </c>
    </row>
    <row r="536" spans="1:33" x14ac:dyDescent="0.2">
      <c r="A536">
        <v>531</v>
      </c>
      <c r="B536" t="s">
        <v>6531</v>
      </c>
      <c r="C536" t="s">
        <v>6532</v>
      </c>
      <c r="D536" t="s">
        <v>32</v>
      </c>
      <c r="E536" t="s">
        <v>6533</v>
      </c>
      <c r="F536" t="s">
        <v>6534</v>
      </c>
      <c r="G536" t="s">
        <v>6535</v>
      </c>
      <c r="H536" t="str">
        <f>"Rps21"</f>
        <v>Rps21</v>
      </c>
      <c r="I536" t="s">
        <v>32</v>
      </c>
      <c r="J536" t="s">
        <v>37</v>
      </c>
      <c r="K536">
        <v>10090</v>
      </c>
      <c r="L536" s="3" t="str">
        <f>HYPERLINK("http://www.uniprot.org/uniprot/Q9CQR2", "Q9CQR2")</f>
        <v>Q9CQR2</v>
      </c>
      <c r="M536" t="s">
        <v>6536</v>
      </c>
      <c r="N536" t="str">
        <f>"Rps21"</f>
        <v>Rps21</v>
      </c>
      <c r="O536" s="3" t="str">
        <f>HYPERLINK("http://www.informatics.jax.org/marker/MGI:1913731", "MGI:1913731")</f>
        <v>MGI:1913731</v>
      </c>
      <c r="P536" t="s">
        <v>2182</v>
      </c>
      <c r="Q536" t="s">
        <v>32</v>
      </c>
      <c r="R536" t="s">
        <v>874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447</v>
      </c>
      <c r="Y536" t="s">
        <v>78</v>
      </c>
      <c r="Z536" t="s">
        <v>126</v>
      </c>
      <c r="AA536" t="s">
        <v>6537</v>
      </c>
      <c r="AB536" t="s">
        <v>6538</v>
      </c>
      <c r="AC536" t="s">
        <v>6539</v>
      </c>
      <c r="AD536" t="s">
        <v>32</v>
      </c>
      <c r="AE536" t="s">
        <v>691</v>
      </c>
      <c r="AF536" t="s">
        <v>46835</v>
      </c>
    </row>
    <row r="537" spans="1:33" x14ac:dyDescent="0.2">
      <c r="A537">
        <v>532</v>
      </c>
      <c r="B537" t="s">
        <v>6540</v>
      </c>
      <c r="C537" t="s">
        <v>6541</v>
      </c>
      <c r="D537" t="s">
        <v>32</v>
      </c>
      <c r="E537" t="s">
        <v>6542</v>
      </c>
      <c r="F537" t="s">
        <v>6543</v>
      </c>
      <c r="G537" t="s">
        <v>6544</v>
      </c>
      <c r="H537" t="str">
        <f>"Pygl"</f>
        <v>Pygl</v>
      </c>
      <c r="I537" t="s">
        <v>32</v>
      </c>
      <c r="J537" t="s">
        <v>37</v>
      </c>
      <c r="K537">
        <v>10090</v>
      </c>
      <c r="L537" s="3" t="str">
        <f>HYPERLINK("http://www.uniprot.org/uniprot/Q9ET01", "Q9ET01")</f>
        <v>Q9ET01</v>
      </c>
      <c r="M537" t="s">
        <v>6545</v>
      </c>
      <c r="N537" t="str">
        <f>"Pygl"</f>
        <v>Pygl</v>
      </c>
      <c r="O537" s="3" t="str">
        <f>HYPERLINK("http://www.informatics.jax.org/marker/MGI:97829", "MGI:97829")</f>
        <v>MGI:97829</v>
      </c>
      <c r="P537" t="s">
        <v>6546</v>
      </c>
      <c r="Q537" t="s">
        <v>1718</v>
      </c>
      <c r="R537" t="s">
        <v>418</v>
      </c>
      <c r="S537" t="s">
        <v>32</v>
      </c>
      <c r="T537" t="s">
        <v>32</v>
      </c>
      <c r="U537" t="s">
        <v>32</v>
      </c>
      <c r="V537" t="s">
        <v>32</v>
      </c>
      <c r="W537" t="s">
        <v>1719</v>
      </c>
      <c r="X537" t="s">
        <v>1720</v>
      </c>
      <c r="Y537" t="s">
        <v>157</v>
      </c>
      <c r="Z537" t="s">
        <v>32</v>
      </c>
      <c r="AA537" t="s">
        <v>6547</v>
      </c>
      <c r="AB537" t="s">
        <v>2206</v>
      </c>
      <c r="AC537" t="s">
        <v>6548</v>
      </c>
      <c r="AD537" t="s">
        <v>32</v>
      </c>
      <c r="AE537" t="s">
        <v>6549</v>
      </c>
      <c r="AF537" t="s">
        <v>46835</v>
      </c>
    </row>
    <row r="538" spans="1:33" x14ac:dyDescent="0.2">
      <c r="A538">
        <v>533</v>
      </c>
      <c r="B538" t="s">
        <v>6550</v>
      </c>
      <c r="C538" t="s">
        <v>6551</v>
      </c>
      <c r="D538" t="s">
        <v>6552</v>
      </c>
      <c r="E538" t="s">
        <v>6553</v>
      </c>
      <c r="F538" t="s">
        <v>6554</v>
      </c>
      <c r="G538" t="s">
        <v>6555</v>
      </c>
      <c r="H538" t="str">
        <f>"Vps29"</f>
        <v>Vps29</v>
      </c>
      <c r="I538" t="s">
        <v>32</v>
      </c>
      <c r="J538" t="s">
        <v>37</v>
      </c>
      <c r="K538">
        <v>10090</v>
      </c>
      <c r="L538" s="3" t="str">
        <f>HYPERLINK("http://www.uniprot.org/uniprot/Q9QZ88", "Q9QZ88")</f>
        <v>Q9QZ88</v>
      </c>
      <c r="M538" t="s">
        <v>6556</v>
      </c>
      <c r="N538" t="str">
        <f>"Vps29"</f>
        <v>Vps29</v>
      </c>
      <c r="O538" s="3" t="str">
        <f>HYPERLINK("http://www.informatics.jax.org/marker/MGI:1928344", "MGI:1928344")</f>
        <v>MGI:1928344</v>
      </c>
      <c r="P538" t="s">
        <v>6557</v>
      </c>
      <c r="Q538" t="s">
        <v>434</v>
      </c>
      <c r="R538" t="s">
        <v>6558</v>
      </c>
      <c r="S538" t="s">
        <v>41</v>
      </c>
      <c r="T538" t="s">
        <v>32</v>
      </c>
      <c r="U538" t="s">
        <v>32</v>
      </c>
      <c r="V538" t="s">
        <v>32</v>
      </c>
      <c r="W538" t="s">
        <v>42</v>
      </c>
      <c r="X538" t="s">
        <v>32</v>
      </c>
      <c r="Y538" t="s">
        <v>78</v>
      </c>
      <c r="Z538" t="s">
        <v>126</v>
      </c>
      <c r="AA538" t="s">
        <v>6559</v>
      </c>
      <c r="AB538" t="s">
        <v>6560</v>
      </c>
      <c r="AC538" t="s">
        <v>4525</v>
      </c>
      <c r="AD538" t="s">
        <v>32</v>
      </c>
      <c r="AE538" t="s">
        <v>6561</v>
      </c>
      <c r="AF538" t="s">
        <v>46835</v>
      </c>
    </row>
    <row r="539" spans="1:33" x14ac:dyDescent="0.2">
      <c r="A539">
        <v>534</v>
      </c>
      <c r="B539" t="s">
        <v>6562</v>
      </c>
      <c r="C539" t="s">
        <v>47137</v>
      </c>
      <c r="D539" t="s">
        <v>32</v>
      </c>
      <c r="E539" t="s">
        <v>46854</v>
      </c>
      <c r="F539" t="s">
        <v>46853</v>
      </c>
      <c r="G539" t="s">
        <v>32</v>
      </c>
      <c r="H539" t="s">
        <v>47268</v>
      </c>
      <c r="I539" t="s">
        <v>32</v>
      </c>
      <c r="J539" t="s">
        <v>37</v>
      </c>
      <c r="K539">
        <v>10090</v>
      </c>
      <c r="L539" s="3" t="str">
        <f>HYPERLINK(CONCATENATE("https://www.uniprot.org/uniprotkb/", AG539, "/entry"), AG539)</f>
        <v>Q8BK64</v>
      </c>
      <c r="M539" t="s">
        <v>32</v>
      </c>
      <c r="N539" t="s">
        <v>32</v>
      </c>
      <c r="O539" s="3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t="s">
        <v>46835</v>
      </c>
      <c r="AG539" t="s">
        <v>46853</v>
      </c>
    </row>
    <row r="540" spans="1:33" x14ac:dyDescent="0.2">
      <c r="A540">
        <v>535</v>
      </c>
      <c r="B540" t="s">
        <v>6563</v>
      </c>
      <c r="C540" t="s">
        <v>6564</v>
      </c>
      <c r="D540" t="s">
        <v>6565</v>
      </c>
      <c r="E540" t="s">
        <v>6566</v>
      </c>
      <c r="F540" t="s">
        <v>6567</v>
      </c>
      <c r="G540" t="s">
        <v>32</v>
      </c>
      <c r="H540" t="str">
        <f>"Adprh"</f>
        <v>Adprh</v>
      </c>
      <c r="I540" t="s">
        <v>6568</v>
      </c>
      <c r="J540" t="s">
        <v>37</v>
      </c>
      <c r="K540">
        <v>10090</v>
      </c>
      <c r="L540" s="3" t="str">
        <f>HYPERLINK("http://www.uniprot.org/uniprot/P54923", "P54923")</f>
        <v>P54923</v>
      </c>
      <c r="M540" t="s">
        <v>6569</v>
      </c>
      <c r="N540" t="str">
        <f>"Adprh"</f>
        <v>Adprh</v>
      </c>
      <c r="O540" s="3" t="str">
        <f>HYPERLINK("http://www.informatics.jax.org/marker/MGI:1098234", "MGI:1098234")</f>
        <v>MGI:1098234</v>
      </c>
      <c r="P540" t="s">
        <v>6570</v>
      </c>
      <c r="Q540" t="s">
        <v>32</v>
      </c>
      <c r="R540" t="s">
        <v>32</v>
      </c>
      <c r="S540" t="s">
        <v>32</v>
      </c>
      <c r="T540" t="s">
        <v>32</v>
      </c>
      <c r="U540" t="s">
        <v>32</v>
      </c>
      <c r="V540" t="s">
        <v>32</v>
      </c>
      <c r="W540" t="s">
        <v>223</v>
      </c>
      <c r="X540" t="s">
        <v>343</v>
      </c>
      <c r="Y540" t="s">
        <v>32</v>
      </c>
      <c r="Z540" t="s">
        <v>32</v>
      </c>
      <c r="AA540" t="s">
        <v>6571</v>
      </c>
      <c r="AB540" t="s">
        <v>6572</v>
      </c>
      <c r="AC540" t="s">
        <v>6573</v>
      </c>
      <c r="AD540" t="s">
        <v>32</v>
      </c>
      <c r="AE540" t="s">
        <v>32</v>
      </c>
      <c r="AF540" t="s">
        <v>46835</v>
      </c>
    </row>
    <row r="541" spans="1:33" x14ac:dyDescent="0.2">
      <c r="A541">
        <v>536</v>
      </c>
      <c r="B541" t="s">
        <v>6574</v>
      </c>
      <c r="C541" t="s">
        <v>6575</v>
      </c>
      <c r="D541" t="s">
        <v>6576</v>
      </c>
      <c r="E541" t="s">
        <v>6577</v>
      </c>
      <c r="F541" t="s">
        <v>6578</v>
      </c>
      <c r="G541" t="s">
        <v>6579</v>
      </c>
      <c r="H541" t="str">
        <f>"Herc4"</f>
        <v>Herc4</v>
      </c>
      <c r="I541" t="s">
        <v>32</v>
      </c>
      <c r="J541" t="s">
        <v>37</v>
      </c>
      <c r="K541">
        <v>10090</v>
      </c>
      <c r="L541" s="3" t="str">
        <f>HYPERLINK("http://www.uniprot.org/uniprot/Q6PAV2", "Q6PAV2")</f>
        <v>Q6PAV2</v>
      </c>
      <c r="M541" t="s">
        <v>6580</v>
      </c>
      <c r="N541" t="str">
        <f>"Herc4"</f>
        <v>Herc4</v>
      </c>
      <c r="O541" s="3" t="str">
        <f>HYPERLINK("http://www.informatics.jax.org/marker/MGI:1914595", "MGI:1914595")</f>
        <v>MGI:1914595</v>
      </c>
      <c r="P541" t="s">
        <v>6581</v>
      </c>
      <c r="Q541" t="s">
        <v>6582</v>
      </c>
      <c r="R541" t="s">
        <v>418</v>
      </c>
      <c r="S541" t="s">
        <v>41</v>
      </c>
      <c r="T541" t="s">
        <v>32</v>
      </c>
      <c r="U541" t="s">
        <v>32</v>
      </c>
      <c r="V541" t="s">
        <v>55</v>
      </c>
      <c r="W541" t="s">
        <v>32</v>
      </c>
      <c r="X541" t="s">
        <v>515</v>
      </c>
      <c r="Y541" t="s">
        <v>32</v>
      </c>
      <c r="Z541" t="s">
        <v>32</v>
      </c>
      <c r="AA541" t="s">
        <v>6583</v>
      </c>
      <c r="AB541" t="s">
        <v>6584</v>
      </c>
      <c r="AC541" t="s">
        <v>6585</v>
      </c>
      <c r="AD541" t="s">
        <v>1027</v>
      </c>
      <c r="AE541" t="s">
        <v>4220</v>
      </c>
      <c r="AF541" t="s">
        <v>46835</v>
      </c>
    </row>
    <row r="542" spans="1:33" x14ac:dyDescent="0.2">
      <c r="A542">
        <v>537</v>
      </c>
      <c r="B542" t="s">
        <v>6586</v>
      </c>
      <c r="C542" t="s">
        <v>6587</v>
      </c>
      <c r="D542" t="s">
        <v>6588</v>
      </c>
      <c r="E542" t="s">
        <v>6589</v>
      </c>
      <c r="F542" t="s">
        <v>6590</v>
      </c>
      <c r="G542" t="s">
        <v>6591</v>
      </c>
      <c r="H542" t="str">
        <f>"Lrpprc"</f>
        <v>Lrpprc</v>
      </c>
      <c r="I542" t="s">
        <v>6592</v>
      </c>
      <c r="J542" t="s">
        <v>37</v>
      </c>
      <c r="K542">
        <v>10090</v>
      </c>
      <c r="L542" s="3" t="str">
        <f>HYPERLINK("http://www.uniprot.org/uniprot/Q6PB66", "Q6PB66")</f>
        <v>Q6PB66</v>
      </c>
      <c r="M542" t="s">
        <v>6593</v>
      </c>
      <c r="N542" t="str">
        <f>"Lrpprc"</f>
        <v>Lrpprc</v>
      </c>
      <c r="O542" s="3" t="str">
        <f>HYPERLINK("http://www.informatics.jax.org/marker/MGI:1919666", "MGI:1919666")</f>
        <v>MGI:1919666</v>
      </c>
      <c r="P542" t="s">
        <v>6594</v>
      </c>
      <c r="Q542" t="s">
        <v>6595</v>
      </c>
      <c r="R542" t="s">
        <v>6596</v>
      </c>
      <c r="S542" t="s">
        <v>32</v>
      </c>
      <c r="T542" t="s">
        <v>32</v>
      </c>
      <c r="U542" t="s">
        <v>32</v>
      </c>
      <c r="V542" t="s">
        <v>6597</v>
      </c>
      <c r="W542" t="s">
        <v>32</v>
      </c>
      <c r="X542" t="s">
        <v>956</v>
      </c>
      <c r="Y542" t="s">
        <v>157</v>
      </c>
      <c r="Z542" t="s">
        <v>32</v>
      </c>
      <c r="AA542" t="s">
        <v>6598</v>
      </c>
      <c r="AB542" t="s">
        <v>6599</v>
      </c>
      <c r="AC542" t="s">
        <v>6600</v>
      </c>
      <c r="AD542" t="s">
        <v>32</v>
      </c>
      <c r="AE542" t="s">
        <v>3863</v>
      </c>
      <c r="AF542" t="s">
        <v>46835</v>
      </c>
    </row>
    <row r="543" spans="1:33" x14ac:dyDescent="0.2">
      <c r="A543">
        <v>538</v>
      </c>
      <c r="B543" t="s">
        <v>6601</v>
      </c>
      <c r="C543" t="s">
        <v>6602</v>
      </c>
      <c r="D543" t="s">
        <v>6603</v>
      </c>
      <c r="E543" t="s">
        <v>6604</v>
      </c>
      <c r="F543" t="s">
        <v>6605</v>
      </c>
      <c r="G543" t="s">
        <v>6606</v>
      </c>
      <c r="H543" t="str">
        <f>"Hmgb2"</f>
        <v>Hmgb2</v>
      </c>
      <c r="I543" t="s">
        <v>6607</v>
      </c>
      <c r="J543" t="s">
        <v>37</v>
      </c>
      <c r="K543">
        <v>10090</v>
      </c>
      <c r="L543" s="3" t="str">
        <f>HYPERLINK("http://www.uniprot.org/uniprot/P30681", "P30681")</f>
        <v>P30681</v>
      </c>
      <c r="M543" t="s">
        <v>6608</v>
      </c>
      <c r="N543" t="str">
        <f>"Hmgb2"</f>
        <v>Hmgb2</v>
      </c>
      <c r="O543" s="3" t="str">
        <f>HYPERLINK("http://www.informatics.jax.org/marker/MGI:96157", "MGI:96157")</f>
        <v>MGI:96157</v>
      </c>
      <c r="P543" t="s">
        <v>6609</v>
      </c>
      <c r="Q543" t="s">
        <v>6610</v>
      </c>
      <c r="R543" t="s">
        <v>6611</v>
      </c>
      <c r="S543" t="s">
        <v>32</v>
      </c>
      <c r="T543" t="s">
        <v>32</v>
      </c>
      <c r="U543" t="s">
        <v>32</v>
      </c>
      <c r="V543" t="s">
        <v>55</v>
      </c>
      <c r="W543" t="s">
        <v>32</v>
      </c>
      <c r="X543" t="s">
        <v>247</v>
      </c>
      <c r="Y543" t="s">
        <v>6612</v>
      </c>
      <c r="Z543" t="s">
        <v>32</v>
      </c>
      <c r="AA543" t="s">
        <v>6613</v>
      </c>
      <c r="AB543" t="s">
        <v>6614</v>
      </c>
      <c r="AC543" t="s">
        <v>6615</v>
      </c>
      <c r="AD543" t="s">
        <v>32</v>
      </c>
      <c r="AE543" t="s">
        <v>6616</v>
      </c>
      <c r="AF543" t="s">
        <v>46835</v>
      </c>
    </row>
    <row r="544" spans="1:33" x14ac:dyDescent="0.2">
      <c r="A544">
        <v>539</v>
      </c>
      <c r="B544" t="s">
        <v>6617</v>
      </c>
      <c r="C544" t="s">
        <v>6618</v>
      </c>
      <c r="D544" t="s">
        <v>6619</v>
      </c>
      <c r="E544" t="s">
        <v>6620</v>
      </c>
      <c r="F544" t="s">
        <v>6621</v>
      </c>
      <c r="G544" t="s">
        <v>6622</v>
      </c>
      <c r="H544" t="str">
        <f>"Eif4g2"</f>
        <v>Eif4g2</v>
      </c>
      <c r="I544" t="s">
        <v>32</v>
      </c>
      <c r="J544" t="s">
        <v>37</v>
      </c>
      <c r="K544">
        <v>10090</v>
      </c>
      <c r="L544" s="3" t="str">
        <f>HYPERLINK("http://www.uniprot.org/uniprot/Q62448", "Q62448")</f>
        <v>Q62448</v>
      </c>
      <c r="M544" t="s">
        <v>6623</v>
      </c>
      <c r="N544" t="str">
        <f>"Eif4g2"</f>
        <v>Eif4g2</v>
      </c>
      <c r="O544" s="3" t="str">
        <f>HYPERLINK("http://www.informatics.jax.org/marker/MGI:109207", "MGI:109207")</f>
        <v>MGI:109207</v>
      </c>
      <c r="P544" t="s">
        <v>6624</v>
      </c>
      <c r="Q544" t="s">
        <v>2324</v>
      </c>
      <c r="R544" t="s">
        <v>32</v>
      </c>
      <c r="S544" t="s">
        <v>41</v>
      </c>
      <c r="T544" t="s">
        <v>32</v>
      </c>
      <c r="U544" t="s">
        <v>32</v>
      </c>
      <c r="V544" t="s">
        <v>32</v>
      </c>
      <c r="W544" t="s">
        <v>32</v>
      </c>
      <c r="X544" t="s">
        <v>6625</v>
      </c>
      <c r="Y544" t="s">
        <v>207</v>
      </c>
      <c r="Z544" t="s">
        <v>32</v>
      </c>
      <c r="AA544" t="s">
        <v>6626</v>
      </c>
      <c r="AB544" t="s">
        <v>6627</v>
      </c>
      <c r="AC544" t="s">
        <v>6628</v>
      </c>
      <c r="AD544" t="s">
        <v>32</v>
      </c>
      <c r="AE544" t="s">
        <v>2299</v>
      </c>
      <c r="AF544" t="s">
        <v>46835</v>
      </c>
    </row>
    <row r="545" spans="1:33" x14ac:dyDescent="0.2">
      <c r="A545">
        <v>540</v>
      </c>
      <c r="B545" t="s">
        <v>6629</v>
      </c>
      <c r="C545" t="s">
        <v>6630</v>
      </c>
      <c r="D545" t="s">
        <v>6631</v>
      </c>
      <c r="E545" t="s">
        <v>6632</v>
      </c>
      <c r="F545" t="s">
        <v>6633</v>
      </c>
      <c r="G545" t="s">
        <v>32</v>
      </c>
      <c r="H545" t="str">
        <f>"Pak2"</f>
        <v>Pak2</v>
      </c>
      <c r="I545" t="s">
        <v>32</v>
      </c>
      <c r="J545" t="s">
        <v>37</v>
      </c>
      <c r="K545">
        <v>10090</v>
      </c>
      <c r="L545" s="3" t="str">
        <f>HYPERLINK("http://www.uniprot.org/uniprot/Q8CIN4", "Q8CIN4")</f>
        <v>Q8CIN4</v>
      </c>
      <c r="M545" t="s">
        <v>6634</v>
      </c>
      <c r="N545" t="str">
        <f>"Pak2"</f>
        <v>Pak2</v>
      </c>
      <c r="O545" s="3" t="str">
        <f>HYPERLINK("http://www.informatics.jax.org/marker/MGI:1339984", "MGI:1339984")</f>
        <v>MGI:1339984</v>
      </c>
      <c r="P545" t="s">
        <v>6635</v>
      </c>
      <c r="Q545" t="s">
        <v>6636</v>
      </c>
      <c r="R545" t="s">
        <v>5943</v>
      </c>
      <c r="S545" t="s">
        <v>32</v>
      </c>
      <c r="T545" t="s">
        <v>32</v>
      </c>
      <c r="U545" t="s">
        <v>32</v>
      </c>
      <c r="V545" t="s">
        <v>32</v>
      </c>
      <c r="W545" t="s">
        <v>205</v>
      </c>
      <c r="X545" t="s">
        <v>6637</v>
      </c>
      <c r="Y545" t="s">
        <v>6638</v>
      </c>
      <c r="Z545" t="s">
        <v>32</v>
      </c>
      <c r="AA545" t="s">
        <v>6639</v>
      </c>
      <c r="AB545" t="s">
        <v>6640</v>
      </c>
      <c r="AC545" t="s">
        <v>6641</v>
      </c>
      <c r="AD545" t="s">
        <v>32</v>
      </c>
      <c r="AE545" t="s">
        <v>6642</v>
      </c>
      <c r="AF545" t="s">
        <v>46835</v>
      </c>
    </row>
    <row r="546" spans="1:33" x14ac:dyDescent="0.2">
      <c r="A546">
        <v>541</v>
      </c>
      <c r="B546" t="s">
        <v>6643</v>
      </c>
      <c r="C546" t="s">
        <v>6644</v>
      </c>
      <c r="D546" t="s">
        <v>6645</v>
      </c>
      <c r="E546" t="s">
        <v>6646</v>
      </c>
      <c r="F546" t="s">
        <v>6647</v>
      </c>
      <c r="G546" t="s">
        <v>32</v>
      </c>
      <c r="H546" t="str">
        <f>"Atp5pb"</f>
        <v>Atp5pb</v>
      </c>
      <c r="I546" t="s">
        <v>6648</v>
      </c>
      <c r="J546" t="s">
        <v>37</v>
      </c>
      <c r="K546">
        <v>10090</v>
      </c>
      <c r="L546" s="3" t="str">
        <f>HYPERLINK("http://www.uniprot.org/uniprot/Q9CQQ7", "Q9CQQ7")</f>
        <v>Q9CQQ7</v>
      </c>
      <c r="M546" t="s">
        <v>6649</v>
      </c>
      <c r="N546" t="str">
        <f>"Atp5pb"</f>
        <v>Atp5pb</v>
      </c>
      <c r="O546" s="3" t="str">
        <f>HYPERLINK("http://www.informatics.jax.org/marker/MGI:1100495", "MGI:1100495")</f>
        <v>MGI:1100495</v>
      </c>
      <c r="P546" t="s">
        <v>6650</v>
      </c>
      <c r="Q546" t="s">
        <v>4257</v>
      </c>
      <c r="R546" t="s">
        <v>4258</v>
      </c>
      <c r="S546" t="s">
        <v>32</v>
      </c>
      <c r="T546" t="s">
        <v>32</v>
      </c>
      <c r="U546" t="s">
        <v>32</v>
      </c>
      <c r="V546" t="s">
        <v>1039</v>
      </c>
      <c r="W546" t="s">
        <v>32</v>
      </c>
      <c r="X546" t="s">
        <v>32</v>
      </c>
      <c r="Y546" t="s">
        <v>78</v>
      </c>
      <c r="Z546" t="s">
        <v>32</v>
      </c>
      <c r="AA546" t="s">
        <v>4259</v>
      </c>
      <c r="AB546" t="s">
        <v>6651</v>
      </c>
      <c r="AC546" t="s">
        <v>6652</v>
      </c>
      <c r="AD546" t="s">
        <v>32</v>
      </c>
      <c r="AE546" t="s">
        <v>1147</v>
      </c>
      <c r="AF546" t="s">
        <v>46835</v>
      </c>
    </row>
    <row r="547" spans="1:33" x14ac:dyDescent="0.2">
      <c r="A547">
        <v>542</v>
      </c>
      <c r="B547" t="s">
        <v>6653</v>
      </c>
      <c r="C547" t="s">
        <v>6654</v>
      </c>
      <c r="D547" t="s">
        <v>32</v>
      </c>
      <c r="E547" t="s">
        <v>6655</v>
      </c>
      <c r="F547" t="s">
        <v>6656</v>
      </c>
      <c r="G547" t="s">
        <v>32</v>
      </c>
      <c r="H547" t="str">
        <f>"Arl3"</f>
        <v>Arl3</v>
      </c>
      <c r="I547" t="s">
        <v>32</v>
      </c>
      <c r="J547" t="s">
        <v>37</v>
      </c>
      <c r="K547">
        <v>10090</v>
      </c>
      <c r="L547" s="3" t="str">
        <f>HYPERLINK("http://www.uniprot.org/uniprot/Q9WUL7", "Q9WUL7")</f>
        <v>Q9WUL7</v>
      </c>
      <c r="M547" t="s">
        <v>6657</v>
      </c>
      <c r="N547" t="str">
        <f>"Arl3"</f>
        <v>Arl3</v>
      </c>
      <c r="O547" s="3" t="str">
        <f>HYPERLINK("http://www.informatics.jax.org/marker/MGI:1929699", "MGI:1929699")</f>
        <v>MGI:1929699</v>
      </c>
      <c r="P547" t="s">
        <v>6658</v>
      </c>
      <c r="Q547" t="s">
        <v>6659</v>
      </c>
      <c r="R547" t="s">
        <v>6660</v>
      </c>
      <c r="S547" t="s">
        <v>32</v>
      </c>
      <c r="T547" t="s">
        <v>32</v>
      </c>
      <c r="U547" t="s">
        <v>32</v>
      </c>
      <c r="V547" t="s">
        <v>32</v>
      </c>
      <c r="W547" t="s">
        <v>342</v>
      </c>
      <c r="X547" t="s">
        <v>32</v>
      </c>
      <c r="Y547" t="s">
        <v>5562</v>
      </c>
      <c r="Z547" t="s">
        <v>126</v>
      </c>
      <c r="AA547" t="s">
        <v>6661</v>
      </c>
      <c r="AB547" t="s">
        <v>6662</v>
      </c>
      <c r="AC547" t="s">
        <v>6663</v>
      </c>
      <c r="AD547" t="s">
        <v>32</v>
      </c>
      <c r="AE547" t="s">
        <v>6664</v>
      </c>
      <c r="AF547" t="s">
        <v>46835</v>
      </c>
    </row>
    <row r="548" spans="1:33" x14ac:dyDescent="0.2">
      <c r="A548">
        <v>543</v>
      </c>
      <c r="B548" t="s">
        <v>6665</v>
      </c>
      <c r="C548" t="s">
        <v>6666</v>
      </c>
      <c r="D548" t="s">
        <v>6667</v>
      </c>
      <c r="E548" t="s">
        <v>6668</v>
      </c>
      <c r="F548" t="s">
        <v>6669</v>
      </c>
      <c r="G548" t="s">
        <v>6670</v>
      </c>
      <c r="H548" t="str">
        <f>"Casp7"</f>
        <v>Casp7</v>
      </c>
      <c r="I548" t="s">
        <v>32</v>
      </c>
      <c r="J548" t="s">
        <v>37</v>
      </c>
      <c r="K548">
        <v>10090</v>
      </c>
      <c r="L548" s="3" t="str">
        <f>HYPERLINK("http://www.uniprot.org/uniprot/P97864", "P97864")</f>
        <v>P97864</v>
      </c>
      <c r="M548" t="s">
        <v>6671</v>
      </c>
      <c r="N548" t="str">
        <f>"Casp7"</f>
        <v>Casp7</v>
      </c>
      <c r="O548" s="3" t="str">
        <f>HYPERLINK("http://www.informatics.jax.org/marker/MGI:109383", "MGI:109383")</f>
        <v>MGI:109383</v>
      </c>
      <c r="P548" t="s">
        <v>6672</v>
      </c>
      <c r="Q548" t="s">
        <v>541</v>
      </c>
      <c r="R548" t="s">
        <v>542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6673</v>
      </c>
      <c r="Y548" t="s">
        <v>6674</v>
      </c>
      <c r="Z548" t="s">
        <v>32</v>
      </c>
      <c r="AA548" t="s">
        <v>6675</v>
      </c>
      <c r="AB548" t="s">
        <v>6676</v>
      </c>
      <c r="AC548" t="s">
        <v>6677</v>
      </c>
      <c r="AD548" t="s">
        <v>32</v>
      </c>
      <c r="AE548" t="s">
        <v>6678</v>
      </c>
      <c r="AF548" t="s">
        <v>46835</v>
      </c>
    </row>
    <row r="549" spans="1:33" x14ac:dyDescent="0.2">
      <c r="A549">
        <v>544</v>
      </c>
      <c r="B549" t="s">
        <v>6679</v>
      </c>
      <c r="C549" t="s">
        <v>6680</v>
      </c>
      <c r="D549" t="s">
        <v>6681</v>
      </c>
      <c r="E549" t="s">
        <v>6682</v>
      </c>
      <c r="F549" t="s">
        <v>6683</v>
      </c>
      <c r="G549" t="s">
        <v>6684</v>
      </c>
      <c r="H549" t="str">
        <f>"Rilpl1"</f>
        <v>Rilpl1</v>
      </c>
      <c r="I549" t="s">
        <v>32</v>
      </c>
      <c r="J549" t="s">
        <v>37</v>
      </c>
      <c r="K549">
        <v>10090</v>
      </c>
      <c r="L549" s="3" t="str">
        <f>HYPERLINK("http://www.uniprot.org/uniprot/Q9JJC6", "Q9JJC6")</f>
        <v>Q9JJC6</v>
      </c>
      <c r="M549" t="s">
        <v>6685</v>
      </c>
      <c r="N549" t="str">
        <f>"Rilpl1"</f>
        <v>Rilpl1</v>
      </c>
      <c r="O549" s="3" t="str">
        <f>HYPERLINK("http://www.informatics.jax.org/marker/MGI:1922945", "MGI:1922945")</f>
        <v>MGI:1922945</v>
      </c>
      <c r="P549" t="s">
        <v>6686</v>
      </c>
      <c r="Q549" t="s">
        <v>434</v>
      </c>
      <c r="R549" t="s">
        <v>1223</v>
      </c>
      <c r="S549" t="s">
        <v>32</v>
      </c>
      <c r="T549" t="s">
        <v>32</v>
      </c>
      <c r="U549" t="s">
        <v>32</v>
      </c>
      <c r="V549" t="s">
        <v>290</v>
      </c>
      <c r="W549" t="s">
        <v>32</v>
      </c>
      <c r="X549" t="s">
        <v>32</v>
      </c>
      <c r="Y549" t="s">
        <v>6687</v>
      </c>
      <c r="Z549" t="s">
        <v>32</v>
      </c>
      <c r="AA549" t="s">
        <v>6688</v>
      </c>
      <c r="AB549" t="s">
        <v>6689</v>
      </c>
      <c r="AC549" t="s">
        <v>6690</v>
      </c>
      <c r="AD549" t="s">
        <v>32</v>
      </c>
      <c r="AE549" t="s">
        <v>32</v>
      </c>
      <c r="AF549" t="s">
        <v>46835</v>
      </c>
    </row>
    <row r="550" spans="1:33" x14ac:dyDescent="0.2">
      <c r="A550">
        <v>545</v>
      </c>
      <c r="B550" t="s">
        <v>6691</v>
      </c>
      <c r="C550" t="s">
        <v>6692</v>
      </c>
      <c r="D550" t="s">
        <v>6693</v>
      </c>
      <c r="E550" t="s">
        <v>6694</v>
      </c>
      <c r="F550" t="s">
        <v>6695</v>
      </c>
      <c r="G550" t="s">
        <v>6696</v>
      </c>
      <c r="H550" t="str">
        <f>"Arcn1"</f>
        <v>Arcn1</v>
      </c>
      <c r="I550" t="s">
        <v>6697</v>
      </c>
      <c r="J550" t="s">
        <v>37</v>
      </c>
      <c r="K550">
        <v>10090</v>
      </c>
      <c r="L550" s="3" t="str">
        <f>HYPERLINK("http://www.uniprot.org/uniprot/Q5XJY5", "Q5XJY5")</f>
        <v>Q5XJY5</v>
      </c>
      <c r="M550" t="s">
        <v>6698</v>
      </c>
      <c r="N550" t="str">
        <f>"Arcn1"</f>
        <v>Arcn1</v>
      </c>
      <c r="O550" s="3" t="str">
        <f>HYPERLINK("http://www.informatics.jax.org/marker/MGI:2387591", "MGI:2387591")</f>
        <v>MGI:2387591</v>
      </c>
      <c r="P550" t="s">
        <v>6699</v>
      </c>
      <c r="Q550" t="s">
        <v>2916</v>
      </c>
      <c r="R550" t="s">
        <v>3166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t="s">
        <v>157</v>
      </c>
      <c r="Z550" t="s">
        <v>126</v>
      </c>
      <c r="AA550" t="s">
        <v>6700</v>
      </c>
      <c r="AB550" t="s">
        <v>6701</v>
      </c>
      <c r="AC550" t="s">
        <v>32</v>
      </c>
      <c r="AD550" t="s">
        <v>32</v>
      </c>
      <c r="AE550" t="s">
        <v>3171</v>
      </c>
      <c r="AF550" t="s">
        <v>46835</v>
      </c>
    </row>
    <row r="551" spans="1:33" x14ac:dyDescent="0.2">
      <c r="A551">
        <v>546</v>
      </c>
      <c r="B551" t="s">
        <v>6702</v>
      </c>
      <c r="C551" t="s">
        <v>6703</v>
      </c>
      <c r="D551" t="s">
        <v>6704</v>
      </c>
      <c r="E551" t="s">
        <v>6705</v>
      </c>
      <c r="F551" t="s">
        <v>6706</v>
      </c>
      <c r="G551" t="s">
        <v>6707</v>
      </c>
      <c r="H551" t="str">
        <f>"Gstm5"</f>
        <v>Gstm5</v>
      </c>
      <c r="I551" t="s">
        <v>6708</v>
      </c>
      <c r="J551" t="s">
        <v>37</v>
      </c>
      <c r="K551">
        <v>10090</v>
      </c>
      <c r="L551" s="3" t="str">
        <f>HYPERLINK("http://www.uniprot.org/uniprot/P48774", "P48774")</f>
        <v>P48774</v>
      </c>
      <c r="M551" t="s">
        <v>6709</v>
      </c>
      <c r="N551" t="str">
        <f>"Gstm5"</f>
        <v>Gstm5</v>
      </c>
      <c r="O551" s="3" t="str">
        <f>HYPERLINK("http://www.informatics.jax.org/marker/MGI:1309466", "MGI:1309466")</f>
        <v>MGI:1309466</v>
      </c>
      <c r="P551" t="s">
        <v>6710</v>
      </c>
      <c r="Q551" t="s">
        <v>32</v>
      </c>
      <c r="R551" t="s">
        <v>418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515</v>
      </c>
      <c r="Y551" t="s">
        <v>618</v>
      </c>
      <c r="Z551" t="s">
        <v>32</v>
      </c>
      <c r="AA551" t="s">
        <v>6711</v>
      </c>
      <c r="AB551" t="s">
        <v>6712</v>
      </c>
      <c r="AC551" t="s">
        <v>6713</v>
      </c>
      <c r="AD551" t="s">
        <v>32</v>
      </c>
      <c r="AE551" t="s">
        <v>3121</v>
      </c>
      <c r="AF551" t="s">
        <v>46835</v>
      </c>
    </row>
    <row r="552" spans="1:33" x14ac:dyDescent="0.2">
      <c r="A552">
        <v>547</v>
      </c>
      <c r="B552" t="s">
        <v>6714</v>
      </c>
      <c r="C552" t="s">
        <v>6715</v>
      </c>
      <c r="D552" t="s">
        <v>6716</v>
      </c>
      <c r="E552" t="s">
        <v>6717</v>
      </c>
      <c r="F552" t="s">
        <v>6718</v>
      </c>
      <c r="G552" t="s">
        <v>6719</v>
      </c>
      <c r="H552" t="str">
        <f>"Txndc5"</f>
        <v>Txndc5</v>
      </c>
      <c r="I552" t="s">
        <v>6720</v>
      </c>
      <c r="J552" t="s">
        <v>37</v>
      </c>
      <c r="K552">
        <v>10090</v>
      </c>
      <c r="L552" s="3" t="str">
        <f>HYPERLINK("http://www.uniprot.org/uniprot/Q91W90", "Q91W90")</f>
        <v>Q91W90</v>
      </c>
      <c r="M552" t="s">
        <v>6721</v>
      </c>
      <c r="N552" t="str">
        <f>"Txndc5"</f>
        <v>Txndc5</v>
      </c>
      <c r="O552" s="3" t="str">
        <f>HYPERLINK("http://www.informatics.jax.org/marker/MGI:2145316", "MGI:2145316")</f>
        <v>MGI:2145316</v>
      </c>
      <c r="P552" t="s">
        <v>6722</v>
      </c>
      <c r="Q552" t="s">
        <v>32</v>
      </c>
      <c r="R552" t="s">
        <v>671</v>
      </c>
      <c r="S552" t="s">
        <v>32</v>
      </c>
      <c r="T552" t="s">
        <v>32</v>
      </c>
      <c r="U552" t="s">
        <v>32</v>
      </c>
      <c r="V552" t="s">
        <v>672</v>
      </c>
      <c r="W552" t="s">
        <v>32</v>
      </c>
      <c r="X552" t="s">
        <v>6723</v>
      </c>
      <c r="Y552" t="s">
        <v>494</v>
      </c>
      <c r="Z552" t="s">
        <v>32</v>
      </c>
      <c r="AA552" t="s">
        <v>6724</v>
      </c>
      <c r="AB552" t="s">
        <v>4722</v>
      </c>
      <c r="AC552" t="s">
        <v>1069</v>
      </c>
      <c r="AD552" t="s">
        <v>32</v>
      </c>
      <c r="AE552" t="s">
        <v>6725</v>
      </c>
      <c r="AF552" t="s">
        <v>46835</v>
      </c>
    </row>
    <row r="553" spans="1:33" x14ac:dyDescent="0.2">
      <c r="A553">
        <v>548</v>
      </c>
      <c r="B553" t="s">
        <v>6726</v>
      </c>
      <c r="C553" t="s">
        <v>6727</v>
      </c>
      <c r="D553" t="s">
        <v>6728</v>
      </c>
      <c r="E553" t="s">
        <v>6729</v>
      </c>
      <c r="F553" t="s">
        <v>6730</v>
      </c>
      <c r="G553" t="s">
        <v>6731</v>
      </c>
      <c r="H553" t="str">
        <f>"Mybbp1a"</f>
        <v>Mybbp1a</v>
      </c>
      <c r="I553" t="s">
        <v>6732</v>
      </c>
      <c r="J553" t="s">
        <v>37</v>
      </c>
      <c r="K553">
        <v>10090</v>
      </c>
      <c r="L553" s="3" t="str">
        <f>HYPERLINK("http://www.uniprot.org/uniprot/Q7TPV4", "Q7TPV4")</f>
        <v>Q7TPV4</v>
      </c>
      <c r="M553" t="s">
        <v>6733</v>
      </c>
      <c r="N553" t="str">
        <f>"Mybbp1a"</f>
        <v>Mybbp1a</v>
      </c>
      <c r="O553" s="3" t="str">
        <f>HYPERLINK("http://www.informatics.jax.org/marker/MGI:106181", "MGI:106181")</f>
        <v>MGI:106181</v>
      </c>
      <c r="P553" t="s">
        <v>6734</v>
      </c>
      <c r="Q553" t="s">
        <v>6735</v>
      </c>
      <c r="R553" t="s">
        <v>40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6736</v>
      </c>
      <c r="Y553" t="s">
        <v>700</v>
      </c>
      <c r="Z553" t="s">
        <v>32</v>
      </c>
      <c r="AA553" t="s">
        <v>6737</v>
      </c>
      <c r="AB553" t="s">
        <v>6738</v>
      </c>
      <c r="AC553" t="s">
        <v>6739</v>
      </c>
      <c r="AD553" t="s">
        <v>32</v>
      </c>
      <c r="AE553" t="s">
        <v>6740</v>
      </c>
      <c r="AF553" t="s">
        <v>46835</v>
      </c>
    </row>
    <row r="554" spans="1:33" x14ac:dyDescent="0.2">
      <c r="A554">
        <v>549</v>
      </c>
      <c r="B554" t="s">
        <v>6741</v>
      </c>
      <c r="C554" t="s">
        <v>6742</v>
      </c>
      <c r="D554" t="s">
        <v>6743</v>
      </c>
      <c r="E554" t="s">
        <v>6744</v>
      </c>
      <c r="F554" t="s">
        <v>6745</v>
      </c>
      <c r="G554" t="s">
        <v>6746</v>
      </c>
      <c r="H554" t="str">
        <f>"Psmb6"</f>
        <v>Psmb6</v>
      </c>
      <c r="I554" t="s">
        <v>6747</v>
      </c>
      <c r="J554" t="s">
        <v>37</v>
      </c>
      <c r="K554">
        <v>10090</v>
      </c>
      <c r="L554" s="3" t="str">
        <f>HYPERLINK("http://www.uniprot.org/uniprot/Q60692", "Q60692")</f>
        <v>Q60692</v>
      </c>
      <c r="M554" t="s">
        <v>6748</v>
      </c>
      <c r="N554" t="str">
        <f>"Psmb6"</f>
        <v>Psmb6</v>
      </c>
      <c r="O554" s="3" t="str">
        <f>HYPERLINK("http://www.informatics.jax.org/marker/MGI:104880", "MGI:104880")</f>
        <v>MGI:104880</v>
      </c>
      <c r="P554" t="s">
        <v>6749</v>
      </c>
      <c r="Q554" t="s">
        <v>32</v>
      </c>
      <c r="R554" t="s">
        <v>2586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4012</v>
      </c>
      <c r="Y554" t="s">
        <v>6674</v>
      </c>
      <c r="Z554" t="s">
        <v>126</v>
      </c>
      <c r="AA554" t="s">
        <v>4190</v>
      </c>
      <c r="AB554" t="s">
        <v>6750</v>
      </c>
      <c r="AC554" t="s">
        <v>4192</v>
      </c>
      <c r="AD554" t="s">
        <v>32</v>
      </c>
      <c r="AE554" t="s">
        <v>2774</v>
      </c>
      <c r="AF554" t="s">
        <v>46835</v>
      </c>
    </row>
    <row r="555" spans="1:33" x14ac:dyDescent="0.2">
      <c r="A555">
        <v>550</v>
      </c>
      <c r="B555" t="s">
        <v>6751</v>
      </c>
      <c r="C555" t="s">
        <v>6752</v>
      </c>
      <c r="D555" t="s">
        <v>6753</v>
      </c>
      <c r="E555" t="s">
        <v>6754</v>
      </c>
      <c r="F555" t="s">
        <v>6755</v>
      </c>
      <c r="G555" t="s">
        <v>6756</v>
      </c>
      <c r="H555" t="str">
        <f>"Anxa5"</f>
        <v>Anxa5</v>
      </c>
      <c r="I555" t="s">
        <v>6757</v>
      </c>
      <c r="J555" t="s">
        <v>37</v>
      </c>
      <c r="K555">
        <v>10090</v>
      </c>
      <c r="L555" s="3" t="str">
        <f>HYPERLINK("http://www.uniprot.org/uniprot/P48036", "P48036")</f>
        <v>P48036</v>
      </c>
      <c r="M555" t="s">
        <v>6758</v>
      </c>
      <c r="N555" t="str">
        <f>"Anxa5"</f>
        <v>Anxa5</v>
      </c>
      <c r="O555" s="3" t="str">
        <f>HYPERLINK("http://www.informatics.jax.org/marker/MGI:106008", "MGI:106008")</f>
        <v>MGI:106008</v>
      </c>
      <c r="P555" t="s">
        <v>6759</v>
      </c>
      <c r="Q555" t="s">
        <v>6760</v>
      </c>
      <c r="R555" t="s">
        <v>32</v>
      </c>
      <c r="S555" t="s">
        <v>32</v>
      </c>
      <c r="T555" t="s">
        <v>32</v>
      </c>
      <c r="U555" t="s">
        <v>32</v>
      </c>
      <c r="V555" t="s">
        <v>3029</v>
      </c>
      <c r="W555" t="s">
        <v>3030</v>
      </c>
      <c r="X555" t="s">
        <v>32</v>
      </c>
      <c r="Y555" t="s">
        <v>6761</v>
      </c>
      <c r="Z555" t="s">
        <v>32</v>
      </c>
      <c r="AA555" t="s">
        <v>6762</v>
      </c>
      <c r="AB555" t="s">
        <v>6763</v>
      </c>
      <c r="AC555" t="s">
        <v>6764</v>
      </c>
      <c r="AD555" t="s">
        <v>32</v>
      </c>
      <c r="AE555" t="s">
        <v>2235</v>
      </c>
      <c r="AF555" t="s">
        <v>46835</v>
      </c>
    </row>
    <row r="556" spans="1:33" x14ac:dyDescent="0.2">
      <c r="A556">
        <v>551</v>
      </c>
      <c r="B556" t="s">
        <v>6765</v>
      </c>
      <c r="C556" t="s">
        <v>6766</v>
      </c>
      <c r="D556" t="s">
        <v>32</v>
      </c>
      <c r="E556" t="s">
        <v>6767</v>
      </c>
      <c r="F556" t="s">
        <v>6768</v>
      </c>
      <c r="G556" t="s">
        <v>32</v>
      </c>
      <c r="H556" t="str">
        <f>"Klc1"</f>
        <v>Klc1</v>
      </c>
      <c r="I556" t="s">
        <v>6769</v>
      </c>
      <c r="J556" t="s">
        <v>37</v>
      </c>
      <c r="K556">
        <v>10090</v>
      </c>
      <c r="L556" s="3" t="str">
        <f>HYPERLINK("http://www.uniprot.org/uniprot/O88447", "O88447")</f>
        <v>O88447</v>
      </c>
      <c r="M556" t="s">
        <v>6770</v>
      </c>
      <c r="N556" t="str">
        <f>"Klc1"</f>
        <v>Klc1</v>
      </c>
      <c r="O556" s="3" t="str">
        <f>HYPERLINK("http://www.informatics.jax.org/marker/MGI:107978", "MGI:107978")</f>
        <v>MGI:107978</v>
      </c>
      <c r="P556" t="s">
        <v>6771</v>
      </c>
      <c r="Q556" t="s">
        <v>32</v>
      </c>
      <c r="R556" t="s">
        <v>6772</v>
      </c>
      <c r="S556" t="s">
        <v>32</v>
      </c>
      <c r="T556" t="s">
        <v>32</v>
      </c>
      <c r="U556" t="s">
        <v>32</v>
      </c>
      <c r="V556" t="s">
        <v>4559</v>
      </c>
      <c r="W556" t="s">
        <v>32</v>
      </c>
      <c r="X556" t="s">
        <v>830</v>
      </c>
      <c r="Y556" t="s">
        <v>618</v>
      </c>
      <c r="Z556" t="s">
        <v>126</v>
      </c>
      <c r="AA556" t="s">
        <v>6773</v>
      </c>
      <c r="AB556" t="s">
        <v>6774</v>
      </c>
      <c r="AC556" t="s">
        <v>6775</v>
      </c>
      <c r="AD556" t="s">
        <v>32</v>
      </c>
      <c r="AE556" t="s">
        <v>6294</v>
      </c>
      <c r="AF556" t="s">
        <v>46835</v>
      </c>
    </row>
    <row r="557" spans="1:33" x14ac:dyDescent="0.2">
      <c r="A557">
        <v>552</v>
      </c>
      <c r="B557" t="s">
        <v>6776</v>
      </c>
      <c r="C557" t="s">
        <v>6777</v>
      </c>
      <c r="D557" t="s">
        <v>6778</v>
      </c>
      <c r="E557" t="s">
        <v>6779</v>
      </c>
      <c r="F557" t="s">
        <v>6780</v>
      </c>
      <c r="G557" t="s">
        <v>6781</v>
      </c>
      <c r="H557" t="str">
        <f>"G3bp2"</f>
        <v>G3bp2</v>
      </c>
      <c r="I557" t="s">
        <v>32</v>
      </c>
      <c r="J557" t="s">
        <v>37</v>
      </c>
      <c r="K557">
        <v>10090</v>
      </c>
      <c r="L557" s="3" t="str">
        <f>HYPERLINK("http://www.uniprot.org/uniprot/P97379", "P97379")</f>
        <v>P97379</v>
      </c>
      <c r="M557" t="s">
        <v>6782</v>
      </c>
      <c r="N557" t="str">
        <f>"G3bp2"</f>
        <v>G3bp2</v>
      </c>
      <c r="O557" s="3" t="str">
        <f>HYPERLINK("http://www.informatics.jax.org/marker/MGI:2442040", "MGI:2442040")</f>
        <v>MGI:2442040</v>
      </c>
      <c r="P557" t="s">
        <v>6783</v>
      </c>
      <c r="Q557" t="s">
        <v>6784</v>
      </c>
      <c r="R557" t="s">
        <v>418</v>
      </c>
      <c r="S557" t="s">
        <v>41</v>
      </c>
      <c r="T557" t="s">
        <v>32</v>
      </c>
      <c r="U557" t="s">
        <v>32</v>
      </c>
      <c r="V557" t="s">
        <v>32</v>
      </c>
      <c r="W557" t="s">
        <v>32</v>
      </c>
      <c r="X557" t="s">
        <v>1282</v>
      </c>
      <c r="Y557" t="s">
        <v>2192</v>
      </c>
      <c r="Z557" t="s">
        <v>32</v>
      </c>
      <c r="AA557" t="s">
        <v>6785</v>
      </c>
      <c r="AB557" t="s">
        <v>6786</v>
      </c>
      <c r="AC557" t="s">
        <v>4168</v>
      </c>
      <c r="AD557" t="s">
        <v>32</v>
      </c>
      <c r="AE557" t="s">
        <v>32</v>
      </c>
      <c r="AF557" t="s">
        <v>46835</v>
      </c>
    </row>
    <row r="558" spans="1:33" x14ac:dyDescent="0.2">
      <c r="A558">
        <v>553</v>
      </c>
      <c r="B558" t="s">
        <v>6787</v>
      </c>
      <c r="C558" t="s">
        <v>6788</v>
      </c>
      <c r="D558" t="s">
        <v>6789</v>
      </c>
      <c r="E558" t="s">
        <v>6790</v>
      </c>
      <c r="F558" t="s">
        <v>6791</v>
      </c>
      <c r="G558" t="s">
        <v>6792</v>
      </c>
      <c r="H558" t="str">
        <f>"Ruvbl1"</f>
        <v>Ruvbl1</v>
      </c>
      <c r="I558" t="s">
        <v>6793</v>
      </c>
      <c r="J558" t="s">
        <v>37</v>
      </c>
      <c r="K558">
        <v>10090</v>
      </c>
      <c r="L558" s="3" t="str">
        <f>HYPERLINK("http://www.uniprot.org/uniprot/P60122", "P60122")</f>
        <v>P60122</v>
      </c>
      <c r="M558" t="s">
        <v>6794</v>
      </c>
      <c r="N558" t="str">
        <f>"Ruvbl1"</f>
        <v>Ruvbl1</v>
      </c>
      <c r="O558" s="3" t="str">
        <f>HYPERLINK("http://www.informatics.jax.org/marker/MGI:1928760", "MGI:1928760")</f>
        <v>MGI:1928760</v>
      </c>
      <c r="P558" t="s">
        <v>6795</v>
      </c>
      <c r="Q558" t="s">
        <v>6796</v>
      </c>
      <c r="R558" t="s">
        <v>6797</v>
      </c>
      <c r="S558" t="s">
        <v>32</v>
      </c>
      <c r="T558" t="s">
        <v>32</v>
      </c>
      <c r="U558" t="s">
        <v>32</v>
      </c>
      <c r="V558" t="s">
        <v>32</v>
      </c>
      <c r="W558" t="s">
        <v>205</v>
      </c>
      <c r="X558" t="s">
        <v>5944</v>
      </c>
      <c r="Y558" t="s">
        <v>461</v>
      </c>
      <c r="Z558" t="s">
        <v>32</v>
      </c>
      <c r="AA558" t="s">
        <v>6798</v>
      </c>
      <c r="AB558" t="s">
        <v>6799</v>
      </c>
      <c r="AC558" t="s">
        <v>6800</v>
      </c>
      <c r="AD558" t="s">
        <v>32</v>
      </c>
      <c r="AE558" t="s">
        <v>6801</v>
      </c>
      <c r="AF558" t="s">
        <v>46835</v>
      </c>
    </row>
    <row r="559" spans="1:33" x14ac:dyDescent="0.2">
      <c r="A559">
        <v>554</v>
      </c>
      <c r="B559" t="s">
        <v>6802</v>
      </c>
      <c r="C559" t="s">
        <v>47126</v>
      </c>
      <c r="D559" t="s">
        <v>32</v>
      </c>
      <c r="E559" t="s">
        <v>46856</v>
      </c>
      <c r="F559" t="s">
        <v>46855</v>
      </c>
      <c r="G559" t="s">
        <v>32</v>
      </c>
      <c r="H559" t="s">
        <v>47257</v>
      </c>
      <c r="I559" t="s">
        <v>32</v>
      </c>
      <c r="J559" t="s">
        <v>37</v>
      </c>
      <c r="K559">
        <v>10090</v>
      </c>
      <c r="L559" s="3" t="str">
        <f>HYPERLINK(CONCATENATE("https://www.uniprot.org/uniprotkb/", AG559, "/entry"), AG559)</f>
        <v>Q8VHM5</v>
      </c>
      <c r="M559" t="s">
        <v>32</v>
      </c>
      <c r="N559" t="s">
        <v>32</v>
      </c>
      <c r="O559" s="3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32</v>
      </c>
      <c r="Y559" t="s">
        <v>32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  <c r="AE559" t="s">
        <v>32</v>
      </c>
      <c r="AF559" t="s">
        <v>46835</v>
      </c>
      <c r="AG559" t="s">
        <v>46855</v>
      </c>
    </row>
    <row r="560" spans="1:33" x14ac:dyDescent="0.2">
      <c r="A560">
        <v>555</v>
      </c>
      <c r="B560" t="s">
        <v>6803</v>
      </c>
      <c r="C560" t="s">
        <v>6804</v>
      </c>
      <c r="D560" t="s">
        <v>6805</v>
      </c>
      <c r="E560" t="s">
        <v>6806</v>
      </c>
      <c r="F560" t="s">
        <v>6807</v>
      </c>
      <c r="G560" t="s">
        <v>6808</v>
      </c>
      <c r="H560" t="str">
        <f>"Phb1"</f>
        <v>Phb1</v>
      </c>
      <c r="I560" t="s">
        <v>6809</v>
      </c>
      <c r="J560" t="s">
        <v>37</v>
      </c>
      <c r="K560">
        <v>10090</v>
      </c>
      <c r="L560" s="3" t="str">
        <f>HYPERLINK("http://www.uniprot.org/uniprot/P67778", "P67778")</f>
        <v>P67778</v>
      </c>
      <c r="M560" t="s">
        <v>6810</v>
      </c>
      <c r="N560" t="str">
        <f>"Phb"</f>
        <v>Phb</v>
      </c>
      <c r="O560" s="3" t="str">
        <f>HYPERLINK("http://www.informatics.jax.org/marker/MGI:97572", "MGI:97572")</f>
        <v>MGI:97572</v>
      </c>
      <c r="P560" t="s">
        <v>6811</v>
      </c>
      <c r="Q560" t="s">
        <v>6812</v>
      </c>
      <c r="R560" t="s">
        <v>6813</v>
      </c>
      <c r="S560" t="s">
        <v>32</v>
      </c>
      <c r="T560" t="s">
        <v>32</v>
      </c>
      <c r="U560" t="s">
        <v>32</v>
      </c>
      <c r="V560" t="s">
        <v>290</v>
      </c>
      <c r="W560" t="s">
        <v>32</v>
      </c>
      <c r="X560" t="s">
        <v>32</v>
      </c>
      <c r="Y560" t="s">
        <v>157</v>
      </c>
      <c r="Z560" t="s">
        <v>32</v>
      </c>
      <c r="AA560" t="s">
        <v>6814</v>
      </c>
      <c r="AB560" t="s">
        <v>6815</v>
      </c>
      <c r="AC560" t="s">
        <v>6816</v>
      </c>
      <c r="AD560" t="s">
        <v>32</v>
      </c>
      <c r="AE560" t="s">
        <v>6817</v>
      </c>
      <c r="AF560" t="s">
        <v>46835</v>
      </c>
    </row>
    <row r="561" spans="1:32" x14ac:dyDescent="0.2">
      <c r="A561">
        <v>556</v>
      </c>
      <c r="B561" t="s">
        <v>6818</v>
      </c>
      <c r="C561" t="s">
        <v>6819</v>
      </c>
      <c r="D561" t="s">
        <v>6820</v>
      </c>
      <c r="E561" t="s">
        <v>6821</v>
      </c>
      <c r="F561" t="s">
        <v>6822</v>
      </c>
      <c r="G561" t="s">
        <v>32</v>
      </c>
      <c r="H561" t="str">
        <f>"Calu"</f>
        <v>Calu</v>
      </c>
      <c r="I561" t="s">
        <v>32</v>
      </c>
      <c r="J561" t="s">
        <v>37</v>
      </c>
      <c r="K561">
        <v>10090</v>
      </c>
      <c r="L561" s="3" t="str">
        <f>HYPERLINK("http://www.uniprot.org/uniprot/O35887", "O35887")</f>
        <v>O35887</v>
      </c>
      <c r="M561" t="s">
        <v>6823</v>
      </c>
      <c r="N561" t="str">
        <f>"Calu"</f>
        <v>Calu</v>
      </c>
      <c r="O561" s="3" t="str">
        <f>HYPERLINK("http://www.informatics.jax.org/marker/MGI:1097158", "MGI:1097158")</f>
        <v>MGI:1097158</v>
      </c>
      <c r="P561" t="s">
        <v>6824</v>
      </c>
      <c r="Q561" t="s">
        <v>32</v>
      </c>
      <c r="R561" t="s">
        <v>6825</v>
      </c>
      <c r="S561" t="s">
        <v>32</v>
      </c>
      <c r="T561" t="s">
        <v>32</v>
      </c>
      <c r="U561" t="s">
        <v>32</v>
      </c>
      <c r="V561" t="s">
        <v>478</v>
      </c>
      <c r="W561" t="s">
        <v>188</v>
      </c>
      <c r="X561" t="s">
        <v>32</v>
      </c>
      <c r="Y561" t="s">
        <v>372</v>
      </c>
      <c r="Z561" t="s">
        <v>32</v>
      </c>
      <c r="AA561" t="s">
        <v>32</v>
      </c>
      <c r="AB561" t="s">
        <v>6826</v>
      </c>
      <c r="AC561" t="s">
        <v>6827</v>
      </c>
      <c r="AD561" t="s">
        <v>32</v>
      </c>
      <c r="AE561" t="s">
        <v>636</v>
      </c>
      <c r="AF561" t="s">
        <v>46835</v>
      </c>
    </row>
    <row r="562" spans="1:32" x14ac:dyDescent="0.2">
      <c r="A562">
        <v>557</v>
      </c>
      <c r="B562" t="s">
        <v>6828</v>
      </c>
      <c r="C562" t="s">
        <v>6829</v>
      </c>
      <c r="D562" t="s">
        <v>6830</v>
      </c>
      <c r="E562" t="s">
        <v>6831</v>
      </c>
      <c r="F562" t="s">
        <v>6832</v>
      </c>
      <c r="G562" t="s">
        <v>6833</v>
      </c>
      <c r="H562" t="str">
        <f>"Pdap1"</f>
        <v>Pdap1</v>
      </c>
      <c r="I562" t="s">
        <v>32</v>
      </c>
      <c r="J562" t="s">
        <v>37</v>
      </c>
      <c r="K562">
        <v>10090</v>
      </c>
      <c r="L562" s="3" t="str">
        <f>HYPERLINK("http://www.uniprot.org/uniprot/Q3UHX2", "Q3UHX2")</f>
        <v>Q3UHX2</v>
      </c>
      <c r="M562" t="s">
        <v>6834</v>
      </c>
      <c r="N562" t="str">
        <f>"Pdap1"</f>
        <v>Pdap1</v>
      </c>
      <c r="O562" s="3" t="str">
        <f>HYPERLINK("http://www.informatics.jax.org/marker/MGI:2448536", "MGI:2448536")</f>
        <v>MGI:2448536</v>
      </c>
      <c r="P562" t="s">
        <v>207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t="s">
        <v>207</v>
      </c>
      <c r="Z562" t="s">
        <v>32</v>
      </c>
      <c r="AA562" t="s">
        <v>6835</v>
      </c>
      <c r="AB562" t="s">
        <v>6836</v>
      </c>
      <c r="AC562" t="s">
        <v>6837</v>
      </c>
      <c r="AD562" t="s">
        <v>32</v>
      </c>
      <c r="AE562" t="s">
        <v>548</v>
      </c>
      <c r="AF562" t="s">
        <v>46835</v>
      </c>
    </row>
    <row r="563" spans="1:32" x14ac:dyDescent="0.2">
      <c r="A563">
        <v>558</v>
      </c>
      <c r="B563" t="s">
        <v>6838</v>
      </c>
      <c r="C563" t="s">
        <v>6839</v>
      </c>
      <c r="D563" t="s">
        <v>32</v>
      </c>
      <c r="E563" t="s">
        <v>6840</v>
      </c>
      <c r="F563" t="s">
        <v>6841</v>
      </c>
      <c r="G563" t="s">
        <v>6842</v>
      </c>
      <c r="H563" t="str">
        <f>"Cad"</f>
        <v>Cad</v>
      </c>
      <c r="I563" t="s">
        <v>32</v>
      </c>
      <c r="J563" t="s">
        <v>37</v>
      </c>
      <c r="K563">
        <v>10090</v>
      </c>
      <c r="L563" s="3" t="str">
        <f>HYPERLINK("http://www.uniprot.org/uniprot/B2RQC6", "B2RQC6")</f>
        <v>B2RQC6</v>
      </c>
      <c r="M563" t="s">
        <v>6843</v>
      </c>
      <c r="N563" t="str">
        <f>"Cad"</f>
        <v>Cad</v>
      </c>
      <c r="O563" s="3" t="str">
        <f>HYPERLINK("http://www.informatics.jax.org/marker/MGI:1916969", "MGI:1916969")</f>
        <v>MGI:1916969</v>
      </c>
      <c r="P563" t="s">
        <v>6844</v>
      </c>
      <c r="Q563" t="s">
        <v>6845</v>
      </c>
      <c r="R563" t="s">
        <v>40</v>
      </c>
      <c r="S563" t="s">
        <v>41</v>
      </c>
      <c r="T563" t="s">
        <v>32</v>
      </c>
      <c r="U563" t="s">
        <v>32</v>
      </c>
      <c r="V563" t="s">
        <v>6846</v>
      </c>
      <c r="W563" t="s">
        <v>6847</v>
      </c>
      <c r="X563" t="s">
        <v>6848</v>
      </c>
      <c r="Y563" t="s">
        <v>157</v>
      </c>
      <c r="Z563" t="s">
        <v>32</v>
      </c>
      <c r="AA563" t="s">
        <v>6849</v>
      </c>
      <c r="AB563" t="s">
        <v>6850</v>
      </c>
      <c r="AC563" t="s">
        <v>6851</v>
      </c>
      <c r="AD563" t="s">
        <v>6852</v>
      </c>
      <c r="AE563" t="s">
        <v>6853</v>
      </c>
      <c r="AF563" t="s">
        <v>46835</v>
      </c>
    </row>
    <row r="564" spans="1:32" x14ac:dyDescent="0.2">
      <c r="A564">
        <v>559</v>
      </c>
      <c r="B564" t="s">
        <v>6854</v>
      </c>
      <c r="C564" t="s">
        <v>6855</v>
      </c>
      <c r="D564" t="s">
        <v>6856</v>
      </c>
      <c r="E564" t="s">
        <v>6857</v>
      </c>
      <c r="F564" t="s">
        <v>6858</v>
      </c>
      <c r="G564" t="s">
        <v>6859</v>
      </c>
      <c r="H564" t="str">
        <f>"Cbr1"</f>
        <v>Cbr1</v>
      </c>
      <c r="I564" t="s">
        <v>32</v>
      </c>
      <c r="J564" t="s">
        <v>37</v>
      </c>
      <c r="K564">
        <v>10090</v>
      </c>
      <c r="L564" s="3" t="str">
        <f>HYPERLINK("http://www.uniprot.org/uniprot/P48758", "P48758")</f>
        <v>P48758</v>
      </c>
      <c r="M564" t="s">
        <v>6860</v>
      </c>
      <c r="N564" t="str">
        <f>"Cbr1"</f>
        <v>Cbr1</v>
      </c>
      <c r="O564" s="3" t="str">
        <f>HYPERLINK("http://www.informatics.jax.org/marker/MGI:88284", "MGI:88284")</f>
        <v>MGI:88284</v>
      </c>
      <c r="P564" t="s">
        <v>3203</v>
      </c>
      <c r="Q564" t="s">
        <v>598</v>
      </c>
      <c r="R564" t="s">
        <v>418</v>
      </c>
      <c r="S564" t="s">
        <v>32</v>
      </c>
      <c r="T564" t="s">
        <v>32</v>
      </c>
      <c r="U564" t="s">
        <v>32</v>
      </c>
      <c r="V564" t="s">
        <v>32</v>
      </c>
      <c r="W564" t="s">
        <v>3204</v>
      </c>
      <c r="X564" t="s">
        <v>600</v>
      </c>
      <c r="Y564" t="s">
        <v>157</v>
      </c>
      <c r="Z564" t="s">
        <v>32</v>
      </c>
      <c r="AA564" t="s">
        <v>6861</v>
      </c>
      <c r="AB564" t="s">
        <v>6862</v>
      </c>
      <c r="AC564" t="s">
        <v>6863</v>
      </c>
      <c r="AD564" t="s">
        <v>32</v>
      </c>
      <c r="AE564" t="s">
        <v>6864</v>
      </c>
      <c r="AF564" t="s">
        <v>46835</v>
      </c>
    </row>
    <row r="565" spans="1:32" x14ac:dyDescent="0.2">
      <c r="A565">
        <v>560</v>
      </c>
      <c r="B565" t="s">
        <v>6865</v>
      </c>
      <c r="C565" t="s">
        <v>6866</v>
      </c>
      <c r="D565" t="s">
        <v>6867</v>
      </c>
      <c r="E565" t="s">
        <v>6868</v>
      </c>
      <c r="F565" t="s">
        <v>6869</v>
      </c>
      <c r="G565" t="s">
        <v>6870</v>
      </c>
      <c r="H565" t="str">
        <f>"Numa1"</f>
        <v>Numa1</v>
      </c>
      <c r="I565" t="s">
        <v>32</v>
      </c>
      <c r="J565" t="s">
        <v>37</v>
      </c>
      <c r="K565">
        <v>10090</v>
      </c>
      <c r="L565" s="3" t="str">
        <f>HYPERLINK("http://www.uniprot.org/uniprot/E9Q7G0", "E9Q7G0")</f>
        <v>E9Q7G0</v>
      </c>
      <c r="M565" t="s">
        <v>6871</v>
      </c>
      <c r="N565" t="str">
        <f>"Numa1"</f>
        <v>Numa1</v>
      </c>
      <c r="O565" s="3" t="str">
        <f>HYPERLINK("http://www.informatics.jax.org/marker/MGI:2443665", "MGI:2443665")</f>
        <v>MGI:2443665</v>
      </c>
      <c r="P565" t="s">
        <v>6872</v>
      </c>
      <c r="Q565" t="s">
        <v>6873</v>
      </c>
      <c r="R565" t="s">
        <v>6874</v>
      </c>
      <c r="S565" t="s">
        <v>32</v>
      </c>
      <c r="T565" t="s">
        <v>32</v>
      </c>
      <c r="U565" t="s">
        <v>32</v>
      </c>
      <c r="V565" t="s">
        <v>290</v>
      </c>
      <c r="W565" t="s">
        <v>584</v>
      </c>
      <c r="X565" t="s">
        <v>32</v>
      </c>
      <c r="Y565" t="s">
        <v>6875</v>
      </c>
      <c r="Z565" t="s">
        <v>32</v>
      </c>
      <c r="AA565" t="s">
        <v>6876</v>
      </c>
      <c r="AB565" t="s">
        <v>6877</v>
      </c>
      <c r="AC565" t="s">
        <v>6878</v>
      </c>
      <c r="AD565" t="s">
        <v>32</v>
      </c>
      <c r="AE565" t="s">
        <v>6879</v>
      </c>
      <c r="AF565" t="s">
        <v>46835</v>
      </c>
    </row>
    <row r="566" spans="1:32" x14ac:dyDescent="0.2">
      <c r="A566">
        <v>561</v>
      </c>
      <c r="B566" t="s">
        <v>6880</v>
      </c>
      <c r="C566" t="s">
        <v>6881</v>
      </c>
      <c r="D566" t="s">
        <v>6882</v>
      </c>
      <c r="E566" t="s">
        <v>6883</v>
      </c>
      <c r="F566" t="s">
        <v>6884</v>
      </c>
      <c r="G566" t="s">
        <v>6885</v>
      </c>
      <c r="H566" t="str">
        <f>"Uqcrc2"</f>
        <v>Uqcrc2</v>
      </c>
      <c r="I566" t="s">
        <v>32</v>
      </c>
      <c r="J566" t="s">
        <v>37</v>
      </c>
      <c r="K566">
        <v>10090</v>
      </c>
      <c r="L566" s="3" t="str">
        <f>HYPERLINK("http://www.uniprot.org/uniprot/Q9DB77", "Q9DB77")</f>
        <v>Q9DB77</v>
      </c>
      <c r="M566" t="s">
        <v>6886</v>
      </c>
      <c r="N566" t="str">
        <f>"Uqcrc2"</f>
        <v>Uqcrc2</v>
      </c>
      <c r="O566" s="3" t="str">
        <f>HYPERLINK("http://www.informatics.jax.org/marker/MGI:1914253", "MGI:1914253")</f>
        <v>MGI:1914253</v>
      </c>
      <c r="P566" t="s">
        <v>6887</v>
      </c>
      <c r="Q566" t="s">
        <v>6888</v>
      </c>
      <c r="R566" t="s">
        <v>3858</v>
      </c>
      <c r="S566" t="s">
        <v>32</v>
      </c>
      <c r="T566" t="s">
        <v>32</v>
      </c>
      <c r="U566" t="s">
        <v>32</v>
      </c>
      <c r="V566" t="s">
        <v>1039</v>
      </c>
      <c r="W566" t="s">
        <v>32</v>
      </c>
      <c r="X566" t="s">
        <v>32</v>
      </c>
      <c r="Y566" t="s">
        <v>157</v>
      </c>
      <c r="Z566" t="s">
        <v>126</v>
      </c>
      <c r="AA566" t="s">
        <v>6889</v>
      </c>
      <c r="AB566" t="s">
        <v>6890</v>
      </c>
      <c r="AC566" t="s">
        <v>6891</v>
      </c>
      <c r="AD566" t="s">
        <v>32</v>
      </c>
      <c r="AE566" t="s">
        <v>4604</v>
      </c>
      <c r="AF566" t="s">
        <v>46835</v>
      </c>
    </row>
    <row r="567" spans="1:32" x14ac:dyDescent="0.2">
      <c r="A567">
        <v>562</v>
      </c>
      <c r="B567" t="s">
        <v>6892</v>
      </c>
      <c r="C567" t="s">
        <v>6893</v>
      </c>
      <c r="D567" t="s">
        <v>6894</v>
      </c>
      <c r="E567" t="s">
        <v>6895</v>
      </c>
      <c r="F567" t="s">
        <v>6896</v>
      </c>
      <c r="G567" t="s">
        <v>32</v>
      </c>
      <c r="H567" t="str">
        <f>"Hectd1"</f>
        <v>Hectd1</v>
      </c>
      <c r="I567" t="s">
        <v>6897</v>
      </c>
      <c r="J567" t="s">
        <v>37</v>
      </c>
      <c r="K567">
        <v>10090</v>
      </c>
      <c r="L567" s="3" t="str">
        <f>HYPERLINK("http://www.uniprot.org/uniprot/Q69ZR2", "Q69ZR2")</f>
        <v>Q69ZR2</v>
      </c>
      <c r="M567" t="s">
        <v>6898</v>
      </c>
      <c r="N567" t="str">
        <f>"Hectd1"</f>
        <v>Hectd1</v>
      </c>
      <c r="O567" s="3" t="str">
        <f>HYPERLINK("http://www.informatics.jax.org/marker/MGI:2384768", "MGI:2384768")</f>
        <v>MGI:2384768</v>
      </c>
      <c r="P567" t="s">
        <v>6899</v>
      </c>
      <c r="Q567" t="s">
        <v>1020</v>
      </c>
      <c r="R567" t="s">
        <v>32</v>
      </c>
      <c r="S567" t="s">
        <v>32</v>
      </c>
      <c r="T567" t="s">
        <v>32</v>
      </c>
      <c r="U567" t="s">
        <v>32</v>
      </c>
      <c r="V567" t="s">
        <v>912</v>
      </c>
      <c r="W567" t="s">
        <v>32</v>
      </c>
      <c r="X567" t="s">
        <v>515</v>
      </c>
      <c r="Y567" t="s">
        <v>618</v>
      </c>
      <c r="Z567" t="s">
        <v>32</v>
      </c>
      <c r="AA567" t="s">
        <v>6900</v>
      </c>
      <c r="AB567" t="s">
        <v>6901</v>
      </c>
      <c r="AC567" t="s">
        <v>6902</v>
      </c>
      <c r="AD567" t="s">
        <v>1027</v>
      </c>
      <c r="AE567" t="s">
        <v>4220</v>
      </c>
      <c r="AF567" t="s">
        <v>46835</v>
      </c>
    </row>
    <row r="568" spans="1:32" x14ac:dyDescent="0.2">
      <c r="A568">
        <v>563</v>
      </c>
      <c r="B568" t="s">
        <v>6903</v>
      </c>
      <c r="C568" t="s">
        <v>6904</v>
      </c>
      <c r="D568" t="s">
        <v>6905</v>
      </c>
      <c r="E568" t="s">
        <v>6906</v>
      </c>
      <c r="F568" t="s">
        <v>6907</v>
      </c>
      <c r="G568" t="s">
        <v>6908</v>
      </c>
      <c r="H568" t="str">
        <f>"Ola1"</f>
        <v>Ola1</v>
      </c>
      <c r="I568" t="s">
        <v>6909</v>
      </c>
      <c r="J568" t="s">
        <v>37</v>
      </c>
      <c r="K568">
        <v>10090</v>
      </c>
      <c r="L568" s="3" t="str">
        <f>HYPERLINK("http://www.uniprot.org/uniprot/Q9CZ30", "Q9CZ30")</f>
        <v>Q9CZ30</v>
      </c>
      <c r="M568" t="s">
        <v>6910</v>
      </c>
      <c r="N568" t="str">
        <f>"Ola1"</f>
        <v>Ola1</v>
      </c>
      <c r="O568" s="3" t="str">
        <f>HYPERLINK("http://www.informatics.jax.org/marker/MGI:1914309", "MGI:1914309")</f>
        <v>MGI:1914309</v>
      </c>
      <c r="P568" t="s">
        <v>6911</v>
      </c>
      <c r="Q568" t="s">
        <v>32</v>
      </c>
      <c r="R568" t="s">
        <v>40</v>
      </c>
      <c r="S568" t="s">
        <v>41</v>
      </c>
      <c r="T568" t="s">
        <v>32</v>
      </c>
      <c r="U568" t="s">
        <v>32</v>
      </c>
      <c r="V568" t="s">
        <v>32</v>
      </c>
      <c r="W568" t="s">
        <v>1266</v>
      </c>
      <c r="X568" t="s">
        <v>343</v>
      </c>
      <c r="Y568" t="s">
        <v>78</v>
      </c>
      <c r="Z568" t="s">
        <v>32</v>
      </c>
      <c r="AA568" t="s">
        <v>6912</v>
      </c>
      <c r="AB568" t="s">
        <v>6913</v>
      </c>
      <c r="AC568" t="s">
        <v>6914</v>
      </c>
      <c r="AD568" t="s">
        <v>32</v>
      </c>
      <c r="AE568" t="s">
        <v>2235</v>
      </c>
      <c r="AF568" t="s">
        <v>46835</v>
      </c>
    </row>
    <row r="569" spans="1:32" x14ac:dyDescent="0.2">
      <c r="A569">
        <v>564</v>
      </c>
      <c r="B569" t="s">
        <v>6915</v>
      </c>
      <c r="C569" t="s">
        <v>6916</v>
      </c>
      <c r="D569" t="s">
        <v>6917</v>
      </c>
      <c r="E569" t="s">
        <v>6918</v>
      </c>
      <c r="F569" t="s">
        <v>6919</v>
      </c>
      <c r="G569" t="s">
        <v>32</v>
      </c>
      <c r="H569" t="str">
        <f>"Actn1"</f>
        <v>Actn1</v>
      </c>
      <c r="I569" t="s">
        <v>32</v>
      </c>
      <c r="J569" t="s">
        <v>37</v>
      </c>
      <c r="K569">
        <v>10090</v>
      </c>
      <c r="L569" s="3" t="str">
        <f>HYPERLINK("http://www.uniprot.org/uniprot/Q7TPR4", "Q7TPR4")</f>
        <v>Q7TPR4</v>
      </c>
      <c r="M569" t="s">
        <v>6920</v>
      </c>
      <c r="N569" t="str">
        <f>"Actn1"</f>
        <v>Actn1</v>
      </c>
      <c r="O569" s="3" t="str">
        <f>HYPERLINK("http://www.informatics.jax.org/marker/MGI:2137706", "MGI:2137706")</f>
        <v>MGI:2137706</v>
      </c>
      <c r="P569" t="s">
        <v>6921</v>
      </c>
      <c r="Q569" t="s">
        <v>32</v>
      </c>
      <c r="R569" t="s">
        <v>2800</v>
      </c>
      <c r="S569" t="s">
        <v>32</v>
      </c>
      <c r="T569" t="s">
        <v>32</v>
      </c>
      <c r="U569" t="s">
        <v>32</v>
      </c>
      <c r="V569" t="s">
        <v>55</v>
      </c>
      <c r="W569" t="s">
        <v>188</v>
      </c>
      <c r="X569" t="s">
        <v>405</v>
      </c>
      <c r="Y569" t="s">
        <v>157</v>
      </c>
      <c r="Z569" t="s">
        <v>126</v>
      </c>
      <c r="AA569" t="s">
        <v>6922</v>
      </c>
      <c r="AB569" t="s">
        <v>6923</v>
      </c>
      <c r="AC569" t="s">
        <v>6924</v>
      </c>
      <c r="AD569" t="s">
        <v>32</v>
      </c>
      <c r="AE569" t="s">
        <v>6925</v>
      </c>
      <c r="AF569" t="s">
        <v>46835</v>
      </c>
    </row>
    <row r="570" spans="1:32" x14ac:dyDescent="0.2">
      <c r="A570">
        <v>565</v>
      </c>
      <c r="B570" t="s">
        <v>6926</v>
      </c>
      <c r="C570" t="s">
        <v>6927</v>
      </c>
      <c r="D570" t="s">
        <v>6928</v>
      </c>
      <c r="E570" t="s">
        <v>6929</v>
      </c>
      <c r="F570" t="s">
        <v>6930</v>
      </c>
      <c r="G570" t="s">
        <v>6931</v>
      </c>
      <c r="H570" t="str">
        <f>"Igf2bp3"</f>
        <v>Igf2bp3</v>
      </c>
      <c r="I570" t="s">
        <v>6932</v>
      </c>
      <c r="J570" t="s">
        <v>37</v>
      </c>
      <c r="K570">
        <v>10090</v>
      </c>
      <c r="L570" s="3" t="str">
        <f>HYPERLINK("http://www.uniprot.org/uniprot/Q9CPN8", "Q9CPN8")</f>
        <v>Q9CPN8</v>
      </c>
      <c r="M570" t="s">
        <v>6933</v>
      </c>
      <c r="N570" t="str">
        <f>"Igf2bp3"</f>
        <v>Igf2bp3</v>
      </c>
      <c r="O570" s="3" t="str">
        <f>HYPERLINK("http://www.informatics.jax.org/marker/MGI:1890359", "MGI:1890359")</f>
        <v>MGI:1890359</v>
      </c>
      <c r="P570" t="s">
        <v>6934</v>
      </c>
      <c r="Q570" t="s">
        <v>3276</v>
      </c>
      <c r="R570" t="s">
        <v>40</v>
      </c>
      <c r="S570" t="s">
        <v>32</v>
      </c>
      <c r="T570" t="s">
        <v>32</v>
      </c>
      <c r="U570" t="s">
        <v>32</v>
      </c>
      <c r="V570" t="s">
        <v>55</v>
      </c>
      <c r="W570" t="s">
        <v>32</v>
      </c>
      <c r="X570" t="s">
        <v>1282</v>
      </c>
      <c r="Y570" t="s">
        <v>1007</v>
      </c>
      <c r="Z570" t="s">
        <v>32</v>
      </c>
      <c r="AA570" t="s">
        <v>6935</v>
      </c>
      <c r="AB570" t="s">
        <v>6936</v>
      </c>
      <c r="AC570" t="s">
        <v>6937</v>
      </c>
      <c r="AD570" t="s">
        <v>32</v>
      </c>
      <c r="AE570" t="s">
        <v>32</v>
      </c>
      <c r="AF570" t="s">
        <v>46835</v>
      </c>
    </row>
    <row r="571" spans="1:32" x14ac:dyDescent="0.2">
      <c r="A571">
        <v>566</v>
      </c>
      <c r="B571" t="s">
        <v>6938</v>
      </c>
      <c r="C571" t="s">
        <v>6939</v>
      </c>
      <c r="D571" t="s">
        <v>6940</v>
      </c>
      <c r="E571" t="s">
        <v>6941</v>
      </c>
      <c r="F571" t="s">
        <v>6942</v>
      </c>
      <c r="G571" t="s">
        <v>6943</v>
      </c>
      <c r="H571" t="str">
        <f>"Rpn2"</f>
        <v>Rpn2</v>
      </c>
      <c r="I571" t="s">
        <v>32</v>
      </c>
      <c r="J571" t="s">
        <v>37</v>
      </c>
      <c r="K571">
        <v>10090</v>
      </c>
      <c r="L571" s="3" t="str">
        <f>HYPERLINK("http://www.uniprot.org/uniprot/Q9DBG6", "Q9DBG6")</f>
        <v>Q9DBG6</v>
      </c>
      <c r="M571" t="s">
        <v>6944</v>
      </c>
      <c r="N571" t="str">
        <f>"Rpn2"</f>
        <v>Rpn2</v>
      </c>
      <c r="O571" s="3" t="str">
        <f>HYPERLINK("http://www.informatics.jax.org/marker/MGI:98085", "MGI:98085")</f>
        <v>MGI:98085</v>
      </c>
      <c r="P571" t="s">
        <v>6945</v>
      </c>
      <c r="Q571" t="s">
        <v>32</v>
      </c>
      <c r="R571" t="s">
        <v>1664</v>
      </c>
      <c r="S571" t="s">
        <v>32</v>
      </c>
      <c r="T571" t="s">
        <v>32</v>
      </c>
      <c r="U571" t="s">
        <v>32</v>
      </c>
      <c r="V571" t="s">
        <v>3948</v>
      </c>
      <c r="W571" t="s">
        <v>32</v>
      </c>
      <c r="X571" t="s">
        <v>32</v>
      </c>
      <c r="Y571" t="s">
        <v>6946</v>
      </c>
      <c r="Z571" t="s">
        <v>126</v>
      </c>
      <c r="AA571" t="s">
        <v>6947</v>
      </c>
      <c r="AB571" t="s">
        <v>6948</v>
      </c>
      <c r="AC571" t="s">
        <v>6949</v>
      </c>
      <c r="AD571" t="s">
        <v>3952</v>
      </c>
      <c r="AE571" t="s">
        <v>32</v>
      </c>
      <c r="AF571" t="s">
        <v>46835</v>
      </c>
    </row>
    <row r="572" spans="1:32" x14ac:dyDescent="0.2">
      <c r="A572">
        <v>567</v>
      </c>
      <c r="B572" t="s">
        <v>6950</v>
      </c>
      <c r="C572" t="s">
        <v>6951</v>
      </c>
      <c r="D572" t="s">
        <v>6952</v>
      </c>
      <c r="E572" t="s">
        <v>6953</v>
      </c>
      <c r="F572" t="s">
        <v>6954</v>
      </c>
      <c r="G572" t="s">
        <v>6955</v>
      </c>
      <c r="H572" t="str">
        <f>"Atp6v1b2"</f>
        <v>Atp6v1b2</v>
      </c>
      <c r="I572" t="s">
        <v>6956</v>
      </c>
      <c r="J572" t="s">
        <v>37</v>
      </c>
      <c r="K572">
        <v>10090</v>
      </c>
      <c r="L572" s="3" t="str">
        <f>HYPERLINK("http://www.uniprot.org/uniprot/P62814", "P62814")</f>
        <v>P62814</v>
      </c>
      <c r="M572" t="s">
        <v>6957</v>
      </c>
      <c r="N572" t="str">
        <f>"Atp6v1b2"</f>
        <v>Atp6v1b2</v>
      </c>
      <c r="O572" s="3" t="str">
        <f>HYPERLINK("http://www.informatics.jax.org/marker/MGI:109618", "MGI:109618")</f>
        <v>MGI:109618</v>
      </c>
      <c r="P572" t="s">
        <v>6958</v>
      </c>
      <c r="Q572" t="s">
        <v>4257</v>
      </c>
      <c r="R572" t="s">
        <v>6959</v>
      </c>
      <c r="S572" t="s">
        <v>32</v>
      </c>
      <c r="T572" t="s">
        <v>32</v>
      </c>
      <c r="U572" t="s">
        <v>32</v>
      </c>
      <c r="V572" t="s">
        <v>32</v>
      </c>
      <c r="W572" t="s">
        <v>205</v>
      </c>
      <c r="X572" t="s">
        <v>32</v>
      </c>
      <c r="Y572" t="s">
        <v>32</v>
      </c>
      <c r="Z572" t="s">
        <v>32</v>
      </c>
      <c r="AA572" t="s">
        <v>6960</v>
      </c>
      <c r="AB572" t="s">
        <v>6961</v>
      </c>
      <c r="AC572" t="s">
        <v>6962</v>
      </c>
      <c r="AD572" t="s">
        <v>32</v>
      </c>
      <c r="AE572" t="s">
        <v>6963</v>
      </c>
      <c r="AF572" t="s">
        <v>46835</v>
      </c>
    </row>
    <row r="573" spans="1:32" x14ac:dyDescent="0.2">
      <c r="A573">
        <v>568</v>
      </c>
      <c r="B573" t="s">
        <v>6964</v>
      </c>
      <c r="C573" t="s">
        <v>6965</v>
      </c>
      <c r="D573" t="s">
        <v>6966</v>
      </c>
      <c r="E573" t="s">
        <v>6967</v>
      </c>
      <c r="F573" t="s">
        <v>6968</v>
      </c>
      <c r="G573" t="s">
        <v>6969</v>
      </c>
      <c r="H573" t="str">
        <f>"Ipo7"</f>
        <v>Ipo7</v>
      </c>
      <c r="I573" t="s">
        <v>6970</v>
      </c>
      <c r="J573" t="s">
        <v>37</v>
      </c>
      <c r="K573">
        <v>10090</v>
      </c>
      <c r="L573" s="3" t="str">
        <f>HYPERLINK("http://www.uniprot.org/uniprot/Q9EPL8", "Q9EPL8")</f>
        <v>Q9EPL8</v>
      </c>
      <c r="M573" t="s">
        <v>6971</v>
      </c>
      <c r="N573" t="str">
        <f>"Ipo7"</f>
        <v>Ipo7</v>
      </c>
      <c r="O573" s="3" t="str">
        <f>HYPERLINK("http://www.informatics.jax.org/marker/MGI:2152414", "MGI:2152414")</f>
        <v>MGI:2152414</v>
      </c>
      <c r="P573" t="s">
        <v>5967</v>
      </c>
      <c r="Q573" t="s">
        <v>434</v>
      </c>
      <c r="R573" t="s">
        <v>40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32</v>
      </c>
      <c r="Y573" t="s">
        <v>157</v>
      </c>
      <c r="Z573" t="s">
        <v>32</v>
      </c>
      <c r="AA573" t="s">
        <v>6972</v>
      </c>
      <c r="AB573" t="s">
        <v>5969</v>
      </c>
      <c r="AC573" t="s">
        <v>6973</v>
      </c>
      <c r="AD573" t="s">
        <v>32</v>
      </c>
      <c r="AE573" t="s">
        <v>32</v>
      </c>
      <c r="AF573" t="s">
        <v>46835</v>
      </c>
    </row>
    <row r="574" spans="1:32" x14ac:dyDescent="0.2">
      <c r="A574">
        <v>569</v>
      </c>
      <c r="B574" t="s">
        <v>6974</v>
      </c>
      <c r="C574" t="s">
        <v>6975</v>
      </c>
      <c r="D574" t="s">
        <v>6976</v>
      </c>
      <c r="E574" t="s">
        <v>6977</v>
      </c>
      <c r="F574" t="s">
        <v>6978</v>
      </c>
      <c r="G574" t="s">
        <v>6979</v>
      </c>
      <c r="H574" t="str">
        <f>"Igf2r"</f>
        <v>Igf2r</v>
      </c>
      <c r="I574" t="s">
        <v>32</v>
      </c>
      <c r="J574" t="s">
        <v>37</v>
      </c>
      <c r="K574">
        <v>10090</v>
      </c>
      <c r="L574" s="3" t="str">
        <f>HYPERLINK("http://www.uniprot.org/uniprot/Q07113", "Q07113")</f>
        <v>Q07113</v>
      </c>
      <c r="M574" t="s">
        <v>6980</v>
      </c>
      <c r="N574" t="str">
        <f>"Igf2r"</f>
        <v>Igf2r</v>
      </c>
      <c r="O574" s="3" t="str">
        <f>HYPERLINK("http://www.informatics.jax.org/marker/MGI:96435", "MGI:96435")</f>
        <v>MGI:96435</v>
      </c>
      <c r="P574" t="s">
        <v>6981</v>
      </c>
      <c r="Q574" t="s">
        <v>4425</v>
      </c>
      <c r="R574" t="s">
        <v>6982</v>
      </c>
      <c r="S574" t="s">
        <v>32</v>
      </c>
      <c r="T574" t="s">
        <v>32</v>
      </c>
      <c r="U574" t="s">
        <v>32</v>
      </c>
      <c r="V574" t="s">
        <v>1665</v>
      </c>
      <c r="W574" t="s">
        <v>32</v>
      </c>
      <c r="X574" t="s">
        <v>6983</v>
      </c>
      <c r="Y574" t="s">
        <v>6984</v>
      </c>
      <c r="Z574" t="s">
        <v>32</v>
      </c>
      <c r="AA574" t="s">
        <v>6985</v>
      </c>
      <c r="AB574" t="s">
        <v>6986</v>
      </c>
      <c r="AC574" t="s">
        <v>6987</v>
      </c>
      <c r="AD574" t="s">
        <v>32</v>
      </c>
      <c r="AE574" t="s">
        <v>6988</v>
      </c>
      <c r="AF574" t="s">
        <v>46835</v>
      </c>
    </row>
    <row r="575" spans="1:32" x14ac:dyDescent="0.2">
      <c r="A575">
        <v>570</v>
      </c>
      <c r="B575" t="s">
        <v>6989</v>
      </c>
      <c r="C575" t="s">
        <v>6990</v>
      </c>
      <c r="D575" t="s">
        <v>6991</v>
      </c>
      <c r="E575" t="s">
        <v>6992</v>
      </c>
      <c r="F575" t="s">
        <v>6993</v>
      </c>
      <c r="G575" t="s">
        <v>6994</v>
      </c>
      <c r="H575" t="str">
        <f>"Sae1"</f>
        <v>Sae1</v>
      </c>
      <c r="I575" t="s">
        <v>6995</v>
      </c>
      <c r="J575" t="s">
        <v>37</v>
      </c>
      <c r="K575">
        <v>10090</v>
      </c>
      <c r="L575" s="3" t="str">
        <f>HYPERLINK("http://www.uniprot.org/uniprot/Q9R1T2", "Q9R1T2")</f>
        <v>Q9R1T2</v>
      </c>
      <c r="M575" t="s">
        <v>6996</v>
      </c>
      <c r="N575" t="str">
        <f>"Sae1"</f>
        <v>Sae1</v>
      </c>
      <c r="O575" s="3" t="str">
        <f>HYPERLINK("http://www.informatics.jax.org/marker/MGI:1929264", "MGI:1929264")</f>
        <v>MGI:1929264</v>
      </c>
      <c r="P575" t="s">
        <v>6997</v>
      </c>
      <c r="Q575" t="s">
        <v>1020</v>
      </c>
      <c r="R575" t="s">
        <v>2279</v>
      </c>
      <c r="S575" t="s">
        <v>41</v>
      </c>
      <c r="T575" t="s">
        <v>32</v>
      </c>
      <c r="U575" t="s">
        <v>32</v>
      </c>
      <c r="V575" t="s">
        <v>32</v>
      </c>
      <c r="W575" t="s">
        <v>32</v>
      </c>
      <c r="X575" t="s">
        <v>1022</v>
      </c>
      <c r="Y575" t="s">
        <v>157</v>
      </c>
      <c r="Z575" t="s">
        <v>32</v>
      </c>
      <c r="AA575" t="s">
        <v>6998</v>
      </c>
      <c r="AB575" t="s">
        <v>6999</v>
      </c>
      <c r="AC575" t="s">
        <v>7000</v>
      </c>
      <c r="AD575" t="s">
        <v>2286</v>
      </c>
      <c r="AE575" t="s">
        <v>7001</v>
      </c>
      <c r="AF575" t="s">
        <v>46835</v>
      </c>
    </row>
    <row r="576" spans="1:32" x14ac:dyDescent="0.2">
      <c r="A576">
        <v>571</v>
      </c>
      <c r="B576" t="s">
        <v>7002</v>
      </c>
      <c r="C576" t="s">
        <v>7003</v>
      </c>
      <c r="D576" t="s">
        <v>7004</v>
      </c>
      <c r="E576" t="s">
        <v>7005</v>
      </c>
      <c r="F576" t="s">
        <v>7006</v>
      </c>
      <c r="G576" t="s">
        <v>7007</v>
      </c>
      <c r="H576" t="str">
        <f>"Epb41l3"</f>
        <v>Epb41l3</v>
      </c>
      <c r="I576" t="s">
        <v>32</v>
      </c>
      <c r="J576" t="s">
        <v>37</v>
      </c>
      <c r="K576">
        <v>10090</v>
      </c>
      <c r="L576" s="3" t="str">
        <f>HYPERLINK("http://www.uniprot.org/uniprot/Q9WV92", "Q9WV92")</f>
        <v>Q9WV92</v>
      </c>
      <c r="M576" t="s">
        <v>7008</v>
      </c>
      <c r="N576" t="str">
        <f>"Epb41l3"</f>
        <v>Epb41l3</v>
      </c>
      <c r="O576" s="3" t="str">
        <f>HYPERLINK("http://www.informatics.jax.org/marker/MGI:103008", "MGI:103008")</f>
        <v>MGI:103008</v>
      </c>
      <c r="P576" t="s">
        <v>7009</v>
      </c>
      <c r="Q576" t="s">
        <v>541</v>
      </c>
      <c r="R576" t="s">
        <v>3015</v>
      </c>
      <c r="S576" t="s">
        <v>41</v>
      </c>
      <c r="T576" t="s">
        <v>32</v>
      </c>
      <c r="U576" t="s">
        <v>1636</v>
      </c>
      <c r="V576" t="s">
        <v>32</v>
      </c>
      <c r="W576" t="s">
        <v>32</v>
      </c>
      <c r="X576" t="s">
        <v>405</v>
      </c>
      <c r="Y576" t="s">
        <v>157</v>
      </c>
      <c r="Z576" t="s">
        <v>32</v>
      </c>
      <c r="AA576" t="s">
        <v>7010</v>
      </c>
      <c r="AB576" t="s">
        <v>7011</v>
      </c>
      <c r="AC576" t="s">
        <v>7012</v>
      </c>
      <c r="AD576" t="s">
        <v>32</v>
      </c>
      <c r="AE576" t="s">
        <v>2108</v>
      </c>
      <c r="AF576" t="s">
        <v>46835</v>
      </c>
    </row>
    <row r="577" spans="1:32" x14ac:dyDescent="0.2">
      <c r="A577">
        <v>572</v>
      </c>
      <c r="B577" t="s">
        <v>7013</v>
      </c>
      <c r="C577" t="s">
        <v>7014</v>
      </c>
      <c r="D577" t="s">
        <v>7015</v>
      </c>
      <c r="E577" t="s">
        <v>7016</v>
      </c>
      <c r="F577" t="s">
        <v>7017</v>
      </c>
      <c r="G577" t="s">
        <v>7018</v>
      </c>
      <c r="H577" t="str">
        <f>"Ap2b1"</f>
        <v>Ap2b1</v>
      </c>
      <c r="I577" t="s">
        <v>7019</v>
      </c>
      <c r="J577" t="s">
        <v>37</v>
      </c>
      <c r="K577">
        <v>10090</v>
      </c>
      <c r="L577" s="3" t="str">
        <f>HYPERLINK("http://www.uniprot.org/uniprot/Q9DBG3", "Q9DBG3")</f>
        <v>Q9DBG3</v>
      </c>
      <c r="M577" t="s">
        <v>7020</v>
      </c>
      <c r="N577" t="str">
        <f>"Ap2b1"</f>
        <v>Ap2b1</v>
      </c>
      <c r="O577" s="3" t="str">
        <f>HYPERLINK("http://www.informatics.jax.org/marker/MGI:1919020", "MGI:1919020")</f>
        <v>MGI:1919020</v>
      </c>
      <c r="P577" t="s">
        <v>7021</v>
      </c>
      <c r="Q577" t="s">
        <v>910</v>
      </c>
      <c r="R577" t="s">
        <v>7022</v>
      </c>
      <c r="S577" t="s">
        <v>41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t="s">
        <v>157</v>
      </c>
      <c r="Z577" t="s">
        <v>126</v>
      </c>
      <c r="AA577" t="s">
        <v>7023</v>
      </c>
      <c r="AB577" t="s">
        <v>7024</v>
      </c>
      <c r="AC577" t="s">
        <v>7025</v>
      </c>
      <c r="AD577" t="s">
        <v>32</v>
      </c>
      <c r="AE577" t="s">
        <v>7026</v>
      </c>
      <c r="AF577" t="s">
        <v>46835</v>
      </c>
    </row>
    <row r="578" spans="1:32" x14ac:dyDescent="0.2">
      <c r="A578">
        <v>573</v>
      </c>
      <c r="B578" t="s">
        <v>7027</v>
      </c>
      <c r="C578" t="s">
        <v>7028</v>
      </c>
      <c r="D578" t="s">
        <v>7029</v>
      </c>
      <c r="E578" t="s">
        <v>7030</v>
      </c>
      <c r="F578" t="s">
        <v>7031</v>
      </c>
      <c r="G578" t="s">
        <v>7032</v>
      </c>
      <c r="H578" t="str">
        <f>"Uqcrc1"</f>
        <v>Uqcrc1</v>
      </c>
      <c r="I578" t="s">
        <v>32</v>
      </c>
      <c r="J578" t="s">
        <v>37</v>
      </c>
      <c r="K578">
        <v>10090</v>
      </c>
      <c r="L578" s="3" t="str">
        <f>HYPERLINK("http://www.uniprot.org/uniprot/Q9CZ13", "Q9CZ13")</f>
        <v>Q9CZ13</v>
      </c>
      <c r="M578" t="s">
        <v>7033</v>
      </c>
      <c r="N578" t="str">
        <f>"Uqcrc1"</f>
        <v>Uqcrc1</v>
      </c>
      <c r="O578" s="3" t="str">
        <f>HYPERLINK("http://www.informatics.jax.org/marker/MGI:107876", "MGI:107876")</f>
        <v>MGI:107876</v>
      </c>
      <c r="P578" t="s">
        <v>6887</v>
      </c>
      <c r="Q578" t="s">
        <v>6888</v>
      </c>
      <c r="R578" t="s">
        <v>3858</v>
      </c>
      <c r="S578" t="s">
        <v>32</v>
      </c>
      <c r="T578" t="s">
        <v>32</v>
      </c>
      <c r="U578" t="s">
        <v>32</v>
      </c>
      <c r="V578" t="s">
        <v>1039</v>
      </c>
      <c r="W578" t="s">
        <v>32</v>
      </c>
      <c r="X578" t="s">
        <v>32</v>
      </c>
      <c r="Y578" t="s">
        <v>157</v>
      </c>
      <c r="Z578" t="s">
        <v>126</v>
      </c>
      <c r="AA578" t="s">
        <v>7034</v>
      </c>
      <c r="AB578" t="s">
        <v>7035</v>
      </c>
      <c r="AC578" t="s">
        <v>7036</v>
      </c>
      <c r="AD578" t="s">
        <v>32</v>
      </c>
      <c r="AE578" t="s">
        <v>4604</v>
      </c>
      <c r="AF578" t="s">
        <v>46835</v>
      </c>
    </row>
    <row r="579" spans="1:32" x14ac:dyDescent="0.2">
      <c r="A579">
        <v>574</v>
      </c>
      <c r="B579" t="s">
        <v>7037</v>
      </c>
      <c r="C579" t="s">
        <v>7038</v>
      </c>
      <c r="D579" t="s">
        <v>7039</v>
      </c>
      <c r="E579" t="s">
        <v>7040</v>
      </c>
      <c r="F579" t="s">
        <v>7041</v>
      </c>
      <c r="G579" t="s">
        <v>7042</v>
      </c>
      <c r="H579" t="str">
        <f>"Cnbp"</f>
        <v>Cnbp</v>
      </c>
      <c r="I579" t="s">
        <v>7043</v>
      </c>
      <c r="J579" t="s">
        <v>37</v>
      </c>
      <c r="K579">
        <v>10090</v>
      </c>
      <c r="L579" s="3" t="str">
        <f>HYPERLINK("http://www.uniprot.org/uniprot/P53996", "P53996")</f>
        <v>P53996</v>
      </c>
      <c r="M579" t="s">
        <v>7044</v>
      </c>
      <c r="N579" t="str">
        <f>"Cnbp"</f>
        <v>Cnbp</v>
      </c>
      <c r="O579" s="3" t="str">
        <f>HYPERLINK("http://www.informatics.jax.org/marker/MGI:88431", "MGI:88431")</f>
        <v>MGI:88431</v>
      </c>
      <c r="P579" t="s">
        <v>7045</v>
      </c>
      <c r="Q579" t="s">
        <v>4152</v>
      </c>
      <c r="R579" t="s">
        <v>729</v>
      </c>
      <c r="S579" t="s">
        <v>41</v>
      </c>
      <c r="T579" t="s">
        <v>32</v>
      </c>
      <c r="U579" t="s">
        <v>32</v>
      </c>
      <c r="V579" t="s">
        <v>3791</v>
      </c>
      <c r="W579" t="s">
        <v>42</v>
      </c>
      <c r="X579" t="s">
        <v>7046</v>
      </c>
      <c r="Y579" t="s">
        <v>97</v>
      </c>
      <c r="Z579" t="s">
        <v>32</v>
      </c>
      <c r="AA579" t="s">
        <v>7047</v>
      </c>
      <c r="AB579" t="s">
        <v>7048</v>
      </c>
      <c r="AC579" t="s">
        <v>7049</v>
      </c>
      <c r="AD579" t="s">
        <v>32</v>
      </c>
      <c r="AE579" t="s">
        <v>32</v>
      </c>
      <c r="AF579" t="s">
        <v>46835</v>
      </c>
    </row>
    <row r="580" spans="1:32" x14ac:dyDescent="0.2">
      <c r="A580">
        <v>575</v>
      </c>
      <c r="B580" t="s">
        <v>7050</v>
      </c>
      <c r="C580" t="s">
        <v>7051</v>
      </c>
      <c r="D580" t="s">
        <v>7052</v>
      </c>
      <c r="E580" t="s">
        <v>7053</v>
      </c>
      <c r="F580" t="s">
        <v>7054</v>
      </c>
      <c r="G580" t="s">
        <v>7055</v>
      </c>
      <c r="H580" t="str">
        <f>"Eif4a3"</f>
        <v>Eif4a3</v>
      </c>
      <c r="I580" t="s">
        <v>7056</v>
      </c>
      <c r="J580" t="s">
        <v>37</v>
      </c>
      <c r="K580">
        <v>10090</v>
      </c>
      <c r="L580" s="3" t="str">
        <f>HYPERLINK("http://www.uniprot.org/uniprot/Q91VC3", "Q91VC3")</f>
        <v>Q91VC3</v>
      </c>
      <c r="M580" t="s">
        <v>7057</v>
      </c>
      <c r="N580" t="str">
        <f>"Eif4a3"</f>
        <v>Eif4a3</v>
      </c>
      <c r="O580" s="3" t="str">
        <f>HYPERLINK("http://www.informatics.jax.org/marker/MGI:1923731", "MGI:1923731")</f>
        <v>MGI:1923731</v>
      </c>
      <c r="P580" t="s">
        <v>7058</v>
      </c>
      <c r="Q580" t="s">
        <v>7059</v>
      </c>
      <c r="R580" t="s">
        <v>2219</v>
      </c>
      <c r="S580" t="s">
        <v>32</v>
      </c>
      <c r="T580" t="s">
        <v>32</v>
      </c>
      <c r="U580" t="s">
        <v>32</v>
      </c>
      <c r="V580" t="s">
        <v>32</v>
      </c>
      <c r="W580" t="s">
        <v>205</v>
      </c>
      <c r="X580" t="s">
        <v>5050</v>
      </c>
      <c r="Y580" t="s">
        <v>516</v>
      </c>
      <c r="Z580" t="s">
        <v>32</v>
      </c>
      <c r="AA580" t="s">
        <v>7060</v>
      </c>
      <c r="AB580" t="s">
        <v>7061</v>
      </c>
      <c r="AC580" t="s">
        <v>7062</v>
      </c>
      <c r="AD580" t="s">
        <v>32</v>
      </c>
      <c r="AE580" t="s">
        <v>7063</v>
      </c>
      <c r="AF580" t="s">
        <v>46835</v>
      </c>
    </row>
    <row r="581" spans="1:32" x14ac:dyDescent="0.2">
      <c r="A581">
        <v>576</v>
      </c>
      <c r="B581" t="s">
        <v>7064</v>
      </c>
      <c r="C581" t="s">
        <v>7065</v>
      </c>
      <c r="D581" t="s">
        <v>7066</v>
      </c>
      <c r="E581" t="s">
        <v>7067</v>
      </c>
      <c r="F581" t="s">
        <v>7068</v>
      </c>
      <c r="G581" t="s">
        <v>7069</v>
      </c>
      <c r="H581" t="str">
        <f>"Usp10"</f>
        <v>Usp10</v>
      </c>
      <c r="I581" t="s">
        <v>7070</v>
      </c>
      <c r="J581" t="s">
        <v>37</v>
      </c>
      <c r="K581">
        <v>10090</v>
      </c>
      <c r="L581" s="3" t="str">
        <f>HYPERLINK("http://www.uniprot.org/uniprot/P52479", "P52479")</f>
        <v>P52479</v>
      </c>
      <c r="M581" t="s">
        <v>7071</v>
      </c>
      <c r="N581" t="str">
        <f>"Usp10"</f>
        <v>Usp10</v>
      </c>
      <c r="O581" s="3" t="str">
        <f>HYPERLINK("http://www.informatics.jax.org/marker/MGI:894652", "MGI:894652")</f>
        <v>MGI:894652</v>
      </c>
      <c r="P581" t="s">
        <v>7072</v>
      </c>
      <c r="Q581" t="s">
        <v>7073</v>
      </c>
      <c r="R581" t="s">
        <v>7074</v>
      </c>
      <c r="S581" t="s">
        <v>41</v>
      </c>
      <c r="T581" t="s">
        <v>32</v>
      </c>
      <c r="U581" t="s">
        <v>32</v>
      </c>
      <c r="V581" t="s">
        <v>32</v>
      </c>
      <c r="W581" t="s">
        <v>32</v>
      </c>
      <c r="X581" t="s">
        <v>557</v>
      </c>
      <c r="Y581" t="s">
        <v>1023</v>
      </c>
      <c r="Z581" t="s">
        <v>32</v>
      </c>
      <c r="AA581" t="s">
        <v>7075</v>
      </c>
      <c r="AB581" t="s">
        <v>7076</v>
      </c>
      <c r="AC581" t="s">
        <v>7077</v>
      </c>
      <c r="AD581" t="s">
        <v>32</v>
      </c>
      <c r="AE581" t="s">
        <v>7078</v>
      </c>
      <c r="AF581" t="s">
        <v>46835</v>
      </c>
    </row>
    <row r="582" spans="1:32" x14ac:dyDescent="0.2">
      <c r="A582">
        <v>577</v>
      </c>
      <c r="B582" t="s">
        <v>7079</v>
      </c>
      <c r="C582" t="s">
        <v>7080</v>
      </c>
      <c r="D582" t="s">
        <v>7081</v>
      </c>
      <c r="E582" t="s">
        <v>7082</v>
      </c>
      <c r="F582" t="s">
        <v>7083</v>
      </c>
      <c r="G582" t="s">
        <v>7084</v>
      </c>
      <c r="H582" t="str">
        <f>"Glg1"</f>
        <v>Glg1</v>
      </c>
      <c r="I582" t="s">
        <v>7085</v>
      </c>
      <c r="J582" t="s">
        <v>37</v>
      </c>
      <c r="K582">
        <v>10090</v>
      </c>
      <c r="L582" s="3" t="str">
        <f>HYPERLINK("http://www.uniprot.org/uniprot/Q61543", "Q61543")</f>
        <v>Q61543</v>
      </c>
      <c r="M582" t="s">
        <v>7086</v>
      </c>
      <c r="N582" t="str">
        <f>"Glg1"</f>
        <v>Glg1</v>
      </c>
      <c r="O582" s="3" t="str">
        <f>HYPERLINK("http://www.informatics.jax.org/marker/MGI:104967", "MGI:104967")</f>
        <v>MGI:104967</v>
      </c>
      <c r="P582" t="s">
        <v>7087</v>
      </c>
      <c r="Q582" t="s">
        <v>32</v>
      </c>
      <c r="R582" t="s">
        <v>7088</v>
      </c>
      <c r="S582" t="s">
        <v>32</v>
      </c>
      <c r="T582" t="s">
        <v>32</v>
      </c>
      <c r="U582" t="s">
        <v>32</v>
      </c>
      <c r="V582" t="s">
        <v>1665</v>
      </c>
      <c r="W582" t="s">
        <v>7089</v>
      </c>
      <c r="X582" t="s">
        <v>32</v>
      </c>
      <c r="Y582" t="s">
        <v>4720</v>
      </c>
      <c r="Z582" t="s">
        <v>32</v>
      </c>
      <c r="AA582" t="s">
        <v>7090</v>
      </c>
      <c r="AB582" t="s">
        <v>7091</v>
      </c>
      <c r="AC582" t="s">
        <v>7092</v>
      </c>
      <c r="AD582" t="s">
        <v>32</v>
      </c>
      <c r="AE582" t="s">
        <v>7093</v>
      </c>
      <c r="AF582" t="s">
        <v>46835</v>
      </c>
    </row>
    <row r="583" spans="1:32" x14ac:dyDescent="0.2">
      <c r="A583">
        <v>578</v>
      </c>
      <c r="B583" t="s">
        <v>7094</v>
      </c>
      <c r="C583" t="s">
        <v>7095</v>
      </c>
      <c r="D583" t="s">
        <v>7096</v>
      </c>
      <c r="E583" t="s">
        <v>7097</v>
      </c>
      <c r="F583" t="s">
        <v>7098</v>
      </c>
      <c r="G583" t="s">
        <v>7099</v>
      </c>
      <c r="H583" t="str">
        <f>"Psmd6"</f>
        <v>Psmd6</v>
      </c>
      <c r="I583" t="s">
        <v>32</v>
      </c>
      <c r="J583" t="s">
        <v>37</v>
      </c>
      <c r="K583">
        <v>10090</v>
      </c>
      <c r="L583" s="3" t="str">
        <f>HYPERLINK("http://www.uniprot.org/uniprot/Q99JI4", "Q99JI4")</f>
        <v>Q99JI4</v>
      </c>
      <c r="M583" t="s">
        <v>7100</v>
      </c>
      <c r="N583" t="str">
        <f>"Psmd6"</f>
        <v>Psmd6</v>
      </c>
      <c r="O583" s="3" t="str">
        <f>HYPERLINK("http://www.informatics.jax.org/marker/MGI:1913663", "MGI:1913663")</f>
        <v>MGI:1913663</v>
      </c>
      <c r="P583" t="s">
        <v>3565</v>
      </c>
      <c r="Q583" t="s">
        <v>32</v>
      </c>
      <c r="R583" t="s">
        <v>3565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32</v>
      </c>
      <c r="Y583" t="s">
        <v>32</v>
      </c>
      <c r="Z583" t="s">
        <v>32</v>
      </c>
      <c r="AA583" t="s">
        <v>5542</v>
      </c>
      <c r="AB583" t="s">
        <v>7101</v>
      </c>
      <c r="AC583" t="s">
        <v>3568</v>
      </c>
      <c r="AD583" t="s">
        <v>32</v>
      </c>
      <c r="AE583" t="s">
        <v>2590</v>
      </c>
      <c r="AF583" t="s">
        <v>46835</v>
      </c>
    </row>
    <row r="584" spans="1:32" x14ac:dyDescent="0.2">
      <c r="A584">
        <v>579</v>
      </c>
      <c r="B584" t="s">
        <v>7102</v>
      </c>
      <c r="C584" t="s">
        <v>7103</v>
      </c>
      <c r="D584" t="s">
        <v>7104</v>
      </c>
      <c r="E584" t="s">
        <v>7105</v>
      </c>
      <c r="F584" t="s">
        <v>7106</v>
      </c>
      <c r="G584" t="s">
        <v>32</v>
      </c>
      <c r="H584" t="str">
        <f>"G3bp1"</f>
        <v>G3bp1</v>
      </c>
      <c r="I584" t="s">
        <v>7107</v>
      </c>
      <c r="J584" t="s">
        <v>37</v>
      </c>
      <c r="K584">
        <v>10090</v>
      </c>
      <c r="L584" s="3" t="str">
        <f>HYPERLINK("http://www.uniprot.org/uniprot/P97855", "P97855")</f>
        <v>P97855</v>
      </c>
      <c r="M584" t="s">
        <v>7108</v>
      </c>
      <c r="N584" t="str">
        <f>"G3bp1"</f>
        <v>G3bp1</v>
      </c>
      <c r="O584" s="3" t="str">
        <f>HYPERLINK("http://www.informatics.jax.org/marker/MGI:1351465", "MGI:1351465")</f>
        <v>MGI:1351465</v>
      </c>
      <c r="P584" t="s">
        <v>7109</v>
      </c>
      <c r="Q584" t="s">
        <v>7110</v>
      </c>
      <c r="R584" t="s">
        <v>40</v>
      </c>
      <c r="S584" t="s">
        <v>32</v>
      </c>
      <c r="T584" t="s">
        <v>32</v>
      </c>
      <c r="U584" t="s">
        <v>32</v>
      </c>
      <c r="V584" t="s">
        <v>32</v>
      </c>
      <c r="W584" t="s">
        <v>205</v>
      </c>
      <c r="X584" t="s">
        <v>7111</v>
      </c>
      <c r="Y584" t="s">
        <v>207</v>
      </c>
      <c r="Z584" t="s">
        <v>32</v>
      </c>
      <c r="AA584" t="s">
        <v>7112</v>
      </c>
      <c r="AB584" t="s">
        <v>7113</v>
      </c>
      <c r="AC584" t="s">
        <v>7114</v>
      </c>
      <c r="AD584" t="s">
        <v>32</v>
      </c>
      <c r="AE584" t="s">
        <v>32</v>
      </c>
      <c r="AF584" t="s">
        <v>46835</v>
      </c>
    </row>
    <row r="585" spans="1:32" x14ac:dyDescent="0.2">
      <c r="A585">
        <v>580</v>
      </c>
      <c r="B585" t="s">
        <v>7115</v>
      </c>
      <c r="C585" t="s">
        <v>7116</v>
      </c>
      <c r="D585" t="s">
        <v>7117</v>
      </c>
      <c r="E585" t="s">
        <v>7118</v>
      </c>
      <c r="F585" t="s">
        <v>7119</v>
      </c>
      <c r="G585" t="s">
        <v>7120</v>
      </c>
      <c r="H585" t="str">
        <f>"Itpa"</f>
        <v>Itpa</v>
      </c>
      <c r="I585" t="s">
        <v>32</v>
      </c>
      <c r="J585" t="s">
        <v>37</v>
      </c>
      <c r="K585">
        <v>10090</v>
      </c>
      <c r="L585" s="3" t="str">
        <f>HYPERLINK("http://www.uniprot.org/uniprot/Q9D892", "Q9D892")</f>
        <v>Q9D892</v>
      </c>
      <c r="M585" t="s">
        <v>7121</v>
      </c>
      <c r="N585" t="str">
        <f>"Itpa"</f>
        <v>Itpa</v>
      </c>
      <c r="O585" s="3" t="str">
        <f>HYPERLINK("http://www.informatics.jax.org/marker/MGI:96622", "MGI:96622")</f>
        <v>MGI:96622</v>
      </c>
      <c r="P585" t="s">
        <v>7122</v>
      </c>
      <c r="Q585" t="s">
        <v>7123</v>
      </c>
      <c r="R585" t="s">
        <v>418</v>
      </c>
      <c r="S585" t="s">
        <v>32</v>
      </c>
      <c r="T585" t="s">
        <v>32</v>
      </c>
      <c r="U585" t="s">
        <v>32</v>
      </c>
      <c r="V585" t="s">
        <v>32</v>
      </c>
      <c r="W585" t="s">
        <v>7124</v>
      </c>
      <c r="X585" t="s">
        <v>343</v>
      </c>
      <c r="Y585" t="s">
        <v>157</v>
      </c>
      <c r="Z585" t="s">
        <v>32</v>
      </c>
      <c r="AA585" t="s">
        <v>7125</v>
      </c>
      <c r="AB585" t="s">
        <v>7126</v>
      </c>
      <c r="AC585" t="s">
        <v>7127</v>
      </c>
      <c r="AD585" t="s">
        <v>32</v>
      </c>
      <c r="AE585" t="s">
        <v>7128</v>
      </c>
      <c r="AF585" t="s">
        <v>46835</v>
      </c>
    </row>
    <row r="586" spans="1:32" x14ac:dyDescent="0.2">
      <c r="A586">
        <v>581</v>
      </c>
      <c r="B586" t="s">
        <v>7129</v>
      </c>
      <c r="C586" t="s">
        <v>7130</v>
      </c>
      <c r="D586" t="s">
        <v>7131</v>
      </c>
      <c r="E586" t="s">
        <v>7132</v>
      </c>
      <c r="F586" t="s">
        <v>7133</v>
      </c>
      <c r="G586" t="s">
        <v>7134</v>
      </c>
      <c r="H586" t="str">
        <f>"Copb1"</f>
        <v>Copb1</v>
      </c>
      <c r="I586" t="s">
        <v>7135</v>
      </c>
      <c r="J586" t="s">
        <v>37</v>
      </c>
      <c r="K586">
        <v>10090</v>
      </c>
      <c r="L586" s="3" t="str">
        <f>HYPERLINK("http://www.uniprot.org/uniprot/Q9JIF7", "Q9JIF7")</f>
        <v>Q9JIF7</v>
      </c>
      <c r="M586" t="s">
        <v>7136</v>
      </c>
      <c r="N586" t="str">
        <f>"Copb1"</f>
        <v>Copb1</v>
      </c>
      <c r="O586" s="3" t="str">
        <f>HYPERLINK("http://www.informatics.jax.org/marker/MGI:1917599", "MGI:1917599")</f>
        <v>MGI:1917599</v>
      </c>
      <c r="P586" t="s">
        <v>7137</v>
      </c>
      <c r="Q586" t="s">
        <v>2916</v>
      </c>
      <c r="R586" t="s">
        <v>7138</v>
      </c>
      <c r="S586" t="s">
        <v>32</v>
      </c>
      <c r="T586" t="s">
        <v>32</v>
      </c>
      <c r="U586" t="s">
        <v>32</v>
      </c>
      <c r="V586" t="s">
        <v>55</v>
      </c>
      <c r="W586" t="s">
        <v>32</v>
      </c>
      <c r="X586" t="s">
        <v>32</v>
      </c>
      <c r="Y586" t="s">
        <v>78</v>
      </c>
      <c r="Z586" t="s">
        <v>126</v>
      </c>
      <c r="AA586" t="s">
        <v>7139</v>
      </c>
      <c r="AB586" t="s">
        <v>7140</v>
      </c>
      <c r="AC586" t="s">
        <v>4591</v>
      </c>
      <c r="AD586" t="s">
        <v>32</v>
      </c>
      <c r="AE586" t="s">
        <v>7141</v>
      </c>
      <c r="AF586" t="s">
        <v>46835</v>
      </c>
    </row>
    <row r="587" spans="1:32" x14ac:dyDescent="0.2">
      <c r="A587">
        <v>582</v>
      </c>
      <c r="B587" t="s">
        <v>7142</v>
      </c>
      <c r="C587" t="s">
        <v>7143</v>
      </c>
      <c r="D587" t="s">
        <v>7144</v>
      </c>
      <c r="E587" t="s">
        <v>7145</v>
      </c>
      <c r="F587" t="s">
        <v>7146</v>
      </c>
      <c r="G587" t="s">
        <v>7147</v>
      </c>
      <c r="H587" t="str">
        <f>"Farsb"</f>
        <v>Farsb</v>
      </c>
      <c r="I587" t="s">
        <v>7148</v>
      </c>
      <c r="J587" t="s">
        <v>37</v>
      </c>
      <c r="K587">
        <v>10090</v>
      </c>
      <c r="L587" s="3" t="str">
        <f>HYPERLINK("http://www.uniprot.org/uniprot/Q9WUA2", "Q9WUA2")</f>
        <v>Q9WUA2</v>
      </c>
      <c r="M587" t="s">
        <v>7149</v>
      </c>
      <c r="N587" t="str">
        <f>"Farsb"</f>
        <v>Farsb</v>
      </c>
      <c r="O587" s="3" t="str">
        <f>HYPERLINK("http://www.informatics.jax.org/marker/MGI:1346035", "MGI:1346035")</f>
        <v>MGI:1346035</v>
      </c>
      <c r="P587" t="s">
        <v>7150</v>
      </c>
      <c r="Q587" t="s">
        <v>260</v>
      </c>
      <c r="R587" t="s">
        <v>418</v>
      </c>
      <c r="S587" t="s">
        <v>32</v>
      </c>
      <c r="T587" t="s">
        <v>32</v>
      </c>
      <c r="U587" t="s">
        <v>32</v>
      </c>
      <c r="V587" t="s">
        <v>32</v>
      </c>
      <c r="W587" t="s">
        <v>1266</v>
      </c>
      <c r="X587" t="s">
        <v>2983</v>
      </c>
      <c r="Y587" t="s">
        <v>32</v>
      </c>
      <c r="Z587" t="s">
        <v>32</v>
      </c>
      <c r="AA587" t="s">
        <v>7151</v>
      </c>
      <c r="AB587" t="s">
        <v>7152</v>
      </c>
      <c r="AC587" t="s">
        <v>7153</v>
      </c>
      <c r="AD587" t="s">
        <v>32</v>
      </c>
      <c r="AE587" t="s">
        <v>32</v>
      </c>
      <c r="AF587" t="s">
        <v>46835</v>
      </c>
    </row>
    <row r="588" spans="1:32" x14ac:dyDescent="0.2">
      <c r="A588">
        <v>583</v>
      </c>
      <c r="B588" t="s">
        <v>7154</v>
      </c>
      <c r="C588" t="s">
        <v>7155</v>
      </c>
      <c r="D588" t="s">
        <v>7156</v>
      </c>
      <c r="E588" t="s">
        <v>7157</v>
      </c>
      <c r="F588" t="s">
        <v>7158</v>
      </c>
      <c r="G588" t="s">
        <v>7159</v>
      </c>
      <c r="H588" t="str">
        <f>"Snrnp200"</f>
        <v>Snrnp200</v>
      </c>
      <c r="I588" t="s">
        <v>7160</v>
      </c>
      <c r="J588" t="s">
        <v>37</v>
      </c>
      <c r="K588">
        <v>10090</v>
      </c>
      <c r="L588" s="3" t="str">
        <f>HYPERLINK("http://www.uniprot.org/uniprot/Q6P4T2", "Q6P4T2")</f>
        <v>Q6P4T2</v>
      </c>
      <c r="M588" t="s">
        <v>7161</v>
      </c>
      <c r="N588" t="str">
        <f>"Snrnp200"</f>
        <v>Snrnp200</v>
      </c>
      <c r="O588" s="3" t="str">
        <f>HYPERLINK("http://www.informatics.jax.org/marker/MGI:2444401", "MGI:2444401")</f>
        <v>MGI:2444401</v>
      </c>
      <c r="P588" t="s">
        <v>7162</v>
      </c>
      <c r="Q588" t="s">
        <v>2139</v>
      </c>
      <c r="R588" t="s">
        <v>2140</v>
      </c>
      <c r="S588" t="s">
        <v>32</v>
      </c>
      <c r="T588" t="s">
        <v>32</v>
      </c>
      <c r="U588" t="s">
        <v>32</v>
      </c>
      <c r="V588" t="s">
        <v>137</v>
      </c>
      <c r="W588" t="s">
        <v>205</v>
      </c>
      <c r="X588" t="s">
        <v>7163</v>
      </c>
      <c r="Y588" t="s">
        <v>516</v>
      </c>
      <c r="Z588" t="s">
        <v>32</v>
      </c>
      <c r="AA588" t="s">
        <v>7164</v>
      </c>
      <c r="AB588" t="s">
        <v>7165</v>
      </c>
      <c r="AC588" t="s">
        <v>7166</v>
      </c>
      <c r="AD588" t="s">
        <v>32</v>
      </c>
      <c r="AE588" t="s">
        <v>7167</v>
      </c>
      <c r="AF588" t="s">
        <v>46835</v>
      </c>
    </row>
    <row r="589" spans="1:32" x14ac:dyDescent="0.2">
      <c r="A589">
        <v>584</v>
      </c>
      <c r="B589" t="s">
        <v>7168</v>
      </c>
      <c r="C589" t="s">
        <v>7169</v>
      </c>
      <c r="D589" t="s">
        <v>7170</v>
      </c>
      <c r="E589" t="s">
        <v>7171</v>
      </c>
      <c r="F589" t="s">
        <v>7172</v>
      </c>
      <c r="G589" t="s">
        <v>7173</v>
      </c>
      <c r="H589" t="str">
        <f>"Vbp1"</f>
        <v>Vbp1</v>
      </c>
      <c r="I589" t="s">
        <v>7174</v>
      </c>
      <c r="J589" t="s">
        <v>37</v>
      </c>
      <c r="K589">
        <v>10090</v>
      </c>
      <c r="L589" s="3" t="str">
        <f>HYPERLINK("http://www.uniprot.org/uniprot/P61759", "P61759")</f>
        <v>P61759</v>
      </c>
      <c r="M589" t="s">
        <v>7175</v>
      </c>
      <c r="N589" t="str">
        <f>"Vbp1"</f>
        <v>Vbp1</v>
      </c>
      <c r="O589" s="3" t="str">
        <f>HYPERLINK("http://www.informatics.jax.org/marker/MGI:1333804", "MGI:1333804")</f>
        <v>MGI:1333804</v>
      </c>
      <c r="P589" t="s">
        <v>7176</v>
      </c>
      <c r="Q589" t="s">
        <v>32</v>
      </c>
      <c r="R589" t="s">
        <v>40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388</v>
      </c>
      <c r="Y589" t="s">
        <v>78</v>
      </c>
      <c r="Z589" t="s">
        <v>32</v>
      </c>
      <c r="AA589" t="s">
        <v>7177</v>
      </c>
      <c r="AB589" t="s">
        <v>7178</v>
      </c>
      <c r="AC589" t="s">
        <v>7179</v>
      </c>
      <c r="AD589" t="s">
        <v>32</v>
      </c>
      <c r="AE589" t="s">
        <v>32</v>
      </c>
      <c r="AF589" t="s">
        <v>46835</v>
      </c>
    </row>
    <row r="590" spans="1:32" x14ac:dyDescent="0.2">
      <c r="A590">
        <v>585</v>
      </c>
      <c r="B590" t="s">
        <v>7180</v>
      </c>
      <c r="C590" t="s">
        <v>7181</v>
      </c>
      <c r="D590" t="s">
        <v>7182</v>
      </c>
      <c r="E590" t="s">
        <v>7183</v>
      </c>
      <c r="F590" t="s">
        <v>7184</v>
      </c>
      <c r="G590" t="s">
        <v>7185</v>
      </c>
      <c r="H590" t="str">
        <f>"Cand2"</f>
        <v>Cand2</v>
      </c>
      <c r="I590" t="s">
        <v>7186</v>
      </c>
      <c r="J590" t="s">
        <v>37</v>
      </c>
      <c r="K590">
        <v>10090</v>
      </c>
      <c r="L590" s="3" t="str">
        <f>HYPERLINK("http://www.uniprot.org/uniprot/Q6ZQ73", "Q6ZQ73")</f>
        <v>Q6ZQ73</v>
      </c>
      <c r="M590" t="s">
        <v>7187</v>
      </c>
      <c r="N590" t="str">
        <f>"Cand2"</f>
        <v>Cand2</v>
      </c>
      <c r="O590" s="3" t="str">
        <f>HYPERLINK("http://www.informatics.jax.org/marker/MGI:1914338", "MGI:1914338")</f>
        <v>MGI:1914338</v>
      </c>
      <c r="P590" t="s">
        <v>7188</v>
      </c>
      <c r="Q590" t="s">
        <v>1020</v>
      </c>
      <c r="R590" t="s">
        <v>2279</v>
      </c>
      <c r="S590" t="s">
        <v>32</v>
      </c>
      <c r="T590" t="s">
        <v>32</v>
      </c>
      <c r="U590" t="s">
        <v>32</v>
      </c>
      <c r="V590" t="s">
        <v>55</v>
      </c>
      <c r="W590" t="s">
        <v>32</v>
      </c>
      <c r="X590" t="s">
        <v>32</v>
      </c>
      <c r="Y590" t="s">
        <v>4102</v>
      </c>
      <c r="Z590" t="s">
        <v>32</v>
      </c>
      <c r="AA590" t="s">
        <v>7189</v>
      </c>
      <c r="AB590" t="s">
        <v>928</v>
      </c>
      <c r="AC590" t="s">
        <v>2852</v>
      </c>
      <c r="AD590" t="s">
        <v>32</v>
      </c>
      <c r="AE590" t="s">
        <v>32</v>
      </c>
      <c r="AF590" t="s">
        <v>46835</v>
      </c>
    </row>
    <row r="591" spans="1:32" x14ac:dyDescent="0.2">
      <c r="A591">
        <v>586</v>
      </c>
      <c r="B591" t="s">
        <v>7190</v>
      </c>
      <c r="C591" t="s">
        <v>7191</v>
      </c>
      <c r="D591" t="s">
        <v>7192</v>
      </c>
      <c r="E591" t="s">
        <v>7193</v>
      </c>
      <c r="F591" t="s">
        <v>7194</v>
      </c>
      <c r="G591" t="s">
        <v>7195</v>
      </c>
      <c r="H591" t="str">
        <f>"Mthfd1l"</f>
        <v>Mthfd1l</v>
      </c>
      <c r="I591" t="s">
        <v>7196</v>
      </c>
      <c r="J591" t="s">
        <v>37</v>
      </c>
      <c r="K591">
        <v>10090</v>
      </c>
      <c r="L591" s="3" t="str">
        <f>HYPERLINK("http://www.uniprot.org/uniprot/Q3V3R1", "Q3V3R1")</f>
        <v>Q3V3R1</v>
      </c>
      <c r="M591" t="s">
        <v>7197</v>
      </c>
      <c r="N591" t="str">
        <f>"Mthfd1l"</f>
        <v>Mthfd1l</v>
      </c>
      <c r="O591" s="3" t="str">
        <f>HYPERLINK("http://www.informatics.jax.org/marker/MGI:1924836", "MGI:1924836")</f>
        <v>MGI:1924836</v>
      </c>
      <c r="P591" t="s">
        <v>7198</v>
      </c>
      <c r="Q591" t="s">
        <v>2308</v>
      </c>
      <c r="R591" t="s">
        <v>1038</v>
      </c>
      <c r="S591" t="s">
        <v>32</v>
      </c>
      <c r="T591" t="s">
        <v>32</v>
      </c>
      <c r="U591" t="s">
        <v>32</v>
      </c>
      <c r="V591" t="s">
        <v>1039</v>
      </c>
      <c r="W591" t="s">
        <v>205</v>
      </c>
      <c r="X591" t="s">
        <v>1022</v>
      </c>
      <c r="Y591" t="s">
        <v>157</v>
      </c>
      <c r="Z591" t="s">
        <v>126</v>
      </c>
      <c r="AA591" t="s">
        <v>7199</v>
      </c>
      <c r="AB591" t="s">
        <v>5676</v>
      </c>
      <c r="AC591" t="s">
        <v>7200</v>
      </c>
      <c r="AD591" t="s">
        <v>7201</v>
      </c>
      <c r="AE591" t="s">
        <v>7202</v>
      </c>
      <c r="AF591" t="s">
        <v>46835</v>
      </c>
    </row>
    <row r="592" spans="1:32" x14ac:dyDescent="0.2">
      <c r="A592">
        <v>587</v>
      </c>
      <c r="B592" t="s">
        <v>7203</v>
      </c>
      <c r="C592" t="s">
        <v>7204</v>
      </c>
      <c r="D592" t="s">
        <v>7205</v>
      </c>
      <c r="E592" t="s">
        <v>7206</v>
      </c>
      <c r="F592" t="s">
        <v>7207</v>
      </c>
      <c r="G592" t="s">
        <v>7208</v>
      </c>
      <c r="H592" t="str">
        <f>"Chordc1"</f>
        <v>Chordc1</v>
      </c>
      <c r="I592" t="s">
        <v>7209</v>
      </c>
      <c r="J592" t="s">
        <v>37</v>
      </c>
      <c r="K592">
        <v>10090</v>
      </c>
      <c r="L592" s="3" t="str">
        <f>HYPERLINK("http://www.uniprot.org/uniprot/Q9D1P4", "Q9D1P4")</f>
        <v>Q9D1P4</v>
      </c>
      <c r="M592" t="s">
        <v>7210</v>
      </c>
      <c r="N592" t="str">
        <f>"Chordc1"</f>
        <v>Chordc1</v>
      </c>
      <c r="O592" s="3" t="str">
        <f>HYPERLINK("http://www.informatics.jax.org/marker/MGI:1914167", "MGI:1914167")</f>
        <v>MGI:1914167</v>
      </c>
      <c r="P592" t="s">
        <v>7211</v>
      </c>
      <c r="Q592" t="s">
        <v>386</v>
      </c>
      <c r="R592" t="s">
        <v>32</v>
      </c>
      <c r="S592" t="s">
        <v>32</v>
      </c>
      <c r="T592" t="s">
        <v>32</v>
      </c>
      <c r="U592" t="s">
        <v>32</v>
      </c>
      <c r="V592" t="s">
        <v>55</v>
      </c>
      <c r="W592" t="s">
        <v>42</v>
      </c>
      <c r="X592" t="s">
        <v>388</v>
      </c>
      <c r="Y592" t="s">
        <v>157</v>
      </c>
      <c r="Z592" t="s">
        <v>32</v>
      </c>
      <c r="AA592" t="s">
        <v>7212</v>
      </c>
      <c r="AB592" t="s">
        <v>32</v>
      </c>
      <c r="AC592" t="s">
        <v>7213</v>
      </c>
      <c r="AD592" t="s">
        <v>32</v>
      </c>
      <c r="AE592" t="s">
        <v>32</v>
      </c>
      <c r="AF592" t="s">
        <v>46835</v>
      </c>
    </row>
    <row r="593" spans="1:32" x14ac:dyDescent="0.2">
      <c r="A593">
        <v>588</v>
      </c>
      <c r="B593" t="s">
        <v>7214</v>
      </c>
      <c r="C593" t="s">
        <v>7215</v>
      </c>
      <c r="D593" t="s">
        <v>7216</v>
      </c>
      <c r="E593" t="s">
        <v>7217</v>
      </c>
      <c r="F593" t="s">
        <v>7218</v>
      </c>
      <c r="G593" t="s">
        <v>7219</v>
      </c>
      <c r="H593" t="str">
        <f>"Capzb"</f>
        <v>Capzb</v>
      </c>
      <c r="I593" t="s">
        <v>7220</v>
      </c>
      <c r="J593" t="s">
        <v>37</v>
      </c>
      <c r="K593">
        <v>10090</v>
      </c>
      <c r="L593" s="3" t="str">
        <f>HYPERLINK("http://www.uniprot.org/uniprot/P47757", "P47757")</f>
        <v>P47757</v>
      </c>
      <c r="M593" t="s">
        <v>7221</v>
      </c>
      <c r="N593" t="str">
        <f>"Capzb"</f>
        <v>Capzb</v>
      </c>
      <c r="O593" s="3" t="str">
        <f>HYPERLINK("http://www.informatics.jax.org/marker/MGI:104652", "MGI:104652")</f>
        <v>MGI:104652</v>
      </c>
      <c r="P593" t="s">
        <v>7222</v>
      </c>
      <c r="Q593" t="s">
        <v>32</v>
      </c>
      <c r="R593" t="s">
        <v>186</v>
      </c>
      <c r="S593" t="s">
        <v>41</v>
      </c>
      <c r="T593" t="s">
        <v>32</v>
      </c>
      <c r="U593" t="s">
        <v>32</v>
      </c>
      <c r="V593" t="s">
        <v>32</v>
      </c>
      <c r="W593" t="s">
        <v>32</v>
      </c>
      <c r="X593" t="s">
        <v>479</v>
      </c>
      <c r="Y593" t="s">
        <v>157</v>
      </c>
      <c r="Z593" t="s">
        <v>126</v>
      </c>
      <c r="AA593" t="s">
        <v>7223</v>
      </c>
      <c r="AB593" t="s">
        <v>7224</v>
      </c>
      <c r="AC593" t="s">
        <v>7225</v>
      </c>
      <c r="AD593" t="s">
        <v>32</v>
      </c>
      <c r="AE593" t="s">
        <v>7226</v>
      </c>
      <c r="AF593" t="s">
        <v>46835</v>
      </c>
    </row>
    <row r="594" spans="1:32" x14ac:dyDescent="0.2">
      <c r="A594">
        <v>589</v>
      </c>
      <c r="B594" t="s">
        <v>7227</v>
      </c>
      <c r="C594" t="s">
        <v>7228</v>
      </c>
      <c r="D594" t="s">
        <v>32</v>
      </c>
      <c r="E594" t="s">
        <v>7229</v>
      </c>
      <c r="F594" t="s">
        <v>7230</v>
      </c>
      <c r="G594" t="s">
        <v>32</v>
      </c>
      <c r="H594" t="str">
        <f>"Pitpna"</f>
        <v>Pitpna</v>
      </c>
      <c r="I594" t="s">
        <v>7231</v>
      </c>
      <c r="J594" t="s">
        <v>37</v>
      </c>
      <c r="K594">
        <v>10090</v>
      </c>
      <c r="L594" s="3" t="str">
        <f>HYPERLINK("http://www.uniprot.org/uniprot/P53810", "P53810")</f>
        <v>P53810</v>
      </c>
      <c r="M594" t="s">
        <v>7232</v>
      </c>
      <c r="N594" t="str">
        <f>"Pitpna"</f>
        <v>Pitpna</v>
      </c>
      <c r="O594" s="3" t="str">
        <f>HYPERLINK("http://www.informatics.jax.org/marker/MGI:99887", "MGI:99887")</f>
        <v>MGI:99887</v>
      </c>
      <c r="P594" t="s">
        <v>7233</v>
      </c>
      <c r="Q594" t="s">
        <v>582</v>
      </c>
      <c r="R594" t="s">
        <v>40</v>
      </c>
      <c r="S594" t="s">
        <v>32</v>
      </c>
      <c r="T594" t="s">
        <v>32</v>
      </c>
      <c r="U594" t="s">
        <v>32</v>
      </c>
      <c r="V594" t="s">
        <v>32</v>
      </c>
      <c r="W594" t="s">
        <v>584</v>
      </c>
      <c r="X594" t="s">
        <v>32</v>
      </c>
      <c r="Y594" t="s">
        <v>78</v>
      </c>
      <c r="Z594" t="s">
        <v>126</v>
      </c>
      <c r="AA594" t="s">
        <v>7234</v>
      </c>
      <c r="AB594" t="s">
        <v>7235</v>
      </c>
      <c r="AC594" t="s">
        <v>7236</v>
      </c>
      <c r="AD594" t="s">
        <v>32</v>
      </c>
      <c r="AE594" t="s">
        <v>32</v>
      </c>
      <c r="AF594" t="s">
        <v>46835</v>
      </c>
    </row>
    <row r="595" spans="1:32" x14ac:dyDescent="0.2">
      <c r="A595">
        <v>590</v>
      </c>
      <c r="B595" t="s">
        <v>7237</v>
      </c>
      <c r="C595" t="s">
        <v>7238</v>
      </c>
      <c r="D595" t="s">
        <v>7239</v>
      </c>
      <c r="E595" t="s">
        <v>7240</v>
      </c>
      <c r="F595" t="s">
        <v>7241</v>
      </c>
      <c r="G595" t="s">
        <v>7242</v>
      </c>
      <c r="H595" t="str">
        <f>"Fh"</f>
        <v>Fh</v>
      </c>
      <c r="I595" t="s">
        <v>32</v>
      </c>
      <c r="J595" t="s">
        <v>37</v>
      </c>
      <c r="K595">
        <v>10090</v>
      </c>
      <c r="L595" s="3" t="str">
        <f>HYPERLINK("http://www.uniprot.org/uniprot/P97807", "P97807")</f>
        <v>P97807</v>
      </c>
      <c r="M595" t="s">
        <v>7243</v>
      </c>
      <c r="N595" t="str">
        <f>"Fh1"</f>
        <v>Fh1</v>
      </c>
      <c r="O595" s="3" t="str">
        <f>HYPERLINK("http://www.informatics.jax.org/marker/MGI:95530", "MGI:95530")</f>
        <v>MGI:95530</v>
      </c>
      <c r="P595" t="s">
        <v>7244</v>
      </c>
      <c r="Q595" t="s">
        <v>7245</v>
      </c>
      <c r="R595" t="s">
        <v>7246</v>
      </c>
      <c r="S595" t="s">
        <v>477</v>
      </c>
      <c r="T595" t="s">
        <v>32</v>
      </c>
      <c r="U595" t="s">
        <v>32</v>
      </c>
      <c r="V595" t="s">
        <v>1039</v>
      </c>
      <c r="W595" t="s">
        <v>32</v>
      </c>
      <c r="X595" t="s">
        <v>224</v>
      </c>
      <c r="Y595" t="s">
        <v>157</v>
      </c>
      <c r="Z595" t="s">
        <v>32</v>
      </c>
      <c r="AA595" t="s">
        <v>7247</v>
      </c>
      <c r="AB595" t="s">
        <v>7248</v>
      </c>
      <c r="AC595" t="s">
        <v>7249</v>
      </c>
      <c r="AD595" t="s">
        <v>7250</v>
      </c>
      <c r="AE595" t="s">
        <v>3390</v>
      </c>
      <c r="AF595" t="s">
        <v>46835</v>
      </c>
    </row>
    <row r="596" spans="1:32" x14ac:dyDescent="0.2">
      <c r="A596">
        <v>591</v>
      </c>
      <c r="B596" t="s">
        <v>7251</v>
      </c>
      <c r="C596" t="s">
        <v>7252</v>
      </c>
      <c r="D596" t="s">
        <v>32</v>
      </c>
      <c r="E596" t="s">
        <v>7253</v>
      </c>
      <c r="F596" t="s">
        <v>7254</v>
      </c>
      <c r="G596" t="s">
        <v>32</v>
      </c>
      <c r="H596" t="str">
        <f>"Cetn3"</f>
        <v>Cetn3</v>
      </c>
      <c r="I596" t="s">
        <v>7255</v>
      </c>
      <c r="J596" t="s">
        <v>37</v>
      </c>
      <c r="K596">
        <v>10090</v>
      </c>
      <c r="L596" s="3" t="str">
        <f>HYPERLINK("http://www.uniprot.org/uniprot/O35648", "O35648")</f>
        <v>O35648</v>
      </c>
      <c r="M596" t="s">
        <v>7256</v>
      </c>
      <c r="N596" t="str">
        <f>"Cetn3"</f>
        <v>Cetn3</v>
      </c>
      <c r="O596" s="3" t="str">
        <f>HYPERLINK("http://www.informatics.jax.org/marker/MGI:1097706", "MGI:1097706")</f>
        <v>MGI:1097706</v>
      </c>
      <c r="P596" t="s">
        <v>7257</v>
      </c>
      <c r="Q596" t="s">
        <v>4680</v>
      </c>
      <c r="R596" t="s">
        <v>7258</v>
      </c>
      <c r="S596" t="s">
        <v>32</v>
      </c>
      <c r="T596" t="s">
        <v>32</v>
      </c>
      <c r="U596" t="s">
        <v>32</v>
      </c>
      <c r="V596" t="s">
        <v>55</v>
      </c>
      <c r="W596" t="s">
        <v>188</v>
      </c>
      <c r="X596" t="s">
        <v>32</v>
      </c>
      <c r="Y596" t="s">
        <v>618</v>
      </c>
      <c r="Z596" t="s">
        <v>32</v>
      </c>
      <c r="AA596" t="s">
        <v>7259</v>
      </c>
      <c r="AB596" t="s">
        <v>7260</v>
      </c>
      <c r="AC596" t="s">
        <v>7261</v>
      </c>
      <c r="AD596" t="s">
        <v>32</v>
      </c>
      <c r="AE596" t="s">
        <v>32</v>
      </c>
      <c r="AF596" t="s">
        <v>46835</v>
      </c>
    </row>
    <row r="597" spans="1:32" x14ac:dyDescent="0.2">
      <c r="A597">
        <v>592</v>
      </c>
      <c r="B597" t="s">
        <v>7262</v>
      </c>
      <c r="C597" t="s">
        <v>7263</v>
      </c>
      <c r="D597" t="s">
        <v>7264</v>
      </c>
      <c r="E597" t="s">
        <v>7265</v>
      </c>
      <c r="F597" t="s">
        <v>7266</v>
      </c>
      <c r="G597" t="s">
        <v>7267</v>
      </c>
      <c r="H597" t="str">
        <f>"Psmb4"</f>
        <v>Psmb4</v>
      </c>
      <c r="I597" t="s">
        <v>7268</v>
      </c>
      <c r="J597" t="s">
        <v>37</v>
      </c>
      <c r="K597">
        <v>10090</v>
      </c>
      <c r="L597" s="3" t="str">
        <f>HYPERLINK("http://www.uniprot.org/uniprot/P99026", "P99026")</f>
        <v>P99026</v>
      </c>
      <c r="M597" t="s">
        <v>7269</v>
      </c>
      <c r="N597" t="str">
        <f>"Psmb4"</f>
        <v>Psmb4</v>
      </c>
      <c r="O597" s="3" t="str">
        <f>HYPERLINK("http://www.informatics.jax.org/marker/MGI:1098257", "MGI:1098257")</f>
        <v>MGI:1098257</v>
      </c>
      <c r="P597" t="s">
        <v>3140</v>
      </c>
      <c r="Q597" t="s">
        <v>32</v>
      </c>
      <c r="R597" t="s">
        <v>2586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32</v>
      </c>
      <c r="Y597" t="s">
        <v>157</v>
      </c>
      <c r="Z597" t="s">
        <v>126</v>
      </c>
      <c r="AA597" t="s">
        <v>7270</v>
      </c>
      <c r="AB597" t="s">
        <v>7271</v>
      </c>
      <c r="AC597" t="s">
        <v>3837</v>
      </c>
      <c r="AD597" t="s">
        <v>32</v>
      </c>
      <c r="AE597" t="s">
        <v>2774</v>
      </c>
      <c r="AF597" t="s">
        <v>46835</v>
      </c>
    </row>
    <row r="598" spans="1:32" x14ac:dyDescent="0.2">
      <c r="A598">
        <v>593</v>
      </c>
      <c r="B598" t="s">
        <v>7272</v>
      </c>
      <c r="C598" t="s">
        <v>7273</v>
      </c>
      <c r="D598" t="s">
        <v>32</v>
      </c>
      <c r="E598" t="s">
        <v>7274</v>
      </c>
      <c r="F598" t="s">
        <v>7275</v>
      </c>
      <c r="G598" t="s">
        <v>7276</v>
      </c>
      <c r="H598" t="str">
        <f>"Etf1"</f>
        <v>Etf1</v>
      </c>
      <c r="I598" t="s">
        <v>32</v>
      </c>
      <c r="J598" t="s">
        <v>37</v>
      </c>
      <c r="K598">
        <v>10090</v>
      </c>
      <c r="L598" s="3" t="str">
        <f>HYPERLINK("http://www.uniprot.org/uniprot/Q8BWY3", "Q8BWY3")</f>
        <v>Q8BWY3</v>
      </c>
      <c r="M598" t="s">
        <v>7277</v>
      </c>
      <c r="N598" t="str">
        <f>"Etf1"</f>
        <v>Etf1</v>
      </c>
      <c r="O598" s="3" t="str">
        <f>HYPERLINK("http://www.informatics.jax.org/marker/MGI:2385071", "MGI:2385071")</f>
        <v>MGI:2385071</v>
      </c>
      <c r="P598" t="s">
        <v>7278</v>
      </c>
      <c r="Q598" t="s">
        <v>7279</v>
      </c>
      <c r="R598" t="s">
        <v>418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32</v>
      </c>
      <c r="Y598" t="s">
        <v>308</v>
      </c>
      <c r="Z598" t="s">
        <v>126</v>
      </c>
      <c r="AA598" t="s">
        <v>7280</v>
      </c>
      <c r="AB598" t="s">
        <v>7281</v>
      </c>
      <c r="AC598" t="s">
        <v>7282</v>
      </c>
      <c r="AD598" t="s">
        <v>32</v>
      </c>
      <c r="AE598" t="s">
        <v>7283</v>
      </c>
      <c r="AF598" t="s">
        <v>46835</v>
      </c>
    </row>
    <row r="599" spans="1:32" x14ac:dyDescent="0.2">
      <c r="A599">
        <v>594</v>
      </c>
      <c r="B599" t="s">
        <v>7284</v>
      </c>
      <c r="C599" t="s">
        <v>7285</v>
      </c>
      <c r="D599" t="s">
        <v>7286</v>
      </c>
      <c r="E599" t="s">
        <v>7287</v>
      </c>
      <c r="F599" t="s">
        <v>7288</v>
      </c>
      <c r="G599" t="s">
        <v>7289</v>
      </c>
      <c r="H599" t="str">
        <f>"Igf2bp2"</f>
        <v>Igf2bp2</v>
      </c>
      <c r="I599" t="s">
        <v>7290</v>
      </c>
      <c r="J599" t="s">
        <v>37</v>
      </c>
      <c r="K599">
        <v>10090</v>
      </c>
      <c r="L599" s="3" t="str">
        <f>HYPERLINK("http://www.uniprot.org/uniprot/Q5SF07", "Q5SF07")</f>
        <v>Q5SF07</v>
      </c>
      <c r="M599" t="s">
        <v>7291</v>
      </c>
      <c r="N599" t="str">
        <f>"Igf2bp2"</f>
        <v>Igf2bp2</v>
      </c>
      <c r="O599" s="3" t="str">
        <f>HYPERLINK("http://www.informatics.jax.org/marker/MGI:1890358", "MGI:1890358")</f>
        <v>MGI:1890358</v>
      </c>
      <c r="P599" t="s">
        <v>7292</v>
      </c>
      <c r="Q599" t="s">
        <v>3276</v>
      </c>
      <c r="R599" t="s">
        <v>40</v>
      </c>
      <c r="S599" t="s">
        <v>41</v>
      </c>
      <c r="T599" t="s">
        <v>32</v>
      </c>
      <c r="U599" t="s">
        <v>32</v>
      </c>
      <c r="V599" t="s">
        <v>55</v>
      </c>
      <c r="W599" t="s">
        <v>32</v>
      </c>
      <c r="X599" t="s">
        <v>1282</v>
      </c>
      <c r="Y599" t="s">
        <v>618</v>
      </c>
      <c r="Z599" t="s">
        <v>32</v>
      </c>
      <c r="AA599" t="s">
        <v>6935</v>
      </c>
      <c r="AB599" t="s">
        <v>7293</v>
      </c>
      <c r="AC599" t="s">
        <v>6937</v>
      </c>
      <c r="AD599" t="s">
        <v>32</v>
      </c>
      <c r="AE599" t="s">
        <v>32</v>
      </c>
      <c r="AF599" t="s">
        <v>46835</v>
      </c>
    </row>
    <row r="600" spans="1:32" x14ac:dyDescent="0.2">
      <c r="A600">
        <v>595</v>
      </c>
      <c r="B600" t="s">
        <v>7294</v>
      </c>
      <c r="C600" t="s">
        <v>7295</v>
      </c>
      <c r="D600" t="s">
        <v>7296</v>
      </c>
      <c r="E600" t="s">
        <v>7297</v>
      </c>
      <c r="F600" t="s">
        <v>7298</v>
      </c>
      <c r="G600" t="s">
        <v>7299</v>
      </c>
      <c r="H600" t="str">
        <f>"Cpt2"</f>
        <v>Cpt2</v>
      </c>
      <c r="I600" t="s">
        <v>7300</v>
      </c>
      <c r="J600" t="s">
        <v>37</v>
      </c>
      <c r="K600">
        <v>10090</v>
      </c>
      <c r="L600" s="3" t="str">
        <f>HYPERLINK("http://www.uniprot.org/uniprot/P52825", "P52825")</f>
        <v>P52825</v>
      </c>
      <c r="M600" t="s">
        <v>7301</v>
      </c>
      <c r="N600" t="str">
        <f>"Cpt2"</f>
        <v>Cpt2</v>
      </c>
      <c r="O600" s="3" t="str">
        <f>HYPERLINK("http://www.informatics.jax.org/marker/MGI:109176", "MGI:109176")</f>
        <v>MGI:109176</v>
      </c>
      <c r="P600" t="s">
        <v>7302</v>
      </c>
      <c r="Q600" t="s">
        <v>7303</v>
      </c>
      <c r="R600" t="s">
        <v>3858</v>
      </c>
      <c r="S600" t="s">
        <v>32</v>
      </c>
      <c r="T600" t="s">
        <v>32</v>
      </c>
      <c r="U600" t="s">
        <v>32</v>
      </c>
      <c r="V600" t="s">
        <v>1039</v>
      </c>
      <c r="W600" t="s">
        <v>32</v>
      </c>
      <c r="X600" t="s">
        <v>7304</v>
      </c>
      <c r="Y600" t="s">
        <v>78</v>
      </c>
      <c r="Z600" t="s">
        <v>32</v>
      </c>
      <c r="AA600" t="s">
        <v>7305</v>
      </c>
      <c r="AB600" t="s">
        <v>7306</v>
      </c>
      <c r="AC600" t="s">
        <v>7307</v>
      </c>
      <c r="AD600" t="s">
        <v>6218</v>
      </c>
      <c r="AE600" t="s">
        <v>7308</v>
      </c>
      <c r="AF600" t="s">
        <v>46835</v>
      </c>
    </row>
    <row r="601" spans="1:32" x14ac:dyDescent="0.2">
      <c r="A601">
        <v>596</v>
      </c>
      <c r="B601" t="s">
        <v>7309</v>
      </c>
      <c r="C601" t="s">
        <v>7310</v>
      </c>
      <c r="D601" t="s">
        <v>7311</v>
      </c>
      <c r="E601" t="s">
        <v>7312</v>
      </c>
      <c r="F601" t="s">
        <v>7313</v>
      </c>
      <c r="G601" t="s">
        <v>7314</v>
      </c>
      <c r="H601" t="str">
        <f>"Hnrnpul2"</f>
        <v>Hnrnpul2</v>
      </c>
      <c r="I601" t="s">
        <v>7315</v>
      </c>
      <c r="J601" t="s">
        <v>37</v>
      </c>
      <c r="K601">
        <v>10090</v>
      </c>
      <c r="L601" s="3" t="str">
        <f>HYPERLINK("http://www.uniprot.org/uniprot/Q00PI9", "Q00PI9")</f>
        <v>Q00PI9</v>
      </c>
      <c r="M601" t="s">
        <v>7316</v>
      </c>
      <c r="N601" t="str">
        <f>"Hnrnpul2"</f>
        <v>Hnrnpul2</v>
      </c>
      <c r="O601" s="3" t="str">
        <f>HYPERLINK("http://www.informatics.jax.org/marker/MGI:1915943", "MGI:1915943")</f>
        <v>MGI:1915943</v>
      </c>
      <c r="P601" t="s">
        <v>7317</v>
      </c>
      <c r="Q601" t="s">
        <v>32</v>
      </c>
      <c r="R601" t="s">
        <v>2279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32</v>
      </c>
      <c r="Y601" t="s">
        <v>2734</v>
      </c>
      <c r="Z601" t="s">
        <v>32</v>
      </c>
      <c r="AA601" t="s">
        <v>32</v>
      </c>
      <c r="AB601" t="s">
        <v>7318</v>
      </c>
      <c r="AC601" t="s">
        <v>4711</v>
      </c>
      <c r="AD601" t="s">
        <v>32</v>
      </c>
      <c r="AE601" t="s">
        <v>32</v>
      </c>
      <c r="AF601" t="s">
        <v>46835</v>
      </c>
    </row>
    <row r="602" spans="1:32" x14ac:dyDescent="0.2">
      <c r="A602">
        <v>597</v>
      </c>
      <c r="B602" t="s">
        <v>7319</v>
      </c>
      <c r="C602" t="s">
        <v>7320</v>
      </c>
      <c r="D602" t="s">
        <v>7321</v>
      </c>
      <c r="E602" t="s">
        <v>7322</v>
      </c>
      <c r="F602" t="s">
        <v>7323</v>
      </c>
      <c r="G602" t="s">
        <v>7324</v>
      </c>
      <c r="H602" t="str">
        <f>"Epb41"</f>
        <v>Epb41</v>
      </c>
      <c r="I602" t="s">
        <v>32</v>
      </c>
      <c r="J602" t="s">
        <v>37</v>
      </c>
      <c r="K602">
        <v>10090</v>
      </c>
      <c r="L602" s="3" t="str">
        <f>HYPERLINK("http://www.uniprot.org/uniprot/P48193", "P48193")</f>
        <v>P48193</v>
      </c>
      <c r="M602" t="s">
        <v>7325</v>
      </c>
      <c r="N602" t="str">
        <f>"Epb41"</f>
        <v>Epb41</v>
      </c>
      <c r="O602" s="3" t="str">
        <f>HYPERLINK("http://www.informatics.jax.org/marker/MGI:95401", "MGI:95401")</f>
        <v>MGI:95401</v>
      </c>
      <c r="P602" t="s">
        <v>7326</v>
      </c>
      <c r="Q602" t="s">
        <v>827</v>
      </c>
      <c r="R602" t="s">
        <v>324</v>
      </c>
      <c r="S602" t="s">
        <v>41</v>
      </c>
      <c r="T602" t="s">
        <v>32</v>
      </c>
      <c r="U602" t="s">
        <v>32</v>
      </c>
      <c r="V602" t="s">
        <v>32</v>
      </c>
      <c r="W602" t="s">
        <v>32</v>
      </c>
      <c r="X602" t="s">
        <v>5561</v>
      </c>
      <c r="Y602" t="s">
        <v>4720</v>
      </c>
      <c r="Z602" t="s">
        <v>32</v>
      </c>
      <c r="AA602" t="s">
        <v>7327</v>
      </c>
      <c r="AB602" t="s">
        <v>7328</v>
      </c>
      <c r="AC602" t="s">
        <v>7329</v>
      </c>
      <c r="AD602" t="s">
        <v>32</v>
      </c>
      <c r="AE602" t="s">
        <v>2108</v>
      </c>
      <c r="AF602" t="s">
        <v>46835</v>
      </c>
    </row>
    <row r="603" spans="1:32" x14ac:dyDescent="0.2">
      <c r="A603">
        <v>598</v>
      </c>
      <c r="B603" t="s">
        <v>7330</v>
      </c>
      <c r="C603" t="s">
        <v>7331</v>
      </c>
      <c r="D603" t="s">
        <v>7332</v>
      </c>
      <c r="E603" t="s">
        <v>7333</v>
      </c>
      <c r="F603" t="s">
        <v>7334</v>
      </c>
      <c r="G603" t="s">
        <v>7335</v>
      </c>
      <c r="H603" t="str">
        <f>"Hadha"</f>
        <v>Hadha</v>
      </c>
      <c r="I603" t="s">
        <v>32</v>
      </c>
      <c r="J603" t="s">
        <v>37</v>
      </c>
      <c r="K603">
        <v>10090</v>
      </c>
      <c r="L603" s="3" t="str">
        <f>HYPERLINK("http://www.uniprot.org/uniprot/Q8BMS1", "Q8BMS1")</f>
        <v>Q8BMS1</v>
      </c>
      <c r="M603" t="s">
        <v>7336</v>
      </c>
      <c r="N603" t="str">
        <f>"Hadha"</f>
        <v>Hadha</v>
      </c>
      <c r="O603" s="3" t="str">
        <f>HYPERLINK("http://www.informatics.jax.org/marker/MGI:2135593", "MGI:2135593")</f>
        <v>MGI:2135593</v>
      </c>
      <c r="P603" t="s">
        <v>7337</v>
      </c>
      <c r="Q603" t="s">
        <v>6214</v>
      </c>
      <c r="R603" t="s">
        <v>3858</v>
      </c>
      <c r="S603" t="s">
        <v>32</v>
      </c>
      <c r="T603" t="s">
        <v>32</v>
      </c>
      <c r="U603" t="s">
        <v>32</v>
      </c>
      <c r="V603" t="s">
        <v>1039</v>
      </c>
      <c r="W603" t="s">
        <v>325</v>
      </c>
      <c r="X603" t="s">
        <v>7338</v>
      </c>
      <c r="Y603" t="s">
        <v>97</v>
      </c>
      <c r="Z603" t="s">
        <v>32</v>
      </c>
      <c r="AA603" t="s">
        <v>7339</v>
      </c>
      <c r="AB603" t="s">
        <v>7340</v>
      </c>
      <c r="AC603" t="s">
        <v>7341</v>
      </c>
      <c r="AD603" t="s">
        <v>6218</v>
      </c>
      <c r="AE603" t="s">
        <v>7342</v>
      </c>
      <c r="AF603" t="s">
        <v>46835</v>
      </c>
    </row>
    <row r="604" spans="1:32" x14ac:dyDescent="0.2">
      <c r="A604">
        <v>599</v>
      </c>
      <c r="B604" t="s">
        <v>7343</v>
      </c>
      <c r="C604" t="s">
        <v>7344</v>
      </c>
      <c r="D604" t="s">
        <v>7345</v>
      </c>
      <c r="E604" t="s">
        <v>7346</v>
      </c>
      <c r="F604" t="s">
        <v>7347</v>
      </c>
      <c r="G604" t="s">
        <v>7348</v>
      </c>
      <c r="H604" t="str">
        <f>"Fxr1"</f>
        <v>Fxr1</v>
      </c>
      <c r="I604" t="s">
        <v>7349</v>
      </c>
      <c r="J604" t="s">
        <v>37</v>
      </c>
      <c r="K604">
        <v>10090</v>
      </c>
      <c r="L604" s="3" t="str">
        <f>HYPERLINK("http://www.uniprot.org/uniprot/Q61584", "Q61584")</f>
        <v>Q61584</v>
      </c>
      <c r="M604" t="s">
        <v>7350</v>
      </c>
      <c r="N604" t="str">
        <f>"Fxr1"</f>
        <v>Fxr1</v>
      </c>
      <c r="O604" s="3" t="str">
        <f>HYPERLINK("http://www.informatics.jax.org/marker/MGI:104860", "MGI:104860")</f>
        <v>MGI:104860</v>
      </c>
      <c r="P604" t="s">
        <v>7351</v>
      </c>
      <c r="Q604" t="s">
        <v>7352</v>
      </c>
      <c r="R604" t="s">
        <v>418</v>
      </c>
      <c r="S604" t="s">
        <v>41</v>
      </c>
      <c r="T604" t="s">
        <v>32</v>
      </c>
      <c r="U604" t="s">
        <v>32</v>
      </c>
      <c r="V604" t="s">
        <v>55</v>
      </c>
      <c r="W604" t="s">
        <v>32</v>
      </c>
      <c r="X604" t="s">
        <v>617</v>
      </c>
      <c r="Y604" t="s">
        <v>207</v>
      </c>
      <c r="Z604" t="s">
        <v>32</v>
      </c>
      <c r="AA604" t="s">
        <v>7353</v>
      </c>
      <c r="AB604" t="s">
        <v>7354</v>
      </c>
      <c r="AC604" t="s">
        <v>7355</v>
      </c>
      <c r="AD604" t="s">
        <v>32</v>
      </c>
      <c r="AE604" t="s">
        <v>32</v>
      </c>
      <c r="AF604" t="s">
        <v>46835</v>
      </c>
    </row>
    <row r="605" spans="1:32" x14ac:dyDescent="0.2">
      <c r="A605">
        <v>600</v>
      </c>
      <c r="B605" t="s">
        <v>7356</v>
      </c>
      <c r="C605" t="s">
        <v>7357</v>
      </c>
      <c r="D605" t="s">
        <v>7358</v>
      </c>
      <c r="E605" t="s">
        <v>7359</v>
      </c>
      <c r="F605" t="s">
        <v>7360</v>
      </c>
      <c r="G605" t="s">
        <v>32</v>
      </c>
      <c r="H605" t="str">
        <f>"Dctn2"</f>
        <v>Dctn2</v>
      </c>
      <c r="I605" t="s">
        <v>32</v>
      </c>
      <c r="J605" t="s">
        <v>37</v>
      </c>
      <c r="K605">
        <v>10090</v>
      </c>
      <c r="L605" s="3" t="str">
        <f>HYPERLINK("http://www.uniprot.org/uniprot/Q99KJ8", "Q99KJ8")</f>
        <v>Q99KJ8</v>
      </c>
      <c r="M605" t="s">
        <v>7361</v>
      </c>
      <c r="N605" t="str">
        <f>"Dctn2"</f>
        <v>Dctn2</v>
      </c>
      <c r="O605" s="3" t="str">
        <f>HYPERLINK("http://www.informatics.jax.org/marker/MGI:107733", "MGI:107733")</f>
        <v>MGI:107733</v>
      </c>
      <c r="P605" t="s">
        <v>7362</v>
      </c>
      <c r="Q605" t="s">
        <v>32</v>
      </c>
      <c r="R605" t="s">
        <v>7363</v>
      </c>
      <c r="S605" t="s">
        <v>32</v>
      </c>
      <c r="T605" t="s">
        <v>32</v>
      </c>
      <c r="U605" t="s">
        <v>32</v>
      </c>
      <c r="V605" t="s">
        <v>290</v>
      </c>
      <c r="W605" t="s">
        <v>32</v>
      </c>
      <c r="X605" t="s">
        <v>32</v>
      </c>
      <c r="Y605" t="s">
        <v>157</v>
      </c>
      <c r="Z605" t="s">
        <v>32</v>
      </c>
      <c r="AA605" t="s">
        <v>7364</v>
      </c>
      <c r="AB605" t="s">
        <v>7365</v>
      </c>
      <c r="AC605" t="s">
        <v>7366</v>
      </c>
      <c r="AD605" t="s">
        <v>32</v>
      </c>
      <c r="AE605" t="s">
        <v>5864</v>
      </c>
      <c r="AF605" t="s">
        <v>46835</v>
      </c>
    </row>
    <row r="606" spans="1:32" x14ac:dyDescent="0.2">
      <c r="A606">
        <v>601</v>
      </c>
      <c r="B606" t="s">
        <v>7367</v>
      </c>
      <c r="C606" t="s">
        <v>7368</v>
      </c>
      <c r="D606" t="s">
        <v>7369</v>
      </c>
      <c r="E606" t="s">
        <v>7370</v>
      </c>
      <c r="F606" t="s">
        <v>7371</v>
      </c>
      <c r="G606" t="s">
        <v>7372</v>
      </c>
      <c r="H606" t="str">
        <f>"Xpnpep1"</f>
        <v>Xpnpep1</v>
      </c>
      <c r="I606" t="s">
        <v>32</v>
      </c>
      <c r="J606" t="s">
        <v>37</v>
      </c>
      <c r="K606">
        <v>10090</v>
      </c>
      <c r="L606" s="3" t="str">
        <f>HYPERLINK("http://www.uniprot.org/uniprot/Q6P1B1", "Q6P1B1")</f>
        <v>Q6P1B1</v>
      </c>
      <c r="M606" t="s">
        <v>7373</v>
      </c>
      <c r="N606" t="str">
        <f>"Xpnpep1"</f>
        <v>Xpnpep1</v>
      </c>
      <c r="O606" s="3" t="str">
        <f>HYPERLINK("http://www.informatics.jax.org/marker/MGI:2180003", "MGI:2180003")</f>
        <v>MGI:2180003</v>
      </c>
      <c r="P606" t="s">
        <v>7374</v>
      </c>
      <c r="Q606" t="s">
        <v>32</v>
      </c>
      <c r="R606" t="s">
        <v>418</v>
      </c>
      <c r="S606" t="s">
        <v>32</v>
      </c>
      <c r="T606" t="s">
        <v>32</v>
      </c>
      <c r="U606" t="s">
        <v>32</v>
      </c>
      <c r="V606" t="s">
        <v>32</v>
      </c>
      <c r="W606" t="s">
        <v>5883</v>
      </c>
      <c r="X606" t="s">
        <v>4215</v>
      </c>
      <c r="Y606" t="s">
        <v>78</v>
      </c>
      <c r="Z606" t="s">
        <v>32</v>
      </c>
      <c r="AA606" t="s">
        <v>7375</v>
      </c>
      <c r="AB606" t="s">
        <v>2206</v>
      </c>
      <c r="AC606" t="s">
        <v>7376</v>
      </c>
      <c r="AD606" t="s">
        <v>32</v>
      </c>
      <c r="AE606" t="s">
        <v>32</v>
      </c>
      <c r="AF606" t="s">
        <v>46835</v>
      </c>
    </row>
    <row r="607" spans="1:32" x14ac:dyDescent="0.2">
      <c r="A607">
        <v>602</v>
      </c>
      <c r="B607" t="s">
        <v>7377</v>
      </c>
      <c r="C607" t="s">
        <v>7378</v>
      </c>
      <c r="D607" t="s">
        <v>7379</v>
      </c>
      <c r="E607" t="s">
        <v>7380</v>
      </c>
      <c r="F607" t="s">
        <v>7381</v>
      </c>
      <c r="G607" t="s">
        <v>7382</v>
      </c>
      <c r="H607" t="str">
        <f>"Capn2"</f>
        <v>Capn2</v>
      </c>
      <c r="I607" t="s">
        <v>32</v>
      </c>
      <c r="J607" t="s">
        <v>37</v>
      </c>
      <c r="K607">
        <v>10090</v>
      </c>
      <c r="L607" s="3" t="str">
        <f>HYPERLINK("http://www.uniprot.org/uniprot/O08529", "O08529")</f>
        <v>O08529</v>
      </c>
      <c r="M607" t="s">
        <v>7383</v>
      </c>
      <c r="N607" t="str">
        <f>"Capn2"</f>
        <v>Capn2</v>
      </c>
      <c r="O607" s="3" t="str">
        <f>HYPERLINK("http://www.informatics.jax.org/marker/MGI:88264", "MGI:88264")</f>
        <v>MGI:88264</v>
      </c>
      <c r="P607" t="s">
        <v>7384</v>
      </c>
      <c r="Q607" t="s">
        <v>32</v>
      </c>
      <c r="R607" t="s">
        <v>222</v>
      </c>
      <c r="S607" t="s">
        <v>32</v>
      </c>
      <c r="T607" t="s">
        <v>32</v>
      </c>
      <c r="U607" t="s">
        <v>32</v>
      </c>
      <c r="V607" t="s">
        <v>55</v>
      </c>
      <c r="W607" t="s">
        <v>188</v>
      </c>
      <c r="X607" t="s">
        <v>557</v>
      </c>
      <c r="Y607" t="s">
        <v>78</v>
      </c>
      <c r="Z607" t="s">
        <v>32</v>
      </c>
      <c r="AA607" t="s">
        <v>7385</v>
      </c>
      <c r="AB607" t="s">
        <v>7386</v>
      </c>
      <c r="AC607" t="s">
        <v>7387</v>
      </c>
      <c r="AD607" t="s">
        <v>32</v>
      </c>
      <c r="AE607" t="s">
        <v>561</v>
      </c>
      <c r="AF607" t="s">
        <v>46835</v>
      </c>
    </row>
    <row r="608" spans="1:32" x14ac:dyDescent="0.2">
      <c r="A608">
        <v>603</v>
      </c>
      <c r="B608" t="s">
        <v>7388</v>
      </c>
      <c r="C608" t="s">
        <v>7389</v>
      </c>
      <c r="D608" t="s">
        <v>7390</v>
      </c>
      <c r="E608" t="s">
        <v>7391</v>
      </c>
      <c r="F608" t="s">
        <v>7392</v>
      </c>
      <c r="G608" t="s">
        <v>7393</v>
      </c>
      <c r="H608" t="str">
        <f>"Cbx5"</f>
        <v>Cbx5</v>
      </c>
      <c r="I608" t="s">
        <v>7394</v>
      </c>
      <c r="J608" t="s">
        <v>37</v>
      </c>
      <c r="K608">
        <v>10090</v>
      </c>
      <c r="L608" s="3" t="str">
        <f>HYPERLINK("http://www.uniprot.org/uniprot/Q61686", "Q61686")</f>
        <v>Q61686</v>
      </c>
      <c r="M608" t="s">
        <v>7395</v>
      </c>
      <c r="N608" t="str">
        <f>"Cbx5"</f>
        <v>Cbx5</v>
      </c>
      <c r="O608" s="3" t="str">
        <f>HYPERLINK("http://www.informatics.jax.org/marker/MGI:109372", "MGI:109372")</f>
        <v>MGI:109372</v>
      </c>
      <c r="P608" t="s">
        <v>7396</v>
      </c>
      <c r="Q608" t="s">
        <v>32</v>
      </c>
      <c r="R608" t="s">
        <v>7397</v>
      </c>
      <c r="S608" t="s">
        <v>32</v>
      </c>
      <c r="T608" t="s">
        <v>32</v>
      </c>
      <c r="U608" t="s">
        <v>32</v>
      </c>
      <c r="V608" t="s">
        <v>55</v>
      </c>
      <c r="W608" t="s">
        <v>32</v>
      </c>
      <c r="X608" t="s">
        <v>32</v>
      </c>
      <c r="Y608" t="s">
        <v>516</v>
      </c>
      <c r="Z608" t="s">
        <v>126</v>
      </c>
      <c r="AA608" t="s">
        <v>7398</v>
      </c>
      <c r="AB608" t="s">
        <v>7399</v>
      </c>
      <c r="AC608" t="s">
        <v>7400</v>
      </c>
      <c r="AD608" t="s">
        <v>32</v>
      </c>
      <c r="AE608" t="s">
        <v>7401</v>
      </c>
      <c r="AF608" t="s">
        <v>46835</v>
      </c>
    </row>
    <row r="609" spans="1:33" x14ac:dyDescent="0.2">
      <c r="A609">
        <v>604</v>
      </c>
      <c r="B609" t="s">
        <v>7402</v>
      </c>
      <c r="C609" t="s">
        <v>7403</v>
      </c>
      <c r="D609" t="s">
        <v>7404</v>
      </c>
      <c r="E609" t="s">
        <v>7405</v>
      </c>
      <c r="F609" t="s">
        <v>7406</v>
      </c>
      <c r="G609" t="s">
        <v>7407</v>
      </c>
      <c r="H609" t="str">
        <f>"Cops2"</f>
        <v>Cops2</v>
      </c>
      <c r="I609" t="s">
        <v>7408</v>
      </c>
      <c r="J609" t="s">
        <v>37</v>
      </c>
      <c r="K609">
        <v>10090</v>
      </c>
      <c r="L609" s="3" t="str">
        <f>HYPERLINK("http://www.uniprot.org/uniprot/P61202", "P61202")</f>
        <v>P61202</v>
      </c>
      <c r="M609" t="s">
        <v>7409</v>
      </c>
      <c r="N609" t="str">
        <f>"Cops2"</f>
        <v>Cops2</v>
      </c>
      <c r="O609" s="3" t="str">
        <f>HYPERLINK("http://www.informatics.jax.org/marker/MGI:1330276", "MGI:1330276")</f>
        <v>MGI:1330276</v>
      </c>
      <c r="P609" t="s">
        <v>7410</v>
      </c>
      <c r="Q609" t="s">
        <v>32</v>
      </c>
      <c r="R609" t="s">
        <v>7411</v>
      </c>
      <c r="S609" t="s">
        <v>41</v>
      </c>
      <c r="T609" t="s">
        <v>32</v>
      </c>
      <c r="U609" t="s">
        <v>32</v>
      </c>
      <c r="V609" t="s">
        <v>32</v>
      </c>
      <c r="W609" t="s">
        <v>32</v>
      </c>
      <c r="X609" t="s">
        <v>32</v>
      </c>
      <c r="Y609" t="s">
        <v>618</v>
      </c>
      <c r="Z609" t="s">
        <v>32</v>
      </c>
      <c r="AA609" t="s">
        <v>7412</v>
      </c>
      <c r="AB609" t="s">
        <v>7413</v>
      </c>
      <c r="AC609" t="s">
        <v>7414</v>
      </c>
      <c r="AD609" t="s">
        <v>32</v>
      </c>
      <c r="AE609" t="s">
        <v>4181</v>
      </c>
      <c r="AF609" t="s">
        <v>46835</v>
      </c>
    </row>
    <row r="610" spans="1:33" x14ac:dyDescent="0.2">
      <c r="A610">
        <v>605</v>
      </c>
      <c r="B610" t="s">
        <v>7415</v>
      </c>
      <c r="C610" t="s">
        <v>7416</v>
      </c>
      <c r="D610" t="s">
        <v>7417</v>
      </c>
      <c r="E610" t="s">
        <v>7418</v>
      </c>
      <c r="F610" t="s">
        <v>7419</v>
      </c>
      <c r="G610" t="s">
        <v>7420</v>
      </c>
      <c r="H610" t="str">
        <f>"Gspt1"</f>
        <v>Gspt1</v>
      </c>
      <c r="I610" t="s">
        <v>7421</v>
      </c>
      <c r="J610" t="s">
        <v>37</v>
      </c>
      <c r="K610">
        <v>10090</v>
      </c>
      <c r="L610" s="3" t="str">
        <f>HYPERLINK("http://www.uniprot.org/uniprot/Q8R050", "Q8R050")</f>
        <v>Q8R050</v>
      </c>
      <c r="M610" t="s">
        <v>7422</v>
      </c>
      <c r="N610" t="str">
        <f>"Gspt1"</f>
        <v>Gspt1</v>
      </c>
      <c r="O610" s="3" t="str">
        <f>HYPERLINK("http://www.informatics.jax.org/marker/MGI:1316728", "MGI:1316728")</f>
        <v>MGI:1316728</v>
      </c>
      <c r="P610" t="s">
        <v>7423</v>
      </c>
      <c r="Q610" t="s">
        <v>7424</v>
      </c>
      <c r="R610" t="s">
        <v>32</v>
      </c>
      <c r="S610" t="s">
        <v>41</v>
      </c>
      <c r="T610" t="s">
        <v>32</v>
      </c>
      <c r="U610" t="s">
        <v>32</v>
      </c>
      <c r="V610" t="s">
        <v>32</v>
      </c>
      <c r="W610" t="s">
        <v>261</v>
      </c>
      <c r="X610" t="s">
        <v>32</v>
      </c>
      <c r="Y610" t="s">
        <v>32</v>
      </c>
      <c r="Z610" t="s">
        <v>126</v>
      </c>
      <c r="AA610" t="s">
        <v>7425</v>
      </c>
      <c r="AB610" t="s">
        <v>7426</v>
      </c>
      <c r="AC610" t="s">
        <v>7427</v>
      </c>
      <c r="AD610" t="s">
        <v>32</v>
      </c>
      <c r="AE610" t="s">
        <v>7283</v>
      </c>
      <c r="AF610" t="s">
        <v>46835</v>
      </c>
    </row>
    <row r="611" spans="1:33" x14ac:dyDescent="0.2">
      <c r="A611">
        <v>606</v>
      </c>
      <c r="B611" t="s">
        <v>7428</v>
      </c>
      <c r="C611" t="s">
        <v>7429</v>
      </c>
      <c r="D611" t="s">
        <v>7430</v>
      </c>
      <c r="E611" t="s">
        <v>7431</v>
      </c>
      <c r="F611" t="s">
        <v>7432</v>
      </c>
      <c r="G611" t="s">
        <v>7433</v>
      </c>
      <c r="H611" t="str">
        <f>"Aimp1"</f>
        <v>Aimp1</v>
      </c>
      <c r="I611" t="s">
        <v>7434</v>
      </c>
      <c r="J611" t="s">
        <v>37</v>
      </c>
      <c r="K611">
        <v>10090</v>
      </c>
      <c r="L611" s="3" t="str">
        <f>HYPERLINK("http://www.uniprot.org/uniprot/P31230", "P31230")</f>
        <v>P31230</v>
      </c>
      <c r="M611" t="s">
        <v>7435</v>
      </c>
      <c r="N611" t="str">
        <f>"Aimp1"</f>
        <v>Aimp1</v>
      </c>
      <c r="O611" s="3" t="str">
        <f>HYPERLINK("http://www.informatics.jax.org/marker/MGI:102774", "MGI:102774")</f>
        <v>MGI:102774</v>
      </c>
      <c r="P611" t="s">
        <v>7436</v>
      </c>
      <c r="Q611" t="s">
        <v>7437</v>
      </c>
      <c r="R611" t="s">
        <v>7438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7439</v>
      </c>
      <c r="Y611" t="s">
        <v>157</v>
      </c>
      <c r="Z611" t="s">
        <v>32</v>
      </c>
      <c r="AA611" t="s">
        <v>7440</v>
      </c>
      <c r="AB611" t="s">
        <v>7441</v>
      </c>
      <c r="AC611" t="s">
        <v>7442</v>
      </c>
      <c r="AD611" t="s">
        <v>32</v>
      </c>
      <c r="AE611" t="s">
        <v>32</v>
      </c>
      <c r="AF611" t="s">
        <v>46835</v>
      </c>
    </row>
    <row r="612" spans="1:33" x14ac:dyDescent="0.2">
      <c r="A612">
        <v>607</v>
      </c>
      <c r="B612" t="s">
        <v>7443</v>
      </c>
      <c r="C612" t="s">
        <v>7444</v>
      </c>
      <c r="D612" t="s">
        <v>32</v>
      </c>
      <c r="E612" t="s">
        <v>7445</v>
      </c>
      <c r="F612" t="s">
        <v>7446</v>
      </c>
      <c r="G612" t="s">
        <v>7447</v>
      </c>
      <c r="H612" t="str">
        <f>"Pgls"</f>
        <v>Pgls</v>
      </c>
      <c r="I612" t="s">
        <v>32</v>
      </c>
      <c r="J612" t="s">
        <v>37</v>
      </c>
      <c r="K612">
        <v>10090</v>
      </c>
      <c r="L612" s="3" t="str">
        <f>HYPERLINK("http://www.uniprot.org/uniprot/Q9CQ60", "Q9CQ60")</f>
        <v>Q9CQ60</v>
      </c>
      <c r="M612" t="s">
        <v>7448</v>
      </c>
      <c r="N612" t="str">
        <f>"Pgls"</f>
        <v>Pgls</v>
      </c>
      <c r="O612" s="3" t="str">
        <f>HYPERLINK("http://www.informatics.jax.org/marker/MGI:1913421", "MGI:1913421")</f>
        <v>MGI:1913421</v>
      </c>
      <c r="P612" t="s">
        <v>7449</v>
      </c>
      <c r="Q612" t="s">
        <v>32</v>
      </c>
      <c r="R612" t="s">
        <v>418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343</v>
      </c>
      <c r="Y612" t="s">
        <v>157</v>
      </c>
      <c r="Z612" t="s">
        <v>32</v>
      </c>
      <c r="AA612" t="s">
        <v>7450</v>
      </c>
      <c r="AB612" t="s">
        <v>2172</v>
      </c>
      <c r="AC612" t="s">
        <v>7451</v>
      </c>
      <c r="AD612" t="s">
        <v>7452</v>
      </c>
      <c r="AE612" t="s">
        <v>4118</v>
      </c>
      <c r="AF612" t="s">
        <v>46835</v>
      </c>
    </row>
    <row r="613" spans="1:33" x14ac:dyDescent="0.2">
      <c r="A613">
        <v>608</v>
      </c>
      <c r="B613" t="s">
        <v>7453</v>
      </c>
      <c r="C613" t="s">
        <v>7454</v>
      </c>
      <c r="D613" t="s">
        <v>7455</v>
      </c>
      <c r="E613" t="s">
        <v>7456</v>
      </c>
      <c r="F613" t="s">
        <v>7457</v>
      </c>
      <c r="G613" t="s">
        <v>7458</v>
      </c>
      <c r="H613" t="str">
        <f>"Ptges3"</f>
        <v>Ptges3</v>
      </c>
      <c r="I613" t="s">
        <v>7459</v>
      </c>
      <c r="J613" t="s">
        <v>37</v>
      </c>
      <c r="K613">
        <v>10090</v>
      </c>
      <c r="L613" s="3" t="str">
        <f>HYPERLINK("http://www.uniprot.org/uniprot/Q9R0Q7", "Q9R0Q7")</f>
        <v>Q9R0Q7</v>
      </c>
      <c r="M613" t="s">
        <v>7460</v>
      </c>
      <c r="N613" t="str">
        <f>"Ptges3"</f>
        <v>Ptges3</v>
      </c>
      <c r="O613" s="3" t="str">
        <f>HYPERLINK("http://www.informatics.jax.org/marker/MGI:1929282", "MGI:1929282")</f>
        <v>MGI:1929282</v>
      </c>
      <c r="P613" t="s">
        <v>7461</v>
      </c>
      <c r="Q613" t="s">
        <v>7462</v>
      </c>
      <c r="R613" t="s">
        <v>418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673</v>
      </c>
      <c r="Y613" t="s">
        <v>516</v>
      </c>
      <c r="Z613" t="s">
        <v>32</v>
      </c>
      <c r="AA613" t="s">
        <v>7463</v>
      </c>
      <c r="AB613" t="s">
        <v>7464</v>
      </c>
      <c r="AC613" t="s">
        <v>7465</v>
      </c>
      <c r="AD613" t="s">
        <v>7466</v>
      </c>
      <c r="AE613" t="s">
        <v>7467</v>
      </c>
      <c r="AF613" t="s">
        <v>46835</v>
      </c>
    </row>
    <row r="614" spans="1:33" x14ac:dyDescent="0.2">
      <c r="A614">
        <v>609</v>
      </c>
      <c r="B614" t="s">
        <v>7468</v>
      </c>
      <c r="C614" t="s">
        <v>7469</v>
      </c>
      <c r="D614" t="s">
        <v>7470</v>
      </c>
      <c r="E614" t="s">
        <v>7471</v>
      </c>
      <c r="F614" t="s">
        <v>7472</v>
      </c>
      <c r="G614" t="s">
        <v>7473</v>
      </c>
      <c r="H614" t="str">
        <f>"Elp1"</f>
        <v>Elp1</v>
      </c>
      <c r="I614" t="s">
        <v>7474</v>
      </c>
      <c r="J614" t="s">
        <v>37</v>
      </c>
      <c r="K614">
        <v>10090</v>
      </c>
      <c r="L614" s="3" t="str">
        <f>HYPERLINK("http://www.uniprot.org/uniprot/Q7TT37", "Q7TT37")</f>
        <v>Q7TT37</v>
      </c>
      <c r="M614" t="s">
        <v>7475</v>
      </c>
      <c r="N614" t="str">
        <f>"Elp1"</f>
        <v>Elp1</v>
      </c>
      <c r="O614" s="3" t="str">
        <f>HYPERLINK("http://www.informatics.jax.org/marker/MGI:1914544", "MGI:1914544")</f>
        <v>MGI:1914544</v>
      </c>
      <c r="P614" t="s">
        <v>7476</v>
      </c>
      <c r="Q614" t="s">
        <v>4386</v>
      </c>
      <c r="R614" t="s">
        <v>40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618</v>
      </c>
      <c r="Z614" t="s">
        <v>32</v>
      </c>
      <c r="AA614" t="s">
        <v>7477</v>
      </c>
      <c r="AB614" t="s">
        <v>7478</v>
      </c>
      <c r="AC614" t="s">
        <v>7479</v>
      </c>
      <c r="AD614" t="s">
        <v>7480</v>
      </c>
      <c r="AE614" t="s">
        <v>32</v>
      </c>
      <c r="AF614" t="s">
        <v>46835</v>
      </c>
    </row>
    <row r="615" spans="1:33" x14ac:dyDescent="0.2">
      <c r="A615">
        <v>610</v>
      </c>
      <c r="B615" t="s">
        <v>7481</v>
      </c>
      <c r="C615" t="s">
        <v>7482</v>
      </c>
      <c r="D615" t="s">
        <v>7483</v>
      </c>
      <c r="E615" t="s">
        <v>7484</v>
      </c>
      <c r="F615" t="s">
        <v>7485</v>
      </c>
      <c r="G615" t="s">
        <v>7486</v>
      </c>
      <c r="H615" t="str">
        <f>"Ugp2"</f>
        <v>Ugp2</v>
      </c>
      <c r="I615" t="s">
        <v>32</v>
      </c>
      <c r="J615" t="s">
        <v>37</v>
      </c>
      <c r="K615">
        <v>10090</v>
      </c>
      <c r="L615" s="3" t="str">
        <f>HYPERLINK("http://www.uniprot.org/uniprot/Q91ZJ5", "Q91ZJ5")</f>
        <v>Q91ZJ5</v>
      </c>
      <c r="M615" t="s">
        <v>7487</v>
      </c>
      <c r="N615" t="str">
        <f>"Ugp2"</f>
        <v>Ugp2</v>
      </c>
      <c r="O615" s="3" t="str">
        <f>HYPERLINK("http://www.informatics.jax.org/marker/MGI:2183447", "MGI:2183447")</f>
        <v>MGI:2183447</v>
      </c>
      <c r="P615" t="s">
        <v>7488</v>
      </c>
      <c r="Q615" t="s">
        <v>32</v>
      </c>
      <c r="R615" t="s">
        <v>418</v>
      </c>
      <c r="S615" t="s">
        <v>41</v>
      </c>
      <c r="T615" t="s">
        <v>32</v>
      </c>
      <c r="U615" t="s">
        <v>32</v>
      </c>
      <c r="V615" t="s">
        <v>32</v>
      </c>
      <c r="W615" t="s">
        <v>223</v>
      </c>
      <c r="X615" t="s">
        <v>7489</v>
      </c>
      <c r="Y615" t="s">
        <v>157</v>
      </c>
      <c r="Z615" t="s">
        <v>32</v>
      </c>
      <c r="AA615" t="s">
        <v>7490</v>
      </c>
      <c r="AB615" t="s">
        <v>2172</v>
      </c>
      <c r="AC615" t="s">
        <v>7491</v>
      </c>
      <c r="AD615" t="s">
        <v>7492</v>
      </c>
      <c r="AE615" t="s">
        <v>7493</v>
      </c>
      <c r="AF615" t="s">
        <v>46835</v>
      </c>
    </row>
    <row r="616" spans="1:33" x14ac:dyDescent="0.2">
      <c r="A616">
        <v>611</v>
      </c>
      <c r="B616" t="s">
        <v>7494</v>
      </c>
      <c r="C616" t="s">
        <v>7495</v>
      </c>
      <c r="D616" t="s">
        <v>7496</v>
      </c>
      <c r="E616" t="s">
        <v>7497</v>
      </c>
      <c r="F616" t="s">
        <v>7498</v>
      </c>
      <c r="G616" t="s">
        <v>32</v>
      </c>
      <c r="H616" t="str">
        <f>"Xpo1"</f>
        <v>Xpo1</v>
      </c>
      <c r="I616" t="s">
        <v>7499</v>
      </c>
      <c r="J616" t="s">
        <v>37</v>
      </c>
      <c r="K616">
        <v>10090</v>
      </c>
      <c r="L616" s="3" t="str">
        <f>HYPERLINK("http://www.uniprot.org/uniprot/Q6P5F9", "Q6P5F9")</f>
        <v>Q6P5F9</v>
      </c>
      <c r="M616" t="s">
        <v>7500</v>
      </c>
      <c r="N616" t="str">
        <f>"Xpo1"</f>
        <v>Xpo1</v>
      </c>
      <c r="O616" s="3" t="str">
        <f>HYPERLINK("http://www.informatics.jax.org/marker/MGI:2144013", "MGI:2144013")</f>
        <v>MGI:2144013</v>
      </c>
      <c r="P616" t="s">
        <v>7501</v>
      </c>
      <c r="Q616" t="s">
        <v>7502</v>
      </c>
      <c r="R616" t="s">
        <v>40</v>
      </c>
      <c r="S616" t="s">
        <v>32</v>
      </c>
      <c r="T616" t="s">
        <v>32</v>
      </c>
      <c r="U616" t="s">
        <v>32</v>
      </c>
      <c r="V616" t="s">
        <v>55</v>
      </c>
      <c r="W616" t="s">
        <v>32</v>
      </c>
      <c r="X616" t="s">
        <v>1282</v>
      </c>
      <c r="Y616" t="s">
        <v>157</v>
      </c>
      <c r="Z616" t="s">
        <v>126</v>
      </c>
      <c r="AA616" t="s">
        <v>7503</v>
      </c>
      <c r="AB616" t="s">
        <v>7504</v>
      </c>
      <c r="AC616" t="s">
        <v>7505</v>
      </c>
      <c r="AD616" t="s">
        <v>32</v>
      </c>
      <c r="AE616" t="s">
        <v>7506</v>
      </c>
      <c r="AF616" t="s">
        <v>46835</v>
      </c>
    </row>
    <row r="617" spans="1:33" x14ac:dyDescent="0.2">
      <c r="A617">
        <v>612</v>
      </c>
      <c r="B617" t="s">
        <v>7507</v>
      </c>
      <c r="C617" t="s">
        <v>7508</v>
      </c>
      <c r="D617" t="s">
        <v>7509</v>
      </c>
      <c r="E617" t="s">
        <v>7510</v>
      </c>
      <c r="F617" t="s">
        <v>7511</v>
      </c>
      <c r="G617" t="s">
        <v>32</v>
      </c>
      <c r="H617" t="str">
        <f>"Psmb2"</f>
        <v>Psmb2</v>
      </c>
      <c r="I617" t="s">
        <v>32</v>
      </c>
      <c r="J617" t="s">
        <v>37</v>
      </c>
      <c r="K617">
        <v>10090</v>
      </c>
      <c r="L617" s="3" t="str">
        <f>HYPERLINK("http://www.uniprot.org/uniprot/Q9R1P3", "Q9R1P3")</f>
        <v>Q9R1P3</v>
      </c>
      <c r="M617" t="s">
        <v>7512</v>
      </c>
      <c r="N617" t="str">
        <f>"Psmb2"</f>
        <v>Psmb2</v>
      </c>
      <c r="O617" s="3" t="str">
        <f>HYPERLINK("http://www.informatics.jax.org/marker/MGI:1347045", "MGI:1347045")</f>
        <v>MGI:1347045</v>
      </c>
      <c r="P617" t="s">
        <v>7513</v>
      </c>
      <c r="Q617" t="s">
        <v>32</v>
      </c>
      <c r="R617" t="s">
        <v>2586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t="s">
        <v>78</v>
      </c>
      <c r="Z617" t="s">
        <v>126</v>
      </c>
      <c r="AA617" t="s">
        <v>7514</v>
      </c>
      <c r="AB617" t="s">
        <v>6750</v>
      </c>
      <c r="AC617" t="s">
        <v>32</v>
      </c>
      <c r="AD617" t="s">
        <v>32</v>
      </c>
      <c r="AE617" t="s">
        <v>2774</v>
      </c>
      <c r="AF617" t="s">
        <v>46835</v>
      </c>
    </row>
    <row r="618" spans="1:33" x14ac:dyDescent="0.2">
      <c r="A618">
        <v>613</v>
      </c>
      <c r="B618" t="s">
        <v>7515</v>
      </c>
      <c r="C618" t="s">
        <v>7516</v>
      </c>
      <c r="D618" t="s">
        <v>7517</v>
      </c>
      <c r="E618" t="s">
        <v>7518</v>
      </c>
      <c r="F618" t="s">
        <v>7519</v>
      </c>
      <c r="G618" t="s">
        <v>7520</v>
      </c>
      <c r="H618" t="str">
        <f>"Prpf8"</f>
        <v>Prpf8</v>
      </c>
      <c r="I618" t="s">
        <v>7521</v>
      </c>
      <c r="J618" t="s">
        <v>37</v>
      </c>
      <c r="K618">
        <v>10090</v>
      </c>
      <c r="L618" s="3" t="str">
        <f>HYPERLINK("http://www.uniprot.org/uniprot/Q99PV0", "Q99PV0")</f>
        <v>Q99PV0</v>
      </c>
      <c r="M618" t="s">
        <v>7522</v>
      </c>
      <c r="N618" t="str">
        <f>"Prpf8"</f>
        <v>Prpf8</v>
      </c>
      <c r="O618" s="3" t="str">
        <f>HYPERLINK("http://www.informatics.jax.org/marker/MGI:2179381", "MGI:2179381")</f>
        <v>MGI:2179381</v>
      </c>
      <c r="P618" t="s">
        <v>7523</v>
      </c>
      <c r="Q618" t="s">
        <v>2139</v>
      </c>
      <c r="R618" t="s">
        <v>2140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1129</v>
      </c>
      <c r="Y618" t="s">
        <v>97</v>
      </c>
      <c r="Z618" t="s">
        <v>32</v>
      </c>
      <c r="AA618" t="s">
        <v>7524</v>
      </c>
      <c r="AB618" t="s">
        <v>7525</v>
      </c>
      <c r="AC618" t="s">
        <v>7526</v>
      </c>
      <c r="AD618" t="s">
        <v>32</v>
      </c>
      <c r="AE618" t="s">
        <v>7167</v>
      </c>
      <c r="AF618" t="s">
        <v>46835</v>
      </c>
    </row>
    <row r="619" spans="1:33" x14ac:dyDescent="0.2">
      <c r="A619">
        <v>614</v>
      </c>
      <c r="B619" t="s">
        <v>7527</v>
      </c>
      <c r="C619" t="s">
        <v>7528</v>
      </c>
      <c r="D619" t="s">
        <v>32</v>
      </c>
      <c r="E619" t="s">
        <v>7529</v>
      </c>
      <c r="F619" t="s">
        <v>7530</v>
      </c>
      <c r="G619" t="s">
        <v>7531</v>
      </c>
      <c r="H619" t="str">
        <f>"Erp29"</f>
        <v>Erp29</v>
      </c>
      <c r="I619" t="s">
        <v>32</v>
      </c>
      <c r="J619" t="s">
        <v>37</v>
      </c>
      <c r="K619">
        <v>10090</v>
      </c>
      <c r="L619" s="3" t="str">
        <f>HYPERLINK("http://www.uniprot.org/uniprot/P57759", "P57759")</f>
        <v>P57759</v>
      </c>
      <c r="M619" t="s">
        <v>7532</v>
      </c>
      <c r="N619" t="str">
        <f>"Erp29"</f>
        <v>Erp29</v>
      </c>
      <c r="O619" s="3" t="str">
        <f>HYPERLINK("http://www.informatics.jax.org/marker/MGI:1914647", "MGI:1914647")</f>
        <v>MGI:1914647</v>
      </c>
      <c r="P619" t="s">
        <v>7533</v>
      </c>
      <c r="Q619" t="s">
        <v>32</v>
      </c>
      <c r="R619" t="s">
        <v>671</v>
      </c>
      <c r="S619" t="s">
        <v>32</v>
      </c>
      <c r="T619" t="s">
        <v>32</v>
      </c>
      <c r="U619" t="s">
        <v>32</v>
      </c>
      <c r="V619" t="s">
        <v>811</v>
      </c>
      <c r="W619" t="s">
        <v>32</v>
      </c>
      <c r="X619" t="s">
        <v>32</v>
      </c>
      <c r="Y619" t="s">
        <v>618</v>
      </c>
      <c r="Z619" t="s">
        <v>32</v>
      </c>
      <c r="AA619" t="s">
        <v>7534</v>
      </c>
      <c r="AB619" t="s">
        <v>7535</v>
      </c>
      <c r="AC619" t="s">
        <v>7536</v>
      </c>
      <c r="AD619" t="s">
        <v>32</v>
      </c>
      <c r="AE619" t="s">
        <v>32</v>
      </c>
      <c r="AF619" t="s">
        <v>46835</v>
      </c>
    </row>
    <row r="620" spans="1:33" x14ac:dyDescent="0.2">
      <c r="A620">
        <v>615</v>
      </c>
      <c r="B620" t="s">
        <v>7537</v>
      </c>
      <c r="C620" t="s">
        <v>47210</v>
      </c>
      <c r="D620" t="s">
        <v>32</v>
      </c>
      <c r="E620" t="s">
        <v>46858</v>
      </c>
      <c r="F620" t="s">
        <v>46857</v>
      </c>
      <c r="G620" t="s">
        <v>32</v>
      </c>
      <c r="H620" t="s">
        <v>47342</v>
      </c>
      <c r="I620" t="s">
        <v>32</v>
      </c>
      <c r="J620" t="s">
        <v>37</v>
      </c>
      <c r="K620">
        <v>10090</v>
      </c>
      <c r="L620" s="3" t="str">
        <f>HYPERLINK(CONCATENATE("https://www.uniprot.org/uniprotkb/", AG620, "/entry"), AG620)</f>
        <v>D3Z2H9</v>
      </c>
      <c r="M620" t="s">
        <v>32</v>
      </c>
      <c r="N620" t="s">
        <v>32</v>
      </c>
      <c r="O620" s="3" t="s">
        <v>32</v>
      </c>
      <c r="P620" t="s">
        <v>32</v>
      </c>
      <c r="Q620" t="s">
        <v>32</v>
      </c>
      <c r="R620" t="s">
        <v>32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32</v>
      </c>
      <c r="Y620" t="s">
        <v>32</v>
      </c>
      <c r="Z620" t="s">
        <v>32</v>
      </c>
      <c r="AA620" t="s">
        <v>32</v>
      </c>
      <c r="AB620" t="s">
        <v>32</v>
      </c>
      <c r="AC620" t="s">
        <v>32</v>
      </c>
      <c r="AD620" t="s">
        <v>32</v>
      </c>
      <c r="AE620" t="s">
        <v>32</v>
      </c>
      <c r="AF620" t="s">
        <v>46835</v>
      </c>
      <c r="AG620" t="s">
        <v>46857</v>
      </c>
    </row>
    <row r="621" spans="1:33" x14ac:dyDescent="0.2">
      <c r="A621">
        <v>616</v>
      </c>
      <c r="B621" t="s">
        <v>7538</v>
      </c>
      <c r="C621" t="s">
        <v>7539</v>
      </c>
      <c r="D621" t="s">
        <v>32</v>
      </c>
      <c r="E621" t="s">
        <v>7540</v>
      </c>
      <c r="F621" t="s">
        <v>7541</v>
      </c>
      <c r="G621" t="s">
        <v>32</v>
      </c>
      <c r="H621" t="str">
        <f>"Cul3"</f>
        <v>Cul3</v>
      </c>
      <c r="I621" t="s">
        <v>32</v>
      </c>
      <c r="J621" t="s">
        <v>37</v>
      </c>
      <c r="K621">
        <v>10090</v>
      </c>
      <c r="L621" s="3" t="str">
        <f>HYPERLINK("http://www.uniprot.org/uniprot/Q9JLV5", "Q9JLV5")</f>
        <v>Q9JLV5</v>
      </c>
      <c r="M621" t="s">
        <v>7542</v>
      </c>
      <c r="N621" t="str">
        <f>"Cul3"</f>
        <v>Cul3</v>
      </c>
      <c r="O621" s="3" t="str">
        <f>HYPERLINK("http://www.informatics.jax.org/marker/MGI:1347360", "MGI:1347360")</f>
        <v>MGI:1347360</v>
      </c>
      <c r="P621" t="s">
        <v>7543</v>
      </c>
      <c r="Q621" t="s">
        <v>7544</v>
      </c>
      <c r="R621" t="s">
        <v>7545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32</v>
      </c>
      <c r="Y621" t="s">
        <v>516</v>
      </c>
      <c r="Z621" t="s">
        <v>126</v>
      </c>
      <c r="AA621" t="s">
        <v>7546</v>
      </c>
      <c r="AB621" t="s">
        <v>7547</v>
      </c>
      <c r="AC621" t="s">
        <v>7548</v>
      </c>
      <c r="AD621" t="s">
        <v>1027</v>
      </c>
      <c r="AE621" t="s">
        <v>7549</v>
      </c>
      <c r="AF621" t="s">
        <v>46835</v>
      </c>
    </row>
    <row r="622" spans="1:33" x14ac:dyDescent="0.2">
      <c r="A622">
        <v>617</v>
      </c>
      <c r="B622" t="s">
        <v>7550</v>
      </c>
      <c r="C622" t="s">
        <v>7551</v>
      </c>
      <c r="D622" t="s">
        <v>7552</v>
      </c>
      <c r="E622" t="s">
        <v>7553</v>
      </c>
      <c r="F622" t="s">
        <v>7554</v>
      </c>
      <c r="G622" t="s">
        <v>7555</v>
      </c>
      <c r="H622" t="str">
        <f>"Cox6c"</f>
        <v>Cox6c</v>
      </c>
      <c r="I622" t="s">
        <v>32</v>
      </c>
      <c r="J622" t="s">
        <v>37</v>
      </c>
      <c r="K622">
        <v>10090</v>
      </c>
      <c r="L622" s="3" t="str">
        <f>HYPERLINK("http://www.uniprot.org/uniprot/Q9CPQ1", "Q9CPQ1")</f>
        <v>Q9CPQ1</v>
      </c>
      <c r="M622" t="s">
        <v>7556</v>
      </c>
      <c r="N622" t="str">
        <f>"Cox6c"</f>
        <v>Cox6c</v>
      </c>
      <c r="O622" s="3" t="str">
        <f>HYPERLINK("http://www.informatics.jax.org/marker/MGI:104614", "MGI:104614")</f>
        <v>MGI:104614</v>
      </c>
      <c r="P622" t="s">
        <v>7557</v>
      </c>
      <c r="Q622" t="s">
        <v>32</v>
      </c>
      <c r="R622" t="s">
        <v>3858</v>
      </c>
      <c r="S622" t="s">
        <v>32</v>
      </c>
      <c r="T622" t="s">
        <v>32</v>
      </c>
      <c r="U622" t="s">
        <v>32</v>
      </c>
      <c r="V622" t="s">
        <v>493</v>
      </c>
      <c r="W622" t="s">
        <v>32</v>
      </c>
      <c r="X622" t="s">
        <v>32</v>
      </c>
      <c r="Y622" t="s">
        <v>78</v>
      </c>
      <c r="Z622" t="s">
        <v>126</v>
      </c>
      <c r="AA622" t="s">
        <v>3860</v>
      </c>
      <c r="AB622" t="s">
        <v>7558</v>
      </c>
      <c r="AC622" t="s">
        <v>32</v>
      </c>
      <c r="AD622" t="s">
        <v>3862</v>
      </c>
      <c r="AE622" t="s">
        <v>32</v>
      </c>
      <c r="AF622" t="s">
        <v>46835</v>
      </c>
    </row>
    <row r="623" spans="1:33" x14ac:dyDescent="0.2">
      <c r="A623">
        <v>618</v>
      </c>
      <c r="B623" t="s">
        <v>7559</v>
      </c>
      <c r="C623" t="s">
        <v>7560</v>
      </c>
      <c r="D623" t="s">
        <v>7561</v>
      </c>
      <c r="E623" t="s">
        <v>7562</v>
      </c>
      <c r="F623" t="s">
        <v>7563</v>
      </c>
      <c r="G623" t="s">
        <v>7564</v>
      </c>
      <c r="H623" t="str">
        <f>"Khsrp"</f>
        <v>Khsrp</v>
      </c>
      <c r="I623" t="s">
        <v>7565</v>
      </c>
      <c r="J623" t="s">
        <v>37</v>
      </c>
      <c r="K623">
        <v>10090</v>
      </c>
      <c r="L623" s="3" t="str">
        <f>HYPERLINK("http://www.uniprot.org/uniprot/Q3U0V1", "Q3U0V1")</f>
        <v>Q3U0V1</v>
      </c>
      <c r="M623" t="s">
        <v>7566</v>
      </c>
      <c r="N623" t="str">
        <f>"Khsrp"</f>
        <v>Khsrp</v>
      </c>
      <c r="O623" s="3" t="str">
        <f>HYPERLINK("http://www.informatics.jax.org/marker/MGI:1336214", "MGI:1336214")</f>
        <v>MGI:1336214</v>
      </c>
      <c r="P623" t="s">
        <v>7567</v>
      </c>
      <c r="Q623" t="s">
        <v>7568</v>
      </c>
      <c r="R623" t="s">
        <v>40</v>
      </c>
      <c r="S623" t="s">
        <v>32</v>
      </c>
      <c r="T623" t="s">
        <v>32</v>
      </c>
      <c r="U623" t="s">
        <v>32</v>
      </c>
      <c r="V623" t="s">
        <v>55</v>
      </c>
      <c r="W623" t="s">
        <v>32</v>
      </c>
      <c r="X623" t="s">
        <v>956</v>
      </c>
      <c r="Y623" t="s">
        <v>207</v>
      </c>
      <c r="Z623" t="s">
        <v>32</v>
      </c>
      <c r="AA623" t="s">
        <v>7569</v>
      </c>
      <c r="AB623" t="s">
        <v>7570</v>
      </c>
      <c r="AC623" t="s">
        <v>7571</v>
      </c>
      <c r="AD623" t="s">
        <v>32</v>
      </c>
      <c r="AE623" t="s">
        <v>7572</v>
      </c>
      <c r="AF623" t="s">
        <v>46835</v>
      </c>
    </row>
    <row r="624" spans="1:33" x14ac:dyDescent="0.2">
      <c r="A624">
        <v>619</v>
      </c>
      <c r="B624" t="s">
        <v>7573</v>
      </c>
      <c r="C624" t="s">
        <v>7574</v>
      </c>
      <c r="D624" t="s">
        <v>7575</v>
      </c>
      <c r="E624" t="s">
        <v>7576</v>
      </c>
      <c r="F624" t="s">
        <v>7577</v>
      </c>
      <c r="G624" t="s">
        <v>7578</v>
      </c>
      <c r="H624" t="str">
        <f>"Ddx21"</f>
        <v>Ddx21</v>
      </c>
      <c r="I624" t="s">
        <v>32</v>
      </c>
      <c r="J624" t="s">
        <v>37</v>
      </c>
      <c r="K624">
        <v>10090</v>
      </c>
      <c r="L624" s="3" t="str">
        <f>HYPERLINK("http://www.uniprot.org/uniprot/Q9JIK5", "Q9JIK5")</f>
        <v>Q9JIK5</v>
      </c>
      <c r="M624" t="s">
        <v>7579</v>
      </c>
      <c r="N624" t="str">
        <f>"Ddx21"</f>
        <v>Ddx21</v>
      </c>
      <c r="O624" s="3" t="str">
        <f>HYPERLINK("http://www.informatics.jax.org/marker/MGI:1860494", "MGI:1860494")</f>
        <v>MGI:1860494</v>
      </c>
      <c r="P624" t="s">
        <v>7580</v>
      </c>
      <c r="Q624" t="s">
        <v>7581</v>
      </c>
      <c r="R624" t="s">
        <v>1021</v>
      </c>
      <c r="S624" t="s">
        <v>32</v>
      </c>
      <c r="T624" t="s">
        <v>32</v>
      </c>
      <c r="U624" t="s">
        <v>32</v>
      </c>
      <c r="V624" t="s">
        <v>55</v>
      </c>
      <c r="W624" t="s">
        <v>205</v>
      </c>
      <c r="X624" t="s">
        <v>5050</v>
      </c>
      <c r="Y624" t="s">
        <v>157</v>
      </c>
      <c r="Z624" t="s">
        <v>126</v>
      </c>
      <c r="AA624" t="s">
        <v>7582</v>
      </c>
      <c r="AB624" t="s">
        <v>7583</v>
      </c>
      <c r="AC624" t="s">
        <v>7584</v>
      </c>
      <c r="AD624" t="s">
        <v>32</v>
      </c>
      <c r="AE624" t="s">
        <v>7585</v>
      </c>
      <c r="AF624" t="s">
        <v>46835</v>
      </c>
    </row>
    <row r="625" spans="1:32" x14ac:dyDescent="0.2">
      <c r="A625">
        <v>620</v>
      </c>
      <c r="B625" t="s">
        <v>7586</v>
      </c>
      <c r="C625" t="s">
        <v>7587</v>
      </c>
      <c r="D625" t="s">
        <v>7588</v>
      </c>
      <c r="E625" t="s">
        <v>7589</v>
      </c>
      <c r="F625" t="s">
        <v>7590</v>
      </c>
      <c r="G625" t="s">
        <v>7591</v>
      </c>
      <c r="H625" t="str">
        <f>"Add2"</f>
        <v>Add2</v>
      </c>
      <c r="I625" t="s">
        <v>32</v>
      </c>
      <c r="J625" t="s">
        <v>37</v>
      </c>
      <c r="K625">
        <v>10090</v>
      </c>
      <c r="L625" s="3" t="str">
        <f>HYPERLINK("http://www.uniprot.org/uniprot/Q9QYB8", "Q9QYB8")</f>
        <v>Q9QYB8</v>
      </c>
      <c r="M625" t="s">
        <v>7592</v>
      </c>
      <c r="N625" t="str">
        <f>"Add2"</f>
        <v>Add2</v>
      </c>
      <c r="O625" s="3" t="str">
        <f>HYPERLINK("http://www.informatics.jax.org/marker/MGI:87919", "MGI:87919")</f>
        <v>MGI:87919</v>
      </c>
      <c r="P625" t="s">
        <v>7593</v>
      </c>
      <c r="Q625" t="s">
        <v>32</v>
      </c>
      <c r="R625" t="s">
        <v>371</v>
      </c>
      <c r="S625" t="s">
        <v>41</v>
      </c>
      <c r="T625" t="s">
        <v>32</v>
      </c>
      <c r="U625" t="s">
        <v>32</v>
      </c>
      <c r="V625" t="s">
        <v>32</v>
      </c>
      <c r="W625" t="s">
        <v>32</v>
      </c>
      <c r="X625" t="s">
        <v>5561</v>
      </c>
      <c r="Y625" t="s">
        <v>618</v>
      </c>
      <c r="Z625" t="s">
        <v>32</v>
      </c>
      <c r="AA625" t="s">
        <v>7594</v>
      </c>
      <c r="AB625" t="s">
        <v>7595</v>
      </c>
      <c r="AC625" t="s">
        <v>7596</v>
      </c>
      <c r="AD625" t="s">
        <v>32</v>
      </c>
      <c r="AE625" t="s">
        <v>7597</v>
      </c>
      <c r="AF625" t="s">
        <v>46835</v>
      </c>
    </row>
    <row r="626" spans="1:32" x14ac:dyDescent="0.2">
      <c r="A626">
        <v>621</v>
      </c>
      <c r="B626" t="s">
        <v>7598</v>
      </c>
      <c r="C626" t="s">
        <v>7599</v>
      </c>
      <c r="D626" t="s">
        <v>7600</v>
      </c>
      <c r="E626" t="s">
        <v>7601</v>
      </c>
      <c r="F626" t="s">
        <v>7602</v>
      </c>
      <c r="G626" t="s">
        <v>7603</v>
      </c>
      <c r="H626" t="str">
        <f>"Apoa4"</f>
        <v>Apoa4</v>
      </c>
      <c r="I626" t="s">
        <v>32</v>
      </c>
      <c r="J626" t="s">
        <v>37</v>
      </c>
      <c r="K626">
        <v>10090</v>
      </c>
      <c r="L626" s="3" t="str">
        <f>HYPERLINK("http://www.uniprot.org/uniprot/P06728", "P06728")</f>
        <v>P06728</v>
      </c>
      <c r="M626" t="s">
        <v>7604</v>
      </c>
      <c r="N626" t="str">
        <f>"Apoa4"</f>
        <v>Apoa4</v>
      </c>
      <c r="O626" s="3" t="str">
        <f>HYPERLINK("http://www.informatics.jax.org/marker/MGI:88051", "MGI:88051")</f>
        <v>MGI:88051</v>
      </c>
      <c r="P626" t="s">
        <v>7605</v>
      </c>
      <c r="Q626" t="s">
        <v>582</v>
      </c>
      <c r="R626" t="s">
        <v>7606</v>
      </c>
      <c r="S626" t="s">
        <v>32</v>
      </c>
      <c r="T626" t="s">
        <v>32</v>
      </c>
      <c r="U626" t="s">
        <v>32</v>
      </c>
      <c r="V626" t="s">
        <v>478</v>
      </c>
      <c r="W626" t="s">
        <v>32</v>
      </c>
      <c r="X626" t="s">
        <v>32</v>
      </c>
      <c r="Y626" t="s">
        <v>32</v>
      </c>
      <c r="Z626" t="s">
        <v>32</v>
      </c>
      <c r="AA626" t="s">
        <v>7607</v>
      </c>
      <c r="AB626" t="s">
        <v>7608</v>
      </c>
      <c r="AC626" t="s">
        <v>7609</v>
      </c>
      <c r="AD626" t="s">
        <v>32</v>
      </c>
      <c r="AE626" t="s">
        <v>7610</v>
      </c>
      <c r="AF626" t="s">
        <v>46835</v>
      </c>
    </row>
    <row r="627" spans="1:32" x14ac:dyDescent="0.2">
      <c r="A627">
        <v>622</v>
      </c>
      <c r="B627" t="s">
        <v>7611</v>
      </c>
      <c r="C627" t="s">
        <v>7612</v>
      </c>
      <c r="D627" t="s">
        <v>7613</v>
      </c>
      <c r="E627" t="s">
        <v>7614</v>
      </c>
      <c r="F627" t="s">
        <v>7615</v>
      </c>
      <c r="G627" t="s">
        <v>32</v>
      </c>
      <c r="H627" t="str">
        <f>"Clic1"</f>
        <v>Clic1</v>
      </c>
      <c r="I627" t="s">
        <v>32</v>
      </c>
      <c r="J627" t="s">
        <v>37</v>
      </c>
      <c r="K627">
        <v>10090</v>
      </c>
      <c r="L627" s="3" t="str">
        <f>HYPERLINK("http://www.uniprot.org/uniprot/Q9Z1Q5", "Q9Z1Q5")</f>
        <v>Q9Z1Q5</v>
      </c>
      <c r="M627" t="s">
        <v>7616</v>
      </c>
      <c r="N627" t="str">
        <f>"Clic1"</f>
        <v>Clic1</v>
      </c>
      <c r="O627" s="3" t="str">
        <f>HYPERLINK("http://www.informatics.jax.org/marker/MGI:2148924", "MGI:2148924")</f>
        <v>MGI:2148924</v>
      </c>
      <c r="P627" t="s">
        <v>7617</v>
      </c>
      <c r="Q627" t="s">
        <v>6326</v>
      </c>
      <c r="R627" t="s">
        <v>276</v>
      </c>
      <c r="S627" t="s">
        <v>32</v>
      </c>
      <c r="T627" t="s">
        <v>32</v>
      </c>
      <c r="U627" t="s">
        <v>32</v>
      </c>
      <c r="V627" t="s">
        <v>493</v>
      </c>
      <c r="W627" t="s">
        <v>7618</v>
      </c>
      <c r="X627" t="s">
        <v>7619</v>
      </c>
      <c r="Y627" t="s">
        <v>480</v>
      </c>
      <c r="Z627" t="s">
        <v>32</v>
      </c>
      <c r="AA627" t="s">
        <v>7620</v>
      </c>
      <c r="AB627" t="s">
        <v>7621</v>
      </c>
      <c r="AC627" t="s">
        <v>7622</v>
      </c>
      <c r="AD627" t="s">
        <v>32</v>
      </c>
      <c r="AE627" t="s">
        <v>32</v>
      </c>
      <c r="AF627" t="s">
        <v>46835</v>
      </c>
    </row>
    <row r="628" spans="1:32" x14ac:dyDescent="0.2">
      <c r="A628">
        <v>623</v>
      </c>
      <c r="B628" t="s">
        <v>7623</v>
      </c>
      <c r="C628" t="s">
        <v>7624</v>
      </c>
      <c r="D628" t="s">
        <v>7625</v>
      </c>
      <c r="E628" t="s">
        <v>7626</v>
      </c>
      <c r="F628" t="s">
        <v>7627</v>
      </c>
      <c r="G628" t="s">
        <v>7628</v>
      </c>
      <c r="H628" t="str">
        <f>"Prpf19"</f>
        <v>Prpf19</v>
      </c>
      <c r="I628" t="s">
        <v>32</v>
      </c>
      <c r="J628" t="s">
        <v>37</v>
      </c>
      <c r="K628">
        <v>10090</v>
      </c>
      <c r="L628" s="3" t="str">
        <f>HYPERLINK("http://www.uniprot.org/uniprot/Q99KP6", "Q99KP6")</f>
        <v>Q99KP6</v>
      </c>
      <c r="M628" t="s">
        <v>7629</v>
      </c>
      <c r="N628" t="str">
        <f>"Prpf19"</f>
        <v>Prpf19</v>
      </c>
      <c r="O628" s="3" t="str">
        <f>HYPERLINK("http://www.informatics.jax.org/marker/MGI:106247", "MGI:106247")</f>
        <v>MGI:106247</v>
      </c>
      <c r="P628" t="s">
        <v>7630</v>
      </c>
      <c r="Q628" t="s">
        <v>7631</v>
      </c>
      <c r="R628" t="s">
        <v>7632</v>
      </c>
      <c r="S628" t="s">
        <v>41</v>
      </c>
      <c r="T628" t="s">
        <v>32</v>
      </c>
      <c r="U628" t="s">
        <v>32</v>
      </c>
      <c r="V628" t="s">
        <v>1910</v>
      </c>
      <c r="W628" t="s">
        <v>32</v>
      </c>
      <c r="X628" t="s">
        <v>515</v>
      </c>
      <c r="Y628" t="s">
        <v>78</v>
      </c>
      <c r="Z628" t="s">
        <v>32</v>
      </c>
      <c r="AA628" t="s">
        <v>7633</v>
      </c>
      <c r="AB628" t="s">
        <v>7634</v>
      </c>
      <c r="AC628" t="s">
        <v>7635</v>
      </c>
      <c r="AD628" t="s">
        <v>1027</v>
      </c>
      <c r="AE628" t="s">
        <v>7636</v>
      </c>
      <c r="AF628" t="s">
        <v>46835</v>
      </c>
    </row>
    <row r="629" spans="1:32" x14ac:dyDescent="0.2">
      <c r="A629">
        <v>624</v>
      </c>
      <c r="B629" t="s">
        <v>7637</v>
      </c>
      <c r="C629" t="s">
        <v>7638</v>
      </c>
      <c r="D629" t="s">
        <v>7639</v>
      </c>
      <c r="E629" t="s">
        <v>7640</v>
      </c>
      <c r="F629" t="s">
        <v>7641</v>
      </c>
      <c r="G629" t="s">
        <v>7642</v>
      </c>
      <c r="H629" t="str">
        <f>"Nop56"</f>
        <v>Nop56</v>
      </c>
      <c r="I629" t="s">
        <v>7643</v>
      </c>
      <c r="J629" t="s">
        <v>37</v>
      </c>
      <c r="K629">
        <v>10090</v>
      </c>
      <c r="L629" s="3" t="str">
        <f>HYPERLINK("http://www.uniprot.org/uniprot/Q9D6Z1", "Q9D6Z1")</f>
        <v>Q9D6Z1</v>
      </c>
      <c r="M629" t="s">
        <v>7644</v>
      </c>
      <c r="N629" t="str">
        <f>"Nop56"</f>
        <v>Nop56</v>
      </c>
      <c r="O629" s="3" t="str">
        <f>HYPERLINK("http://www.informatics.jax.org/marker/MGI:1914384", "MGI:1914384")</f>
        <v>MGI:1914384</v>
      </c>
      <c r="P629" t="s">
        <v>7645</v>
      </c>
      <c r="Q629" t="s">
        <v>6400</v>
      </c>
      <c r="R629" t="s">
        <v>40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7646</v>
      </c>
      <c r="Y629" t="s">
        <v>207</v>
      </c>
      <c r="Z629" t="s">
        <v>32</v>
      </c>
      <c r="AA629" t="s">
        <v>7647</v>
      </c>
      <c r="AB629" t="s">
        <v>7648</v>
      </c>
      <c r="AC629" t="s">
        <v>7649</v>
      </c>
      <c r="AD629" t="s">
        <v>32</v>
      </c>
      <c r="AE629" t="s">
        <v>960</v>
      </c>
      <c r="AF629" t="s">
        <v>46835</v>
      </c>
    </row>
    <row r="630" spans="1:32" x14ac:dyDescent="0.2">
      <c r="A630">
        <v>625</v>
      </c>
      <c r="B630" t="s">
        <v>7650</v>
      </c>
      <c r="C630" t="s">
        <v>7651</v>
      </c>
      <c r="D630" t="s">
        <v>7652</v>
      </c>
      <c r="E630" t="s">
        <v>7653</v>
      </c>
      <c r="F630" t="s">
        <v>7654</v>
      </c>
      <c r="G630" t="s">
        <v>7655</v>
      </c>
      <c r="H630" t="str">
        <f>"Coro1c"</f>
        <v>Coro1c</v>
      </c>
      <c r="I630" t="s">
        <v>32</v>
      </c>
      <c r="J630" t="s">
        <v>37</v>
      </c>
      <c r="K630">
        <v>10090</v>
      </c>
      <c r="L630" s="3" t="str">
        <f>HYPERLINK("http://www.uniprot.org/uniprot/Q9WUM4", "Q9WUM4")</f>
        <v>Q9WUM4</v>
      </c>
      <c r="M630" t="s">
        <v>7656</v>
      </c>
      <c r="N630" t="str">
        <f>"Coro1c"</f>
        <v>Coro1c</v>
      </c>
      <c r="O630" s="3" t="str">
        <f>HYPERLINK("http://www.informatics.jax.org/marker/MGI:1345964", "MGI:1345964")</f>
        <v>MGI:1345964</v>
      </c>
      <c r="P630" t="s">
        <v>7657</v>
      </c>
      <c r="Q630" t="s">
        <v>32</v>
      </c>
      <c r="R630" t="s">
        <v>7658</v>
      </c>
      <c r="S630" t="s">
        <v>32</v>
      </c>
      <c r="T630" t="s">
        <v>32</v>
      </c>
      <c r="U630" t="s">
        <v>32</v>
      </c>
      <c r="V630" t="s">
        <v>3167</v>
      </c>
      <c r="W630" t="s">
        <v>32</v>
      </c>
      <c r="X630" t="s">
        <v>405</v>
      </c>
      <c r="Y630" t="s">
        <v>78</v>
      </c>
      <c r="Z630" t="s">
        <v>32</v>
      </c>
      <c r="AA630" t="s">
        <v>7659</v>
      </c>
      <c r="AB630" t="s">
        <v>7660</v>
      </c>
      <c r="AC630" t="s">
        <v>7661</v>
      </c>
      <c r="AD630" t="s">
        <v>32</v>
      </c>
      <c r="AE630" t="s">
        <v>32</v>
      </c>
      <c r="AF630" t="s">
        <v>46835</v>
      </c>
    </row>
    <row r="631" spans="1:32" x14ac:dyDescent="0.2">
      <c r="A631">
        <v>626</v>
      </c>
      <c r="B631" t="s">
        <v>7662</v>
      </c>
      <c r="C631" t="s">
        <v>7663</v>
      </c>
      <c r="D631" t="s">
        <v>7664</v>
      </c>
      <c r="E631" t="s">
        <v>7665</v>
      </c>
      <c r="F631" t="s">
        <v>7666</v>
      </c>
      <c r="G631" t="s">
        <v>7667</v>
      </c>
      <c r="H631" t="str">
        <f>"Apeh"</f>
        <v>Apeh</v>
      </c>
      <c r="I631" t="s">
        <v>32</v>
      </c>
      <c r="J631" t="s">
        <v>37</v>
      </c>
      <c r="K631">
        <v>10090</v>
      </c>
      <c r="L631" s="3" t="str">
        <f>HYPERLINK("http://www.uniprot.org/uniprot/Q8R146", "Q8R146")</f>
        <v>Q8R146</v>
      </c>
      <c r="M631" t="s">
        <v>7668</v>
      </c>
      <c r="N631" t="str">
        <f>"Apeh"</f>
        <v>Apeh</v>
      </c>
      <c r="O631" s="3" t="str">
        <f>HYPERLINK("http://www.informatics.jax.org/marker/MGI:88041", "MGI:88041")</f>
        <v>MGI:88041</v>
      </c>
      <c r="P631" t="s">
        <v>7669</v>
      </c>
      <c r="Q631" t="s">
        <v>32</v>
      </c>
      <c r="R631" t="s">
        <v>418</v>
      </c>
      <c r="S631" t="s">
        <v>41</v>
      </c>
      <c r="T631" t="s">
        <v>32</v>
      </c>
      <c r="U631" t="s">
        <v>32</v>
      </c>
      <c r="V631" t="s">
        <v>32</v>
      </c>
      <c r="W631" t="s">
        <v>32</v>
      </c>
      <c r="X631" t="s">
        <v>343</v>
      </c>
      <c r="Y631" t="s">
        <v>157</v>
      </c>
      <c r="Z631" t="s">
        <v>32</v>
      </c>
      <c r="AA631" t="s">
        <v>7670</v>
      </c>
      <c r="AB631" t="s">
        <v>7671</v>
      </c>
      <c r="AC631" t="s">
        <v>7672</v>
      </c>
      <c r="AD631" t="s">
        <v>32</v>
      </c>
      <c r="AE631" t="s">
        <v>7673</v>
      </c>
      <c r="AF631" t="s">
        <v>46835</v>
      </c>
    </row>
    <row r="632" spans="1:32" x14ac:dyDescent="0.2">
      <c r="A632">
        <v>627</v>
      </c>
      <c r="B632" t="s">
        <v>7674</v>
      </c>
      <c r="C632" t="s">
        <v>7675</v>
      </c>
      <c r="D632" t="s">
        <v>7676</v>
      </c>
      <c r="E632" t="s">
        <v>7677</v>
      </c>
      <c r="F632" t="s">
        <v>7678</v>
      </c>
      <c r="G632" t="s">
        <v>7679</v>
      </c>
      <c r="H632" t="str">
        <f>"Atp6v1a"</f>
        <v>Atp6v1a</v>
      </c>
      <c r="I632" t="s">
        <v>7680</v>
      </c>
      <c r="J632" t="s">
        <v>37</v>
      </c>
      <c r="K632">
        <v>10090</v>
      </c>
      <c r="L632" s="3" t="str">
        <f>HYPERLINK("http://www.uniprot.org/uniprot/P50516", "P50516")</f>
        <v>P50516</v>
      </c>
      <c r="M632" t="s">
        <v>7681</v>
      </c>
      <c r="N632" t="str">
        <f>"Atp6v1a"</f>
        <v>Atp6v1a</v>
      </c>
      <c r="O632" s="3" t="str">
        <f>HYPERLINK("http://www.informatics.jax.org/marker/MGI:1201780", "MGI:1201780")</f>
        <v>MGI:1201780</v>
      </c>
      <c r="P632" t="s">
        <v>7682</v>
      </c>
      <c r="Q632" t="s">
        <v>4257</v>
      </c>
      <c r="R632" t="s">
        <v>7683</v>
      </c>
      <c r="S632" t="s">
        <v>41</v>
      </c>
      <c r="T632" t="s">
        <v>32</v>
      </c>
      <c r="U632" t="s">
        <v>32</v>
      </c>
      <c r="V632" t="s">
        <v>32</v>
      </c>
      <c r="W632" t="s">
        <v>205</v>
      </c>
      <c r="X632" t="s">
        <v>1506</v>
      </c>
      <c r="Y632" t="s">
        <v>618</v>
      </c>
      <c r="Z632" t="s">
        <v>32</v>
      </c>
      <c r="AA632" t="s">
        <v>7684</v>
      </c>
      <c r="AB632" t="s">
        <v>7685</v>
      </c>
      <c r="AC632" t="s">
        <v>7686</v>
      </c>
      <c r="AD632" t="s">
        <v>32</v>
      </c>
      <c r="AE632" t="s">
        <v>6963</v>
      </c>
      <c r="AF632" t="s">
        <v>46835</v>
      </c>
    </row>
    <row r="633" spans="1:32" x14ac:dyDescent="0.2">
      <c r="A633">
        <v>628</v>
      </c>
      <c r="B633" t="s">
        <v>7687</v>
      </c>
      <c r="C633" t="s">
        <v>7688</v>
      </c>
      <c r="D633" t="s">
        <v>7689</v>
      </c>
      <c r="E633" t="s">
        <v>7690</v>
      </c>
      <c r="F633" t="s">
        <v>7691</v>
      </c>
      <c r="G633" t="s">
        <v>7692</v>
      </c>
      <c r="H633" t="str">
        <f>"Ptbp1"</f>
        <v>Ptbp1</v>
      </c>
      <c r="I633" t="s">
        <v>7693</v>
      </c>
      <c r="J633" t="s">
        <v>37</v>
      </c>
      <c r="K633">
        <v>10090</v>
      </c>
      <c r="L633" s="3" t="str">
        <f>HYPERLINK("http://www.uniprot.org/uniprot/P17225", "P17225")</f>
        <v>P17225</v>
      </c>
      <c r="M633" t="s">
        <v>7694</v>
      </c>
      <c r="N633" t="str">
        <f>"Ptbp1"</f>
        <v>Ptbp1</v>
      </c>
      <c r="O633" s="3" t="str">
        <f>HYPERLINK("http://www.informatics.jax.org/marker/MGI:97791", "MGI:97791")</f>
        <v>MGI:97791</v>
      </c>
      <c r="P633" t="s">
        <v>7695</v>
      </c>
      <c r="Q633" t="s">
        <v>2139</v>
      </c>
      <c r="R633" t="s">
        <v>2279</v>
      </c>
      <c r="S633" t="s">
        <v>41</v>
      </c>
      <c r="T633" t="s">
        <v>32</v>
      </c>
      <c r="U633" t="s">
        <v>32</v>
      </c>
      <c r="V633" t="s">
        <v>55</v>
      </c>
      <c r="W633" t="s">
        <v>32</v>
      </c>
      <c r="X633" t="s">
        <v>7696</v>
      </c>
      <c r="Y633" t="s">
        <v>516</v>
      </c>
      <c r="Z633" t="s">
        <v>32</v>
      </c>
      <c r="AA633" t="s">
        <v>7697</v>
      </c>
      <c r="AB633" t="s">
        <v>7698</v>
      </c>
      <c r="AC633" t="s">
        <v>7699</v>
      </c>
      <c r="AD633" t="s">
        <v>32</v>
      </c>
      <c r="AE633" t="s">
        <v>2223</v>
      </c>
      <c r="AF633" t="s">
        <v>46835</v>
      </c>
    </row>
    <row r="634" spans="1:32" x14ac:dyDescent="0.2">
      <c r="A634">
        <v>629</v>
      </c>
      <c r="B634" t="s">
        <v>7700</v>
      </c>
      <c r="C634" t="s">
        <v>7701</v>
      </c>
      <c r="D634" t="s">
        <v>7702</v>
      </c>
      <c r="E634" t="s">
        <v>7703</v>
      </c>
      <c r="F634" t="s">
        <v>7704</v>
      </c>
      <c r="G634" t="s">
        <v>7705</v>
      </c>
      <c r="H634" t="str">
        <f>"Rad23b"</f>
        <v>Rad23b</v>
      </c>
      <c r="I634" t="s">
        <v>7706</v>
      </c>
      <c r="J634" t="s">
        <v>37</v>
      </c>
      <c r="K634">
        <v>10090</v>
      </c>
      <c r="L634" s="3" t="str">
        <f>HYPERLINK("http://www.uniprot.org/uniprot/P54728", "P54728")</f>
        <v>P54728</v>
      </c>
      <c r="M634" t="s">
        <v>7707</v>
      </c>
      <c r="N634" t="str">
        <f>"Rad23b"</f>
        <v>Rad23b</v>
      </c>
      <c r="O634" s="3" t="str">
        <f>HYPERLINK("http://www.informatics.jax.org/marker/MGI:105128", "MGI:105128")</f>
        <v>MGI:105128</v>
      </c>
      <c r="P634" t="s">
        <v>7708</v>
      </c>
      <c r="Q634" t="s">
        <v>3400</v>
      </c>
      <c r="R634" t="s">
        <v>2586</v>
      </c>
      <c r="S634" t="s">
        <v>32</v>
      </c>
      <c r="T634" t="s">
        <v>32</v>
      </c>
      <c r="U634" t="s">
        <v>32</v>
      </c>
      <c r="V634" t="s">
        <v>55</v>
      </c>
      <c r="W634" t="s">
        <v>32</v>
      </c>
      <c r="X634" t="s">
        <v>32</v>
      </c>
      <c r="Y634" t="s">
        <v>618</v>
      </c>
      <c r="Z634" t="s">
        <v>126</v>
      </c>
      <c r="AA634" t="s">
        <v>7709</v>
      </c>
      <c r="AB634" t="s">
        <v>7710</v>
      </c>
      <c r="AC634" t="s">
        <v>7711</v>
      </c>
      <c r="AD634" t="s">
        <v>32</v>
      </c>
      <c r="AE634" t="s">
        <v>7712</v>
      </c>
      <c r="AF634" t="s">
        <v>46835</v>
      </c>
    </row>
    <row r="635" spans="1:32" x14ac:dyDescent="0.2">
      <c r="A635">
        <v>630</v>
      </c>
      <c r="B635" t="s">
        <v>7713</v>
      </c>
      <c r="C635" t="s">
        <v>7714</v>
      </c>
      <c r="D635" t="s">
        <v>7715</v>
      </c>
      <c r="E635" t="s">
        <v>7716</v>
      </c>
      <c r="F635" t="s">
        <v>7717</v>
      </c>
      <c r="G635" t="s">
        <v>7718</v>
      </c>
      <c r="H635" t="str">
        <f>"Pea15"</f>
        <v>Pea15</v>
      </c>
      <c r="I635" t="s">
        <v>7719</v>
      </c>
      <c r="J635" t="s">
        <v>37</v>
      </c>
      <c r="K635">
        <v>10090</v>
      </c>
      <c r="L635" s="3" t="str">
        <f>HYPERLINK("http://www.uniprot.org/uniprot/Q62048", "Q62048")</f>
        <v>Q62048</v>
      </c>
      <c r="M635" t="s">
        <v>7720</v>
      </c>
      <c r="N635" t="str">
        <f>"Pea15a"</f>
        <v>Pea15a</v>
      </c>
      <c r="O635" s="3" t="str">
        <f>HYPERLINK("http://www.informatics.jax.org/marker/MGI:104799", "MGI:104799")</f>
        <v>MGI:104799</v>
      </c>
      <c r="P635" t="s">
        <v>7721</v>
      </c>
      <c r="Q635" t="s">
        <v>7722</v>
      </c>
      <c r="R635" t="s">
        <v>418</v>
      </c>
      <c r="S635" t="s">
        <v>41</v>
      </c>
      <c r="T635" t="s">
        <v>32</v>
      </c>
      <c r="U635" t="s">
        <v>32</v>
      </c>
      <c r="V635" t="s">
        <v>32</v>
      </c>
      <c r="W635" t="s">
        <v>32</v>
      </c>
      <c r="X635" t="s">
        <v>32</v>
      </c>
      <c r="Y635" t="s">
        <v>618</v>
      </c>
      <c r="Z635" t="s">
        <v>126</v>
      </c>
      <c r="AA635" t="s">
        <v>7723</v>
      </c>
      <c r="AB635" t="s">
        <v>7724</v>
      </c>
      <c r="AC635" t="s">
        <v>7725</v>
      </c>
      <c r="AD635" t="s">
        <v>32</v>
      </c>
      <c r="AE635" t="s">
        <v>7726</v>
      </c>
      <c r="AF635" t="s">
        <v>46835</v>
      </c>
    </row>
    <row r="636" spans="1:32" x14ac:dyDescent="0.2">
      <c r="A636">
        <v>631</v>
      </c>
      <c r="B636" t="s">
        <v>7727</v>
      </c>
      <c r="C636" t="s">
        <v>7728</v>
      </c>
      <c r="D636" t="s">
        <v>7729</v>
      </c>
      <c r="E636" t="s">
        <v>7730</v>
      </c>
      <c r="F636" t="s">
        <v>7731</v>
      </c>
      <c r="G636" t="s">
        <v>7732</v>
      </c>
      <c r="H636" t="str">
        <f>"Pon2"</f>
        <v>Pon2</v>
      </c>
      <c r="I636" t="s">
        <v>32</v>
      </c>
      <c r="J636" t="s">
        <v>37</v>
      </c>
      <c r="K636">
        <v>10090</v>
      </c>
      <c r="L636" s="3" t="str">
        <f>HYPERLINK("http://www.uniprot.org/uniprot/Q62086", "Q62086")</f>
        <v>Q62086</v>
      </c>
      <c r="M636" t="s">
        <v>7733</v>
      </c>
      <c r="N636" t="str">
        <f>"Pon2"</f>
        <v>Pon2</v>
      </c>
      <c r="O636" s="3" t="str">
        <f>HYPERLINK("http://www.informatics.jax.org/marker/MGI:106687", "MGI:106687")</f>
        <v>MGI:106687</v>
      </c>
      <c r="P636" t="s">
        <v>7734</v>
      </c>
      <c r="Q636" t="s">
        <v>32</v>
      </c>
      <c r="R636" t="s">
        <v>5989</v>
      </c>
      <c r="S636" t="s">
        <v>32</v>
      </c>
      <c r="T636" t="s">
        <v>32</v>
      </c>
      <c r="U636" t="s">
        <v>32</v>
      </c>
      <c r="V636" t="s">
        <v>811</v>
      </c>
      <c r="W636" t="s">
        <v>188</v>
      </c>
      <c r="X636" t="s">
        <v>343</v>
      </c>
      <c r="Y636" t="s">
        <v>5275</v>
      </c>
      <c r="Z636" t="s">
        <v>32</v>
      </c>
      <c r="AA636" t="s">
        <v>7735</v>
      </c>
      <c r="AB636" t="s">
        <v>7736</v>
      </c>
      <c r="AC636" t="s">
        <v>7737</v>
      </c>
      <c r="AD636" t="s">
        <v>32</v>
      </c>
      <c r="AE636" t="s">
        <v>7738</v>
      </c>
      <c r="AF636" t="s">
        <v>46835</v>
      </c>
    </row>
    <row r="637" spans="1:32" x14ac:dyDescent="0.2">
      <c r="A637">
        <v>632</v>
      </c>
      <c r="B637" t="s">
        <v>7739</v>
      </c>
      <c r="C637" t="s">
        <v>7740</v>
      </c>
      <c r="D637" t="s">
        <v>32</v>
      </c>
      <c r="E637" t="s">
        <v>7741</v>
      </c>
      <c r="F637" t="s">
        <v>7742</v>
      </c>
      <c r="G637" t="s">
        <v>7743</v>
      </c>
      <c r="H637" t="str">
        <f>"Msi1"</f>
        <v>Msi1</v>
      </c>
      <c r="I637" t="s">
        <v>7744</v>
      </c>
      <c r="J637" t="s">
        <v>37</v>
      </c>
      <c r="K637">
        <v>10090</v>
      </c>
      <c r="L637" s="3" t="str">
        <f>HYPERLINK("http://www.uniprot.org/uniprot/Q61474", "Q61474")</f>
        <v>Q61474</v>
      </c>
      <c r="M637" t="s">
        <v>7745</v>
      </c>
      <c r="N637" t="str">
        <f>"Msi1"</f>
        <v>Msi1</v>
      </c>
      <c r="O637" s="3" t="str">
        <f>HYPERLINK("http://www.informatics.jax.org/marker/MGI:107376", "MGI:107376")</f>
        <v>MGI:107376</v>
      </c>
      <c r="P637" t="s">
        <v>7746</v>
      </c>
      <c r="Q637" t="s">
        <v>32</v>
      </c>
      <c r="R637" t="s">
        <v>40</v>
      </c>
      <c r="S637" t="s">
        <v>41</v>
      </c>
      <c r="T637" t="s">
        <v>32</v>
      </c>
      <c r="U637" t="s">
        <v>32</v>
      </c>
      <c r="V637" t="s">
        <v>55</v>
      </c>
      <c r="W637" t="s">
        <v>32</v>
      </c>
      <c r="X637" t="s">
        <v>1282</v>
      </c>
      <c r="Y637" t="s">
        <v>157</v>
      </c>
      <c r="Z637" t="s">
        <v>126</v>
      </c>
      <c r="AA637" t="s">
        <v>7747</v>
      </c>
      <c r="AB637" t="s">
        <v>7748</v>
      </c>
      <c r="AC637" t="s">
        <v>7749</v>
      </c>
      <c r="AD637" t="s">
        <v>32</v>
      </c>
      <c r="AE637" t="s">
        <v>32</v>
      </c>
      <c r="AF637" t="s">
        <v>46835</v>
      </c>
    </row>
    <row r="638" spans="1:32" x14ac:dyDescent="0.2">
      <c r="A638">
        <v>633</v>
      </c>
      <c r="B638" t="s">
        <v>7750</v>
      </c>
      <c r="C638" t="s">
        <v>7751</v>
      </c>
      <c r="D638" t="s">
        <v>7752</v>
      </c>
      <c r="E638" t="s">
        <v>7753</v>
      </c>
      <c r="F638" t="s">
        <v>7754</v>
      </c>
      <c r="G638" t="s">
        <v>32</v>
      </c>
      <c r="H638" t="str">
        <f>"Atp5f1c"</f>
        <v>Atp5f1c</v>
      </c>
      <c r="I638" t="s">
        <v>7755</v>
      </c>
      <c r="J638" t="s">
        <v>37</v>
      </c>
      <c r="K638">
        <v>10090</v>
      </c>
      <c r="L638" s="3" t="str">
        <f>HYPERLINK("http://www.uniprot.org/uniprot/Q91VR2", "Q91VR2")</f>
        <v>Q91VR2</v>
      </c>
      <c r="M638" t="s">
        <v>7756</v>
      </c>
      <c r="N638" t="str">
        <f>"Atp5c1"</f>
        <v>Atp5c1</v>
      </c>
      <c r="O638" s="3" t="str">
        <f>HYPERLINK("http://www.informatics.jax.org/marker/MGI:1261437", "MGI:1261437")</f>
        <v>MGI:1261437</v>
      </c>
      <c r="P638" t="s">
        <v>7757</v>
      </c>
      <c r="Q638" t="s">
        <v>1142</v>
      </c>
      <c r="R638" t="s">
        <v>1505</v>
      </c>
      <c r="S638" t="s">
        <v>32</v>
      </c>
      <c r="T638" t="s">
        <v>32</v>
      </c>
      <c r="U638" t="s">
        <v>32</v>
      </c>
      <c r="V638" t="s">
        <v>1039</v>
      </c>
      <c r="W638" t="s">
        <v>32</v>
      </c>
      <c r="X638" t="s">
        <v>32</v>
      </c>
      <c r="Y638" t="s">
        <v>157</v>
      </c>
      <c r="Z638" t="s">
        <v>32</v>
      </c>
      <c r="AA638" t="s">
        <v>4259</v>
      </c>
      <c r="AB638" t="s">
        <v>7758</v>
      </c>
      <c r="AC638" t="s">
        <v>7759</v>
      </c>
      <c r="AD638" t="s">
        <v>32</v>
      </c>
      <c r="AE638" t="s">
        <v>1147</v>
      </c>
      <c r="AF638" t="s">
        <v>46835</v>
      </c>
    </row>
    <row r="639" spans="1:32" x14ac:dyDescent="0.2">
      <c r="A639">
        <v>634</v>
      </c>
      <c r="B639" t="s">
        <v>7760</v>
      </c>
      <c r="C639" t="s">
        <v>7761</v>
      </c>
      <c r="D639" t="s">
        <v>32</v>
      </c>
      <c r="E639" t="s">
        <v>7762</v>
      </c>
      <c r="F639" t="s">
        <v>7763</v>
      </c>
      <c r="G639" t="s">
        <v>7764</v>
      </c>
      <c r="H639" t="str">
        <f>"Hp1bp3"</f>
        <v>Hp1bp3</v>
      </c>
      <c r="I639" t="s">
        <v>32</v>
      </c>
      <c r="J639" t="s">
        <v>37</v>
      </c>
      <c r="K639">
        <v>10090</v>
      </c>
      <c r="L639" s="3" t="str">
        <f>HYPERLINK("http://www.uniprot.org/uniprot/Q3TEA8", "Q3TEA8")</f>
        <v>Q3TEA8</v>
      </c>
      <c r="M639" t="s">
        <v>7765</v>
      </c>
      <c r="N639" t="str">
        <f>"Hp1bp3"</f>
        <v>Hp1bp3</v>
      </c>
      <c r="O639" s="3" t="str">
        <f>HYPERLINK("http://www.informatics.jax.org/marker/MGI:109369", "MGI:109369")</f>
        <v>MGI:109369</v>
      </c>
      <c r="P639" t="s">
        <v>7766</v>
      </c>
      <c r="Q639" t="s">
        <v>32</v>
      </c>
      <c r="R639" t="s">
        <v>1939</v>
      </c>
      <c r="S639" t="s">
        <v>41</v>
      </c>
      <c r="T639" t="s">
        <v>32</v>
      </c>
      <c r="U639" t="s">
        <v>32</v>
      </c>
      <c r="V639" t="s">
        <v>55</v>
      </c>
      <c r="W639" t="s">
        <v>32</v>
      </c>
      <c r="X639" t="s">
        <v>247</v>
      </c>
      <c r="Y639" t="s">
        <v>516</v>
      </c>
      <c r="Z639" t="s">
        <v>32</v>
      </c>
      <c r="AA639" t="s">
        <v>7767</v>
      </c>
      <c r="AB639" t="s">
        <v>7768</v>
      </c>
      <c r="AC639" t="s">
        <v>7769</v>
      </c>
      <c r="AD639" t="s">
        <v>32</v>
      </c>
      <c r="AE639" t="s">
        <v>32</v>
      </c>
      <c r="AF639" t="s">
        <v>46835</v>
      </c>
    </row>
    <row r="640" spans="1:32" x14ac:dyDescent="0.2">
      <c r="A640">
        <v>635</v>
      </c>
      <c r="B640" t="s">
        <v>7770</v>
      </c>
      <c r="C640" t="s">
        <v>7771</v>
      </c>
      <c r="D640" t="s">
        <v>7772</v>
      </c>
      <c r="E640" t="s">
        <v>7773</v>
      </c>
      <c r="F640" t="s">
        <v>7774</v>
      </c>
      <c r="G640" t="s">
        <v>7775</v>
      </c>
      <c r="H640" t="str">
        <f>"Vdac1"</f>
        <v>Vdac1</v>
      </c>
      <c r="I640" t="s">
        <v>7776</v>
      </c>
      <c r="J640" t="s">
        <v>37</v>
      </c>
      <c r="K640">
        <v>10090</v>
      </c>
      <c r="L640" s="3" t="str">
        <f>HYPERLINK("http://www.uniprot.org/uniprot/Q60932", "Q60932")</f>
        <v>Q60932</v>
      </c>
      <c r="M640" t="s">
        <v>7777</v>
      </c>
      <c r="N640" t="str">
        <f>"Vdac1"</f>
        <v>Vdac1</v>
      </c>
      <c r="O640" s="3" t="str">
        <f>HYPERLINK("http://www.informatics.jax.org/marker/MGI:106919", "MGI:106919")</f>
        <v>MGI:106919</v>
      </c>
      <c r="P640" t="s">
        <v>7778</v>
      </c>
      <c r="Q640" t="s">
        <v>7779</v>
      </c>
      <c r="R640" t="s">
        <v>7780</v>
      </c>
      <c r="S640" t="s">
        <v>41</v>
      </c>
      <c r="T640" t="s">
        <v>32</v>
      </c>
      <c r="U640" t="s">
        <v>32</v>
      </c>
      <c r="V640" t="s">
        <v>6327</v>
      </c>
      <c r="W640" t="s">
        <v>6328</v>
      </c>
      <c r="X640" t="s">
        <v>6329</v>
      </c>
      <c r="Y640" t="s">
        <v>516</v>
      </c>
      <c r="Z640" t="s">
        <v>126</v>
      </c>
      <c r="AA640" t="s">
        <v>7781</v>
      </c>
      <c r="AB640" t="s">
        <v>7782</v>
      </c>
      <c r="AC640" t="s">
        <v>7783</v>
      </c>
      <c r="AD640" t="s">
        <v>32</v>
      </c>
      <c r="AE640" t="s">
        <v>7784</v>
      </c>
      <c r="AF640" t="s">
        <v>46835</v>
      </c>
    </row>
    <row r="641" spans="1:33" x14ac:dyDescent="0.2">
      <c r="A641">
        <v>636</v>
      </c>
      <c r="B641" t="s">
        <v>7785</v>
      </c>
      <c r="C641" t="s">
        <v>7786</v>
      </c>
      <c r="D641" t="s">
        <v>7787</v>
      </c>
      <c r="E641" t="s">
        <v>7788</v>
      </c>
      <c r="F641" t="s">
        <v>7789</v>
      </c>
      <c r="G641" t="s">
        <v>32</v>
      </c>
      <c r="H641" t="str">
        <f>"Psmd8"</f>
        <v>Psmd8</v>
      </c>
      <c r="I641" t="s">
        <v>32</v>
      </c>
      <c r="J641" t="s">
        <v>37</v>
      </c>
      <c r="K641">
        <v>10090</v>
      </c>
      <c r="L641" s="3" t="str">
        <f>HYPERLINK("http://www.uniprot.org/uniprot/Q9CX56", "Q9CX56")</f>
        <v>Q9CX56</v>
      </c>
      <c r="M641" t="s">
        <v>7790</v>
      </c>
      <c r="N641" t="str">
        <f>"Psmd8"</f>
        <v>Psmd8</v>
      </c>
      <c r="O641" s="3" t="str">
        <f>HYPERLINK("http://www.informatics.jax.org/marker/MGI:1888669", "MGI:1888669")</f>
        <v>MGI:1888669</v>
      </c>
      <c r="P641" t="s">
        <v>7791</v>
      </c>
      <c r="Q641" t="s">
        <v>32</v>
      </c>
      <c r="R641" t="s">
        <v>3565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32</v>
      </c>
      <c r="Y641" t="s">
        <v>7792</v>
      </c>
      <c r="Z641" t="s">
        <v>32</v>
      </c>
      <c r="AA641" t="s">
        <v>5542</v>
      </c>
      <c r="AB641" t="s">
        <v>7793</v>
      </c>
      <c r="AC641" t="s">
        <v>32</v>
      </c>
      <c r="AD641" t="s">
        <v>32</v>
      </c>
      <c r="AE641" t="s">
        <v>2774</v>
      </c>
      <c r="AF641" t="s">
        <v>46835</v>
      </c>
    </row>
    <row r="642" spans="1:33" x14ac:dyDescent="0.2">
      <c r="A642">
        <v>637</v>
      </c>
      <c r="B642" t="s">
        <v>7794</v>
      </c>
      <c r="C642" t="s">
        <v>7795</v>
      </c>
      <c r="D642" t="s">
        <v>7796</v>
      </c>
      <c r="E642" t="s">
        <v>7797</v>
      </c>
      <c r="F642" t="s">
        <v>7798</v>
      </c>
      <c r="G642" t="s">
        <v>7799</v>
      </c>
      <c r="H642" t="str">
        <f>"Chmp4b"</f>
        <v>Chmp4b</v>
      </c>
      <c r="I642" t="s">
        <v>32</v>
      </c>
      <c r="J642" t="s">
        <v>37</v>
      </c>
      <c r="K642">
        <v>10090</v>
      </c>
      <c r="L642" s="3" t="str">
        <f>HYPERLINK("http://www.uniprot.org/uniprot/Q9D8B3", "Q9D8B3")</f>
        <v>Q9D8B3</v>
      </c>
      <c r="M642" t="s">
        <v>7800</v>
      </c>
      <c r="N642" t="str">
        <f>"Chmp4b"</f>
        <v>Chmp4b</v>
      </c>
      <c r="O642" s="3" t="str">
        <f>HYPERLINK("http://www.informatics.jax.org/marker/MGI:1922858", "MGI:1922858")</f>
        <v>MGI:1922858</v>
      </c>
      <c r="P642" t="s">
        <v>7801</v>
      </c>
      <c r="Q642" t="s">
        <v>434</v>
      </c>
      <c r="R642" t="s">
        <v>7802</v>
      </c>
      <c r="S642" t="s">
        <v>32</v>
      </c>
      <c r="T642" t="s">
        <v>32</v>
      </c>
      <c r="U642" t="s">
        <v>32</v>
      </c>
      <c r="V642" t="s">
        <v>290</v>
      </c>
      <c r="W642" t="s">
        <v>32</v>
      </c>
      <c r="X642" t="s">
        <v>32</v>
      </c>
      <c r="Y642" t="s">
        <v>1023</v>
      </c>
      <c r="Z642" t="s">
        <v>32</v>
      </c>
      <c r="AA642" t="s">
        <v>7803</v>
      </c>
      <c r="AB642" t="s">
        <v>7804</v>
      </c>
      <c r="AC642" t="s">
        <v>7805</v>
      </c>
      <c r="AD642" t="s">
        <v>32</v>
      </c>
      <c r="AE642" t="s">
        <v>7806</v>
      </c>
      <c r="AF642" t="s">
        <v>46835</v>
      </c>
    </row>
    <row r="643" spans="1:33" x14ac:dyDescent="0.2">
      <c r="A643">
        <v>638</v>
      </c>
      <c r="B643" t="s">
        <v>7807</v>
      </c>
      <c r="C643" t="s">
        <v>7808</v>
      </c>
      <c r="D643" t="s">
        <v>7809</v>
      </c>
      <c r="E643" t="s">
        <v>7810</v>
      </c>
      <c r="F643" t="s">
        <v>7811</v>
      </c>
      <c r="G643" t="s">
        <v>32</v>
      </c>
      <c r="H643" t="str">
        <f>"Hmox1"</f>
        <v>Hmox1</v>
      </c>
      <c r="I643" t="s">
        <v>32</v>
      </c>
      <c r="J643" t="s">
        <v>37</v>
      </c>
      <c r="K643">
        <v>10090</v>
      </c>
      <c r="L643" s="3" t="str">
        <f>HYPERLINK("http://www.uniprot.org/uniprot/P14901", "P14901")</f>
        <v>P14901</v>
      </c>
      <c r="M643" t="s">
        <v>7812</v>
      </c>
      <c r="N643" t="str">
        <f>"Hmox1"</f>
        <v>Hmox1</v>
      </c>
      <c r="O643" s="3" t="str">
        <f>HYPERLINK("http://www.informatics.jax.org/marker/MGI:96163", "MGI:96163")</f>
        <v>MGI:96163</v>
      </c>
      <c r="P643" t="s">
        <v>7813</v>
      </c>
      <c r="Q643" t="s">
        <v>541</v>
      </c>
      <c r="R643" t="s">
        <v>1664</v>
      </c>
      <c r="S643" t="s">
        <v>32</v>
      </c>
      <c r="T643" t="s">
        <v>32</v>
      </c>
      <c r="U643" t="s">
        <v>32</v>
      </c>
      <c r="V643" t="s">
        <v>493</v>
      </c>
      <c r="W643" t="s">
        <v>6053</v>
      </c>
      <c r="X643" t="s">
        <v>600</v>
      </c>
      <c r="Y643" t="s">
        <v>618</v>
      </c>
      <c r="Z643" t="s">
        <v>32</v>
      </c>
      <c r="AA643" t="s">
        <v>7814</v>
      </c>
      <c r="AB643" t="s">
        <v>7815</v>
      </c>
      <c r="AC643" t="s">
        <v>7816</v>
      </c>
      <c r="AD643" t="s">
        <v>32</v>
      </c>
      <c r="AE643" t="s">
        <v>7817</v>
      </c>
      <c r="AF643" t="s">
        <v>46835</v>
      </c>
    </row>
    <row r="644" spans="1:33" x14ac:dyDescent="0.2">
      <c r="A644">
        <v>639</v>
      </c>
      <c r="B644" t="s">
        <v>7818</v>
      </c>
      <c r="C644" t="s">
        <v>47153</v>
      </c>
      <c r="D644" t="s">
        <v>32</v>
      </c>
      <c r="E644" t="s">
        <v>46860</v>
      </c>
      <c r="F644" t="s">
        <v>46859</v>
      </c>
      <c r="G644" t="s">
        <v>32</v>
      </c>
      <c r="H644" t="s">
        <v>47284</v>
      </c>
      <c r="I644" t="s">
        <v>32</v>
      </c>
      <c r="J644" t="s">
        <v>37</v>
      </c>
      <c r="K644">
        <v>10090</v>
      </c>
      <c r="L644" s="3" t="str">
        <f>HYPERLINK(CONCATENATE("https://www.uniprot.org/uniprotkb/", AG644, "/entry"), AG644)</f>
        <v>Q6DFZ1</v>
      </c>
      <c r="M644" t="s">
        <v>32</v>
      </c>
      <c r="N644" t="s">
        <v>32</v>
      </c>
      <c r="O644" s="3" t="s">
        <v>32</v>
      </c>
      <c r="P644" t="s">
        <v>32</v>
      </c>
      <c r="Q644" t="s">
        <v>32</v>
      </c>
      <c r="R644" t="s">
        <v>32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32</v>
      </c>
      <c r="Y644" t="s">
        <v>32</v>
      </c>
      <c r="Z644" t="s">
        <v>32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t="s">
        <v>46835</v>
      </c>
      <c r="AG644" t="s">
        <v>46859</v>
      </c>
    </row>
    <row r="645" spans="1:33" x14ac:dyDescent="0.2">
      <c r="A645">
        <v>640</v>
      </c>
      <c r="B645" t="s">
        <v>7819</v>
      </c>
      <c r="C645" t="s">
        <v>7820</v>
      </c>
      <c r="D645" t="s">
        <v>7821</v>
      </c>
      <c r="E645" t="s">
        <v>7822</v>
      </c>
      <c r="F645" t="s">
        <v>7823</v>
      </c>
      <c r="G645" t="s">
        <v>7824</v>
      </c>
      <c r="H645" t="str">
        <f>"Aldh9a1"</f>
        <v>Aldh9a1</v>
      </c>
      <c r="I645" t="s">
        <v>32</v>
      </c>
      <c r="J645" t="s">
        <v>37</v>
      </c>
      <c r="K645">
        <v>10090</v>
      </c>
      <c r="L645" s="3" t="str">
        <f>HYPERLINK("http://www.uniprot.org/uniprot/Q9JLJ2", "Q9JLJ2")</f>
        <v>Q9JLJ2</v>
      </c>
      <c r="M645" t="s">
        <v>7825</v>
      </c>
      <c r="N645" t="str">
        <f>"Aldh9a1"</f>
        <v>Aldh9a1</v>
      </c>
      <c r="O645" s="3" t="str">
        <f>HYPERLINK("http://www.informatics.jax.org/marker/MGI:1861622", "MGI:1861622")</f>
        <v>MGI:1861622</v>
      </c>
      <c r="P645" t="s">
        <v>7826</v>
      </c>
      <c r="Q645" t="s">
        <v>32</v>
      </c>
      <c r="R645" t="s">
        <v>418</v>
      </c>
      <c r="S645" t="s">
        <v>477</v>
      </c>
      <c r="T645" t="s">
        <v>32</v>
      </c>
      <c r="U645" t="s">
        <v>32</v>
      </c>
      <c r="V645" t="s">
        <v>32</v>
      </c>
      <c r="W645" t="s">
        <v>325</v>
      </c>
      <c r="X645" t="s">
        <v>600</v>
      </c>
      <c r="Y645" t="s">
        <v>78</v>
      </c>
      <c r="Z645" t="s">
        <v>32</v>
      </c>
      <c r="AA645" t="s">
        <v>7827</v>
      </c>
      <c r="AB645" t="s">
        <v>5676</v>
      </c>
      <c r="AC645" t="s">
        <v>7828</v>
      </c>
      <c r="AD645" t="s">
        <v>7829</v>
      </c>
      <c r="AE645" t="s">
        <v>7830</v>
      </c>
      <c r="AF645" t="s">
        <v>46835</v>
      </c>
    </row>
    <row r="646" spans="1:33" x14ac:dyDescent="0.2">
      <c r="A646">
        <v>641</v>
      </c>
      <c r="B646" t="s">
        <v>7831</v>
      </c>
      <c r="C646" t="s">
        <v>7832</v>
      </c>
      <c r="D646" t="s">
        <v>32</v>
      </c>
      <c r="E646" t="s">
        <v>7833</v>
      </c>
      <c r="F646" t="s">
        <v>7834</v>
      </c>
      <c r="G646" t="s">
        <v>7835</v>
      </c>
      <c r="H646" t="str">
        <f>"Tln2"</f>
        <v>Tln2</v>
      </c>
      <c r="I646" t="s">
        <v>32</v>
      </c>
      <c r="J646" t="s">
        <v>37</v>
      </c>
      <c r="K646">
        <v>10090</v>
      </c>
      <c r="L646" s="3" t="str">
        <f>HYPERLINK("http://www.uniprot.org/uniprot/Q71LX4", "Q71LX4")</f>
        <v>Q71LX4</v>
      </c>
      <c r="M646" t="s">
        <v>7836</v>
      </c>
      <c r="N646" t="str">
        <f>"Tln2"</f>
        <v>Tln2</v>
      </c>
      <c r="O646" s="3" t="str">
        <f>HYPERLINK("http://www.informatics.jax.org/marker/MGI:1917799", "MGI:1917799")</f>
        <v>MGI:1917799</v>
      </c>
      <c r="P646" t="s">
        <v>7837</v>
      </c>
      <c r="Q646" t="s">
        <v>32</v>
      </c>
      <c r="R646" t="s">
        <v>7838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32</v>
      </c>
      <c r="Y646" t="s">
        <v>618</v>
      </c>
      <c r="Z646" t="s">
        <v>126</v>
      </c>
      <c r="AA646" t="s">
        <v>7839</v>
      </c>
      <c r="AB646" t="s">
        <v>7840</v>
      </c>
      <c r="AC646" t="s">
        <v>7841</v>
      </c>
      <c r="AD646" t="s">
        <v>32</v>
      </c>
      <c r="AE646" t="s">
        <v>32</v>
      </c>
      <c r="AF646" t="s">
        <v>46835</v>
      </c>
    </row>
    <row r="647" spans="1:33" x14ac:dyDescent="0.2">
      <c r="A647">
        <v>642</v>
      </c>
      <c r="B647" t="s">
        <v>7842</v>
      </c>
      <c r="C647" t="s">
        <v>7843</v>
      </c>
      <c r="D647" t="s">
        <v>7844</v>
      </c>
      <c r="E647" t="s">
        <v>7845</v>
      </c>
      <c r="F647" t="s">
        <v>7846</v>
      </c>
      <c r="G647" t="s">
        <v>32</v>
      </c>
      <c r="H647" t="str">
        <f>"Atp5po"</f>
        <v>Atp5po</v>
      </c>
      <c r="I647" t="s">
        <v>7847</v>
      </c>
      <c r="J647" t="s">
        <v>37</v>
      </c>
      <c r="K647">
        <v>10090</v>
      </c>
      <c r="L647" s="3" t="str">
        <f>HYPERLINK("http://www.uniprot.org/uniprot/Q9DB20", "Q9DB20")</f>
        <v>Q9DB20</v>
      </c>
      <c r="M647" t="s">
        <v>7848</v>
      </c>
      <c r="N647" t="str">
        <f>"Atp5o"</f>
        <v>Atp5o</v>
      </c>
      <c r="O647" s="3" t="str">
        <f>HYPERLINK("http://www.informatics.jax.org/marker/MGI:106341", "MGI:106341")</f>
        <v>MGI:106341</v>
      </c>
      <c r="P647" t="s">
        <v>7849</v>
      </c>
      <c r="Q647" t="s">
        <v>1142</v>
      </c>
      <c r="R647" t="s">
        <v>3858</v>
      </c>
      <c r="S647" t="s">
        <v>32</v>
      </c>
      <c r="T647" t="s">
        <v>32</v>
      </c>
      <c r="U647" t="s">
        <v>32</v>
      </c>
      <c r="V647" t="s">
        <v>1039</v>
      </c>
      <c r="W647" t="s">
        <v>32</v>
      </c>
      <c r="X647" t="s">
        <v>32</v>
      </c>
      <c r="Y647" t="s">
        <v>78</v>
      </c>
      <c r="Z647" t="s">
        <v>32</v>
      </c>
      <c r="AA647" t="s">
        <v>7850</v>
      </c>
      <c r="AB647" t="s">
        <v>7851</v>
      </c>
      <c r="AC647" t="s">
        <v>7852</v>
      </c>
      <c r="AD647" t="s">
        <v>32</v>
      </c>
      <c r="AE647" t="s">
        <v>1147</v>
      </c>
      <c r="AF647" t="s">
        <v>46835</v>
      </c>
    </row>
    <row r="648" spans="1:33" x14ac:dyDescent="0.2">
      <c r="A648">
        <v>643</v>
      </c>
      <c r="B648" t="s">
        <v>7853</v>
      </c>
      <c r="C648" t="s">
        <v>7854</v>
      </c>
      <c r="D648" t="s">
        <v>7855</v>
      </c>
      <c r="E648" t="s">
        <v>7856</v>
      </c>
      <c r="F648" t="s">
        <v>7857</v>
      </c>
      <c r="G648" t="s">
        <v>7858</v>
      </c>
      <c r="H648" t="str">
        <f>"Arhgap1"</f>
        <v>Arhgap1</v>
      </c>
      <c r="I648" t="s">
        <v>32</v>
      </c>
      <c r="J648" t="s">
        <v>37</v>
      </c>
      <c r="K648">
        <v>10090</v>
      </c>
      <c r="L648" s="3" t="str">
        <f>HYPERLINK("http://www.uniprot.org/uniprot/Q5FWK3", "Q5FWK3")</f>
        <v>Q5FWK3</v>
      </c>
      <c r="M648" t="s">
        <v>7859</v>
      </c>
      <c r="N648" t="str">
        <f>"Arhgap1"</f>
        <v>Arhgap1</v>
      </c>
      <c r="O648" s="3" t="str">
        <f>HYPERLINK("http://www.informatics.jax.org/marker/MGI:2445003", "MGI:2445003")</f>
        <v>MGI:2445003</v>
      </c>
      <c r="P648" t="s">
        <v>7860</v>
      </c>
      <c r="Q648" t="s">
        <v>32</v>
      </c>
      <c r="R648" t="s">
        <v>418</v>
      </c>
      <c r="S648" t="s">
        <v>32</v>
      </c>
      <c r="T648" t="s">
        <v>32</v>
      </c>
      <c r="U648" t="s">
        <v>32</v>
      </c>
      <c r="V648" t="s">
        <v>7861</v>
      </c>
      <c r="W648" t="s">
        <v>32</v>
      </c>
      <c r="X648" t="s">
        <v>715</v>
      </c>
      <c r="Y648" t="s">
        <v>157</v>
      </c>
      <c r="Z648" t="s">
        <v>32</v>
      </c>
      <c r="AA648" t="s">
        <v>7862</v>
      </c>
      <c r="AB648" t="s">
        <v>7863</v>
      </c>
      <c r="AC648" t="s">
        <v>7864</v>
      </c>
      <c r="AD648" t="s">
        <v>32</v>
      </c>
      <c r="AE648" t="s">
        <v>7865</v>
      </c>
      <c r="AF648" t="s">
        <v>46835</v>
      </c>
    </row>
    <row r="649" spans="1:33" x14ac:dyDescent="0.2">
      <c r="A649">
        <v>644</v>
      </c>
      <c r="B649" t="s">
        <v>7866</v>
      </c>
      <c r="C649" t="s">
        <v>7867</v>
      </c>
      <c r="D649" t="s">
        <v>32</v>
      </c>
      <c r="E649" t="s">
        <v>7868</v>
      </c>
      <c r="F649" t="s">
        <v>7869</v>
      </c>
      <c r="G649" t="s">
        <v>7870</v>
      </c>
      <c r="H649" t="str">
        <f>"Scrn1"</f>
        <v>Scrn1</v>
      </c>
      <c r="I649" t="s">
        <v>7871</v>
      </c>
      <c r="J649" t="s">
        <v>37</v>
      </c>
      <c r="K649">
        <v>10090</v>
      </c>
      <c r="L649" s="3" t="str">
        <f>HYPERLINK("http://www.uniprot.org/uniprot/Q9CZC8", "Q9CZC8")</f>
        <v>Q9CZC8</v>
      </c>
      <c r="M649" t="s">
        <v>7872</v>
      </c>
      <c r="N649" t="str">
        <f>"Scrn1"</f>
        <v>Scrn1</v>
      </c>
      <c r="O649" s="3" t="str">
        <f>HYPERLINK("http://www.informatics.jax.org/marker/MGI:1917188", "MGI:1917188")</f>
        <v>MGI:1917188</v>
      </c>
      <c r="P649" t="s">
        <v>7873</v>
      </c>
      <c r="Q649" t="s">
        <v>7874</v>
      </c>
      <c r="R649" t="s">
        <v>418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32</v>
      </c>
      <c r="Y649" t="s">
        <v>32</v>
      </c>
      <c r="Z649" t="s">
        <v>32</v>
      </c>
      <c r="AA649" t="s">
        <v>7875</v>
      </c>
      <c r="AB649" t="s">
        <v>7876</v>
      </c>
      <c r="AC649" t="s">
        <v>7877</v>
      </c>
      <c r="AD649" t="s">
        <v>32</v>
      </c>
      <c r="AE649" t="s">
        <v>32</v>
      </c>
      <c r="AF649" t="s">
        <v>46835</v>
      </c>
    </row>
    <row r="650" spans="1:33" x14ac:dyDescent="0.2">
      <c r="A650">
        <v>645</v>
      </c>
      <c r="B650" t="s">
        <v>7878</v>
      </c>
      <c r="C650" t="s">
        <v>7879</v>
      </c>
      <c r="D650" t="s">
        <v>7880</v>
      </c>
      <c r="E650" t="s">
        <v>7881</v>
      </c>
      <c r="F650" t="s">
        <v>7882</v>
      </c>
      <c r="G650" t="s">
        <v>32</v>
      </c>
      <c r="H650" t="str">
        <f>"Fus"</f>
        <v>Fus</v>
      </c>
      <c r="I650" t="s">
        <v>32</v>
      </c>
      <c r="J650" t="s">
        <v>37</v>
      </c>
      <c r="K650">
        <v>10090</v>
      </c>
      <c r="L650" s="3" t="str">
        <f>HYPERLINK("http://www.uniprot.org/uniprot/P56959", "P56959")</f>
        <v>P56959</v>
      </c>
      <c r="M650" t="s">
        <v>7883</v>
      </c>
      <c r="N650" t="str">
        <f>"Fus"</f>
        <v>Fus</v>
      </c>
      <c r="O650" s="3" t="str">
        <f>HYPERLINK("http://www.informatics.jax.org/marker/MGI:1353633", "MGI:1353633")</f>
        <v>MGI:1353633</v>
      </c>
      <c r="P650" t="s">
        <v>7884</v>
      </c>
      <c r="Q650" t="s">
        <v>32</v>
      </c>
      <c r="R650" t="s">
        <v>2279</v>
      </c>
      <c r="S650" t="s">
        <v>32</v>
      </c>
      <c r="T650" t="s">
        <v>32</v>
      </c>
      <c r="U650" t="s">
        <v>32</v>
      </c>
      <c r="V650" t="s">
        <v>3791</v>
      </c>
      <c r="W650" t="s">
        <v>42</v>
      </c>
      <c r="X650" t="s">
        <v>956</v>
      </c>
      <c r="Y650" t="s">
        <v>2192</v>
      </c>
      <c r="Z650" t="s">
        <v>32</v>
      </c>
      <c r="AA650" t="s">
        <v>7885</v>
      </c>
      <c r="AB650" t="s">
        <v>7886</v>
      </c>
      <c r="AC650" t="s">
        <v>7887</v>
      </c>
      <c r="AD650" t="s">
        <v>32</v>
      </c>
      <c r="AE650" t="s">
        <v>946</v>
      </c>
      <c r="AF650" t="s">
        <v>46835</v>
      </c>
    </row>
    <row r="651" spans="1:33" x14ac:dyDescent="0.2">
      <c r="A651">
        <v>646</v>
      </c>
      <c r="B651" t="s">
        <v>7888</v>
      </c>
      <c r="C651" t="s">
        <v>7889</v>
      </c>
      <c r="D651" t="s">
        <v>7890</v>
      </c>
      <c r="E651" t="s">
        <v>7891</v>
      </c>
      <c r="F651" t="s">
        <v>7892</v>
      </c>
      <c r="G651" t="s">
        <v>7893</v>
      </c>
      <c r="H651" t="str">
        <f>"Prkcsh"</f>
        <v>Prkcsh</v>
      </c>
      <c r="I651" t="s">
        <v>32</v>
      </c>
      <c r="J651" t="s">
        <v>37</v>
      </c>
      <c r="K651">
        <v>10090</v>
      </c>
      <c r="L651" s="3" t="str">
        <f>HYPERLINK("http://www.uniprot.org/uniprot/O08795", "O08795")</f>
        <v>O08795</v>
      </c>
      <c r="M651" t="s">
        <v>7894</v>
      </c>
      <c r="N651" t="str">
        <f>"Prkcsh"</f>
        <v>Prkcsh</v>
      </c>
      <c r="O651" s="3" t="str">
        <f>HYPERLINK("http://www.informatics.jax.org/marker/MGI:107877", "MGI:107877")</f>
        <v>MGI:107877</v>
      </c>
      <c r="P651" t="s">
        <v>7895</v>
      </c>
      <c r="Q651" t="s">
        <v>32</v>
      </c>
      <c r="R651" t="s">
        <v>671</v>
      </c>
      <c r="S651" t="s">
        <v>41</v>
      </c>
      <c r="T651" t="s">
        <v>32</v>
      </c>
      <c r="U651" t="s">
        <v>32</v>
      </c>
      <c r="V651" t="s">
        <v>478</v>
      </c>
      <c r="W651" t="s">
        <v>188</v>
      </c>
      <c r="X651" t="s">
        <v>32</v>
      </c>
      <c r="Y651" t="s">
        <v>2865</v>
      </c>
      <c r="Z651" t="s">
        <v>126</v>
      </c>
      <c r="AA651" t="s">
        <v>7896</v>
      </c>
      <c r="AB651" t="s">
        <v>7897</v>
      </c>
      <c r="AC651" t="s">
        <v>7898</v>
      </c>
      <c r="AD651" t="s">
        <v>4320</v>
      </c>
      <c r="AE651" t="s">
        <v>636</v>
      </c>
      <c r="AF651" t="s">
        <v>46835</v>
      </c>
    </row>
    <row r="652" spans="1:33" x14ac:dyDescent="0.2">
      <c r="A652">
        <v>647</v>
      </c>
      <c r="B652" t="s">
        <v>7899</v>
      </c>
      <c r="C652" t="s">
        <v>47109</v>
      </c>
      <c r="D652" t="s">
        <v>32</v>
      </c>
      <c r="E652" t="s">
        <v>46862</v>
      </c>
      <c r="F652" t="s">
        <v>46861</v>
      </c>
      <c r="G652" t="s">
        <v>32</v>
      </c>
      <c r="H652" t="s">
        <v>47240</v>
      </c>
      <c r="I652" t="s">
        <v>32</v>
      </c>
      <c r="J652" t="s">
        <v>37</v>
      </c>
      <c r="K652">
        <v>10090</v>
      </c>
      <c r="L652" s="3" t="str">
        <f>HYPERLINK(CONCATENATE("https://www.uniprot.org/uniprotkb/", AG652, "/entry"), AG652)</f>
        <v>Q9ER67</v>
      </c>
      <c r="M652" t="s">
        <v>32</v>
      </c>
      <c r="N652" t="s">
        <v>32</v>
      </c>
      <c r="O652" s="3" t="s">
        <v>32</v>
      </c>
      <c r="P652" t="s">
        <v>32</v>
      </c>
      <c r="Q652" t="s">
        <v>32</v>
      </c>
      <c r="R652" t="s">
        <v>32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t="s">
        <v>32</v>
      </c>
      <c r="Z652" t="s">
        <v>32</v>
      </c>
      <c r="AA652" t="s">
        <v>32</v>
      </c>
      <c r="AB652" t="s">
        <v>32</v>
      </c>
      <c r="AC652" t="s">
        <v>32</v>
      </c>
      <c r="AD652" t="s">
        <v>32</v>
      </c>
      <c r="AE652" t="s">
        <v>32</v>
      </c>
      <c r="AF652" t="s">
        <v>46835</v>
      </c>
      <c r="AG652" t="s">
        <v>46861</v>
      </c>
    </row>
    <row r="653" spans="1:33" x14ac:dyDescent="0.2">
      <c r="A653">
        <v>648</v>
      </c>
      <c r="B653" t="s">
        <v>7900</v>
      </c>
      <c r="C653" t="s">
        <v>7901</v>
      </c>
      <c r="D653" t="s">
        <v>7902</v>
      </c>
      <c r="E653" t="s">
        <v>7903</v>
      </c>
      <c r="F653" t="s">
        <v>7904</v>
      </c>
      <c r="G653" t="s">
        <v>32</v>
      </c>
      <c r="H653" t="str">
        <f>"Capza2"</f>
        <v>Capza2</v>
      </c>
      <c r="I653" t="s">
        <v>7905</v>
      </c>
      <c r="J653" t="s">
        <v>37</v>
      </c>
      <c r="K653">
        <v>10090</v>
      </c>
      <c r="L653" s="3" t="str">
        <f>HYPERLINK("http://www.uniprot.org/uniprot/P47754", "P47754")</f>
        <v>P47754</v>
      </c>
      <c r="M653" t="s">
        <v>7906</v>
      </c>
      <c r="N653" t="str">
        <f>"Capza2"</f>
        <v>Capza2</v>
      </c>
      <c r="O653" s="3" t="str">
        <f>HYPERLINK("http://www.informatics.jax.org/marker/MGI:106222", "MGI:106222")</f>
        <v>MGI:106222</v>
      </c>
      <c r="P653" t="s">
        <v>7907</v>
      </c>
      <c r="Q653" t="s">
        <v>32</v>
      </c>
      <c r="R653" t="s">
        <v>32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479</v>
      </c>
      <c r="Y653" t="s">
        <v>157</v>
      </c>
      <c r="Z653" t="s">
        <v>32</v>
      </c>
      <c r="AA653" t="s">
        <v>7908</v>
      </c>
      <c r="AB653" t="s">
        <v>7909</v>
      </c>
      <c r="AC653" t="s">
        <v>2119</v>
      </c>
      <c r="AD653" t="s">
        <v>32</v>
      </c>
      <c r="AE653" t="s">
        <v>7910</v>
      </c>
      <c r="AF653" t="s">
        <v>46835</v>
      </c>
    </row>
    <row r="654" spans="1:33" x14ac:dyDescent="0.2">
      <c r="A654">
        <v>649</v>
      </c>
      <c r="B654" t="s">
        <v>7911</v>
      </c>
      <c r="C654" t="s">
        <v>7912</v>
      </c>
      <c r="D654" t="s">
        <v>7913</v>
      </c>
      <c r="E654" t="s">
        <v>7914</v>
      </c>
      <c r="F654" t="s">
        <v>7915</v>
      </c>
      <c r="G654" t="s">
        <v>7916</v>
      </c>
      <c r="H654" t="str">
        <f>"Actr3"</f>
        <v>Actr3</v>
      </c>
      <c r="I654" t="s">
        <v>7917</v>
      </c>
      <c r="J654" t="s">
        <v>37</v>
      </c>
      <c r="K654">
        <v>10090</v>
      </c>
      <c r="L654" s="3" t="str">
        <f>HYPERLINK("http://www.uniprot.org/uniprot/Q99JY9", "Q99JY9")</f>
        <v>Q99JY9</v>
      </c>
      <c r="M654" t="s">
        <v>7918</v>
      </c>
      <c r="N654" t="str">
        <f>"Actr3"</f>
        <v>Actr3</v>
      </c>
      <c r="O654" s="3" t="str">
        <f>HYPERLINK("http://www.informatics.jax.org/marker/MGI:1921367", "MGI:1921367")</f>
        <v>MGI:1921367</v>
      </c>
      <c r="P654" t="s">
        <v>7919</v>
      </c>
      <c r="Q654" t="s">
        <v>475</v>
      </c>
      <c r="R654" t="s">
        <v>7920</v>
      </c>
      <c r="S654" t="s">
        <v>32</v>
      </c>
      <c r="T654" t="s">
        <v>32</v>
      </c>
      <c r="U654" t="s">
        <v>32</v>
      </c>
      <c r="V654" t="s">
        <v>32</v>
      </c>
      <c r="W654" t="s">
        <v>205</v>
      </c>
      <c r="X654" t="s">
        <v>405</v>
      </c>
      <c r="Y654" t="s">
        <v>78</v>
      </c>
      <c r="Z654" t="s">
        <v>126</v>
      </c>
      <c r="AA654" t="s">
        <v>7921</v>
      </c>
      <c r="AB654" t="s">
        <v>7922</v>
      </c>
      <c r="AC654" t="s">
        <v>7923</v>
      </c>
      <c r="AD654" t="s">
        <v>32</v>
      </c>
      <c r="AE654" t="s">
        <v>5831</v>
      </c>
      <c r="AF654" t="s">
        <v>46835</v>
      </c>
    </row>
    <row r="655" spans="1:33" x14ac:dyDescent="0.2">
      <c r="A655">
        <v>650</v>
      </c>
      <c r="B655" t="s">
        <v>7924</v>
      </c>
      <c r="C655" t="s">
        <v>7925</v>
      </c>
      <c r="D655" t="s">
        <v>7926</v>
      </c>
      <c r="E655" t="s">
        <v>7927</v>
      </c>
      <c r="F655" t="s">
        <v>7928</v>
      </c>
      <c r="G655" t="s">
        <v>7929</v>
      </c>
      <c r="H655" t="str">
        <f>"Dld"</f>
        <v>Dld</v>
      </c>
      <c r="I655" t="s">
        <v>32</v>
      </c>
      <c r="J655" t="s">
        <v>37</v>
      </c>
      <c r="K655">
        <v>10090</v>
      </c>
      <c r="L655" s="3" t="str">
        <f>HYPERLINK("http://www.uniprot.org/uniprot/O08749", "O08749")</f>
        <v>O08749</v>
      </c>
      <c r="M655" t="s">
        <v>7930</v>
      </c>
      <c r="N655" t="str">
        <f>"Dld"</f>
        <v>Dld</v>
      </c>
      <c r="O655" s="3" t="str">
        <f>HYPERLINK("http://www.informatics.jax.org/marker/MGI:107450", "MGI:107450")</f>
        <v>MGI:107450</v>
      </c>
      <c r="P655" t="s">
        <v>7931</v>
      </c>
      <c r="Q655" t="s">
        <v>32</v>
      </c>
      <c r="R655" t="s">
        <v>7932</v>
      </c>
      <c r="S655" t="s">
        <v>32</v>
      </c>
      <c r="T655" t="s">
        <v>32</v>
      </c>
      <c r="U655" t="s">
        <v>32</v>
      </c>
      <c r="V655" t="s">
        <v>5688</v>
      </c>
      <c r="W655" t="s">
        <v>7933</v>
      </c>
      <c r="X655" t="s">
        <v>600</v>
      </c>
      <c r="Y655" t="s">
        <v>480</v>
      </c>
      <c r="Z655" t="s">
        <v>32</v>
      </c>
      <c r="AA655" t="s">
        <v>7934</v>
      </c>
      <c r="AB655" t="s">
        <v>7935</v>
      </c>
      <c r="AC655" t="s">
        <v>7936</v>
      </c>
      <c r="AD655" t="s">
        <v>32</v>
      </c>
      <c r="AE655" t="s">
        <v>7937</v>
      </c>
      <c r="AF655" t="s">
        <v>46835</v>
      </c>
    </row>
    <row r="656" spans="1:33" x14ac:dyDescent="0.2">
      <c r="A656">
        <v>651</v>
      </c>
      <c r="B656" t="s">
        <v>7938</v>
      </c>
      <c r="C656" t="s">
        <v>7939</v>
      </c>
      <c r="D656" t="s">
        <v>32</v>
      </c>
      <c r="E656" t="s">
        <v>7940</v>
      </c>
      <c r="F656" t="s">
        <v>7941</v>
      </c>
      <c r="G656" t="s">
        <v>7942</v>
      </c>
      <c r="H656" t="str">
        <f>"Iqgap1"</f>
        <v>Iqgap1</v>
      </c>
      <c r="I656" t="s">
        <v>32</v>
      </c>
      <c r="J656" t="s">
        <v>37</v>
      </c>
      <c r="K656">
        <v>10090</v>
      </c>
      <c r="L656" s="3" t="str">
        <f>HYPERLINK("http://www.uniprot.org/uniprot/Q9JKF1", "Q9JKF1")</f>
        <v>Q9JKF1</v>
      </c>
      <c r="M656" t="s">
        <v>7943</v>
      </c>
      <c r="N656" t="str">
        <f>"Iqgap1"</f>
        <v>Iqgap1</v>
      </c>
      <c r="O656" s="3" t="str">
        <f>HYPERLINK("http://www.informatics.jax.org/marker/MGI:1352757", "MGI:1352757")</f>
        <v>MGI:1352757</v>
      </c>
      <c r="P656" t="s">
        <v>7944</v>
      </c>
      <c r="Q656" t="s">
        <v>32</v>
      </c>
      <c r="R656" t="s">
        <v>276</v>
      </c>
      <c r="S656" t="s">
        <v>32</v>
      </c>
      <c r="T656" t="s">
        <v>32</v>
      </c>
      <c r="U656" t="s">
        <v>32</v>
      </c>
      <c r="V656" t="s">
        <v>55</v>
      </c>
      <c r="W656" t="s">
        <v>32</v>
      </c>
      <c r="X656" t="s">
        <v>1926</v>
      </c>
      <c r="Y656" t="s">
        <v>157</v>
      </c>
      <c r="Z656" t="s">
        <v>32</v>
      </c>
      <c r="AA656" t="s">
        <v>7945</v>
      </c>
      <c r="AB656" t="s">
        <v>7946</v>
      </c>
      <c r="AC656" t="s">
        <v>7947</v>
      </c>
      <c r="AD656" t="s">
        <v>32</v>
      </c>
      <c r="AE656" t="s">
        <v>7948</v>
      </c>
      <c r="AF656" t="s">
        <v>46835</v>
      </c>
    </row>
    <row r="657" spans="1:32" x14ac:dyDescent="0.2">
      <c r="A657">
        <v>652</v>
      </c>
      <c r="B657" t="s">
        <v>7949</v>
      </c>
      <c r="C657" t="s">
        <v>7950</v>
      </c>
      <c r="D657" t="s">
        <v>7951</v>
      </c>
      <c r="E657" t="s">
        <v>7952</v>
      </c>
      <c r="F657" t="s">
        <v>7953</v>
      </c>
      <c r="G657" t="s">
        <v>7954</v>
      </c>
      <c r="H657" t="str">
        <f>"Gmps"</f>
        <v>Gmps</v>
      </c>
      <c r="I657" t="s">
        <v>32</v>
      </c>
      <c r="J657" t="s">
        <v>37</v>
      </c>
      <c r="K657">
        <v>10090</v>
      </c>
      <c r="L657" s="3" t="str">
        <f>HYPERLINK("http://www.uniprot.org/uniprot/Q3THK7", "Q3THK7")</f>
        <v>Q3THK7</v>
      </c>
      <c r="M657" t="s">
        <v>7955</v>
      </c>
      <c r="N657" t="str">
        <f>"Gmps"</f>
        <v>Gmps</v>
      </c>
      <c r="O657" s="3" t="str">
        <f>HYPERLINK("http://www.informatics.jax.org/marker/MGI:2448526", "MGI:2448526")</f>
        <v>MGI:2448526</v>
      </c>
      <c r="P657" t="s">
        <v>7956</v>
      </c>
      <c r="Q657" t="s">
        <v>6079</v>
      </c>
      <c r="R657" t="s">
        <v>418</v>
      </c>
      <c r="S657" t="s">
        <v>32</v>
      </c>
      <c r="T657" t="s">
        <v>32</v>
      </c>
      <c r="U657" t="s">
        <v>32</v>
      </c>
      <c r="V657" t="s">
        <v>7957</v>
      </c>
      <c r="W657" t="s">
        <v>205</v>
      </c>
      <c r="X657" t="s">
        <v>1022</v>
      </c>
      <c r="Y657" t="s">
        <v>157</v>
      </c>
      <c r="Z657" t="s">
        <v>32</v>
      </c>
      <c r="AA657" t="s">
        <v>7958</v>
      </c>
      <c r="AB657" t="s">
        <v>1268</v>
      </c>
      <c r="AC657" t="s">
        <v>7959</v>
      </c>
      <c r="AD657" t="s">
        <v>7960</v>
      </c>
      <c r="AE657" t="s">
        <v>7961</v>
      </c>
      <c r="AF657" t="s">
        <v>46835</v>
      </c>
    </row>
    <row r="658" spans="1:32" x14ac:dyDescent="0.2">
      <c r="A658">
        <v>653</v>
      </c>
      <c r="B658" t="s">
        <v>7962</v>
      </c>
      <c r="C658" t="s">
        <v>7963</v>
      </c>
      <c r="D658" t="s">
        <v>7964</v>
      </c>
      <c r="E658" t="s">
        <v>7965</v>
      </c>
      <c r="F658" t="s">
        <v>7966</v>
      </c>
      <c r="G658" t="s">
        <v>32</v>
      </c>
      <c r="H658" t="str">
        <f>"Ttr"</f>
        <v>Ttr</v>
      </c>
      <c r="I658" t="s">
        <v>32</v>
      </c>
      <c r="J658" t="s">
        <v>37</v>
      </c>
      <c r="K658">
        <v>10090</v>
      </c>
      <c r="L658" s="3" t="str">
        <f>HYPERLINK("http://www.uniprot.org/uniprot/P07309", "P07309")</f>
        <v>P07309</v>
      </c>
      <c r="M658" t="s">
        <v>7967</v>
      </c>
      <c r="N658" t="str">
        <f>"Ttr"</f>
        <v>Ttr</v>
      </c>
      <c r="O658" s="3" t="str">
        <f>HYPERLINK("http://www.informatics.jax.org/marker/MGI:98865", "MGI:98865")</f>
        <v>MGI:98865</v>
      </c>
      <c r="P658" t="s">
        <v>7968</v>
      </c>
      <c r="Q658" t="s">
        <v>4425</v>
      </c>
      <c r="R658" t="s">
        <v>630</v>
      </c>
      <c r="S658" t="s">
        <v>32</v>
      </c>
      <c r="T658" t="s">
        <v>32</v>
      </c>
      <c r="U658" t="s">
        <v>32</v>
      </c>
      <c r="V658" t="s">
        <v>811</v>
      </c>
      <c r="W658" t="s">
        <v>32</v>
      </c>
      <c r="X658" t="s">
        <v>7969</v>
      </c>
      <c r="Y658" t="s">
        <v>7970</v>
      </c>
      <c r="Z658" t="s">
        <v>126</v>
      </c>
      <c r="AA658" t="s">
        <v>7971</v>
      </c>
      <c r="AB658" t="s">
        <v>7972</v>
      </c>
      <c r="AC658" t="s">
        <v>7973</v>
      </c>
      <c r="AD658" t="s">
        <v>32</v>
      </c>
      <c r="AE658" t="s">
        <v>7974</v>
      </c>
      <c r="AF658" t="s">
        <v>46835</v>
      </c>
    </row>
    <row r="659" spans="1:32" x14ac:dyDescent="0.2">
      <c r="A659">
        <v>654</v>
      </c>
      <c r="B659" t="s">
        <v>7975</v>
      </c>
      <c r="C659" t="s">
        <v>7976</v>
      </c>
      <c r="D659" t="s">
        <v>7977</v>
      </c>
      <c r="E659" t="s">
        <v>7978</v>
      </c>
      <c r="F659" t="s">
        <v>7979</v>
      </c>
      <c r="G659" t="s">
        <v>7980</v>
      </c>
      <c r="H659" t="str">
        <f>"Dnaja1"</f>
        <v>Dnaja1</v>
      </c>
      <c r="I659" t="s">
        <v>7981</v>
      </c>
      <c r="J659" t="s">
        <v>37</v>
      </c>
      <c r="K659">
        <v>10090</v>
      </c>
      <c r="L659" s="3" t="str">
        <f>HYPERLINK("http://www.uniprot.org/uniprot/P63037", "P63037")</f>
        <v>P63037</v>
      </c>
      <c r="M659" t="s">
        <v>7982</v>
      </c>
      <c r="N659" t="str">
        <f>"Dnaja1"</f>
        <v>Dnaja1</v>
      </c>
      <c r="O659" s="3" t="str">
        <f>HYPERLINK("http://www.informatics.jax.org/marker/MGI:1270129", "MGI:1270129")</f>
        <v>MGI:1270129</v>
      </c>
      <c r="P659" t="s">
        <v>7983</v>
      </c>
      <c r="Q659" t="s">
        <v>32</v>
      </c>
      <c r="R659" t="s">
        <v>7984</v>
      </c>
      <c r="S659" t="s">
        <v>32</v>
      </c>
      <c r="T659" t="s">
        <v>32</v>
      </c>
      <c r="U659" t="s">
        <v>32</v>
      </c>
      <c r="V659" t="s">
        <v>3791</v>
      </c>
      <c r="W659" t="s">
        <v>42</v>
      </c>
      <c r="X659" t="s">
        <v>388</v>
      </c>
      <c r="Y659" t="s">
        <v>7985</v>
      </c>
      <c r="Z659" t="s">
        <v>32</v>
      </c>
      <c r="AA659" t="s">
        <v>7986</v>
      </c>
      <c r="AB659" t="s">
        <v>7987</v>
      </c>
      <c r="AC659" t="s">
        <v>7988</v>
      </c>
      <c r="AD659" t="s">
        <v>32</v>
      </c>
      <c r="AE659" t="s">
        <v>5994</v>
      </c>
      <c r="AF659" t="s">
        <v>46835</v>
      </c>
    </row>
    <row r="660" spans="1:32" x14ac:dyDescent="0.2">
      <c r="A660">
        <v>655</v>
      </c>
      <c r="B660" t="s">
        <v>7989</v>
      </c>
      <c r="C660" t="s">
        <v>7990</v>
      </c>
      <c r="D660" t="s">
        <v>7991</v>
      </c>
      <c r="E660" t="s">
        <v>7992</v>
      </c>
      <c r="F660" t="s">
        <v>7993</v>
      </c>
      <c r="G660" t="s">
        <v>7994</v>
      </c>
      <c r="H660" t="str">
        <f>"Uso1"</f>
        <v>Uso1</v>
      </c>
      <c r="I660" t="s">
        <v>7995</v>
      </c>
      <c r="J660" t="s">
        <v>37</v>
      </c>
      <c r="K660">
        <v>10090</v>
      </c>
      <c r="L660" s="3" t="str">
        <f>HYPERLINK("http://www.uniprot.org/uniprot/Q9Z1Z0", "Q9Z1Z0")</f>
        <v>Q9Z1Z0</v>
      </c>
      <c r="M660" t="s">
        <v>7996</v>
      </c>
      <c r="N660" t="str">
        <f>"Uso1"</f>
        <v>Uso1</v>
      </c>
      <c r="O660" s="3" t="str">
        <f>HYPERLINK("http://www.informatics.jax.org/marker/MGI:1929095", "MGI:1929095")</f>
        <v>MGI:1929095</v>
      </c>
      <c r="P660" t="s">
        <v>7997</v>
      </c>
      <c r="Q660" t="s">
        <v>2916</v>
      </c>
      <c r="R660" t="s">
        <v>7998</v>
      </c>
      <c r="S660" t="s">
        <v>41</v>
      </c>
      <c r="T660" t="s">
        <v>32</v>
      </c>
      <c r="U660" t="s">
        <v>32</v>
      </c>
      <c r="V660" t="s">
        <v>137</v>
      </c>
      <c r="W660" t="s">
        <v>32</v>
      </c>
      <c r="X660" t="s">
        <v>32</v>
      </c>
      <c r="Y660" t="s">
        <v>157</v>
      </c>
      <c r="Z660" t="s">
        <v>32</v>
      </c>
      <c r="AA660" t="s">
        <v>7999</v>
      </c>
      <c r="AB660" t="s">
        <v>8000</v>
      </c>
      <c r="AC660" t="s">
        <v>32</v>
      </c>
      <c r="AD660" t="s">
        <v>32</v>
      </c>
      <c r="AE660" t="s">
        <v>8001</v>
      </c>
      <c r="AF660" t="s">
        <v>46835</v>
      </c>
    </row>
    <row r="661" spans="1:32" x14ac:dyDescent="0.2">
      <c r="A661">
        <v>656</v>
      </c>
      <c r="B661" t="s">
        <v>8002</v>
      </c>
      <c r="C661" t="s">
        <v>8003</v>
      </c>
      <c r="D661" t="s">
        <v>8004</v>
      </c>
      <c r="E661" t="s">
        <v>8005</v>
      </c>
      <c r="F661" t="s">
        <v>8006</v>
      </c>
      <c r="G661" t="s">
        <v>8007</v>
      </c>
      <c r="H661" t="str">
        <f>"Psip1"</f>
        <v>Psip1</v>
      </c>
      <c r="I661" t="s">
        <v>8008</v>
      </c>
      <c r="J661" t="s">
        <v>37</v>
      </c>
      <c r="K661">
        <v>10090</v>
      </c>
      <c r="L661" s="3" t="str">
        <f>HYPERLINK("http://www.uniprot.org/uniprot/Q99JF8", "Q99JF8")</f>
        <v>Q99JF8</v>
      </c>
      <c r="M661" t="s">
        <v>8009</v>
      </c>
      <c r="N661" t="str">
        <f>"Psip1"</f>
        <v>Psip1</v>
      </c>
      <c r="O661" s="3" t="str">
        <f>HYPERLINK("http://www.informatics.jax.org/marker/MGI:2142116", "MGI:2142116")</f>
        <v>MGI:2142116</v>
      </c>
      <c r="P661" t="s">
        <v>8010</v>
      </c>
      <c r="Q661" t="s">
        <v>4152</v>
      </c>
      <c r="R661" t="s">
        <v>2279</v>
      </c>
      <c r="S661" t="s">
        <v>41</v>
      </c>
      <c r="T661" t="s">
        <v>32</v>
      </c>
      <c r="U661" t="s">
        <v>32</v>
      </c>
      <c r="V661" t="s">
        <v>290</v>
      </c>
      <c r="W661" t="s">
        <v>32</v>
      </c>
      <c r="X661" t="s">
        <v>247</v>
      </c>
      <c r="Y661" t="s">
        <v>3509</v>
      </c>
      <c r="Z661" t="s">
        <v>32</v>
      </c>
      <c r="AA661" t="s">
        <v>8011</v>
      </c>
      <c r="AB661" t="s">
        <v>8012</v>
      </c>
      <c r="AC661" t="s">
        <v>8013</v>
      </c>
      <c r="AD661" t="s">
        <v>32</v>
      </c>
      <c r="AE661" t="s">
        <v>32</v>
      </c>
      <c r="AF661" t="s">
        <v>46835</v>
      </c>
    </row>
    <row r="662" spans="1:32" x14ac:dyDescent="0.2">
      <c r="A662">
        <v>657</v>
      </c>
      <c r="B662" t="s">
        <v>8014</v>
      </c>
      <c r="C662" t="s">
        <v>8015</v>
      </c>
      <c r="D662" t="s">
        <v>8016</v>
      </c>
      <c r="E662" t="s">
        <v>8017</v>
      </c>
      <c r="F662" t="s">
        <v>8018</v>
      </c>
      <c r="G662" t="s">
        <v>32</v>
      </c>
      <c r="H662" t="str">
        <f>"Thrap3"</f>
        <v>Thrap3</v>
      </c>
      <c r="I662" t="s">
        <v>8019</v>
      </c>
      <c r="J662" t="s">
        <v>37</v>
      </c>
      <c r="K662">
        <v>10090</v>
      </c>
      <c r="L662" s="3" t="str">
        <f>HYPERLINK("http://www.uniprot.org/uniprot/Q569Z6", "Q569Z6")</f>
        <v>Q569Z6</v>
      </c>
      <c r="M662" t="s">
        <v>8020</v>
      </c>
      <c r="N662" t="str">
        <f>"Thrap3"</f>
        <v>Thrap3</v>
      </c>
      <c r="O662" s="3" t="str">
        <f>HYPERLINK("http://www.informatics.jax.org/marker/MGI:2442637", "MGI:2442637")</f>
        <v>MGI:2442637</v>
      </c>
      <c r="P662" t="s">
        <v>8021</v>
      </c>
      <c r="Q662" t="s">
        <v>5049</v>
      </c>
      <c r="R662" t="s">
        <v>2279</v>
      </c>
      <c r="S662" t="s">
        <v>32</v>
      </c>
      <c r="T662" t="s">
        <v>32</v>
      </c>
      <c r="U662" t="s">
        <v>32</v>
      </c>
      <c r="V662" t="s">
        <v>32</v>
      </c>
      <c r="W662" t="s">
        <v>205</v>
      </c>
      <c r="X662" t="s">
        <v>8022</v>
      </c>
      <c r="Y662" t="s">
        <v>207</v>
      </c>
      <c r="Z662" t="s">
        <v>32</v>
      </c>
      <c r="AA662" t="s">
        <v>8023</v>
      </c>
      <c r="AB662" t="s">
        <v>8024</v>
      </c>
      <c r="AC662" t="s">
        <v>8025</v>
      </c>
      <c r="AD662" t="s">
        <v>32</v>
      </c>
      <c r="AE662" t="s">
        <v>32</v>
      </c>
      <c r="AF662" t="s">
        <v>46835</v>
      </c>
    </row>
    <row r="663" spans="1:32" x14ac:dyDescent="0.2">
      <c r="A663">
        <v>658</v>
      </c>
      <c r="B663" t="s">
        <v>8026</v>
      </c>
      <c r="C663" t="s">
        <v>8027</v>
      </c>
      <c r="D663" t="s">
        <v>8028</v>
      </c>
      <c r="E663" t="s">
        <v>8029</v>
      </c>
      <c r="F663" t="s">
        <v>8030</v>
      </c>
      <c r="G663" t="s">
        <v>32</v>
      </c>
      <c r="H663" t="str">
        <f>"Jpt2"</f>
        <v>Jpt2</v>
      </c>
      <c r="I663" t="s">
        <v>32</v>
      </c>
      <c r="J663" t="s">
        <v>37</v>
      </c>
      <c r="K663">
        <v>10090</v>
      </c>
      <c r="L663" s="3" t="str">
        <f>HYPERLINK("http://www.uniprot.org/uniprot/Q6PGH2", "Q6PGH2")</f>
        <v>Q6PGH2</v>
      </c>
      <c r="M663" t="s">
        <v>8031</v>
      </c>
      <c r="N663" t="str">
        <f>"Jpt2"</f>
        <v>Jpt2</v>
      </c>
      <c r="O663" s="3" t="str">
        <f>HYPERLINK("http://www.informatics.jax.org/marker/MGI:1196260", "MGI:1196260")</f>
        <v>MGI:1196260</v>
      </c>
      <c r="P663" t="s">
        <v>8032</v>
      </c>
      <c r="Q663" t="s">
        <v>32</v>
      </c>
      <c r="R663" t="s">
        <v>40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32</v>
      </c>
      <c r="Y663" t="s">
        <v>157</v>
      </c>
      <c r="Z663" t="s">
        <v>32</v>
      </c>
      <c r="AA663" t="s">
        <v>8033</v>
      </c>
      <c r="AB663" t="s">
        <v>8034</v>
      </c>
      <c r="AC663" t="s">
        <v>32</v>
      </c>
      <c r="AD663" t="s">
        <v>32</v>
      </c>
      <c r="AE663" t="s">
        <v>32</v>
      </c>
      <c r="AF663" t="s">
        <v>46835</v>
      </c>
    </row>
    <row r="664" spans="1:32" x14ac:dyDescent="0.2">
      <c r="A664">
        <v>659</v>
      </c>
      <c r="B664" t="s">
        <v>8035</v>
      </c>
      <c r="C664" t="s">
        <v>8036</v>
      </c>
      <c r="D664" t="s">
        <v>8037</v>
      </c>
      <c r="E664" t="s">
        <v>8038</v>
      </c>
      <c r="F664" t="s">
        <v>8039</v>
      </c>
      <c r="G664" t="s">
        <v>8040</v>
      </c>
      <c r="H664" t="str">
        <f>"Actr2"</f>
        <v>Actr2</v>
      </c>
      <c r="I664" t="s">
        <v>8041</v>
      </c>
      <c r="J664" t="s">
        <v>37</v>
      </c>
      <c r="K664">
        <v>10090</v>
      </c>
      <c r="L664" s="3" t="str">
        <f>HYPERLINK("http://www.uniprot.org/uniprot/P61161", "P61161")</f>
        <v>P61161</v>
      </c>
      <c r="M664" t="s">
        <v>8042</v>
      </c>
      <c r="N664" t="str">
        <f>"Actr2"</f>
        <v>Actr2</v>
      </c>
      <c r="O664" s="3" t="str">
        <f>HYPERLINK("http://www.informatics.jax.org/marker/MGI:1913963", "MGI:1913963")</f>
        <v>MGI:1913963</v>
      </c>
      <c r="P664" t="s">
        <v>8043</v>
      </c>
      <c r="Q664" t="s">
        <v>32</v>
      </c>
      <c r="R664" t="s">
        <v>7920</v>
      </c>
      <c r="S664" t="s">
        <v>32</v>
      </c>
      <c r="T664" t="s">
        <v>32</v>
      </c>
      <c r="U664" t="s">
        <v>32</v>
      </c>
      <c r="V664" t="s">
        <v>32</v>
      </c>
      <c r="W664" t="s">
        <v>205</v>
      </c>
      <c r="X664" t="s">
        <v>405</v>
      </c>
      <c r="Y664" t="s">
        <v>78</v>
      </c>
      <c r="Z664" t="s">
        <v>126</v>
      </c>
      <c r="AA664" t="s">
        <v>8044</v>
      </c>
      <c r="AB664" t="s">
        <v>8045</v>
      </c>
      <c r="AC664" t="s">
        <v>8046</v>
      </c>
      <c r="AD664" t="s">
        <v>32</v>
      </c>
      <c r="AE664" t="s">
        <v>8047</v>
      </c>
      <c r="AF664" t="s">
        <v>46835</v>
      </c>
    </row>
    <row r="665" spans="1:32" x14ac:dyDescent="0.2">
      <c r="A665">
        <v>660</v>
      </c>
      <c r="B665" t="s">
        <v>8048</v>
      </c>
      <c r="C665" t="s">
        <v>8049</v>
      </c>
      <c r="D665" t="s">
        <v>8050</v>
      </c>
      <c r="E665" t="s">
        <v>8051</v>
      </c>
      <c r="F665" t="s">
        <v>8052</v>
      </c>
      <c r="G665" t="s">
        <v>8053</v>
      </c>
      <c r="H665" t="str">
        <f>"Fhl3"</f>
        <v>Fhl3</v>
      </c>
      <c r="I665" t="s">
        <v>32</v>
      </c>
      <c r="J665" t="s">
        <v>37</v>
      </c>
      <c r="K665">
        <v>10090</v>
      </c>
      <c r="L665" s="3" t="str">
        <f>HYPERLINK("http://www.uniprot.org/uniprot/Q9R059", "Q9R059")</f>
        <v>Q9R059</v>
      </c>
      <c r="M665" t="s">
        <v>8054</v>
      </c>
      <c r="N665" t="str">
        <f>"Fhl3"</f>
        <v>Fhl3</v>
      </c>
      <c r="O665" s="3" t="str">
        <f>HYPERLINK("http://www.informatics.jax.org/marker/MGI:1341092", "MGI:1341092")</f>
        <v>MGI:1341092</v>
      </c>
      <c r="P665" t="s">
        <v>8055</v>
      </c>
      <c r="Q665" t="s">
        <v>4152</v>
      </c>
      <c r="R665" t="s">
        <v>40</v>
      </c>
      <c r="S665" t="s">
        <v>32</v>
      </c>
      <c r="T665" t="s">
        <v>32</v>
      </c>
      <c r="U665" t="s">
        <v>32</v>
      </c>
      <c r="V665" t="s">
        <v>8056</v>
      </c>
      <c r="W665" t="s">
        <v>42</v>
      </c>
      <c r="X665" t="s">
        <v>2602</v>
      </c>
      <c r="Y665" t="s">
        <v>78</v>
      </c>
      <c r="Z665" t="s">
        <v>32</v>
      </c>
      <c r="AA665" t="s">
        <v>8057</v>
      </c>
      <c r="AB665" t="s">
        <v>8058</v>
      </c>
      <c r="AC665" t="s">
        <v>8059</v>
      </c>
      <c r="AD665" t="s">
        <v>32</v>
      </c>
      <c r="AE665" t="s">
        <v>32</v>
      </c>
      <c r="AF665" t="s">
        <v>46835</v>
      </c>
    </row>
    <row r="666" spans="1:32" x14ac:dyDescent="0.2">
      <c r="A666">
        <v>661</v>
      </c>
      <c r="B666" t="s">
        <v>8060</v>
      </c>
      <c r="C666" t="s">
        <v>8061</v>
      </c>
      <c r="D666" t="s">
        <v>8062</v>
      </c>
      <c r="E666" t="s">
        <v>8063</v>
      </c>
      <c r="F666" t="s">
        <v>8064</v>
      </c>
      <c r="G666" t="s">
        <v>8065</v>
      </c>
      <c r="H666" t="str">
        <f>"Eif4g3"</f>
        <v>Eif4g3</v>
      </c>
      <c r="I666" t="s">
        <v>32</v>
      </c>
      <c r="J666" t="s">
        <v>37</v>
      </c>
      <c r="K666">
        <v>10090</v>
      </c>
      <c r="L666" s="3" t="str">
        <f>HYPERLINK("http://www.uniprot.org/uniprot/Q80XI3", "Q80XI3")</f>
        <v>Q80XI3</v>
      </c>
      <c r="M666" t="s">
        <v>8066</v>
      </c>
      <c r="N666" t="str">
        <f>"Eif4g3"</f>
        <v>Eif4g3</v>
      </c>
      <c r="O666" s="3" t="str">
        <f>HYPERLINK("http://www.informatics.jax.org/marker/MGI:1923935", "MGI:1923935")</f>
        <v>MGI:1923935</v>
      </c>
      <c r="P666" t="s">
        <v>8067</v>
      </c>
      <c r="Q666" t="s">
        <v>2324</v>
      </c>
      <c r="R666" t="s">
        <v>32</v>
      </c>
      <c r="S666" t="s">
        <v>41</v>
      </c>
      <c r="T666" t="s">
        <v>32</v>
      </c>
      <c r="U666" t="s">
        <v>32</v>
      </c>
      <c r="V666" t="s">
        <v>137</v>
      </c>
      <c r="W666" t="s">
        <v>32</v>
      </c>
      <c r="X666" t="s">
        <v>1566</v>
      </c>
      <c r="Y666" t="s">
        <v>618</v>
      </c>
      <c r="Z666" t="s">
        <v>32</v>
      </c>
      <c r="AA666" t="s">
        <v>8068</v>
      </c>
      <c r="AB666" t="s">
        <v>8069</v>
      </c>
      <c r="AC666" t="s">
        <v>8070</v>
      </c>
      <c r="AD666" t="s">
        <v>32</v>
      </c>
      <c r="AE666" t="s">
        <v>2299</v>
      </c>
      <c r="AF666" t="s">
        <v>46835</v>
      </c>
    </row>
    <row r="667" spans="1:32" x14ac:dyDescent="0.2">
      <c r="A667">
        <v>662</v>
      </c>
      <c r="B667" t="s">
        <v>8071</v>
      </c>
      <c r="C667" t="s">
        <v>8072</v>
      </c>
      <c r="D667" t="s">
        <v>8073</v>
      </c>
      <c r="E667" t="s">
        <v>8074</v>
      </c>
      <c r="F667" t="s">
        <v>8075</v>
      </c>
      <c r="G667" t="s">
        <v>8076</v>
      </c>
      <c r="H667" t="str">
        <f>"Snrpg"</f>
        <v>Snrpg</v>
      </c>
      <c r="I667" t="s">
        <v>32</v>
      </c>
      <c r="J667" t="s">
        <v>37</v>
      </c>
      <c r="K667">
        <v>10090</v>
      </c>
      <c r="L667" s="3" t="str">
        <f>HYPERLINK("http://www.uniprot.org/uniprot/P62309", "P62309")</f>
        <v>P62309</v>
      </c>
      <c r="M667" t="s">
        <v>8077</v>
      </c>
      <c r="N667" t="str">
        <f>"Snrpg"</f>
        <v>Snrpg</v>
      </c>
      <c r="O667" s="3" t="str">
        <f>HYPERLINK("http://www.informatics.jax.org/marker/MGI:1915261", "MGI:1915261")</f>
        <v>MGI:1915261</v>
      </c>
      <c r="P667" t="s">
        <v>8078</v>
      </c>
      <c r="Q667" t="s">
        <v>2139</v>
      </c>
      <c r="R667" t="s">
        <v>2219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1129</v>
      </c>
      <c r="Y667" t="s">
        <v>32</v>
      </c>
      <c r="Z667" t="s">
        <v>32</v>
      </c>
      <c r="AA667" t="s">
        <v>8079</v>
      </c>
      <c r="AB667" t="s">
        <v>8080</v>
      </c>
      <c r="AC667" t="s">
        <v>8081</v>
      </c>
      <c r="AD667" t="s">
        <v>32</v>
      </c>
      <c r="AE667" t="s">
        <v>8082</v>
      </c>
      <c r="AF667" t="s">
        <v>46835</v>
      </c>
    </row>
    <row r="668" spans="1:32" x14ac:dyDescent="0.2">
      <c r="A668">
        <v>663</v>
      </c>
      <c r="B668" t="s">
        <v>8083</v>
      </c>
      <c r="C668" t="s">
        <v>8084</v>
      </c>
      <c r="D668" t="s">
        <v>8085</v>
      </c>
      <c r="E668" t="s">
        <v>8086</v>
      </c>
      <c r="F668" t="s">
        <v>8087</v>
      </c>
      <c r="G668" t="s">
        <v>8088</v>
      </c>
      <c r="H668" t="str">
        <f>"Rtn4"</f>
        <v>Rtn4</v>
      </c>
      <c r="I668" t="s">
        <v>32</v>
      </c>
      <c r="J668" t="s">
        <v>37</v>
      </c>
      <c r="K668">
        <v>10090</v>
      </c>
      <c r="L668" s="3" t="str">
        <f>HYPERLINK("http://www.uniprot.org/uniprot/Q99P72", "Q99P72")</f>
        <v>Q99P72</v>
      </c>
      <c r="M668" t="s">
        <v>8089</v>
      </c>
      <c r="N668" t="str">
        <f>"Rtn4"</f>
        <v>Rtn4</v>
      </c>
      <c r="O668" s="3" t="str">
        <f>HYPERLINK("http://www.informatics.jax.org/marker/MGI:1915835", "MGI:1915835")</f>
        <v>MGI:1915835</v>
      </c>
      <c r="P668" t="s">
        <v>8090</v>
      </c>
      <c r="Q668" t="s">
        <v>1429</v>
      </c>
      <c r="R668" t="s">
        <v>8091</v>
      </c>
      <c r="S668" t="s">
        <v>41</v>
      </c>
      <c r="T668" t="s">
        <v>32</v>
      </c>
      <c r="U668" t="s">
        <v>32</v>
      </c>
      <c r="V668" t="s">
        <v>493</v>
      </c>
      <c r="W668" t="s">
        <v>32</v>
      </c>
      <c r="X668" t="s">
        <v>32</v>
      </c>
      <c r="Y668" t="s">
        <v>157</v>
      </c>
      <c r="Z668" t="s">
        <v>126</v>
      </c>
      <c r="AA668" t="s">
        <v>8092</v>
      </c>
      <c r="AB668" t="s">
        <v>8093</v>
      </c>
      <c r="AC668" t="s">
        <v>8094</v>
      </c>
      <c r="AD668" t="s">
        <v>32</v>
      </c>
      <c r="AE668" t="s">
        <v>8095</v>
      </c>
      <c r="AF668" t="s">
        <v>46835</v>
      </c>
    </row>
    <row r="669" spans="1:32" x14ac:dyDescent="0.2">
      <c r="A669">
        <v>664</v>
      </c>
      <c r="B669" t="s">
        <v>8096</v>
      </c>
      <c r="C669" t="s">
        <v>8097</v>
      </c>
      <c r="D669" t="s">
        <v>8098</v>
      </c>
      <c r="E669" t="s">
        <v>8099</v>
      </c>
      <c r="F669" t="s">
        <v>8100</v>
      </c>
      <c r="G669" t="s">
        <v>32</v>
      </c>
      <c r="H669" t="str">
        <f>"Eftud2"</f>
        <v>Eftud2</v>
      </c>
      <c r="I669" t="s">
        <v>8101</v>
      </c>
      <c r="J669" t="s">
        <v>37</v>
      </c>
      <c r="K669">
        <v>10090</v>
      </c>
      <c r="L669" s="3" t="str">
        <f>HYPERLINK("http://www.uniprot.org/uniprot/O08810", "O08810")</f>
        <v>O08810</v>
      </c>
      <c r="M669" t="s">
        <v>8102</v>
      </c>
      <c r="N669" t="str">
        <f>"Eftud2"</f>
        <v>Eftud2</v>
      </c>
      <c r="O669" s="3" t="str">
        <f>HYPERLINK("http://www.informatics.jax.org/marker/MGI:1336880", "MGI:1336880")</f>
        <v>MGI:1336880</v>
      </c>
      <c r="P669" t="s">
        <v>8103</v>
      </c>
      <c r="Q669" t="s">
        <v>2139</v>
      </c>
      <c r="R669" t="s">
        <v>2140</v>
      </c>
      <c r="S669" t="s">
        <v>32</v>
      </c>
      <c r="T669" t="s">
        <v>32</v>
      </c>
      <c r="U669" t="s">
        <v>32</v>
      </c>
      <c r="V669" t="s">
        <v>32</v>
      </c>
      <c r="W669" t="s">
        <v>261</v>
      </c>
      <c r="X669" t="s">
        <v>32</v>
      </c>
      <c r="Y669" t="s">
        <v>516</v>
      </c>
      <c r="Z669" t="s">
        <v>32</v>
      </c>
      <c r="AA669" t="s">
        <v>8104</v>
      </c>
      <c r="AB669" t="s">
        <v>8105</v>
      </c>
      <c r="AC669" t="s">
        <v>8106</v>
      </c>
      <c r="AD669" t="s">
        <v>32</v>
      </c>
      <c r="AE669" t="s">
        <v>7167</v>
      </c>
      <c r="AF669" t="s">
        <v>46835</v>
      </c>
    </row>
    <row r="670" spans="1:32" x14ac:dyDescent="0.2">
      <c r="A670">
        <v>665</v>
      </c>
      <c r="B670" t="s">
        <v>8107</v>
      </c>
      <c r="C670" t="s">
        <v>8108</v>
      </c>
      <c r="D670" t="s">
        <v>8109</v>
      </c>
      <c r="E670" t="s">
        <v>8110</v>
      </c>
      <c r="F670" t="s">
        <v>8111</v>
      </c>
      <c r="G670" t="s">
        <v>8112</v>
      </c>
      <c r="H670" t="str">
        <f>"Ube2l3"</f>
        <v>Ube2l3</v>
      </c>
      <c r="I670" t="s">
        <v>8113</v>
      </c>
      <c r="J670" t="s">
        <v>37</v>
      </c>
      <c r="K670">
        <v>10090</v>
      </c>
      <c r="L670" s="3" t="str">
        <f>HYPERLINK("http://www.uniprot.org/uniprot/P68037", "P68037")</f>
        <v>P68037</v>
      </c>
      <c r="M670" t="s">
        <v>8114</v>
      </c>
      <c r="N670" t="str">
        <f>"Ube2l3"</f>
        <v>Ube2l3</v>
      </c>
      <c r="O670" s="3" t="str">
        <f>HYPERLINK("http://www.informatics.jax.org/marker/MGI:109240", "MGI:109240")</f>
        <v>MGI:109240</v>
      </c>
      <c r="P670" t="s">
        <v>8115</v>
      </c>
      <c r="Q670" t="s">
        <v>2278</v>
      </c>
      <c r="R670" t="s">
        <v>40</v>
      </c>
      <c r="S670" t="s">
        <v>32</v>
      </c>
      <c r="T670" t="s">
        <v>32</v>
      </c>
      <c r="U670" t="s">
        <v>32</v>
      </c>
      <c r="V670" t="s">
        <v>32</v>
      </c>
      <c r="W670" t="s">
        <v>205</v>
      </c>
      <c r="X670" t="s">
        <v>515</v>
      </c>
      <c r="Y670" t="s">
        <v>4102</v>
      </c>
      <c r="Z670" t="s">
        <v>32</v>
      </c>
      <c r="AA670" t="s">
        <v>8116</v>
      </c>
      <c r="AB670" t="s">
        <v>8117</v>
      </c>
      <c r="AC670" t="s">
        <v>8118</v>
      </c>
      <c r="AD670" t="s">
        <v>1027</v>
      </c>
      <c r="AE670" t="s">
        <v>8119</v>
      </c>
      <c r="AF670" t="s">
        <v>46835</v>
      </c>
    </row>
    <row r="671" spans="1:32" x14ac:dyDescent="0.2">
      <c r="A671">
        <v>666</v>
      </c>
      <c r="B671" t="s">
        <v>8120</v>
      </c>
      <c r="C671" t="s">
        <v>8121</v>
      </c>
      <c r="D671" t="s">
        <v>32</v>
      </c>
      <c r="E671" t="s">
        <v>8122</v>
      </c>
      <c r="F671" t="s">
        <v>8123</v>
      </c>
      <c r="G671" t="s">
        <v>8124</v>
      </c>
      <c r="H671" t="str">
        <f>"Mthfd1"</f>
        <v>Mthfd1</v>
      </c>
      <c r="I671" t="s">
        <v>32</v>
      </c>
      <c r="J671" t="s">
        <v>37</v>
      </c>
      <c r="K671">
        <v>10090</v>
      </c>
      <c r="L671" s="3" t="str">
        <f>HYPERLINK("http://www.uniprot.org/uniprot/Q922D8", "Q922D8")</f>
        <v>Q922D8</v>
      </c>
      <c r="M671" t="s">
        <v>8125</v>
      </c>
      <c r="N671" t="str">
        <f>"Mthfd1"</f>
        <v>Mthfd1</v>
      </c>
      <c r="O671" s="3" t="str">
        <f>HYPERLINK("http://www.informatics.jax.org/marker/MGI:1342005", "MGI:1342005")</f>
        <v>MGI:1342005</v>
      </c>
      <c r="P671" t="s">
        <v>8126</v>
      </c>
      <c r="Q671" t="s">
        <v>8127</v>
      </c>
      <c r="R671" t="s">
        <v>418</v>
      </c>
      <c r="S671" t="s">
        <v>32</v>
      </c>
      <c r="T671" t="s">
        <v>32</v>
      </c>
      <c r="U671" t="s">
        <v>32</v>
      </c>
      <c r="V671" t="s">
        <v>32</v>
      </c>
      <c r="W671" t="s">
        <v>8128</v>
      </c>
      <c r="X671" t="s">
        <v>8129</v>
      </c>
      <c r="Y671" t="s">
        <v>157</v>
      </c>
      <c r="Z671" t="s">
        <v>32</v>
      </c>
      <c r="AA671" t="s">
        <v>8130</v>
      </c>
      <c r="AB671" t="s">
        <v>5676</v>
      </c>
      <c r="AC671" t="s">
        <v>8131</v>
      </c>
      <c r="AD671" t="s">
        <v>7201</v>
      </c>
      <c r="AE671" t="s">
        <v>7202</v>
      </c>
      <c r="AF671" t="s">
        <v>46835</v>
      </c>
    </row>
    <row r="672" spans="1:32" x14ac:dyDescent="0.2">
      <c r="A672">
        <v>667</v>
      </c>
      <c r="B672" t="s">
        <v>8132</v>
      </c>
      <c r="C672" t="s">
        <v>8133</v>
      </c>
      <c r="D672" t="s">
        <v>8134</v>
      </c>
      <c r="E672" t="s">
        <v>8135</v>
      </c>
      <c r="F672" t="s">
        <v>8136</v>
      </c>
      <c r="G672" t="s">
        <v>8137</v>
      </c>
      <c r="H672" t="str">
        <f>"Cndp2"</f>
        <v>Cndp2</v>
      </c>
      <c r="I672" t="s">
        <v>8138</v>
      </c>
      <c r="J672" t="s">
        <v>37</v>
      </c>
      <c r="K672">
        <v>10090</v>
      </c>
      <c r="L672" s="3" t="str">
        <f>HYPERLINK("http://www.uniprot.org/uniprot/Q9D1A2", "Q9D1A2")</f>
        <v>Q9D1A2</v>
      </c>
      <c r="M672" t="s">
        <v>8139</v>
      </c>
      <c r="N672" t="str">
        <f>"Cndp2"</f>
        <v>Cndp2</v>
      </c>
      <c r="O672" s="3" t="str">
        <f>HYPERLINK("http://www.informatics.jax.org/marker/MGI:1913304", "MGI:1913304")</f>
        <v>MGI:1913304</v>
      </c>
      <c r="P672" t="s">
        <v>8140</v>
      </c>
      <c r="Q672" t="s">
        <v>32</v>
      </c>
      <c r="R672" t="s">
        <v>418</v>
      </c>
      <c r="S672" t="s">
        <v>32</v>
      </c>
      <c r="T672" t="s">
        <v>32</v>
      </c>
      <c r="U672" t="s">
        <v>32</v>
      </c>
      <c r="V672" t="s">
        <v>32</v>
      </c>
      <c r="W672" t="s">
        <v>5883</v>
      </c>
      <c r="X672" t="s">
        <v>8141</v>
      </c>
      <c r="Y672" t="s">
        <v>618</v>
      </c>
      <c r="Z672" t="s">
        <v>126</v>
      </c>
      <c r="AA672" t="s">
        <v>4615</v>
      </c>
      <c r="AB672" t="s">
        <v>4202</v>
      </c>
      <c r="AC672" t="s">
        <v>8142</v>
      </c>
      <c r="AD672" t="s">
        <v>32</v>
      </c>
      <c r="AE672" t="s">
        <v>8143</v>
      </c>
      <c r="AF672" t="s">
        <v>46835</v>
      </c>
    </row>
    <row r="673" spans="1:33" x14ac:dyDescent="0.2">
      <c r="A673">
        <v>668</v>
      </c>
      <c r="B673" t="s">
        <v>8144</v>
      </c>
      <c r="C673" t="s">
        <v>8145</v>
      </c>
      <c r="D673" t="s">
        <v>32</v>
      </c>
      <c r="E673" t="s">
        <v>8146</v>
      </c>
      <c r="F673" t="s">
        <v>8147</v>
      </c>
      <c r="G673" t="s">
        <v>8148</v>
      </c>
      <c r="H673" t="str">
        <f>"Col18a1"</f>
        <v>Col18a1</v>
      </c>
      <c r="I673" t="s">
        <v>32</v>
      </c>
      <c r="J673" t="s">
        <v>37</v>
      </c>
      <c r="K673">
        <v>10090</v>
      </c>
      <c r="L673" s="3" t="str">
        <f>HYPERLINK("http://www.uniprot.org/uniprot/P39061", "P39061")</f>
        <v>P39061</v>
      </c>
      <c r="M673" t="s">
        <v>8149</v>
      </c>
      <c r="N673" t="str">
        <f>"Col18a1"</f>
        <v>Col18a1</v>
      </c>
      <c r="O673" s="3" t="str">
        <f>HYPERLINK("http://www.informatics.jax.org/marker/MGI:88451", "MGI:88451")</f>
        <v>MGI:88451</v>
      </c>
      <c r="P673" t="s">
        <v>8150</v>
      </c>
      <c r="Q673" t="s">
        <v>2784</v>
      </c>
      <c r="R673" t="s">
        <v>2785</v>
      </c>
      <c r="S673" t="s">
        <v>8151</v>
      </c>
      <c r="T673" t="s">
        <v>32</v>
      </c>
      <c r="U673" t="s">
        <v>32</v>
      </c>
      <c r="V673" t="s">
        <v>8152</v>
      </c>
      <c r="W673" t="s">
        <v>42</v>
      </c>
      <c r="X673" t="s">
        <v>32</v>
      </c>
      <c r="Y673" t="s">
        <v>8153</v>
      </c>
      <c r="Z673" t="s">
        <v>126</v>
      </c>
      <c r="AA673" t="s">
        <v>8154</v>
      </c>
      <c r="AB673" t="s">
        <v>8155</v>
      </c>
      <c r="AC673" t="s">
        <v>8156</v>
      </c>
      <c r="AD673" t="s">
        <v>32</v>
      </c>
      <c r="AE673" t="s">
        <v>8157</v>
      </c>
      <c r="AF673" t="s">
        <v>46835</v>
      </c>
    </row>
    <row r="674" spans="1:33" x14ac:dyDescent="0.2">
      <c r="A674">
        <v>669</v>
      </c>
      <c r="B674" t="s">
        <v>8158</v>
      </c>
      <c r="C674" t="s">
        <v>8159</v>
      </c>
      <c r="D674" t="s">
        <v>8160</v>
      </c>
      <c r="E674" t="s">
        <v>8161</v>
      </c>
      <c r="F674" t="s">
        <v>8162</v>
      </c>
      <c r="G674" t="s">
        <v>8163</v>
      </c>
      <c r="H674" t="str">
        <f>"Stub1"</f>
        <v>Stub1</v>
      </c>
      <c r="I674" t="s">
        <v>32</v>
      </c>
      <c r="J674" t="s">
        <v>37</v>
      </c>
      <c r="K674">
        <v>10090</v>
      </c>
      <c r="L674" s="3" t="str">
        <f>HYPERLINK("http://www.uniprot.org/uniprot/Q9WUD1", "Q9WUD1")</f>
        <v>Q9WUD1</v>
      </c>
      <c r="M674" t="s">
        <v>8164</v>
      </c>
      <c r="N674" t="str">
        <f>"Stub1"</f>
        <v>Stub1</v>
      </c>
      <c r="O674" s="3" t="str">
        <f>HYPERLINK("http://www.informatics.jax.org/marker/MGI:1891731", "MGI:1891731")</f>
        <v>MGI:1891731</v>
      </c>
      <c r="P674" t="s">
        <v>8165</v>
      </c>
      <c r="Q674" t="s">
        <v>3400</v>
      </c>
      <c r="R674" t="s">
        <v>40</v>
      </c>
      <c r="S674" t="s">
        <v>32</v>
      </c>
      <c r="T674" t="s">
        <v>32</v>
      </c>
      <c r="U674" t="s">
        <v>32</v>
      </c>
      <c r="V674" t="s">
        <v>995</v>
      </c>
      <c r="W674" t="s">
        <v>32</v>
      </c>
      <c r="X674" t="s">
        <v>515</v>
      </c>
      <c r="Y674" t="s">
        <v>1007</v>
      </c>
      <c r="Z674" t="s">
        <v>126</v>
      </c>
      <c r="AA674" t="s">
        <v>8166</v>
      </c>
      <c r="AB674" t="s">
        <v>8167</v>
      </c>
      <c r="AC674" t="s">
        <v>8168</v>
      </c>
      <c r="AD674" t="s">
        <v>1027</v>
      </c>
      <c r="AE674" t="s">
        <v>8169</v>
      </c>
      <c r="AF674" t="s">
        <v>46835</v>
      </c>
    </row>
    <row r="675" spans="1:33" x14ac:dyDescent="0.2">
      <c r="A675">
        <v>670</v>
      </c>
      <c r="B675" t="s">
        <v>8170</v>
      </c>
      <c r="C675" t="s">
        <v>8171</v>
      </c>
      <c r="D675" t="s">
        <v>8172</v>
      </c>
      <c r="E675" t="s">
        <v>8173</v>
      </c>
      <c r="F675" t="s">
        <v>8174</v>
      </c>
      <c r="G675" t="s">
        <v>8175</v>
      </c>
      <c r="H675" t="str">
        <f>"Gdi1"</f>
        <v>Gdi1</v>
      </c>
      <c r="I675" t="s">
        <v>8176</v>
      </c>
      <c r="J675" t="s">
        <v>37</v>
      </c>
      <c r="K675">
        <v>10090</v>
      </c>
      <c r="L675" s="3" t="str">
        <f>HYPERLINK("http://www.uniprot.org/uniprot/P50396", "P50396")</f>
        <v>P50396</v>
      </c>
      <c r="M675" t="s">
        <v>8177</v>
      </c>
      <c r="N675" t="str">
        <f>"Gdi1"</f>
        <v>Gdi1</v>
      </c>
      <c r="O675" s="3" t="str">
        <f>HYPERLINK("http://www.informatics.jax.org/marker/MGI:99846", "MGI:99846")</f>
        <v>MGI:99846</v>
      </c>
      <c r="P675" t="s">
        <v>8178</v>
      </c>
      <c r="Q675" t="s">
        <v>32</v>
      </c>
      <c r="R675" t="s">
        <v>8179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715</v>
      </c>
      <c r="Y675" t="s">
        <v>618</v>
      </c>
      <c r="Z675" t="s">
        <v>32</v>
      </c>
      <c r="AA675" t="s">
        <v>8180</v>
      </c>
      <c r="AB675" t="s">
        <v>8181</v>
      </c>
      <c r="AC675" t="s">
        <v>718</v>
      </c>
      <c r="AD675" t="s">
        <v>32</v>
      </c>
      <c r="AE675" t="s">
        <v>8182</v>
      </c>
      <c r="AF675" t="s">
        <v>46835</v>
      </c>
    </row>
    <row r="676" spans="1:33" x14ac:dyDescent="0.2">
      <c r="A676">
        <v>671</v>
      </c>
      <c r="B676" t="s">
        <v>8183</v>
      </c>
      <c r="C676" t="s">
        <v>8184</v>
      </c>
      <c r="D676" t="s">
        <v>32</v>
      </c>
      <c r="E676" t="s">
        <v>8185</v>
      </c>
      <c r="F676" t="s">
        <v>8186</v>
      </c>
      <c r="G676" t="s">
        <v>32</v>
      </c>
      <c r="H676" t="str">
        <f>"Pgm5"</f>
        <v>Pgm5</v>
      </c>
      <c r="I676" t="s">
        <v>32</v>
      </c>
      <c r="J676" t="s">
        <v>37</v>
      </c>
      <c r="K676">
        <v>10090</v>
      </c>
      <c r="L676" s="3" t="str">
        <f>HYPERLINK("http://www.uniprot.org/uniprot/Q8BZF8", "Q8BZF8")</f>
        <v>Q8BZF8</v>
      </c>
      <c r="M676" t="s">
        <v>8187</v>
      </c>
      <c r="N676" t="str">
        <f>"Pgm5"</f>
        <v>Pgm5</v>
      </c>
      <c r="O676" s="3" t="str">
        <f>HYPERLINK("http://www.informatics.jax.org/marker/MGI:1925668", "MGI:1925668")</f>
        <v>MGI:1925668</v>
      </c>
      <c r="P676" t="s">
        <v>8188</v>
      </c>
      <c r="Q676" t="s">
        <v>2784</v>
      </c>
      <c r="R676" t="s">
        <v>3015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t="s">
        <v>618</v>
      </c>
      <c r="Z676" t="s">
        <v>32</v>
      </c>
      <c r="AA676" t="s">
        <v>8189</v>
      </c>
      <c r="AB676" t="s">
        <v>8190</v>
      </c>
      <c r="AC676" t="s">
        <v>8191</v>
      </c>
      <c r="AD676" t="s">
        <v>32</v>
      </c>
      <c r="AE676" t="s">
        <v>32</v>
      </c>
      <c r="AF676" t="s">
        <v>46835</v>
      </c>
    </row>
    <row r="677" spans="1:33" x14ac:dyDescent="0.2">
      <c r="A677">
        <v>672</v>
      </c>
      <c r="B677" t="s">
        <v>8192</v>
      </c>
      <c r="C677" t="s">
        <v>8193</v>
      </c>
      <c r="D677" t="s">
        <v>8194</v>
      </c>
      <c r="E677" t="s">
        <v>8195</v>
      </c>
      <c r="F677" t="s">
        <v>8196</v>
      </c>
      <c r="G677" t="s">
        <v>8197</v>
      </c>
      <c r="H677" t="str">
        <f>"Lasp1"</f>
        <v>Lasp1</v>
      </c>
      <c r="I677" t="s">
        <v>8198</v>
      </c>
      <c r="J677" t="s">
        <v>37</v>
      </c>
      <c r="K677">
        <v>10090</v>
      </c>
      <c r="L677" s="3" t="str">
        <f>HYPERLINK("http://www.uniprot.org/uniprot/Q61792", "Q61792")</f>
        <v>Q61792</v>
      </c>
      <c r="M677" t="s">
        <v>8199</v>
      </c>
      <c r="N677" t="str">
        <f>"Lasp1"</f>
        <v>Lasp1</v>
      </c>
      <c r="O677" s="3" t="str">
        <f>HYPERLINK("http://www.informatics.jax.org/marker/MGI:109656", "MGI:109656")</f>
        <v>MGI:109656</v>
      </c>
      <c r="P677" t="s">
        <v>8200</v>
      </c>
      <c r="Q677" t="s">
        <v>6326</v>
      </c>
      <c r="R677" t="s">
        <v>186</v>
      </c>
      <c r="S677" t="s">
        <v>32</v>
      </c>
      <c r="T677" t="s">
        <v>32</v>
      </c>
      <c r="U677" t="s">
        <v>32</v>
      </c>
      <c r="V677" t="s">
        <v>8201</v>
      </c>
      <c r="W677" t="s">
        <v>42</v>
      </c>
      <c r="X677" t="s">
        <v>405</v>
      </c>
      <c r="Y677" t="s">
        <v>97</v>
      </c>
      <c r="Z677" t="s">
        <v>32</v>
      </c>
      <c r="AA677" t="s">
        <v>8202</v>
      </c>
      <c r="AB677" t="s">
        <v>8203</v>
      </c>
      <c r="AC677" t="s">
        <v>8204</v>
      </c>
      <c r="AD677" t="s">
        <v>32</v>
      </c>
      <c r="AE677" t="s">
        <v>32</v>
      </c>
      <c r="AF677" t="s">
        <v>46835</v>
      </c>
    </row>
    <row r="678" spans="1:33" x14ac:dyDescent="0.2">
      <c r="A678">
        <v>673</v>
      </c>
      <c r="B678" t="s">
        <v>8205</v>
      </c>
      <c r="C678" t="s">
        <v>8206</v>
      </c>
      <c r="D678" t="s">
        <v>8207</v>
      </c>
      <c r="E678" t="s">
        <v>8208</v>
      </c>
      <c r="F678" t="s">
        <v>8209</v>
      </c>
      <c r="G678" t="s">
        <v>8210</v>
      </c>
      <c r="H678" t="str">
        <f>"Get3"</f>
        <v>Get3</v>
      </c>
      <c r="I678" t="s">
        <v>32</v>
      </c>
      <c r="J678" t="s">
        <v>37</v>
      </c>
      <c r="K678">
        <v>10090</v>
      </c>
      <c r="L678" s="3" t="str">
        <f>HYPERLINK("http://www.uniprot.org/uniprot/O54984", "O54984")</f>
        <v>O54984</v>
      </c>
      <c r="M678" t="s">
        <v>8211</v>
      </c>
      <c r="N678" t="str">
        <f>"Get3"</f>
        <v>Get3</v>
      </c>
      <c r="O678" s="3" t="str">
        <f>HYPERLINK("http://www.informatics.jax.org/marker/MGI:1928379", "MGI:1928379")</f>
        <v>MGI:1928379</v>
      </c>
      <c r="P678" t="s">
        <v>8212</v>
      </c>
      <c r="Q678" t="s">
        <v>4425</v>
      </c>
      <c r="R678" t="s">
        <v>729</v>
      </c>
      <c r="S678" t="s">
        <v>32</v>
      </c>
      <c r="T678" t="s">
        <v>32</v>
      </c>
      <c r="U678" t="s">
        <v>32</v>
      </c>
      <c r="V678" t="s">
        <v>32</v>
      </c>
      <c r="W678" t="s">
        <v>2325</v>
      </c>
      <c r="X678" t="s">
        <v>343</v>
      </c>
      <c r="Y678" t="s">
        <v>78</v>
      </c>
      <c r="Z678" t="s">
        <v>32</v>
      </c>
      <c r="AA678" t="s">
        <v>8213</v>
      </c>
      <c r="AB678" t="s">
        <v>8214</v>
      </c>
      <c r="AC678" t="s">
        <v>8215</v>
      </c>
      <c r="AD678" t="s">
        <v>32</v>
      </c>
      <c r="AE678" t="s">
        <v>32</v>
      </c>
      <c r="AF678" t="s">
        <v>46835</v>
      </c>
    </row>
    <row r="679" spans="1:33" x14ac:dyDescent="0.2">
      <c r="A679">
        <v>674</v>
      </c>
      <c r="B679" t="s">
        <v>8216</v>
      </c>
      <c r="C679" t="s">
        <v>47158</v>
      </c>
      <c r="D679" t="s">
        <v>32</v>
      </c>
      <c r="E679" t="s">
        <v>46864</v>
      </c>
      <c r="F679" t="s">
        <v>46863</v>
      </c>
      <c r="G679" t="s">
        <v>32</v>
      </c>
      <c r="H679" t="s">
        <v>47289</v>
      </c>
      <c r="I679" t="s">
        <v>32</v>
      </c>
      <c r="J679" t="s">
        <v>37</v>
      </c>
      <c r="K679">
        <v>10090</v>
      </c>
      <c r="L679" s="3" t="str">
        <f>HYPERLINK(CONCATENATE("https://www.uniprot.org/uniprotkb/", AG679, "/entry"), AG679)</f>
        <v>Q3UJB0</v>
      </c>
      <c r="M679" t="s">
        <v>32</v>
      </c>
      <c r="N679" t="s">
        <v>32</v>
      </c>
      <c r="O679" s="3" t="s">
        <v>32</v>
      </c>
      <c r="P679" t="s">
        <v>32</v>
      </c>
      <c r="Q679" t="s">
        <v>32</v>
      </c>
      <c r="R679" t="s">
        <v>32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32</v>
      </c>
      <c r="Y679" t="s">
        <v>32</v>
      </c>
      <c r="Z679" t="s">
        <v>32</v>
      </c>
      <c r="AA679" t="s">
        <v>32</v>
      </c>
      <c r="AB679" t="s">
        <v>32</v>
      </c>
      <c r="AC679" t="s">
        <v>32</v>
      </c>
      <c r="AD679" t="s">
        <v>32</v>
      </c>
      <c r="AE679" t="s">
        <v>32</v>
      </c>
      <c r="AF679" t="s">
        <v>46835</v>
      </c>
      <c r="AG679" t="s">
        <v>46863</v>
      </c>
    </row>
    <row r="680" spans="1:33" x14ac:dyDescent="0.2">
      <c r="A680">
        <v>675</v>
      </c>
      <c r="B680" t="s">
        <v>8217</v>
      </c>
      <c r="C680" t="s">
        <v>8218</v>
      </c>
      <c r="D680" t="s">
        <v>8219</v>
      </c>
      <c r="E680" t="s">
        <v>8220</v>
      </c>
      <c r="F680" t="s">
        <v>8221</v>
      </c>
      <c r="G680" t="s">
        <v>32</v>
      </c>
      <c r="H680" t="str">
        <f>"Tbcd"</f>
        <v>Tbcd</v>
      </c>
      <c r="I680" t="s">
        <v>32</v>
      </c>
      <c r="J680" t="s">
        <v>37</v>
      </c>
      <c r="K680">
        <v>10090</v>
      </c>
      <c r="L680" s="3" t="str">
        <f>HYPERLINK("http://www.uniprot.org/uniprot/Q8BYA0", "Q8BYA0")</f>
        <v>Q8BYA0</v>
      </c>
      <c r="M680" t="s">
        <v>8222</v>
      </c>
      <c r="N680" t="str">
        <f>"Tbcd"</f>
        <v>Tbcd</v>
      </c>
      <c r="O680" s="3" t="str">
        <f>HYPERLINK("http://www.informatics.jax.org/marker/MGI:1919686", "MGI:1919686")</f>
        <v>MGI:1919686</v>
      </c>
      <c r="P680" t="s">
        <v>8223</v>
      </c>
      <c r="Q680" t="s">
        <v>32</v>
      </c>
      <c r="R680" t="s">
        <v>8224</v>
      </c>
      <c r="S680" t="s">
        <v>32</v>
      </c>
      <c r="T680" t="s">
        <v>32</v>
      </c>
      <c r="U680" t="s">
        <v>32</v>
      </c>
      <c r="V680" t="s">
        <v>55</v>
      </c>
      <c r="W680" t="s">
        <v>32</v>
      </c>
      <c r="X680" t="s">
        <v>8225</v>
      </c>
      <c r="Y680" t="s">
        <v>32</v>
      </c>
      <c r="Z680" t="s">
        <v>32</v>
      </c>
      <c r="AA680" t="s">
        <v>8226</v>
      </c>
      <c r="AB680" t="s">
        <v>8227</v>
      </c>
      <c r="AC680" t="s">
        <v>8228</v>
      </c>
      <c r="AD680" t="s">
        <v>32</v>
      </c>
      <c r="AE680" t="s">
        <v>32</v>
      </c>
      <c r="AF680" t="s">
        <v>46835</v>
      </c>
    </row>
    <row r="681" spans="1:33" x14ac:dyDescent="0.2">
      <c r="A681">
        <v>676</v>
      </c>
      <c r="B681" t="s">
        <v>8229</v>
      </c>
      <c r="C681" t="s">
        <v>8230</v>
      </c>
      <c r="D681" t="s">
        <v>8231</v>
      </c>
      <c r="E681" t="s">
        <v>8232</v>
      </c>
      <c r="F681" t="s">
        <v>8233</v>
      </c>
      <c r="G681" t="s">
        <v>8234</v>
      </c>
      <c r="H681" t="str">
        <f>"Ranbp2"</f>
        <v>Ranbp2</v>
      </c>
      <c r="I681" t="s">
        <v>32</v>
      </c>
      <c r="J681" t="s">
        <v>37</v>
      </c>
      <c r="K681">
        <v>10090</v>
      </c>
      <c r="L681" s="3" t="str">
        <f>HYPERLINK("http://www.uniprot.org/uniprot/Q9ERU9", "Q9ERU9")</f>
        <v>Q9ERU9</v>
      </c>
      <c r="M681" t="s">
        <v>8235</v>
      </c>
      <c r="N681" t="str">
        <f>"Ranbp2"</f>
        <v>Ranbp2</v>
      </c>
      <c r="O681" s="3" t="str">
        <f>HYPERLINK("http://www.informatics.jax.org/marker/MGI:894323", "MGI:894323")</f>
        <v>MGI:894323</v>
      </c>
      <c r="P681" t="s">
        <v>8236</v>
      </c>
      <c r="Q681" t="s">
        <v>8237</v>
      </c>
      <c r="R681" t="s">
        <v>8238</v>
      </c>
      <c r="S681" t="s">
        <v>32</v>
      </c>
      <c r="T681" t="s">
        <v>32</v>
      </c>
      <c r="U681" t="s">
        <v>32</v>
      </c>
      <c r="V681" t="s">
        <v>8239</v>
      </c>
      <c r="W681" t="s">
        <v>42</v>
      </c>
      <c r="X681" t="s">
        <v>8240</v>
      </c>
      <c r="Y681" t="s">
        <v>8241</v>
      </c>
      <c r="Z681" t="s">
        <v>32</v>
      </c>
      <c r="AA681" t="s">
        <v>8242</v>
      </c>
      <c r="AB681" t="s">
        <v>8243</v>
      </c>
      <c r="AC681" t="s">
        <v>8244</v>
      </c>
      <c r="AD681" t="s">
        <v>2286</v>
      </c>
      <c r="AE681" t="s">
        <v>8245</v>
      </c>
      <c r="AF681" t="s">
        <v>46835</v>
      </c>
    </row>
    <row r="682" spans="1:33" x14ac:dyDescent="0.2">
      <c r="A682">
        <v>677</v>
      </c>
      <c r="B682" t="s">
        <v>8246</v>
      </c>
      <c r="C682" t="s">
        <v>8247</v>
      </c>
      <c r="D682" t="s">
        <v>8248</v>
      </c>
      <c r="E682" t="s">
        <v>8249</v>
      </c>
      <c r="F682" t="s">
        <v>8250</v>
      </c>
      <c r="G682" t="s">
        <v>8251</v>
      </c>
      <c r="H682" t="str">
        <f>"Eif4e"</f>
        <v>Eif4e</v>
      </c>
      <c r="I682" t="s">
        <v>32</v>
      </c>
      <c r="J682" t="s">
        <v>37</v>
      </c>
      <c r="K682">
        <v>10090</v>
      </c>
      <c r="L682" s="3" t="str">
        <f>HYPERLINK("http://www.uniprot.org/uniprot/P63073", "P63073")</f>
        <v>P63073</v>
      </c>
      <c r="M682" t="s">
        <v>8252</v>
      </c>
      <c r="N682" t="str">
        <f>"Eif4e"</f>
        <v>Eif4e</v>
      </c>
      <c r="O682" s="3" t="str">
        <f>HYPERLINK("http://www.informatics.jax.org/marker/MGI:95305", "MGI:95305")</f>
        <v>MGI:95305</v>
      </c>
      <c r="P682" t="s">
        <v>8253</v>
      </c>
      <c r="Q682" t="s">
        <v>2324</v>
      </c>
      <c r="R682" t="s">
        <v>40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1566</v>
      </c>
      <c r="Y682" t="s">
        <v>157</v>
      </c>
      <c r="Z682" t="s">
        <v>126</v>
      </c>
      <c r="AA682" t="s">
        <v>8254</v>
      </c>
      <c r="AB682" t="s">
        <v>8255</v>
      </c>
      <c r="AC682" t="s">
        <v>8256</v>
      </c>
      <c r="AD682" t="s">
        <v>32</v>
      </c>
      <c r="AE682" t="s">
        <v>8257</v>
      </c>
      <c r="AF682" t="s">
        <v>46835</v>
      </c>
    </row>
    <row r="683" spans="1:33" x14ac:dyDescent="0.2">
      <c r="A683">
        <v>678</v>
      </c>
      <c r="B683" t="s">
        <v>8258</v>
      </c>
      <c r="C683" t="s">
        <v>8259</v>
      </c>
      <c r="D683" t="s">
        <v>8260</v>
      </c>
      <c r="E683" t="s">
        <v>8261</v>
      </c>
      <c r="F683" t="s">
        <v>8262</v>
      </c>
      <c r="G683" t="s">
        <v>8263</v>
      </c>
      <c r="H683" t="str">
        <f>"Ubr4"</f>
        <v>Ubr4</v>
      </c>
      <c r="I683" t="s">
        <v>8264</v>
      </c>
      <c r="J683" t="s">
        <v>37</v>
      </c>
      <c r="K683">
        <v>10090</v>
      </c>
      <c r="L683" s="3" t="str">
        <f>HYPERLINK("http://www.uniprot.org/uniprot/A2AN08", "A2AN08")</f>
        <v>A2AN08</v>
      </c>
      <c r="M683" t="s">
        <v>8265</v>
      </c>
      <c r="N683" t="str">
        <f>"Ubr4"</f>
        <v>Ubr4</v>
      </c>
      <c r="O683" s="3" t="str">
        <f>HYPERLINK("http://www.informatics.jax.org/marker/MGI:1916366", "MGI:1916366")</f>
        <v>MGI:1916366</v>
      </c>
      <c r="P683" t="s">
        <v>8266</v>
      </c>
      <c r="Q683" t="s">
        <v>1020</v>
      </c>
      <c r="R683" t="s">
        <v>6797</v>
      </c>
      <c r="S683" t="s">
        <v>41</v>
      </c>
      <c r="T683" t="s">
        <v>32</v>
      </c>
      <c r="U683" t="s">
        <v>32</v>
      </c>
      <c r="V683" t="s">
        <v>8267</v>
      </c>
      <c r="W683" t="s">
        <v>42</v>
      </c>
      <c r="X683" t="s">
        <v>8268</v>
      </c>
      <c r="Y683" t="s">
        <v>157</v>
      </c>
      <c r="Z683" t="s">
        <v>32</v>
      </c>
      <c r="AA683" t="s">
        <v>8269</v>
      </c>
      <c r="AB683" t="s">
        <v>8270</v>
      </c>
      <c r="AC683" t="s">
        <v>8271</v>
      </c>
      <c r="AD683" t="s">
        <v>1027</v>
      </c>
      <c r="AE683" t="s">
        <v>8272</v>
      </c>
      <c r="AF683" t="s">
        <v>46835</v>
      </c>
    </row>
    <row r="684" spans="1:33" x14ac:dyDescent="0.2">
      <c r="A684">
        <v>679</v>
      </c>
      <c r="B684" t="s">
        <v>8273</v>
      </c>
      <c r="C684" t="s">
        <v>8274</v>
      </c>
      <c r="D684" t="s">
        <v>32</v>
      </c>
      <c r="E684" t="s">
        <v>8275</v>
      </c>
      <c r="F684" t="s">
        <v>8276</v>
      </c>
      <c r="G684" t="s">
        <v>8277</v>
      </c>
      <c r="H684" t="str">
        <f>"Ptma"</f>
        <v>Ptma</v>
      </c>
      <c r="I684" t="s">
        <v>32</v>
      </c>
      <c r="J684" t="s">
        <v>37</v>
      </c>
      <c r="K684">
        <v>10090</v>
      </c>
      <c r="L684" s="3" t="str">
        <f>HYPERLINK("http://www.uniprot.org/uniprot/P26350", "P26350")</f>
        <v>P26350</v>
      </c>
      <c r="M684" t="s">
        <v>8278</v>
      </c>
      <c r="N684" t="str">
        <f>"Ptma"</f>
        <v>Ptma</v>
      </c>
      <c r="O684" s="3" t="str">
        <f>HYPERLINK("http://www.informatics.jax.org/marker/MGI:97803", "MGI:97803")</f>
        <v>MGI:97803</v>
      </c>
      <c r="P684" t="s">
        <v>8279</v>
      </c>
      <c r="Q684" t="s">
        <v>32</v>
      </c>
      <c r="R684" t="s">
        <v>2279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32</v>
      </c>
      <c r="Y684" t="s">
        <v>516</v>
      </c>
      <c r="Z684" t="s">
        <v>126</v>
      </c>
      <c r="AA684" t="s">
        <v>8280</v>
      </c>
      <c r="AB684" t="s">
        <v>8281</v>
      </c>
      <c r="AC684" t="s">
        <v>8282</v>
      </c>
      <c r="AD684" t="s">
        <v>32</v>
      </c>
      <c r="AE684" t="s">
        <v>32</v>
      </c>
      <c r="AF684" t="s">
        <v>46835</v>
      </c>
    </row>
    <row r="685" spans="1:33" x14ac:dyDescent="0.2">
      <c r="A685">
        <v>680</v>
      </c>
      <c r="B685" t="s">
        <v>8283</v>
      </c>
      <c r="C685" t="s">
        <v>8284</v>
      </c>
      <c r="D685" t="s">
        <v>32</v>
      </c>
      <c r="E685" t="s">
        <v>8285</v>
      </c>
      <c r="F685" t="s">
        <v>8286</v>
      </c>
      <c r="G685" t="s">
        <v>8287</v>
      </c>
      <c r="H685" t="str">
        <f>"Nes"</f>
        <v>Nes</v>
      </c>
      <c r="I685" t="s">
        <v>32</v>
      </c>
      <c r="J685" t="s">
        <v>37</v>
      </c>
      <c r="K685">
        <v>10090</v>
      </c>
      <c r="L685" s="3" t="str">
        <f>HYPERLINK("http://www.uniprot.org/uniprot/Q6P5H2", "Q6P5H2")</f>
        <v>Q6P5H2</v>
      </c>
      <c r="M685" t="s">
        <v>8288</v>
      </c>
      <c r="N685" t="str">
        <f>"Nes"</f>
        <v>Nes</v>
      </c>
      <c r="O685" s="3" t="str">
        <f>HYPERLINK("http://www.informatics.jax.org/marker/MGI:101784", "MGI:101784")</f>
        <v>MGI:101784</v>
      </c>
      <c r="P685" t="s">
        <v>8289</v>
      </c>
      <c r="Q685" t="s">
        <v>1429</v>
      </c>
      <c r="R685" t="s">
        <v>8290</v>
      </c>
      <c r="S685" t="s">
        <v>41</v>
      </c>
      <c r="T685" t="s">
        <v>32</v>
      </c>
      <c r="U685" t="s">
        <v>32</v>
      </c>
      <c r="V685" t="s">
        <v>290</v>
      </c>
      <c r="W685" t="s">
        <v>32</v>
      </c>
      <c r="X685" t="s">
        <v>2029</v>
      </c>
      <c r="Y685" t="s">
        <v>157</v>
      </c>
      <c r="Z685" t="s">
        <v>32</v>
      </c>
      <c r="AA685" t="s">
        <v>8291</v>
      </c>
      <c r="AB685" t="s">
        <v>8292</v>
      </c>
      <c r="AC685" t="s">
        <v>8293</v>
      </c>
      <c r="AD685" t="s">
        <v>32</v>
      </c>
      <c r="AE685" t="s">
        <v>32</v>
      </c>
      <c r="AF685" t="s">
        <v>46835</v>
      </c>
    </row>
    <row r="686" spans="1:33" x14ac:dyDescent="0.2">
      <c r="A686">
        <v>681</v>
      </c>
      <c r="B686" t="s">
        <v>8294</v>
      </c>
      <c r="C686" t="s">
        <v>8295</v>
      </c>
      <c r="D686" t="s">
        <v>8296</v>
      </c>
      <c r="E686" t="s">
        <v>8297</v>
      </c>
      <c r="F686" t="s">
        <v>8298</v>
      </c>
      <c r="G686" t="s">
        <v>8299</v>
      </c>
      <c r="H686" t="str">
        <f>"Sumo1"</f>
        <v>Sumo1</v>
      </c>
      <c r="I686" t="s">
        <v>8300</v>
      </c>
      <c r="J686" t="s">
        <v>37</v>
      </c>
      <c r="K686">
        <v>10090</v>
      </c>
      <c r="L686" s="3" t="str">
        <f>HYPERLINK("http://www.uniprot.org/uniprot/P63166", "P63166")</f>
        <v>P63166</v>
      </c>
      <c r="M686" t="s">
        <v>8301</v>
      </c>
      <c r="N686" t="str">
        <f>"Sumo1"</f>
        <v>Sumo1</v>
      </c>
      <c r="O686" s="3" t="str">
        <f>HYPERLINK("http://www.informatics.jax.org/marker/MGI:1197010", "MGI:1197010")</f>
        <v>MGI:1197010</v>
      </c>
      <c r="P686" t="s">
        <v>8302</v>
      </c>
      <c r="Q686" t="s">
        <v>8303</v>
      </c>
      <c r="R686" t="s">
        <v>276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32</v>
      </c>
      <c r="Y686" t="s">
        <v>516</v>
      </c>
      <c r="Z686" t="s">
        <v>32</v>
      </c>
      <c r="AA686" t="s">
        <v>8304</v>
      </c>
      <c r="AB686" t="s">
        <v>8305</v>
      </c>
      <c r="AC686" t="s">
        <v>8306</v>
      </c>
      <c r="AD686" t="s">
        <v>32</v>
      </c>
      <c r="AE686" t="s">
        <v>8307</v>
      </c>
      <c r="AF686" t="s">
        <v>46835</v>
      </c>
    </row>
    <row r="687" spans="1:33" x14ac:dyDescent="0.2">
      <c r="A687">
        <v>682</v>
      </c>
      <c r="B687" t="s">
        <v>8308</v>
      </c>
      <c r="C687" t="s">
        <v>8309</v>
      </c>
      <c r="D687" t="s">
        <v>32</v>
      </c>
      <c r="E687" t="s">
        <v>8310</v>
      </c>
      <c r="F687" t="s">
        <v>8311</v>
      </c>
      <c r="G687" t="s">
        <v>8312</v>
      </c>
      <c r="H687" t="str">
        <f>"Acadm"</f>
        <v>Acadm</v>
      </c>
      <c r="I687" t="s">
        <v>32</v>
      </c>
      <c r="J687" t="s">
        <v>37</v>
      </c>
      <c r="K687">
        <v>10090</v>
      </c>
      <c r="L687" s="3" t="str">
        <f>HYPERLINK("http://www.uniprot.org/uniprot/P45952", "P45952")</f>
        <v>P45952</v>
      </c>
      <c r="M687" t="s">
        <v>8313</v>
      </c>
      <c r="N687" t="str">
        <f>"Acadm"</f>
        <v>Acadm</v>
      </c>
      <c r="O687" s="3" t="str">
        <f>HYPERLINK("http://www.informatics.jax.org/marker/MGI:87867", "MGI:87867")</f>
        <v>MGI:87867</v>
      </c>
      <c r="P687" t="s">
        <v>8314</v>
      </c>
      <c r="Q687" t="s">
        <v>6214</v>
      </c>
      <c r="R687" t="s">
        <v>1038</v>
      </c>
      <c r="S687" t="s">
        <v>32</v>
      </c>
      <c r="T687" t="s">
        <v>32</v>
      </c>
      <c r="U687" t="s">
        <v>32</v>
      </c>
      <c r="V687" t="s">
        <v>1039</v>
      </c>
      <c r="W687" t="s">
        <v>4600</v>
      </c>
      <c r="X687" t="s">
        <v>600</v>
      </c>
      <c r="Y687" t="s">
        <v>157</v>
      </c>
      <c r="Z687" t="s">
        <v>32</v>
      </c>
      <c r="AA687" t="s">
        <v>8315</v>
      </c>
      <c r="AB687" t="s">
        <v>8316</v>
      </c>
      <c r="AC687" t="s">
        <v>8317</v>
      </c>
      <c r="AD687" t="s">
        <v>8318</v>
      </c>
      <c r="AE687" t="s">
        <v>8319</v>
      </c>
      <c r="AF687" t="s">
        <v>46835</v>
      </c>
    </row>
    <row r="688" spans="1:33" x14ac:dyDescent="0.2">
      <c r="A688">
        <v>683</v>
      </c>
      <c r="B688" t="s">
        <v>8320</v>
      </c>
      <c r="C688" t="s">
        <v>8321</v>
      </c>
      <c r="D688" t="s">
        <v>8322</v>
      </c>
      <c r="E688" t="s">
        <v>8323</v>
      </c>
      <c r="F688" t="s">
        <v>8324</v>
      </c>
      <c r="G688" t="s">
        <v>8325</v>
      </c>
      <c r="H688" t="str">
        <f>"Scp2"</f>
        <v>Scp2</v>
      </c>
      <c r="I688" t="s">
        <v>8326</v>
      </c>
      <c r="J688" t="s">
        <v>37</v>
      </c>
      <c r="K688">
        <v>10090</v>
      </c>
      <c r="L688" s="3" t="str">
        <f>HYPERLINK("http://www.uniprot.org/uniprot/P32020", "P32020")</f>
        <v>P32020</v>
      </c>
      <c r="M688" t="s">
        <v>8327</v>
      </c>
      <c r="N688" t="str">
        <f>"Scp2"</f>
        <v>Scp2</v>
      </c>
      <c r="O688" s="3" t="str">
        <f>HYPERLINK("http://www.informatics.jax.org/marker/MGI:98254", "MGI:98254")</f>
        <v>MGI:98254</v>
      </c>
      <c r="P688" t="s">
        <v>8328</v>
      </c>
      <c r="Q688" t="s">
        <v>8329</v>
      </c>
      <c r="R688" t="s">
        <v>8330</v>
      </c>
      <c r="S688" t="s">
        <v>477</v>
      </c>
      <c r="T688" t="s">
        <v>32</v>
      </c>
      <c r="U688" t="s">
        <v>32</v>
      </c>
      <c r="V688" t="s">
        <v>32</v>
      </c>
      <c r="W688" t="s">
        <v>584</v>
      </c>
      <c r="X688" t="s">
        <v>7304</v>
      </c>
      <c r="Y688" t="s">
        <v>157</v>
      </c>
      <c r="Z688" t="s">
        <v>32</v>
      </c>
      <c r="AA688" t="s">
        <v>8331</v>
      </c>
      <c r="AB688" t="s">
        <v>8332</v>
      </c>
      <c r="AC688" t="s">
        <v>8333</v>
      </c>
      <c r="AD688" t="s">
        <v>32</v>
      </c>
      <c r="AE688" t="s">
        <v>8334</v>
      </c>
      <c r="AF688" t="s">
        <v>46835</v>
      </c>
    </row>
    <row r="689" spans="1:32" x14ac:dyDescent="0.2">
      <c r="A689">
        <v>684</v>
      </c>
      <c r="B689" t="s">
        <v>8335</v>
      </c>
      <c r="C689" t="s">
        <v>8336</v>
      </c>
      <c r="D689" t="s">
        <v>8337</v>
      </c>
      <c r="E689" t="s">
        <v>8338</v>
      </c>
      <c r="F689" t="s">
        <v>8339</v>
      </c>
      <c r="G689" t="s">
        <v>32</v>
      </c>
      <c r="H689" t="str">
        <f>"Znf185"</f>
        <v>Znf185</v>
      </c>
      <c r="I689" t="s">
        <v>8340</v>
      </c>
      <c r="J689" t="s">
        <v>37</v>
      </c>
      <c r="K689">
        <v>10090</v>
      </c>
      <c r="L689" s="3" t="str">
        <f>HYPERLINK("http://www.uniprot.org/uniprot/Q62394", "Q62394")</f>
        <v>Q62394</v>
      </c>
      <c r="M689" t="s">
        <v>8341</v>
      </c>
      <c r="N689" t="str">
        <f>"Zfp185"</f>
        <v>Zfp185</v>
      </c>
      <c r="O689" s="3" t="str">
        <f>HYPERLINK("http://www.informatics.jax.org/marker/MGI:108095", "MGI:108095")</f>
        <v>MGI:108095</v>
      </c>
      <c r="P689" t="s">
        <v>8342</v>
      </c>
      <c r="Q689" t="s">
        <v>32</v>
      </c>
      <c r="R689" t="s">
        <v>403</v>
      </c>
      <c r="S689" t="s">
        <v>32</v>
      </c>
      <c r="T689" t="s">
        <v>32</v>
      </c>
      <c r="U689" t="s">
        <v>32</v>
      </c>
      <c r="V689" t="s">
        <v>5575</v>
      </c>
      <c r="W689" t="s">
        <v>42</v>
      </c>
      <c r="X689" t="s">
        <v>32</v>
      </c>
      <c r="Y689" t="s">
        <v>618</v>
      </c>
      <c r="Z689" t="s">
        <v>32</v>
      </c>
      <c r="AA689" t="s">
        <v>32</v>
      </c>
      <c r="AB689" t="s">
        <v>8343</v>
      </c>
      <c r="AC689" t="s">
        <v>8344</v>
      </c>
      <c r="AD689" t="s">
        <v>32</v>
      </c>
      <c r="AE689" t="s">
        <v>32</v>
      </c>
      <c r="AF689" t="s">
        <v>46835</v>
      </c>
    </row>
    <row r="690" spans="1:32" x14ac:dyDescent="0.2">
      <c r="A690">
        <v>685</v>
      </c>
      <c r="B690" t="s">
        <v>8345</v>
      </c>
      <c r="C690" t="s">
        <v>8346</v>
      </c>
      <c r="D690" t="s">
        <v>8347</v>
      </c>
      <c r="E690" t="s">
        <v>8348</v>
      </c>
      <c r="F690" t="s">
        <v>8349</v>
      </c>
      <c r="G690" t="s">
        <v>8350</v>
      </c>
      <c r="H690" t="str">
        <f>"Cox5a"</f>
        <v>Cox5a</v>
      </c>
      <c r="I690" t="s">
        <v>32</v>
      </c>
      <c r="J690" t="s">
        <v>37</v>
      </c>
      <c r="K690">
        <v>10090</v>
      </c>
      <c r="L690" s="3" t="str">
        <f>HYPERLINK("http://www.uniprot.org/uniprot/P12787", "P12787")</f>
        <v>P12787</v>
      </c>
      <c r="M690" t="s">
        <v>8351</v>
      </c>
      <c r="N690" t="str">
        <f>"Cox5a"</f>
        <v>Cox5a</v>
      </c>
      <c r="O690" s="3" t="str">
        <f>HYPERLINK("http://www.informatics.jax.org/marker/MGI:88474", "MGI:88474")</f>
        <v>MGI:88474</v>
      </c>
      <c r="P690" t="s">
        <v>8352</v>
      </c>
      <c r="Q690" t="s">
        <v>32</v>
      </c>
      <c r="R690" t="s">
        <v>3858</v>
      </c>
      <c r="S690" t="s">
        <v>32</v>
      </c>
      <c r="T690" t="s">
        <v>32</v>
      </c>
      <c r="U690" t="s">
        <v>32</v>
      </c>
      <c r="V690" t="s">
        <v>1039</v>
      </c>
      <c r="W690" t="s">
        <v>6053</v>
      </c>
      <c r="X690" t="s">
        <v>32</v>
      </c>
      <c r="Y690" t="s">
        <v>157</v>
      </c>
      <c r="Z690" t="s">
        <v>126</v>
      </c>
      <c r="AA690" t="s">
        <v>3860</v>
      </c>
      <c r="AB690" t="s">
        <v>4524</v>
      </c>
      <c r="AC690" t="s">
        <v>8353</v>
      </c>
      <c r="AD690" t="s">
        <v>3862</v>
      </c>
      <c r="AE690" t="s">
        <v>3863</v>
      </c>
      <c r="AF690" t="s">
        <v>46835</v>
      </c>
    </row>
    <row r="691" spans="1:32" x14ac:dyDescent="0.2">
      <c r="A691">
        <v>686</v>
      </c>
      <c r="B691" t="s">
        <v>8354</v>
      </c>
      <c r="C691" t="s">
        <v>8355</v>
      </c>
      <c r="D691" t="s">
        <v>8356</v>
      </c>
      <c r="E691" t="s">
        <v>8357</v>
      </c>
      <c r="F691" t="s">
        <v>8358</v>
      </c>
      <c r="G691" t="s">
        <v>8359</v>
      </c>
      <c r="H691" t="str">
        <f>"Sucla2"</f>
        <v>Sucla2</v>
      </c>
      <c r="I691" t="s">
        <v>32</v>
      </c>
      <c r="J691" t="s">
        <v>37</v>
      </c>
      <c r="K691">
        <v>10090</v>
      </c>
      <c r="L691" s="3" t="str">
        <f>HYPERLINK("http://www.uniprot.org/uniprot/Q9Z2I9", "Q9Z2I9")</f>
        <v>Q9Z2I9</v>
      </c>
      <c r="M691" t="s">
        <v>8360</v>
      </c>
      <c r="N691" t="str">
        <f>"Sucla2"</f>
        <v>Sucla2</v>
      </c>
      <c r="O691" s="3" t="str">
        <f>HYPERLINK("http://www.informatics.jax.org/marker/MGI:1306775", "MGI:1306775")</f>
        <v>MGI:1306775</v>
      </c>
      <c r="P691" t="s">
        <v>8361</v>
      </c>
      <c r="Q691" t="s">
        <v>1756</v>
      </c>
      <c r="R691" t="s">
        <v>1038</v>
      </c>
      <c r="S691" t="s">
        <v>32</v>
      </c>
      <c r="T691" t="s">
        <v>32</v>
      </c>
      <c r="U691" t="s">
        <v>32</v>
      </c>
      <c r="V691" t="s">
        <v>1039</v>
      </c>
      <c r="W691" t="s">
        <v>1266</v>
      </c>
      <c r="X691" t="s">
        <v>1022</v>
      </c>
      <c r="Y691" t="s">
        <v>157</v>
      </c>
      <c r="Z691" t="s">
        <v>32</v>
      </c>
      <c r="AA691" t="s">
        <v>6003</v>
      </c>
      <c r="AB691" t="s">
        <v>8362</v>
      </c>
      <c r="AC691" t="s">
        <v>8363</v>
      </c>
      <c r="AD691" t="s">
        <v>8364</v>
      </c>
      <c r="AE691" t="s">
        <v>3390</v>
      </c>
      <c r="AF691" t="s">
        <v>46835</v>
      </c>
    </row>
    <row r="692" spans="1:32" x14ac:dyDescent="0.2">
      <c r="A692">
        <v>687</v>
      </c>
      <c r="B692" t="s">
        <v>8365</v>
      </c>
      <c r="C692" t="s">
        <v>8366</v>
      </c>
      <c r="D692" t="s">
        <v>8367</v>
      </c>
      <c r="E692" t="s">
        <v>8368</v>
      </c>
      <c r="F692" t="s">
        <v>8369</v>
      </c>
      <c r="G692" t="s">
        <v>8370</v>
      </c>
      <c r="H692" t="str">
        <f>"Parp1"</f>
        <v>Parp1</v>
      </c>
      <c r="I692" t="s">
        <v>8371</v>
      </c>
      <c r="J692" t="s">
        <v>37</v>
      </c>
      <c r="K692">
        <v>10090</v>
      </c>
      <c r="L692" s="3" t="str">
        <f>HYPERLINK("http://www.uniprot.org/uniprot/P11103", "P11103")</f>
        <v>P11103</v>
      </c>
      <c r="M692" t="s">
        <v>8372</v>
      </c>
      <c r="N692" t="str">
        <f>"Parp1"</f>
        <v>Parp1</v>
      </c>
      <c r="O692" s="3" t="str">
        <f>HYPERLINK("http://www.informatics.jax.org/marker/MGI:1340806", "MGI:1340806")</f>
        <v>MGI:1340806</v>
      </c>
      <c r="P692" t="s">
        <v>8373</v>
      </c>
      <c r="Q692" t="s">
        <v>8374</v>
      </c>
      <c r="R692" t="s">
        <v>8375</v>
      </c>
      <c r="S692" t="s">
        <v>477</v>
      </c>
      <c r="T692" t="s">
        <v>32</v>
      </c>
      <c r="U692" t="s">
        <v>32</v>
      </c>
      <c r="V692" t="s">
        <v>3791</v>
      </c>
      <c r="W692" t="s">
        <v>1653</v>
      </c>
      <c r="X692" t="s">
        <v>8376</v>
      </c>
      <c r="Y692" t="s">
        <v>8377</v>
      </c>
      <c r="Z692" t="s">
        <v>32</v>
      </c>
      <c r="AA692" t="s">
        <v>8378</v>
      </c>
      <c r="AB692" t="s">
        <v>8379</v>
      </c>
      <c r="AC692" t="s">
        <v>8380</v>
      </c>
      <c r="AD692" t="s">
        <v>32</v>
      </c>
      <c r="AE692" t="s">
        <v>8381</v>
      </c>
      <c r="AF692" t="s">
        <v>46835</v>
      </c>
    </row>
    <row r="693" spans="1:32" x14ac:dyDescent="0.2">
      <c r="A693">
        <v>688</v>
      </c>
      <c r="B693" t="s">
        <v>8382</v>
      </c>
      <c r="C693" t="s">
        <v>8383</v>
      </c>
      <c r="D693" t="s">
        <v>8384</v>
      </c>
      <c r="E693" t="s">
        <v>8385</v>
      </c>
      <c r="F693" t="s">
        <v>8386</v>
      </c>
      <c r="G693" t="s">
        <v>8387</v>
      </c>
      <c r="H693" t="str">
        <f>"Sf3a1"</f>
        <v>Sf3a1</v>
      </c>
      <c r="I693" t="s">
        <v>32</v>
      </c>
      <c r="J693" t="s">
        <v>37</v>
      </c>
      <c r="K693">
        <v>10090</v>
      </c>
      <c r="L693" s="3" t="str">
        <f>HYPERLINK("http://www.uniprot.org/uniprot/Q8K4Z5", "Q8K4Z5")</f>
        <v>Q8K4Z5</v>
      </c>
      <c r="M693" t="s">
        <v>8388</v>
      </c>
      <c r="N693" t="str">
        <f>"Sf3a1"</f>
        <v>Sf3a1</v>
      </c>
      <c r="O693" s="3" t="str">
        <f>HYPERLINK("http://www.informatics.jax.org/marker/MGI:1914715", "MGI:1914715")</f>
        <v>MGI:1914715</v>
      </c>
      <c r="P693" t="s">
        <v>8389</v>
      </c>
      <c r="Q693" t="s">
        <v>2139</v>
      </c>
      <c r="R693" t="s">
        <v>2140</v>
      </c>
      <c r="S693" t="s">
        <v>32</v>
      </c>
      <c r="T693" t="s">
        <v>32</v>
      </c>
      <c r="U693" t="s">
        <v>32</v>
      </c>
      <c r="V693" t="s">
        <v>55</v>
      </c>
      <c r="W693" t="s">
        <v>32</v>
      </c>
      <c r="X693" t="s">
        <v>32</v>
      </c>
      <c r="Y693" t="s">
        <v>516</v>
      </c>
      <c r="Z693" t="s">
        <v>126</v>
      </c>
      <c r="AA693" t="s">
        <v>8390</v>
      </c>
      <c r="AB693" t="s">
        <v>8391</v>
      </c>
      <c r="AC693" t="s">
        <v>4711</v>
      </c>
      <c r="AD693" t="s">
        <v>32</v>
      </c>
      <c r="AE693" t="s">
        <v>946</v>
      </c>
      <c r="AF693" t="s">
        <v>46835</v>
      </c>
    </row>
    <row r="694" spans="1:32" x14ac:dyDescent="0.2">
      <c r="A694">
        <v>689</v>
      </c>
      <c r="B694" t="s">
        <v>8392</v>
      </c>
      <c r="C694" t="s">
        <v>8393</v>
      </c>
      <c r="D694" t="s">
        <v>8394</v>
      </c>
      <c r="E694" t="s">
        <v>8395</v>
      </c>
      <c r="F694" t="s">
        <v>8396</v>
      </c>
      <c r="G694" t="s">
        <v>8397</v>
      </c>
      <c r="H694" t="str">
        <f>"Dynll2"</f>
        <v>Dynll2</v>
      </c>
      <c r="I694" t="s">
        <v>8398</v>
      </c>
      <c r="J694" t="s">
        <v>37</v>
      </c>
      <c r="K694">
        <v>10090</v>
      </c>
      <c r="L694" s="3" t="str">
        <f>HYPERLINK("http://www.uniprot.org/uniprot/Q9D0M5", "Q9D0M5")</f>
        <v>Q9D0M5</v>
      </c>
      <c r="M694" t="s">
        <v>8399</v>
      </c>
      <c r="N694" t="str">
        <f>"Dynll2"</f>
        <v>Dynll2</v>
      </c>
      <c r="O694" s="3" t="str">
        <f>HYPERLINK("http://www.informatics.jax.org/marker/MGI:1915347", "MGI:1915347")</f>
        <v>MGI:1915347</v>
      </c>
      <c r="P694" t="s">
        <v>8400</v>
      </c>
      <c r="Q694" t="s">
        <v>4425</v>
      </c>
      <c r="R694" t="s">
        <v>828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830</v>
      </c>
      <c r="Y694" t="s">
        <v>32</v>
      </c>
      <c r="Z694" t="s">
        <v>126</v>
      </c>
      <c r="AA694" t="s">
        <v>8401</v>
      </c>
      <c r="AB694" t="s">
        <v>8402</v>
      </c>
      <c r="AC694" t="s">
        <v>8403</v>
      </c>
      <c r="AD694" t="s">
        <v>32</v>
      </c>
      <c r="AE694" t="s">
        <v>8404</v>
      </c>
      <c r="AF694" t="s">
        <v>46835</v>
      </c>
    </row>
    <row r="695" spans="1:32" x14ac:dyDescent="0.2">
      <c r="A695">
        <v>690</v>
      </c>
      <c r="B695" t="s">
        <v>8405</v>
      </c>
      <c r="C695" t="s">
        <v>8406</v>
      </c>
      <c r="D695" t="s">
        <v>8407</v>
      </c>
      <c r="E695" t="s">
        <v>8408</v>
      </c>
      <c r="F695" t="s">
        <v>8409</v>
      </c>
      <c r="G695" t="s">
        <v>8410</v>
      </c>
      <c r="H695" t="str">
        <f>"Psmb1"</f>
        <v>Psmb1</v>
      </c>
      <c r="I695" t="s">
        <v>32</v>
      </c>
      <c r="J695" t="s">
        <v>37</v>
      </c>
      <c r="K695">
        <v>10090</v>
      </c>
      <c r="L695" s="3" t="str">
        <f>HYPERLINK("http://www.uniprot.org/uniprot/O09061", "O09061")</f>
        <v>O09061</v>
      </c>
      <c r="M695" t="s">
        <v>8411</v>
      </c>
      <c r="N695" t="str">
        <f>"Psmb1"</f>
        <v>Psmb1</v>
      </c>
      <c r="O695" s="3" t="str">
        <f>HYPERLINK("http://www.informatics.jax.org/marker/MGI:104884", "MGI:104884")</f>
        <v>MGI:104884</v>
      </c>
      <c r="P695" t="s">
        <v>4514</v>
      </c>
      <c r="Q695" t="s">
        <v>32</v>
      </c>
      <c r="R695" t="s">
        <v>2586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t="s">
        <v>372</v>
      </c>
      <c r="Z695" t="s">
        <v>126</v>
      </c>
      <c r="AA695" t="s">
        <v>4190</v>
      </c>
      <c r="AB695" t="s">
        <v>6750</v>
      </c>
      <c r="AC695" t="s">
        <v>32</v>
      </c>
      <c r="AD695" t="s">
        <v>32</v>
      </c>
      <c r="AE695" t="s">
        <v>2590</v>
      </c>
      <c r="AF695" t="s">
        <v>46835</v>
      </c>
    </row>
    <row r="696" spans="1:32" x14ac:dyDescent="0.2">
      <c r="A696">
        <v>691</v>
      </c>
      <c r="B696" t="s">
        <v>8412</v>
      </c>
      <c r="C696" t="s">
        <v>8413</v>
      </c>
      <c r="D696" t="s">
        <v>8414</v>
      </c>
      <c r="E696" t="s">
        <v>8415</v>
      </c>
      <c r="F696" t="s">
        <v>8416</v>
      </c>
      <c r="G696" t="s">
        <v>8417</v>
      </c>
      <c r="H696" t="str">
        <f>"Tars1"</f>
        <v>Tars1</v>
      </c>
      <c r="I696" t="s">
        <v>8418</v>
      </c>
      <c r="J696" t="s">
        <v>37</v>
      </c>
      <c r="K696">
        <v>10090</v>
      </c>
      <c r="L696" s="3" t="str">
        <f>HYPERLINK("http://www.uniprot.org/uniprot/Q9D0R2", "Q9D0R2")</f>
        <v>Q9D0R2</v>
      </c>
      <c r="M696" t="s">
        <v>8419</v>
      </c>
      <c r="N696" t="str">
        <f>"Tars"</f>
        <v>Tars</v>
      </c>
      <c r="O696" s="3" t="str">
        <f>HYPERLINK("http://www.informatics.jax.org/marker/MGI:106314", "MGI:106314")</f>
        <v>MGI:106314</v>
      </c>
      <c r="P696" t="s">
        <v>8420</v>
      </c>
      <c r="Q696" t="s">
        <v>260</v>
      </c>
      <c r="R696" t="s">
        <v>418</v>
      </c>
      <c r="S696" t="s">
        <v>32</v>
      </c>
      <c r="T696" t="s">
        <v>32</v>
      </c>
      <c r="U696" t="s">
        <v>32</v>
      </c>
      <c r="V696" t="s">
        <v>32</v>
      </c>
      <c r="W696" t="s">
        <v>205</v>
      </c>
      <c r="X696" t="s">
        <v>2983</v>
      </c>
      <c r="Y696" t="s">
        <v>1023</v>
      </c>
      <c r="Z696" t="s">
        <v>32</v>
      </c>
      <c r="AA696" t="s">
        <v>8421</v>
      </c>
      <c r="AB696" t="s">
        <v>2172</v>
      </c>
      <c r="AC696" t="s">
        <v>8422</v>
      </c>
      <c r="AD696" t="s">
        <v>32</v>
      </c>
      <c r="AE696" t="s">
        <v>32</v>
      </c>
      <c r="AF696" t="s">
        <v>46835</v>
      </c>
    </row>
    <row r="697" spans="1:32" x14ac:dyDescent="0.2">
      <c r="A697">
        <v>692</v>
      </c>
      <c r="B697" t="s">
        <v>8423</v>
      </c>
      <c r="C697" t="s">
        <v>8424</v>
      </c>
      <c r="D697" t="s">
        <v>8425</v>
      </c>
      <c r="E697" t="s">
        <v>8426</v>
      </c>
      <c r="F697" t="s">
        <v>8427</v>
      </c>
      <c r="G697" t="s">
        <v>8428</v>
      </c>
      <c r="H697" t="str">
        <f>"Hmga2"</f>
        <v>Hmga2</v>
      </c>
      <c r="I697" t="s">
        <v>8429</v>
      </c>
      <c r="J697" t="s">
        <v>37</v>
      </c>
      <c r="K697">
        <v>10090</v>
      </c>
      <c r="L697" s="3" t="str">
        <f>HYPERLINK("http://www.uniprot.org/uniprot/P52927", "P52927")</f>
        <v>P52927</v>
      </c>
      <c r="M697" t="s">
        <v>8430</v>
      </c>
      <c r="N697" t="str">
        <f>"Hmga2"</f>
        <v>Hmga2</v>
      </c>
      <c r="O697" s="3" t="str">
        <f>HYPERLINK("http://www.informatics.jax.org/marker/MGI:101761", "MGI:101761")</f>
        <v>MGI:101761</v>
      </c>
      <c r="P697" t="s">
        <v>8431</v>
      </c>
      <c r="Q697" t="s">
        <v>8432</v>
      </c>
      <c r="R697" t="s">
        <v>2279</v>
      </c>
      <c r="S697" t="s">
        <v>32</v>
      </c>
      <c r="T697" t="s">
        <v>32</v>
      </c>
      <c r="U697" t="s">
        <v>32</v>
      </c>
      <c r="V697" t="s">
        <v>55</v>
      </c>
      <c r="W697" t="s">
        <v>32</v>
      </c>
      <c r="X697" t="s">
        <v>247</v>
      </c>
      <c r="Y697" t="s">
        <v>157</v>
      </c>
      <c r="Z697" t="s">
        <v>32</v>
      </c>
      <c r="AA697" t="s">
        <v>8433</v>
      </c>
      <c r="AB697" t="s">
        <v>8434</v>
      </c>
      <c r="AC697" t="s">
        <v>8435</v>
      </c>
      <c r="AD697" t="s">
        <v>32</v>
      </c>
      <c r="AE697" t="s">
        <v>8436</v>
      </c>
      <c r="AF697" t="s">
        <v>46835</v>
      </c>
    </row>
    <row r="698" spans="1:32" x14ac:dyDescent="0.2">
      <c r="A698">
        <v>693</v>
      </c>
      <c r="B698" t="s">
        <v>8437</v>
      </c>
      <c r="C698" t="s">
        <v>8438</v>
      </c>
      <c r="D698" t="s">
        <v>8439</v>
      </c>
      <c r="E698" t="s">
        <v>8440</v>
      </c>
      <c r="F698" t="s">
        <v>8441</v>
      </c>
      <c r="G698" t="s">
        <v>8442</v>
      </c>
      <c r="H698" t="str">
        <f>"Eif3f"</f>
        <v>Eif3f</v>
      </c>
      <c r="I698" t="s">
        <v>8443</v>
      </c>
      <c r="J698" t="s">
        <v>37</v>
      </c>
      <c r="K698">
        <v>10090</v>
      </c>
      <c r="L698" s="3" t="str">
        <f>HYPERLINK("http://www.uniprot.org/uniprot/Q9DCH4", "Q9DCH4")</f>
        <v>Q9DCH4</v>
      </c>
      <c r="M698" t="s">
        <v>8444</v>
      </c>
      <c r="N698" t="str">
        <f>"Eif3f"</f>
        <v>Eif3f</v>
      </c>
      <c r="O698" s="3" t="str">
        <f>HYPERLINK("http://www.informatics.jax.org/marker/MGI:1913335", "MGI:1913335")</f>
        <v>MGI:1913335</v>
      </c>
      <c r="P698" t="s">
        <v>8445</v>
      </c>
      <c r="Q698" t="s">
        <v>8446</v>
      </c>
      <c r="R698" t="s">
        <v>418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8447</v>
      </c>
      <c r="Y698" t="s">
        <v>157</v>
      </c>
      <c r="Z698" t="s">
        <v>32</v>
      </c>
      <c r="AA698" t="s">
        <v>8448</v>
      </c>
      <c r="AB698" t="s">
        <v>2677</v>
      </c>
      <c r="AC698" t="s">
        <v>8449</v>
      </c>
      <c r="AD698" t="s">
        <v>32</v>
      </c>
      <c r="AE698" t="s">
        <v>1570</v>
      </c>
      <c r="AF698" t="s">
        <v>46835</v>
      </c>
    </row>
    <row r="699" spans="1:32" x14ac:dyDescent="0.2">
      <c r="A699">
        <v>694</v>
      </c>
      <c r="B699" t="s">
        <v>8450</v>
      </c>
      <c r="C699" t="s">
        <v>8451</v>
      </c>
      <c r="D699" t="s">
        <v>32</v>
      </c>
      <c r="E699" t="s">
        <v>8452</v>
      </c>
      <c r="F699" t="s">
        <v>8453</v>
      </c>
      <c r="G699" t="s">
        <v>8454</v>
      </c>
      <c r="H699" t="str">
        <f>"Gyg1"</f>
        <v>Gyg1</v>
      </c>
      <c r="I699" t="s">
        <v>8455</v>
      </c>
      <c r="J699" t="s">
        <v>37</v>
      </c>
      <c r="K699">
        <v>10090</v>
      </c>
      <c r="L699" s="3" t="str">
        <f>HYPERLINK("http://www.uniprot.org/uniprot/Q9R062", "Q9R062")</f>
        <v>Q9R062</v>
      </c>
      <c r="M699" t="s">
        <v>8456</v>
      </c>
      <c r="N699" t="str">
        <f>"Gyg"</f>
        <v>Gyg</v>
      </c>
      <c r="O699" s="3" t="str">
        <f>HYPERLINK("http://www.informatics.jax.org/marker/MGI:1351614", "MGI:1351614")</f>
        <v>MGI:1351614</v>
      </c>
      <c r="P699" t="s">
        <v>8457</v>
      </c>
      <c r="Q699" t="s">
        <v>8458</v>
      </c>
      <c r="R699" t="s">
        <v>32</v>
      </c>
      <c r="S699" t="s">
        <v>32</v>
      </c>
      <c r="T699" t="s">
        <v>32</v>
      </c>
      <c r="U699" t="s">
        <v>32</v>
      </c>
      <c r="V699" t="s">
        <v>32</v>
      </c>
      <c r="W699" t="s">
        <v>5883</v>
      </c>
      <c r="X699" t="s">
        <v>515</v>
      </c>
      <c r="Y699" t="s">
        <v>372</v>
      </c>
      <c r="Z699" t="s">
        <v>32</v>
      </c>
      <c r="AA699" t="s">
        <v>8459</v>
      </c>
      <c r="AB699" t="s">
        <v>32</v>
      </c>
      <c r="AC699" t="s">
        <v>8460</v>
      </c>
      <c r="AD699" t="s">
        <v>7492</v>
      </c>
      <c r="AE699" t="s">
        <v>8461</v>
      </c>
      <c r="AF699" t="s">
        <v>46835</v>
      </c>
    </row>
    <row r="700" spans="1:32" x14ac:dyDescent="0.2">
      <c r="A700">
        <v>695</v>
      </c>
      <c r="B700" t="s">
        <v>8462</v>
      </c>
      <c r="C700" t="s">
        <v>8463</v>
      </c>
      <c r="D700" t="s">
        <v>8464</v>
      </c>
      <c r="E700" t="s">
        <v>8465</v>
      </c>
      <c r="F700" t="s">
        <v>8466</v>
      </c>
      <c r="G700" t="s">
        <v>32</v>
      </c>
      <c r="H700" t="str">
        <f>"Septin7"</f>
        <v>Septin7</v>
      </c>
      <c r="I700" t="s">
        <v>32</v>
      </c>
      <c r="J700" t="s">
        <v>37</v>
      </c>
      <c r="K700">
        <v>10090</v>
      </c>
      <c r="L700" s="3" t="str">
        <f>HYPERLINK("http://www.uniprot.org/uniprot/O55131", "O55131")</f>
        <v>O55131</v>
      </c>
      <c r="M700" t="s">
        <v>8467</v>
      </c>
      <c r="N700" t="str">
        <f>"Septin7"</f>
        <v>Septin7</v>
      </c>
      <c r="O700" s="3" t="str">
        <f>HYPERLINK("http://www.informatics.jax.org/marker/MGI:1335094", "MGI:1335094")</f>
        <v>MGI:1335094</v>
      </c>
      <c r="P700" t="s">
        <v>8468</v>
      </c>
      <c r="Q700" t="s">
        <v>6114</v>
      </c>
      <c r="R700" t="s">
        <v>8469</v>
      </c>
      <c r="S700" t="s">
        <v>32</v>
      </c>
      <c r="T700" t="s">
        <v>32</v>
      </c>
      <c r="U700" t="s">
        <v>32</v>
      </c>
      <c r="V700" t="s">
        <v>290</v>
      </c>
      <c r="W700" t="s">
        <v>261</v>
      </c>
      <c r="X700" t="s">
        <v>32</v>
      </c>
      <c r="Y700" t="s">
        <v>157</v>
      </c>
      <c r="Z700" t="s">
        <v>32</v>
      </c>
      <c r="AA700" t="s">
        <v>8470</v>
      </c>
      <c r="AB700" t="s">
        <v>8471</v>
      </c>
      <c r="AC700" t="s">
        <v>8472</v>
      </c>
      <c r="AD700" t="s">
        <v>32</v>
      </c>
      <c r="AE700" t="s">
        <v>8473</v>
      </c>
      <c r="AF700" t="s">
        <v>46835</v>
      </c>
    </row>
    <row r="701" spans="1:32" x14ac:dyDescent="0.2">
      <c r="A701">
        <v>696</v>
      </c>
      <c r="B701" t="s">
        <v>8474</v>
      </c>
      <c r="C701" t="s">
        <v>8475</v>
      </c>
      <c r="D701" t="s">
        <v>8476</v>
      </c>
      <c r="E701" t="s">
        <v>8477</v>
      </c>
      <c r="F701" t="s">
        <v>8478</v>
      </c>
      <c r="G701" t="s">
        <v>8479</v>
      </c>
      <c r="H701" t="str">
        <f>"Snrpb"</f>
        <v>Snrpb</v>
      </c>
      <c r="I701" t="s">
        <v>32</v>
      </c>
      <c r="J701" t="s">
        <v>37</v>
      </c>
      <c r="K701">
        <v>10090</v>
      </c>
      <c r="L701" s="3" t="str">
        <f>HYPERLINK("http://www.uniprot.org/uniprot/P27048", "P27048")</f>
        <v>P27048</v>
      </c>
      <c r="M701" t="s">
        <v>8480</v>
      </c>
      <c r="N701" t="str">
        <f>"Snrpb"</f>
        <v>Snrpb</v>
      </c>
      <c r="O701" s="3" t="str">
        <f>HYPERLINK("http://www.informatics.jax.org/marker/MGI:98342", "MGI:98342")</f>
        <v>MGI:98342</v>
      </c>
      <c r="P701" t="s">
        <v>8481</v>
      </c>
      <c r="Q701" t="s">
        <v>2139</v>
      </c>
      <c r="R701" t="s">
        <v>2219</v>
      </c>
      <c r="S701" t="s">
        <v>32</v>
      </c>
      <c r="T701" t="s">
        <v>32</v>
      </c>
      <c r="U701" t="s">
        <v>32</v>
      </c>
      <c r="V701" t="s">
        <v>55</v>
      </c>
      <c r="W701" t="s">
        <v>32</v>
      </c>
      <c r="X701" t="s">
        <v>1129</v>
      </c>
      <c r="Y701" t="s">
        <v>175</v>
      </c>
      <c r="Z701" t="s">
        <v>32</v>
      </c>
      <c r="AA701" t="s">
        <v>8482</v>
      </c>
      <c r="AB701" t="s">
        <v>8483</v>
      </c>
      <c r="AC701" t="s">
        <v>8484</v>
      </c>
      <c r="AD701" t="s">
        <v>32</v>
      </c>
      <c r="AE701" t="s">
        <v>8082</v>
      </c>
      <c r="AF701" t="s">
        <v>46835</v>
      </c>
    </row>
    <row r="702" spans="1:32" x14ac:dyDescent="0.2">
      <c r="A702">
        <v>697</v>
      </c>
      <c r="B702" t="s">
        <v>8485</v>
      </c>
      <c r="C702" t="s">
        <v>8486</v>
      </c>
      <c r="D702" t="s">
        <v>8487</v>
      </c>
      <c r="E702" t="s">
        <v>8488</v>
      </c>
      <c r="F702" t="s">
        <v>8489</v>
      </c>
      <c r="G702" t="s">
        <v>8490</v>
      </c>
      <c r="H702" t="str">
        <f>"Psmd7"</f>
        <v>Psmd7</v>
      </c>
      <c r="I702" t="s">
        <v>8491</v>
      </c>
      <c r="J702" t="s">
        <v>37</v>
      </c>
      <c r="K702">
        <v>10090</v>
      </c>
      <c r="L702" s="3" t="str">
        <f>HYPERLINK("http://www.uniprot.org/uniprot/P26516", "P26516")</f>
        <v>P26516</v>
      </c>
      <c r="M702" t="s">
        <v>8492</v>
      </c>
      <c r="N702" t="str">
        <f>"Psmd7"</f>
        <v>Psmd7</v>
      </c>
      <c r="O702" s="3" t="str">
        <f>HYPERLINK("http://www.informatics.jax.org/marker/MGI:1351511", "MGI:1351511")</f>
        <v>MGI:1351511</v>
      </c>
      <c r="P702" t="s">
        <v>3980</v>
      </c>
      <c r="Q702" t="s">
        <v>32</v>
      </c>
      <c r="R702" t="s">
        <v>3565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t="s">
        <v>461</v>
      </c>
      <c r="Z702" t="s">
        <v>32</v>
      </c>
      <c r="AA702" t="s">
        <v>5542</v>
      </c>
      <c r="AB702" t="s">
        <v>8493</v>
      </c>
      <c r="AC702" t="s">
        <v>8494</v>
      </c>
      <c r="AD702" t="s">
        <v>32</v>
      </c>
      <c r="AE702" t="s">
        <v>2590</v>
      </c>
      <c r="AF702" t="s">
        <v>46835</v>
      </c>
    </row>
    <row r="703" spans="1:32" x14ac:dyDescent="0.2">
      <c r="A703">
        <v>698</v>
      </c>
      <c r="B703" t="s">
        <v>8495</v>
      </c>
      <c r="C703" t="s">
        <v>8496</v>
      </c>
      <c r="D703" t="s">
        <v>8497</v>
      </c>
      <c r="E703" t="s">
        <v>8498</v>
      </c>
      <c r="F703" t="s">
        <v>8499</v>
      </c>
      <c r="G703" t="s">
        <v>8500</v>
      </c>
      <c r="H703" t="str">
        <f>"Akap2"</f>
        <v>Akap2</v>
      </c>
      <c r="I703" t="s">
        <v>32</v>
      </c>
      <c r="J703" t="s">
        <v>37</v>
      </c>
      <c r="K703">
        <v>10090</v>
      </c>
      <c r="L703" s="3" t="str">
        <f>HYPERLINK("http://www.uniprot.org/uniprot/O54931", "O54931")</f>
        <v>O54931</v>
      </c>
      <c r="M703" t="s">
        <v>8501</v>
      </c>
      <c r="N703" t="str">
        <f>"Akap2"</f>
        <v>Akap2</v>
      </c>
      <c r="O703" s="3" t="str">
        <f>HYPERLINK("http://www.informatics.jax.org/marker/MGI:1306795", "MGI:1306795")</f>
        <v>MGI:1306795</v>
      </c>
      <c r="P703" t="s">
        <v>8502</v>
      </c>
      <c r="Q703" t="s">
        <v>32</v>
      </c>
      <c r="R703" t="s">
        <v>32</v>
      </c>
      <c r="S703" t="s">
        <v>8503</v>
      </c>
      <c r="T703" t="s">
        <v>32</v>
      </c>
      <c r="U703" t="s">
        <v>32</v>
      </c>
      <c r="V703" t="s">
        <v>290</v>
      </c>
      <c r="W703" t="s">
        <v>32</v>
      </c>
      <c r="X703" t="s">
        <v>32</v>
      </c>
      <c r="Y703" t="s">
        <v>1007</v>
      </c>
      <c r="Z703" t="s">
        <v>32</v>
      </c>
      <c r="AA703" t="s">
        <v>32</v>
      </c>
      <c r="AB703" t="s">
        <v>32</v>
      </c>
      <c r="AC703" t="s">
        <v>32</v>
      </c>
      <c r="AD703" t="s">
        <v>32</v>
      </c>
      <c r="AE703" t="s">
        <v>32</v>
      </c>
      <c r="AF703" t="s">
        <v>46835</v>
      </c>
    </row>
    <row r="704" spans="1:32" x14ac:dyDescent="0.2">
      <c r="A704">
        <v>699</v>
      </c>
      <c r="B704" t="s">
        <v>8504</v>
      </c>
      <c r="C704" t="s">
        <v>8505</v>
      </c>
      <c r="D704" t="s">
        <v>8506</v>
      </c>
      <c r="E704" t="s">
        <v>8507</v>
      </c>
      <c r="F704" t="s">
        <v>8508</v>
      </c>
      <c r="G704" t="s">
        <v>32</v>
      </c>
      <c r="H704" t="str">
        <f>"Sparc"</f>
        <v>Sparc</v>
      </c>
      <c r="I704" t="s">
        <v>32</v>
      </c>
      <c r="J704" t="s">
        <v>37</v>
      </c>
      <c r="K704">
        <v>10090</v>
      </c>
      <c r="L704" s="3" t="str">
        <f>HYPERLINK("http://www.uniprot.org/uniprot/P07214", "P07214")</f>
        <v>P07214</v>
      </c>
      <c r="M704" t="s">
        <v>8509</v>
      </c>
      <c r="N704" t="str">
        <f>"Sparc"</f>
        <v>Sparc</v>
      </c>
      <c r="O704" s="3" t="str">
        <f>HYPERLINK("http://www.informatics.jax.org/marker/MGI:98373", "MGI:98373")</f>
        <v>MGI:98373</v>
      </c>
      <c r="P704" t="s">
        <v>8510</v>
      </c>
      <c r="Q704" t="s">
        <v>32</v>
      </c>
      <c r="R704" t="s">
        <v>2785</v>
      </c>
      <c r="S704" t="s">
        <v>32</v>
      </c>
      <c r="T704" t="s">
        <v>32</v>
      </c>
      <c r="U704" t="s">
        <v>32</v>
      </c>
      <c r="V704" t="s">
        <v>811</v>
      </c>
      <c r="W704" t="s">
        <v>8511</v>
      </c>
      <c r="X704" t="s">
        <v>32</v>
      </c>
      <c r="Y704" t="s">
        <v>5275</v>
      </c>
      <c r="Z704" t="s">
        <v>32</v>
      </c>
      <c r="AA704" t="s">
        <v>8512</v>
      </c>
      <c r="AB704" t="s">
        <v>8513</v>
      </c>
      <c r="AC704" t="s">
        <v>8514</v>
      </c>
      <c r="AD704" t="s">
        <v>32</v>
      </c>
      <c r="AE704" t="s">
        <v>8515</v>
      </c>
      <c r="AF704" t="s">
        <v>46835</v>
      </c>
    </row>
    <row r="705" spans="1:32" x14ac:dyDescent="0.2">
      <c r="A705">
        <v>700</v>
      </c>
      <c r="B705" t="s">
        <v>8516</v>
      </c>
      <c r="C705" t="s">
        <v>8517</v>
      </c>
      <c r="D705" t="s">
        <v>32</v>
      </c>
      <c r="E705" t="s">
        <v>8518</v>
      </c>
      <c r="F705" t="s">
        <v>8519</v>
      </c>
      <c r="G705" t="s">
        <v>32</v>
      </c>
      <c r="H705" t="str">
        <f>"Marcks"</f>
        <v>Marcks</v>
      </c>
      <c r="I705" t="s">
        <v>8520</v>
      </c>
      <c r="J705" t="s">
        <v>37</v>
      </c>
      <c r="K705">
        <v>10090</v>
      </c>
      <c r="L705" s="3" t="str">
        <f>HYPERLINK("http://www.uniprot.org/uniprot/P26645", "P26645")</f>
        <v>P26645</v>
      </c>
      <c r="M705" t="s">
        <v>8521</v>
      </c>
      <c r="N705" t="str">
        <f>"Marcks"</f>
        <v>Marcks</v>
      </c>
      <c r="O705" s="3" t="str">
        <f>HYPERLINK("http://www.informatics.jax.org/marker/MGI:96907", "MGI:96907")</f>
        <v>MGI:96907</v>
      </c>
      <c r="P705" t="s">
        <v>8522</v>
      </c>
      <c r="Q705" t="s">
        <v>32</v>
      </c>
      <c r="R705" t="s">
        <v>2028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5561</v>
      </c>
      <c r="Y705" t="s">
        <v>5562</v>
      </c>
      <c r="Z705" t="s">
        <v>126</v>
      </c>
      <c r="AA705" t="s">
        <v>8523</v>
      </c>
      <c r="AB705" t="s">
        <v>8524</v>
      </c>
      <c r="AC705" t="s">
        <v>8525</v>
      </c>
      <c r="AD705" t="s">
        <v>32</v>
      </c>
      <c r="AE705" t="s">
        <v>8526</v>
      </c>
      <c r="AF705" t="s">
        <v>46835</v>
      </c>
    </row>
    <row r="706" spans="1:32" x14ac:dyDescent="0.2">
      <c r="A706">
        <v>701</v>
      </c>
      <c r="B706" t="s">
        <v>8527</v>
      </c>
      <c r="C706" t="s">
        <v>8528</v>
      </c>
      <c r="D706" t="s">
        <v>8529</v>
      </c>
      <c r="E706" t="s">
        <v>8530</v>
      </c>
      <c r="F706" t="s">
        <v>8531</v>
      </c>
      <c r="G706" t="s">
        <v>8532</v>
      </c>
      <c r="H706" t="str">
        <f>"Erp44"</f>
        <v>Erp44</v>
      </c>
      <c r="I706" t="s">
        <v>8533</v>
      </c>
      <c r="J706" t="s">
        <v>37</v>
      </c>
      <c r="K706">
        <v>10090</v>
      </c>
      <c r="L706" s="3" t="str">
        <f>HYPERLINK("http://www.uniprot.org/uniprot/Q9D1Q6", "Q9D1Q6")</f>
        <v>Q9D1Q6</v>
      </c>
      <c r="M706" t="s">
        <v>8534</v>
      </c>
      <c r="N706" t="str">
        <f>"Erp44"</f>
        <v>Erp44</v>
      </c>
      <c r="O706" s="3" t="str">
        <f>HYPERLINK("http://www.informatics.jax.org/marker/MGI:1923549", "MGI:1923549")</f>
        <v>MGI:1923549</v>
      </c>
      <c r="P706" t="s">
        <v>8535</v>
      </c>
      <c r="Q706" t="s">
        <v>32</v>
      </c>
      <c r="R706" t="s">
        <v>671</v>
      </c>
      <c r="S706" t="s">
        <v>32</v>
      </c>
      <c r="T706" t="s">
        <v>32</v>
      </c>
      <c r="U706" t="s">
        <v>32</v>
      </c>
      <c r="V706" t="s">
        <v>811</v>
      </c>
      <c r="W706" t="s">
        <v>32</v>
      </c>
      <c r="X706" t="s">
        <v>388</v>
      </c>
      <c r="Y706" t="s">
        <v>494</v>
      </c>
      <c r="Z706" t="s">
        <v>32</v>
      </c>
      <c r="AA706" t="s">
        <v>8536</v>
      </c>
      <c r="AB706" t="s">
        <v>8537</v>
      </c>
      <c r="AC706" t="s">
        <v>8538</v>
      </c>
      <c r="AD706" t="s">
        <v>32</v>
      </c>
      <c r="AE706" t="s">
        <v>548</v>
      </c>
      <c r="AF706" t="s">
        <v>46835</v>
      </c>
    </row>
    <row r="707" spans="1:32" x14ac:dyDescent="0.2">
      <c r="A707">
        <v>702</v>
      </c>
      <c r="B707" t="s">
        <v>8539</v>
      </c>
      <c r="C707" t="s">
        <v>8540</v>
      </c>
      <c r="D707" t="s">
        <v>8541</v>
      </c>
      <c r="E707" t="s">
        <v>8542</v>
      </c>
      <c r="F707" t="s">
        <v>8543</v>
      </c>
      <c r="G707" t="s">
        <v>8544</v>
      </c>
      <c r="H707" t="str">
        <f>"Pcbp2"</f>
        <v>Pcbp2</v>
      </c>
      <c r="I707" t="s">
        <v>8545</v>
      </c>
      <c r="J707" t="s">
        <v>37</v>
      </c>
      <c r="K707">
        <v>10090</v>
      </c>
      <c r="L707" s="3" t="str">
        <f>HYPERLINK("http://www.uniprot.org/uniprot/Q61990", "Q61990")</f>
        <v>Q61990</v>
      </c>
      <c r="M707" t="s">
        <v>8546</v>
      </c>
      <c r="N707" t="str">
        <f>"Pcbp2"</f>
        <v>Pcbp2</v>
      </c>
      <c r="O707" s="3" t="str">
        <f>HYPERLINK("http://www.informatics.jax.org/marker/MGI:108202", "MGI:108202")</f>
        <v>MGI:108202</v>
      </c>
      <c r="P707" t="s">
        <v>8547</v>
      </c>
      <c r="Q707" t="s">
        <v>8548</v>
      </c>
      <c r="R707" t="s">
        <v>40</v>
      </c>
      <c r="S707" t="s">
        <v>41</v>
      </c>
      <c r="T707" t="s">
        <v>32</v>
      </c>
      <c r="U707" t="s">
        <v>32</v>
      </c>
      <c r="V707" t="s">
        <v>55</v>
      </c>
      <c r="W707" t="s">
        <v>32</v>
      </c>
      <c r="X707" t="s">
        <v>1993</v>
      </c>
      <c r="Y707" t="s">
        <v>1007</v>
      </c>
      <c r="Z707" t="s">
        <v>32</v>
      </c>
      <c r="AA707" t="s">
        <v>8549</v>
      </c>
      <c r="AB707" t="s">
        <v>8550</v>
      </c>
      <c r="AC707" t="s">
        <v>8551</v>
      </c>
      <c r="AD707" t="s">
        <v>32</v>
      </c>
      <c r="AE707" t="s">
        <v>946</v>
      </c>
      <c r="AF707" t="s">
        <v>46835</v>
      </c>
    </row>
    <row r="708" spans="1:32" x14ac:dyDescent="0.2">
      <c r="A708">
        <v>703</v>
      </c>
      <c r="B708" t="s">
        <v>8552</v>
      </c>
      <c r="C708" t="s">
        <v>8553</v>
      </c>
      <c r="D708" t="s">
        <v>8554</v>
      </c>
      <c r="E708" t="s">
        <v>8555</v>
      </c>
      <c r="F708" t="s">
        <v>8556</v>
      </c>
      <c r="G708" t="s">
        <v>8557</v>
      </c>
      <c r="H708" t="str">
        <f>"Phb2"</f>
        <v>Phb2</v>
      </c>
      <c r="I708" t="s">
        <v>32</v>
      </c>
      <c r="J708" t="s">
        <v>37</v>
      </c>
      <c r="K708">
        <v>10090</v>
      </c>
      <c r="L708" s="3" t="str">
        <f>HYPERLINK("http://www.uniprot.org/uniprot/O35129", "O35129")</f>
        <v>O35129</v>
      </c>
      <c r="M708" t="s">
        <v>8558</v>
      </c>
      <c r="N708" t="str">
        <f>"Phb2"</f>
        <v>Phb2</v>
      </c>
      <c r="O708" s="3" t="str">
        <f>HYPERLINK("http://www.informatics.jax.org/marker/MGI:102520", "MGI:102520")</f>
        <v>MGI:102520</v>
      </c>
      <c r="P708" t="s">
        <v>8559</v>
      </c>
      <c r="Q708" t="s">
        <v>4152</v>
      </c>
      <c r="R708" t="s">
        <v>6813</v>
      </c>
      <c r="S708" t="s">
        <v>32</v>
      </c>
      <c r="T708" t="s">
        <v>32</v>
      </c>
      <c r="U708" t="s">
        <v>32</v>
      </c>
      <c r="V708" t="s">
        <v>290</v>
      </c>
      <c r="W708" t="s">
        <v>32</v>
      </c>
      <c r="X708" t="s">
        <v>8560</v>
      </c>
      <c r="Y708" t="s">
        <v>157</v>
      </c>
      <c r="Z708" t="s">
        <v>32</v>
      </c>
      <c r="AA708" t="s">
        <v>8561</v>
      </c>
      <c r="AB708" t="s">
        <v>8562</v>
      </c>
      <c r="AC708" t="s">
        <v>8563</v>
      </c>
      <c r="AD708" t="s">
        <v>32</v>
      </c>
      <c r="AE708" t="s">
        <v>8564</v>
      </c>
      <c r="AF708" t="s">
        <v>46835</v>
      </c>
    </row>
    <row r="709" spans="1:32" x14ac:dyDescent="0.2">
      <c r="A709">
        <v>704</v>
      </c>
      <c r="B709" t="s">
        <v>8565</v>
      </c>
      <c r="C709" t="s">
        <v>8566</v>
      </c>
      <c r="D709" t="s">
        <v>8567</v>
      </c>
      <c r="E709" t="s">
        <v>8568</v>
      </c>
      <c r="F709" t="s">
        <v>8569</v>
      </c>
      <c r="G709" t="s">
        <v>8570</v>
      </c>
      <c r="H709" t="str">
        <f>"Gpx1"</f>
        <v>Gpx1</v>
      </c>
      <c r="I709" t="s">
        <v>32</v>
      </c>
      <c r="J709" t="s">
        <v>37</v>
      </c>
      <c r="K709">
        <v>10090</v>
      </c>
      <c r="L709" s="3" t="str">
        <f>HYPERLINK("http://www.uniprot.org/uniprot/P11352", "P11352")</f>
        <v>P11352</v>
      </c>
      <c r="M709" t="s">
        <v>8571</v>
      </c>
      <c r="N709" t="str">
        <f>"Gpx1"</f>
        <v>Gpx1</v>
      </c>
      <c r="O709" s="3" t="str">
        <f>HYPERLINK("http://www.informatics.jax.org/marker/MGI:104887", "MGI:104887")</f>
        <v>MGI:104887</v>
      </c>
      <c r="P709" t="s">
        <v>8572</v>
      </c>
      <c r="Q709" t="s">
        <v>598</v>
      </c>
      <c r="R709" t="s">
        <v>418</v>
      </c>
      <c r="S709" t="s">
        <v>8573</v>
      </c>
      <c r="T709" t="s">
        <v>32</v>
      </c>
      <c r="U709" t="s">
        <v>32</v>
      </c>
      <c r="V709" t="s">
        <v>32</v>
      </c>
      <c r="W709" t="s">
        <v>32</v>
      </c>
      <c r="X709" t="s">
        <v>8574</v>
      </c>
      <c r="Y709" t="s">
        <v>157</v>
      </c>
      <c r="Z709" t="s">
        <v>32</v>
      </c>
      <c r="AA709" t="s">
        <v>8575</v>
      </c>
      <c r="AB709" t="s">
        <v>8576</v>
      </c>
      <c r="AC709" t="s">
        <v>8577</v>
      </c>
      <c r="AD709" t="s">
        <v>32</v>
      </c>
      <c r="AE709" t="s">
        <v>8578</v>
      </c>
      <c r="AF709" t="s">
        <v>46835</v>
      </c>
    </row>
    <row r="710" spans="1:32" x14ac:dyDescent="0.2">
      <c r="A710">
        <v>705</v>
      </c>
      <c r="B710" t="s">
        <v>8579</v>
      </c>
      <c r="C710" t="s">
        <v>8580</v>
      </c>
      <c r="D710" t="s">
        <v>32</v>
      </c>
      <c r="E710" t="s">
        <v>8581</v>
      </c>
      <c r="F710" t="s">
        <v>8582</v>
      </c>
      <c r="G710" t="s">
        <v>8583</v>
      </c>
      <c r="H710" t="str">
        <f>"Rps15a"</f>
        <v>Rps15a</v>
      </c>
      <c r="I710" t="s">
        <v>32</v>
      </c>
      <c r="J710" t="s">
        <v>37</v>
      </c>
      <c r="K710">
        <v>10090</v>
      </c>
      <c r="L710" s="3" t="str">
        <f>HYPERLINK("http://www.uniprot.org/uniprot/P62245", "P62245")</f>
        <v>P62245</v>
      </c>
      <c r="M710" t="s">
        <v>8584</v>
      </c>
      <c r="N710" t="str">
        <f>"Rps15a"</f>
        <v>Rps15a</v>
      </c>
      <c r="O710" s="3" t="str">
        <f>HYPERLINK("http://www.informatics.jax.org/marker/MGI:2389091", "MGI:2389091")</f>
        <v>MGI:2389091</v>
      </c>
      <c r="P710" t="s">
        <v>8585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447</v>
      </c>
      <c r="Y710" t="s">
        <v>32</v>
      </c>
      <c r="Z710" t="s">
        <v>126</v>
      </c>
      <c r="AA710" t="s">
        <v>8586</v>
      </c>
      <c r="AB710" t="s">
        <v>8587</v>
      </c>
      <c r="AC710" t="s">
        <v>1010</v>
      </c>
      <c r="AD710" t="s">
        <v>32</v>
      </c>
      <c r="AE710" t="s">
        <v>691</v>
      </c>
      <c r="AF710" t="s">
        <v>46835</v>
      </c>
    </row>
    <row r="711" spans="1:32" x14ac:dyDescent="0.2">
      <c r="A711">
        <v>706</v>
      </c>
      <c r="B711" t="s">
        <v>8588</v>
      </c>
      <c r="C711" t="s">
        <v>8589</v>
      </c>
      <c r="D711" t="s">
        <v>8590</v>
      </c>
      <c r="E711" t="s">
        <v>8591</v>
      </c>
      <c r="F711" t="s">
        <v>8592</v>
      </c>
      <c r="G711" t="s">
        <v>8593</v>
      </c>
      <c r="H711" t="str">
        <f>"Nsun2"</f>
        <v>Nsun2</v>
      </c>
      <c r="I711" t="s">
        <v>32</v>
      </c>
      <c r="J711" t="s">
        <v>37</v>
      </c>
      <c r="K711">
        <v>10090</v>
      </c>
      <c r="L711" s="3" t="str">
        <f>HYPERLINK("http://www.uniprot.org/uniprot/Q1HFZ0", "Q1HFZ0")</f>
        <v>Q1HFZ0</v>
      </c>
      <c r="M711" t="s">
        <v>8594</v>
      </c>
      <c r="N711" t="str">
        <f>"Nsun2"</f>
        <v>Nsun2</v>
      </c>
      <c r="O711" s="3" t="str">
        <f>HYPERLINK("http://www.informatics.jax.org/marker/MGI:107252", "MGI:107252")</f>
        <v>MGI:107252</v>
      </c>
      <c r="P711" t="s">
        <v>8595</v>
      </c>
      <c r="Q711" t="s">
        <v>8596</v>
      </c>
      <c r="R711" t="s">
        <v>8597</v>
      </c>
      <c r="S711" t="s">
        <v>41</v>
      </c>
      <c r="T711" t="s">
        <v>32</v>
      </c>
      <c r="U711" t="s">
        <v>32</v>
      </c>
      <c r="V711" t="s">
        <v>32</v>
      </c>
      <c r="W711" t="s">
        <v>1705</v>
      </c>
      <c r="X711" t="s">
        <v>8598</v>
      </c>
      <c r="Y711" t="s">
        <v>516</v>
      </c>
      <c r="Z711" t="s">
        <v>32</v>
      </c>
      <c r="AA711" t="s">
        <v>8599</v>
      </c>
      <c r="AB711" t="s">
        <v>8600</v>
      </c>
      <c r="AC711" t="s">
        <v>8601</v>
      </c>
      <c r="AD711" t="s">
        <v>32</v>
      </c>
      <c r="AE711" t="s">
        <v>32</v>
      </c>
      <c r="AF711" t="s">
        <v>46835</v>
      </c>
    </row>
    <row r="712" spans="1:32" x14ac:dyDescent="0.2">
      <c r="A712">
        <v>707</v>
      </c>
      <c r="B712" t="s">
        <v>8602</v>
      </c>
      <c r="C712" t="s">
        <v>8603</v>
      </c>
      <c r="D712" t="s">
        <v>32</v>
      </c>
      <c r="E712" t="s">
        <v>8604</v>
      </c>
      <c r="F712" t="s">
        <v>8605</v>
      </c>
      <c r="G712" t="s">
        <v>8606</v>
      </c>
      <c r="H712" t="str">
        <f>"Plaa"</f>
        <v>Plaa</v>
      </c>
      <c r="I712" t="s">
        <v>8607</v>
      </c>
      <c r="J712" t="s">
        <v>37</v>
      </c>
      <c r="K712">
        <v>10090</v>
      </c>
      <c r="L712" s="3" t="str">
        <f>HYPERLINK("http://www.uniprot.org/uniprot/P27612", "P27612")</f>
        <v>P27612</v>
      </c>
      <c r="M712" t="s">
        <v>8608</v>
      </c>
      <c r="N712" t="str">
        <f>"Plaa"</f>
        <v>Plaa</v>
      </c>
      <c r="O712" s="3" t="str">
        <f>HYPERLINK("http://www.informatics.jax.org/marker/MGI:104810", "MGI:104810")</f>
        <v>MGI:104810</v>
      </c>
      <c r="P712" t="s">
        <v>8609</v>
      </c>
      <c r="Q712" t="s">
        <v>1429</v>
      </c>
      <c r="R712" t="s">
        <v>8610</v>
      </c>
      <c r="S712" t="s">
        <v>32</v>
      </c>
      <c r="T712" t="s">
        <v>32</v>
      </c>
      <c r="U712" t="s">
        <v>32</v>
      </c>
      <c r="V712" t="s">
        <v>1910</v>
      </c>
      <c r="W712" t="s">
        <v>32</v>
      </c>
      <c r="X712" t="s">
        <v>2029</v>
      </c>
      <c r="Y712" t="s">
        <v>157</v>
      </c>
      <c r="Z712" t="s">
        <v>32</v>
      </c>
      <c r="AA712" t="s">
        <v>8611</v>
      </c>
      <c r="AB712" t="s">
        <v>8612</v>
      </c>
      <c r="AC712" t="s">
        <v>8613</v>
      </c>
      <c r="AD712" t="s">
        <v>32</v>
      </c>
      <c r="AE712" t="s">
        <v>32</v>
      </c>
      <c r="AF712" t="s">
        <v>46835</v>
      </c>
    </row>
    <row r="713" spans="1:32" x14ac:dyDescent="0.2">
      <c r="A713">
        <v>708</v>
      </c>
      <c r="B713" t="s">
        <v>8614</v>
      </c>
      <c r="C713" t="s">
        <v>8615</v>
      </c>
      <c r="D713" t="s">
        <v>8616</v>
      </c>
      <c r="E713" t="s">
        <v>8617</v>
      </c>
      <c r="F713" t="s">
        <v>8618</v>
      </c>
      <c r="G713" t="s">
        <v>8619</v>
      </c>
      <c r="H713" t="str">
        <f>"As3mt"</f>
        <v>As3mt</v>
      </c>
      <c r="I713" t="s">
        <v>8620</v>
      </c>
      <c r="J713" t="s">
        <v>37</v>
      </c>
      <c r="K713">
        <v>10090</v>
      </c>
      <c r="L713" s="3" t="str">
        <f>HYPERLINK("http://www.uniprot.org/uniprot/Q91WU5", "Q91WU5")</f>
        <v>Q91WU5</v>
      </c>
      <c r="M713" t="s">
        <v>8621</v>
      </c>
      <c r="N713" t="str">
        <f>"As3mt"</f>
        <v>As3mt</v>
      </c>
      <c r="O713" s="3" t="str">
        <f>HYPERLINK("http://www.informatics.jax.org/marker/MGI:1929882", "MGI:1929882")</f>
        <v>MGI:1929882</v>
      </c>
      <c r="P713" t="s">
        <v>8622</v>
      </c>
      <c r="Q713" t="s">
        <v>32</v>
      </c>
      <c r="R713" t="s">
        <v>418</v>
      </c>
      <c r="S713" t="s">
        <v>32</v>
      </c>
      <c r="T713" t="s">
        <v>32</v>
      </c>
      <c r="U713" t="s">
        <v>32</v>
      </c>
      <c r="V713" t="s">
        <v>32</v>
      </c>
      <c r="W713" t="s">
        <v>1705</v>
      </c>
      <c r="X713" t="s">
        <v>1706</v>
      </c>
      <c r="Y713" t="s">
        <v>618</v>
      </c>
      <c r="Z713" t="s">
        <v>32</v>
      </c>
      <c r="AA713" t="s">
        <v>8623</v>
      </c>
      <c r="AB713" t="s">
        <v>5676</v>
      </c>
      <c r="AC713" t="s">
        <v>8624</v>
      </c>
      <c r="AD713" t="s">
        <v>32</v>
      </c>
      <c r="AE713" t="s">
        <v>8625</v>
      </c>
      <c r="AF713" t="s">
        <v>46835</v>
      </c>
    </row>
    <row r="714" spans="1:32" x14ac:dyDescent="0.2">
      <c r="A714">
        <v>709</v>
      </c>
      <c r="B714" t="s">
        <v>8626</v>
      </c>
      <c r="C714" t="s">
        <v>8627</v>
      </c>
      <c r="D714" t="s">
        <v>8628</v>
      </c>
      <c r="E714" t="s">
        <v>8629</v>
      </c>
      <c r="F714" t="s">
        <v>8630</v>
      </c>
      <c r="G714" t="s">
        <v>8631</v>
      </c>
      <c r="H714" t="str">
        <f>"Cdc37"</f>
        <v>Cdc37</v>
      </c>
      <c r="I714" t="s">
        <v>32</v>
      </c>
      <c r="J714" t="s">
        <v>37</v>
      </c>
      <c r="K714">
        <v>10090</v>
      </c>
      <c r="L714" s="3" t="str">
        <f>HYPERLINK("http://www.uniprot.org/uniprot/Q61081", "Q61081")</f>
        <v>Q61081</v>
      </c>
      <c r="M714" t="s">
        <v>8632</v>
      </c>
      <c r="N714" t="str">
        <f>"Cdc37"</f>
        <v>Cdc37</v>
      </c>
      <c r="O714" s="3" t="str">
        <f>HYPERLINK("http://www.informatics.jax.org/marker/MGI:109531", "MGI:109531")</f>
        <v>MGI:109531</v>
      </c>
      <c r="P714" t="s">
        <v>8633</v>
      </c>
      <c r="Q714" t="s">
        <v>32</v>
      </c>
      <c r="R714" t="s">
        <v>418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388</v>
      </c>
      <c r="Y714" t="s">
        <v>1023</v>
      </c>
      <c r="Z714" t="s">
        <v>32</v>
      </c>
      <c r="AA714" t="s">
        <v>8634</v>
      </c>
      <c r="AB714" t="s">
        <v>8635</v>
      </c>
      <c r="AC714" t="s">
        <v>8636</v>
      </c>
      <c r="AD714" t="s">
        <v>32</v>
      </c>
      <c r="AE714" t="s">
        <v>8637</v>
      </c>
      <c r="AF714" t="s">
        <v>46835</v>
      </c>
    </row>
    <row r="715" spans="1:32" x14ac:dyDescent="0.2">
      <c r="A715">
        <v>710</v>
      </c>
      <c r="B715" t="s">
        <v>8638</v>
      </c>
      <c r="C715" t="s">
        <v>8639</v>
      </c>
      <c r="D715" t="s">
        <v>8640</v>
      </c>
      <c r="E715" t="s">
        <v>8641</v>
      </c>
      <c r="F715" t="s">
        <v>8642</v>
      </c>
      <c r="G715" t="s">
        <v>32</v>
      </c>
      <c r="H715" t="str">
        <f>"Hsd17b10"</f>
        <v>Hsd17b10</v>
      </c>
      <c r="I715" t="s">
        <v>8643</v>
      </c>
      <c r="J715" t="s">
        <v>37</v>
      </c>
      <c r="K715">
        <v>10090</v>
      </c>
      <c r="L715" s="3" t="str">
        <f>HYPERLINK("http://www.uniprot.org/uniprot/O08756", "O08756")</f>
        <v>O08756</v>
      </c>
      <c r="M715" t="s">
        <v>8644</v>
      </c>
      <c r="N715" t="str">
        <f>"Hsd17b10"</f>
        <v>Hsd17b10</v>
      </c>
      <c r="O715" s="3" t="str">
        <f>HYPERLINK("http://www.informatics.jax.org/marker/MGI:1333871", "MGI:1333871")</f>
        <v>MGI:1333871</v>
      </c>
      <c r="P715" t="s">
        <v>8645</v>
      </c>
      <c r="Q715" t="s">
        <v>8646</v>
      </c>
      <c r="R715" t="s">
        <v>8647</v>
      </c>
      <c r="S715" t="s">
        <v>32</v>
      </c>
      <c r="T715" t="s">
        <v>32</v>
      </c>
      <c r="U715" t="s">
        <v>32</v>
      </c>
      <c r="V715" t="s">
        <v>32</v>
      </c>
      <c r="W715" t="s">
        <v>325</v>
      </c>
      <c r="X715" t="s">
        <v>600</v>
      </c>
      <c r="Y715" t="s">
        <v>78</v>
      </c>
      <c r="Z715" t="s">
        <v>32</v>
      </c>
      <c r="AA715" t="s">
        <v>8648</v>
      </c>
      <c r="AB715" t="s">
        <v>8649</v>
      </c>
      <c r="AC715" t="s">
        <v>8650</v>
      </c>
      <c r="AD715" t="s">
        <v>8651</v>
      </c>
      <c r="AE715" t="s">
        <v>8652</v>
      </c>
      <c r="AF715" t="s">
        <v>46835</v>
      </c>
    </row>
    <row r="716" spans="1:32" x14ac:dyDescent="0.2">
      <c r="A716">
        <v>711</v>
      </c>
      <c r="B716" t="s">
        <v>8653</v>
      </c>
      <c r="C716" t="s">
        <v>8654</v>
      </c>
      <c r="D716" t="s">
        <v>32</v>
      </c>
      <c r="E716" t="s">
        <v>8655</v>
      </c>
      <c r="F716" t="s">
        <v>8656</v>
      </c>
      <c r="G716" t="s">
        <v>8657</v>
      </c>
      <c r="H716" t="str">
        <f>"Etfb"</f>
        <v>Etfb</v>
      </c>
      <c r="I716" t="s">
        <v>32</v>
      </c>
      <c r="J716" t="s">
        <v>37</v>
      </c>
      <c r="K716">
        <v>10090</v>
      </c>
      <c r="L716" s="3" t="str">
        <f>HYPERLINK("http://www.uniprot.org/uniprot/Q9DCW4", "Q9DCW4")</f>
        <v>Q9DCW4</v>
      </c>
      <c r="M716" t="s">
        <v>8658</v>
      </c>
      <c r="N716" t="str">
        <f>"Etfb"</f>
        <v>Etfb</v>
      </c>
      <c r="O716" s="3" t="str">
        <f>HYPERLINK("http://www.informatics.jax.org/marker/MGI:106098", "MGI:106098")</f>
        <v>MGI:106098</v>
      </c>
      <c r="P716" t="s">
        <v>8659</v>
      </c>
      <c r="Q716" t="s">
        <v>4599</v>
      </c>
      <c r="R716" t="s">
        <v>1038</v>
      </c>
      <c r="S716" t="s">
        <v>32</v>
      </c>
      <c r="T716" t="s">
        <v>32</v>
      </c>
      <c r="U716" t="s">
        <v>32</v>
      </c>
      <c r="V716" t="s">
        <v>32</v>
      </c>
      <c r="W716" t="s">
        <v>5169</v>
      </c>
      <c r="X716" t="s">
        <v>32</v>
      </c>
      <c r="Y716" t="s">
        <v>97</v>
      </c>
      <c r="Z716" t="s">
        <v>32</v>
      </c>
      <c r="AA716" t="s">
        <v>4601</v>
      </c>
      <c r="AB716" t="s">
        <v>4602</v>
      </c>
      <c r="AC716" t="s">
        <v>8660</v>
      </c>
      <c r="AD716" t="s">
        <v>32</v>
      </c>
      <c r="AE716" t="s">
        <v>8661</v>
      </c>
      <c r="AF716" t="s">
        <v>46835</v>
      </c>
    </row>
    <row r="717" spans="1:32" x14ac:dyDescent="0.2">
      <c r="A717">
        <v>712</v>
      </c>
      <c r="B717" t="s">
        <v>8662</v>
      </c>
      <c r="C717" t="s">
        <v>8663</v>
      </c>
      <c r="D717" t="s">
        <v>8664</v>
      </c>
      <c r="E717" t="s">
        <v>8665</v>
      </c>
      <c r="F717" t="s">
        <v>8666</v>
      </c>
      <c r="G717" t="s">
        <v>8667</v>
      </c>
      <c r="H717" t="str">
        <f>"Wars1"</f>
        <v>Wars1</v>
      </c>
      <c r="I717" t="s">
        <v>8668</v>
      </c>
      <c r="J717" t="s">
        <v>37</v>
      </c>
      <c r="K717">
        <v>10090</v>
      </c>
      <c r="L717" s="3" t="str">
        <f>HYPERLINK("http://www.uniprot.org/uniprot/P32921", "P32921")</f>
        <v>P32921</v>
      </c>
      <c r="M717" t="s">
        <v>8669</v>
      </c>
      <c r="N717" t="str">
        <f>"Wars"</f>
        <v>Wars</v>
      </c>
      <c r="O717" s="3" t="str">
        <f>HYPERLINK("http://www.informatics.jax.org/marker/MGI:104630", "MGI:104630")</f>
        <v>MGI:104630</v>
      </c>
      <c r="P717" t="s">
        <v>8670</v>
      </c>
      <c r="Q717" t="s">
        <v>8671</v>
      </c>
      <c r="R717" t="s">
        <v>418</v>
      </c>
      <c r="S717" t="s">
        <v>41</v>
      </c>
      <c r="T717" t="s">
        <v>32</v>
      </c>
      <c r="U717" t="s">
        <v>32</v>
      </c>
      <c r="V717" t="s">
        <v>32</v>
      </c>
      <c r="W717" t="s">
        <v>205</v>
      </c>
      <c r="X717" t="s">
        <v>2983</v>
      </c>
      <c r="Y717" t="s">
        <v>618</v>
      </c>
      <c r="Z717" t="s">
        <v>32</v>
      </c>
      <c r="AA717" t="s">
        <v>8672</v>
      </c>
      <c r="AB717" t="s">
        <v>8673</v>
      </c>
      <c r="AC717" t="s">
        <v>8674</v>
      </c>
      <c r="AD717" t="s">
        <v>32</v>
      </c>
      <c r="AE717" t="s">
        <v>32</v>
      </c>
      <c r="AF717" t="s">
        <v>46835</v>
      </c>
    </row>
    <row r="718" spans="1:32" x14ac:dyDescent="0.2">
      <c r="A718">
        <v>713</v>
      </c>
      <c r="B718" t="s">
        <v>8675</v>
      </c>
      <c r="C718" t="s">
        <v>8676</v>
      </c>
      <c r="D718" t="s">
        <v>8677</v>
      </c>
      <c r="E718" t="s">
        <v>8678</v>
      </c>
      <c r="F718" t="s">
        <v>8679</v>
      </c>
      <c r="G718" t="s">
        <v>32</v>
      </c>
      <c r="H718" t="str">
        <f>"Metap2"</f>
        <v>Metap2</v>
      </c>
      <c r="I718" t="s">
        <v>8680</v>
      </c>
      <c r="J718" t="s">
        <v>37</v>
      </c>
      <c r="K718">
        <v>10090</v>
      </c>
      <c r="L718" s="3" t="str">
        <f>HYPERLINK("http://www.uniprot.org/uniprot/O08663", "O08663")</f>
        <v>O08663</v>
      </c>
      <c r="M718" t="s">
        <v>8681</v>
      </c>
      <c r="N718" t="str">
        <f>"Metap2"</f>
        <v>Metap2</v>
      </c>
      <c r="O718" s="3" t="str">
        <f>HYPERLINK("http://www.informatics.jax.org/marker/MGI:1929701", "MGI:1929701")</f>
        <v>MGI:1929701</v>
      </c>
      <c r="P718" t="s">
        <v>8682</v>
      </c>
      <c r="Q718" t="s">
        <v>32</v>
      </c>
      <c r="R718" t="s">
        <v>418</v>
      </c>
      <c r="S718" t="s">
        <v>32</v>
      </c>
      <c r="T718" t="s">
        <v>32</v>
      </c>
      <c r="U718" t="s">
        <v>32</v>
      </c>
      <c r="V718" t="s">
        <v>32</v>
      </c>
      <c r="W718" t="s">
        <v>8683</v>
      </c>
      <c r="X718" t="s">
        <v>3455</v>
      </c>
      <c r="Y718" t="s">
        <v>372</v>
      </c>
      <c r="Z718" t="s">
        <v>32</v>
      </c>
      <c r="AA718" t="s">
        <v>8684</v>
      </c>
      <c r="AB718" t="s">
        <v>4024</v>
      </c>
      <c r="AC718" t="s">
        <v>8685</v>
      </c>
      <c r="AD718" t="s">
        <v>32</v>
      </c>
      <c r="AE718" t="s">
        <v>3458</v>
      </c>
      <c r="AF718" t="s">
        <v>46835</v>
      </c>
    </row>
    <row r="719" spans="1:32" x14ac:dyDescent="0.2">
      <c r="A719">
        <v>714</v>
      </c>
      <c r="B719" t="s">
        <v>8686</v>
      </c>
      <c r="C719" t="s">
        <v>8687</v>
      </c>
      <c r="D719" t="s">
        <v>8688</v>
      </c>
      <c r="E719" t="s">
        <v>8689</v>
      </c>
      <c r="F719" t="s">
        <v>8690</v>
      </c>
      <c r="G719" t="s">
        <v>8691</v>
      </c>
      <c r="H719" t="str">
        <f>"Srsf1"</f>
        <v>Srsf1</v>
      </c>
      <c r="I719" t="s">
        <v>8692</v>
      </c>
      <c r="J719" t="s">
        <v>37</v>
      </c>
      <c r="K719">
        <v>10090</v>
      </c>
      <c r="L719" s="3" t="str">
        <f>HYPERLINK("http://www.uniprot.org/uniprot/Q6PDM2", "Q6PDM2")</f>
        <v>Q6PDM2</v>
      </c>
      <c r="M719" t="s">
        <v>8693</v>
      </c>
      <c r="N719" t="str">
        <f>"Srsf1"</f>
        <v>Srsf1</v>
      </c>
      <c r="O719" s="3" t="str">
        <f>HYPERLINK("http://www.informatics.jax.org/marker/MGI:98283", "MGI:98283")</f>
        <v>MGI:98283</v>
      </c>
      <c r="P719" t="s">
        <v>8694</v>
      </c>
      <c r="Q719" t="s">
        <v>1127</v>
      </c>
      <c r="R719" t="s">
        <v>2219</v>
      </c>
      <c r="S719" t="s">
        <v>41</v>
      </c>
      <c r="T719" t="s">
        <v>32</v>
      </c>
      <c r="U719" t="s">
        <v>32</v>
      </c>
      <c r="V719" t="s">
        <v>55</v>
      </c>
      <c r="W719" t="s">
        <v>32</v>
      </c>
      <c r="X719" t="s">
        <v>1282</v>
      </c>
      <c r="Y719" t="s">
        <v>207</v>
      </c>
      <c r="Z719" t="s">
        <v>126</v>
      </c>
      <c r="AA719" t="s">
        <v>8695</v>
      </c>
      <c r="AB719" t="s">
        <v>8696</v>
      </c>
      <c r="AC719" t="s">
        <v>8697</v>
      </c>
      <c r="AD719" t="s">
        <v>32</v>
      </c>
      <c r="AE719" t="s">
        <v>8698</v>
      </c>
      <c r="AF719" t="s">
        <v>46835</v>
      </c>
    </row>
    <row r="720" spans="1:32" x14ac:dyDescent="0.2">
      <c r="A720">
        <v>715</v>
      </c>
      <c r="B720" t="s">
        <v>8699</v>
      </c>
      <c r="C720" t="s">
        <v>8700</v>
      </c>
      <c r="D720" t="s">
        <v>8701</v>
      </c>
      <c r="E720" t="s">
        <v>8702</v>
      </c>
      <c r="F720" t="s">
        <v>8703</v>
      </c>
      <c r="G720" t="s">
        <v>32</v>
      </c>
      <c r="H720" t="str">
        <f>"Btf3l4"</f>
        <v>Btf3l4</v>
      </c>
      <c r="I720" t="s">
        <v>32</v>
      </c>
      <c r="J720" t="s">
        <v>37</v>
      </c>
      <c r="K720">
        <v>10090</v>
      </c>
      <c r="L720" s="3" t="str">
        <f>HYPERLINK("http://www.uniprot.org/uniprot/Q9CQH7", "Q9CQH7")</f>
        <v>Q9CQH7</v>
      </c>
      <c r="M720" t="s">
        <v>8704</v>
      </c>
      <c r="N720" t="str">
        <f>"Btf3l4"</f>
        <v>Btf3l4</v>
      </c>
      <c r="O720" s="3" t="str">
        <f>HYPERLINK("http://www.informatics.jax.org/marker/MGI:1915312", "MGI:1915312")</f>
        <v>MGI:1915312</v>
      </c>
      <c r="P720" t="s">
        <v>2734</v>
      </c>
      <c r="Q720" t="s">
        <v>32</v>
      </c>
      <c r="R720" t="s">
        <v>32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32</v>
      </c>
      <c r="Y720" t="s">
        <v>2734</v>
      </c>
      <c r="Z720" t="s">
        <v>32</v>
      </c>
      <c r="AA720" t="s">
        <v>32</v>
      </c>
      <c r="AB720" t="s">
        <v>32</v>
      </c>
      <c r="AC720" t="s">
        <v>32</v>
      </c>
      <c r="AD720" t="s">
        <v>32</v>
      </c>
      <c r="AE720" t="s">
        <v>32</v>
      </c>
      <c r="AF720" t="s">
        <v>46835</v>
      </c>
    </row>
    <row r="721" spans="1:32" x14ac:dyDescent="0.2">
      <c r="A721">
        <v>716</v>
      </c>
      <c r="B721" t="s">
        <v>8705</v>
      </c>
      <c r="C721" t="s">
        <v>8706</v>
      </c>
      <c r="D721" t="s">
        <v>8707</v>
      </c>
      <c r="E721" t="s">
        <v>8708</v>
      </c>
      <c r="F721" t="s">
        <v>8709</v>
      </c>
      <c r="G721" t="s">
        <v>8710</v>
      </c>
      <c r="H721" t="str">
        <f>"Upf1"</f>
        <v>Upf1</v>
      </c>
      <c r="I721" t="s">
        <v>32</v>
      </c>
      <c r="J721" t="s">
        <v>37</v>
      </c>
      <c r="K721">
        <v>10090</v>
      </c>
      <c r="L721" s="3" t="str">
        <f>HYPERLINK("http://www.uniprot.org/uniprot/Q9EPU0", "Q9EPU0")</f>
        <v>Q9EPU0</v>
      </c>
      <c r="M721" t="s">
        <v>8711</v>
      </c>
      <c r="N721" t="str">
        <f>"Upf1"</f>
        <v>Upf1</v>
      </c>
      <c r="O721" s="3" t="str">
        <f>HYPERLINK("http://www.informatics.jax.org/marker/MGI:107995", "MGI:107995")</f>
        <v>MGI:107995</v>
      </c>
      <c r="P721" t="s">
        <v>8712</v>
      </c>
      <c r="Q721" t="s">
        <v>8713</v>
      </c>
      <c r="R721" t="s">
        <v>40</v>
      </c>
      <c r="S721" t="s">
        <v>41</v>
      </c>
      <c r="T721" t="s">
        <v>32</v>
      </c>
      <c r="U721" t="s">
        <v>32</v>
      </c>
      <c r="V721" t="s">
        <v>3791</v>
      </c>
      <c r="W721" t="s">
        <v>2325</v>
      </c>
      <c r="X721" t="s">
        <v>5050</v>
      </c>
      <c r="Y721" t="s">
        <v>2734</v>
      </c>
      <c r="Z721" t="s">
        <v>32</v>
      </c>
      <c r="AA721" t="s">
        <v>8714</v>
      </c>
      <c r="AB721" t="s">
        <v>8715</v>
      </c>
      <c r="AC721" t="s">
        <v>8716</v>
      </c>
      <c r="AD721" t="s">
        <v>32</v>
      </c>
      <c r="AE721" t="s">
        <v>8717</v>
      </c>
      <c r="AF721" t="s">
        <v>46835</v>
      </c>
    </row>
    <row r="722" spans="1:32" x14ac:dyDescent="0.2">
      <c r="A722">
        <v>717</v>
      </c>
      <c r="B722" t="s">
        <v>8718</v>
      </c>
      <c r="C722" t="s">
        <v>8719</v>
      </c>
      <c r="D722" t="s">
        <v>8720</v>
      </c>
      <c r="E722" t="s">
        <v>8721</v>
      </c>
      <c r="F722" t="s">
        <v>8722</v>
      </c>
      <c r="G722" t="s">
        <v>32</v>
      </c>
      <c r="H722" t="str">
        <f>"Eif3h"</f>
        <v>Eif3h</v>
      </c>
      <c r="I722" t="s">
        <v>8723</v>
      </c>
      <c r="J722" t="s">
        <v>37</v>
      </c>
      <c r="K722">
        <v>10090</v>
      </c>
      <c r="L722" s="3" t="str">
        <f>HYPERLINK("http://www.uniprot.org/uniprot/Q91WK2", "Q91WK2")</f>
        <v>Q91WK2</v>
      </c>
      <c r="M722" t="s">
        <v>8724</v>
      </c>
      <c r="N722" t="str">
        <f>"Eif3h"</f>
        <v>Eif3h</v>
      </c>
      <c r="O722" s="3" t="str">
        <f>HYPERLINK("http://www.informatics.jax.org/marker/MGI:1915385", "MGI:1915385")</f>
        <v>MGI:1915385</v>
      </c>
      <c r="P722" t="s">
        <v>8725</v>
      </c>
      <c r="Q722" t="s">
        <v>260</v>
      </c>
      <c r="R722" t="s">
        <v>418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2675</v>
      </c>
      <c r="Y722" t="s">
        <v>1007</v>
      </c>
      <c r="Z722" t="s">
        <v>32</v>
      </c>
      <c r="AA722" t="s">
        <v>8726</v>
      </c>
      <c r="AB722" t="s">
        <v>8727</v>
      </c>
      <c r="AC722" t="s">
        <v>8728</v>
      </c>
      <c r="AD722" t="s">
        <v>32</v>
      </c>
      <c r="AE722" t="s">
        <v>1570</v>
      </c>
      <c r="AF722" t="s">
        <v>46835</v>
      </c>
    </row>
    <row r="723" spans="1:32" x14ac:dyDescent="0.2">
      <c r="A723">
        <v>718</v>
      </c>
      <c r="B723" t="s">
        <v>8729</v>
      </c>
      <c r="C723" t="s">
        <v>8730</v>
      </c>
      <c r="D723" t="s">
        <v>8731</v>
      </c>
      <c r="E723" t="s">
        <v>8732</v>
      </c>
      <c r="F723" t="s">
        <v>8733</v>
      </c>
      <c r="G723" t="s">
        <v>8734</v>
      </c>
      <c r="H723" t="str">
        <f>"Pitrm1"</f>
        <v>Pitrm1</v>
      </c>
      <c r="I723" t="s">
        <v>32</v>
      </c>
      <c r="J723" t="s">
        <v>37</v>
      </c>
      <c r="K723">
        <v>10090</v>
      </c>
      <c r="L723" s="3" t="str">
        <f>HYPERLINK("http://www.uniprot.org/uniprot/Q8K411", "Q8K411")</f>
        <v>Q8K411</v>
      </c>
      <c r="M723" t="s">
        <v>8735</v>
      </c>
      <c r="N723" t="str">
        <f>"Pitrm1"</f>
        <v>Pitrm1</v>
      </c>
      <c r="O723" s="3" t="str">
        <f>HYPERLINK("http://www.informatics.jax.org/marker/MGI:1916867", "MGI:1916867")</f>
        <v>MGI:1916867</v>
      </c>
      <c r="P723" t="s">
        <v>8736</v>
      </c>
      <c r="Q723" t="s">
        <v>32</v>
      </c>
      <c r="R723" t="s">
        <v>1038</v>
      </c>
      <c r="S723" t="s">
        <v>41</v>
      </c>
      <c r="T723" t="s">
        <v>32</v>
      </c>
      <c r="U723" t="s">
        <v>32</v>
      </c>
      <c r="V723" t="s">
        <v>1039</v>
      </c>
      <c r="W723" t="s">
        <v>42</v>
      </c>
      <c r="X723" t="s">
        <v>4882</v>
      </c>
      <c r="Y723" t="s">
        <v>8737</v>
      </c>
      <c r="Z723" t="s">
        <v>32</v>
      </c>
      <c r="AA723" t="s">
        <v>8738</v>
      </c>
      <c r="AB723" t="s">
        <v>2128</v>
      </c>
      <c r="AC723" t="s">
        <v>8739</v>
      </c>
      <c r="AD723" t="s">
        <v>32</v>
      </c>
      <c r="AE723" t="s">
        <v>1044</v>
      </c>
      <c r="AF723" t="s">
        <v>46835</v>
      </c>
    </row>
    <row r="724" spans="1:32" x14ac:dyDescent="0.2">
      <c r="A724">
        <v>719</v>
      </c>
      <c r="B724" t="s">
        <v>8740</v>
      </c>
      <c r="C724" t="s">
        <v>8741</v>
      </c>
      <c r="D724" t="s">
        <v>32</v>
      </c>
      <c r="E724" t="s">
        <v>8742</v>
      </c>
      <c r="F724" t="s">
        <v>8743</v>
      </c>
      <c r="G724" t="s">
        <v>8744</v>
      </c>
      <c r="H724" t="str">
        <f>"Sri"</f>
        <v>Sri</v>
      </c>
      <c r="I724" t="s">
        <v>32</v>
      </c>
      <c r="J724" t="s">
        <v>37</v>
      </c>
      <c r="K724">
        <v>10090</v>
      </c>
      <c r="L724" s="3" t="str">
        <f>HYPERLINK("http://www.uniprot.org/uniprot/Q6P069", "Q6P069")</f>
        <v>Q6P069</v>
      </c>
      <c r="M724" t="s">
        <v>8745</v>
      </c>
      <c r="N724" t="str">
        <f>"Sri"</f>
        <v>Sri</v>
      </c>
      <c r="O724" s="3" t="str">
        <f>HYPERLINK("http://www.informatics.jax.org/marker/MGI:98419", "MGI:98419")</f>
        <v>MGI:98419</v>
      </c>
      <c r="P724" t="s">
        <v>8746</v>
      </c>
      <c r="Q724" t="s">
        <v>32</v>
      </c>
      <c r="R724" t="s">
        <v>8747</v>
      </c>
      <c r="S724" t="s">
        <v>41</v>
      </c>
      <c r="T724" t="s">
        <v>32</v>
      </c>
      <c r="U724" t="s">
        <v>32</v>
      </c>
      <c r="V724" t="s">
        <v>55</v>
      </c>
      <c r="W724" t="s">
        <v>188</v>
      </c>
      <c r="X724" t="s">
        <v>32</v>
      </c>
      <c r="Y724" t="s">
        <v>618</v>
      </c>
      <c r="Z724" t="s">
        <v>32</v>
      </c>
      <c r="AA724" t="s">
        <v>8748</v>
      </c>
      <c r="AB724" t="s">
        <v>8749</v>
      </c>
      <c r="AC724" t="s">
        <v>8750</v>
      </c>
      <c r="AD724" t="s">
        <v>32</v>
      </c>
      <c r="AE724" t="s">
        <v>8751</v>
      </c>
      <c r="AF724" t="s">
        <v>46835</v>
      </c>
    </row>
    <row r="725" spans="1:32" x14ac:dyDescent="0.2">
      <c r="A725">
        <v>720</v>
      </c>
      <c r="B725" t="s">
        <v>8752</v>
      </c>
      <c r="C725" t="s">
        <v>8753</v>
      </c>
      <c r="D725" t="s">
        <v>8754</v>
      </c>
      <c r="E725" t="s">
        <v>8755</v>
      </c>
      <c r="F725" t="s">
        <v>8756</v>
      </c>
      <c r="G725" t="s">
        <v>32</v>
      </c>
      <c r="H725" t="str">
        <f>"Oat"</f>
        <v>Oat</v>
      </c>
      <c r="I725" t="s">
        <v>32</v>
      </c>
      <c r="J725" t="s">
        <v>37</v>
      </c>
      <c r="K725">
        <v>10090</v>
      </c>
      <c r="L725" s="3" t="str">
        <f>HYPERLINK("http://www.uniprot.org/uniprot/P29758", "P29758")</f>
        <v>P29758</v>
      </c>
      <c r="M725" t="s">
        <v>8757</v>
      </c>
      <c r="N725" t="str">
        <f>"Oat"</f>
        <v>Oat</v>
      </c>
      <c r="O725" s="3" t="str">
        <f>HYPERLINK("http://www.informatics.jax.org/marker/MGI:97394", "MGI:97394")</f>
        <v>MGI:97394</v>
      </c>
      <c r="P725" t="s">
        <v>8758</v>
      </c>
      <c r="Q725" t="s">
        <v>32</v>
      </c>
      <c r="R725" t="s">
        <v>1038</v>
      </c>
      <c r="S725" t="s">
        <v>32</v>
      </c>
      <c r="T725" t="s">
        <v>32</v>
      </c>
      <c r="U725" t="s">
        <v>32</v>
      </c>
      <c r="V725" t="s">
        <v>1039</v>
      </c>
      <c r="W725" t="s">
        <v>3373</v>
      </c>
      <c r="X725" t="s">
        <v>3374</v>
      </c>
      <c r="Y725" t="s">
        <v>78</v>
      </c>
      <c r="Z725" t="s">
        <v>32</v>
      </c>
      <c r="AA725" t="s">
        <v>8759</v>
      </c>
      <c r="AB725" t="s">
        <v>8760</v>
      </c>
      <c r="AC725" t="s">
        <v>8761</v>
      </c>
      <c r="AD725" t="s">
        <v>8762</v>
      </c>
      <c r="AE725" t="s">
        <v>8763</v>
      </c>
      <c r="AF725" t="s">
        <v>46835</v>
      </c>
    </row>
    <row r="726" spans="1:32" x14ac:dyDescent="0.2">
      <c r="A726">
        <v>721</v>
      </c>
      <c r="B726" t="s">
        <v>8764</v>
      </c>
      <c r="C726" t="s">
        <v>8765</v>
      </c>
      <c r="D726" t="s">
        <v>8766</v>
      </c>
      <c r="E726" t="s">
        <v>8767</v>
      </c>
      <c r="F726" t="s">
        <v>8768</v>
      </c>
      <c r="G726" t="s">
        <v>32</v>
      </c>
      <c r="H726" t="str">
        <f>"Afdn"</f>
        <v>Afdn</v>
      </c>
      <c r="I726" t="s">
        <v>8769</v>
      </c>
      <c r="J726" t="s">
        <v>37</v>
      </c>
      <c r="K726">
        <v>10090</v>
      </c>
      <c r="L726" s="3" t="str">
        <f>HYPERLINK("http://www.uniprot.org/uniprot/Q9QZQ1", "Q9QZQ1")</f>
        <v>Q9QZQ1</v>
      </c>
      <c r="M726" t="s">
        <v>8770</v>
      </c>
      <c r="N726" t="str">
        <f>"Afdn"</f>
        <v>Afdn</v>
      </c>
      <c r="O726" s="3" t="str">
        <f>HYPERLINK("http://www.informatics.jax.org/marker/MGI:1314653", "MGI:1314653")</f>
        <v>MGI:1314653</v>
      </c>
      <c r="P726" t="s">
        <v>8771</v>
      </c>
      <c r="Q726" t="s">
        <v>2784</v>
      </c>
      <c r="R726" t="s">
        <v>8772</v>
      </c>
      <c r="S726" t="s">
        <v>41</v>
      </c>
      <c r="T726" t="s">
        <v>32</v>
      </c>
      <c r="U726" t="s">
        <v>32</v>
      </c>
      <c r="V726" t="s">
        <v>137</v>
      </c>
      <c r="W726" t="s">
        <v>32</v>
      </c>
      <c r="X726" t="s">
        <v>32</v>
      </c>
      <c r="Y726" t="s">
        <v>157</v>
      </c>
      <c r="Z726" t="s">
        <v>126</v>
      </c>
      <c r="AA726" t="s">
        <v>8773</v>
      </c>
      <c r="AB726" t="s">
        <v>8774</v>
      </c>
      <c r="AC726" t="s">
        <v>8775</v>
      </c>
      <c r="AD726" t="s">
        <v>32</v>
      </c>
      <c r="AE726" t="s">
        <v>8776</v>
      </c>
      <c r="AF726" t="s">
        <v>46835</v>
      </c>
    </row>
    <row r="727" spans="1:32" x14ac:dyDescent="0.2">
      <c r="A727">
        <v>722</v>
      </c>
      <c r="B727" t="s">
        <v>8777</v>
      </c>
      <c r="C727" t="s">
        <v>8778</v>
      </c>
      <c r="D727" t="s">
        <v>32</v>
      </c>
      <c r="E727" t="s">
        <v>8779</v>
      </c>
      <c r="F727" t="s">
        <v>8780</v>
      </c>
      <c r="G727" t="s">
        <v>8781</v>
      </c>
      <c r="H727" t="str">
        <f>"Srp54"</f>
        <v>Srp54</v>
      </c>
      <c r="I727" t="s">
        <v>32</v>
      </c>
      <c r="J727" t="s">
        <v>37</v>
      </c>
      <c r="K727">
        <v>10090</v>
      </c>
      <c r="L727" s="3" t="str">
        <f>HYPERLINK("http://www.uniprot.org/uniprot/P14576", "P14576")</f>
        <v>P14576</v>
      </c>
      <c r="M727" t="s">
        <v>8782</v>
      </c>
      <c r="N727" t="str">
        <f>"Srp54"</f>
        <v>Srp54</v>
      </c>
      <c r="O727" s="3" t="str">
        <f>HYPERLINK("http://www.informatics.jax.org/marker/MGI:1346087", "MGI:1346087")</f>
        <v>MGI:1346087</v>
      </c>
      <c r="P727" t="s">
        <v>8783</v>
      </c>
      <c r="Q727" t="s">
        <v>32</v>
      </c>
      <c r="R727" t="s">
        <v>8784</v>
      </c>
      <c r="S727" t="s">
        <v>41</v>
      </c>
      <c r="T727" t="s">
        <v>32</v>
      </c>
      <c r="U727" t="s">
        <v>32</v>
      </c>
      <c r="V727" t="s">
        <v>32</v>
      </c>
      <c r="W727" t="s">
        <v>261</v>
      </c>
      <c r="X727" t="s">
        <v>8785</v>
      </c>
      <c r="Y727" t="s">
        <v>32</v>
      </c>
      <c r="Z727" t="s">
        <v>126</v>
      </c>
      <c r="AA727" t="s">
        <v>8786</v>
      </c>
      <c r="AB727" t="s">
        <v>8787</v>
      </c>
      <c r="AC727" t="s">
        <v>8788</v>
      </c>
      <c r="AD727" t="s">
        <v>32</v>
      </c>
      <c r="AE727" t="s">
        <v>8789</v>
      </c>
      <c r="AF727" t="s">
        <v>46835</v>
      </c>
    </row>
    <row r="728" spans="1:32" x14ac:dyDescent="0.2">
      <c r="A728">
        <v>723</v>
      </c>
      <c r="B728" t="s">
        <v>8790</v>
      </c>
      <c r="C728" t="s">
        <v>8791</v>
      </c>
      <c r="D728" t="s">
        <v>8792</v>
      </c>
      <c r="E728" t="s">
        <v>8793</v>
      </c>
      <c r="F728" t="s">
        <v>8794</v>
      </c>
      <c r="G728" t="s">
        <v>8795</v>
      </c>
      <c r="H728" t="str">
        <f>"Ddx17"</f>
        <v>Ddx17</v>
      </c>
      <c r="I728" t="s">
        <v>32</v>
      </c>
      <c r="J728" t="s">
        <v>37</v>
      </c>
      <c r="K728">
        <v>10090</v>
      </c>
      <c r="L728" s="3" t="str">
        <f>HYPERLINK("http://www.uniprot.org/uniprot/Q501J6", "Q501J6")</f>
        <v>Q501J6</v>
      </c>
      <c r="M728" t="s">
        <v>8796</v>
      </c>
      <c r="N728" t="str">
        <f>"Ddx17"</f>
        <v>Ddx17</v>
      </c>
      <c r="O728" s="3" t="str">
        <f>HYPERLINK("http://www.informatics.jax.org/marker/MGI:1914290", "MGI:1914290")</f>
        <v>MGI:1914290</v>
      </c>
      <c r="P728" t="s">
        <v>8797</v>
      </c>
      <c r="Q728" t="s">
        <v>8798</v>
      </c>
      <c r="R728" t="s">
        <v>40</v>
      </c>
      <c r="S728" t="s">
        <v>41</v>
      </c>
      <c r="T728" t="s">
        <v>32</v>
      </c>
      <c r="U728" t="s">
        <v>32</v>
      </c>
      <c r="V728" t="s">
        <v>32</v>
      </c>
      <c r="W728" t="s">
        <v>205</v>
      </c>
      <c r="X728" t="s">
        <v>5050</v>
      </c>
      <c r="Y728" t="s">
        <v>207</v>
      </c>
      <c r="Z728" t="s">
        <v>32</v>
      </c>
      <c r="AA728" t="s">
        <v>8799</v>
      </c>
      <c r="AB728" t="s">
        <v>8800</v>
      </c>
      <c r="AC728" t="s">
        <v>8801</v>
      </c>
      <c r="AD728" t="s">
        <v>32</v>
      </c>
      <c r="AE728" t="s">
        <v>8802</v>
      </c>
      <c r="AF728" t="s">
        <v>46835</v>
      </c>
    </row>
    <row r="729" spans="1:32" x14ac:dyDescent="0.2">
      <c r="A729">
        <v>724</v>
      </c>
      <c r="B729" t="s">
        <v>8803</v>
      </c>
      <c r="C729" t="s">
        <v>8804</v>
      </c>
      <c r="D729" t="s">
        <v>8805</v>
      </c>
      <c r="E729" t="s">
        <v>8806</v>
      </c>
      <c r="F729" t="s">
        <v>8807</v>
      </c>
      <c r="G729" t="s">
        <v>32</v>
      </c>
      <c r="H729" t="str">
        <f>"Ap2a1"</f>
        <v>Ap2a1</v>
      </c>
      <c r="I729" t="s">
        <v>8808</v>
      </c>
      <c r="J729" t="s">
        <v>37</v>
      </c>
      <c r="K729">
        <v>10090</v>
      </c>
      <c r="L729" s="3" t="str">
        <f>HYPERLINK("http://www.uniprot.org/uniprot/P17426", "P17426")</f>
        <v>P17426</v>
      </c>
      <c r="M729" t="s">
        <v>8809</v>
      </c>
      <c r="N729" t="str">
        <f>"Ap2a1"</f>
        <v>Ap2a1</v>
      </c>
      <c r="O729" s="3" t="str">
        <f>HYPERLINK("http://www.informatics.jax.org/marker/MGI:101921", "MGI:101921")</f>
        <v>MGI:101921</v>
      </c>
      <c r="P729" t="s">
        <v>8810</v>
      </c>
      <c r="Q729" t="s">
        <v>910</v>
      </c>
      <c r="R729" t="s">
        <v>7022</v>
      </c>
      <c r="S729" t="s">
        <v>41</v>
      </c>
      <c r="T729" t="s">
        <v>32</v>
      </c>
      <c r="U729" t="s">
        <v>32</v>
      </c>
      <c r="V729" t="s">
        <v>32</v>
      </c>
      <c r="W729" t="s">
        <v>32</v>
      </c>
      <c r="X729" t="s">
        <v>32</v>
      </c>
      <c r="Y729" t="s">
        <v>618</v>
      </c>
      <c r="Z729" t="s">
        <v>32</v>
      </c>
      <c r="AA729" t="s">
        <v>8811</v>
      </c>
      <c r="AB729" t="s">
        <v>8812</v>
      </c>
      <c r="AC729" t="s">
        <v>8813</v>
      </c>
      <c r="AD729" t="s">
        <v>32</v>
      </c>
      <c r="AE729" t="s">
        <v>7026</v>
      </c>
      <c r="AF729" t="s">
        <v>46835</v>
      </c>
    </row>
    <row r="730" spans="1:32" x14ac:dyDescent="0.2">
      <c r="A730">
        <v>725</v>
      </c>
      <c r="B730" t="s">
        <v>8814</v>
      </c>
      <c r="C730" t="s">
        <v>8815</v>
      </c>
      <c r="D730" t="s">
        <v>8816</v>
      </c>
      <c r="E730" t="s">
        <v>8817</v>
      </c>
      <c r="F730" t="s">
        <v>8818</v>
      </c>
      <c r="G730" t="s">
        <v>32</v>
      </c>
      <c r="H730" t="str">
        <f>"Cfl2"</f>
        <v>Cfl2</v>
      </c>
      <c r="I730" t="s">
        <v>32</v>
      </c>
      <c r="J730" t="s">
        <v>37</v>
      </c>
      <c r="K730">
        <v>10090</v>
      </c>
      <c r="L730" s="3" t="str">
        <f>HYPERLINK("http://www.uniprot.org/uniprot/P45591", "P45591")</f>
        <v>P45591</v>
      </c>
      <c r="M730" t="s">
        <v>8819</v>
      </c>
      <c r="N730" t="str">
        <f>"Cfl2"</f>
        <v>Cfl2</v>
      </c>
      <c r="O730" s="3" t="str">
        <f>HYPERLINK("http://www.informatics.jax.org/marker/MGI:101763", "MGI:101763")</f>
        <v>MGI:101763</v>
      </c>
      <c r="P730" t="s">
        <v>8820</v>
      </c>
      <c r="Q730" t="s">
        <v>32</v>
      </c>
      <c r="R730" t="s">
        <v>324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405</v>
      </c>
      <c r="Y730" t="s">
        <v>157</v>
      </c>
      <c r="Z730" t="s">
        <v>32</v>
      </c>
      <c r="AA730" t="s">
        <v>8821</v>
      </c>
      <c r="AB730" t="s">
        <v>8822</v>
      </c>
      <c r="AC730" t="s">
        <v>2119</v>
      </c>
      <c r="AD730" t="s">
        <v>32</v>
      </c>
      <c r="AE730" t="s">
        <v>32</v>
      </c>
      <c r="AF730" t="s">
        <v>46835</v>
      </c>
    </row>
    <row r="731" spans="1:32" x14ac:dyDescent="0.2">
      <c r="A731">
        <v>726</v>
      </c>
      <c r="B731" t="s">
        <v>8823</v>
      </c>
      <c r="C731" t="s">
        <v>8824</v>
      </c>
      <c r="D731" t="s">
        <v>8825</v>
      </c>
      <c r="E731" t="s">
        <v>8826</v>
      </c>
      <c r="F731" t="s">
        <v>8827</v>
      </c>
      <c r="G731" t="s">
        <v>8828</v>
      </c>
      <c r="H731" t="str">
        <f>"Uqcrfs1"</f>
        <v>Uqcrfs1</v>
      </c>
      <c r="I731" t="s">
        <v>32</v>
      </c>
      <c r="J731" t="s">
        <v>37</v>
      </c>
      <c r="K731">
        <v>10090</v>
      </c>
      <c r="L731" s="3" t="str">
        <f>HYPERLINK("http://www.uniprot.org/uniprot/Q9CR68", "Q9CR68")</f>
        <v>Q9CR68</v>
      </c>
      <c r="M731" t="s">
        <v>8829</v>
      </c>
      <c r="N731" t="str">
        <f>"Uqcrfs1"</f>
        <v>Uqcrfs1</v>
      </c>
      <c r="O731" s="3" t="str">
        <f>HYPERLINK("http://www.informatics.jax.org/marker/MGI:1913944", "MGI:1913944")</f>
        <v>MGI:1913944</v>
      </c>
      <c r="P731" t="s">
        <v>8830</v>
      </c>
      <c r="Q731" t="s">
        <v>6888</v>
      </c>
      <c r="R731" t="s">
        <v>3858</v>
      </c>
      <c r="S731" t="s">
        <v>32</v>
      </c>
      <c r="T731" t="s">
        <v>32</v>
      </c>
      <c r="U731" t="s">
        <v>32</v>
      </c>
      <c r="V731" t="s">
        <v>3859</v>
      </c>
      <c r="W731" t="s">
        <v>4783</v>
      </c>
      <c r="X731" t="s">
        <v>1506</v>
      </c>
      <c r="Y731" t="s">
        <v>494</v>
      </c>
      <c r="Z731" t="s">
        <v>32</v>
      </c>
      <c r="AA731" t="s">
        <v>8831</v>
      </c>
      <c r="AB731" t="s">
        <v>8832</v>
      </c>
      <c r="AC731" t="s">
        <v>8833</v>
      </c>
      <c r="AD731" t="s">
        <v>32</v>
      </c>
      <c r="AE731" t="s">
        <v>4604</v>
      </c>
      <c r="AF731" t="s">
        <v>46835</v>
      </c>
    </row>
    <row r="732" spans="1:32" x14ac:dyDescent="0.2">
      <c r="A732">
        <v>727</v>
      </c>
      <c r="B732" t="s">
        <v>8834</v>
      </c>
      <c r="C732" t="s">
        <v>8835</v>
      </c>
      <c r="D732" t="s">
        <v>8836</v>
      </c>
      <c r="E732" t="s">
        <v>8837</v>
      </c>
      <c r="F732" t="s">
        <v>8838</v>
      </c>
      <c r="G732" t="s">
        <v>8839</v>
      </c>
      <c r="H732" t="str">
        <f>"Cacybp"</f>
        <v>Cacybp</v>
      </c>
      <c r="I732" t="s">
        <v>8840</v>
      </c>
      <c r="J732" t="s">
        <v>37</v>
      </c>
      <c r="K732">
        <v>10090</v>
      </c>
      <c r="L732" s="3" t="str">
        <f>HYPERLINK("http://www.uniprot.org/uniprot/Q9CXW3", "Q9CXW3")</f>
        <v>Q9CXW3</v>
      </c>
      <c r="M732" t="s">
        <v>8841</v>
      </c>
      <c r="N732" t="str">
        <f>"Cacybp"</f>
        <v>Cacybp</v>
      </c>
      <c r="O732" s="3" t="str">
        <f>HYPERLINK("http://www.informatics.jax.org/marker/MGI:1270839", "MGI:1270839")</f>
        <v>MGI:1270839</v>
      </c>
      <c r="P732" t="s">
        <v>8842</v>
      </c>
      <c r="Q732" t="s">
        <v>1020</v>
      </c>
      <c r="R732" t="s">
        <v>40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t="s">
        <v>157</v>
      </c>
      <c r="Z732" t="s">
        <v>126</v>
      </c>
      <c r="AA732" t="s">
        <v>8843</v>
      </c>
      <c r="AB732" t="s">
        <v>8844</v>
      </c>
      <c r="AC732" t="s">
        <v>8845</v>
      </c>
      <c r="AD732" t="s">
        <v>32</v>
      </c>
      <c r="AE732" t="s">
        <v>32</v>
      </c>
      <c r="AF732" t="s">
        <v>46835</v>
      </c>
    </row>
    <row r="733" spans="1:32" x14ac:dyDescent="0.2">
      <c r="A733">
        <v>728</v>
      </c>
      <c r="B733" t="s">
        <v>8846</v>
      </c>
      <c r="C733" t="s">
        <v>8847</v>
      </c>
      <c r="D733" t="s">
        <v>8848</v>
      </c>
      <c r="E733" t="s">
        <v>8849</v>
      </c>
      <c r="F733" t="s">
        <v>8850</v>
      </c>
      <c r="G733" t="s">
        <v>8851</v>
      </c>
      <c r="H733" t="str">
        <f>"Dynlrb1"</f>
        <v>Dynlrb1</v>
      </c>
      <c r="I733" t="s">
        <v>8852</v>
      </c>
      <c r="J733" t="s">
        <v>37</v>
      </c>
      <c r="K733">
        <v>10090</v>
      </c>
      <c r="L733" s="3" t="str">
        <f>HYPERLINK("http://www.uniprot.org/uniprot/P62627", "P62627")</f>
        <v>P62627</v>
      </c>
      <c r="M733" t="s">
        <v>8853</v>
      </c>
      <c r="N733" t="str">
        <f>"Dynlrb1"</f>
        <v>Dynlrb1</v>
      </c>
      <c r="O733" s="3" t="str">
        <f>HYPERLINK("http://www.informatics.jax.org/marker/MGI:1914318", "MGI:1914318")</f>
        <v>MGI:1914318</v>
      </c>
      <c r="P733" t="s">
        <v>8854</v>
      </c>
      <c r="Q733" t="s">
        <v>4425</v>
      </c>
      <c r="R733" t="s">
        <v>828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830</v>
      </c>
      <c r="Y733" t="s">
        <v>78</v>
      </c>
      <c r="Z733" t="s">
        <v>126</v>
      </c>
      <c r="AA733" t="s">
        <v>8855</v>
      </c>
      <c r="AB733" t="s">
        <v>8856</v>
      </c>
      <c r="AC733" t="s">
        <v>8857</v>
      </c>
      <c r="AD733" t="s">
        <v>32</v>
      </c>
      <c r="AE733" t="s">
        <v>8858</v>
      </c>
      <c r="AF733" t="s">
        <v>46835</v>
      </c>
    </row>
    <row r="734" spans="1:32" x14ac:dyDescent="0.2">
      <c r="A734">
        <v>729</v>
      </c>
      <c r="B734" t="s">
        <v>8859</v>
      </c>
      <c r="C734" t="s">
        <v>8860</v>
      </c>
      <c r="D734" t="s">
        <v>8861</v>
      </c>
      <c r="E734" t="s">
        <v>8862</v>
      </c>
      <c r="F734" t="s">
        <v>8863</v>
      </c>
      <c r="G734" t="s">
        <v>8864</v>
      </c>
      <c r="H734" t="str">
        <f>"Dctn3"</f>
        <v>Dctn3</v>
      </c>
      <c r="I734" t="s">
        <v>32</v>
      </c>
      <c r="J734" t="s">
        <v>37</v>
      </c>
      <c r="K734">
        <v>10090</v>
      </c>
      <c r="L734" s="3" t="str">
        <f>HYPERLINK("http://www.uniprot.org/uniprot/Q9Z0Y1", "Q9Z0Y1")</f>
        <v>Q9Z0Y1</v>
      </c>
      <c r="M734" t="s">
        <v>8865</v>
      </c>
      <c r="N734" t="str">
        <f>"Dctn3"</f>
        <v>Dctn3</v>
      </c>
      <c r="O734" s="3" t="str">
        <f>HYPERLINK("http://www.informatics.jax.org/marker/MGI:1859251", "MGI:1859251")</f>
        <v>MGI:1859251</v>
      </c>
      <c r="P734" t="s">
        <v>8866</v>
      </c>
      <c r="Q734" t="s">
        <v>2968</v>
      </c>
      <c r="R734" t="s">
        <v>4919</v>
      </c>
      <c r="S734" t="s">
        <v>32</v>
      </c>
      <c r="T734" t="s">
        <v>32</v>
      </c>
      <c r="U734" t="s">
        <v>32</v>
      </c>
      <c r="V734" t="s">
        <v>290</v>
      </c>
      <c r="W734" t="s">
        <v>32</v>
      </c>
      <c r="X734" t="s">
        <v>32</v>
      </c>
      <c r="Y734" t="s">
        <v>78</v>
      </c>
      <c r="Z734" t="s">
        <v>32</v>
      </c>
      <c r="AA734" t="s">
        <v>8867</v>
      </c>
      <c r="AB734" t="s">
        <v>8868</v>
      </c>
      <c r="AC734" t="s">
        <v>32</v>
      </c>
      <c r="AD734" t="s">
        <v>32</v>
      </c>
      <c r="AE734" t="s">
        <v>5864</v>
      </c>
      <c r="AF734" t="s">
        <v>46835</v>
      </c>
    </row>
    <row r="735" spans="1:32" x14ac:dyDescent="0.2">
      <c r="A735">
        <v>730</v>
      </c>
      <c r="B735" t="s">
        <v>8869</v>
      </c>
      <c r="C735" t="s">
        <v>8870</v>
      </c>
      <c r="D735" t="s">
        <v>8871</v>
      </c>
      <c r="E735" t="s">
        <v>8872</v>
      </c>
      <c r="F735" t="s">
        <v>8873</v>
      </c>
      <c r="G735" t="s">
        <v>8874</v>
      </c>
      <c r="H735" t="str">
        <f>"Itgb1"</f>
        <v>Itgb1</v>
      </c>
      <c r="I735" t="s">
        <v>32</v>
      </c>
      <c r="J735" t="s">
        <v>37</v>
      </c>
      <c r="K735">
        <v>10090</v>
      </c>
      <c r="L735" s="3" t="str">
        <f>HYPERLINK("http://www.uniprot.org/uniprot/P09055", "P09055")</f>
        <v>P09055</v>
      </c>
      <c r="M735" t="s">
        <v>8875</v>
      </c>
      <c r="N735" t="str">
        <f>"Itgb1"</f>
        <v>Itgb1</v>
      </c>
      <c r="O735" s="3" t="str">
        <f>HYPERLINK("http://www.informatics.jax.org/marker/MGI:96610", "MGI:96610")</f>
        <v>MGI:96610</v>
      </c>
      <c r="P735" t="s">
        <v>8876</v>
      </c>
      <c r="Q735" t="s">
        <v>8877</v>
      </c>
      <c r="R735" t="s">
        <v>8878</v>
      </c>
      <c r="S735" t="s">
        <v>41</v>
      </c>
      <c r="T735" t="s">
        <v>32</v>
      </c>
      <c r="U735" t="s">
        <v>32</v>
      </c>
      <c r="V735" t="s">
        <v>1665</v>
      </c>
      <c r="W735" t="s">
        <v>223</v>
      </c>
      <c r="X735" t="s">
        <v>8879</v>
      </c>
      <c r="Y735" t="s">
        <v>8880</v>
      </c>
      <c r="Z735" t="s">
        <v>126</v>
      </c>
      <c r="AA735" t="s">
        <v>8881</v>
      </c>
      <c r="AB735" t="s">
        <v>8882</v>
      </c>
      <c r="AC735" t="s">
        <v>8883</v>
      </c>
      <c r="AD735" t="s">
        <v>32</v>
      </c>
      <c r="AE735" t="s">
        <v>8884</v>
      </c>
      <c r="AF735" t="s">
        <v>46835</v>
      </c>
    </row>
    <row r="736" spans="1:32" x14ac:dyDescent="0.2">
      <c r="A736">
        <v>731</v>
      </c>
      <c r="B736" t="s">
        <v>8885</v>
      </c>
      <c r="C736" t="s">
        <v>8886</v>
      </c>
      <c r="D736" t="s">
        <v>8887</v>
      </c>
      <c r="E736" t="s">
        <v>8888</v>
      </c>
      <c r="F736" t="s">
        <v>8889</v>
      </c>
      <c r="G736" t="s">
        <v>8890</v>
      </c>
      <c r="H736" t="str">
        <f>"Top2b"</f>
        <v>Top2b</v>
      </c>
      <c r="I736" t="s">
        <v>32</v>
      </c>
      <c r="J736" t="s">
        <v>37</v>
      </c>
      <c r="K736">
        <v>10090</v>
      </c>
      <c r="L736" s="3" t="str">
        <f>HYPERLINK("http://www.uniprot.org/uniprot/Q64511", "Q64511")</f>
        <v>Q64511</v>
      </c>
      <c r="M736" t="s">
        <v>8891</v>
      </c>
      <c r="N736" t="str">
        <f>"Top2b"</f>
        <v>Top2b</v>
      </c>
      <c r="O736" s="3" t="str">
        <f>HYPERLINK("http://www.informatics.jax.org/marker/MGI:98791", "MGI:98791")</f>
        <v>MGI:98791</v>
      </c>
      <c r="P736" t="s">
        <v>8892</v>
      </c>
      <c r="Q736" t="s">
        <v>32</v>
      </c>
      <c r="R736" t="s">
        <v>2279</v>
      </c>
      <c r="S736" t="s">
        <v>32</v>
      </c>
      <c r="T736" t="s">
        <v>32</v>
      </c>
      <c r="U736" t="s">
        <v>32</v>
      </c>
      <c r="V736" t="s">
        <v>32</v>
      </c>
      <c r="W736" t="s">
        <v>1266</v>
      </c>
      <c r="X736" t="s">
        <v>8893</v>
      </c>
      <c r="Y736" t="s">
        <v>516</v>
      </c>
      <c r="Z736" t="s">
        <v>32</v>
      </c>
      <c r="AA736" t="s">
        <v>8894</v>
      </c>
      <c r="AB736" t="s">
        <v>8895</v>
      </c>
      <c r="AC736" t="s">
        <v>8896</v>
      </c>
      <c r="AD736" t="s">
        <v>32</v>
      </c>
      <c r="AE736" t="s">
        <v>8897</v>
      </c>
      <c r="AF736" t="s">
        <v>46835</v>
      </c>
    </row>
    <row r="737" spans="1:32" x14ac:dyDescent="0.2">
      <c r="A737">
        <v>732</v>
      </c>
      <c r="B737" t="s">
        <v>8898</v>
      </c>
      <c r="C737" t="s">
        <v>8899</v>
      </c>
      <c r="D737" t="s">
        <v>8900</v>
      </c>
      <c r="E737" t="s">
        <v>8901</v>
      </c>
      <c r="F737" t="s">
        <v>8902</v>
      </c>
      <c r="G737" t="s">
        <v>8903</v>
      </c>
      <c r="H737" t="str">
        <f>"Elavl1"</f>
        <v>Elavl1</v>
      </c>
      <c r="I737" t="s">
        <v>8904</v>
      </c>
      <c r="J737" t="s">
        <v>37</v>
      </c>
      <c r="K737">
        <v>10090</v>
      </c>
      <c r="L737" s="3" t="str">
        <f>HYPERLINK("http://www.uniprot.org/uniprot/P70372", "P70372")</f>
        <v>P70372</v>
      </c>
      <c r="M737" t="s">
        <v>8905</v>
      </c>
      <c r="N737" t="str">
        <f>"Elavl1"</f>
        <v>Elavl1</v>
      </c>
      <c r="O737" s="3" t="str">
        <f>HYPERLINK("http://www.informatics.jax.org/marker/MGI:1100851", "MGI:1100851")</f>
        <v>MGI:1100851</v>
      </c>
      <c r="P737" t="s">
        <v>8906</v>
      </c>
      <c r="Q737" t="s">
        <v>32</v>
      </c>
      <c r="R737" t="s">
        <v>40</v>
      </c>
      <c r="S737" t="s">
        <v>32</v>
      </c>
      <c r="T737" t="s">
        <v>32</v>
      </c>
      <c r="U737" t="s">
        <v>32</v>
      </c>
      <c r="V737" t="s">
        <v>55</v>
      </c>
      <c r="W737" t="s">
        <v>32</v>
      </c>
      <c r="X737" t="s">
        <v>1282</v>
      </c>
      <c r="Y737" t="s">
        <v>207</v>
      </c>
      <c r="Z737" t="s">
        <v>32</v>
      </c>
      <c r="AA737" t="s">
        <v>8907</v>
      </c>
      <c r="AB737" t="s">
        <v>8908</v>
      </c>
      <c r="AC737" t="s">
        <v>8909</v>
      </c>
      <c r="AD737" t="s">
        <v>32</v>
      </c>
      <c r="AE737" t="s">
        <v>8910</v>
      </c>
      <c r="AF737" t="s">
        <v>46835</v>
      </c>
    </row>
    <row r="738" spans="1:32" x14ac:dyDescent="0.2">
      <c r="A738">
        <v>733</v>
      </c>
      <c r="B738" t="s">
        <v>8911</v>
      </c>
      <c r="C738" t="s">
        <v>8912</v>
      </c>
      <c r="D738" t="s">
        <v>8913</v>
      </c>
      <c r="E738" t="s">
        <v>8914</v>
      </c>
      <c r="F738" t="s">
        <v>8915</v>
      </c>
      <c r="G738" t="s">
        <v>8916</v>
      </c>
      <c r="H738" t="str">
        <f>"Srrt"</f>
        <v>Srrt</v>
      </c>
      <c r="I738" t="s">
        <v>8917</v>
      </c>
      <c r="J738" t="s">
        <v>37</v>
      </c>
      <c r="K738">
        <v>10090</v>
      </c>
      <c r="L738" s="3" t="str">
        <f>HYPERLINK("http://www.uniprot.org/uniprot/Q99MR6", "Q99MR6")</f>
        <v>Q99MR6</v>
      </c>
      <c r="M738" t="s">
        <v>8918</v>
      </c>
      <c r="N738" t="str">
        <f>"Srrt"</f>
        <v>Srrt</v>
      </c>
      <c r="O738" s="3" t="str">
        <f>HYPERLINK("http://www.informatics.jax.org/marker/MGI:1933527", "MGI:1933527")</f>
        <v>MGI:1933527</v>
      </c>
      <c r="P738" t="s">
        <v>8919</v>
      </c>
      <c r="Q738" t="s">
        <v>8920</v>
      </c>
      <c r="R738" t="s">
        <v>40</v>
      </c>
      <c r="S738" t="s">
        <v>41</v>
      </c>
      <c r="T738" t="s">
        <v>32</v>
      </c>
      <c r="U738" t="s">
        <v>32</v>
      </c>
      <c r="V738" t="s">
        <v>32</v>
      </c>
      <c r="W738" t="s">
        <v>32</v>
      </c>
      <c r="X738" t="s">
        <v>2602</v>
      </c>
      <c r="Y738" t="s">
        <v>207</v>
      </c>
      <c r="Z738" t="s">
        <v>32</v>
      </c>
      <c r="AA738" t="s">
        <v>8921</v>
      </c>
      <c r="AB738" t="s">
        <v>8922</v>
      </c>
      <c r="AC738" t="s">
        <v>8923</v>
      </c>
      <c r="AD738" t="s">
        <v>32</v>
      </c>
      <c r="AE738" t="s">
        <v>8924</v>
      </c>
      <c r="AF738" t="s">
        <v>46835</v>
      </c>
    </row>
    <row r="739" spans="1:32" x14ac:dyDescent="0.2">
      <c r="A739">
        <v>734</v>
      </c>
      <c r="B739" t="s">
        <v>8925</v>
      </c>
      <c r="C739" t="s">
        <v>8926</v>
      </c>
      <c r="D739" t="s">
        <v>8927</v>
      </c>
      <c r="E739" t="s">
        <v>8928</v>
      </c>
      <c r="F739" t="s">
        <v>8929</v>
      </c>
      <c r="G739" t="s">
        <v>8930</v>
      </c>
      <c r="H739" t="str">
        <f>"Ctnna2"</f>
        <v>Ctnna2</v>
      </c>
      <c r="I739" t="s">
        <v>8931</v>
      </c>
      <c r="J739" t="s">
        <v>37</v>
      </c>
      <c r="K739">
        <v>10090</v>
      </c>
      <c r="L739" s="3" t="str">
        <f>HYPERLINK("http://www.uniprot.org/uniprot/Q61301", "Q61301")</f>
        <v>Q61301</v>
      </c>
      <c r="M739" t="s">
        <v>8932</v>
      </c>
      <c r="N739" t="str">
        <f>"Ctnna2"</f>
        <v>Ctnna2</v>
      </c>
      <c r="O739" s="3" t="str">
        <f>HYPERLINK("http://www.informatics.jax.org/marker/MGI:88275", "MGI:88275")</f>
        <v>MGI:88275</v>
      </c>
      <c r="P739" t="s">
        <v>8933</v>
      </c>
      <c r="Q739" t="s">
        <v>8934</v>
      </c>
      <c r="R739" t="s">
        <v>8935</v>
      </c>
      <c r="S739" t="s">
        <v>41</v>
      </c>
      <c r="T739" t="s">
        <v>32</v>
      </c>
      <c r="U739" t="s">
        <v>32</v>
      </c>
      <c r="V739" t="s">
        <v>32</v>
      </c>
      <c r="W739" t="s">
        <v>32</v>
      </c>
      <c r="X739" t="s">
        <v>2029</v>
      </c>
      <c r="Y739" t="s">
        <v>618</v>
      </c>
      <c r="Z739" t="s">
        <v>126</v>
      </c>
      <c r="AA739" t="s">
        <v>8936</v>
      </c>
      <c r="AB739" t="s">
        <v>8937</v>
      </c>
      <c r="AC739" t="s">
        <v>8938</v>
      </c>
      <c r="AD739" t="s">
        <v>32</v>
      </c>
      <c r="AE739" t="s">
        <v>8939</v>
      </c>
      <c r="AF739" t="s">
        <v>46835</v>
      </c>
    </row>
    <row r="740" spans="1:32" x14ac:dyDescent="0.2">
      <c r="A740">
        <v>735</v>
      </c>
      <c r="B740" t="s">
        <v>8940</v>
      </c>
      <c r="C740" t="s">
        <v>8941</v>
      </c>
      <c r="D740" t="s">
        <v>8942</v>
      </c>
      <c r="E740" t="s">
        <v>8943</v>
      </c>
      <c r="F740" t="s">
        <v>8944</v>
      </c>
      <c r="G740" t="s">
        <v>8945</v>
      </c>
      <c r="H740" t="str">
        <f>"Nek9"</f>
        <v>Nek9</v>
      </c>
      <c r="I740" t="s">
        <v>8946</v>
      </c>
      <c r="J740" t="s">
        <v>37</v>
      </c>
      <c r="K740">
        <v>10090</v>
      </c>
      <c r="L740" s="3" t="str">
        <f>HYPERLINK("http://www.uniprot.org/uniprot/Q8K1R7", "Q8K1R7")</f>
        <v>Q8K1R7</v>
      </c>
      <c r="M740" t="s">
        <v>8947</v>
      </c>
      <c r="N740" t="str">
        <f>"Nek9"</f>
        <v>Nek9</v>
      </c>
      <c r="O740" s="3" t="str">
        <f>HYPERLINK("http://www.informatics.jax.org/marker/MGI:2387995", "MGI:2387995")</f>
        <v>MGI:2387995</v>
      </c>
      <c r="P740" t="s">
        <v>8948</v>
      </c>
      <c r="Q740" t="s">
        <v>2968</v>
      </c>
      <c r="R740" t="s">
        <v>40</v>
      </c>
      <c r="S740" t="s">
        <v>32</v>
      </c>
      <c r="T740" t="s">
        <v>32</v>
      </c>
      <c r="U740" t="s">
        <v>32</v>
      </c>
      <c r="V740" t="s">
        <v>137</v>
      </c>
      <c r="W740" t="s">
        <v>1266</v>
      </c>
      <c r="X740" t="s">
        <v>5419</v>
      </c>
      <c r="Y740" t="s">
        <v>157</v>
      </c>
      <c r="Z740" t="s">
        <v>126</v>
      </c>
      <c r="AA740" t="s">
        <v>8949</v>
      </c>
      <c r="AB740" t="s">
        <v>8950</v>
      </c>
      <c r="AC740" t="s">
        <v>8951</v>
      </c>
      <c r="AD740" t="s">
        <v>32</v>
      </c>
      <c r="AE740" t="s">
        <v>8952</v>
      </c>
      <c r="AF740" t="s">
        <v>46835</v>
      </c>
    </row>
    <row r="741" spans="1:32" x14ac:dyDescent="0.2">
      <c r="A741">
        <v>736</v>
      </c>
      <c r="B741" t="s">
        <v>8953</v>
      </c>
      <c r="C741" t="s">
        <v>8954</v>
      </c>
      <c r="D741" t="s">
        <v>8955</v>
      </c>
      <c r="E741" t="s">
        <v>8956</v>
      </c>
      <c r="F741" t="s">
        <v>8957</v>
      </c>
      <c r="G741" t="s">
        <v>32</v>
      </c>
      <c r="H741" t="str">
        <f>"Dync1li1"</f>
        <v>Dync1li1</v>
      </c>
      <c r="I741" t="s">
        <v>8958</v>
      </c>
      <c r="J741" t="s">
        <v>37</v>
      </c>
      <c r="K741">
        <v>10090</v>
      </c>
      <c r="L741" s="3" t="str">
        <f>HYPERLINK("http://www.uniprot.org/uniprot/Q8R1Q8", "Q8R1Q8")</f>
        <v>Q8R1Q8</v>
      </c>
      <c r="M741" t="s">
        <v>8959</v>
      </c>
      <c r="N741" t="str">
        <f>"Dync1li1"</f>
        <v>Dync1li1</v>
      </c>
      <c r="O741" s="3" t="str">
        <f>HYPERLINK("http://www.informatics.jax.org/marker/MGI:2135610", "MGI:2135610")</f>
        <v>MGI:2135610</v>
      </c>
      <c r="P741" t="s">
        <v>8960</v>
      </c>
      <c r="Q741" t="s">
        <v>827</v>
      </c>
      <c r="R741" t="s">
        <v>8961</v>
      </c>
      <c r="S741" t="s">
        <v>32</v>
      </c>
      <c r="T741" t="s">
        <v>32</v>
      </c>
      <c r="U741" t="s">
        <v>32</v>
      </c>
      <c r="V741" t="s">
        <v>32</v>
      </c>
      <c r="W741" t="s">
        <v>205</v>
      </c>
      <c r="X741" t="s">
        <v>830</v>
      </c>
      <c r="Y741" t="s">
        <v>618</v>
      </c>
      <c r="Z741" t="s">
        <v>32</v>
      </c>
      <c r="AA741" t="s">
        <v>8962</v>
      </c>
      <c r="AB741" t="s">
        <v>8963</v>
      </c>
      <c r="AC741" t="s">
        <v>8964</v>
      </c>
      <c r="AD741" t="s">
        <v>32</v>
      </c>
      <c r="AE741" t="s">
        <v>8965</v>
      </c>
      <c r="AF741" t="s">
        <v>46835</v>
      </c>
    </row>
    <row r="742" spans="1:32" x14ac:dyDescent="0.2">
      <c r="A742">
        <v>737</v>
      </c>
      <c r="B742" t="s">
        <v>8966</v>
      </c>
      <c r="C742" t="s">
        <v>8967</v>
      </c>
      <c r="D742" t="s">
        <v>8968</v>
      </c>
      <c r="E742" t="s">
        <v>8969</v>
      </c>
      <c r="F742" t="s">
        <v>8970</v>
      </c>
      <c r="G742" t="s">
        <v>8971</v>
      </c>
      <c r="H742" t="str">
        <f>"Add1"</f>
        <v>Add1</v>
      </c>
      <c r="I742" t="s">
        <v>32</v>
      </c>
      <c r="J742" t="s">
        <v>37</v>
      </c>
      <c r="K742">
        <v>10090</v>
      </c>
      <c r="L742" s="3" t="str">
        <f>HYPERLINK("http://www.uniprot.org/uniprot/Q9QYC0", "Q9QYC0")</f>
        <v>Q9QYC0</v>
      </c>
      <c r="M742" t="s">
        <v>8972</v>
      </c>
      <c r="N742" t="str">
        <f>"Add1"</f>
        <v>Add1</v>
      </c>
      <c r="O742" s="3" t="str">
        <f>HYPERLINK("http://www.informatics.jax.org/marker/MGI:87918", "MGI:87918")</f>
        <v>MGI:87918</v>
      </c>
      <c r="P742" t="s">
        <v>8973</v>
      </c>
      <c r="Q742" t="s">
        <v>32</v>
      </c>
      <c r="R742" t="s">
        <v>371</v>
      </c>
      <c r="S742" t="s">
        <v>41</v>
      </c>
      <c r="T742" t="s">
        <v>32</v>
      </c>
      <c r="U742" t="s">
        <v>32</v>
      </c>
      <c r="V742" t="s">
        <v>32</v>
      </c>
      <c r="W742" t="s">
        <v>32</v>
      </c>
      <c r="X742" t="s">
        <v>5561</v>
      </c>
      <c r="Y742" t="s">
        <v>157</v>
      </c>
      <c r="Z742" t="s">
        <v>32</v>
      </c>
      <c r="AA742" t="s">
        <v>8974</v>
      </c>
      <c r="AB742" t="s">
        <v>8975</v>
      </c>
      <c r="AC742" t="s">
        <v>8976</v>
      </c>
      <c r="AD742" t="s">
        <v>32</v>
      </c>
      <c r="AE742" t="s">
        <v>8977</v>
      </c>
      <c r="AF742" t="s">
        <v>46835</v>
      </c>
    </row>
    <row r="743" spans="1:32" x14ac:dyDescent="0.2">
      <c r="A743">
        <v>738</v>
      </c>
      <c r="B743" t="s">
        <v>8978</v>
      </c>
      <c r="C743" t="s">
        <v>8979</v>
      </c>
      <c r="D743" t="s">
        <v>8980</v>
      </c>
      <c r="E743" t="s">
        <v>8981</v>
      </c>
      <c r="F743" t="s">
        <v>8982</v>
      </c>
      <c r="G743" t="s">
        <v>8983</v>
      </c>
      <c r="H743" t="str">
        <f>"Esd"</f>
        <v>Esd</v>
      </c>
      <c r="I743" t="s">
        <v>8984</v>
      </c>
      <c r="J743" t="s">
        <v>37</v>
      </c>
      <c r="K743">
        <v>10090</v>
      </c>
      <c r="L743" s="3" t="str">
        <f>HYPERLINK("http://www.uniprot.org/uniprot/Q9R0P3", "Q9R0P3")</f>
        <v>Q9R0P3</v>
      </c>
      <c r="M743" t="s">
        <v>8985</v>
      </c>
      <c r="N743" t="str">
        <f>"Esd"</f>
        <v>Esd</v>
      </c>
      <c r="O743" s="3" t="str">
        <f>HYPERLINK("http://www.informatics.jax.org/marker/MGI:95421", "MGI:95421")</f>
        <v>MGI:95421</v>
      </c>
      <c r="P743" t="s">
        <v>8986</v>
      </c>
      <c r="Q743" t="s">
        <v>32</v>
      </c>
      <c r="R743" t="s">
        <v>8987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8988</v>
      </c>
      <c r="Y743" t="s">
        <v>78</v>
      </c>
      <c r="Z743" t="s">
        <v>32</v>
      </c>
      <c r="AA743" t="s">
        <v>8989</v>
      </c>
      <c r="AB743" t="s">
        <v>8990</v>
      </c>
      <c r="AC743" t="s">
        <v>8991</v>
      </c>
      <c r="AD743" t="s">
        <v>32</v>
      </c>
      <c r="AE743" t="s">
        <v>3121</v>
      </c>
      <c r="AF743" t="s">
        <v>46835</v>
      </c>
    </row>
    <row r="744" spans="1:32" x14ac:dyDescent="0.2">
      <c r="A744">
        <v>739</v>
      </c>
      <c r="B744" t="s">
        <v>8992</v>
      </c>
      <c r="C744" t="s">
        <v>8993</v>
      </c>
      <c r="D744" t="s">
        <v>8994</v>
      </c>
      <c r="E744" t="s">
        <v>8995</v>
      </c>
      <c r="F744" t="s">
        <v>8996</v>
      </c>
      <c r="G744" t="s">
        <v>8997</v>
      </c>
      <c r="H744" t="str">
        <f>"Txnl1"</f>
        <v>Txnl1</v>
      </c>
      <c r="I744" t="s">
        <v>8998</v>
      </c>
      <c r="J744" t="s">
        <v>37</v>
      </c>
      <c r="K744">
        <v>10090</v>
      </c>
      <c r="L744" s="3" t="str">
        <f>HYPERLINK("http://www.uniprot.org/uniprot/Q8CDN6", "Q8CDN6")</f>
        <v>Q8CDN6</v>
      </c>
      <c r="M744" t="s">
        <v>8999</v>
      </c>
      <c r="N744" t="str">
        <f>"Txnl1"</f>
        <v>Txnl1</v>
      </c>
      <c r="O744" s="3" t="str">
        <f>HYPERLINK("http://www.informatics.jax.org/marker/MGI:1860078", "MGI:1860078")</f>
        <v>MGI:1860078</v>
      </c>
      <c r="P744" t="s">
        <v>9000</v>
      </c>
      <c r="Q744" t="s">
        <v>4599</v>
      </c>
      <c r="R744" t="s">
        <v>2586</v>
      </c>
      <c r="S744" t="s">
        <v>32</v>
      </c>
      <c r="T744" t="s">
        <v>32</v>
      </c>
      <c r="U744" t="s">
        <v>32</v>
      </c>
      <c r="V744" t="s">
        <v>1090</v>
      </c>
      <c r="W744" t="s">
        <v>32</v>
      </c>
      <c r="X744" t="s">
        <v>32</v>
      </c>
      <c r="Y744" t="s">
        <v>2080</v>
      </c>
      <c r="Z744" t="s">
        <v>32</v>
      </c>
      <c r="AA744" t="s">
        <v>32</v>
      </c>
      <c r="AB744" t="s">
        <v>9001</v>
      </c>
      <c r="AC744" t="s">
        <v>9002</v>
      </c>
      <c r="AD744" t="s">
        <v>32</v>
      </c>
      <c r="AE744" t="s">
        <v>9003</v>
      </c>
      <c r="AF744" t="s">
        <v>46835</v>
      </c>
    </row>
    <row r="745" spans="1:32" x14ac:dyDescent="0.2">
      <c r="A745">
        <v>740</v>
      </c>
      <c r="B745" t="s">
        <v>9004</v>
      </c>
      <c r="C745" t="s">
        <v>9005</v>
      </c>
      <c r="D745" t="s">
        <v>9006</v>
      </c>
      <c r="E745" t="s">
        <v>9007</v>
      </c>
      <c r="F745" t="s">
        <v>9008</v>
      </c>
      <c r="G745" t="s">
        <v>9009</v>
      </c>
      <c r="H745" t="str">
        <f>"Lrp1"</f>
        <v>Lrp1</v>
      </c>
      <c r="I745" t="s">
        <v>32</v>
      </c>
      <c r="J745" t="s">
        <v>37</v>
      </c>
      <c r="K745">
        <v>10090</v>
      </c>
      <c r="L745" s="3" t="str">
        <f>HYPERLINK("http://www.uniprot.org/uniprot/Q91ZX7", "Q91ZX7")</f>
        <v>Q91ZX7</v>
      </c>
      <c r="M745" t="s">
        <v>9010</v>
      </c>
      <c r="N745" t="str">
        <f>"Lrp1"</f>
        <v>Lrp1</v>
      </c>
      <c r="O745" s="3" t="str">
        <f>HYPERLINK("http://www.informatics.jax.org/marker/MGI:96828", "MGI:96828")</f>
        <v>MGI:96828</v>
      </c>
      <c r="P745" t="s">
        <v>9011</v>
      </c>
      <c r="Q745" t="s">
        <v>2822</v>
      </c>
      <c r="R745" t="s">
        <v>9012</v>
      </c>
      <c r="S745" t="s">
        <v>32</v>
      </c>
      <c r="T745" t="s">
        <v>32</v>
      </c>
      <c r="U745" t="s">
        <v>32</v>
      </c>
      <c r="V745" t="s">
        <v>9013</v>
      </c>
      <c r="W745" t="s">
        <v>188</v>
      </c>
      <c r="X745" t="s">
        <v>9014</v>
      </c>
      <c r="Y745" t="s">
        <v>9015</v>
      </c>
      <c r="Z745" t="s">
        <v>32</v>
      </c>
      <c r="AA745" t="s">
        <v>9016</v>
      </c>
      <c r="AB745" t="s">
        <v>9017</v>
      </c>
      <c r="AC745" t="s">
        <v>9018</v>
      </c>
      <c r="AD745" t="s">
        <v>32</v>
      </c>
      <c r="AE745" t="s">
        <v>9019</v>
      </c>
      <c r="AF745" t="s">
        <v>46835</v>
      </c>
    </row>
    <row r="746" spans="1:32" x14ac:dyDescent="0.2">
      <c r="A746">
        <v>741</v>
      </c>
      <c r="B746" t="s">
        <v>9020</v>
      </c>
      <c r="C746" t="s">
        <v>9021</v>
      </c>
      <c r="D746" t="s">
        <v>9022</v>
      </c>
      <c r="E746" t="s">
        <v>9023</v>
      </c>
      <c r="F746" t="s">
        <v>9024</v>
      </c>
      <c r="G746" t="s">
        <v>9025</v>
      </c>
      <c r="H746" t="str">
        <f>"Tmed10"</f>
        <v>Tmed10</v>
      </c>
      <c r="I746" t="s">
        <v>9026</v>
      </c>
      <c r="J746" t="s">
        <v>37</v>
      </c>
      <c r="K746">
        <v>10090</v>
      </c>
      <c r="L746" s="3" t="str">
        <f>HYPERLINK("http://www.uniprot.org/uniprot/Q9D1D4", "Q9D1D4")</f>
        <v>Q9D1D4</v>
      </c>
      <c r="M746" t="s">
        <v>9027</v>
      </c>
      <c r="N746" t="str">
        <f>"Tmed10"</f>
        <v>Tmed10</v>
      </c>
      <c r="O746" s="3" t="str">
        <f>HYPERLINK("http://www.informatics.jax.org/marker/MGI:1915831", "MGI:1915831")</f>
        <v>MGI:1915831</v>
      </c>
      <c r="P746" t="s">
        <v>9028</v>
      </c>
      <c r="Q746" t="s">
        <v>2916</v>
      </c>
      <c r="R746" t="s">
        <v>9029</v>
      </c>
      <c r="S746" t="s">
        <v>41</v>
      </c>
      <c r="T746" t="s">
        <v>32</v>
      </c>
      <c r="U746" t="s">
        <v>32</v>
      </c>
      <c r="V746" t="s">
        <v>3948</v>
      </c>
      <c r="W746" t="s">
        <v>32</v>
      </c>
      <c r="X746" t="s">
        <v>32</v>
      </c>
      <c r="Y746" t="s">
        <v>9030</v>
      </c>
      <c r="Z746" t="s">
        <v>32</v>
      </c>
      <c r="AA746" t="s">
        <v>9031</v>
      </c>
      <c r="AB746" t="s">
        <v>9032</v>
      </c>
      <c r="AC746" t="s">
        <v>9033</v>
      </c>
      <c r="AD746" t="s">
        <v>32</v>
      </c>
      <c r="AE746" t="s">
        <v>9034</v>
      </c>
      <c r="AF746" t="s">
        <v>46835</v>
      </c>
    </row>
    <row r="747" spans="1:32" x14ac:dyDescent="0.2">
      <c r="A747">
        <v>742</v>
      </c>
      <c r="B747" t="s">
        <v>9035</v>
      </c>
      <c r="C747" t="s">
        <v>9036</v>
      </c>
      <c r="D747" t="s">
        <v>9037</v>
      </c>
      <c r="E747" t="s">
        <v>9038</v>
      </c>
      <c r="F747" t="s">
        <v>9039</v>
      </c>
      <c r="G747" t="s">
        <v>32</v>
      </c>
      <c r="H747" t="str">
        <f>"Hmgn2"</f>
        <v>Hmgn2</v>
      </c>
      <c r="I747" t="s">
        <v>9040</v>
      </c>
      <c r="J747" t="s">
        <v>37</v>
      </c>
      <c r="K747">
        <v>10090</v>
      </c>
      <c r="L747" s="3" t="str">
        <f>HYPERLINK("http://www.uniprot.org/uniprot/P09602", "P09602")</f>
        <v>P09602</v>
      </c>
      <c r="M747" t="s">
        <v>9041</v>
      </c>
      <c r="N747" t="str">
        <f>"Hmgn2"</f>
        <v>Hmgn2</v>
      </c>
      <c r="O747" s="3" t="str">
        <f>HYPERLINK("http://www.informatics.jax.org/marker/MGI:96136", "MGI:96136")</f>
        <v>MGI:96136</v>
      </c>
      <c r="P747" t="s">
        <v>9042</v>
      </c>
      <c r="Q747" t="s">
        <v>32</v>
      </c>
      <c r="R747" t="s">
        <v>40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247</v>
      </c>
      <c r="Y747" t="s">
        <v>448</v>
      </c>
      <c r="Z747" t="s">
        <v>32</v>
      </c>
      <c r="AA747" t="s">
        <v>9043</v>
      </c>
      <c r="AB747" t="s">
        <v>9044</v>
      </c>
      <c r="AC747" t="s">
        <v>9045</v>
      </c>
      <c r="AD747" t="s">
        <v>32</v>
      </c>
      <c r="AE747" t="s">
        <v>32</v>
      </c>
      <c r="AF747" t="s">
        <v>46835</v>
      </c>
    </row>
    <row r="748" spans="1:32" x14ac:dyDescent="0.2">
      <c r="A748">
        <v>743</v>
      </c>
      <c r="B748" t="s">
        <v>9046</v>
      </c>
      <c r="C748" t="s">
        <v>9047</v>
      </c>
      <c r="D748" t="s">
        <v>32</v>
      </c>
      <c r="E748" t="s">
        <v>9048</v>
      </c>
      <c r="F748" t="s">
        <v>9049</v>
      </c>
      <c r="G748" t="s">
        <v>32</v>
      </c>
      <c r="H748" t="str">
        <f>"Rpl38"</f>
        <v>Rpl38</v>
      </c>
      <c r="I748" t="s">
        <v>32</v>
      </c>
      <c r="J748" t="s">
        <v>37</v>
      </c>
      <c r="K748">
        <v>10090</v>
      </c>
      <c r="L748" s="3" t="str">
        <f>HYPERLINK("http://www.uniprot.org/uniprot/Q9JJI8", "Q9JJI8")</f>
        <v>Q9JJI8</v>
      </c>
      <c r="M748" t="s">
        <v>9050</v>
      </c>
      <c r="N748" t="str">
        <f>"Rpl38"</f>
        <v>Rpl38</v>
      </c>
      <c r="O748" s="3" t="str">
        <f>HYPERLINK("http://www.informatics.jax.org/marker/MGI:1914921", "MGI:1914921")</f>
        <v>MGI:1914921</v>
      </c>
      <c r="P748" t="s">
        <v>1053</v>
      </c>
      <c r="Q748" t="s">
        <v>32</v>
      </c>
      <c r="R748" t="s">
        <v>418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447</v>
      </c>
      <c r="Y748" t="s">
        <v>461</v>
      </c>
      <c r="Z748" t="s">
        <v>126</v>
      </c>
      <c r="AA748" t="s">
        <v>9051</v>
      </c>
      <c r="AB748" t="s">
        <v>9052</v>
      </c>
      <c r="AC748" t="s">
        <v>1010</v>
      </c>
      <c r="AD748" t="s">
        <v>32</v>
      </c>
      <c r="AE748" t="s">
        <v>765</v>
      </c>
      <c r="AF748" t="s">
        <v>46835</v>
      </c>
    </row>
    <row r="749" spans="1:32" x14ac:dyDescent="0.2">
      <c r="A749">
        <v>744</v>
      </c>
      <c r="B749" t="s">
        <v>9053</v>
      </c>
      <c r="C749" t="s">
        <v>9054</v>
      </c>
      <c r="D749" t="s">
        <v>32</v>
      </c>
      <c r="E749" t="s">
        <v>9055</v>
      </c>
      <c r="F749" t="s">
        <v>9056</v>
      </c>
      <c r="G749" t="s">
        <v>9057</v>
      </c>
      <c r="H749" t="str">
        <f>"Abcf1"</f>
        <v>Abcf1</v>
      </c>
      <c r="I749" t="s">
        <v>32</v>
      </c>
      <c r="J749" t="s">
        <v>37</v>
      </c>
      <c r="K749">
        <v>10090</v>
      </c>
      <c r="L749" s="3" t="str">
        <f>HYPERLINK("http://www.uniprot.org/uniprot/Q6P542", "Q6P542")</f>
        <v>Q6P542</v>
      </c>
      <c r="M749" t="s">
        <v>9058</v>
      </c>
      <c r="N749" t="str">
        <f>"Abcf1"</f>
        <v>Abcf1</v>
      </c>
      <c r="O749" s="3" t="str">
        <f>HYPERLINK("http://www.informatics.jax.org/marker/MGI:1351658", "MGI:1351658")</f>
        <v>MGI:1351658</v>
      </c>
      <c r="P749" t="s">
        <v>9059</v>
      </c>
      <c r="Q749" t="s">
        <v>32</v>
      </c>
      <c r="R749" t="s">
        <v>40</v>
      </c>
      <c r="S749" t="s">
        <v>32</v>
      </c>
      <c r="T749" t="s">
        <v>32</v>
      </c>
      <c r="U749" t="s">
        <v>32</v>
      </c>
      <c r="V749" t="s">
        <v>55</v>
      </c>
      <c r="W749" t="s">
        <v>205</v>
      </c>
      <c r="X749" t="s">
        <v>2602</v>
      </c>
      <c r="Y749" t="s">
        <v>618</v>
      </c>
      <c r="Z749" t="s">
        <v>32</v>
      </c>
      <c r="AA749" t="s">
        <v>9060</v>
      </c>
      <c r="AB749" t="s">
        <v>9061</v>
      </c>
      <c r="AC749" t="s">
        <v>9062</v>
      </c>
      <c r="AD749" t="s">
        <v>32</v>
      </c>
      <c r="AE749" t="s">
        <v>9063</v>
      </c>
      <c r="AF749" t="s">
        <v>46835</v>
      </c>
    </row>
    <row r="750" spans="1:32" x14ac:dyDescent="0.2">
      <c r="A750">
        <v>745</v>
      </c>
      <c r="B750" t="s">
        <v>9064</v>
      </c>
      <c r="C750" t="s">
        <v>9065</v>
      </c>
      <c r="D750" t="s">
        <v>32</v>
      </c>
      <c r="E750" t="s">
        <v>9066</v>
      </c>
      <c r="F750" t="s">
        <v>9067</v>
      </c>
      <c r="G750" t="s">
        <v>9068</v>
      </c>
      <c r="H750" t="str">
        <f>"Snx1"</f>
        <v>Snx1</v>
      </c>
      <c r="I750" t="s">
        <v>32</v>
      </c>
      <c r="J750" t="s">
        <v>37</v>
      </c>
      <c r="K750">
        <v>10090</v>
      </c>
      <c r="L750" s="3" t="str">
        <f>HYPERLINK("http://www.uniprot.org/uniprot/Q9WV80", "Q9WV80")</f>
        <v>Q9WV80</v>
      </c>
      <c r="M750" t="s">
        <v>9069</v>
      </c>
      <c r="N750" t="str">
        <f>"Snx1"</f>
        <v>Snx1</v>
      </c>
      <c r="O750" s="3" t="str">
        <f>HYPERLINK("http://www.informatics.jax.org/marker/MGI:1928395", "MGI:1928395")</f>
        <v>MGI:1928395</v>
      </c>
      <c r="P750" t="s">
        <v>9070</v>
      </c>
      <c r="Q750" t="s">
        <v>434</v>
      </c>
      <c r="R750" t="s">
        <v>9071</v>
      </c>
      <c r="S750" t="s">
        <v>32</v>
      </c>
      <c r="T750" t="s">
        <v>32</v>
      </c>
      <c r="U750" t="s">
        <v>32</v>
      </c>
      <c r="V750" t="s">
        <v>32</v>
      </c>
      <c r="W750" t="s">
        <v>584</v>
      </c>
      <c r="X750" t="s">
        <v>32</v>
      </c>
      <c r="Y750" t="s">
        <v>157</v>
      </c>
      <c r="Z750" t="s">
        <v>126</v>
      </c>
      <c r="AA750" t="s">
        <v>9072</v>
      </c>
      <c r="AB750" t="s">
        <v>9073</v>
      </c>
      <c r="AC750" t="s">
        <v>9074</v>
      </c>
      <c r="AD750" t="s">
        <v>32</v>
      </c>
      <c r="AE750" t="s">
        <v>32</v>
      </c>
      <c r="AF750" t="s">
        <v>46835</v>
      </c>
    </row>
    <row r="751" spans="1:32" x14ac:dyDescent="0.2">
      <c r="A751">
        <v>746</v>
      </c>
      <c r="B751" t="s">
        <v>9075</v>
      </c>
      <c r="C751" t="s">
        <v>9076</v>
      </c>
      <c r="D751" t="s">
        <v>9077</v>
      </c>
      <c r="E751" t="s">
        <v>9078</v>
      </c>
      <c r="F751" t="s">
        <v>9079</v>
      </c>
      <c r="G751" t="s">
        <v>9080</v>
      </c>
      <c r="H751" t="str">
        <f>"Rbbp4"</f>
        <v>Rbbp4</v>
      </c>
      <c r="I751" t="s">
        <v>9081</v>
      </c>
      <c r="J751" t="s">
        <v>37</v>
      </c>
      <c r="K751">
        <v>10090</v>
      </c>
      <c r="L751" s="3" t="str">
        <f>HYPERLINK("http://www.uniprot.org/uniprot/Q60972", "Q60972")</f>
        <v>Q60972</v>
      </c>
      <c r="M751" t="s">
        <v>9082</v>
      </c>
      <c r="N751" t="str">
        <f>"Rbbp4"</f>
        <v>Rbbp4</v>
      </c>
      <c r="O751" s="3" t="str">
        <f>HYPERLINK("http://www.informatics.jax.org/marker/MGI:1194912", "MGI:1194912")</f>
        <v>MGI:1194912</v>
      </c>
      <c r="P751" t="s">
        <v>9083</v>
      </c>
      <c r="Q751" t="s">
        <v>9084</v>
      </c>
      <c r="R751" t="s">
        <v>9085</v>
      </c>
      <c r="S751" t="s">
        <v>32</v>
      </c>
      <c r="T751" t="s">
        <v>32</v>
      </c>
      <c r="U751" t="s">
        <v>32</v>
      </c>
      <c r="V751" t="s">
        <v>1910</v>
      </c>
      <c r="W751" t="s">
        <v>32</v>
      </c>
      <c r="X751" t="s">
        <v>5208</v>
      </c>
      <c r="Y751" t="s">
        <v>516</v>
      </c>
      <c r="Z751" t="s">
        <v>32</v>
      </c>
      <c r="AA751" t="s">
        <v>9086</v>
      </c>
      <c r="AB751" t="s">
        <v>9087</v>
      </c>
      <c r="AC751" t="s">
        <v>9088</v>
      </c>
      <c r="AD751" t="s">
        <v>32</v>
      </c>
      <c r="AE751" t="s">
        <v>9089</v>
      </c>
      <c r="AF751" t="s">
        <v>46835</v>
      </c>
    </row>
    <row r="752" spans="1:32" x14ac:dyDescent="0.2">
      <c r="A752">
        <v>747</v>
      </c>
      <c r="B752" t="s">
        <v>9090</v>
      </c>
      <c r="C752" t="s">
        <v>9091</v>
      </c>
      <c r="D752" t="s">
        <v>9092</v>
      </c>
      <c r="E752" t="s">
        <v>9093</v>
      </c>
      <c r="F752" t="s">
        <v>9094</v>
      </c>
      <c r="G752" t="s">
        <v>9095</v>
      </c>
      <c r="H752" t="str">
        <f>"Ap1b1"</f>
        <v>Ap1b1</v>
      </c>
      <c r="I752" t="s">
        <v>9096</v>
      </c>
      <c r="J752" t="s">
        <v>37</v>
      </c>
      <c r="K752">
        <v>10090</v>
      </c>
      <c r="L752" s="3" t="str">
        <f>HYPERLINK("http://www.uniprot.org/uniprot/O35643", "O35643")</f>
        <v>O35643</v>
      </c>
      <c r="M752" t="s">
        <v>9097</v>
      </c>
      <c r="N752" t="str">
        <f>"Ap1b1"</f>
        <v>Ap1b1</v>
      </c>
      <c r="O752" s="3" t="str">
        <f>HYPERLINK("http://www.informatics.jax.org/marker/MGI:1096368", "MGI:1096368")</f>
        <v>MGI:1096368</v>
      </c>
      <c r="P752" t="s">
        <v>9098</v>
      </c>
      <c r="Q752" t="s">
        <v>434</v>
      </c>
      <c r="R752" t="s">
        <v>9099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32</v>
      </c>
      <c r="Y752" t="s">
        <v>9100</v>
      </c>
      <c r="Z752" t="s">
        <v>32</v>
      </c>
      <c r="AA752" t="s">
        <v>9101</v>
      </c>
      <c r="AB752" t="s">
        <v>9102</v>
      </c>
      <c r="AC752" t="s">
        <v>9103</v>
      </c>
      <c r="AD752" t="s">
        <v>32</v>
      </c>
      <c r="AE752" t="s">
        <v>9104</v>
      </c>
      <c r="AF752" t="s">
        <v>46835</v>
      </c>
    </row>
    <row r="753" spans="1:32" x14ac:dyDescent="0.2">
      <c r="A753">
        <v>748</v>
      </c>
      <c r="B753" t="s">
        <v>9105</v>
      </c>
      <c r="C753" t="s">
        <v>9106</v>
      </c>
      <c r="D753" t="s">
        <v>9107</v>
      </c>
      <c r="E753" t="s">
        <v>9108</v>
      </c>
      <c r="F753" t="s">
        <v>9109</v>
      </c>
      <c r="G753" t="s">
        <v>32</v>
      </c>
      <c r="H753" t="str">
        <f>"Ehd1"</f>
        <v>Ehd1</v>
      </c>
      <c r="I753" t="s">
        <v>32</v>
      </c>
      <c r="J753" t="s">
        <v>37</v>
      </c>
      <c r="K753">
        <v>10090</v>
      </c>
      <c r="L753" s="3" t="str">
        <f>HYPERLINK("http://www.uniprot.org/uniprot/Q9WVK4", "Q9WVK4")</f>
        <v>Q9WVK4</v>
      </c>
      <c r="M753" t="s">
        <v>9110</v>
      </c>
      <c r="N753" t="str">
        <f>"Ehd1"</f>
        <v>Ehd1</v>
      </c>
      <c r="O753" s="3" t="str">
        <f>HYPERLINK("http://www.informatics.jax.org/marker/MGI:1341878", "MGI:1341878")</f>
        <v>MGI:1341878</v>
      </c>
      <c r="P753" t="s">
        <v>9111</v>
      </c>
      <c r="Q753" t="s">
        <v>9112</v>
      </c>
      <c r="R753" t="s">
        <v>9113</v>
      </c>
      <c r="S753" t="s">
        <v>32</v>
      </c>
      <c r="T753" t="s">
        <v>32</v>
      </c>
      <c r="U753" t="s">
        <v>32</v>
      </c>
      <c r="V753" t="s">
        <v>290</v>
      </c>
      <c r="W753" t="s">
        <v>9114</v>
      </c>
      <c r="X753" t="s">
        <v>32</v>
      </c>
      <c r="Y753" t="s">
        <v>157</v>
      </c>
      <c r="Z753" t="s">
        <v>32</v>
      </c>
      <c r="AA753" t="s">
        <v>9115</v>
      </c>
      <c r="AB753" t="s">
        <v>9116</v>
      </c>
      <c r="AC753" t="s">
        <v>9117</v>
      </c>
      <c r="AD753" t="s">
        <v>32</v>
      </c>
      <c r="AE753" t="s">
        <v>7401</v>
      </c>
      <c r="AF753" t="s">
        <v>46835</v>
      </c>
    </row>
    <row r="754" spans="1:32" x14ac:dyDescent="0.2">
      <c r="A754">
        <v>749</v>
      </c>
      <c r="B754" t="s">
        <v>9118</v>
      </c>
      <c r="C754" t="s">
        <v>9119</v>
      </c>
      <c r="D754" t="s">
        <v>9120</v>
      </c>
      <c r="E754" t="s">
        <v>9121</v>
      </c>
      <c r="F754" t="s">
        <v>9122</v>
      </c>
      <c r="G754" t="s">
        <v>9123</v>
      </c>
      <c r="H754" t="str">
        <f>"Bcl2l13"</f>
        <v>Bcl2l13</v>
      </c>
      <c r="I754" t="s">
        <v>9124</v>
      </c>
      <c r="J754" t="s">
        <v>37</v>
      </c>
      <c r="K754">
        <v>10090</v>
      </c>
      <c r="L754" s="3" t="str">
        <f>HYPERLINK("http://www.uniprot.org/uniprot/P59017", "P59017")</f>
        <v>P59017</v>
      </c>
      <c r="M754" t="s">
        <v>9125</v>
      </c>
      <c r="N754" t="str">
        <f>"Bcl2l13"</f>
        <v>Bcl2l13</v>
      </c>
      <c r="O754" s="3" t="str">
        <f>HYPERLINK("http://www.informatics.jax.org/marker/MGI:2136959", "MGI:2136959")</f>
        <v>MGI:2136959</v>
      </c>
      <c r="P754" t="s">
        <v>9126</v>
      </c>
      <c r="Q754" t="s">
        <v>541</v>
      </c>
      <c r="R754" t="s">
        <v>6354</v>
      </c>
      <c r="S754" t="s">
        <v>32</v>
      </c>
      <c r="T754" t="s">
        <v>32</v>
      </c>
      <c r="U754" t="s">
        <v>32</v>
      </c>
      <c r="V754" t="s">
        <v>1620</v>
      </c>
      <c r="W754" t="s">
        <v>32</v>
      </c>
      <c r="X754" t="s">
        <v>32</v>
      </c>
      <c r="Y754" t="s">
        <v>618</v>
      </c>
      <c r="Z754" t="s">
        <v>32</v>
      </c>
      <c r="AA754" t="s">
        <v>9127</v>
      </c>
      <c r="AB754" t="s">
        <v>9128</v>
      </c>
      <c r="AC754" t="s">
        <v>32</v>
      </c>
      <c r="AD754" t="s">
        <v>32</v>
      </c>
      <c r="AE754" t="s">
        <v>32</v>
      </c>
      <c r="AF754" t="s">
        <v>46835</v>
      </c>
    </row>
    <row r="755" spans="1:32" x14ac:dyDescent="0.2">
      <c r="A755">
        <v>750</v>
      </c>
      <c r="B755" t="s">
        <v>9129</v>
      </c>
      <c r="C755" t="s">
        <v>9130</v>
      </c>
      <c r="D755" t="s">
        <v>9131</v>
      </c>
      <c r="E755" t="s">
        <v>9132</v>
      </c>
      <c r="F755" t="s">
        <v>9133</v>
      </c>
      <c r="G755" t="s">
        <v>32</v>
      </c>
      <c r="H755" t="str">
        <f>"Naxe"</f>
        <v>Naxe</v>
      </c>
      <c r="I755" t="s">
        <v>9134</v>
      </c>
      <c r="J755" t="s">
        <v>37</v>
      </c>
      <c r="K755">
        <v>10090</v>
      </c>
      <c r="L755" s="3" t="str">
        <f>HYPERLINK("http://www.uniprot.org/uniprot/Q8K4Z3", "Q8K4Z3")</f>
        <v>Q8K4Z3</v>
      </c>
      <c r="M755" t="s">
        <v>9135</v>
      </c>
      <c r="N755" t="str">
        <f>"Naxe"</f>
        <v>Naxe</v>
      </c>
      <c r="O755" s="3" t="str">
        <f>HYPERLINK("http://www.informatics.jax.org/marker/MGI:2180167", "MGI:2180167")</f>
        <v>MGI:2180167</v>
      </c>
      <c r="P755" t="s">
        <v>9136</v>
      </c>
      <c r="Q755" t="s">
        <v>582</v>
      </c>
      <c r="R755" t="s">
        <v>9137</v>
      </c>
      <c r="S755" t="s">
        <v>32</v>
      </c>
      <c r="T755" t="s">
        <v>32</v>
      </c>
      <c r="U755" t="s">
        <v>32</v>
      </c>
      <c r="V755" t="s">
        <v>1039</v>
      </c>
      <c r="W755" t="s">
        <v>9138</v>
      </c>
      <c r="X755" t="s">
        <v>673</v>
      </c>
      <c r="Y755" t="s">
        <v>618</v>
      </c>
      <c r="Z755" t="s">
        <v>126</v>
      </c>
      <c r="AA755" t="s">
        <v>9139</v>
      </c>
      <c r="AB755" t="s">
        <v>9140</v>
      </c>
      <c r="AC755" t="s">
        <v>9141</v>
      </c>
      <c r="AD755" t="s">
        <v>32</v>
      </c>
      <c r="AE755" t="s">
        <v>9142</v>
      </c>
      <c r="AF755" t="s">
        <v>46835</v>
      </c>
    </row>
    <row r="756" spans="1:32" x14ac:dyDescent="0.2">
      <c r="A756">
        <v>751</v>
      </c>
      <c r="B756" t="s">
        <v>9143</v>
      </c>
      <c r="C756" t="s">
        <v>9144</v>
      </c>
      <c r="D756" t="s">
        <v>9145</v>
      </c>
      <c r="E756" t="s">
        <v>9146</v>
      </c>
      <c r="F756" t="s">
        <v>9147</v>
      </c>
      <c r="G756" t="s">
        <v>9148</v>
      </c>
      <c r="H756" t="str">
        <f>"Igfbp7"</f>
        <v>Igfbp7</v>
      </c>
      <c r="I756" t="s">
        <v>9149</v>
      </c>
      <c r="J756" t="s">
        <v>37</v>
      </c>
      <c r="K756">
        <v>10090</v>
      </c>
      <c r="L756" s="3" t="str">
        <f>HYPERLINK("http://www.uniprot.org/uniprot/Q61581", "Q61581")</f>
        <v>Q61581</v>
      </c>
      <c r="M756" t="s">
        <v>9150</v>
      </c>
      <c r="N756" t="str">
        <f>"Igfbp7"</f>
        <v>Igfbp7</v>
      </c>
      <c r="O756" s="3" t="str">
        <f>HYPERLINK("http://www.informatics.jax.org/marker/MGI:1352480", "MGI:1352480")</f>
        <v>MGI:1352480</v>
      </c>
      <c r="P756" t="s">
        <v>9151</v>
      </c>
      <c r="Q756" t="s">
        <v>2784</v>
      </c>
      <c r="R756" t="s">
        <v>630</v>
      </c>
      <c r="S756" t="s">
        <v>1565</v>
      </c>
      <c r="T756" t="s">
        <v>32</v>
      </c>
      <c r="U756" t="s">
        <v>32</v>
      </c>
      <c r="V756" t="s">
        <v>9152</v>
      </c>
      <c r="W756" t="s">
        <v>32</v>
      </c>
      <c r="X756" t="s">
        <v>9153</v>
      </c>
      <c r="Y756" t="s">
        <v>2865</v>
      </c>
      <c r="Z756" t="s">
        <v>32</v>
      </c>
      <c r="AA756" t="s">
        <v>9154</v>
      </c>
      <c r="AB756" t="s">
        <v>9155</v>
      </c>
      <c r="AC756" t="s">
        <v>9156</v>
      </c>
      <c r="AD756" t="s">
        <v>32</v>
      </c>
      <c r="AE756" t="s">
        <v>636</v>
      </c>
      <c r="AF756" t="s">
        <v>46835</v>
      </c>
    </row>
    <row r="757" spans="1:32" x14ac:dyDescent="0.2">
      <c r="A757">
        <v>752</v>
      </c>
      <c r="B757" t="s">
        <v>9157</v>
      </c>
      <c r="C757" t="s">
        <v>9158</v>
      </c>
      <c r="D757" t="s">
        <v>9159</v>
      </c>
      <c r="E757" t="s">
        <v>9160</v>
      </c>
      <c r="F757" t="s">
        <v>9161</v>
      </c>
      <c r="G757" t="s">
        <v>9162</v>
      </c>
      <c r="H757" t="str">
        <f>"Sub1"</f>
        <v>Sub1</v>
      </c>
      <c r="I757" t="s">
        <v>9163</v>
      </c>
      <c r="J757" t="s">
        <v>37</v>
      </c>
      <c r="K757">
        <v>10090</v>
      </c>
      <c r="L757" s="3" t="str">
        <f>HYPERLINK("http://www.uniprot.org/uniprot/P11031", "P11031")</f>
        <v>P11031</v>
      </c>
      <c r="M757" t="s">
        <v>9164</v>
      </c>
      <c r="N757" t="str">
        <f>"Sub1"</f>
        <v>Sub1</v>
      </c>
      <c r="O757" s="3" t="str">
        <f>HYPERLINK("http://www.informatics.jax.org/marker/MGI:104811", "MGI:104811")</f>
        <v>MGI:104811</v>
      </c>
      <c r="P757" t="s">
        <v>9165</v>
      </c>
      <c r="Q757" t="s">
        <v>4152</v>
      </c>
      <c r="R757" t="s">
        <v>2279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2350</v>
      </c>
      <c r="Y757" t="s">
        <v>516</v>
      </c>
      <c r="Z757" t="s">
        <v>32</v>
      </c>
      <c r="AA757" t="s">
        <v>9166</v>
      </c>
      <c r="AB757" t="s">
        <v>9167</v>
      </c>
      <c r="AC757" t="s">
        <v>9168</v>
      </c>
      <c r="AD757" t="s">
        <v>32</v>
      </c>
      <c r="AE757" t="s">
        <v>32</v>
      </c>
      <c r="AF757" t="s">
        <v>46835</v>
      </c>
    </row>
    <row r="758" spans="1:32" x14ac:dyDescent="0.2">
      <c r="A758">
        <v>753</v>
      </c>
      <c r="B758" t="s">
        <v>9169</v>
      </c>
      <c r="C758" t="s">
        <v>9170</v>
      </c>
      <c r="D758" t="s">
        <v>32</v>
      </c>
      <c r="E758" t="s">
        <v>9171</v>
      </c>
      <c r="F758" t="s">
        <v>9172</v>
      </c>
      <c r="G758" t="s">
        <v>32</v>
      </c>
      <c r="H758" t="str">
        <f>"Rab7a"</f>
        <v>Rab7a</v>
      </c>
      <c r="I758" t="s">
        <v>9173</v>
      </c>
      <c r="J758" t="s">
        <v>37</v>
      </c>
      <c r="K758">
        <v>10090</v>
      </c>
      <c r="L758" s="3" t="str">
        <f>HYPERLINK("http://www.uniprot.org/uniprot/P51150", "P51150")</f>
        <v>P51150</v>
      </c>
      <c r="M758" t="s">
        <v>9174</v>
      </c>
      <c r="N758" t="str">
        <f>"Rab7"</f>
        <v>Rab7</v>
      </c>
      <c r="O758" s="3" t="str">
        <f>HYPERLINK("http://www.informatics.jax.org/marker/MGI:105068", "MGI:105068")</f>
        <v>MGI:105068</v>
      </c>
      <c r="P758" t="s">
        <v>9175</v>
      </c>
      <c r="Q758" t="s">
        <v>9176</v>
      </c>
      <c r="R758" t="s">
        <v>9177</v>
      </c>
      <c r="S758" t="s">
        <v>32</v>
      </c>
      <c r="T758" t="s">
        <v>32</v>
      </c>
      <c r="U758" t="s">
        <v>32</v>
      </c>
      <c r="V758" t="s">
        <v>32</v>
      </c>
      <c r="W758" t="s">
        <v>261</v>
      </c>
      <c r="X758" t="s">
        <v>343</v>
      </c>
      <c r="Y758" t="s">
        <v>7985</v>
      </c>
      <c r="Z758" t="s">
        <v>126</v>
      </c>
      <c r="AA758" t="s">
        <v>9178</v>
      </c>
      <c r="AB758" t="s">
        <v>9179</v>
      </c>
      <c r="AC758" t="s">
        <v>9180</v>
      </c>
      <c r="AD758" t="s">
        <v>32</v>
      </c>
      <c r="AE758" t="s">
        <v>9181</v>
      </c>
      <c r="AF758" t="s">
        <v>46835</v>
      </c>
    </row>
    <row r="759" spans="1:32" x14ac:dyDescent="0.2">
      <c r="A759">
        <v>754</v>
      </c>
      <c r="B759" t="s">
        <v>9182</v>
      </c>
      <c r="C759" t="s">
        <v>9183</v>
      </c>
      <c r="D759" t="s">
        <v>9184</v>
      </c>
      <c r="E759" t="s">
        <v>9185</v>
      </c>
      <c r="F759" t="s">
        <v>9186</v>
      </c>
      <c r="G759" t="s">
        <v>32</v>
      </c>
      <c r="H759" t="str">
        <f>"Eif2s3x"</f>
        <v>Eif2s3x</v>
      </c>
      <c r="I759" t="s">
        <v>32</v>
      </c>
      <c r="J759" t="s">
        <v>37</v>
      </c>
      <c r="K759">
        <v>10090</v>
      </c>
      <c r="L759" s="3" t="str">
        <f>HYPERLINK("http://www.uniprot.org/uniprot/Q9Z0N1", "Q9Z0N1")</f>
        <v>Q9Z0N1</v>
      </c>
      <c r="M759" t="s">
        <v>9187</v>
      </c>
      <c r="N759" t="str">
        <f>"Eif2s3x"</f>
        <v>Eif2s3x</v>
      </c>
      <c r="O759" s="3" t="str">
        <f>HYPERLINK("http://www.informatics.jax.org/marker/MGI:1349431", "MGI:1349431")</f>
        <v>MGI:1349431</v>
      </c>
      <c r="P759" t="s">
        <v>9188</v>
      </c>
      <c r="Q759" t="s">
        <v>260</v>
      </c>
      <c r="R759" t="s">
        <v>32</v>
      </c>
      <c r="S759" t="s">
        <v>32</v>
      </c>
      <c r="T759" t="s">
        <v>32</v>
      </c>
      <c r="U759" t="s">
        <v>32</v>
      </c>
      <c r="V759" t="s">
        <v>32</v>
      </c>
      <c r="W759" t="s">
        <v>261</v>
      </c>
      <c r="X759" t="s">
        <v>3488</v>
      </c>
      <c r="Y759" t="s">
        <v>157</v>
      </c>
      <c r="Z759" t="s">
        <v>32</v>
      </c>
      <c r="AA759" t="s">
        <v>9189</v>
      </c>
      <c r="AB759" t="s">
        <v>3971</v>
      </c>
      <c r="AC759" t="s">
        <v>9190</v>
      </c>
      <c r="AD759" t="s">
        <v>32</v>
      </c>
      <c r="AE759" t="s">
        <v>2576</v>
      </c>
      <c r="AF759" t="s">
        <v>46835</v>
      </c>
    </row>
    <row r="760" spans="1:32" x14ac:dyDescent="0.2">
      <c r="A760">
        <v>755</v>
      </c>
      <c r="B760" t="s">
        <v>9191</v>
      </c>
      <c r="C760" t="s">
        <v>9192</v>
      </c>
      <c r="D760" t="s">
        <v>9193</v>
      </c>
      <c r="E760" t="s">
        <v>9194</v>
      </c>
      <c r="F760" t="s">
        <v>9195</v>
      </c>
      <c r="G760" t="s">
        <v>9196</v>
      </c>
      <c r="H760" t="str">
        <f>"Uba2"</f>
        <v>Uba2</v>
      </c>
      <c r="I760" t="s">
        <v>9197</v>
      </c>
      <c r="J760" t="s">
        <v>37</v>
      </c>
      <c r="K760">
        <v>10090</v>
      </c>
      <c r="L760" s="3" t="str">
        <f>HYPERLINK("http://www.uniprot.org/uniprot/Q9Z1F9", "Q9Z1F9")</f>
        <v>Q9Z1F9</v>
      </c>
      <c r="M760" t="s">
        <v>9198</v>
      </c>
      <c r="N760" t="str">
        <f>"Uba2"</f>
        <v>Uba2</v>
      </c>
      <c r="O760" s="3" t="str">
        <f>HYPERLINK("http://www.informatics.jax.org/marker/MGI:1858313", "MGI:1858313")</f>
        <v>MGI:1858313</v>
      </c>
      <c r="P760" t="s">
        <v>9199</v>
      </c>
      <c r="Q760" t="s">
        <v>1020</v>
      </c>
      <c r="R760" t="s">
        <v>40</v>
      </c>
      <c r="S760" t="s">
        <v>32</v>
      </c>
      <c r="T760" t="s">
        <v>32</v>
      </c>
      <c r="U760" t="s">
        <v>32</v>
      </c>
      <c r="V760" t="s">
        <v>32</v>
      </c>
      <c r="W760" t="s">
        <v>2325</v>
      </c>
      <c r="X760" t="s">
        <v>515</v>
      </c>
      <c r="Y760" t="s">
        <v>516</v>
      </c>
      <c r="Z760" t="s">
        <v>32</v>
      </c>
      <c r="AA760" t="s">
        <v>9200</v>
      </c>
      <c r="AB760" t="s">
        <v>6999</v>
      </c>
      <c r="AC760" t="s">
        <v>9201</v>
      </c>
      <c r="AD760" t="s">
        <v>2286</v>
      </c>
      <c r="AE760" t="s">
        <v>7001</v>
      </c>
      <c r="AF760" t="s">
        <v>46835</v>
      </c>
    </row>
    <row r="761" spans="1:32" x14ac:dyDescent="0.2">
      <c r="A761">
        <v>756</v>
      </c>
      <c r="B761" t="s">
        <v>9202</v>
      </c>
      <c r="C761" t="s">
        <v>9203</v>
      </c>
      <c r="D761" t="s">
        <v>9204</v>
      </c>
      <c r="E761" t="s">
        <v>9205</v>
      </c>
      <c r="F761" t="s">
        <v>9206</v>
      </c>
      <c r="G761" t="s">
        <v>32</v>
      </c>
      <c r="H761" t="str">
        <f>"Dpysl3"</f>
        <v>Dpysl3</v>
      </c>
      <c r="I761" t="s">
        <v>9207</v>
      </c>
      <c r="J761" t="s">
        <v>37</v>
      </c>
      <c r="K761">
        <v>10090</v>
      </c>
      <c r="L761" s="3" t="str">
        <f>HYPERLINK("http://www.uniprot.org/uniprot/Q62188", "Q62188")</f>
        <v>Q62188</v>
      </c>
      <c r="M761" t="s">
        <v>9208</v>
      </c>
      <c r="N761" t="str">
        <f>"Dpysl3"</f>
        <v>Dpysl3</v>
      </c>
      <c r="O761" s="3" t="str">
        <f>HYPERLINK("http://www.informatics.jax.org/marker/MGI:1349762", "MGI:1349762")</f>
        <v>MGI:1349762</v>
      </c>
      <c r="P761" t="s">
        <v>9209</v>
      </c>
      <c r="Q761" t="s">
        <v>32</v>
      </c>
      <c r="R761" t="s">
        <v>599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32</v>
      </c>
      <c r="Y761" t="s">
        <v>618</v>
      </c>
      <c r="Z761" t="s">
        <v>32</v>
      </c>
      <c r="AA761" t="s">
        <v>9210</v>
      </c>
      <c r="AB761" t="s">
        <v>9211</v>
      </c>
      <c r="AC761" t="s">
        <v>9212</v>
      </c>
      <c r="AD761" t="s">
        <v>32</v>
      </c>
      <c r="AE761" t="s">
        <v>9213</v>
      </c>
      <c r="AF761" t="s">
        <v>46835</v>
      </c>
    </row>
    <row r="762" spans="1:32" x14ac:dyDescent="0.2">
      <c r="A762">
        <v>757</v>
      </c>
      <c r="B762" t="s">
        <v>9214</v>
      </c>
      <c r="C762" t="s">
        <v>9215</v>
      </c>
      <c r="D762" t="s">
        <v>9216</v>
      </c>
      <c r="E762" t="s">
        <v>9217</v>
      </c>
      <c r="F762" t="s">
        <v>9218</v>
      </c>
      <c r="G762" t="s">
        <v>9219</v>
      </c>
      <c r="H762" t="str">
        <f>"Rab1A"</f>
        <v>Rab1A</v>
      </c>
      <c r="I762" t="s">
        <v>9220</v>
      </c>
      <c r="J762" t="s">
        <v>37</v>
      </c>
      <c r="K762">
        <v>10090</v>
      </c>
      <c r="L762" s="3" t="str">
        <f>HYPERLINK("http://www.uniprot.org/uniprot/P62821", "P62821")</f>
        <v>P62821</v>
      </c>
      <c r="M762" t="s">
        <v>9221</v>
      </c>
      <c r="N762" t="str">
        <f>"Rab1"</f>
        <v>Rab1</v>
      </c>
      <c r="O762" s="3" t="str">
        <f>HYPERLINK("http://www.informatics.jax.org/marker/MGI:97842", "MGI:97842")</f>
        <v>MGI:97842</v>
      </c>
      <c r="P762" t="s">
        <v>9222</v>
      </c>
      <c r="Q762" t="s">
        <v>9223</v>
      </c>
      <c r="R762" t="s">
        <v>9224</v>
      </c>
      <c r="S762" t="s">
        <v>32</v>
      </c>
      <c r="T762" t="s">
        <v>32</v>
      </c>
      <c r="U762" t="s">
        <v>32</v>
      </c>
      <c r="V762" t="s">
        <v>32</v>
      </c>
      <c r="W762" t="s">
        <v>261</v>
      </c>
      <c r="X762" t="s">
        <v>343</v>
      </c>
      <c r="Y762" t="s">
        <v>9225</v>
      </c>
      <c r="Z762" t="s">
        <v>32</v>
      </c>
      <c r="AA762" t="s">
        <v>9226</v>
      </c>
      <c r="AB762" t="s">
        <v>9227</v>
      </c>
      <c r="AC762" t="s">
        <v>9228</v>
      </c>
      <c r="AD762" t="s">
        <v>32</v>
      </c>
      <c r="AE762" t="s">
        <v>9229</v>
      </c>
      <c r="AF762" t="s">
        <v>46835</v>
      </c>
    </row>
    <row r="763" spans="1:32" x14ac:dyDescent="0.2">
      <c r="A763">
        <v>758</v>
      </c>
      <c r="B763" t="s">
        <v>9230</v>
      </c>
      <c r="C763" t="s">
        <v>9231</v>
      </c>
      <c r="D763" t="s">
        <v>32</v>
      </c>
      <c r="E763" t="s">
        <v>9232</v>
      </c>
      <c r="F763" t="s">
        <v>9233</v>
      </c>
      <c r="G763" t="s">
        <v>9234</v>
      </c>
      <c r="H763" t="str">
        <f>"Rangap1"</f>
        <v>Rangap1</v>
      </c>
      <c r="I763" t="s">
        <v>9235</v>
      </c>
      <c r="J763" t="s">
        <v>37</v>
      </c>
      <c r="K763">
        <v>10090</v>
      </c>
      <c r="L763" s="3" t="str">
        <f>HYPERLINK("http://www.uniprot.org/uniprot/P46061", "P46061")</f>
        <v>P46061</v>
      </c>
      <c r="M763" t="s">
        <v>9236</v>
      </c>
      <c r="N763" t="str">
        <f>"Rangap1"</f>
        <v>Rangap1</v>
      </c>
      <c r="O763" s="3" t="str">
        <f>HYPERLINK("http://www.informatics.jax.org/marker/MGI:103071", "MGI:103071")</f>
        <v>MGI:103071</v>
      </c>
      <c r="P763" t="s">
        <v>9237</v>
      </c>
      <c r="Q763" t="s">
        <v>32</v>
      </c>
      <c r="R763" t="s">
        <v>9238</v>
      </c>
      <c r="S763" t="s">
        <v>32</v>
      </c>
      <c r="T763" t="s">
        <v>32</v>
      </c>
      <c r="U763" t="s">
        <v>32</v>
      </c>
      <c r="V763" t="s">
        <v>2701</v>
      </c>
      <c r="W763" t="s">
        <v>32</v>
      </c>
      <c r="X763" t="s">
        <v>715</v>
      </c>
      <c r="Y763" t="s">
        <v>516</v>
      </c>
      <c r="Z763" t="s">
        <v>126</v>
      </c>
      <c r="AA763" t="s">
        <v>9239</v>
      </c>
      <c r="AB763" t="s">
        <v>9240</v>
      </c>
      <c r="AC763" t="s">
        <v>9241</v>
      </c>
      <c r="AD763" t="s">
        <v>32</v>
      </c>
      <c r="AE763" t="s">
        <v>9242</v>
      </c>
      <c r="AF763" t="s">
        <v>46835</v>
      </c>
    </row>
    <row r="764" spans="1:32" x14ac:dyDescent="0.2">
      <c r="A764">
        <v>759</v>
      </c>
      <c r="B764" t="s">
        <v>9243</v>
      </c>
      <c r="C764" t="s">
        <v>9244</v>
      </c>
      <c r="D764" t="s">
        <v>32</v>
      </c>
      <c r="E764" t="s">
        <v>9245</v>
      </c>
      <c r="F764" t="s">
        <v>9246</v>
      </c>
      <c r="G764" t="s">
        <v>9247</v>
      </c>
      <c r="H764" t="str">
        <f>"Gls"</f>
        <v>Gls</v>
      </c>
      <c r="I764" t="s">
        <v>9248</v>
      </c>
      <c r="J764" t="s">
        <v>37</v>
      </c>
      <c r="K764">
        <v>10090</v>
      </c>
      <c r="L764" s="3" t="str">
        <f>HYPERLINK("http://www.uniprot.org/uniprot/D3Z7P3", "D3Z7P3")</f>
        <v>D3Z7P3</v>
      </c>
      <c r="M764" t="s">
        <v>9249</v>
      </c>
      <c r="N764" t="str">
        <f>"Gls"</f>
        <v>Gls</v>
      </c>
      <c r="O764" s="3" t="str">
        <f>HYPERLINK("http://www.informatics.jax.org/marker/MGI:95752", "MGI:95752")</f>
        <v>MGI:95752</v>
      </c>
      <c r="P764" t="s">
        <v>9250</v>
      </c>
      <c r="Q764" t="s">
        <v>32</v>
      </c>
      <c r="R764" t="s">
        <v>1842</v>
      </c>
      <c r="S764" t="s">
        <v>41</v>
      </c>
      <c r="T764" t="s">
        <v>32</v>
      </c>
      <c r="U764" t="s">
        <v>32</v>
      </c>
      <c r="V764" t="s">
        <v>9251</v>
      </c>
      <c r="W764" t="s">
        <v>32</v>
      </c>
      <c r="X764" t="s">
        <v>343</v>
      </c>
      <c r="Y764" t="s">
        <v>157</v>
      </c>
      <c r="Z764" t="s">
        <v>126</v>
      </c>
      <c r="AA764" t="s">
        <v>9252</v>
      </c>
      <c r="AB764" t="s">
        <v>9253</v>
      </c>
      <c r="AC764" t="s">
        <v>9254</v>
      </c>
      <c r="AD764" t="s">
        <v>32</v>
      </c>
      <c r="AE764" t="s">
        <v>9255</v>
      </c>
      <c r="AF764" t="s">
        <v>46835</v>
      </c>
    </row>
    <row r="765" spans="1:32" x14ac:dyDescent="0.2">
      <c r="A765">
        <v>760</v>
      </c>
      <c r="B765" t="s">
        <v>9256</v>
      </c>
      <c r="C765" t="s">
        <v>9257</v>
      </c>
      <c r="D765" t="s">
        <v>9258</v>
      </c>
      <c r="E765" t="s">
        <v>9259</v>
      </c>
      <c r="F765" t="s">
        <v>9260</v>
      </c>
      <c r="G765" t="s">
        <v>9261</v>
      </c>
      <c r="H765" t="str">
        <f>"Cab39"</f>
        <v>Cab39</v>
      </c>
      <c r="I765" t="s">
        <v>9262</v>
      </c>
      <c r="J765" t="s">
        <v>37</v>
      </c>
      <c r="K765">
        <v>10090</v>
      </c>
      <c r="L765" s="3" t="str">
        <f>HYPERLINK("http://www.uniprot.org/uniprot/Q06138", "Q06138")</f>
        <v>Q06138</v>
      </c>
      <c r="M765" t="s">
        <v>9263</v>
      </c>
      <c r="N765" t="str">
        <f>"Cab39"</f>
        <v>Cab39</v>
      </c>
      <c r="O765" s="3" t="str">
        <f>HYPERLINK("http://www.informatics.jax.org/marker/MGI:107438", "MGI:107438")</f>
        <v>MGI:107438</v>
      </c>
      <c r="P765" t="s">
        <v>418</v>
      </c>
      <c r="Q765" t="s">
        <v>32</v>
      </c>
      <c r="R765" t="s">
        <v>418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32</v>
      </c>
      <c r="Y765" t="s">
        <v>32</v>
      </c>
      <c r="Z765" t="s">
        <v>32</v>
      </c>
      <c r="AA765" t="s">
        <v>9264</v>
      </c>
      <c r="AB765" t="s">
        <v>9265</v>
      </c>
      <c r="AC765" t="s">
        <v>9266</v>
      </c>
      <c r="AD765" t="s">
        <v>32</v>
      </c>
      <c r="AE765" t="s">
        <v>9267</v>
      </c>
      <c r="AF765" t="s">
        <v>46835</v>
      </c>
    </row>
    <row r="766" spans="1:32" x14ac:dyDescent="0.2">
      <c r="A766">
        <v>761</v>
      </c>
      <c r="B766" t="s">
        <v>9268</v>
      </c>
      <c r="C766" t="s">
        <v>9269</v>
      </c>
      <c r="D766" t="s">
        <v>9270</v>
      </c>
      <c r="E766" t="s">
        <v>9271</v>
      </c>
      <c r="F766" t="s">
        <v>9272</v>
      </c>
      <c r="G766" t="s">
        <v>9273</v>
      </c>
      <c r="H766" t="str">
        <f>"Arpc1a"</f>
        <v>Arpc1a</v>
      </c>
      <c r="I766" t="s">
        <v>9274</v>
      </c>
      <c r="J766" t="s">
        <v>37</v>
      </c>
      <c r="K766">
        <v>10090</v>
      </c>
      <c r="L766" s="3" t="str">
        <f>HYPERLINK("http://www.uniprot.org/uniprot/Q9R0Q6", "Q9R0Q6")</f>
        <v>Q9R0Q6</v>
      </c>
      <c r="M766" t="s">
        <v>9275</v>
      </c>
      <c r="N766" t="str">
        <f>"Arpc1a"</f>
        <v>Arpc1a</v>
      </c>
      <c r="O766" s="3" t="str">
        <f>HYPERLINK("http://www.informatics.jax.org/marker/MGI:1928896", "MGI:1928896")</f>
        <v>MGI:1928896</v>
      </c>
      <c r="P766" t="s">
        <v>9276</v>
      </c>
      <c r="Q766" t="s">
        <v>32</v>
      </c>
      <c r="R766" t="s">
        <v>324</v>
      </c>
      <c r="S766" t="s">
        <v>32</v>
      </c>
      <c r="T766" t="s">
        <v>32</v>
      </c>
      <c r="U766" t="s">
        <v>32</v>
      </c>
      <c r="V766" t="s">
        <v>1910</v>
      </c>
      <c r="W766" t="s">
        <v>32</v>
      </c>
      <c r="X766" t="s">
        <v>405</v>
      </c>
      <c r="Y766" t="s">
        <v>32</v>
      </c>
      <c r="Z766" t="s">
        <v>32</v>
      </c>
      <c r="AA766" t="s">
        <v>9277</v>
      </c>
      <c r="AB766" t="s">
        <v>9278</v>
      </c>
      <c r="AC766" t="s">
        <v>2119</v>
      </c>
      <c r="AD766" t="s">
        <v>32</v>
      </c>
      <c r="AE766" t="s">
        <v>5831</v>
      </c>
      <c r="AF766" t="s">
        <v>46835</v>
      </c>
    </row>
    <row r="767" spans="1:32" x14ac:dyDescent="0.2">
      <c r="A767">
        <v>762</v>
      </c>
      <c r="B767" t="s">
        <v>9279</v>
      </c>
      <c r="C767" t="s">
        <v>9280</v>
      </c>
      <c r="D767" t="s">
        <v>9281</v>
      </c>
      <c r="E767" t="s">
        <v>9282</v>
      </c>
      <c r="F767" t="s">
        <v>9283</v>
      </c>
      <c r="G767" t="s">
        <v>32</v>
      </c>
      <c r="H767" t="str">
        <f>"Tpm4"</f>
        <v>Tpm4</v>
      </c>
      <c r="I767" t="s">
        <v>32</v>
      </c>
      <c r="J767" t="s">
        <v>37</v>
      </c>
      <c r="K767">
        <v>10090</v>
      </c>
      <c r="L767" s="3" t="str">
        <f>HYPERLINK("http://www.uniprot.org/uniprot/Q6IRU2", "Q6IRU2")</f>
        <v>Q6IRU2</v>
      </c>
      <c r="M767" t="s">
        <v>9284</v>
      </c>
      <c r="N767" t="str">
        <f>"Tpm4"</f>
        <v>Tpm4</v>
      </c>
      <c r="O767" s="3" t="str">
        <f>HYPERLINK("http://www.informatics.jax.org/marker/MGI:2449202", "MGI:2449202")</f>
        <v>MGI:2449202</v>
      </c>
      <c r="P767" t="s">
        <v>9285</v>
      </c>
      <c r="Q767" t="s">
        <v>32</v>
      </c>
      <c r="R767" t="s">
        <v>186</v>
      </c>
      <c r="S767" t="s">
        <v>32</v>
      </c>
      <c r="T767" t="s">
        <v>32</v>
      </c>
      <c r="U767" t="s">
        <v>32</v>
      </c>
      <c r="V767" t="s">
        <v>290</v>
      </c>
      <c r="W767" t="s">
        <v>188</v>
      </c>
      <c r="X767" t="s">
        <v>9286</v>
      </c>
      <c r="Y767" t="s">
        <v>157</v>
      </c>
      <c r="Z767" t="s">
        <v>32</v>
      </c>
      <c r="AA767" t="s">
        <v>9287</v>
      </c>
      <c r="AB767" t="s">
        <v>9288</v>
      </c>
      <c r="AC767" t="s">
        <v>9289</v>
      </c>
      <c r="AD767" t="s">
        <v>32</v>
      </c>
      <c r="AE767" t="s">
        <v>9290</v>
      </c>
      <c r="AF767" t="s">
        <v>46835</v>
      </c>
    </row>
    <row r="768" spans="1:32" x14ac:dyDescent="0.2">
      <c r="A768">
        <v>763</v>
      </c>
      <c r="B768" t="s">
        <v>9291</v>
      </c>
      <c r="C768" t="s">
        <v>9292</v>
      </c>
      <c r="D768" t="s">
        <v>9293</v>
      </c>
      <c r="E768" t="s">
        <v>9294</v>
      </c>
      <c r="F768" t="s">
        <v>9295</v>
      </c>
      <c r="G768" t="s">
        <v>9296</v>
      </c>
      <c r="H768" t="str">
        <f>"Ahsg"</f>
        <v>Ahsg</v>
      </c>
      <c r="I768" t="s">
        <v>9297</v>
      </c>
      <c r="J768" t="s">
        <v>37</v>
      </c>
      <c r="K768">
        <v>10090</v>
      </c>
      <c r="L768" s="3" t="str">
        <f>HYPERLINK("http://www.uniprot.org/uniprot/P29699", "P29699")</f>
        <v>P29699</v>
      </c>
      <c r="M768" t="s">
        <v>9298</v>
      </c>
      <c r="N768" t="str">
        <f>"Ahsg"</f>
        <v>Ahsg</v>
      </c>
      <c r="O768" s="3" t="str">
        <f>HYPERLINK("http://www.informatics.jax.org/marker/MGI:107189", "MGI:107189")</f>
        <v>MGI:107189</v>
      </c>
      <c r="P768" t="s">
        <v>9299</v>
      </c>
      <c r="Q768" t="s">
        <v>32</v>
      </c>
      <c r="R768" t="s">
        <v>630</v>
      </c>
      <c r="S768" t="s">
        <v>32</v>
      </c>
      <c r="T768" t="s">
        <v>32</v>
      </c>
      <c r="U768" t="s">
        <v>32</v>
      </c>
      <c r="V768" t="s">
        <v>478</v>
      </c>
      <c r="W768" t="s">
        <v>32</v>
      </c>
      <c r="X768" t="s">
        <v>32</v>
      </c>
      <c r="Y768" t="s">
        <v>2865</v>
      </c>
      <c r="Z768" t="s">
        <v>32</v>
      </c>
      <c r="AA768" t="s">
        <v>9300</v>
      </c>
      <c r="AB768" t="s">
        <v>9301</v>
      </c>
      <c r="AC768" t="s">
        <v>9302</v>
      </c>
      <c r="AD768" t="s">
        <v>32</v>
      </c>
      <c r="AE768" t="s">
        <v>9303</v>
      </c>
      <c r="AF768" t="s">
        <v>46835</v>
      </c>
    </row>
    <row r="769" spans="1:32" x14ac:dyDescent="0.2">
      <c r="A769">
        <v>764</v>
      </c>
      <c r="B769" t="s">
        <v>9304</v>
      </c>
      <c r="C769" t="s">
        <v>9305</v>
      </c>
      <c r="D769" t="s">
        <v>9306</v>
      </c>
      <c r="E769" t="s">
        <v>9307</v>
      </c>
      <c r="F769" t="s">
        <v>9308</v>
      </c>
      <c r="G769" t="s">
        <v>32</v>
      </c>
      <c r="H769" t="str">
        <f>"Rexo2"</f>
        <v>Rexo2</v>
      </c>
      <c r="I769" t="s">
        <v>9309</v>
      </c>
      <c r="J769" t="s">
        <v>37</v>
      </c>
      <c r="K769">
        <v>10090</v>
      </c>
      <c r="L769" s="3" t="str">
        <f>HYPERLINK("http://www.uniprot.org/uniprot/Q9D8S4", "Q9D8S4")</f>
        <v>Q9D8S4</v>
      </c>
      <c r="M769" t="s">
        <v>9310</v>
      </c>
      <c r="N769" t="str">
        <f>"Rexo2"</f>
        <v>Rexo2</v>
      </c>
      <c r="O769" s="3" t="str">
        <f>HYPERLINK("http://www.informatics.jax.org/marker/MGI:1888981", "MGI:1888981")</f>
        <v>MGI:1888981</v>
      </c>
      <c r="P769" t="s">
        <v>9311</v>
      </c>
      <c r="Q769" t="s">
        <v>32</v>
      </c>
      <c r="R769" t="s">
        <v>1021</v>
      </c>
      <c r="S769" t="s">
        <v>32</v>
      </c>
      <c r="T769" t="s">
        <v>32</v>
      </c>
      <c r="U769" t="s">
        <v>32</v>
      </c>
      <c r="V769" t="s">
        <v>1039</v>
      </c>
      <c r="W769" t="s">
        <v>9312</v>
      </c>
      <c r="X769" t="s">
        <v>9313</v>
      </c>
      <c r="Y769" t="s">
        <v>157</v>
      </c>
      <c r="Z769" t="s">
        <v>32</v>
      </c>
      <c r="AA769" t="s">
        <v>9314</v>
      </c>
      <c r="AB769" t="s">
        <v>9315</v>
      </c>
      <c r="AC769" t="s">
        <v>9316</v>
      </c>
      <c r="AD769" t="s">
        <v>32</v>
      </c>
      <c r="AE769" t="s">
        <v>32</v>
      </c>
      <c r="AF769" t="s">
        <v>46835</v>
      </c>
    </row>
    <row r="770" spans="1:32" x14ac:dyDescent="0.2">
      <c r="A770">
        <v>765</v>
      </c>
      <c r="B770" t="s">
        <v>9317</v>
      </c>
      <c r="C770" t="s">
        <v>9318</v>
      </c>
      <c r="D770" t="s">
        <v>32</v>
      </c>
      <c r="E770" t="s">
        <v>9319</v>
      </c>
      <c r="F770" t="s">
        <v>9320</v>
      </c>
      <c r="G770" t="s">
        <v>9321</v>
      </c>
      <c r="H770" t="str">
        <f>"Sod2"</f>
        <v>Sod2</v>
      </c>
      <c r="I770" t="s">
        <v>9322</v>
      </c>
      <c r="J770" t="s">
        <v>37</v>
      </c>
      <c r="K770">
        <v>10090</v>
      </c>
      <c r="L770" s="3" t="str">
        <f>HYPERLINK("http://www.uniprot.org/uniprot/P09671", "P09671")</f>
        <v>P09671</v>
      </c>
      <c r="M770" t="s">
        <v>9323</v>
      </c>
      <c r="N770" t="str">
        <f>"Sod2"</f>
        <v>Sod2</v>
      </c>
      <c r="O770" s="3" t="str">
        <f>HYPERLINK("http://www.informatics.jax.org/marker/MGI:98352", "MGI:98352")</f>
        <v>MGI:98352</v>
      </c>
      <c r="P770" t="s">
        <v>9324</v>
      </c>
      <c r="Q770" t="s">
        <v>32</v>
      </c>
      <c r="R770" t="s">
        <v>1038</v>
      </c>
      <c r="S770" t="s">
        <v>32</v>
      </c>
      <c r="T770" t="s">
        <v>32</v>
      </c>
      <c r="U770" t="s">
        <v>32</v>
      </c>
      <c r="V770" t="s">
        <v>1039</v>
      </c>
      <c r="W770" t="s">
        <v>5883</v>
      </c>
      <c r="X770" t="s">
        <v>600</v>
      </c>
      <c r="Y770" t="s">
        <v>9325</v>
      </c>
      <c r="Z770" t="s">
        <v>32</v>
      </c>
      <c r="AA770" t="s">
        <v>9326</v>
      </c>
      <c r="AB770" t="s">
        <v>9327</v>
      </c>
      <c r="AC770" t="s">
        <v>9328</v>
      </c>
      <c r="AD770" t="s">
        <v>32</v>
      </c>
      <c r="AE770" t="s">
        <v>9329</v>
      </c>
      <c r="AF770" t="s">
        <v>46835</v>
      </c>
    </row>
    <row r="771" spans="1:32" x14ac:dyDescent="0.2">
      <c r="A771">
        <v>766</v>
      </c>
      <c r="B771" t="s">
        <v>9330</v>
      </c>
      <c r="C771" t="s">
        <v>9331</v>
      </c>
      <c r="D771" t="s">
        <v>9332</v>
      </c>
      <c r="E771" t="s">
        <v>9333</v>
      </c>
      <c r="F771" t="s">
        <v>9334</v>
      </c>
      <c r="G771" t="s">
        <v>9335</v>
      </c>
      <c r="H771" t="str">
        <f>"Rcn2"</f>
        <v>Rcn2</v>
      </c>
      <c r="I771" t="s">
        <v>32</v>
      </c>
      <c r="J771" t="s">
        <v>37</v>
      </c>
      <c r="K771">
        <v>10090</v>
      </c>
      <c r="L771" s="3" t="str">
        <f>HYPERLINK("http://www.uniprot.org/uniprot/Q8BP92", "Q8BP92")</f>
        <v>Q8BP92</v>
      </c>
      <c r="M771" t="s">
        <v>9336</v>
      </c>
      <c r="N771" t="str">
        <f>"Rcn2"</f>
        <v>Rcn2</v>
      </c>
      <c r="O771" s="3" t="str">
        <f>HYPERLINK("http://www.informatics.jax.org/marker/MGI:1349765", "MGI:1349765")</f>
        <v>MGI:1349765</v>
      </c>
      <c r="P771" t="s">
        <v>9337</v>
      </c>
      <c r="Q771" t="s">
        <v>32</v>
      </c>
      <c r="R771" t="s">
        <v>671</v>
      </c>
      <c r="S771" t="s">
        <v>32</v>
      </c>
      <c r="T771" t="s">
        <v>32</v>
      </c>
      <c r="U771" t="s">
        <v>32</v>
      </c>
      <c r="V771" t="s">
        <v>478</v>
      </c>
      <c r="W771" t="s">
        <v>188</v>
      </c>
      <c r="X771" t="s">
        <v>32</v>
      </c>
      <c r="Y771" t="s">
        <v>618</v>
      </c>
      <c r="Z771" t="s">
        <v>32</v>
      </c>
      <c r="AA771" t="s">
        <v>32</v>
      </c>
      <c r="AB771" t="s">
        <v>9338</v>
      </c>
      <c r="AC771" t="s">
        <v>4723</v>
      </c>
      <c r="AD771" t="s">
        <v>32</v>
      </c>
      <c r="AE771" t="s">
        <v>32</v>
      </c>
      <c r="AF771" t="s">
        <v>46835</v>
      </c>
    </row>
    <row r="772" spans="1:32" x14ac:dyDescent="0.2">
      <c r="A772">
        <v>767</v>
      </c>
      <c r="B772" t="s">
        <v>9339</v>
      </c>
      <c r="C772" t="s">
        <v>9340</v>
      </c>
      <c r="D772" t="s">
        <v>9341</v>
      </c>
      <c r="E772" t="s">
        <v>9342</v>
      </c>
      <c r="F772" t="s">
        <v>9343</v>
      </c>
      <c r="G772" t="s">
        <v>32</v>
      </c>
      <c r="H772" t="str">
        <f>"Serpina6"</f>
        <v>Serpina6</v>
      </c>
      <c r="I772" t="s">
        <v>9344</v>
      </c>
      <c r="J772" t="s">
        <v>37</v>
      </c>
      <c r="K772">
        <v>10090</v>
      </c>
      <c r="L772" s="3" t="str">
        <f>HYPERLINK("http://www.uniprot.org/uniprot/Q06770", "Q06770")</f>
        <v>Q06770</v>
      </c>
      <c r="M772" t="s">
        <v>9345</v>
      </c>
      <c r="N772" t="str">
        <f>"Serpina6"</f>
        <v>Serpina6</v>
      </c>
      <c r="O772" s="3" t="str">
        <f>HYPERLINK("http://www.informatics.jax.org/marker/MGI:88278", "MGI:88278")</f>
        <v>MGI:88278</v>
      </c>
      <c r="P772" t="s">
        <v>9346</v>
      </c>
      <c r="Q772" t="s">
        <v>4425</v>
      </c>
      <c r="R772" t="s">
        <v>630</v>
      </c>
      <c r="S772" t="s">
        <v>32</v>
      </c>
      <c r="T772" t="s">
        <v>32</v>
      </c>
      <c r="U772" t="s">
        <v>32</v>
      </c>
      <c r="V772" t="s">
        <v>811</v>
      </c>
      <c r="W772" t="s">
        <v>9347</v>
      </c>
      <c r="X772" t="s">
        <v>32</v>
      </c>
      <c r="Y772" t="s">
        <v>3733</v>
      </c>
      <c r="Z772" t="s">
        <v>32</v>
      </c>
      <c r="AA772" t="s">
        <v>9348</v>
      </c>
      <c r="AB772" t="s">
        <v>9349</v>
      </c>
      <c r="AC772" t="s">
        <v>9350</v>
      </c>
      <c r="AD772" t="s">
        <v>32</v>
      </c>
      <c r="AE772" t="s">
        <v>9351</v>
      </c>
      <c r="AF772" t="s">
        <v>46835</v>
      </c>
    </row>
    <row r="773" spans="1:32" x14ac:dyDescent="0.2">
      <c r="A773">
        <v>768</v>
      </c>
      <c r="B773" t="s">
        <v>9352</v>
      </c>
      <c r="C773" t="s">
        <v>9353</v>
      </c>
      <c r="D773" t="s">
        <v>9354</v>
      </c>
      <c r="E773" t="s">
        <v>9355</v>
      </c>
      <c r="F773" t="s">
        <v>9356</v>
      </c>
      <c r="G773" t="s">
        <v>9357</v>
      </c>
      <c r="H773" t="str">
        <f>"Prox1"</f>
        <v>Prox1</v>
      </c>
      <c r="I773" t="s">
        <v>32</v>
      </c>
      <c r="J773" t="s">
        <v>37</v>
      </c>
      <c r="K773">
        <v>10090</v>
      </c>
      <c r="L773" s="3" t="str">
        <f>HYPERLINK("http://www.uniprot.org/uniprot/P48437", "P48437")</f>
        <v>P48437</v>
      </c>
      <c r="M773" t="s">
        <v>9358</v>
      </c>
      <c r="N773" t="str">
        <f>"Prox1"</f>
        <v>Prox1</v>
      </c>
      <c r="O773" s="3" t="str">
        <f>HYPERLINK("http://www.informatics.jax.org/marker/MGI:97772", "MGI:97772")</f>
        <v>MGI:97772</v>
      </c>
      <c r="P773" t="s">
        <v>9359</v>
      </c>
      <c r="Q773" t="s">
        <v>1992</v>
      </c>
      <c r="R773" t="s">
        <v>2279</v>
      </c>
      <c r="S773" t="s">
        <v>32</v>
      </c>
      <c r="T773" t="s">
        <v>32</v>
      </c>
      <c r="U773" t="s">
        <v>32</v>
      </c>
      <c r="V773" t="s">
        <v>9360</v>
      </c>
      <c r="W773" t="s">
        <v>32</v>
      </c>
      <c r="X773" t="s">
        <v>9361</v>
      </c>
      <c r="Y773" t="s">
        <v>1007</v>
      </c>
      <c r="Z773" t="s">
        <v>32</v>
      </c>
      <c r="AA773" t="s">
        <v>9362</v>
      </c>
      <c r="AB773" t="s">
        <v>4884</v>
      </c>
      <c r="AC773" t="s">
        <v>9363</v>
      </c>
      <c r="AD773" t="s">
        <v>32</v>
      </c>
      <c r="AE773" t="s">
        <v>32</v>
      </c>
      <c r="AF773" t="s">
        <v>46835</v>
      </c>
    </row>
    <row r="774" spans="1:32" x14ac:dyDescent="0.2">
      <c r="A774">
        <v>769</v>
      </c>
      <c r="B774" t="s">
        <v>9364</v>
      </c>
      <c r="C774" t="s">
        <v>9365</v>
      </c>
      <c r="D774" t="s">
        <v>9366</v>
      </c>
      <c r="E774" t="s">
        <v>9367</v>
      </c>
      <c r="F774" t="s">
        <v>9368</v>
      </c>
      <c r="G774" t="s">
        <v>9369</v>
      </c>
      <c r="H774" t="str">
        <f>"Cdv3"</f>
        <v>Cdv3</v>
      </c>
      <c r="I774" t="s">
        <v>32</v>
      </c>
      <c r="J774" t="s">
        <v>37</v>
      </c>
      <c r="K774">
        <v>10090</v>
      </c>
      <c r="L774" s="3" t="str">
        <f>HYPERLINK("http://www.uniprot.org/uniprot/Q4VAA2", "Q4VAA2")</f>
        <v>Q4VAA2</v>
      </c>
      <c r="M774" t="s">
        <v>9370</v>
      </c>
      <c r="N774" t="str">
        <f>"Cdv3"</f>
        <v>Cdv3</v>
      </c>
      <c r="O774" s="3" t="str">
        <f>HYPERLINK("http://www.informatics.jax.org/marker/MGI:2448759", "MGI:2448759")</f>
        <v>MGI:2448759</v>
      </c>
      <c r="P774" t="s">
        <v>9371</v>
      </c>
      <c r="Q774" t="s">
        <v>32</v>
      </c>
      <c r="R774" t="s">
        <v>418</v>
      </c>
      <c r="S774" t="s">
        <v>41</v>
      </c>
      <c r="T774" t="s">
        <v>32</v>
      </c>
      <c r="U774" t="s">
        <v>32</v>
      </c>
      <c r="V774" t="s">
        <v>32</v>
      </c>
      <c r="W774" t="s">
        <v>32</v>
      </c>
      <c r="X774" t="s">
        <v>32</v>
      </c>
      <c r="Y774" t="s">
        <v>157</v>
      </c>
      <c r="Z774" t="s">
        <v>32</v>
      </c>
      <c r="AA774" t="s">
        <v>32</v>
      </c>
      <c r="AB774" t="s">
        <v>4024</v>
      </c>
      <c r="AC774" t="s">
        <v>32</v>
      </c>
      <c r="AD774" t="s">
        <v>32</v>
      </c>
      <c r="AE774" t="s">
        <v>32</v>
      </c>
      <c r="AF774" t="s">
        <v>46835</v>
      </c>
    </row>
    <row r="775" spans="1:32" x14ac:dyDescent="0.2">
      <c r="A775">
        <v>770</v>
      </c>
      <c r="B775" t="s">
        <v>9372</v>
      </c>
      <c r="C775" t="s">
        <v>9373</v>
      </c>
      <c r="D775" t="s">
        <v>9374</v>
      </c>
      <c r="E775" t="s">
        <v>9375</v>
      </c>
      <c r="F775" t="s">
        <v>9376</v>
      </c>
      <c r="G775" t="s">
        <v>32</v>
      </c>
      <c r="H775" t="str">
        <f>"Nrdc"</f>
        <v>Nrdc</v>
      </c>
      <c r="I775" t="s">
        <v>9377</v>
      </c>
      <c r="J775" t="s">
        <v>37</v>
      </c>
      <c r="K775">
        <v>10090</v>
      </c>
      <c r="L775" s="3" t="str">
        <f>HYPERLINK("http://www.uniprot.org/uniprot/Q8BHG1", "Q8BHG1")</f>
        <v>Q8BHG1</v>
      </c>
      <c r="M775" t="s">
        <v>9378</v>
      </c>
      <c r="N775" t="str">
        <f>"Nrd1"</f>
        <v>Nrd1</v>
      </c>
      <c r="O775" s="3" t="str">
        <f>HYPERLINK("http://www.informatics.jax.org/marker/MGI:1201386", "MGI:1201386")</f>
        <v>MGI:1201386</v>
      </c>
      <c r="P775" t="s">
        <v>9379</v>
      </c>
      <c r="Q775" t="s">
        <v>32</v>
      </c>
      <c r="R775" t="s">
        <v>9380</v>
      </c>
      <c r="S775" t="s">
        <v>32</v>
      </c>
      <c r="T775" t="s">
        <v>32</v>
      </c>
      <c r="U775" t="s">
        <v>32</v>
      </c>
      <c r="V775" t="s">
        <v>811</v>
      </c>
      <c r="W775" t="s">
        <v>42</v>
      </c>
      <c r="X775" t="s">
        <v>4882</v>
      </c>
      <c r="Y775" t="s">
        <v>618</v>
      </c>
      <c r="Z775" t="s">
        <v>32</v>
      </c>
      <c r="AA775" t="s">
        <v>9381</v>
      </c>
      <c r="AB775" t="s">
        <v>3721</v>
      </c>
      <c r="AC775" t="s">
        <v>9382</v>
      </c>
      <c r="AD775" t="s">
        <v>32</v>
      </c>
      <c r="AE775" t="s">
        <v>32</v>
      </c>
      <c r="AF775" t="s">
        <v>46835</v>
      </c>
    </row>
    <row r="776" spans="1:32" x14ac:dyDescent="0.2">
      <c r="A776">
        <v>771</v>
      </c>
      <c r="B776" t="s">
        <v>9383</v>
      </c>
      <c r="C776" t="s">
        <v>9384</v>
      </c>
      <c r="D776" t="s">
        <v>9385</v>
      </c>
      <c r="E776" t="s">
        <v>9386</v>
      </c>
      <c r="F776" t="s">
        <v>9387</v>
      </c>
      <c r="G776" t="s">
        <v>9388</v>
      </c>
      <c r="H776" t="str">
        <f>"Prmt5"</f>
        <v>Prmt5</v>
      </c>
      <c r="I776" t="s">
        <v>9389</v>
      </c>
      <c r="J776" t="s">
        <v>37</v>
      </c>
      <c r="K776">
        <v>10090</v>
      </c>
      <c r="L776" s="3" t="str">
        <f>HYPERLINK("http://www.uniprot.org/uniprot/Q8CIG8", "Q8CIG8")</f>
        <v>Q8CIG8</v>
      </c>
      <c r="M776" t="s">
        <v>9390</v>
      </c>
      <c r="N776" t="str">
        <f>"Prmt5"</f>
        <v>Prmt5</v>
      </c>
      <c r="O776" s="3" t="str">
        <f>HYPERLINK("http://www.informatics.jax.org/marker/MGI:1351645", "MGI:1351645")</f>
        <v>MGI:1351645</v>
      </c>
      <c r="P776" t="s">
        <v>9391</v>
      </c>
      <c r="Q776" t="s">
        <v>1992</v>
      </c>
      <c r="R776" t="s">
        <v>9392</v>
      </c>
      <c r="S776" t="s">
        <v>32</v>
      </c>
      <c r="T776" t="s">
        <v>32</v>
      </c>
      <c r="U776" t="s">
        <v>32</v>
      </c>
      <c r="V776" t="s">
        <v>32</v>
      </c>
      <c r="W776" t="s">
        <v>1705</v>
      </c>
      <c r="X776" t="s">
        <v>9393</v>
      </c>
      <c r="Y776" t="s">
        <v>78</v>
      </c>
      <c r="Z776" t="s">
        <v>32</v>
      </c>
      <c r="AA776" t="s">
        <v>9394</v>
      </c>
      <c r="AB776" t="s">
        <v>9395</v>
      </c>
      <c r="AC776" t="s">
        <v>9396</v>
      </c>
      <c r="AD776" t="s">
        <v>32</v>
      </c>
      <c r="AE776" t="s">
        <v>9397</v>
      </c>
      <c r="AF776" t="s">
        <v>46835</v>
      </c>
    </row>
    <row r="777" spans="1:32" x14ac:dyDescent="0.2">
      <c r="A777">
        <v>772</v>
      </c>
      <c r="B777" t="s">
        <v>9398</v>
      </c>
      <c r="C777" t="s">
        <v>9399</v>
      </c>
      <c r="D777" t="s">
        <v>32</v>
      </c>
      <c r="E777" t="s">
        <v>9400</v>
      </c>
      <c r="F777" t="s">
        <v>9401</v>
      </c>
      <c r="G777" t="s">
        <v>9402</v>
      </c>
      <c r="H777" t="str">
        <f>"Erich5"</f>
        <v>Erich5</v>
      </c>
      <c r="I777" t="s">
        <v>32</v>
      </c>
      <c r="J777" t="s">
        <v>37</v>
      </c>
      <c r="K777">
        <v>10090</v>
      </c>
      <c r="L777" s="3" t="str">
        <f>HYPERLINK("http://www.uniprot.org/uniprot/Q8K0S2", "Q8K0S2")</f>
        <v>Q8K0S2</v>
      </c>
      <c r="M777" t="s">
        <v>9403</v>
      </c>
      <c r="N777" t="str">
        <f>"Erich5"</f>
        <v>Erich5</v>
      </c>
      <c r="O777" s="3" t="str">
        <f>HYPERLINK("http://www.informatics.jax.org/marker/MGI:2447772", "MGI:2447772")</f>
        <v>MGI:2447772</v>
      </c>
      <c r="P777" t="s">
        <v>618</v>
      </c>
      <c r="Q777" t="s">
        <v>32</v>
      </c>
      <c r="R777" t="s">
        <v>32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32</v>
      </c>
      <c r="Y777" t="s">
        <v>618</v>
      </c>
      <c r="Z777" t="s">
        <v>32</v>
      </c>
      <c r="AA777" t="s">
        <v>32</v>
      </c>
      <c r="AB777" t="s">
        <v>32</v>
      </c>
      <c r="AC777" t="s">
        <v>32</v>
      </c>
      <c r="AD777" t="s">
        <v>32</v>
      </c>
      <c r="AE777" t="s">
        <v>32</v>
      </c>
      <c r="AF777" t="s">
        <v>46835</v>
      </c>
    </row>
    <row r="778" spans="1:32" x14ac:dyDescent="0.2">
      <c r="A778">
        <v>773</v>
      </c>
      <c r="B778" t="s">
        <v>9404</v>
      </c>
      <c r="C778" t="s">
        <v>9405</v>
      </c>
      <c r="D778" t="s">
        <v>9406</v>
      </c>
      <c r="E778" t="s">
        <v>9407</v>
      </c>
      <c r="F778" t="s">
        <v>9408</v>
      </c>
      <c r="G778" t="s">
        <v>32</v>
      </c>
      <c r="H778" t="str">
        <f>"Apex1"</f>
        <v>Apex1</v>
      </c>
      <c r="I778" t="s">
        <v>9409</v>
      </c>
      <c r="J778" t="s">
        <v>37</v>
      </c>
      <c r="K778">
        <v>10090</v>
      </c>
      <c r="L778" s="3" t="str">
        <f>HYPERLINK("http://www.uniprot.org/uniprot/P28352", "P28352")</f>
        <v>P28352</v>
      </c>
      <c r="M778" t="s">
        <v>9410</v>
      </c>
      <c r="N778" t="str">
        <f>"Apex1"</f>
        <v>Apex1</v>
      </c>
      <c r="O778" s="3" t="str">
        <f>HYPERLINK("http://www.informatics.jax.org/marker/MGI:88042", "MGI:88042")</f>
        <v>MGI:88042</v>
      </c>
      <c r="P778" t="s">
        <v>9411</v>
      </c>
      <c r="Q778" t="s">
        <v>5942</v>
      </c>
      <c r="R778" t="s">
        <v>9412</v>
      </c>
      <c r="S778" t="s">
        <v>32</v>
      </c>
      <c r="T778" t="s">
        <v>32</v>
      </c>
      <c r="U778" t="s">
        <v>32</v>
      </c>
      <c r="V778" t="s">
        <v>32</v>
      </c>
      <c r="W778" t="s">
        <v>223</v>
      </c>
      <c r="X778" t="s">
        <v>9413</v>
      </c>
      <c r="Y778" t="s">
        <v>9414</v>
      </c>
      <c r="Z778" t="s">
        <v>126</v>
      </c>
      <c r="AA778" t="s">
        <v>9415</v>
      </c>
      <c r="AB778" t="s">
        <v>9416</v>
      </c>
      <c r="AC778" t="s">
        <v>9417</v>
      </c>
      <c r="AD778" t="s">
        <v>32</v>
      </c>
      <c r="AE778" t="s">
        <v>9418</v>
      </c>
      <c r="AF778" t="s">
        <v>46835</v>
      </c>
    </row>
    <row r="779" spans="1:32" x14ac:dyDescent="0.2">
      <c r="A779">
        <v>774</v>
      </c>
      <c r="B779" t="s">
        <v>9419</v>
      </c>
      <c r="C779" t="s">
        <v>9420</v>
      </c>
      <c r="D779" t="s">
        <v>32</v>
      </c>
      <c r="E779" t="s">
        <v>9421</v>
      </c>
      <c r="F779" t="s">
        <v>9422</v>
      </c>
      <c r="G779" t="s">
        <v>32</v>
      </c>
      <c r="H779" t="str">
        <f>"Ptms"</f>
        <v>Ptms</v>
      </c>
      <c r="I779" t="s">
        <v>32</v>
      </c>
      <c r="J779" t="s">
        <v>37</v>
      </c>
      <c r="K779">
        <v>10090</v>
      </c>
      <c r="L779" s="3" t="str">
        <f>HYPERLINK("http://www.uniprot.org/uniprot/Q9D0J8", "Q9D0J8")</f>
        <v>Q9D0J8</v>
      </c>
      <c r="M779" t="s">
        <v>9423</v>
      </c>
      <c r="N779" t="str">
        <f>"Ptms"</f>
        <v>Ptms</v>
      </c>
      <c r="O779" s="3" t="str">
        <f>HYPERLINK("http://www.informatics.jax.org/marker/MGI:1916452", "MGI:1916452")</f>
        <v>MGI:1916452</v>
      </c>
      <c r="P779" t="s">
        <v>9424</v>
      </c>
      <c r="Q779" t="s">
        <v>3834</v>
      </c>
      <c r="R779" t="s">
        <v>32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32</v>
      </c>
      <c r="Y779" t="s">
        <v>157</v>
      </c>
      <c r="Z779" t="s">
        <v>32</v>
      </c>
      <c r="AA779" t="s">
        <v>9425</v>
      </c>
      <c r="AB779" t="s">
        <v>928</v>
      </c>
      <c r="AC779" t="s">
        <v>9426</v>
      </c>
      <c r="AD779" t="s">
        <v>32</v>
      </c>
      <c r="AE779" t="s">
        <v>32</v>
      </c>
      <c r="AF779" t="s">
        <v>46835</v>
      </c>
    </row>
    <row r="780" spans="1:32" x14ac:dyDescent="0.2">
      <c r="A780">
        <v>775</v>
      </c>
      <c r="B780" t="s">
        <v>9427</v>
      </c>
      <c r="C780" t="s">
        <v>9428</v>
      </c>
      <c r="D780" t="s">
        <v>9429</v>
      </c>
      <c r="E780" t="s">
        <v>9430</v>
      </c>
      <c r="F780" t="s">
        <v>9431</v>
      </c>
      <c r="G780" t="s">
        <v>9432</v>
      </c>
      <c r="H780" t="str">
        <f>"Txnrd1"</f>
        <v>Txnrd1</v>
      </c>
      <c r="I780" t="s">
        <v>9433</v>
      </c>
      <c r="J780" t="s">
        <v>37</v>
      </c>
      <c r="K780">
        <v>10090</v>
      </c>
      <c r="L780" s="3" t="str">
        <f>HYPERLINK("http://www.uniprot.org/uniprot/Q9JMH6", "Q9JMH6")</f>
        <v>Q9JMH6</v>
      </c>
      <c r="M780" t="s">
        <v>9434</v>
      </c>
      <c r="N780" t="str">
        <f>"Txnrd1"</f>
        <v>Txnrd1</v>
      </c>
      <c r="O780" s="3" t="str">
        <f>HYPERLINK("http://www.informatics.jax.org/marker/MGI:1354175", "MGI:1354175")</f>
        <v>MGI:1354175</v>
      </c>
      <c r="P780" t="s">
        <v>9435</v>
      </c>
      <c r="Q780" t="s">
        <v>32</v>
      </c>
      <c r="R780" t="s">
        <v>418</v>
      </c>
      <c r="S780" t="s">
        <v>9436</v>
      </c>
      <c r="T780" t="s">
        <v>32</v>
      </c>
      <c r="U780" t="s">
        <v>32</v>
      </c>
      <c r="V780" t="s">
        <v>1090</v>
      </c>
      <c r="W780" t="s">
        <v>9437</v>
      </c>
      <c r="X780" t="s">
        <v>600</v>
      </c>
      <c r="Y780" t="s">
        <v>9438</v>
      </c>
      <c r="Z780" t="s">
        <v>32</v>
      </c>
      <c r="AA780" t="s">
        <v>9439</v>
      </c>
      <c r="AB780" t="s">
        <v>9440</v>
      </c>
      <c r="AC780" t="s">
        <v>9441</v>
      </c>
      <c r="AD780" t="s">
        <v>32</v>
      </c>
      <c r="AE780" t="s">
        <v>9442</v>
      </c>
      <c r="AF780" t="s">
        <v>46835</v>
      </c>
    </row>
    <row r="781" spans="1:32" x14ac:dyDescent="0.2">
      <c r="A781">
        <v>776</v>
      </c>
      <c r="B781" t="s">
        <v>9443</v>
      </c>
      <c r="C781" t="s">
        <v>9444</v>
      </c>
      <c r="D781" t="s">
        <v>9445</v>
      </c>
      <c r="E781" t="s">
        <v>9446</v>
      </c>
      <c r="F781" t="s">
        <v>9447</v>
      </c>
      <c r="G781" t="s">
        <v>9448</v>
      </c>
      <c r="H781" t="str">
        <f>"Ap2m1"</f>
        <v>Ap2m1</v>
      </c>
      <c r="I781" t="s">
        <v>9449</v>
      </c>
      <c r="J781" t="s">
        <v>37</v>
      </c>
      <c r="K781">
        <v>10090</v>
      </c>
      <c r="L781" s="3" t="str">
        <f>HYPERLINK("http://www.uniprot.org/uniprot/P84091", "P84091")</f>
        <v>P84091</v>
      </c>
      <c r="M781" t="s">
        <v>9450</v>
      </c>
      <c r="N781" t="str">
        <f>"Ap2m1"</f>
        <v>Ap2m1</v>
      </c>
      <c r="O781" s="3" t="str">
        <f>HYPERLINK("http://www.informatics.jax.org/marker/MGI:1298405", "MGI:1298405")</f>
        <v>MGI:1298405</v>
      </c>
      <c r="P781" t="s">
        <v>9451</v>
      </c>
      <c r="Q781" t="s">
        <v>910</v>
      </c>
      <c r="R781" t="s">
        <v>7022</v>
      </c>
      <c r="S781" t="s">
        <v>32</v>
      </c>
      <c r="T781" t="s">
        <v>32</v>
      </c>
      <c r="U781" t="s">
        <v>32</v>
      </c>
      <c r="V781" t="s">
        <v>32</v>
      </c>
      <c r="W781" t="s">
        <v>584</v>
      </c>
      <c r="X781" t="s">
        <v>32</v>
      </c>
      <c r="Y781" t="s">
        <v>618</v>
      </c>
      <c r="Z781" t="s">
        <v>126</v>
      </c>
      <c r="AA781" t="s">
        <v>9452</v>
      </c>
      <c r="AB781" t="s">
        <v>9453</v>
      </c>
      <c r="AC781" t="s">
        <v>9454</v>
      </c>
      <c r="AD781" t="s">
        <v>32</v>
      </c>
      <c r="AE781" t="s">
        <v>9455</v>
      </c>
      <c r="AF781" t="s">
        <v>46835</v>
      </c>
    </row>
    <row r="782" spans="1:32" x14ac:dyDescent="0.2">
      <c r="A782">
        <v>777</v>
      </c>
      <c r="B782" t="s">
        <v>9456</v>
      </c>
      <c r="C782" t="s">
        <v>9457</v>
      </c>
      <c r="D782" t="s">
        <v>9458</v>
      </c>
      <c r="E782" t="s">
        <v>9459</v>
      </c>
      <c r="F782" t="s">
        <v>9460</v>
      </c>
      <c r="G782" t="s">
        <v>9461</v>
      </c>
      <c r="H782" t="str">
        <f>"Top1"</f>
        <v>Top1</v>
      </c>
      <c r="I782" t="s">
        <v>9462</v>
      </c>
      <c r="J782" t="s">
        <v>37</v>
      </c>
      <c r="K782">
        <v>10090</v>
      </c>
      <c r="L782" s="3" t="str">
        <f>HYPERLINK("http://www.uniprot.org/uniprot/Q04750", "Q04750")</f>
        <v>Q04750</v>
      </c>
      <c r="M782" t="s">
        <v>9463</v>
      </c>
      <c r="N782" t="str">
        <f>"Top1"</f>
        <v>Top1</v>
      </c>
      <c r="O782" s="3" t="str">
        <f>HYPERLINK("http://www.informatics.jax.org/marker/MGI:98788", "MGI:98788")</f>
        <v>MGI:98788</v>
      </c>
      <c r="P782" t="s">
        <v>9464</v>
      </c>
      <c r="Q782" t="s">
        <v>9465</v>
      </c>
      <c r="R782" t="s">
        <v>2279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8893</v>
      </c>
      <c r="Y782" t="s">
        <v>516</v>
      </c>
      <c r="Z782" t="s">
        <v>32</v>
      </c>
      <c r="AA782" t="s">
        <v>9466</v>
      </c>
      <c r="AB782" t="s">
        <v>9467</v>
      </c>
      <c r="AC782" t="s">
        <v>9468</v>
      </c>
      <c r="AD782" t="s">
        <v>32</v>
      </c>
      <c r="AE782" t="s">
        <v>8897</v>
      </c>
      <c r="AF782" t="s">
        <v>46835</v>
      </c>
    </row>
    <row r="783" spans="1:32" x14ac:dyDescent="0.2">
      <c r="A783">
        <v>778</v>
      </c>
      <c r="B783" t="s">
        <v>9469</v>
      </c>
      <c r="C783" t="s">
        <v>9470</v>
      </c>
      <c r="D783" t="s">
        <v>9471</v>
      </c>
      <c r="E783" t="s">
        <v>9472</v>
      </c>
      <c r="F783" t="s">
        <v>9473</v>
      </c>
      <c r="G783" t="s">
        <v>9474</v>
      </c>
      <c r="H783" t="str">
        <f>"Cryz"</f>
        <v>Cryz</v>
      </c>
      <c r="I783" t="s">
        <v>32</v>
      </c>
      <c r="J783" t="s">
        <v>37</v>
      </c>
      <c r="K783">
        <v>10090</v>
      </c>
      <c r="L783" s="3" t="str">
        <f>HYPERLINK("http://www.uniprot.org/uniprot/P47199", "P47199")</f>
        <v>P47199</v>
      </c>
      <c r="M783" t="s">
        <v>9475</v>
      </c>
      <c r="N783" t="str">
        <f>"Cryz"</f>
        <v>Cryz</v>
      </c>
      <c r="O783" s="3" t="str">
        <f>HYPERLINK("http://www.informatics.jax.org/marker/MGI:88527", "MGI:88527")</f>
        <v>MGI:88527</v>
      </c>
      <c r="P783" t="s">
        <v>9476</v>
      </c>
      <c r="Q783" t="s">
        <v>32</v>
      </c>
      <c r="R783" t="s">
        <v>418</v>
      </c>
      <c r="S783" t="s">
        <v>32</v>
      </c>
      <c r="T783" t="s">
        <v>32</v>
      </c>
      <c r="U783" t="s">
        <v>32</v>
      </c>
      <c r="V783" t="s">
        <v>32</v>
      </c>
      <c r="W783" t="s">
        <v>3204</v>
      </c>
      <c r="X783" t="s">
        <v>9477</v>
      </c>
      <c r="Y783" t="s">
        <v>157</v>
      </c>
      <c r="Z783" t="s">
        <v>32</v>
      </c>
      <c r="AA783" t="s">
        <v>9478</v>
      </c>
      <c r="AB783" t="s">
        <v>1268</v>
      </c>
      <c r="AC783" t="s">
        <v>9479</v>
      </c>
      <c r="AD783" t="s">
        <v>32</v>
      </c>
      <c r="AE783" t="s">
        <v>32</v>
      </c>
      <c r="AF783" t="s">
        <v>46835</v>
      </c>
    </row>
    <row r="784" spans="1:32" x14ac:dyDescent="0.2">
      <c r="A784">
        <v>779</v>
      </c>
      <c r="B784" t="s">
        <v>9480</v>
      </c>
      <c r="C784" t="s">
        <v>9481</v>
      </c>
      <c r="D784" t="s">
        <v>9482</v>
      </c>
      <c r="E784" t="s">
        <v>9483</v>
      </c>
      <c r="F784" t="s">
        <v>9484</v>
      </c>
      <c r="G784" t="s">
        <v>9485</v>
      </c>
      <c r="H784" t="str">
        <f>"Ppp1r12a"</f>
        <v>Ppp1r12a</v>
      </c>
      <c r="I784" t="s">
        <v>32</v>
      </c>
      <c r="J784" t="s">
        <v>37</v>
      </c>
      <c r="K784">
        <v>10090</v>
      </c>
      <c r="L784" s="3" t="str">
        <f>HYPERLINK("http://www.uniprot.org/uniprot/Q9DBR7", "Q9DBR7")</f>
        <v>Q9DBR7</v>
      </c>
      <c r="M784" t="s">
        <v>9486</v>
      </c>
      <c r="N784" t="str">
        <f>"Ppp1r12a"</f>
        <v>Ppp1r12a</v>
      </c>
      <c r="O784" s="3" t="str">
        <f>HYPERLINK("http://www.informatics.jax.org/marker/MGI:1309528", "MGI:1309528")</f>
        <v>MGI:1309528</v>
      </c>
      <c r="P784" t="s">
        <v>9487</v>
      </c>
      <c r="Q784" t="s">
        <v>32</v>
      </c>
      <c r="R784" t="s">
        <v>186</v>
      </c>
      <c r="S784" t="s">
        <v>41</v>
      </c>
      <c r="T784" t="s">
        <v>32</v>
      </c>
      <c r="U784" t="s">
        <v>32</v>
      </c>
      <c r="V784" t="s">
        <v>912</v>
      </c>
      <c r="W784" t="s">
        <v>32</v>
      </c>
      <c r="X784" t="s">
        <v>32</v>
      </c>
      <c r="Y784" t="s">
        <v>9488</v>
      </c>
      <c r="Z784" t="s">
        <v>32</v>
      </c>
      <c r="AA784" t="s">
        <v>9489</v>
      </c>
      <c r="AB784" t="s">
        <v>9490</v>
      </c>
      <c r="AC784" t="s">
        <v>9491</v>
      </c>
      <c r="AD784" t="s">
        <v>32</v>
      </c>
      <c r="AE784" t="s">
        <v>9492</v>
      </c>
      <c r="AF784" t="s">
        <v>46835</v>
      </c>
    </row>
    <row r="785" spans="1:33" x14ac:dyDescent="0.2">
      <c r="A785">
        <v>780</v>
      </c>
      <c r="B785" t="s">
        <v>9493</v>
      </c>
      <c r="C785" t="s">
        <v>9494</v>
      </c>
      <c r="D785" t="s">
        <v>32</v>
      </c>
      <c r="E785" t="s">
        <v>9495</v>
      </c>
      <c r="F785" t="s">
        <v>9496</v>
      </c>
      <c r="G785" t="s">
        <v>32</v>
      </c>
      <c r="H785" t="str">
        <f>"Chd4"</f>
        <v>Chd4</v>
      </c>
      <c r="I785" t="s">
        <v>32</v>
      </c>
      <c r="J785" t="s">
        <v>37</v>
      </c>
      <c r="K785">
        <v>10090</v>
      </c>
      <c r="L785" s="3" t="str">
        <f>HYPERLINK("http://www.uniprot.org/uniprot/Q6PDQ2", "Q6PDQ2")</f>
        <v>Q6PDQ2</v>
      </c>
      <c r="M785" t="s">
        <v>9497</v>
      </c>
      <c r="N785" t="str">
        <f>"Chd4"</f>
        <v>Chd4</v>
      </c>
      <c r="O785" s="3" t="str">
        <f>HYPERLINK("http://www.informatics.jax.org/marker/MGI:1344380", "MGI:1344380")</f>
        <v>MGI:1344380</v>
      </c>
      <c r="P785" t="s">
        <v>9498</v>
      </c>
      <c r="Q785" t="s">
        <v>4152</v>
      </c>
      <c r="R785" t="s">
        <v>324</v>
      </c>
      <c r="S785" t="s">
        <v>32</v>
      </c>
      <c r="T785" t="s">
        <v>32</v>
      </c>
      <c r="U785" t="s">
        <v>32</v>
      </c>
      <c r="V785" t="s">
        <v>3791</v>
      </c>
      <c r="W785" t="s">
        <v>2325</v>
      </c>
      <c r="X785" t="s">
        <v>9499</v>
      </c>
      <c r="Y785" t="s">
        <v>516</v>
      </c>
      <c r="Z785" t="s">
        <v>32</v>
      </c>
      <c r="AA785" t="s">
        <v>9500</v>
      </c>
      <c r="AB785" t="s">
        <v>9501</v>
      </c>
      <c r="AC785" t="s">
        <v>9502</v>
      </c>
      <c r="AD785" t="s">
        <v>32</v>
      </c>
      <c r="AE785" t="s">
        <v>9503</v>
      </c>
      <c r="AF785" t="s">
        <v>46835</v>
      </c>
    </row>
    <row r="786" spans="1:33" x14ac:dyDescent="0.2">
      <c r="A786">
        <v>781</v>
      </c>
      <c r="B786" t="s">
        <v>9504</v>
      </c>
      <c r="C786" t="s">
        <v>9505</v>
      </c>
      <c r="D786" t="s">
        <v>9506</v>
      </c>
      <c r="E786" t="s">
        <v>9507</v>
      </c>
      <c r="F786" t="s">
        <v>9508</v>
      </c>
      <c r="G786" t="s">
        <v>32</v>
      </c>
      <c r="H786" t="str">
        <f>"Memo1"</f>
        <v>Memo1</v>
      </c>
      <c r="I786" t="s">
        <v>32</v>
      </c>
      <c r="J786" t="s">
        <v>37</v>
      </c>
      <c r="K786">
        <v>10090</v>
      </c>
      <c r="L786" s="3" t="str">
        <f>HYPERLINK("http://www.uniprot.org/uniprot/Q91VH6", "Q91VH6")</f>
        <v>Q91VH6</v>
      </c>
      <c r="M786" t="s">
        <v>9509</v>
      </c>
      <c r="N786" t="str">
        <f>"Memo1"</f>
        <v>Memo1</v>
      </c>
      <c r="O786" s="3" t="str">
        <f>HYPERLINK("http://www.informatics.jax.org/marker/MGI:1924140", "MGI:1924140")</f>
        <v>MGI:1924140</v>
      </c>
      <c r="P786" t="s">
        <v>618</v>
      </c>
      <c r="Q786" t="s">
        <v>32</v>
      </c>
      <c r="R786" t="s">
        <v>32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32</v>
      </c>
      <c r="Y786" t="s">
        <v>618</v>
      </c>
      <c r="Z786" t="s">
        <v>32</v>
      </c>
      <c r="AA786" t="s">
        <v>9510</v>
      </c>
      <c r="AB786" t="s">
        <v>32</v>
      </c>
      <c r="AC786" t="s">
        <v>9511</v>
      </c>
      <c r="AD786" t="s">
        <v>32</v>
      </c>
      <c r="AE786" t="s">
        <v>9512</v>
      </c>
      <c r="AF786" t="s">
        <v>46835</v>
      </c>
    </row>
    <row r="787" spans="1:33" x14ac:dyDescent="0.2">
      <c r="A787">
        <v>782</v>
      </c>
      <c r="B787" t="s">
        <v>9513</v>
      </c>
      <c r="C787" t="s">
        <v>9514</v>
      </c>
      <c r="D787" t="s">
        <v>9515</v>
      </c>
      <c r="E787" t="s">
        <v>9516</v>
      </c>
      <c r="F787" t="s">
        <v>9517</v>
      </c>
      <c r="G787" t="s">
        <v>9518</v>
      </c>
      <c r="H787" t="str">
        <f>"Srsf5"</f>
        <v>Srsf5</v>
      </c>
      <c r="I787" t="s">
        <v>9519</v>
      </c>
      <c r="J787" t="s">
        <v>37</v>
      </c>
      <c r="K787">
        <v>10090</v>
      </c>
      <c r="L787" s="3" t="str">
        <f>HYPERLINK("http://www.uniprot.org/uniprot/O35326", "O35326")</f>
        <v>O35326</v>
      </c>
      <c r="M787" t="s">
        <v>9520</v>
      </c>
      <c r="N787" t="str">
        <f>"Srsf5"</f>
        <v>Srsf5</v>
      </c>
      <c r="O787" s="3" t="str">
        <f>HYPERLINK("http://www.informatics.jax.org/marker/MGI:98287", "MGI:98287")</f>
        <v>MGI:98287</v>
      </c>
      <c r="P787" t="s">
        <v>9521</v>
      </c>
      <c r="Q787" t="s">
        <v>1348</v>
      </c>
      <c r="R787" t="s">
        <v>2279</v>
      </c>
      <c r="S787" t="s">
        <v>32</v>
      </c>
      <c r="T787" t="s">
        <v>32</v>
      </c>
      <c r="U787" t="s">
        <v>32</v>
      </c>
      <c r="V787" t="s">
        <v>55</v>
      </c>
      <c r="W787" t="s">
        <v>32</v>
      </c>
      <c r="X787" t="s">
        <v>1282</v>
      </c>
      <c r="Y787" t="s">
        <v>157</v>
      </c>
      <c r="Z787" t="s">
        <v>32</v>
      </c>
      <c r="AA787" t="s">
        <v>9522</v>
      </c>
      <c r="AB787" t="s">
        <v>9523</v>
      </c>
      <c r="AC787" t="s">
        <v>9524</v>
      </c>
      <c r="AD787" t="s">
        <v>32</v>
      </c>
      <c r="AE787" t="s">
        <v>9525</v>
      </c>
      <c r="AF787" t="s">
        <v>46835</v>
      </c>
    </row>
    <row r="788" spans="1:33" x14ac:dyDescent="0.2">
      <c r="A788">
        <v>783</v>
      </c>
      <c r="B788" t="s">
        <v>9526</v>
      </c>
      <c r="C788" t="s">
        <v>9527</v>
      </c>
      <c r="D788" t="s">
        <v>9528</v>
      </c>
      <c r="E788" t="s">
        <v>9529</v>
      </c>
      <c r="F788" t="s">
        <v>9530</v>
      </c>
      <c r="G788" t="s">
        <v>9531</v>
      </c>
      <c r="H788" t="str">
        <f>"Gpx4"</f>
        <v>Gpx4</v>
      </c>
      <c r="I788" t="s">
        <v>32</v>
      </c>
      <c r="J788" t="s">
        <v>37</v>
      </c>
      <c r="K788">
        <v>10090</v>
      </c>
      <c r="L788" s="3" t="str">
        <f>HYPERLINK("http://www.uniprot.org/uniprot/O70325", "O70325")</f>
        <v>O70325</v>
      </c>
      <c r="M788" t="s">
        <v>9532</v>
      </c>
      <c r="N788" t="str">
        <f>"Gpx4"</f>
        <v>Gpx4</v>
      </c>
      <c r="O788" s="3" t="str">
        <f>HYPERLINK("http://www.informatics.jax.org/marker/MGI:104767", "MGI:104767")</f>
        <v>MGI:104767</v>
      </c>
      <c r="P788" t="s">
        <v>9533</v>
      </c>
      <c r="Q788" t="s">
        <v>598</v>
      </c>
      <c r="R788" t="s">
        <v>1021</v>
      </c>
      <c r="S788" t="s">
        <v>9534</v>
      </c>
      <c r="T788" t="s">
        <v>32</v>
      </c>
      <c r="U788" t="s">
        <v>32</v>
      </c>
      <c r="V788" t="s">
        <v>1039</v>
      </c>
      <c r="W788" t="s">
        <v>32</v>
      </c>
      <c r="X788" t="s">
        <v>9535</v>
      </c>
      <c r="Y788" t="s">
        <v>618</v>
      </c>
      <c r="Z788" t="s">
        <v>126</v>
      </c>
      <c r="AA788" t="s">
        <v>9536</v>
      </c>
      <c r="AB788" t="s">
        <v>9537</v>
      </c>
      <c r="AC788" t="s">
        <v>9538</v>
      </c>
      <c r="AD788" t="s">
        <v>32</v>
      </c>
      <c r="AE788" t="s">
        <v>9539</v>
      </c>
      <c r="AF788" t="s">
        <v>46835</v>
      </c>
    </row>
    <row r="789" spans="1:33" x14ac:dyDescent="0.2">
      <c r="A789">
        <v>784</v>
      </c>
      <c r="B789" t="s">
        <v>9540</v>
      </c>
      <c r="C789" t="s">
        <v>9541</v>
      </c>
      <c r="D789" t="s">
        <v>9542</v>
      </c>
      <c r="E789" t="s">
        <v>9543</v>
      </c>
      <c r="F789" t="s">
        <v>9544</v>
      </c>
      <c r="G789" t="s">
        <v>9545</v>
      </c>
      <c r="H789" t="str">
        <f>"Aco1"</f>
        <v>Aco1</v>
      </c>
      <c r="I789" t="s">
        <v>9546</v>
      </c>
      <c r="J789" t="s">
        <v>37</v>
      </c>
      <c r="K789">
        <v>10090</v>
      </c>
      <c r="L789" s="3" t="str">
        <f>HYPERLINK("http://www.uniprot.org/uniprot/P28271", "P28271")</f>
        <v>P28271</v>
      </c>
      <c r="M789" t="s">
        <v>9547</v>
      </c>
      <c r="N789" t="str">
        <f>"Aco1"</f>
        <v>Aco1</v>
      </c>
      <c r="O789" s="3" t="str">
        <f>HYPERLINK("http://www.informatics.jax.org/marker/MGI:87879", "MGI:87879")</f>
        <v>MGI:87879</v>
      </c>
      <c r="P789" t="s">
        <v>9548</v>
      </c>
      <c r="Q789" t="s">
        <v>1756</v>
      </c>
      <c r="R789" t="s">
        <v>418</v>
      </c>
      <c r="S789" t="s">
        <v>32</v>
      </c>
      <c r="T789" t="s">
        <v>32</v>
      </c>
      <c r="U789" t="s">
        <v>32</v>
      </c>
      <c r="V789" t="s">
        <v>32</v>
      </c>
      <c r="W789" t="s">
        <v>3386</v>
      </c>
      <c r="X789" t="s">
        <v>9549</v>
      </c>
      <c r="Y789" t="s">
        <v>32</v>
      </c>
      <c r="Z789" t="s">
        <v>32</v>
      </c>
      <c r="AA789" t="s">
        <v>9550</v>
      </c>
      <c r="AB789" t="s">
        <v>9551</v>
      </c>
      <c r="AC789" t="s">
        <v>9552</v>
      </c>
      <c r="AD789" t="s">
        <v>32</v>
      </c>
      <c r="AE789" t="s">
        <v>9553</v>
      </c>
      <c r="AF789" t="s">
        <v>46835</v>
      </c>
    </row>
    <row r="790" spans="1:33" x14ac:dyDescent="0.2">
      <c r="A790">
        <v>785</v>
      </c>
      <c r="B790" t="s">
        <v>9554</v>
      </c>
      <c r="C790" t="s">
        <v>9555</v>
      </c>
      <c r="D790" t="s">
        <v>9556</v>
      </c>
      <c r="E790" t="s">
        <v>9557</v>
      </c>
      <c r="F790" t="s">
        <v>9558</v>
      </c>
      <c r="G790" t="s">
        <v>9559</v>
      </c>
      <c r="H790" t="str">
        <f>"Copg1"</f>
        <v>Copg1</v>
      </c>
      <c r="I790" t="s">
        <v>9560</v>
      </c>
      <c r="J790" t="s">
        <v>37</v>
      </c>
      <c r="K790">
        <v>10090</v>
      </c>
      <c r="L790" s="3" t="str">
        <f>HYPERLINK("http://www.uniprot.org/uniprot/Q9QZE5", "Q9QZE5")</f>
        <v>Q9QZE5</v>
      </c>
      <c r="M790" t="s">
        <v>9561</v>
      </c>
      <c r="N790" t="str">
        <f>"Copg1"</f>
        <v>Copg1</v>
      </c>
      <c r="O790" s="3" t="str">
        <f>HYPERLINK("http://www.informatics.jax.org/marker/MGI:1858696", "MGI:1858696")</f>
        <v>MGI:1858696</v>
      </c>
      <c r="P790" t="s">
        <v>9562</v>
      </c>
      <c r="Q790" t="s">
        <v>2916</v>
      </c>
      <c r="R790" t="s">
        <v>3166</v>
      </c>
      <c r="S790" t="s">
        <v>32</v>
      </c>
      <c r="T790" t="s">
        <v>32</v>
      </c>
      <c r="U790" t="s">
        <v>32</v>
      </c>
      <c r="V790" t="s">
        <v>55</v>
      </c>
      <c r="W790" t="s">
        <v>32</v>
      </c>
      <c r="X790" t="s">
        <v>32</v>
      </c>
      <c r="Y790" t="s">
        <v>618</v>
      </c>
      <c r="Z790" t="s">
        <v>126</v>
      </c>
      <c r="AA790" t="s">
        <v>9563</v>
      </c>
      <c r="AB790" t="s">
        <v>9564</v>
      </c>
      <c r="AC790" t="s">
        <v>4591</v>
      </c>
      <c r="AD790" t="s">
        <v>32</v>
      </c>
      <c r="AE790" t="s">
        <v>3171</v>
      </c>
      <c r="AF790" t="s">
        <v>46835</v>
      </c>
    </row>
    <row r="791" spans="1:33" x14ac:dyDescent="0.2">
      <c r="A791">
        <v>786</v>
      </c>
      <c r="B791" t="s">
        <v>9565</v>
      </c>
      <c r="C791" t="s">
        <v>47175</v>
      </c>
      <c r="D791" t="s">
        <v>32</v>
      </c>
      <c r="E791" t="s">
        <v>46866</v>
      </c>
      <c r="F791" t="s">
        <v>46865</v>
      </c>
      <c r="G791" t="s">
        <v>32</v>
      </c>
      <c r="H791" t="s">
        <v>47306</v>
      </c>
      <c r="I791" t="s">
        <v>32</v>
      </c>
      <c r="J791" t="s">
        <v>37</v>
      </c>
      <c r="K791">
        <v>10090</v>
      </c>
      <c r="L791" s="3" t="str">
        <f>HYPERLINK(CONCATENATE("https://www.uniprot.org/uniprotkb/", AG791, "/entry"), AG791)</f>
        <v>F8VQC1</v>
      </c>
      <c r="M791" t="s">
        <v>32</v>
      </c>
      <c r="N791" t="s">
        <v>32</v>
      </c>
      <c r="O791" s="3" t="s">
        <v>32</v>
      </c>
      <c r="P791" t="s">
        <v>32</v>
      </c>
      <c r="Q791" t="s">
        <v>32</v>
      </c>
      <c r="R791" t="s">
        <v>32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32</v>
      </c>
      <c r="Y791" t="s">
        <v>32</v>
      </c>
      <c r="Z791" t="s">
        <v>32</v>
      </c>
      <c r="AA791" t="s">
        <v>32</v>
      </c>
      <c r="AB791" t="s">
        <v>32</v>
      </c>
      <c r="AC791" t="s">
        <v>32</v>
      </c>
      <c r="AD791" t="s">
        <v>32</v>
      </c>
      <c r="AE791" t="s">
        <v>32</v>
      </c>
      <c r="AF791" t="s">
        <v>46835</v>
      </c>
      <c r="AG791" t="s">
        <v>46865</v>
      </c>
    </row>
    <row r="792" spans="1:33" x14ac:dyDescent="0.2">
      <c r="A792">
        <v>787</v>
      </c>
      <c r="B792" t="s">
        <v>9566</v>
      </c>
      <c r="C792" t="s">
        <v>9567</v>
      </c>
      <c r="D792" t="s">
        <v>9568</v>
      </c>
      <c r="E792" t="s">
        <v>9569</v>
      </c>
      <c r="F792" t="s">
        <v>9570</v>
      </c>
      <c r="G792" t="s">
        <v>9571</v>
      </c>
      <c r="H792" t="str">
        <f>"Uggt1"</f>
        <v>Uggt1</v>
      </c>
      <c r="I792" t="s">
        <v>9572</v>
      </c>
      <c r="J792" t="s">
        <v>37</v>
      </c>
      <c r="K792">
        <v>10090</v>
      </c>
      <c r="L792" s="3" t="str">
        <f>HYPERLINK("http://www.uniprot.org/uniprot/Q6P5E4", "Q6P5E4")</f>
        <v>Q6P5E4</v>
      </c>
      <c r="M792" t="s">
        <v>9573</v>
      </c>
      <c r="N792" t="str">
        <f>"Uggt1"</f>
        <v>Uggt1</v>
      </c>
      <c r="O792" s="3" t="str">
        <f>HYPERLINK("http://www.informatics.jax.org/marker/MGI:2443162", "MGI:2443162")</f>
        <v>MGI:2443162</v>
      </c>
      <c r="P792" t="s">
        <v>9574</v>
      </c>
      <c r="Q792" t="s">
        <v>32</v>
      </c>
      <c r="R792" t="s">
        <v>671</v>
      </c>
      <c r="S792" t="s">
        <v>32</v>
      </c>
      <c r="T792" t="s">
        <v>32</v>
      </c>
      <c r="U792" t="s">
        <v>32</v>
      </c>
      <c r="V792" t="s">
        <v>811</v>
      </c>
      <c r="W792" t="s">
        <v>32</v>
      </c>
      <c r="X792" t="s">
        <v>2362</v>
      </c>
      <c r="Y792" t="s">
        <v>4720</v>
      </c>
      <c r="Z792" t="s">
        <v>32</v>
      </c>
      <c r="AA792" t="s">
        <v>9575</v>
      </c>
      <c r="AB792" t="s">
        <v>9576</v>
      </c>
      <c r="AC792" t="s">
        <v>9577</v>
      </c>
      <c r="AD792" t="s">
        <v>3952</v>
      </c>
      <c r="AE792" t="s">
        <v>32</v>
      </c>
      <c r="AF792" t="s">
        <v>46835</v>
      </c>
    </row>
    <row r="793" spans="1:33" x14ac:dyDescent="0.2">
      <c r="A793">
        <v>788</v>
      </c>
      <c r="B793" t="s">
        <v>9578</v>
      </c>
      <c r="C793" t="s">
        <v>9579</v>
      </c>
      <c r="D793" t="s">
        <v>9580</v>
      </c>
      <c r="E793" t="s">
        <v>9581</v>
      </c>
      <c r="F793" t="s">
        <v>9582</v>
      </c>
      <c r="G793" t="s">
        <v>9583</v>
      </c>
      <c r="H793" t="str">
        <f>"H1-4"</f>
        <v>H1-4</v>
      </c>
      <c r="I793" t="s">
        <v>32</v>
      </c>
      <c r="J793" t="s">
        <v>37</v>
      </c>
      <c r="K793">
        <v>10090</v>
      </c>
      <c r="L793" s="3" t="str">
        <f>HYPERLINK("http://www.uniprot.org/uniprot/P43274", "P43274")</f>
        <v>P43274</v>
      </c>
      <c r="M793" t="s">
        <v>9584</v>
      </c>
      <c r="N793" t="str">
        <f>"H1f4"</f>
        <v>H1f4</v>
      </c>
      <c r="O793" s="3" t="str">
        <f>HYPERLINK("http://www.informatics.jax.org/marker/MGI:1931527", "MGI:1931527")</f>
        <v>MGI:1931527</v>
      </c>
      <c r="P793" t="s">
        <v>2635</v>
      </c>
      <c r="Q793" t="s">
        <v>32</v>
      </c>
      <c r="R793" t="s">
        <v>1939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247</v>
      </c>
      <c r="Y793" t="s">
        <v>2636</v>
      </c>
      <c r="Z793" t="s">
        <v>32</v>
      </c>
      <c r="AA793" t="s">
        <v>2637</v>
      </c>
      <c r="AB793" t="s">
        <v>9585</v>
      </c>
      <c r="AC793" t="s">
        <v>9586</v>
      </c>
      <c r="AD793" t="s">
        <v>32</v>
      </c>
      <c r="AE793" t="s">
        <v>2563</v>
      </c>
      <c r="AF793" t="s">
        <v>46835</v>
      </c>
    </row>
    <row r="794" spans="1:33" x14ac:dyDescent="0.2">
      <c r="A794">
        <v>789</v>
      </c>
      <c r="B794" t="s">
        <v>9587</v>
      </c>
      <c r="C794" t="s">
        <v>9588</v>
      </c>
      <c r="D794" t="s">
        <v>9589</v>
      </c>
      <c r="E794" t="s">
        <v>9590</v>
      </c>
      <c r="F794" t="s">
        <v>9591</v>
      </c>
      <c r="G794" t="s">
        <v>9592</v>
      </c>
      <c r="H794" t="str">
        <f>"Gtf2i"</f>
        <v>Gtf2i</v>
      </c>
      <c r="I794" t="s">
        <v>9593</v>
      </c>
      <c r="J794" t="s">
        <v>37</v>
      </c>
      <c r="K794">
        <v>10090</v>
      </c>
      <c r="L794" s="3" t="str">
        <f>HYPERLINK("http://www.uniprot.org/uniprot/Q9ESZ8", "Q9ESZ8")</f>
        <v>Q9ESZ8</v>
      </c>
      <c r="M794" t="s">
        <v>9594</v>
      </c>
      <c r="N794" t="str">
        <f>"Gtf2i"</f>
        <v>Gtf2i</v>
      </c>
      <c r="O794" s="3" t="str">
        <f>HYPERLINK("http://www.informatics.jax.org/marker/MGI:1202722", "MGI:1202722")</f>
        <v>MGI:1202722</v>
      </c>
      <c r="P794" t="s">
        <v>9595</v>
      </c>
      <c r="Q794" t="s">
        <v>4152</v>
      </c>
      <c r="R794" t="s">
        <v>40</v>
      </c>
      <c r="S794" t="s">
        <v>41</v>
      </c>
      <c r="T794" t="s">
        <v>32</v>
      </c>
      <c r="U794" t="s">
        <v>32</v>
      </c>
      <c r="V794" t="s">
        <v>55</v>
      </c>
      <c r="W794" t="s">
        <v>32</v>
      </c>
      <c r="X794" t="s">
        <v>247</v>
      </c>
      <c r="Y794" t="s">
        <v>516</v>
      </c>
      <c r="Z794" t="s">
        <v>126</v>
      </c>
      <c r="AA794" t="s">
        <v>9596</v>
      </c>
      <c r="AB794" t="s">
        <v>9597</v>
      </c>
      <c r="AC794" t="s">
        <v>9598</v>
      </c>
      <c r="AD794" t="s">
        <v>32</v>
      </c>
      <c r="AE794" t="s">
        <v>32</v>
      </c>
      <c r="AF794" t="s">
        <v>46835</v>
      </c>
    </row>
    <row r="795" spans="1:33" x14ac:dyDescent="0.2">
      <c r="A795">
        <v>790</v>
      </c>
      <c r="B795" t="s">
        <v>9599</v>
      </c>
      <c r="C795" t="s">
        <v>9600</v>
      </c>
      <c r="D795" t="s">
        <v>9601</v>
      </c>
      <c r="E795" t="s">
        <v>9602</v>
      </c>
      <c r="F795" t="s">
        <v>9603</v>
      </c>
      <c r="G795" t="s">
        <v>32</v>
      </c>
      <c r="H795" t="str">
        <f>"Tsn"</f>
        <v>Tsn</v>
      </c>
      <c r="I795" t="s">
        <v>32</v>
      </c>
      <c r="J795" t="s">
        <v>37</v>
      </c>
      <c r="K795">
        <v>10090</v>
      </c>
      <c r="L795" s="3" t="str">
        <f>HYPERLINK("http://www.uniprot.org/uniprot/Q62348", "Q62348")</f>
        <v>Q62348</v>
      </c>
      <c r="M795" t="s">
        <v>9604</v>
      </c>
      <c r="N795" t="str">
        <f>"Tsn"</f>
        <v>Tsn</v>
      </c>
      <c r="O795" s="3" t="str">
        <f>HYPERLINK("http://www.informatics.jax.org/marker/MGI:109263", "MGI:109263")</f>
        <v>MGI:109263</v>
      </c>
      <c r="P795" t="s">
        <v>9605</v>
      </c>
      <c r="Q795" t="s">
        <v>32</v>
      </c>
      <c r="R795" t="s">
        <v>40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9606</v>
      </c>
      <c r="Y795" t="s">
        <v>157</v>
      </c>
      <c r="Z795" t="s">
        <v>126</v>
      </c>
      <c r="AA795" t="s">
        <v>9607</v>
      </c>
      <c r="AB795" t="s">
        <v>9608</v>
      </c>
      <c r="AC795" t="s">
        <v>9609</v>
      </c>
      <c r="AD795" t="s">
        <v>32</v>
      </c>
      <c r="AE795" t="s">
        <v>9610</v>
      </c>
      <c r="AF795" t="s">
        <v>46835</v>
      </c>
    </row>
    <row r="796" spans="1:33" x14ac:dyDescent="0.2">
      <c r="A796">
        <v>791</v>
      </c>
      <c r="B796" t="s">
        <v>9611</v>
      </c>
      <c r="C796" t="s">
        <v>9612</v>
      </c>
      <c r="D796" t="s">
        <v>9613</v>
      </c>
      <c r="E796" t="s">
        <v>9614</v>
      </c>
      <c r="F796" t="s">
        <v>9615</v>
      </c>
      <c r="G796" t="s">
        <v>9616</v>
      </c>
      <c r="H796" t="str">
        <f>"Vdac3"</f>
        <v>Vdac3</v>
      </c>
      <c r="I796" t="s">
        <v>32</v>
      </c>
      <c r="J796" t="s">
        <v>37</v>
      </c>
      <c r="K796">
        <v>10090</v>
      </c>
      <c r="L796" s="3" t="str">
        <f>HYPERLINK("http://www.uniprot.org/uniprot/Q60931", "Q60931")</f>
        <v>Q60931</v>
      </c>
      <c r="M796" t="s">
        <v>9617</v>
      </c>
      <c r="N796" t="str">
        <f>"Vdac3"</f>
        <v>Vdac3</v>
      </c>
      <c r="O796" s="3" t="str">
        <f>HYPERLINK("http://www.informatics.jax.org/marker/MGI:106922", "MGI:106922")</f>
        <v>MGI:106922</v>
      </c>
      <c r="P796" t="s">
        <v>9618</v>
      </c>
      <c r="Q796" t="s">
        <v>6326</v>
      </c>
      <c r="R796" t="s">
        <v>4782</v>
      </c>
      <c r="S796" t="s">
        <v>32</v>
      </c>
      <c r="T796" t="s">
        <v>32</v>
      </c>
      <c r="U796" t="s">
        <v>32</v>
      </c>
      <c r="V796" t="s">
        <v>6327</v>
      </c>
      <c r="W796" t="s">
        <v>9619</v>
      </c>
      <c r="X796" t="s">
        <v>6329</v>
      </c>
      <c r="Y796" t="s">
        <v>516</v>
      </c>
      <c r="Z796" t="s">
        <v>32</v>
      </c>
      <c r="AA796" t="s">
        <v>9620</v>
      </c>
      <c r="AB796" t="s">
        <v>9621</v>
      </c>
      <c r="AC796" t="s">
        <v>9622</v>
      </c>
      <c r="AD796" t="s">
        <v>32</v>
      </c>
      <c r="AE796" t="s">
        <v>6333</v>
      </c>
      <c r="AF796" t="s">
        <v>46835</v>
      </c>
    </row>
    <row r="797" spans="1:33" x14ac:dyDescent="0.2">
      <c r="A797">
        <v>792</v>
      </c>
      <c r="B797" t="s">
        <v>9623</v>
      </c>
      <c r="C797" t="s">
        <v>9624</v>
      </c>
      <c r="D797" t="s">
        <v>9625</v>
      </c>
      <c r="E797" t="s">
        <v>9626</v>
      </c>
      <c r="F797" t="s">
        <v>9627</v>
      </c>
      <c r="G797" t="s">
        <v>9628</v>
      </c>
      <c r="H797" t="str">
        <f>"Vps35"</f>
        <v>Vps35</v>
      </c>
      <c r="I797" t="s">
        <v>9629</v>
      </c>
      <c r="J797" t="s">
        <v>37</v>
      </c>
      <c r="K797">
        <v>10090</v>
      </c>
      <c r="L797" s="3" t="str">
        <f>HYPERLINK("http://www.uniprot.org/uniprot/Q9EQH3", "Q9EQH3")</f>
        <v>Q9EQH3</v>
      </c>
      <c r="M797" t="s">
        <v>9630</v>
      </c>
      <c r="N797" t="str">
        <f>"Vps35"</f>
        <v>Vps35</v>
      </c>
      <c r="O797" s="3" t="str">
        <f>HYPERLINK("http://www.informatics.jax.org/marker/MGI:1890467", "MGI:1890467")</f>
        <v>MGI:1890467</v>
      </c>
      <c r="P797" t="s">
        <v>9631</v>
      </c>
      <c r="Q797" t="s">
        <v>434</v>
      </c>
      <c r="R797" t="s">
        <v>6558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32</v>
      </c>
      <c r="Y797" t="s">
        <v>618</v>
      </c>
      <c r="Z797" t="s">
        <v>126</v>
      </c>
      <c r="AA797" t="s">
        <v>9632</v>
      </c>
      <c r="AB797" t="s">
        <v>9633</v>
      </c>
      <c r="AC797" t="s">
        <v>9634</v>
      </c>
      <c r="AD797" t="s">
        <v>32</v>
      </c>
      <c r="AE797" t="s">
        <v>6561</v>
      </c>
      <c r="AF797" t="s">
        <v>46835</v>
      </c>
    </row>
    <row r="798" spans="1:33" x14ac:dyDescent="0.2">
      <c r="A798">
        <v>793</v>
      </c>
      <c r="B798" t="s">
        <v>9635</v>
      </c>
      <c r="C798" t="s">
        <v>9636</v>
      </c>
      <c r="D798" t="s">
        <v>9637</v>
      </c>
      <c r="E798" t="s">
        <v>9638</v>
      </c>
      <c r="F798" t="s">
        <v>9639</v>
      </c>
      <c r="G798" t="s">
        <v>32</v>
      </c>
      <c r="H798" t="str">
        <f>"Hk2"</f>
        <v>Hk2</v>
      </c>
      <c r="I798" t="s">
        <v>32</v>
      </c>
      <c r="J798" t="s">
        <v>37</v>
      </c>
      <c r="K798">
        <v>10090</v>
      </c>
      <c r="L798" s="3" t="str">
        <f>HYPERLINK("http://www.uniprot.org/uniprot/O08528", "O08528")</f>
        <v>O08528</v>
      </c>
      <c r="M798" t="s">
        <v>9640</v>
      </c>
      <c r="N798" t="str">
        <f>"Hk2"</f>
        <v>Hk2</v>
      </c>
      <c r="O798" s="3" t="str">
        <f>HYPERLINK("http://www.informatics.jax.org/marker/MGI:1315197", "MGI:1315197")</f>
        <v>MGI:1315197</v>
      </c>
      <c r="P798" t="s">
        <v>9641</v>
      </c>
      <c r="Q798" t="s">
        <v>221</v>
      </c>
      <c r="R798" t="s">
        <v>9642</v>
      </c>
      <c r="S798" t="s">
        <v>32</v>
      </c>
      <c r="T798" t="s">
        <v>32</v>
      </c>
      <c r="U798" t="s">
        <v>32</v>
      </c>
      <c r="V798" t="s">
        <v>55</v>
      </c>
      <c r="W798" t="s">
        <v>205</v>
      </c>
      <c r="X798" t="s">
        <v>307</v>
      </c>
      <c r="Y798" t="s">
        <v>78</v>
      </c>
      <c r="Z798" t="s">
        <v>32</v>
      </c>
      <c r="AA798" t="s">
        <v>9643</v>
      </c>
      <c r="AB798" t="s">
        <v>9644</v>
      </c>
      <c r="AC798" t="s">
        <v>9645</v>
      </c>
      <c r="AD798" t="s">
        <v>9646</v>
      </c>
      <c r="AE798" t="s">
        <v>9647</v>
      </c>
      <c r="AF798" t="s">
        <v>46835</v>
      </c>
    </row>
    <row r="799" spans="1:33" x14ac:dyDescent="0.2">
      <c r="A799">
        <v>794</v>
      </c>
      <c r="B799" t="s">
        <v>9648</v>
      </c>
      <c r="C799" t="s">
        <v>9649</v>
      </c>
      <c r="D799" t="s">
        <v>9650</v>
      </c>
      <c r="E799" t="s">
        <v>9651</v>
      </c>
      <c r="F799" t="s">
        <v>9652</v>
      </c>
      <c r="G799" t="s">
        <v>32</v>
      </c>
      <c r="H799" t="str">
        <f>"Crk"</f>
        <v>Crk</v>
      </c>
      <c r="I799" t="s">
        <v>9653</v>
      </c>
      <c r="J799" t="s">
        <v>37</v>
      </c>
      <c r="K799">
        <v>10090</v>
      </c>
      <c r="L799" s="3" t="str">
        <f>HYPERLINK("http://www.uniprot.org/uniprot/Q64010", "Q64010")</f>
        <v>Q64010</v>
      </c>
      <c r="M799" t="s">
        <v>9654</v>
      </c>
      <c r="N799" t="str">
        <f>"Crk"</f>
        <v>Crk</v>
      </c>
      <c r="O799" s="3" t="str">
        <f>HYPERLINK("http://www.informatics.jax.org/marker/MGI:88508", "MGI:88508")</f>
        <v>MGI:88508</v>
      </c>
      <c r="P799" t="s">
        <v>9655</v>
      </c>
      <c r="Q799" t="s">
        <v>32</v>
      </c>
      <c r="R799" t="s">
        <v>222</v>
      </c>
      <c r="S799" t="s">
        <v>41</v>
      </c>
      <c r="T799" t="s">
        <v>32</v>
      </c>
      <c r="U799" t="s">
        <v>4682</v>
      </c>
      <c r="V799" t="s">
        <v>9656</v>
      </c>
      <c r="W799" t="s">
        <v>32</v>
      </c>
      <c r="X799" t="s">
        <v>32</v>
      </c>
      <c r="Y799" t="s">
        <v>157</v>
      </c>
      <c r="Z799" t="s">
        <v>126</v>
      </c>
      <c r="AA799" t="s">
        <v>9657</v>
      </c>
      <c r="AB799" t="s">
        <v>9658</v>
      </c>
      <c r="AC799" t="s">
        <v>9659</v>
      </c>
      <c r="AD799" t="s">
        <v>32</v>
      </c>
      <c r="AE799" t="s">
        <v>9660</v>
      </c>
      <c r="AF799" t="s">
        <v>46835</v>
      </c>
    </row>
    <row r="800" spans="1:33" x14ac:dyDescent="0.2">
      <c r="A800">
        <v>795</v>
      </c>
      <c r="B800" t="s">
        <v>9661</v>
      </c>
      <c r="C800" t="s">
        <v>9662</v>
      </c>
      <c r="D800" t="s">
        <v>9663</v>
      </c>
      <c r="E800" t="s">
        <v>9664</v>
      </c>
      <c r="F800" t="s">
        <v>9665</v>
      </c>
      <c r="G800" t="s">
        <v>9666</v>
      </c>
      <c r="H800" t="str">
        <f>"Srsf3"</f>
        <v>Srsf3</v>
      </c>
      <c r="I800" t="s">
        <v>9667</v>
      </c>
      <c r="J800" t="s">
        <v>37</v>
      </c>
      <c r="K800">
        <v>10090</v>
      </c>
      <c r="L800" s="3" t="str">
        <f>HYPERLINK("http://www.uniprot.org/uniprot/P84104", "P84104")</f>
        <v>P84104</v>
      </c>
      <c r="M800" t="s">
        <v>9668</v>
      </c>
      <c r="N800" t="str">
        <f>"Srsf3"</f>
        <v>Srsf3</v>
      </c>
      <c r="O800" s="3" t="str">
        <f>HYPERLINK("http://www.informatics.jax.org/marker/MGI:98285", "MGI:98285")</f>
        <v>MGI:98285</v>
      </c>
      <c r="P800" t="s">
        <v>9669</v>
      </c>
      <c r="Q800" t="s">
        <v>1127</v>
      </c>
      <c r="R800" t="s">
        <v>40</v>
      </c>
      <c r="S800" t="s">
        <v>41</v>
      </c>
      <c r="T800" t="s">
        <v>32</v>
      </c>
      <c r="U800" t="s">
        <v>32</v>
      </c>
      <c r="V800" t="s">
        <v>55</v>
      </c>
      <c r="W800" t="s">
        <v>32</v>
      </c>
      <c r="X800" t="s">
        <v>1282</v>
      </c>
      <c r="Y800" t="s">
        <v>157</v>
      </c>
      <c r="Z800" t="s">
        <v>32</v>
      </c>
      <c r="AA800" t="s">
        <v>9670</v>
      </c>
      <c r="AB800" t="s">
        <v>9671</v>
      </c>
      <c r="AC800" t="s">
        <v>9672</v>
      </c>
      <c r="AD800" t="s">
        <v>32</v>
      </c>
      <c r="AE800" t="s">
        <v>9525</v>
      </c>
      <c r="AF800" t="s">
        <v>46835</v>
      </c>
    </row>
    <row r="801" spans="1:32" x14ac:dyDescent="0.2">
      <c r="A801">
        <v>796</v>
      </c>
      <c r="B801" t="s">
        <v>9673</v>
      </c>
      <c r="C801" t="s">
        <v>9674</v>
      </c>
      <c r="D801" t="s">
        <v>9675</v>
      </c>
      <c r="E801" t="s">
        <v>9676</v>
      </c>
      <c r="F801" t="s">
        <v>9677</v>
      </c>
      <c r="G801" t="s">
        <v>32</v>
      </c>
      <c r="H801" t="str">
        <f>"Mars1"</f>
        <v>Mars1</v>
      </c>
      <c r="I801" t="s">
        <v>9678</v>
      </c>
      <c r="J801" t="s">
        <v>37</v>
      </c>
      <c r="K801">
        <v>10090</v>
      </c>
      <c r="L801" s="3" t="str">
        <f>HYPERLINK("http://www.uniprot.org/uniprot/Q68FL6", "Q68FL6")</f>
        <v>Q68FL6</v>
      </c>
      <c r="M801" t="s">
        <v>9679</v>
      </c>
      <c r="N801" t="str">
        <f>"Mars1"</f>
        <v>Mars1</v>
      </c>
      <c r="O801" s="3" t="str">
        <f>HYPERLINK("http://www.informatics.jax.org/marker/MGI:1345633", "MGI:1345633")</f>
        <v>MGI:1345633</v>
      </c>
      <c r="P801" t="s">
        <v>9680</v>
      </c>
      <c r="Q801" t="s">
        <v>260</v>
      </c>
      <c r="R801" t="s">
        <v>40</v>
      </c>
      <c r="S801" t="s">
        <v>32</v>
      </c>
      <c r="T801" t="s">
        <v>32</v>
      </c>
      <c r="U801" t="s">
        <v>32</v>
      </c>
      <c r="V801" t="s">
        <v>32</v>
      </c>
      <c r="W801" t="s">
        <v>205</v>
      </c>
      <c r="X801" t="s">
        <v>3361</v>
      </c>
      <c r="Y801" t="s">
        <v>618</v>
      </c>
      <c r="Z801" t="s">
        <v>32</v>
      </c>
      <c r="AA801" t="s">
        <v>9681</v>
      </c>
      <c r="AB801" t="s">
        <v>9682</v>
      </c>
      <c r="AC801" t="s">
        <v>9683</v>
      </c>
      <c r="AD801" t="s">
        <v>32</v>
      </c>
      <c r="AE801" t="s">
        <v>32</v>
      </c>
      <c r="AF801" t="s">
        <v>46835</v>
      </c>
    </row>
    <row r="802" spans="1:32" x14ac:dyDescent="0.2">
      <c r="A802">
        <v>797</v>
      </c>
      <c r="B802" t="s">
        <v>9684</v>
      </c>
      <c r="C802" t="s">
        <v>9685</v>
      </c>
      <c r="D802" t="s">
        <v>9686</v>
      </c>
      <c r="E802" t="s">
        <v>9687</v>
      </c>
      <c r="F802" t="s">
        <v>9688</v>
      </c>
      <c r="G802" t="s">
        <v>9689</v>
      </c>
      <c r="H802" t="str">
        <f>"Rai14"</f>
        <v>Rai14</v>
      </c>
      <c r="I802" t="s">
        <v>9690</v>
      </c>
      <c r="J802" t="s">
        <v>37</v>
      </c>
      <c r="K802">
        <v>10090</v>
      </c>
      <c r="L802" s="3" t="str">
        <f>HYPERLINK("http://www.uniprot.org/uniprot/Q9EP71", "Q9EP71")</f>
        <v>Q9EP71</v>
      </c>
      <c r="M802" t="s">
        <v>9691</v>
      </c>
      <c r="N802" t="str">
        <f>"Rai14"</f>
        <v>Rai14</v>
      </c>
      <c r="O802" s="3" t="str">
        <f>HYPERLINK("http://www.informatics.jax.org/marker/MGI:1922896", "MGI:1922896")</f>
        <v>MGI:1922896</v>
      </c>
      <c r="P802" t="s">
        <v>9692</v>
      </c>
      <c r="Q802" t="s">
        <v>615</v>
      </c>
      <c r="R802" t="s">
        <v>3065</v>
      </c>
      <c r="S802" t="s">
        <v>32</v>
      </c>
      <c r="T802" t="s">
        <v>32</v>
      </c>
      <c r="U802" t="s">
        <v>32</v>
      </c>
      <c r="V802" t="s">
        <v>9693</v>
      </c>
      <c r="W802" t="s">
        <v>32</v>
      </c>
      <c r="X802" t="s">
        <v>32</v>
      </c>
      <c r="Y802" t="s">
        <v>157</v>
      </c>
      <c r="Z802" t="s">
        <v>32</v>
      </c>
      <c r="AA802" t="s">
        <v>9694</v>
      </c>
      <c r="AB802" t="s">
        <v>9695</v>
      </c>
      <c r="AC802" t="s">
        <v>7225</v>
      </c>
      <c r="AD802" t="s">
        <v>32</v>
      </c>
      <c r="AE802" t="s">
        <v>32</v>
      </c>
      <c r="AF802" t="s">
        <v>46835</v>
      </c>
    </row>
    <row r="803" spans="1:32" x14ac:dyDescent="0.2">
      <c r="A803">
        <v>798</v>
      </c>
      <c r="B803" t="s">
        <v>9696</v>
      </c>
      <c r="C803" t="s">
        <v>9697</v>
      </c>
      <c r="D803" t="s">
        <v>9698</v>
      </c>
      <c r="E803" t="s">
        <v>9699</v>
      </c>
      <c r="F803" t="s">
        <v>9700</v>
      </c>
      <c r="G803" t="s">
        <v>9701</v>
      </c>
      <c r="H803" t="str">
        <f>"Nucb1"</f>
        <v>Nucb1</v>
      </c>
      <c r="I803" t="s">
        <v>9702</v>
      </c>
      <c r="J803" t="s">
        <v>37</v>
      </c>
      <c r="K803">
        <v>10090</v>
      </c>
      <c r="L803" s="3" t="str">
        <f>HYPERLINK("http://www.uniprot.org/uniprot/Q02819", "Q02819")</f>
        <v>Q02819</v>
      </c>
      <c r="M803" t="s">
        <v>9703</v>
      </c>
      <c r="N803" t="str">
        <f>"Nucb1"</f>
        <v>Nucb1</v>
      </c>
      <c r="O803" s="3" t="str">
        <f>HYPERLINK("http://www.informatics.jax.org/marker/MGI:97388", "MGI:97388")</f>
        <v>MGI:97388</v>
      </c>
      <c r="P803" t="s">
        <v>9704</v>
      </c>
      <c r="Q803" t="s">
        <v>32</v>
      </c>
      <c r="R803" t="s">
        <v>9705</v>
      </c>
      <c r="S803" t="s">
        <v>32</v>
      </c>
      <c r="T803" t="s">
        <v>32</v>
      </c>
      <c r="U803" t="s">
        <v>32</v>
      </c>
      <c r="V803" t="s">
        <v>9706</v>
      </c>
      <c r="W803" t="s">
        <v>188</v>
      </c>
      <c r="X803" t="s">
        <v>9707</v>
      </c>
      <c r="Y803" t="s">
        <v>618</v>
      </c>
      <c r="Z803" t="s">
        <v>32</v>
      </c>
      <c r="AA803" t="s">
        <v>9708</v>
      </c>
      <c r="AB803" t="s">
        <v>9709</v>
      </c>
      <c r="AC803" t="s">
        <v>9710</v>
      </c>
      <c r="AD803" t="s">
        <v>32</v>
      </c>
      <c r="AE803" t="s">
        <v>636</v>
      </c>
      <c r="AF803" t="s">
        <v>46835</v>
      </c>
    </row>
    <row r="804" spans="1:32" x14ac:dyDescent="0.2">
      <c r="A804">
        <v>799</v>
      </c>
      <c r="B804" t="s">
        <v>9711</v>
      </c>
      <c r="C804" t="s">
        <v>9712</v>
      </c>
      <c r="D804" t="s">
        <v>9713</v>
      </c>
      <c r="E804" t="s">
        <v>9714</v>
      </c>
      <c r="F804" t="s">
        <v>9715</v>
      </c>
      <c r="G804" t="s">
        <v>9716</v>
      </c>
      <c r="H804" t="str">
        <f>"Eci1"</f>
        <v>Eci1</v>
      </c>
      <c r="I804" t="s">
        <v>9717</v>
      </c>
      <c r="J804" t="s">
        <v>37</v>
      </c>
      <c r="K804">
        <v>10090</v>
      </c>
      <c r="L804" s="3" t="str">
        <f>HYPERLINK("http://www.uniprot.org/uniprot/P42125", "P42125")</f>
        <v>P42125</v>
      </c>
      <c r="M804" t="s">
        <v>9718</v>
      </c>
      <c r="N804" t="str">
        <f>"Eci1"</f>
        <v>Eci1</v>
      </c>
      <c r="O804" s="3" t="str">
        <f>HYPERLINK("http://www.informatics.jax.org/marker/MGI:94871", "MGI:94871")</f>
        <v>MGI:94871</v>
      </c>
      <c r="P804" t="s">
        <v>9719</v>
      </c>
      <c r="Q804" t="s">
        <v>6214</v>
      </c>
      <c r="R804" t="s">
        <v>1038</v>
      </c>
      <c r="S804" t="s">
        <v>32</v>
      </c>
      <c r="T804" t="s">
        <v>32</v>
      </c>
      <c r="U804" t="s">
        <v>32</v>
      </c>
      <c r="V804" t="s">
        <v>1039</v>
      </c>
      <c r="W804" t="s">
        <v>32</v>
      </c>
      <c r="X804" t="s">
        <v>673</v>
      </c>
      <c r="Y804" t="s">
        <v>78</v>
      </c>
      <c r="Z804" t="s">
        <v>32</v>
      </c>
      <c r="AA804" t="s">
        <v>9720</v>
      </c>
      <c r="AB804" t="s">
        <v>9721</v>
      </c>
      <c r="AC804" t="s">
        <v>9722</v>
      </c>
      <c r="AD804" t="s">
        <v>6218</v>
      </c>
      <c r="AE804" t="s">
        <v>9723</v>
      </c>
      <c r="AF804" t="s">
        <v>46835</v>
      </c>
    </row>
    <row r="805" spans="1:32" x14ac:dyDescent="0.2">
      <c r="A805">
        <v>800</v>
      </c>
      <c r="B805" t="s">
        <v>9724</v>
      </c>
      <c r="C805" t="s">
        <v>9725</v>
      </c>
      <c r="D805" t="s">
        <v>32</v>
      </c>
      <c r="E805" t="s">
        <v>9726</v>
      </c>
      <c r="F805" t="s">
        <v>9727</v>
      </c>
      <c r="G805" t="s">
        <v>9728</v>
      </c>
      <c r="H805" t="str">
        <f>"Ewsr1"</f>
        <v>Ewsr1</v>
      </c>
      <c r="I805" t="s">
        <v>9729</v>
      </c>
      <c r="J805" t="s">
        <v>37</v>
      </c>
      <c r="K805">
        <v>10090</v>
      </c>
      <c r="L805" s="3" t="str">
        <f>HYPERLINK("http://www.uniprot.org/uniprot/Q61545", "Q61545")</f>
        <v>Q61545</v>
      </c>
      <c r="M805" t="s">
        <v>9730</v>
      </c>
      <c r="N805" t="str">
        <f>"Ewsr1"</f>
        <v>Ewsr1</v>
      </c>
      <c r="O805" s="3" t="str">
        <f>HYPERLINK("http://www.informatics.jax.org/marker/MGI:99960", "MGI:99960")</f>
        <v>MGI:99960</v>
      </c>
      <c r="P805" t="s">
        <v>9731</v>
      </c>
      <c r="Q805" t="s">
        <v>4152</v>
      </c>
      <c r="R805" t="s">
        <v>276</v>
      </c>
      <c r="S805" t="s">
        <v>32</v>
      </c>
      <c r="T805" t="s">
        <v>32</v>
      </c>
      <c r="U805" t="s">
        <v>32</v>
      </c>
      <c r="V805" t="s">
        <v>3791</v>
      </c>
      <c r="W805" t="s">
        <v>42</v>
      </c>
      <c r="X805" t="s">
        <v>9732</v>
      </c>
      <c r="Y805" t="s">
        <v>97</v>
      </c>
      <c r="Z805" t="s">
        <v>32</v>
      </c>
      <c r="AA805" t="s">
        <v>9733</v>
      </c>
      <c r="AB805" t="s">
        <v>9734</v>
      </c>
      <c r="AC805" t="s">
        <v>9735</v>
      </c>
      <c r="AD805" t="s">
        <v>32</v>
      </c>
      <c r="AE805" t="s">
        <v>32</v>
      </c>
      <c r="AF805" t="s">
        <v>46835</v>
      </c>
    </row>
    <row r="806" spans="1:32" x14ac:dyDescent="0.2">
      <c r="A806">
        <v>801</v>
      </c>
      <c r="B806" t="s">
        <v>9736</v>
      </c>
      <c r="C806" t="s">
        <v>9737</v>
      </c>
      <c r="D806" t="s">
        <v>32</v>
      </c>
      <c r="E806" t="s">
        <v>9738</v>
      </c>
      <c r="F806" t="s">
        <v>9739</v>
      </c>
      <c r="G806" t="s">
        <v>9740</v>
      </c>
      <c r="H806" t="str">
        <f>"Sfrp1"</f>
        <v>Sfrp1</v>
      </c>
      <c r="I806" t="s">
        <v>32</v>
      </c>
      <c r="J806" t="s">
        <v>37</v>
      </c>
      <c r="K806">
        <v>10090</v>
      </c>
      <c r="L806" s="3" t="str">
        <f>HYPERLINK("http://www.uniprot.org/uniprot/Q8C4U3", "Q8C4U3")</f>
        <v>Q8C4U3</v>
      </c>
      <c r="M806" t="s">
        <v>9741</v>
      </c>
      <c r="N806" t="str">
        <f>"Sfrp1"</f>
        <v>Sfrp1</v>
      </c>
      <c r="O806" s="3" t="str">
        <f>HYPERLINK("http://www.informatics.jax.org/marker/MGI:892014", "MGI:892014")</f>
        <v>MGI:892014</v>
      </c>
      <c r="P806" t="s">
        <v>9742</v>
      </c>
      <c r="Q806" t="s">
        <v>9743</v>
      </c>
      <c r="R806" t="s">
        <v>630</v>
      </c>
      <c r="S806" t="s">
        <v>32</v>
      </c>
      <c r="T806" t="s">
        <v>32</v>
      </c>
      <c r="U806" t="s">
        <v>32</v>
      </c>
      <c r="V806" t="s">
        <v>811</v>
      </c>
      <c r="W806" t="s">
        <v>32</v>
      </c>
      <c r="X806" t="s">
        <v>2029</v>
      </c>
      <c r="Y806" t="s">
        <v>5275</v>
      </c>
      <c r="Z806" t="s">
        <v>32</v>
      </c>
      <c r="AA806" t="s">
        <v>9744</v>
      </c>
      <c r="AB806" t="s">
        <v>9745</v>
      </c>
      <c r="AC806" t="s">
        <v>9746</v>
      </c>
      <c r="AD806" t="s">
        <v>32</v>
      </c>
      <c r="AE806" t="s">
        <v>32</v>
      </c>
      <c r="AF806" t="s">
        <v>46835</v>
      </c>
    </row>
    <row r="807" spans="1:32" x14ac:dyDescent="0.2">
      <c r="A807">
        <v>802</v>
      </c>
      <c r="B807" t="s">
        <v>9747</v>
      </c>
      <c r="C807" t="s">
        <v>9748</v>
      </c>
      <c r="D807" t="s">
        <v>9749</v>
      </c>
      <c r="E807" t="s">
        <v>9750</v>
      </c>
      <c r="F807" t="s">
        <v>9751</v>
      </c>
      <c r="G807" t="s">
        <v>9752</v>
      </c>
      <c r="H807" t="str">
        <f>"Ndufc2"</f>
        <v>Ndufc2</v>
      </c>
      <c r="I807" t="s">
        <v>32</v>
      </c>
      <c r="J807" t="s">
        <v>37</v>
      </c>
      <c r="K807">
        <v>10090</v>
      </c>
      <c r="L807" s="3" t="str">
        <f>HYPERLINK("http://www.uniprot.org/uniprot/Q9CQ54", "Q9CQ54")</f>
        <v>Q9CQ54</v>
      </c>
      <c r="M807" t="s">
        <v>9753</v>
      </c>
      <c r="N807" t="str">
        <f>"Ndufc2"</f>
        <v>Ndufc2</v>
      </c>
      <c r="O807" s="3" t="str">
        <f>HYPERLINK("http://www.informatics.jax.org/marker/MGI:1344370", "MGI:1344370")</f>
        <v>MGI:1344370</v>
      </c>
      <c r="P807" t="s">
        <v>9754</v>
      </c>
      <c r="Q807" t="s">
        <v>6888</v>
      </c>
      <c r="R807" t="s">
        <v>3858</v>
      </c>
      <c r="S807" t="s">
        <v>32</v>
      </c>
      <c r="T807" t="s">
        <v>32</v>
      </c>
      <c r="U807" t="s">
        <v>32</v>
      </c>
      <c r="V807" t="s">
        <v>493</v>
      </c>
      <c r="W807" t="s">
        <v>32</v>
      </c>
      <c r="X807" t="s">
        <v>32</v>
      </c>
      <c r="Y807" t="s">
        <v>32</v>
      </c>
      <c r="Z807" t="s">
        <v>126</v>
      </c>
      <c r="AA807" t="s">
        <v>9755</v>
      </c>
      <c r="AB807" t="s">
        <v>9756</v>
      </c>
      <c r="AC807" t="s">
        <v>32</v>
      </c>
      <c r="AD807" t="s">
        <v>32</v>
      </c>
      <c r="AE807" t="s">
        <v>9757</v>
      </c>
      <c r="AF807" t="s">
        <v>46835</v>
      </c>
    </row>
    <row r="808" spans="1:32" x14ac:dyDescent="0.2">
      <c r="A808">
        <v>803</v>
      </c>
      <c r="B808" t="s">
        <v>9758</v>
      </c>
      <c r="C808" t="s">
        <v>9759</v>
      </c>
      <c r="D808" t="s">
        <v>9760</v>
      </c>
      <c r="E808" t="s">
        <v>9761</v>
      </c>
      <c r="F808" t="s">
        <v>9762</v>
      </c>
      <c r="G808" t="s">
        <v>32</v>
      </c>
      <c r="H808" t="str">
        <f>"U2af2"</f>
        <v>U2af2</v>
      </c>
      <c r="I808" t="s">
        <v>9763</v>
      </c>
      <c r="J808" t="s">
        <v>37</v>
      </c>
      <c r="K808">
        <v>10090</v>
      </c>
      <c r="L808" s="3" t="str">
        <f>HYPERLINK("http://www.uniprot.org/uniprot/P26369", "P26369")</f>
        <v>P26369</v>
      </c>
      <c r="M808" t="s">
        <v>9764</v>
      </c>
      <c r="N808" t="str">
        <f>"U2af2"</f>
        <v>U2af2</v>
      </c>
      <c r="O808" s="3" t="str">
        <f>HYPERLINK("http://www.informatics.jax.org/marker/MGI:98886", "MGI:98886")</f>
        <v>MGI:98886</v>
      </c>
      <c r="P808" t="s">
        <v>9765</v>
      </c>
      <c r="Q808" t="s">
        <v>2139</v>
      </c>
      <c r="R808" t="s">
        <v>2279</v>
      </c>
      <c r="S808" t="s">
        <v>32</v>
      </c>
      <c r="T808" t="s">
        <v>32</v>
      </c>
      <c r="U808" t="s">
        <v>32</v>
      </c>
      <c r="V808" t="s">
        <v>55</v>
      </c>
      <c r="W808" t="s">
        <v>32</v>
      </c>
      <c r="X808" t="s">
        <v>9766</v>
      </c>
      <c r="Y808" t="s">
        <v>225</v>
      </c>
      <c r="Z808" t="s">
        <v>126</v>
      </c>
      <c r="AA808" t="s">
        <v>9767</v>
      </c>
      <c r="AB808" t="s">
        <v>9768</v>
      </c>
      <c r="AC808" t="s">
        <v>9769</v>
      </c>
      <c r="AD808" t="s">
        <v>32</v>
      </c>
      <c r="AE808" t="s">
        <v>9525</v>
      </c>
      <c r="AF808" t="s">
        <v>46835</v>
      </c>
    </row>
    <row r="809" spans="1:32" x14ac:dyDescent="0.2">
      <c r="A809">
        <v>804</v>
      </c>
      <c r="B809" t="s">
        <v>9770</v>
      </c>
      <c r="C809" t="s">
        <v>9771</v>
      </c>
      <c r="D809" t="s">
        <v>32</v>
      </c>
      <c r="E809" t="s">
        <v>9772</v>
      </c>
      <c r="F809" t="s">
        <v>9773</v>
      </c>
      <c r="G809" t="s">
        <v>9774</v>
      </c>
      <c r="H809" t="str">
        <f>"Ndufa4"</f>
        <v>Ndufa4</v>
      </c>
      <c r="I809" t="s">
        <v>32</v>
      </c>
      <c r="J809" t="s">
        <v>37</v>
      </c>
      <c r="K809">
        <v>10090</v>
      </c>
      <c r="L809" s="3" t="str">
        <f>HYPERLINK("http://www.uniprot.org/uniprot/Q62425", "Q62425")</f>
        <v>Q62425</v>
      </c>
      <c r="M809" t="s">
        <v>9775</v>
      </c>
      <c r="N809" t="str">
        <f>"Ndufa4"</f>
        <v>Ndufa4</v>
      </c>
      <c r="O809" s="3" t="str">
        <f>HYPERLINK("http://www.informatics.jax.org/marker/MGI:107686", "MGI:107686")</f>
        <v>MGI:107686</v>
      </c>
      <c r="P809" t="s">
        <v>9776</v>
      </c>
      <c r="Q809" t="s">
        <v>6888</v>
      </c>
      <c r="R809" t="s">
        <v>3858</v>
      </c>
      <c r="S809" t="s">
        <v>32</v>
      </c>
      <c r="T809" t="s">
        <v>32</v>
      </c>
      <c r="U809" t="s">
        <v>32</v>
      </c>
      <c r="V809" t="s">
        <v>493</v>
      </c>
      <c r="W809" t="s">
        <v>32</v>
      </c>
      <c r="X809" t="s">
        <v>32</v>
      </c>
      <c r="Y809" t="s">
        <v>157</v>
      </c>
      <c r="Z809" t="s">
        <v>126</v>
      </c>
      <c r="AA809" t="s">
        <v>9777</v>
      </c>
      <c r="AB809" t="s">
        <v>9778</v>
      </c>
      <c r="AC809" t="s">
        <v>9779</v>
      </c>
      <c r="AD809" t="s">
        <v>32</v>
      </c>
      <c r="AE809" t="s">
        <v>3863</v>
      </c>
      <c r="AF809" t="s">
        <v>46835</v>
      </c>
    </row>
    <row r="810" spans="1:32" x14ac:dyDescent="0.2">
      <c r="A810">
        <v>805</v>
      </c>
      <c r="B810" t="s">
        <v>9780</v>
      </c>
      <c r="C810" t="s">
        <v>9781</v>
      </c>
      <c r="D810" t="s">
        <v>32</v>
      </c>
      <c r="E810" t="s">
        <v>9782</v>
      </c>
      <c r="F810" t="s">
        <v>9783</v>
      </c>
      <c r="G810" t="s">
        <v>9784</v>
      </c>
      <c r="H810" t="str">
        <f>"Rab10"</f>
        <v>Rab10</v>
      </c>
      <c r="I810" t="s">
        <v>32</v>
      </c>
      <c r="J810" t="s">
        <v>37</v>
      </c>
      <c r="K810">
        <v>10090</v>
      </c>
      <c r="L810" s="3" t="str">
        <f>HYPERLINK("http://www.uniprot.org/uniprot/P61027", "P61027")</f>
        <v>P61027</v>
      </c>
      <c r="M810" t="s">
        <v>9785</v>
      </c>
      <c r="N810" t="str">
        <f>"Rab10"</f>
        <v>Rab10</v>
      </c>
      <c r="O810" s="3" t="str">
        <f>HYPERLINK("http://www.informatics.jax.org/marker/MGI:105066", "MGI:105066")</f>
        <v>MGI:105066</v>
      </c>
      <c r="P810" t="s">
        <v>9786</v>
      </c>
      <c r="Q810" t="s">
        <v>434</v>
      </c>
      <c r="R810" t="s">
        <v>9787</v>
      </c>
      <c r="S810" t="s">
        <v>32</v>
      </c>
      <c r="T810" t="s">
        <v>32</v>
      </c>
      <c r="U810" t="s">
        <v>32</v>
      </c>
      <c r="V810" t="s">
        <v>32</v>
      </c>
      <c r="W810" t="s">
        <v>261</v>
      </c>
      <c r="X810" t="s">
        <v>343</v>
      </c>
      <c r="Y810" t="s">
        <v>9788</v>
      </c>
      <c r="Z810" t="s">
        <v>32</v>
      </c>
      <c r="AA810" t="s">
        <v>9789</v>
      </c>
      <c r="AB810" t="s">
        <v>9790</v>
      </c>
      <c r="AC810" t="s">
        <v>9791</v>
      </c>
      <c r="AD810" t="s">
        <v>32</v>
      </c>
      <c r="AE810" t="s">
        <v>9792</v>
      </c>
      <c r="AF810" t="s">
        <v>46835</v>
      </c>
    </row>
    <row r="811" spans="1:32" x14ac:dyDescent="0.2">
      <c r="A811">
        <v>806</v>
      </c>
      <c r="B811" t="s">
        <v>9793</v>
      </c>
      <c r="C811" t="s">
        <v>9794</v>
      </c>
      <c r="D811" t="s">
        <v>32</v>
      </c>
      <c r="E811" t="s">
        <v>9795</v>
      </c>
      <c r="F811" t="s">
        <v>9796</v>
      </c>
      <c r="G811" t="s">
        <v>32</v>
      </c>
      <c r="H811" t="str">
        <f>"Stat1"</f>
        <v>Stat1</v>
      </c>
      <c r="I811" t="s">
        <v>32</v>
      </c>
      <c r="J811" t="s">
        <v>37</v>
      </c>
      <c r="K811">
        <v>10090</v>
      </c>
      <c r="L811" s="3" t="str">
        <f>HYPERLINK("http://www.uniprot.org/uniprot/P42225", "P42225")</f>
        <v>P42225</v>
      </c>
      <c r="M811" t="s">
        <v>9797</v>
      </c>
      <c r="N811" t="str">
        <f>"Stat1"</f>
        <v>Stat1</v>
      </c>
      <c r="O811" s="3" t="str">
        <f>HYPERLINK("http://www.informatics.jax.org/marker/MGI:103063", "MGI:103063")</f>
        <v>MGI:103063</v>
      </c>
      <c r="P811" t="s">
        <v>9798</v>
      </c>
      <c r="Q811" t="s">
        <v>4152</v>
      </c>
      <c r="R811" t="s">
        <v>40</v>
      </c>
      <c r="S811" t="s">
        <v>32</v>
      </c>
      <c r="T811" t="s">
        <v>32</v>
      </c>
      <c r="U811" t="s">
        <v>32</v>
      </c>
      <c r="V811" t="s">
        <v>9799</v>
      </c>
      <c r="W811" t="s">
        <v>32</v>
      </c>
      <c r="X811" t="s">
        <v>2350</v>
      </c>
      <c r="Y811" t="s">
        <v>9800</v>
      </c>
      <c r="Z811" t="s">
        <v>32</v>
      </c>
      <c r="AA811" t="s">
        <v>9801</v>
      </c>
      <c r="AB811" t="s">
        <v>9802</v>
      </c>
      <c r="AC811" t="s">
        <v>9803</v>
      </c>
      <c r="AD811" t="s">
        <v>32</v>
      </c>
      <c r="AE811" t="s">
        <v>9804</v>
      </c>
      <c r="AF811" t="s">
        <v>46835</v>
      </c>
    </row>
    <row r="812" spans="1:32" x14ac:dyDescent="0.2">
      <c r="A812">
        <v>807</v>
      </c>
      <c r="B812" t="s">
        <v>9805</v>
      </c>
      <c r="C812" t="s">
        <v>9806</v>
      </c>
      <c r="D812" t="s">
        <v>9807</v>
      </c>
      <c r="E812" t="s">
        <v>9808</v>
      </c>
      <c r="F812" t="s">
        <v>9809</v>
      </c>
      <c r="G812" t="s">
        <v>9810</v>
      </c>
      <c r="H812" t="str">
        <f>"Cdca8"</f>
        <v>Cdca8</v>
      </c>
      <c r="I812" t="s">
        <v>32</v>
      </c>
      <c r="J812" t="s">
        <v>37</v>
      </c>
      <c r="K812">
        <v>10090</v>
      </c>
      <c r="L812" s="3" t="str">
        <f>HYPERLINK("http://www.uniprot.org/uniprot/Q8BHX3", "Q8BHX3")</f>
        <v>Q8BHX3</v>
      </c>
      <c r="M812" t="s">
        <v>9811</v>
      </c>
      <c r="N812" t="str">
        <f>"Cdca8"</f>
        <v>Cdca8</v>
      </c>
      <c r="O812" s="3" t="str">
        <f>HYPERLINK("http://www.informatics.jax.org/marker/MGI:1196274", "MGI:1196274")</f>
        <v>MGI:1196274</v>
      </c>
      <c r="P812" t="s">
        <v>9812</v>
      </c>
      <c r="Q812" t="s">
        <v>2968</v>
      </c>
      <c r="R812" t="s">
        <v>9813</v>
      </c>
      <c r="S812" t="s">
        <v>41</v>
      </c>
      <c r="T812" t="s">
        <v>32</v>
      </c>
      <c r="U812" t="s">
        <v>32</v>
      </c>
      <c r="V812" t="s">
        <v>32</v>
      </c>
      <c r="W812" t="s">
        <v>32</v>
      </c>
      <c r="X812" t="s">
        <v>32</v>
      </c>
      <c r="Y812" t="s">
        <v>3509</v>
      </c>
      <c r="Z812" t="s">
        <v>32</v>
      </c>
      <c r="AA812" t="s">
        <v>9814</v>
      </c>
      <c r="AB812" t="s">
        <v>9815</v>
      </c>
      <c r="AC812" t="s">
        <v>32</v>
      </c>
      <c r="AD812" t="s">
        <v>32</v>
      </c>
      <c r="AE812" t="s">
        <v>9816</v>
      </c>
      <c r="AF812" t="s">
        <v>46835</v>
      </c>
    </row>
    <row r="813" spans="1:32" x14ac:dyDescent="0.2">
      <c r="A813">
        <v>808</v>
      </c>
      <c r="B813" t="s">
        <v>9817</v>
      </c>
      <c r="C813" t="s">
        <v>9818</v>
      </c>
      <c r="D813" t="s">
        <v>32</v>
      </c>
      <c r="E813" t="s">
        <v>9819</v>
      </c>
      <c r="F813" t="s">
        <v>9820</v>
      </c>
      <c r="G813" t="s">
        <v>9821</v>
      </c>
      <c r="H813" t="str">
        <f>"Erh"</f>
        <v>Erh</v>
      </c>
      <c r="I813" t="s">
        <v>32</v>
      </c>
      <c r="J813" t="s">
        <v>37</v>
      </c>
      <c r="K813">
        <v>10090</v>
      </c>
      <c r="L813" s="3" t="str">
        <f>HYPERLINK("http://www.uniprot.org/uniprot/P84089", "P84089")</f>
        <v>P84089</v>
      </c>
      <c r="M813" t="s">
        <v>9822</v>
      </c>
      <c r="N813" t="str">
        <f>"Erh"</f>
        <v>Erh</v>
      </c>
      <c r="O813" s="3" t="str">
        <f>HYPERLINK("http://www.informatics.jax.org/marker/MGI:108089", "MGI:108089")</f>
        <v>MGI:108089</v>
      </c>
      <c r="P813" t="s">
        <v>9823</v>
      </c>
      <c r="Q813" t="s">
        <v>9824</v>
      </c>
      <c r="R813" t="s">
        <v>2279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32</v>
      </c>
      <c r="Y813" t="s">
        <v>516</v>
      </c>
      <c r="Z813" t="s">
        <v>126</v>
      </c>
      <c r="AA813" t="s">
        <v>9825</v>
      </c>
      <c r="AB813" t="s">
        <v>9826</v>
      </c>
      <c r="AC813" t="s">
        <v>9827</v>
      </c>
      <c r="AD813" t="s">
        <v>32</v>
      </c>
      <c r="AE813" t="s">
        <v>32</v>
      </c>
      <c r="AF813" t="s">
        <v>46835</v>
      </c>
    </row>
    <row r="814" spans="1:32" x14ac:dyDescent="0.2">
      <c r="A814">
        <v>809</v>
      </c>
      <c r="B814" t="s">
        <v>9828</v>
      </c>
      <c r="C814" t="s">
        <v>9829</v>
      </c>
      <c r="D814" t="s">
        <v>32</v>
      </c>
      <c r="E814" t="s">
        <v>9830</v>
      </c>
      <c r="F814" t="s">
        <v>9831</v>
      </c>
      <c r="G814" t="s">
        <v>9832</v>
      </c>
      <c r="H814" t="str">
        <f>"Snrnp70"</f>
        <v>Snrnp70</v>
      </c>
      <c r="I814" t="s">
        <v>9833</v>
      </c>
      <c r="J814" t="s">
        <v>37</v>
      </c>
      <c r="K814">
        <v>10090</v>
      </c>
      <c r="L814" s="3" t="str">
        <f>HYPERLINK("http://www.uniprot.org/uniprot/Q62376", "Q62376")</f>
        <v>Q62376</v>
      </c>
      <c r="M814" t="s">
        <v>9834</v>
      </c>
      <c r="N814" t="str">
        <f>"Snrnp70"</f>
        <v>Snrnp70</v>
      </c>
      <c r="O814" s="3" t="str">
        <f>HYPERLINK("http://www.informatics.jax.org/marker/MGI:98341", "MGI:98341")</f>
        <v>MGI:98341</v>
      </c>
      <c r="P814" t="s">
        <v>9835</v>
      </c>
      <c r="Q814" t="s">
        <v>32</v>
      </c>
      <c r="R814" t="s">
        <v>2279</v>
      </c>
      <c r="S814" t="s">
        <v>41</v>
      </c>
      <c r="T814" t="s">
        <v>32</v>
      </c>
      <c r="U814" t="s">
        <v>32</v>
      </c>
      <c r="V814" t="s">
        <v>32</v>
      </c>
      <c r="W814" t="s">
        <v>32</v>
      </c>
      <c r="X814" t="s">
        <v>1129</v>
      </c>
      <c r="Y814" t="s">
        <v>516</v>
      </c>
      <c r="Z814" t="s">
        <v>32</v>
      </c>
      <c r="AA814" t="s">
        <v>9836</v>
      </c>
      <c r="AB814" t="s">
        <v>9837</v>
      </c>
      <c r="AC814" t="s">
        <v>9838</v>
      </c>
      <c r="AD814" t="s">
        <v>32</v>
      </c>
      <c r="AE814" t="s">
        <v>946</v>
      </c>
      <c r="AF814" t="s">
        <v>46835</v>
      </c>
    </row>
    <row r="815" spans="1:32" x14ac:dyDescent="0.2">
      <c r="A815">
        <v>810</v>
      </c>
      <c r="B815" t="s">
        <v>9839</v>
      </c>
      <c r="C815" t="s">
        <v>9840</v>
      </c>
      <c r="D815" t="s">
        <v>32</v>
      </c>
      <c r="E815" t="s">
        <v>9841</v>
      </c>
      <c r="F815" t="s">
        <v>9842</v>
      </c>
      <c r="G815" t="s">
        <v>9843</v>
      </c>
      <c r="H815" t="str">
        <f>"Csnk2a1"</f>
        <v>Csnk2a1</v>
      </c>
      <c r="I815" t="s">
        <v>9844</v>
      </c>
      <c r="J815" t="s">
        <v>37</v>
      </c>
      <c r="K815">
        <v>10090</v>
      </c>
      <c r="L815" s="3" t="str">
        <f>HYPERLINK("http://www.uniprot.org/uniprot/Q60737", "Q60737")</f>
        <v>Q60737</v>
      </c>
      <c r="M815" t="s">
        <v>9845</v>
      </c>
      <c r="N815" t="str">
        <f>"Csnk2a1"</f>
        <v>Csnk2a1</v>
      </c>
      <c r="O815" s="3" t="str">
        <f>HYPERLINK("http://www.informatics.jax.org/marker/MGI:88543", "MGI:88543")</f>
        <v>MGI:88543</v>
      </c>
      <c r="P815" t="s">
        <v>9846</v>
      </c>
      <c r="Q815" t="s">
        <v>9847</v>
      </c>
      <c r="R815" t="s">
        <v>2279</v>
      </c>
      <c r="S815" t="s">
        <v>32</v>
      </c>
      <c r="T815" t="s">
        <v>32</v>
      </c>
      <c r="U815" t="s">
        <v>32</v>
      </c>
      <c r="V815" t="s">
        <v>32</v>
      </c>
      <c r="W815" t="s">
        <v>205</v>
      </c>
      <c r="X815" t="s">
        <v>5419</v>
      </c>
      <c r="Y815" t="s">
        <v>618</v>
      </c>
      <c r="Z815" t="s">
        <v>32</v>
      </c>
      <c r="AA815" t="s">
        <v>9848</v>
      </c>
      <c r="AB815" t="s">
        <v>9849</v>
      </c>
      <c r="AC815" t="s">
        <v>9850</v>
      </c>
      <c r="AD815" t="s">
        <v>32</v>
      </c>
      <c r="AE815" t="s">
        <v>9851</v>
      </c>
      <c r="AF815" t="s">
        <v>46835</v>
      </c>
    </row>
    <row r="816" spans="1:32" x14ac:dyDescent="0.2">
      <c r="A816">
        <v>811</v>
      </c>
      <c r="B816" t="s">
        <v>9852</v>
      </c>
      <c r="C816" t="s">
        <v>9853</v>
      </c>
      <c r="D816" t="s">
        <v>32</v>
      </c>
      <c r="E816" t="s">
        <v>9854</v>
      </c>
      <c r="F816" t="s">
        <v>9855</v>
      </c>
      <c r="G816" t="s">
        <v>9856</v>
      </c>
      <c r="H816" t="str">
        <f>"Gpd1l"</f>
        <v>Gpd1l</v>
      </c>
      <c r="I816" t="s">
        <v>9857</v>
      </c>
      <c r="J816" t="s">
        <v>37</v>
      </c>
      <c r="K816">
        <v>10090</v>
      </c>
      <c r="L816" s="3" t="str">
        <f>HYPERLINK("http://www.uniprot.org/uniprot/Q3ULJ0", "Q3ULJ0")</f>
        <v>Q3ULJ0</v>
      </c>
      <c r="M816" t="s">
        <v>9858</v>
      </c>
      <c r="N816" t="str">
        <f>"Gpd1l"</f>
        <v>Gpd1l</v>
      </c>
      <c r="O816" s="3" t="str">
        <f>HYPERLINK("http://www.informatics.jax.org/marker/MGI:1289257", "MGI:1289257")</f>
        <v>MGI:1289257</v>
      </c>
      <c r="P816" t="s">
        <v>9859</v>
      </c>
      <c r="Q816" t="s">
        <v>32</v>
      </c>
      <c r="R816" t="s">
        <v>418</v>
      </c>
      <c r="S816" t="s">
        <v>41</v>
      </c>
      <c r="T816" t="s">
        <v>32</v>
      </c>
      <c r="U816" t="s">
        <v>32</v>
      </c>
      <c r="V816" t="s">
        <v>32</v>
      </c>
      <c r="W816" t="s">
        <v>325</v>
      </c>
      <c r="X816" t="s">
        <v>600</v>
      </c>
      <c r="Y816" t="s">
        <v>32</v>
      </c>
      <c r="Z816" t="s">
        <v>32</v>
      </c>
      <c r="AA816" t="s">
        <v>9860</v>
      </c>
      <c r="AB816" t="s">
        <v>9861</v>
      </c>
      <c r="AC816" t="s">
        <v>9862</v>
      </c>
      <c r="AD816" t="s">
        <v>32</v>
      </c>
      <c r="AE816" t="s">
        <v>9863</v>
      </c>
      <c r="AF816" t="s">
        <v>46835</v>
      </c>
    </row>
    <row r="817" spans="1:33" x14ac:dyDescent="0.2">
      <c r="A817">
        <v>812</v>
      </c>
      <c r="B817" t="s">
        <v>9864</v>
      </c>
      <c r="C817" t="s">
        <v>9865</v>
      </c>
      <c r="D817" t="s">
        <v>9866</v>
      </c>
      <c r="E817" t="s">
        <v>9867</v>
      </c>
      <c r="F817" t="s">
        <v>9868</v>
      </c>
      <c r="G817" t="s">
        <v>9869</v>
      </c>
      <c r="H817" t="str">
        <f>"Pcmt1"</f>
        <v>Pcmt1</v>
      </c>
      <c r="I817" t="s">
        <v>32</v>
      </c>
      <c r="J817" t="s">
        <v>37</v>
      </c>
      <c r="K817">
        <v>10090</v>
      </c>
      <c r="L817" s="3" t="str">
        <f>HYPERLINK("http://www.uniprot.org/uniprot/P23506", "P23506")</f>
        <v>P23506</v>
      </c>
      <c r="M817" t="s">
        <v>9870</v>
      </c>
      <c r="N817" t="str">
        <f>"Pcmt1"</f>
        <v>Pcmt1</v>
      </c>
      <c r="O817" s="3" t="str">
        <f>HYPERLINK("http://www.informatics.jax.org/marker/MGI:97502", "MGI:97502")</f>
        <v>MGI:97502</v>
      </c>
      <c r="P817" t="s">
        <v>9871</v>
      </c>
      <c r="Q817" t="s">
        <v>32</v>
      </c>
      <c r="R817" t="s">
        <v>418</v>
      </c>
      <c r="S817" t="s">
        <v>41</v>
      </c>
      <c r="T817" t="s">
        <v>32</v>
      </c>
      <c r="U817" t="s">
        <v>32</v>
      </c>
      <c r="V817" t="s">
        <v>32</v>
      </c>
      <c r="W817" t="s">
        <v>1705</v>
      </c>
      <c r="X817" t="s">
        <v>1706</v>
      </c>
      <c r="Y817" t="s">
        <v>78</v>
      </c>
      <c r="Z817" t="s">
        <v>32</v>
      </c>
      <c r="AA817" t="s">
        <v>9872</v>
      </c>
      <c r="AB817" t="s">
        <v>9873</v>
      </c>
      <c r="AC817" t="s">
        <v>9874</v>
      </c>
      <c r="AD817" t="s">
        <v>32</v>
      </c>
      <c r="AE817" t="s">
        <v>9875</v>
      </c>
      <c r="AF817" t="s">
        <v>46835</v>
      </c>
    </row>
    <row r="818" spans="1:33" x14ac:dyDescent="0.2">
      <c r="A818">
        <v>813</v>
      </c>
      <c r="B818" t="s">
        <v>9876</v>
      </c>
      <c r="C818" t="s">
        <v>9877</v>
      </c>
      <c r="D818" t="s">
        <v>9878</v>
      </c>
      <c r="E818" t="s">
        <v>9879</v>
      </c>
      <c r="F818" t="s">
        <v>9880</v>
      </c>
      <c r="G818" t="s">
        <v>9881</v>
      </c>
      <c r="H818" t="str">
        <f>"Ipo4"</f>
        <v>Ipo4</v>
      </c>
      <c r="I818" t="s">
        <v>9882</v>
      </c>
      <c r="J818" t="s">
        <v>37</v>
      </c>
      <c r="K818">
        <v>10090</v>
      </c>
      <c r="L818" s="3" t="str">
        <f>HYPERLINK("http://www.uniprot.org/uniprot/Q8VI75", "Q8VI75")</f>
        <v>Q8VI75</v>
      </c>
      <c r="M818" t="s">
        <v>9883</v>
      </c>
      <c r="N818" t="str">
        <f>"Ipo4"</f>
        <v>Ipo4</v>
      </c>
      <c r="O818" s="3" t="str">
        <f>HYPERLINK("http://www.informatics.jax.org/marker/MGI:1923001", "MGI:1923001")</f>
        <v>MGI:1923001</v>
      </c>
      <c r="P818" t="s">
        <v>9884</v>
      </c>
      <c r="Q818" t="s">
        <v>434</v>
      </c>
      <c r="R818" t="s">
        <v>40</v>
      </c>
      <c r="S818" t="s">
        <v>32</v>
      </c>
      <c r="T818" t="s">
        <v>32</v>
      </c>
      <c r="U818" t="s">
        <v>32</v>
      </c>
      <c r="V818" t="s">
        <v>55</v>
      </c>
      <c r="W818" t="s">
        <v>32</v>
      </c>
      <c r="X818" t="s">
        <v>32</v>
      </c>
      <c r="Y818" t="s">
        <v>78</v>
      </c>
      <c r="Z818" t="s">
        <v>32</v>
      </c>
      <c r="AA818" t="s">
        <v>9885</v>
      </c>
      <c r="AB818" t="s">
        <v>9886</v>
      </c>
      <c r="AC818" t="s">
        <v>436</v>
      </c>
      <c r="AD818" t="s">
        <v>32</v>
      </c>
      <c r="AE818" t="s">
        <v>32</v>
      </c>
      <c r="AF818" t="s">
        <v>46835</v>
      </c>
    </row>
    <row r="819" spans="1:33" x14ac:dyDescent="0.2">
      <c r="A819">
        <v>814</v>
      </c>
      <c r="B819" t="s">
        <v>9887</v>
      </c>
      <c r="C819" t="s">
        <v>9888</v>
      </c>
      <c r="D819" t="s">
        <v>32</v>
      </c>
      <c r="E819" t="s">
        <v>9889</v>
      </c>
      <c r="F819" t="s">
        <v>9890</v>
      </c>
      <c r="G819" t="s">
        <v>32</v>
      </c>
      <c r="H819" t="str">
        <f>"Rpl36"</f>
        <v>Rpl36</v>
      </c>
      <c r="I819" t="s">
        <v>32</v>
      </c>
      <c r="J819" t="s">
        <v>37</v>
      </c>
      <c r="K819">
        <v>10090</v>
      </c>
      <c r="L819" s="3" t="str">
        <f>HYPERLINK("http://www.uniprot.org/uniprot/P47964", "P47964")</f>
        <v>P47964</v>
      </c>
      <c r="M819" t="s">
        <v>9891</v>
      </c>
      <c r="N819" t="str">
        <f>"Rpl36"</f>
        <v>Rpl36</v>
      </c>
      <c r="O819" s="3" t="str">
        <f>HYPERLINK("http://www.informatics.jax.org/marker/MGI:1860603", "MGI:1860603")</f>
        <v>MGI:1860603</v>
      </c>
      <c r="P819" t="s">
        <v>1867</v>
      </c>
      <c r="Q819" t="s">
        <v>32</v>
      </c>
      <c r="R819" t="s">
        <v>418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447</v>
      </c>
      <c r="Y819" t="s">
        <v>78</v>
      </c>
      <c r="Z819" t="s">
        <v>126</v>
      </c>
      <c r="AA819" t="s">
        <v>1405</v>
      </c>
      <c r="AB819" t="s">
        <v>9892</v>
      </c>
      <c r="AC819" t="s">
        <v>1010</v>
      </c>
      <c r="AD819" t="s">
        <v>32</v>
      </c>
      <c r="AE819" t="s">
        <v>765</v>
      </c>
      <c r="AF819" t="s">
        <v>46835</v>
      </c>
    </row>
    <row r="820" spans="1:33" x14ac:dyDescent="0.2">
      <c r="A820">
        <v>815</v>
      </c>
      <c r="B820" t="s">
        <v>9893</v>
      </c>
      <c r="C820" t="s">
        <v>9894</v>
      </c>
      <c r="D820" t="s">
        <v>9895</v>
      </c>
      <c r="E820" t="s">
        <v>9896</v>
      </c>
      <c r="F820" t="s">
        <v>9897</v>
      </c>
      <c r="G820" t="s">
        <v>9898</v>
      </c>
      <c r="H820" t="str">
        <f>"Ptpru"</f>
        <v>Ptpru</v>
      </c>
      <c r="I820" t="s">
        <v>9899</v>
      </c>
      <c r="J820" t="s">
        <v>37</v>
      </c>
      <c r="K820">
        <v>10090</v>
      </c>
      <c r="L820" s="3" t="str">
        <f>HYPERLINK("http://www.uniprot.org/uniprot/B1AUH1", "B1AUH1")</f>
        <v>B1AUH1</v>
      </c>
      <c r="M820" t="s">
        <v>9900</v>
      </c>
      <c r="N820" t="str">
        <f>"Ptpru"</f>
        <v>Ptpru</v>
      </c>
      <c r="O820" s="3" t="str">
        <f>HYPERLINK("http://www.informatics.jax.org/marker/MGI:1321151", "MGI:1321151")</f>
        <v>MGI:1321151</v>
      </c>
      <c r="P820" t="s">
        <v>9901</v>
      </c>
      <c r="Q820" t="s">
        <v>8934</v>
      </c>
      <c r="R820" t="s">
        <v>5512</v>
      </c>
      <c r="S820" t="s">
        <v>41</v>
      </c>
      <c r="T820" t="s">
        <v>32</v>
      </c>
      <c r="U820" t="s">
        <v>32</v>
      </c>
      <c r="V820" t="s">
        <v>2864</v>
      </c>
      <c r="W820" t="s">
        <v>32</v>
      </c>
      <c r="X820" t="s">
        <v>9902</v>
      </c>
      <c r="Y820" t="s">
        <v>2865</v>
      </c>
      <c r="Z820" t="s">
        <v>32</v>
      </c>
      <c r="AA820" t="s">
        <v>9903</v>
      </c>
      <c r="AB820" t="s">
        <v>9904</v>
      </c>
      <c r="AC820" t="s">
        <v>9905</v>
      </c>
      <c r="AD820" t="s">
        <v>32</v>
      </c>
      <c r="AE820" t="s">
        <v>9906</v>
      </c>
      <c r="AF820" t="s">
        <v>46835</v>
      </c>
    </row>
    <row r="821" spans="1:33" x14ac:dyDescent="0.2">
      <c r="A821">
        <v>816</v>
      </c>
      <c r="B821" t="s">
        <v>9907</v>
      </c>
      <c r="C821" t="s">
        <v>9908</v>
      </c>
      <c r="D821" t="s">
        <v>9909</v>
      </c>
      <c r="E821" t="s">
        <v>9910</v>
      </c>
      <c r="F821" t="s">
        <v>9911</v>
      </c>
      <c r="G821" t="s">
        <v>9912</v>
      </c>
      <c r="H821" t="str">
        <f>"Arpc4"</f>
        <v>Arpc4</v>
      </c>
      <c r="I821" t="s">
        <v>9913</v>
      </c>
      <c r="J821" t="s">
        <v>37</v>
      </c>
      <c r="K821">
        <v>10090</v>
      </c>
      <c r="L821" s="3" t="str">
        <f>HYPERLINK("http://www.uniprot.org/uniprot/P59999", "P59999")</f>
        <v>P59999</v>
      </c>
      <c r="M821" t="s">
        <v>9914</v>
      </c>
      <c r="N821" t="str">
        <f>"Arpc4"</f>
        <v>Arpc4</v>
      </c>
      <c r="O821" s="3" t="str">
        <f>HYPERLINK("http://www.informatics.jax.org/marker/MGI:1915339", "MGI:1915339")</f>
        <v>MGI:1915339</v>
      </c>
      <c r="P821" t="s">
        <v>9915</v>
      </c>
      <c r="Q821" t="s">
        <v>32</v>
      </c>
      <c r="R821" t="s">
        <v>7920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405</v>
      </c>
      <c r="Y821" t="s">
        <v>78</v>
      </c>
      <c r="Z821" t="s">
        <v>126</v>
      </c>
      <c r="AA821" t="s">
        <v>9916</v>
      </c>
      <c r="AB821" t="s">
        <v>9917</v>
      </c>
      <c r="AC821" t="s">
        <v>9918</v>
      </c>
      <c r="AD821" t="s">
        <v>32</v>
      </c>
      <c r="AE821" t="s">
        <v>5831</v>
      </c>
      <c r="AF821" t="s">
        <v>46835</v>
      </c>
    </row>
    <row r="822" spans="1:33" x14ac:dyDescent="0.2">
      <c r="A822">
        <v>817</v>
      </c>
      <c r="B822" t="s">
        <v>9919</v>
      </c>
      <c r="C822" t="s">
        <v>9920</v>
      </c>
      <c r="D822" t="s">
        <v>9921</v>
      </c>
      <c r="E822" t="s">
        <v>9922</v>
      </c>
      <c r="F822" t="s">
        <v>9923</v>
      </c>
      <c r="G822" t="s">
        <v>32</v>
      </c>
      <c r="H822" t="str">
        <f>"Tecr"</f>
        <v>Tecr</v>
      </c>
      <c r="I822" t="s">
        <v>9924</v>
      </c>
      <c r="J822" t="s">
        <v>37</v>
      </c>
      <c r="K822">
        <v>10090</v>
      </c>
      <c r="L822" s="3" t="str">
        <f>HYPERLINK("http://www.uniprot.org/uniprot/Q9CY27", "Q9CY27")</f>
        <v>Q9CY27</v>
      </c>
      <c r="M822" t="s">
        <v>9925</v>
      </c>
      <c r="N822" t="str">
        <f>"Tecr"</f>
        <v>Tecr</v>
      </c>
      <c r="O822" s="3" t="str">
        <f>HYPERLINK("http://www.informatics.jax.org/marker/MGI:1915408", "MGI:1915408")</f>
        <v>MGI:1915408</v>
      </c>
      <c r="P822" t="s">
        <v>9926</v>
      </c>
      <c r="Q822" t="s">
        <v>9927</v>
      </c>
      <c r="R822" t="s">
        <v>1664</v>
      </c>
      <c r="S822" t="s">
        <v>32</v>
      </c>
      <c r="T822" t="s">
        <v>32</v>
      </c>
      <c r="U822" t="s">
        <v>32</v>
      </c>
      <c r="V822" t="s">
        <v>493</v>
      </c>
      <c r="W822" t="s">
        <v>3204</v>
      </c>
      <c r="X822" t="s">
        <v>600</v>
      </c>
      <c r="Y822" t="s">
        <v>372</v>
      </c>
      <c r="Z822" t="s">
        <v>32</v>
      </c>
      <c r="AA822" t="s">
        <v>9928</v>
      </c>
      <c r="AB822" t="s">
        <v>4272</v>
      </c>
      <c r="AC822" t="s">
        <v>9929</v>
      </c>
      <c r="AD822" t="s">
        <v>9930</v>
      </c>
      <c r="AE822" t="s">
        <v>9931</v>
      </c>
      <c r="AF822" t="s">
        <v>46835</v>
      </c>
    </row>
    <row r="823" spans="1:33" x14ac:dyDescent="0.2">
      <c r="A823">
        <v>818</v>
      </c>
      <c r="B823" t="s">
        <v>9932</v>
      </c>
      <c r="C823" t="s">
        <v>47116</v>
      </c>
      <c r="D823" t="s">
        <v>32</v>
      </c>
      <c r="E823" t="s">
        <v>46868</v>
      </c>
      <c r="F823" t="s">
        <v>46867</v>
      </c>
      <c r="G823" t="s">
        <v>32</v>
      </c>
      <c r="H823" t="s">
        <v>47247</v>
      </c>
      <c r="I823" t="s">
        <v>32</v>
      </c>
      <c r="J823" t="s">
        <v>37</v>
      </c>
      <c r="K823">
        <v>10090</v>
      </c>
      <c r="L823" s="3" t="str">
        <f>HYPERLINK(CONCATENATE("https://www.uniprot.org/uniprotkb/", AG823, "/entry"), AG823)</f>
        <v>Q9CZN7</v>
      </c>
      <c r="M823" t="s">
        <v>32</v>
      </c>
      <c r="N823" t="s">
        <v>32</v>
      </c>
      <c r="O823" s="3" t="s">
        <v>32</v>
      </c>
      <c r="P823" t="s">
        <v>32</v>
      </c>
      <c r="Q823" t="s">
        <v>32</v>
      </c>
      <c r="R823" t="s">
        <v>32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32</v>
      </c>
      <c r="Y823" t="s">
        <v>32</v>
      </c>
      <c r="Z823" t="s">
        <v>32</v>
      </c>
      <c r="AA823" t="s">
        <v>32</v>
      </c>
      <c r="AB823" t="s">
        <v>32</v>
      </c>
      <c r="AC823" t="s">
        <v>32</v>
      </c>
      <c r="AD823" t="s">
        <v>32</v>
      </c>
      <c r="AE823" t="s">
        <v>32</v>
      </c>
      <c r="AF823" t="s">
        <v>46835</v>
      </c>
      <c r="AG823" t="s">
        <v>46867</v>
      </c>
    </row>
    <row r="824" spans="1:33" x14ac:dyDescent="0.2">
      <c r="A824">
        <v>819</v>
      </c>
      <c r="B824" t="s">
        <v>9933</v>
      </c>
      <c r="C824" t="s">
        <v>9934</v>
      </c>
      <c r="D824" t="s">
        <v>9935</v>
      </c>
      <c r="E824" t="s">
        <v>9936</v>
      </c>
      <c r="F824" t="s">
        <v>9937</v>
      </c>
      <c r="G824" t="s">
        <v>9938</v>
      </c>
      <c r="H824" t="str">
        <f>"Prrc2c"</f>
        <v>Prrc2c</v>
      </c>
      <c r="I824" t="s">
        <v>9939</v>
      </c>
      <c r="J824" t="s">
        <v>37</v>
      </c>
      <c r="K824">
        <v>10090</v>
      </c>
      <c r="L824" s="3" t="str">
        <f>HYPERLINK("http://www.uniprot.org/uniprot/Q3TLH4", "Q3TLH4")</f>
        <v>Q3TLH4</v>
      </c>
      <c r="M824" t="s">
        <v>9940</v>
      </c>
      <c r="N824" t="str">
        <f>"Prrc2c"</f>
        <v>Prrc2c</v>
      </c>
      <c r="O824" s="3" t="str">
        <f>HYPERLINK("http://www.informatics.jax.org/marker/MGI:1913754", "MGI:1913754")</f>
        <v>MGI:1913754</v>
      </c>
      <c r="P824" t="s">
        <v>9941</v>
      </c>
      <c r="Q824" t="s">
        <v>32</v>
      </c>
      <c r="R824" t="s">
        <v>418</v>
      </c>
      <c r="S824" t="s">
        <v>41</v>
      </c>
      <c r="T824" t="s">
        <v>32</v>
      </c>
      <c r="U824" t="s">
        <v>32</v>
      </c>
      <c r="V824" t="s">
        <v>290</v>
      </c>
      <c r="W824" t="s">
        <v>32</v>
      </c>
      <c r="X824" t="s">
        <v>32</v>
      </c>
      <c r="Y824" t="s">
        <v>207</v>
      </c>
      <c r="Z824" t="s">
        <v>32</v>
      </c>
      <c r="AA824" t="s">
        <v>9942</v>
      </c>
      <c r="AB824" t="s">
        <v>9943</v>
      </c>
      <c r="AC824" t="s">
        <v>9944</v>
      </c>
      <c r="AD824" t="s">
        <v>32</v>
      </c>
      <c r="AE824" t="s">
        <v>32</v>
      </c>
      <c r="AF824" t="s">
        <v>46835</v>
      </c>
    </row>
    <row r="825" spans="1:33" x14ac:dyDescent="0.2">
      <c r="A825">
        <v>820</v>
      </c>
      <c r="B825" t="s">
        <v>9945</v>
      </c>
      <c r="C825" t="s">
        <v>9946</v>
      </c>
      <c r="D825" t="s">
        <v>9947</v>
      </c>
      <c r="E825" t="s">
        <v>9948</v>
      </c>
      <c r="F825" t="s">
        <v>9949</v>
      </c>
      <c r="G825" t="s">
        <v>32</v>
      </c>
      <c r="H825" t="str">
        <f>"Atp1b3"</f>
        <v>Atp1b3</v>
      </c>
      <c r="I825" t="s">
        <v>32</v>
      </c>
      <c r="J825" t="s">
        <v>37</v>
      </c>
      <c r="K825">
        <v>10090</v>
      </c>
      <c r="L825" s="3" t="str">
        <f>HYPERLINK("http://www.uniprot.org/uniprot/P97370", "P97370")</f>
        <v>P97370</v>
      </c>
      <c r="M825" t="s">
        <v>9950</v>
      </c>
      <c r="N825" t="str">
        <f>"Atp1b3"</f>
        <v>Atp1b3</v>
      </c>
      <c r="O825" s="3" t="str">
        <f>HYPERLINK("http://www.informatics.jax.org/marker/MGI:107788", "MGI:107788")</f>
        <v>MGI:107788</v>
      </c>
      <c r="P825" t="s">
        <v>9951</v>
      </c>
      <c r="Q825" t="s">
        <v>3655</v>
      </c>
      <c r="R825" t="s">
        <v>2474</v>
      </c>
      <c r="S825" t="s">
        <v>32</v>
      </c>
      <c r="T825" t="s">
        <v>32</v>
      </c>
      <c r="U825" t="s">
        <v>32</v>
      </c>
      <c r="V825" t="s">
        <v>1550</v>
      </c>
      <c r="W825" t="s">
        <v>9952</v>
      </c>
      <c r="X825" t="s">
        <v>32</v>
      </c>
      <c r="Y825" t="s">
        <v>5275</v>
      </c>
      <c r="Z825" t="s">
        <v>32</v>
      </c>
      <c r="AA825" t="s">
        <v>9953</v>
      </c>
      <c r="AB825" t="s">
        <v>9954</v>
      </c>
      <c r="AC825" t="s">
        <v>9955</v>
      </c>
      <c r="AD825" t="s">
        <v>32</v>
      </c>
      <c r="AE825" t="s">
        <v>3660</v>
      </c>
      <c r="AF825" t="s">
        <v>46835</v>
      </c>
    </row>
    <row r="826" spans="1:33" x14ac:dyDescent="0.2">
      <c r="A826">
        <v>821</v>
      </c>
      <c r="B826" t="s">
        <v>9956</v>
      </c>
      <c r="C826" t="s">
        <v>9957</v>
      </c>
      <c r="D826" t="s">
        <v>32</v>
      </c>
      <c r="E826" t="s">
        <v>9958</v>
      </c>
      <c r="F826" t="s">
        <v>9959</v>
      </c>
      <c r="G826" t="s">
        <v>9960</v>
      </c>
      <c r="H826" t="str">
        <f>"Crkl"</f>
        <v>Crkl</v>
      </c>
      <c r="I826" t="s">
        <v>9961</v>
      </c>
      <c r="J826" t="s">
        <v>37</v>
      </c>
      <c r="K826">
        <v>10090</v>
      </c>
      <c r="L826" s="3" t="str">
        <f>HYPERLINK("http://www.uniprot.org/uniprot/P47941", "P47941")</f>
        <v>P47941</v>
      </c>
      <c r="M826" t="s">
        <v>9962</v>
      </c>
      <c r="N826" t="str">
        <f>"Crkl"</f>
        <v>Crkl</v>
      </c>
      <c r="O826" s="3" t="str">
        <f>HYPERLINK("http://www.informatics.jax.org/marker/MGI:104686", "MGI:104686")</f>
        <v>MGI:104686</v>
      </c>
      <c r="P826" t="s">
        <v>9963</v>
      </c>
      <c r="Q826" t="s">
        <v>32</v>
      </c>
      <c r="R826" t="s">
        <v>32</v>
      </c>
      <c r="S826" t="s">
        <v>32</v>
      </c>
      <c r="T826" t="s">
        <v>32</v>
      </c>
      <c r="U826" t="s">
        <v>32</v>
      </c>
      <c r="V826" t="s">
        <v>9656</v>
      </c>
      <c r="W826" t="s">
        <v>32</v>
      </c>
      <c r="X826" t="s">
        <v>32</v>
      </c>
      <c r="Y826" t="s">
        <v>618</v>
      </c>
      <c r="Z826" t="s">
        <v>32</v>
      </c>
      <c r="AA826" t="s">
        <v>9964</v>
      </c>
      <c r="AB826" t="s">
        <v>9965</v>
      </c>
      <c r="AC826" t="s">
        <v>9966</v>
      </c>
      <c r="AD826" t="s">
        <v>32</v>
      </c>
      <c r="AE826" t="s">
        <v>9967</v>
      </c>
      <c r="AF826" t="s">
        <v>46835</v>
      </c>
    </row>
    <row r="827" spans="1:33" x14ac:dyDescent="0.2">
      <c r="A827">
        <v>822</v>
      </c>
      <c r="B827" t="s">
        <v>9968</v>
      </c>
      <c r="C827" t="s">
        <v>9969</v>
      </c>
      <c r="D827" t="s">
        <v>9970</v>
      </c>
      <c r="E827" t="s">
        <v>9971</v>
      </c>
      <c r="F827" t="s">
        <v>9972</v>
      </c>
      <c r="G827" t="s">
        <v>32</v>
      </c>
      <c r="H827" t="str">
        <f>"Rbm24"</f>
        <v>Rbm24</v>
      </c>
      <c r="I827" t="s">
        <v>32</v>
      </c>
      <c r="J827" t="s">
        <v>37</v>
      </c>
      <c r="K827">
        <v>10090</v>
      </c>
      <c r="L827" s="3" t="str">
        <f>HYPERLINK("http://www.uniprot.org/uniprot/D3Z4I3", "D3Z4I3")</f>
        <v>D3Z4I3</v>
      </c>
      <c r="M827" t="s">
        <v>9973</v>
      </c>
      <c r="N827" t="str">
        <f>"Rbm24"</f>
        <v>Rbm24</v>
      </c>
      <c r="O827" s="3" t="str">
        <f>HYPERLINK("http://www.informatics.jax.org/marker/MGI:3610364", "MGI:3610364")</f>
        <v>MGI:3610364</v>
      </c>
      <c r="P827" t="s">
        <v>9974</v>
      </c>
      <c r="Q827" t="s">
        <v>9975</v>
      </c>
      <c r="R827" t="s">
        <v>40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1282</v>
      </c>
      <c r="Y827" t="s">
        <v>32</v>
      </c>
      <c r="Z827" t="s">
        <v>32</v>
      </c>
      <c r="AA827" t="s">
        <v>9976</v>
      </c>
      <c r="AB827" t="s">
        <v>4884</v>
      </c>
      <c r="AC827" t="s">
        <v>9977</v>
      </c>
      <c r="AD827" t="s">
        <v>32</v>
      </c>
      <c r="AE827" t="s">
        <v>32</v>
      </c>
      <c r="AF827" t="s">
        <v>46835</v>
      </c>
    </row>
    <row r="828" spans="1:33" x14ac:dyDescent="0.2">
      <c r="A828">
        <v>823</v>
      </c>
      <c r="B828" t="s">
        <v>9978</v>
      </c>
      <c r="C828" t="s">
        <v>9979</v>
      </c>
      <c r="D828" t="s">
        <v>9980</v>
      </c>
      <c r="E828" t="s">
        <v>9981</v>
      </c>
      <c r="F828" t="s">
        <v>9982</v>
      </c>
      <c r="G828" t="s">
        <v>9983</v>
      </c>
      <c r="H828" t="str">
        <f>"Smarcc1"</f>
        <v>Smarcc1</v>
      </c>
      <c r="I828" t="s">
        <v>9984</v>
      </c>
      <c r="J828" t="s">
        <v>37</v>
      </c>
      <c r="K828">
        <v>10090</v>
      </c>
      <c r="L828" s="3" t="str">
        <f>HYPERLINK("http://www.uniprot.org/uniprot/P97496", "P97496")</f>
        <v>P97496</v>
      </c>
      <c r="M828" t="s">
        <v>9985</v>
      </c>
      <c r="N828" t="str">
        <f>"Smarcc1"</f>
        <v>Smarcc1</v>
      </c>
      <c r="O828" s="3" t="str">
        <f>HYPERLINK("http://www.informatics.jax.org/marker/MGI:1203524", "MGI:1203524")</f>
        <v>MGI:1203524</v>
      </c>
      <c r="P828" t="s">
        <v>9986</v>
      </c>
      <c r="Q828" t="s">
        <v>9987</v>
      </c>
      <c r="R828" t="s">
        <v>40</v>
      </c>
      <c r="S828" t="s">
        <v>41</v>
      </c>
      <c r="T828" t="s">
        <v>32</v>
      </c>
      <c r="U828" t="s">
        <v>32</v>
      </c>
      <c r="V828" t="s">
        <v>290</v>
      </c>
      <c r="W828" t="s">
        <v>32</v>
      </c>
      <c r="X828" t="s">
        <v>9988</v>
      </c>
      <c r="Y828" t="s">
        <v>207</v>
      </c>
      <c r="Z828" t="s">
        <v>32</v>
      </c>
      <c r="AA828" t="s">
        <v>9989</v>
      </c>
      <c r="AB828" t="s">
        <v>9990</v>
      </c>
      <c r="AC828" t="s">
        <v>9991</v>
      </c>
      <c r="AD828" t="s">
        <v>32</v>
      </c>
      <c r="AE828" t="s">
        <v>9992</v>
      </c>
      <c r="AF828" t="s">
        <v>46835</v>
      </c>
    </row>
    <row r="829" spans="1:33" x14ac:dyDescent="0.2">
      <c r="A829">
        <v>824</v>
      </c>
      <c r="B829" t="s">
        <v>9993</v>
      </c>
      <c r="C829" t="s">
        <v>9994</v>
      </c>
      <c r="D829" t="s">
        <v>32</v>
      </c>
      <c r="E829" t="s">
        <v>9995</v>
      </c>
      <c r="F829" t="s">
        <v>9996</v>
      </c>
      <c r="G829" t="s">
        <v>32</v>
      </c>
      <c r="H829" t="str">
        <f>"Ubfd1"</f>
        <v>Ubfd1</v>
      </c>
      <c r="I829" t="s">
        <v>9997</v>
      </c>
      <c r="J829" t="s">
        <v>37</v>
      </c>
      <c r="K829">
        <v>10090</v>
      </c>
      <c r="L829" s="3" t="str">
        <f>HYPERLINK("http://www.uniprot.org/uniprot/Q78JW9", "Q78JW9")</f>
        <v>Q78JW9</v>
      </c>
      <c r="M829" t="s">
        <v>9998</v>
      </c>
      <c r="N829" t="str">
        <f>"Ubfd1"</f>
        <v>Ubfd1</v>
      </c>
      <c r="O829" s="3" t="str">
        <f>HYPERLINK("http://www.informatics.jax.org/marker/MGI:107301", "MGI:107301")</f>
        <v>MGI:107301</v>
      </c>
      <c r="P829" t="s">
        <v>126</v>
      </c>
      <c r="Q829" t="s">
        <v>32</v>
      </c>
      <c r="R829" t="s">
        <v>32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32</v>
      </c>
      <c r="Y829" t="s">
        <v>32</v>
      </c>
      <c r="Z829" t="s">
        <v>126</v>
      </c>
      <c r="AA829" t="s">
        <v>32</v>
      </c>
      <c r="AB829" t="s">
        <v>32</v>
      </c>
      <c r="AC829" t="s">
        <v>32</v>
      </c>
      <c r="AD829" t="s">
        <v>32</v>
      </c>
      <c r="AE829" t="s">
        <v>32</v>
      </c>
      <c r="AF829" t="s">
        <v>46835</v>
      </c>
    </row>
    <row r="830" spans="1:33" x14ac:dyDescent="0.2">
      <c r="A830">
        <v>825</v>
      </c>
      <c r="B830" t="s">
        <v>9999</v>
      </c>
      <c r="C830" t="s">
        <v>10000</v>
      </c>
      <c r="D830" t="s">
        <v>10001</v>
      </c>
      <c r="E830" t="s">
        <v>10002</v>
      </c>
      <c r="F830" t="s">
        <v>10003</v>
      </c>
      <c r="G830" t="s">
        <v>10004</v>
      </c>
      <c r="H830" t="str">
        <f>"Luc7l2"</f>
        <v>Luc7l2</v>
      </c>
      <c r="I830" t="s">
        <v>32</v>
      </c>
      <c r="J830" t="s">
        <v>37</v>
      </c>
      <c r="K830">
        <v>10090</v>
      </c>
      <c r="L830" s="3" t="str">
        <f>HYPERLINK("http://www.uniprot.org/uniprot/Q7TNC4", "Q7TNC4")</f>
        <v>Q7TNC4</v>
      </c>
      <c r="M830" t="s">
        <v>10005</v>
      </c>
      <c r="N830" t="str">
        <f>"Luc7l2"</f>
        <v>Luc7l2</v>
      </c>
      <c r="O830" s="3" t="str">
        <f>HYPERLINK("http://www.informatics.jax.org/marker/MGI:2183260", "MGI:2183260")</f>
        <v>MGI:2183260</v>
      </c>
      <c r="P830" t="s">
        <v>10006</v>
      </c>
      <c r="Q830" t="s">
        <v>32</v>
      </c>
      <c r="R830" t="s">
        <v>2279</v>
      </c>
      <c r="S830" t="s">
        <v>41</v>
      </c>
      <c r="T830" t="s">
        <v>32</v>
      </c>
      <c r="U830" t="s">
        <v>32</v>
      </c>
      <c r="V830" t="s">
        <v>290</v>
      </c>
      <c r="W830" t="s">
        <v>32</v>
      </c>
      <c r="X830" t="s">
        <v>32</v>
      </c>
      <c r="Y830" t="s">
        <v>9488</v>
      </c>
      <c r="Z830" t="s">
        <v>32</v>
      </c>
      <c r="AA830" t="s">
        <v>10007</v>
      </c>
      <c r="AB830" t="s">
        <v>10008</v>
      </c>
      <c r="AC830" t="s">
        <v>10009</v>
      </c>
      <c r="AD830" t="s">
        <v>32</v>
      </c>
      <c r="AE830" t="s">
        <v>32</v>
      </c>
      <c r="AF830" t="s">
        <v>46835</v>
      </c>
    </row>
    <row r="831" spans="1:33" x14ac:dyDescent="0.2">
      <c r="A831">
        <v>826</v>
      </c>
      <c r="B831" t="s">
        <v>10010</v>
      </c>
      <c r="C831" t="s">
        <v>10011</v>
      </c>
      <c r="D831" t="s">
        <v>32</v>
      </c>
      <c r="E831" t="s">
        <v>10012</v>
      </c>
      <c r="F831" t="s">
        <v>10013</v>
      </c>
      <c r="G831" t="s">
        <v>10014</v>
      </c>
      <c r="H831" t="str">
        <f>"Lrrc47"</f>
        <v>Lrrc47</v>
      </c>
      <c r="I831" t="s">
        <v>10015</v>
      </c>
      <c r="J831" t="s">
        <v>37</v>
      </c>
      <c r="K831">
        <v>10090</v>
      </c>
      <c r="L831" s="3" t="str">
        <f>HYPERLINK("http://www.uniprot.org/uniprot/Q505F5", "Q505F5")</f>
        <v>Q505F5</v>
      </c>
      <c r="M831" t="s">
        <v>10016</v>
      </c>
      <c r="N831" t="str">
        <f>"Lrrc47"</f>
        <v>Lrrc47</v>
      </c>
      <c r="O831" s="3" t="str">
        <f>HYPERLINK("http://www.informatics.jax.org/marker/MGI:1920196", "MGI:1920196")</f>
        <v>MGI:1920196</v>
      </c>
      <c r="P831" t="s">
        <v>10017</v>
      </c>
      <c r="Q831" t="s">
        <v>32</v>
      </c>
      <c r="R831" t="s">
        <v>32</v>
      </c>
      <c r="S831" t="s">
        <v>32</v>
      </c>
      <c r="T831" t="s">
        <v>32</v>
      </c>
      <c r="U831" t="s">
        <v>32</v>
      </c>
      <c r="V831" t="s">
        <v>10018</v>
      </c>
      <c r="W831" t="s">
        <v>32</v>
      </c>
      <c r="X831" t="s">
        <v>32</v>
      </c>
      <c r="Y831" t="s">
        <v>618</v>
      </c>
      <c r="Z831" t="s">
        <v>32</v>
      </c>
      <c r="AA831" t="s">
        <v>10019</v>
      </c>
      <c r="AB831" t="s">
        <v>32</v>
      </c>
      <c r="AC831" t="s">
        <v>10020</v>
      </c>
      <c r="AD831" t="s">
        <v>32</v>
      </c>
      <c r="AE831" t="s">
        <v>32</v>
      </c>
      <c r="AF831" t="s">
        <v>46835</v>
      </c>
    </row>
    <row r="832" spans="1:33" x14ac:dyDescent="0.2">
      <c r="A832">
        <v>827</v>
      </c>
      <c r="B832" t="s">
        <v>10021</v>
      </c>
      <c r="C832" t="s">
        <v>10022</v>
      </c>
      <c r="D832" t="s">
        <v>10023</v>
      </c>
      <c r="E832" t="s">
        <v>10024</v>
      </c>
      <c r="F832" t="s">
        <v>10025</v>
      </c>
      <c r="G832" t="s">
        <v>10026</v>
      </c>
      <c r="H832" t="str">
        <f>"Ilf2"</f>
        <v>Ilf2</v>
      </c>
      <c r="I832" t="s">
        <v>10027</v>
      </c>
      <c r="J832" t="s">
        <v>37</v>
      </c>
      <c r="K832">
        <v>10090</v>
      </c>
      <c r="L832" s="3" t="str">
        <f>HYPERLINK("http://www.uniprot.org/uniprot/Q9CXY6", "Q9CXY6")</f>
        <v>Q9CXY6</v>
      </c>
      <c r="M832" t="s">
        <v>10028</v>
      </c>
      <c r="N832" t="str">
        <f>"Ilf2"</f>
        <v>Ilf2</v>
      </c>
      <c r="O832" s="3" t="str">
        <f>HYPERLINK("http://www.informatics.jax.org/marker/MGI:1915031", "MGI:1915031")</f>
        <v>MGI:1915031</v>
      </c>
      <c r="P832" t="s">
        <v>10029</v>
      </c>
      <c r="Q832" t="s">
        <v>4152</v>
      </c>
      <c r="R832" t="s">
        <v>40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2350</v>
      </c>
      <c r="Y832" t="s">
        <v>2192</v>
      </c>
      <c r="Z832" t="s">
        <v>126</v>
      </c>
      <c r="AA832" t="s">
        <v>10030</v>
      </c>
      <c r="AB832" t="s">
        <v>10031</v>
      </c>
      <c r="AC832" t="s">
        <v>10032</v>
      </c>
      <c r="AD832" t="s">
        <v>32</v>
      </c>
      <c r="AE832" t="s">
        <v>548</v>
      </c>
      <c r="AF832" t="s">
        <v>46835</v>
      </c>
    </row>
    <row r="833" spans="1:32" x14ac:dyDescent="0.2">
      <c r="A833">
        <v>828</v>
      </c>
      <c r="B833" t="s">
        <v>10033</v>
      </c>
      <c r="C833" t="s">
        <v>10034</v>
      </c>
      <c r="D833" t="s">
        <v>10035</v>
      </c>
      <c r="E833" t="s">
        <v>10036</v>
      </c>
      <c r="F833" t="s">
        <v>10037</v>
      </c>
      <c r="G833" t="s">
        <v>10038</v>
      </c>
      <c r="H833" t="str">
        <f>"Sf3b3"</f>
        <v>Sf3b3</v>
      </c>
      <c r="I833" t="s">
        <v>10039</v>
      </c>
      <c r="J833" t="s">
        <v>37</v>
      </c>
      <c r="K833">
        <v>10090</v>
      </c>
      <c r="L833" s="3" t="str">
        <f>HYPERLINK("http://www.uniprot.org/uniprot/Q921M3", "Q921M3")</f>
        <v>Q921M3</v>
      </c>
      <c r="M833" t="s">
        <v>10040</v>
      </c>
      <c r="N833" t="str">
        <f>"Sf3b3"</f>
        <v>Sf3b3</v>
      </c>
      <c r="O833" s="3" t="str">
        <f>HYPERLINK("http://www.informatics.jax.org/marker/MGI:1289341", "MGI:1289341")</f>
        <v>MGI:1289341</v>
      </c>
      <c r="P833" t="s">
        <v>10041</v>
      </c>
      <c r="Q833" t="s">
        <v>2139</v>
      </c>
      <c r="R833" t="s">
        <v>2140</v>
      </c>
      <c r="S833" t="s">
        <v>41</v>
      </c>
      <c r="T833" t="s">
        <v>32</v>
      </c>
      <c r="U833" t="s">
        <v>32</v>
      </c>
      <c r="V833" t="s">
        <v>32</v>
      </c>
      <c r="W833" t="s">
        <v>32</v>
      </c>
      <c r="X833" t="s">
        <v>32</v>
      </c>
      <c r="Y833" t="s">
        <v>618</v>
      </c>
      <c r="Z833" t="s">
        <v>126</v>
      </c>
      <c r="AA833" t="s">
        <v>10042</v>
      </c>
      <c r="AB833" t="s">
        <v>10043</v>
      </c>
      <c r="AC833" t="s">
        <v>10044</v>
      </c>
      <c r="AD833" t="s">
        <v>32</v>
      </c>
      <c r="AE833" t="s">
        <v>7167</v>
      </c>
      <c r="AF833" t="s">
        <v>46835</v>
      </c>
    </row>
    <row r="834" spans="1:32" x14ac:dyDescent="0.2">
      <c r="A834">
        <v>829</v>
      </c>
      <c r="B834" t="s">
        <v>10045</v>
      </c>
      <c r="C834" t="s">
        <v>10046</v>
      </c>
      <c r="D834" t="s">
        <v>32</v>
      </c>
      <c r="E834" t="s">
        <v>10047</v>
      </c>
      <c r="F834" t="s">
        <v>10048</v>
      </c>
      <c r="G834" t="s">
        <v>10049</v>
      </c>
      <c r="H834" t="str">
        <f>"Osbp"</f>
        <v>Osbp</v>
      </c>
      <c r="I834" t="s">
        <v>10050</v>
      </c>
      <c r="J834" t="s">
        <v>37</v>
      </c>
      <c r="K834">
        <v>10090</v>
      </c>
      <c r="L834" s="3" t="str">
        <f>HYPERLINK("http://www.uniprot.org/uniprot/Q3B7Z2", "Q3B7Z2")</f>
        <v>Q3B7Z2</v>
      </c>
      <c r="M834" t="s">
        <v>10051</v>
      </c>
      <c r="N834" t="str">
        <f>"Osbp"</f>
        <v>Osbp</v>
      </c>
      <c r="O834" s="3" t="str">
        <f>HYPERLINK("http://www.informatics.jax.org/marker/MGI:97447", "MGI:97447")</f>
        <v>MGI:97447</v>
      </c>
      <c r="P834" t="s">
        <v>10052</v>
      </c>
      <c r="Q834" t="s">
        <v>582</v>
      </c>
      <c r="R834" t="s">
        <v>10053</v>
      </c>
      <c r="S834" t="s">
        <v>41</v>
      </c>
      <c r="T834" t="s">
        <v>32</v>
      </c>
      <c r="U834" t="s">
        <v>32</v>
      </c>
      <c r="V834" t="s">
        <v>290</v>
      </c>
      <c r="W834" t="s">
        <v>584</v>
      </c>
      <c r="X834" t="s">
        <v>32</v>
      </c>
      <c r="Y834" t="s">
        <v>157</v>
      </c>
      <c r="Z834" t="s">
        <v>32</v>
      </c>
      <c r="AA834" t="s">
        <v>10054</v>
      </c>
      <c r="AB834" t="s">
        <v>10055</v>
      </c>
      <c r="AC834" t="s">
        <v>10056</v>
      </c>
      <c r="AD834" t="s">
        <v>32</v>
      </c>
      <c r="AE834" t="s">
        <v>10057</v>
      </c>
      <c r="AF834" t="s">
        <v>46835</v>
      </c>
    </row>
    <row r="835" spans="1:32" x14ac:dyDescent="0.2">
      <c r="A835">
        <v>830</v>
      </c>
      <c r="B835" t="s">
        <v>10058</v>
      </c>
      <c r="C835" t="s">
        <v>10059</v>
      </c>
      <c r="D835" t="s">
        <v>10060</v>
      </c>
      <c r="E835" t="s">
        <v>10061</v>
      </c>
      <c r="F835" t="s">
        <v>10062</v>
      </c>
      <c r="G835" t="s">
        <v>10063</v>
      </c>
      <c r="H835" t="str">
        <f>"Nit2"</f>
        <v>Nit2</v>
      </c>
      <c r="I835" t="s">
        <v>10064</v>
      </c>
      <c r="J835" t="s">
        <v>37</v>
      </c>
      <c r="K835">
        <v>10090</v>
      </c>
      <c r="L835" s="3" t="str">
        <f>HYPERLINK("http://www.uniprot.org/uniprot/Q9JHW2", "Q9JHW2")</f>
        <v>Q9JHW2</v>
      </c>
      <c r="M835" t="s">
        <v>10065</v>
      </c>
      <c r="N835" t="str">
        <f>"Nit2"</f>
        <v>Nit2</v>
      </c>
      <c r="O835" s="3" t="str">
        <f>HYPERLINK("http://www.informatics.jax.org/marker/MGI:1261838", "MGI:1261838")</f>
        <v>MGI:1261838</v>
      </c>
      <c r="P835" t="s">
        <v>10066</v>
      </c>
      <c r="Q835" t="s">
        <v>32</v>
      </c>
      <c r="R835" t="s">
        <v>418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343</v>
      </c>
      <c r="Y835" t="s">
        <v>157</v>
      </c>
      <c r="Z835" t="s">
        <v>126</v>
      </c>
      <c r="AA835" t="s">
        <v>10067</v>
      </c>
      <c r="AB835" t="s">
        <v>10068</v>
      </c>
      <c r="AC835" t="s">
        <v>10069</v>
      </c>
      <c r="AD835" t="s">
        <v>32</v>
      </c>
      <c r="AE835" t="s">
        <v>548</v>
      </c>
      <c r="AF835" t="s">
        <v>46835</v>
      </c>
    </row>
    <row r="836" spans="1:32" x14ac:dyDescent="0.2">
      <c r="A836">
        <v>831</v>
      </c>
      <c r="B836" t="s">
        <v>10070</v>
      </c>
      <c r="C836" t="s">
        <v>10071</v>
      </c>
      <c r="D836" t="s">
        <v>10072</v>
      </c>
      <c r="E836" t="s">
        <v>10073</v>
      </c>
      <c r="F836" t="s">
        <v>10074</v>
      </c>
      <c r="G836" t="s">
        <v>10075</v>
      </c>
      <c r="H836" t="str">
        <f>"Ddx39b"</f>
        <v>Ddx39b</v>
      </c>
      <c r="I836" t="s">
        <v>10076</v>
      </c>
      <c r="J836" t="s">
        <v>37</v>
      </c>
      <c r="K836">
        <v>10090</v>
      </c>
      <c r="L836" s="3" t="str">
        <f>HYPERLINK("http://www.uniprot.org/uniprot/Q9Z1N5", "Q9Z1N5")</f>
        <v>Q9Z1N5</v>
      </c>
      <c r="M836" t="s">
        <v>10077</v>
      </c>
      <c r="N836" t="str">
        <f>"Ddx39b"</f>
        <v>Ddx39b</v>
      </c>
      <c r="O836" s="3" t="str">
        <f>HYPERLINK("http://www.informatics.jax.org/marker/MGI:99240", "MGI:99240")</f>
        <v>MGI:99240</v>
      </c>
      <c r="P836" t="s">
        <v>10078</v>
      </c>
      <c r="Q836" t="s">
        <v>1127</v>
      </c>
      <c r="R836" t="s">
        <v>2219</v>
      </c>
      <c r="S836" t="s">
        <v>32</v>
      </c>
      <c r="T836" t="s">
        <v>32</v>
      </c>
      <c r="U836" t="s">
        <v>32</v>
      </c>
      <c r="V836" t="s">
        <v>32</v>
      </c>
      <c r="W836" t="s">
        <v>205</v>
      </c>
      <c r="X836" t="s">
        <v>5050</v>
      </c>
      <c r="Y836" t="s">
        <v>516</v>
      </c>
      <c r="Z836" t="s">
        <v>32</v>
      </c>
      <c r="AA836" t="s">
        <v>10079</v>
      </c>
      <c r="AB836" t="s">
        <v>10080</v>
      </c>
      <c r="AC836" t="s">
        <v>10081</v>
      </c>
      <c r="AD836" t="s">
        <v>32</v>
      </c>
      <c r="AE836" t="s">
        <v>10082</v>
      </c>
      <c r="AF836" t="s">
        <v>46835</v>
      </c>
    </row>
    <row r="837" spans="1:32" x14ac:dyDescent="0.2">
      <c r="A837">
        <v>832</v>
      </c>
      <c r="B837" t="s">
        <v>10083</v>
      </c>
      <c r="C837" t="s">
        <v>10084</v>
      </c>
      <c r="D837" t="s">
        <v>32</v>
      </c>
      <c r="E837" t="s">
        <v>10085</v>
      </c>
      <c r="F837" t="s">
        <v>10086</v>
      </c>
      <c r="G837" t="s">
        <v>10087</v>
      </c>
      <c r="H837" t="str">
        <f>"Fn1"</f>
        <v>Fn1</v>
      </c>
      <c r="I837" t="s">
        <v>32</v>
      </c>
      <c r="J837" t="s">
        <v>37</v>
      </c>
      <c r="K837">
        <v>10090</v>
      </c>
      <c r="L837" s="3" t="str">
        <f>HYPERLINK("http://www.uniprot.org/uniprot/P11276", "P11276")</f>
        <v>P11276</v>
      </c>
      <c r="M837" t="s">
        <v>10088</v>
      </c>
      <c r="N837" t="str">
        <f>"Fn1"</f>
        <v>Fn1</v>
      </c>
      <c r="O837" s="3" t="str">
        <f>HYPERLINK("http://www.informatics.jax.org/marker/MGI:95566", "MGI:95566")</f>
        <v>MGI:95566</v>
      </c>
      <c r="P837" t="s">
        <v>10089</v>
      </c>
      <c r="Q837" t="s">
        <v>10090</v>
      </c>
      <c r="R837" t="s">
        <v>5586</v>
      </c>
      <c r="S837" t="s">
        <v>41</v>
      </c>
      <c r="T837" t="s">
        <v>32</v>
      </c>
      <c r="U837" t="s">
        <v>32</v>
      </c>
      <c r="V837" t="s">
        <v>478</v>
      </c>
      <c r="W837" t="s">
        <v>32</v>
      </c>
      <c r="X837" t="s">
        <v>5246</v>
      </c>
      <c r="Y837" t="s">
        <v>10091</v>
      </c>
      <c r="Z837" t="s">
        <v>126</v>
      </c>
      <c r="AA837" t="s">
        <v>10092</v>
      </c>
      <c r="AB837" t="s">
        <v>10093</v>
      </c>
      <c r="AC837" t="s">
        <v>10094</v>
      </c>
      <c r="AD837" t="s">
        <v>32</v>
      </c>
      <c r="AE837" t="s">
        <v>10095</v>
      </c>
      <c r="AF837" t="s">
        <v>46835</v>
      </c>
    </row>
    <row r="838" spans="1:32" x14ac:dyDescent="0.2">
      <c r="A838">
        <v>833</v>
      </c>
      <c r="B838" t="s">
        <v>10096</v>
      </c>
      <c r="C838" t="s">
        <v>10097</v>
      </c>
      <c r="D838" t="s">
        <v>32</v>
      </c>
      <c r="E838" t="s">
        <v>10098</v>
      </c>
      <c r="F838" t="s">
        <v>10099</v>
      </c>
      <c r="G838" t="s">
        <v>10100</v>
      </c>
      <c r="H838" t="str">
        <f>"Pxdn"</f>
        <v>Pxdn</v>
      </c>
      <c r="I838" t="s">
        <v>10101</v>
      </c>
      <c r="J838" t="s">
        <v>37</v>
      </c>
      <c r="K838">
        <v>10090</v>
      </c>
      <c r="L838" s="3" t="str">
        <f>HYPERLINK("http://www.uniprot.org/uniprot/Q3UQ28", "Q3UQ28")</f>
        <v>Q3UQ28</v>
      </c>
      <c r="M838" t="s">
        <v>10102</v>
      </c>
      <c r="N838" t="str">
        <f>"Pxdn"</f>
        <v>Pxdn</v>
      </c>
      <c r="O838" s="3" t="str">
        <f>HYPERLINK("http://www.informatics.jax.org/marker/MGI:1916925", "MGI:1916925")</f>
        <v>MGI:1916925</v>
      </c>
      <c r="P838" t="s">
        <v>10103</v>
      </c>
      <c r="Q838" t="s">
        <v>10104</v>
      </c>
      <c r="R838" t="s">
        <v>10105</v>
      </c>
      <c r="S838" t="s">
        <v>32</v>
      </c>
      <c r="T838" t="s">
        <v>32</v>
      </c>
      <c r="U838" t="s">
        <v>32</v>
      </c>
      <c r="V838" t="s">
        <v>10106</v>
      </c>
      <c r="W838" t="s">
        <v>10107</v>
      </c>
      <c r="X838" t="s">
        <v>8574</v>
      </c>
      <c r="Y838" t="s">
        <v>2865</v>
      </c>
      <c r="Z838" t="s">
        <v>32</v>
      </c>
      <c r="AA838" t="s">
        <v>10108</v>
      </c>
      <c r="AB838" t="s">
        <v>10109</v>
      </c>
      <c r="AC838" t="s">
        <v>10110</v>
      </c>
      <c r="AD838" t="s">
        <v>32</v>
      </c>
      <c r="AE838" t="s">
        <v>10111</v>
      </c>
      <c r="AF838" t="s">
        <v>46835</v>
      </c>
    </row>
    <row r="839" spans="1:32" x14ac:dyDescent="0.2">
      <c r="A839">
        <v>834</v>
      </c>
      <c r="B839" t="s">
        <v>10112</v>
      </c>
      <c r="C839" t="s">
        <v>10113</v>
      </c>
      <c r="D839" t="s">
        <v>32</v>
      </c>
      <c r="E839" t="s">
        <v>10114</v>
      </c>
      <c r="F839" t="s">
        <v>10115</v>
      </c>
      <c r="G839" t="s">
        <v>10116</v>
      </c>
      <c r="H839" t="str">
        <f>"Eif2a"</f>
        <v>Eif2a</v>
      </c>
      <c r="I839" t="s">
        <v>10117</v>
      </c>
      <c r="J839" t="s">
        <v>37</v>
      </c>
      <c r="K839">
        <v>10090</v>
      </c>
      <c r="L839" s="3" t="str">
        <f>HYPERLINK("http://www.uniprot.org/uniprot/Q8BJW6", "Q8BJW6")</f>
        <v>Q8BJW6</v>
      </c>
      <c r="M839" t="s">
        <v>10118</v>
      </c>
      <c r="N839" t="str">
        <f>"Eif2a"</f>
        <v>Eif2a</v>
      </c>
      <c r="O839" s="3" t="str">
        <f>HYPERLINK("http://www.informatics.jax.org/marker/MGI:1098684", "MGI:1098684")</f>
        <v>MGI:1098684</v>
      </c>
      <c r="P839" t="s">
        <v>10119</v>
      </c>
      <c r="Q839" t="s">
        <v>2324</v>
      </c>
      <c r="R839" t="s">
        <v>32</v>
      </c>
      <c r="S839" t="s">
        <v>41</v>
      </c>
      <c r="T839" t="s">
        <v>32</v>
      </c>
      <c r="U839" t="s">
        <v>32</v>
      </c>
      <c r="V839" t="s">
        <v>3167</v>
      </c>
      <c r="W839" t="s">
        <v>32</v>
      </c>
      <c r="X839" t="s">
        <v>2675</v>
      </c>
      <c r="Y839" t="s">
        <v>157</v>
      </c>
      <c r="Z839" t="s">
        <v>32</v>
      </c>
      <c r="AA839" t="s">
        <v>10120</v>
      </c>
      <c r="AB839" t="s">
        <v>10121</v>
      </c>
      <c r="AC839" t="s">
        <v>10122</v>
      </c>
      <c r="AD839" t="s">
        <v>32</v>
      </c>
      <c r="AE839" t="s">
        <v>32</v>
      </c>
      <c r="AF839" t="s">
        <v>46835</v>
      </c>
    </row>
    <row r="840" spans="1:32" x14ac:dyDescent="0.2">
      <c r="A840">
        <v>835</v>
      </c>
      <c r="B840" t="s">
        <v>10123</v>
      </c>
      <c r="C840" t="s">
        <v>10124</v>
      </c>
      <c r="D840" t="s">
        <v>10125</v>
      </c>
      <c r="E840" t="s">
        <v>10126</v>
      </c>
      <c r="F840" t="s">
        <v>10127</v>
      </c>
      <c r="G840" t="s">
        <v>10128</v>
      </c>
      <c r="H840" t="str">
        <f>"Puf60"</f>
        <v>Puf60</v>
      </c>
      <c r="I840" t="s">
        <v>32</v>
      </c>
      <c r="J840" t="s">
        <v>37</v>
      </c>
      <c r="K840">
        <v>10090</v>
      </c>
      <c r="L840" s="3" t="str">
        <f>HYPERLINK("http://www.uniprot.org/uniprot/Q3UEB3", "Q3UEB3")</f>
        <v>Q3UEB3</v>
      </c>
      <c r="M840" t="s">
        <v>10129</v>
      </c>
      <c r="N840" t="str">
        <f>"Puf60"</f>
        <v>Puf60</v>
      </c>
      <c r="O840" s="3" t="str">
        <f>HYPERLINK("http://www.informatics.jax.org/marker/MGI:1915209", "MGI:1915209")</f>
        <v>MGI:1915209</v>
      </c>
      <c r="P840" t="s">
        <v>10130</v>
      </c>
      <c r="Q840" t="s">
        <v>10131</v>
      </c>
      <c r="R840" t="s">
        <v>2279</v>
      </c>
      <c r="S840" t="s">
        <v>41</v>
      </c>
      <c r="T840" t="s">
        <v>32</v>
      </c>
      <c r="U840" t="s">
        <v>32</v>
      </c>
      <c r="V840" t="s">
        <v>55</v>
      </c>
      <c r="W840" t="s">
        <v>32</v>
      </c>
      <c r="X840" t="s">
        <v>10132</v>
      </c>
      <c r="Y840" t="s">
        <v>516</v>
      </c>
      <c r="Z840" t="s">
        <v>32</v>
      </c>
      <c r="AA840" t="s">
        <v>10133</v>
      </c>
      <c r="AB840" t="s">
        <v>10134</v>
      </c>
      <c r="AC840" t="s">
        <v>10135</v>
      </c>
      <c r="AD840" t="s">
        <v>32</v>
      </c>
      <c r="AE840" t="s">
        <v>946</v>
      </c>
      <c r="AF840" t="s">
        <v>46835</v>
      </c>
    </row>
    <row r="841" spans="1:32" x14ac:dyDescent="0.2">
      <c r="A841">
        <v>836</v>
      </c>
      <c r="B841" t="s">
        <v>10136</v>
      </c>
      <c r="C841" t="s">
        <v>10137</v>
      </c>
      <c r="D841" t="s">
        <v>10138</v>
      </c>
      <c r="E841" t="s">
        <v>10139</v>
      </c>
      <c r="F841" t="s">
        <v>10140</v>
      </c>
      <c r="G841" t="s">
        <v>10141</v>
      </c>
      <c r="H841" t="str">
        <f>"Usp47"</f>
        <v>Usp47</v>
      </c>
      <c r="I841" t="s">
        <v>32</v>
      </c>
      <c r="J841" t="s">
        <v>37</v>
      </c>
      <c r="K841">
        <v>10090</v>
      </c>
      <c r="L841" s="3" t="str">
        <f>HYPERLINK("http://www.uniprot.org/uniprot/Q8BY87", "Q8BY87")</f>
        <v>Q8BY87</v>
      </c>
      <c r="M841" t="s">
        <v>10142</v>
      </c>
      <c r="N841" t="str">
        <f>"Usp47"</f>
        <v>Usp47</v>
      </c>
      <c r="O841" s="3" t="str">
        <f>HYPERLINK("http://www.informatics.jax.org/marker/MGI:1922246", "MGI:1922246")</f>
        <v>MGI:1922246</v>
      </c>
      <c r="P841" t="s">
        <v>10143</v>
      </c>
      <c r="Q841" t="s">
        <v>3400</v>
      </c>
      <c r="R841" t="s">
        <v>418</v>
      </c>
      <c r="S841" t="s">
        <v>41</v>
      </c>
      <c r="T841" t="s">
        <v>32</v>
      </c>
      <c r="U841" t="s">
        <v>32</v>
      </c>
      <c r="V841" t="s">
        <v>32</v>
      </c>
      <c r="W841" t="s">
        <v>32</v>
      </c>
      <c r="X841" t="s">
        <v>557</v>
      </c>
      <c r="Y841" t="s">
        <v>157</v>
      </c>
      <c r="Z841" t="s">
        <v>32</v>
      </c>
      <c r="AA841" t="s">
        <v>10144</v>
      </c>
      <c r="AB841" t="s">
        <v>10145</v>
      </c>
      <c r="AC841" t="s">
        <v>10146</v>
      </c>
      <c r="AD841" t="s">
        <v>32</v>
      </c>
      <c r="AE841" t="s">
        <v>6333</v>
      </c>
      <c r="AF841" t="s">
        <v>46835</v>
      </c>
    </row>
    <row r="842" spans="1:32" x14ac:dyDescent="0.2">
      <c r="A842">
        <v>837</v>
      </c>
      <c r="B842" t="s">
        <v>10147</v>
      </c>
      <c r="C842" t="s">
        <v>10148</v>
      </c>
      <c r="D842" t="s">
        <v>10149</v>
      </c>
      <c r="E842" t="s">
        <v>10150</v>
      </c>
      <c r="F842" t="s">
        <v>10151</v>
      </c>
      <c r="G842" t="s">
        <v>10152</v>
      </c>
      <c r="H842" t="str">
        <f>"Hmbs"</f>
        <v>Hmbs</v>
      </c>
      <c r="I842" t="s">
        <v>10153</v>
      </c>
      <c r="J842" t="s">
        <v>37</v>
      </c>
      <c r="K842">
        <v>10090</v>
      </c>
      <c r="L842" s="3" t="str">
        <f>HYPERLINK("http://www.uniprot.org/uniprot/P22907", "P22907")</f>
        <v>P22907</v>
      </c>
      <c r="M842" t="s">
        <v>10154</v>
      </c>
      <c r="N842" t="str">
        <f>"Hmbs"</f>
        <v>Hmbs</v>
      </c>
      <c r="O842" s="3" t="str">
        <f>HYPERLINK("http://www.informatics.jax.org/marker/MGI:96112", "MGI:96112")</f>
        <v>MGI:96112</v>
      </c>
      <c r="P842" t="s">
        <v>10155</v>
      </c>
      <c r="Q842" t="s">
        <v>10156</v>
      </c>
      <c r="R842" t="s">
        <v>32</v>
      </c>
      <c r="S842" t="s">
        <v>41</v>
      </c>
      <c r="T842" t="s">
        <v>32</v>
      </c>
      <c r="U842" t="s">
        <v>32</v>
      </c>
      <c r="V842" t="s">
        <v>32</v>
      </c>
      <c r="W842" t="s">
        <v>32</v>
      </c>
      <c r="X842" t="s">
        <v>515</v>
      </c>
      <c r="Y842" t="s">
        <v>157</v>
      </c>
      <c r="Z842" t="s">
        <v>32</v>
      </c>
      <c r="AA842" t="s">
        <v>10157</v>
      </c>
      <c r="AB842" t="s">
        <v>10158</v>
      </c>
      <c r="AC842" t="s">
        <v>10159</v>
      </c>
      <c r="AD842" t="s">
        <v>10160</v>
      </c>
      <c r="AE842" t="s">
        <v>10161</v>
      </c>
      <c r="AF842" t="s">
        <v>46835</v>
      </c>
    </row>
    <row r="843" spans="1:32" x14ac:dyDescent="0.2">
      <c r="A843">
        <v>838</v>
      </c>
      <c r="B843" t="s">
        <v>10162</v>
      </c>
      <c r="C843" t="s">
        <v>10163</v>
      </c>
      <c r="D843" t="s">
        <v>10164</v>
      </c>
      <c r="E843" t="s">
        <v>10165</v>
      </c>
      <c r="F843" t="s">
        <v>10166</v>
      </c>
      <c r="G843" t="s">
        <v>32</v>
      </c>
      <c r="H843" t="str">
        <f>"Ppp2r2a"</f>
        <v>Ppp2r2a</v>
      </c>
      <c r="I843" t="s">
        <v>32</v>
      </c>
      <c r="J843" t="s">
        <v>37</v>
      </c>
      <c r="K843">
        <v>10090</v>
      </c>
      <c r="L843" s="3" t="str">
        <f>HYPERLINK("http://www.uniprot.org/uniprot/Q6P1F6", "Q6P1F6")</f>
        <v>Q6P1F6</v>
      </c>
      <c r="M843" t="s">
        <v>10167</v>
      </c>
      <c r="N843" t="str">
        <f>"Ppp2r2a"</f>
        <v>Ppp2r2a</v>
      </c>
      <c r="O843" s="3" t="str">
        <f>HYPERLINK("http://www.informatics.jax.org/marker/MGI:1919228", "MGI:1919228")</f>
        <v>MGI:1919228</v>
      </c>
      <c r="P843" t="s">
        <v>10168</v>
      </c>
      <c r="Q843" t="s">
        <v>32</v>
      </c>
      <c r="R843" t="s">
        <v>32</v>
      </c>
      <c r="S843" t="s">
        <v>32</v>
      </c>
      <c r="T843" t="s">
        <v>32</v>
      </c>
      <c r="U843" t="s">
        <v>32</v>
      </c>
      <c r="V843" t="s">
        <v>1910</v>
      </c>
      <c r="W843" t="s">
        <v>32</v>
      </c>
      <c r="X843" t="s">
        <v>32</v>
      </c>
      <c r="Y843" t="s">
        <v>78</v>
      </c>
      <c r="Z843" t="s">
        <v>32</v>
      </c>
      <c r="AA843" t="s">
        <v>10169</v>
      </c>
      <c r="AB843" t="s">
        <v>10170</v>
      </c>
      <c r="AC843" t="s">
        <v>10171</v>
      </c>
      <c r="AD843" t="s">
        <v>32</v>
      </c>
      <c r="AE843" t="s">
        <v>10172</v>
      </c>
      <c r="AF843" t="s">
        <v>46835</v>
      </c>
    </row>
    <row r="844" spans="1:32" x14ac:dyDescent="0.2">
      <c r="A844">
        <v>839</v>
      </c>
      <c r="B844" t="s">
        <v>10173</v>
      </c>
      <c r="C844" t="s">
        <v>10174</v>
      </c>
      <c r="D844" t="s">
        <v>10175</v>
      </c>
      <c r="E844" t="s">
        <v>10176</v>
      </c>
      <c r="F844" t="s">
        <v>10177</v>
      </c>
      <c r="G844" t="s">
        <v>10178</v>
      </c>
      <c r="H844" t="str">
        <f>"Adrm1"</f>
        <v>Adrm1</v>
      </c>
      <c r="I844" t="s">
        <v>10179</v>
      </c>
      <c r="J844" t="s">
        <v>37</v>
      </c>
      <c r="K844">
        <v>10090</v>
      </c>
      <c r="L844" s="3" t="str">
        <f>HYPERLINK("http://www.uniprot.org/uniprot/Q9JKV1", "Q9JKV1")</f>
        <v>Q9JKV1</v>
      </c>
      <c r="M844" t="s">
        <v>10180</v>
      </c>
      <c r="N844" t="str">
        <f>"Adrm1"</f>
        <v>Adrm1</v>
      </c>
      <c r="O844" s="3" t="str">
        <f>HYPERLINK("http://www.informatics.jax.org/marker/MGI:1929289", "MGI:1929289")</f>
        <v>MGI:1929289</v>
      </c>
      <c r="P844" t="s">
        <v>10181</v>
      </c>
      <c r="Q844" t="s">
        <v>32</v>
      </c>
      <c r="R844" t="s">
        <v>2586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32</v>
      </c>
      <c r="Y844" t="s">
        <v>516</v>
      </c>
      <c r="Z844" t="s">
        <v>126</v>
      </c>
      <c r="AA844" t="s">
        <v>10182</v>
      </c>
      <c r="AB844" t="s">
        <v>10183</v>
      </c>
      <c r="AC844" t="s">
        <v>10184</v>
      </c>
      <c r="AD844" t="s">
        <v>32</v>
      </c>
      <c r="AE844" t="s">
        <v>10185</v>
      </c>
      <c r="AF844" t="s">
        <v>46835</v>
      </c>
    </row>
    <row r="845" spans="1:32" x14ac:dyDescent="0.2">
      <c r="A845">
        <v>840</v>
      </c>
      <c r="B845" t="s">
        <v>10186</v>
      </c>
      <c r="C845" t="s">
        <v>10187</v>
      </c>
      <c r="D845" t="s">
        <v>32</v>
      </c>
      <c r="E845" t="s">
        <v>10188</v>
      </c>
      <c r="F845" t="s">
        <v>10189</v>
      </c>
      <c r="G845" t="s">
        <v>10190</v>
      </c>
      <c r="H845" t="str">
        <f>"Rps28"</f>
        <v>Rps28</v>
      </c>
      <c r="I845" t="s">
        <v>32</v>
      </c>
      <c r="J845" t="s">
        <v>37</v>
      </c>
      <c r="K845">
        <v>10090</v>
      </c>
      <c r="L845" s="3" t="str">
        <f>HYPERLINK("http://www.uniprot.org/uniprot/P62858", "P62858")</f>
        <v>P62858</v>
      </c>
      <c r="M845" t="s">
        <v>10191</v>
      </c>
      <c r="N845" t="str">
        <f>"Rps28"</f>
        <v>Rps28</v>
      </c>
      <c r="O845" s="3" t="str">
        <f>HYPERLINK("http://www.informatics.jax.org/marker/MGI:1859516", "MGI:1859516")</f>
        <v>MGI:1859516</v>
      </c>
      <c r="P845" t="s">
        <v>10192</v>
      </c>
      <c r="Q845" t="s">
        <v>32</v>
      </c>
      <c r="R845" t="s">
        <v>874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447</v>
      </c>
      <c r="Y845" t="s">
        <v>157</v>
      </c>
      <c r="Z845" t="s">
        <v>126</v>
      </c>
      <c r="AA845" t="s">
        <v>10193</v>
      </c>
      <c r="AB845" t="s">
        <v>6156</v>
      </c>
      <c r="AC845" t="s">
        <v>1010</v>
      </c>
      <c r="AD845" t="s">
        <v>32</v>
      </c>
      <c r="AE845" t="s">
        <v>691</v>
      </c>
      <c r="AF845" t="s">
        <v>46835</v>
      </c>
    </row>
    <row r="846" spans="1:32" x14ac:dyDescent="0.2">
      <c r="A846">
        <v>841</v>
      </c>
      <c r="B846" t="s">
        <v>10194</v>
      </c>
      <c r="C846" t="s">
        <v>10195</v>
      </c>
      <c r="D846" t="s">
        <v>10196</v>
      </c>
      <c r="E846" t="s">
        <v>10197</v>
      </c>
      <c r="F846" t="s">
        <v>10198</v>
      </c>
      <c r="G846" t="s">
        <v>10199</v>
      </c>
      <c r="H846" t="str">
        <f>"Txndc12"</f>
        <v>Txndc12</v>
      </c>
      <c r="I846" t="s">
        <v>10200</v>
      </c>
      <c r="J846" t="s">
        <v>37</v>
      </c>
      <c r="K846">
        <v>10090</v>
      </c>
      <c r="L846" s="3" t="str">
        <f>HYPERLINK("http://www.uniprot.org/uniprot/Q9CQU0", "Q9CQU0")</f>
        <v>Q9CQU0</v>
      </c>
      <c r="M846" t="s">
        <v>10201</v>
      </c>
      <c r="N846" t="str">
        <f>"Txndc12"</f>
        <v>Txndc12</v>
      </c>
      <c r="O846" s="3" t="str">
        <f>HYPERLINK("http://www.informatics.jax.org/marker/MGI:1913323", "MGI:1913323")</f>
        <v>MGI:1913323</v>
      </c>
      <c r="P846" t="s">
        <v>10202</v>
      </c>
      <c r="Q846" t="s">
        <v>32</v>
      </c>
      <c r="R846" t="s">
        <v>671</v>
      </c>
      <c r="S846" t="s">
        <v>32</v>
      </c>
      <c r="T846" t="s">
        <v>32</v>
      </c>
      <c r="U846" t="s">
        <v>32</v>
      </c>
      <c r="V846" t="s">
        <v>10203</v>
      </c>
      <c r="W846" t="s">
        <v>32</v>
      </c>
      <c r="X846" t="s">
        <v>600</v>
      </c>
      <c r="Y846" t="s">
        <v>5275</v>
      </c>
      <c r="Z846" t="s">
        <v>32</v>
      </c>
      <c r="AA846" t="s">
        <v>10204</v>
      </c>
      <c r="AB846" t="s">
        <v>4722</v>
      </c>
      <c r="AC846" t="s">
        <v>10205</v>
      </c>
      <c r="AD846" t="s">
        <v>32</v>
      </c>
      <c r="AE846" t="s">
        <v>32</v>
      </c>
      <c r="AF846" t="s">
        <v>46835</v>
      </c>
    </row>
    <row r="847" spans="1:32" x14ac:dyDescent="0.2">
      <c r="A847">
        <v>842</v>
      </c>
      <c r="B847" t="s">
        <v>10206</v>
      </c>
      <c r="C847" t="s">
        <v>10207</v>
      </c>
      <c r="D847" t="s">
        <v>10208</v>
      </c>
      <c r="E847" t="s">
        <v>10209</v>
      </c>
      <c r="F847" t="s">
        <v>10210</v>
      </c>
      <c r="G847" t="s">
        <v>10211</v>
      </c>
      <c r="H847" t="str">
        <f>"Hmga1"</f>
        <v>Hmga1</v>
      </c>
      <c r="I847" t="s">
        <v>10212</v>
      </c>
      <c r="J847" t="s">
        <v>37</v>
      </c>
      <c r="K847">
        <v>10090</v>
      </c>
      <c r="L847" s="3" t="str">
        <f>HYPERLINK("http://www.uniprot.org/uniprot/P17095", "P17095")</f>
        <v>P17095</v>
      </c>
      <c r="M847" t="s">
        <v>10213</v>
      </c>
      <c r="N847" t="str">
        <f>"Hmga1"</f>
        <v>Hmga1</v>
      </c>
      <c r="O847" s="3" t="str">
        <f>HYPERLINK("http://www.informatics.jax.org/marker/MGI:96160", "MGI:96160")</f>
        <v>MGI:96160</v>
      </c>
      <c r="P847" t="s">
        <v>10214</v>
      </c>
      <c r="Q847" t="s">
        <v>4152</v>
      </c>
      <c r="R847" t="s">
        <v>1939</v>
      </c>
      <c r="S847" t="s">
        <v>41</v>
      </c>
      <c r="T847" t="s">
        <v>32</v>
      </c>
      <c r="U847" t="s">
        <v>32</v>
      </c>
      <c r="V847" t="s">
        <v>55</v>
      </c>
      <c r="W847" t="s">
        <v>32</v>
      </c>
      <c r="X847" t="s">
        <v>247</v>
      </c>
      <c r="Y847" t="s">
        <v>9800</v>
      </c>
      <c r="Z847" t="s">
        <v>32</v>
      </c>
      <c r="AA847" t="s">
        <v>10215</v>
      </c>
      <c r="AB847" t="s">
        <v>10216</v>
      </c>
      <c r="AC847" t="s">
        <v>10217</v>
      </c>
      <c r="AD847" t="s">
        <v>32</v>
      </c>
      <c r="AE847" t="s">
        <v>8436</v>
      </c>
      <c r="AF847" t="s">
        <v>46835</v>
      </c>
    </row>
    <row r="848" spans="1:32" x14ac:dyDescent="0.2">
      <c r="A848">
        <v>843</v>
      </c>
      <c r="B848" t="s">
        <v>10218</v>
      </c>
      <c r="C848" t="s">
        <v>10219</v>
      </c>
      <c r="D848" t="s">
        <v>10220</v>
      </c>
      <c r="E848" t="s">
        <v>10221</v>
      </c>
      <c r="F848" t="s">
        <v>10222</v>
      </c>
      <c r="G848" t="s">
        <v>10223</v>
      </c>
      <c r="H848" t="str">
        <f>"Eif3k"</f>
        <v>Eif3k</v>
      </c>
      <c r="I848" t="s">
        <v>10224</v>
      </c>
      <c r="J848" t="s">
        <v>37</v>
      </c>
      <c r="K848">
        <v>10090</v>
      </c>
      <c r="L848" s="3" t="str">
        <f>HYPERLINK("http://www.uniprot.org/uniprot/Q9DBZ5", "Q9DBZ5")</f>
        <v>Q9DBZ5</v>
      </c>
      <c r="M848" t="s">
        <v>10225</v>
      </c>
      <c r="N848" t="str">
        <f>"Eif3k"</f>
        <v>Eif3k</v>
      </c>
      <c r="O848" s="3" t="str">
        <f>HYPERLINK("http://www.informatics.jax.org/marker/MGI:1921080", "MGI:1921080")</f>
        <v>MGI:1921080</v>
      </c>
      <c r="P848" t="s">
        <v>10226</v>
      </c>
      <c r="Q848" t="s">
        <v>260</v>
      </c>
      <c r="R848" t="s">
        <v>40</v>
      </c>
      <c r="S848" t="s">
        <v>41</v>
      </c>
      <c r="T848" t="s">
        <v>32</v>
      </c>
      <c r="U848" t="s">
        <v>32</v>
      </c>
      <c r="V848" t="s">
        <v>32</v>
      </c>
      <c r="W848" t="s">
        <v>32</v>
      </c>
      <c r="X848" t="s">
        <v>2675</v>
      </c>
      <c r="Y848" t="s">
        <v>157</v>
      </c>
      <c r="Z848" t="s">
        <v>32</v>
      </c>
      <c r="AA848" t="s">
        <v>10227</v>
      </c>
      <c r="AB848" t="s">
        <v>10228</v>
      </c>
      <c r="AC848" t="s">
        <v>2575</v>
      </c>
      <c r="AD848" t="s">
        <v>32</v>
      </c>
      <c r="AE848" t="s">
        <v>1570</v>
      </c>
      <c r="AF848" t="s">
        <v>46835</v>
      </c>
    </row>
    <row r="849" spans="1:32" x14ac:dyDescent="0.2">
      <c r="A849">
        <v>844</v>
      </c>
      <c r="B849" t="s">
        <v>10229</v>
      </c>
      <c r="C849" t="s">
        <v>10230</v>
      </c>
      <c r="D849" t="s">
        <v>10231</v>
      </c>
      <c r="E849" t="s">
        <v>10232</v>
      </c>
      <c r="F849" t="s">
        <v>10233</v>
      </c>
      <c r="G849" t="s">
        <v>32</v>
      </c>
      <c r="H849" t="str">
        <f>"Hmgb3"</f>
        <v>Hmgb3</v>
      </c>
      <c r="I849" t="s">
        <v>10234</v>
      </c>
      <c r="J849" t="s">
        <v>37</v>
      </c>
      <c r="K849">
        <v>10090</v>
      </c>
      <c r="L849" s="3" t="str">
        <f>HYPERLINK("http://www.uniprot.org/uniprot/O54879", "O54879")</f>
        <v>O54879</v>
      </c>
      <c r="M849" t="s">
        <v>10235</v>
      </c>
      <c r="N849" t="str">
        <f>"Hmgb3"</f>
        <v>Hmgb3</v>
      </c>
      <c r="O849" s="3" t="str">
        <f>HYPERLINK("http://www.informatics.jax.org/marker/MGI:1098219", "MGI:1098219")</f>
        <v>MGI:1098219</v>
      </c>
      <c r="P849" t="s">
        <v>10236</v>
      </c>
      <c r="Q849" t="s">
        <v>10237</v>
      </c>
      <c r="R849" t="s">
        <v>8375</v>
      </c>
      <c r="S849" t="s">
        <v>32</v>
      </c>
      <c r="T849" t="s">
        <v>32</v>
      </c>
      <c r="U849" t="s">
        <v>32</v>
      </c>
      <c r="V849" t="s">
        <v>55</v>
      </c>
      <c r="W849" t="s">
        <v>32</v>
      </c>
      <c r="X849" t="s">
        <v>247</v>
      </c>
      <c r="Y849" t="s">
        <v>6612</v>
      </c>
      <c r="Z849" t="s">
        <v>32</v>
      </c>
      <c r="AA849" t="s">
        <v>10238</v>
      </c>
      <c r="AB849" t="s">
        <v>10239</v>
      </c>
      <c r="AC849" t="s">
        <v>10240</v>
      </c>
      <c r="AD849" t="s">
        <v>32</v>
      </c>
      <c r="AE849" t="s">
        <v>32</v>
      </c>
      <c r="AF849" t="s">
        <v>46835</v>
      </c>
    </row>
    <row r="850" spans="1:32" x14ac:dyDescent="0.2">
      <c r="A850">
        <v>845</v>
      </c>
      <c r="B850" t="s">
        <v>10241</v>
      </c>
      <c r="C850" t="s">
        <v>10242</v>
      </c>
      <c r="D850" t="s">
        <v>10243</v>
      </c>
      <c r="E850" t="s">
        <v>10244</v>
      </c>
      <c r="F850" t="s">
        <v>10245</v>
      </c>
      <c r="G850" t="s">
        <v>10246</v>
      </c>
      <c r="H850" t="str">
        <f>"Atp6v1c1"</f>
        <v>Atp6v1c1</v>
      </c>
      <c r="I850" t="s">
        <v>10247</v>
      </c>
      <c r="J850" t="s">
        <v>37</v>
      </c>
      <c r="K850">
        <v>10090</v>
      </c>
      <c r="L850" s="3" t="str">
        <f>HYPERLINK("http://www.uniprot.org/uniprot/Q9Z1G3", "Q9Z1G3")</f>
        <v>Q9Z1G3</v>
      </c>
      <c r="M850" t="s">
        <v>10248</v>
      </c>
      <c r="N850" t="str">
        <f>"Atp6v1c1"</f>
        <v>Atp6v1c1</v>
      </c>
      <c r="O850" s="3" t="str">
        <f>HYPERLINK("http://www.informatics.jax.org/marker/MGI:1913585", "MGI:1913585")</f>
        <v>MGI:1913585</v>
      </c>
      <c r="P850" t="s">
        <v>10249</v>
      </c>
      <c r="Q850" t="s">
        <v>4257</v>
      </c>
      <c r="R850" t="s">
        <v>10250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32</v>
      </c>
      <c r="Y850" t="s">
        <v>78</v>
      </c>
      <c r="Z850" t="s">
        <v>32</v>
      </c>
      <c r="AA850" t="s">
        <v>32</v>
      </c>
      <c r="AB850" t="s">
        <v>10251</v>
      </c>
      <c r="AC850" t="s">
        <v>10252</v>
      </c>
      <c r="AD850" t="s">
        <v>32</v>
      </c>
      <c r="AE850" t="s">
        <v>6963</v>
      </c>
      <c r="AF850" t="s">
        <v>46835</v>
      </c>
    </row>
    <row r="851" spans="1:32" x14ac:dyDescent="0.2">
      <c r="A851">
        <v>846</v>
      </c>
      <c r="B851" t="s">
        <v>10253</v>
      </c>
      <c r="C851" t="s">
        <v>10254</v>
      </c>
      <c r="D851" t="s">
        <v>10255</v>
      </c>
      <c r="E851" t="s">
        <v>10256</v>
      </c>
      <c r="F851" t="s">
        <v>10257</v>
      </c>
      <c r="G851" t="s">
        <v>10258</v>
      </c>
      <c r="H851" t="str">
        <f>"Lama1"</f>
        <v>Lama1</v>
      </c>
      <c r="I851" t="s">
        <v>10259</v>
      </c>
      <c r="J851" t="s">
        <v>37</v>
      </c>
      <c r="K851">
        <v>10090</v>
      </c>
      <c r="L851" s="3" t="str">
        <f>HYPERLINK("http://www.uniprot.org/uniprot/P19137", "P19137")</f>
        <v>P19137</v>
      </c>
      <c r="M851" t="s">
        <v>10260</v>
      </c>
      <c r="N851" t="str">
        <f>"Lama1"</f>
        <v>Lama1</v>
      </c>
      <c r="O851" s="3" t="str">
        <f>HYPERLINK("http://www.informatics.jax.org/marker/MGI:99892", "MGI:99892")</f>
        <v>MGI:99892</v>
      </c>
      <c r="P851" t="s">
        <v>10261</v>
      </c>
      <c r="Q851" t="s">
        <v>2784</v>
      </c>
      <c r="R851" t="s">
        <v>2785</v>
      </c>
      <c r="S851" t="s">
        <v>32</v>
      </c>
      <c r="T851" t="s">
        <v>32</v>
      </c>
      <c r="U851" t="s">
        <v>32</v>
      </c>
      <c r="V851" t="s">
        <v>3228</v>
      </c>
      <c r="W851" t="s">
        <v>32</v>
      </c>
      <c r="X851" t="s">
        <v>32</v>
      </c>
      <c r="Y851" t="s">
        <v>10262</v>
      </c>
      <c r="Z851" t="s">
        <v>126</v>
      </c>
      <c r="AA851" t="s">
        <v>10263</v>
      </c>
      <c r="AB851" t="s">
        <v>10264</v>
      </c>
      <c r="AC851" t="s">
        <v>10265</v>
      </c>
      <c r="AD851" t="s">
        <v>32</v>
      </c>
      <c r="AE851" t="s">
        <v>32</v>
      </c>
      <c r="AF851" t="s">
        <v>46835</v>
      </c>
    </row>
    <row r="852" spans="1:32" x14ac:dyDescent="0.2">
      <c r="A852">
        <v>847</v>
      </c>
      <c r="B852" t="s">
        <v>10266</v>
      </c>
      <c r="C852" t="s">
        <v>10267</v>
      </c>
      <c r="D852" t="s">
        <v>10268</v>
      </c>
      <c r="E852" t="s">
        <v>10269</v>
      </c>
      <c r="F852" t="s">
        <v>10270</v>
      </c>
      <c r="G852" t="s">
        <v>10271</v>
      </c>
      <c r="H852" t="str">
        <f>"Hadhb"</f>
        <v>Hadhb</v>
      </c>
      <c r="I852" t="s">
        <v>32</v>
      </c>
      <c r="J852" t="s">
        <v>37</v>
      </c>
      <c r="K852">
        <v>10090</v>
      </c>
      <c r="L852" s="3" t="str">
        <f>HYPERLINK("http://www.uniprot.org/uniprot/Q99JY0", "Q99JY0")</f>
        <v>Q99JY0</v>
      </c>
      <c r="M852" t="s">
        <v>10272</v>
      </c>
      <c r="N852" t="str">
        <f>"Hadhb"</f>
        <v>Hadhb</v>
      </c>
      <c r="O852" s="3" t="str">
        <f>HYPERLINK("http://www.informatics.jax.org/marker/MGI:2136381", "MGI:2136381")</f>
        <v>MGI:2136381</v>
      </c>
      <c r="P852" t="s">
        <v>10273</v>
      </c>
      <c r="Q852" t="s">
        <v>6214</v>
      </c>
      <c r="R852" t="s">
        <v>10274</v>
      </c>
      <c r="S852" t="s">
        <v>32</v>
      </c>
      <c r="T852" t="s">
        <v>32</v>
      </c>
      <c r="U852" t="s">
        <v>32</v>
      </c>
      <c r="V852" t="s">
        <v>1039</v>
      </c>
      <c r="W852" t="s">
        <v>32</v>
      </c>
      <c r="X852" t="s">
        <v>7304</v>
      </c>
      <c r="Y852" t="s">
        <v>78</v>
      </c>
      <c r="Z852" t="s">
        <v>32</v>
      </c>
      <c r="AA852" t="s">
        <v>10275</v>
      </c>
      <c r="AB852" t="s">
        <v>10276</v>
      </c>
      <c r="AC852" t="s">
        <v>10277</v>
      </c>
      <c r="AD852" t="s">
        <v>6218</v>
      </c>
      <c r="AE852" t="s">
        <v>7342</v>
      </c>
      <c r="AF852" t="s">
        <v>46835</v>
      </c>
    </row>
    <row r="853" spans="1:32" x14ac:dyDescent="0.2">
      <c r="A853">
        <v>848</v>
      </c>
      <c r="B853" t="s">
        <v>10278</v>
      </c>
      <c r="C853" t="s">
        <v>10279</v>
      </c>
      <c r="D853" t="s">
        <v>10280</v>
      </c>
      <c r="E853" t="s">
        <v>10281</v>
      </c>
      <c r="F853" t="s">
        <v>10282</v>
      </c>
      <c r="G853" t="s">
        <v>10283</v>
      </c>
      <c r="H853" t="str">
        <f>"Snrpd2"</f>
        <v>Snrpd2</v>
      </c>
      <c r="I853" t="s">
        <v>32</v>
      </c>
      <c r="J853" t="s">
        <v>37</v>
      </c>
      <c r="K853">
        <v>10090</v>
      </c>
      <c r="L853" s="3" t="str">
        <f>HYPERLINK("http://www.uniprot.org/uniprot/P62317", "P62317")</f>
        <v>P62317</v>
      </c>
      <c r="M853" t="s">
        <v>10284</v>
      </c>
      <c r="N853" t="str">
        <f>"Snrpd2"</f>
        <v>Snrpd2</v>
      </c>
      <c r="O853" s="3" t="str">
        <f>HYPERLINK("http://www.informatics.jax.org/marker/MGI:98345", "MGI:98345")</f>
        <v>MGI:98345</v>
      </c>
      <c r="P853" t="s">
        <v>10285</v>
      </c>
      <c r="Q853" t="s">
        <v>2139</v>
      </c>
      <c r="R853" t="s">
        <v>2219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7646</v>
      </c>
      <c r="Y853" t="s">
        <v>516</v>
      </c>
      <c r="Z853" t="s">
        <v>32</v>
      </c>
      <c r="AA853" t="s">
        <v>8079</v>
      </c>
      <c r="AB853" t="s">
        <v>10286</v>
      </c>
      <c r="AC853" t="s">
        <v>10287</v>
      </c>
      <c r="AD853" t="s">
        <v>32</v>
      </c>
      <c r="AE853" t="s">
        <v>10288</v>
      </c>
      <c r="AF853" t="s">
        <v>46835</v>
      </c>
    </row>
    <row r="854" spans="1:32" x14ac:dyDescent="0.2">
      <c r="A854">
        <v>849</v>
      </c>
      <c r="B854" t="s">
        <v>10289</v>
      </c>
      <c r="C854" t="s">
        <v>10290</v>
      </c>
      <c r="D854" t="s">
        <v>10291</v>
      </c>
      <c r="E854" t="s">
        <v>10292</v>
      </c>
      <c r="F854" t="s">
        <v>10293</v>
      </c>
      <c r="G854" t="s">
        <v>10294</v>
      </c>
      <c r="H854" t="str">
        <f>"Sdhb"</f>
        <v>Sdhb</v>
      </c>
      <c r="I854" t="s">
        <v>32</v>
      </c>
      <c r="J854" t="s">
        <v>37</v>
      </c>
      <c r="K854">
        <v>10090</v>
      </c>
      <c r="L854" s="3" t="str">
        <f>HYPERLINK("http://www.uniprot.org/uniprot/Q9CQA3", "Q9CQA3")</f>
        <v>Q9CQA3</v>
      </c>
      <c r="M854" t="s">
        <v>10295</v>
      </c>
      <c r="N854" t="str">
        <f>"Sdhb"</f>
        <v>Sdhb</v>
      </c>
      <c r="O854" s="3" t="str">
        <f>HYPERLINK("http://www.informatics.jax.org/marker/MGI:1914930", "MGI:1914930")</f>
        <v>MGI:1914930</v>
      </c>
      <c r="P854" t="s">
        <v>10296</v>
      </c>
      <c r="Q854" t="s">
        <v>6461</v>
      </c>
      <c r="R854" t="s">
        <v>3858</v>
      </c>
      <c r="S854" t="s">
        <v>32</v>
      </c>
      <c r="T854" t="s">
        <v>32</v>
      </c>
      <c r="U854" t="s">
        <v>32</v>
      </c>
      <c r="V854" t="s">
        <v>1039</v>
      </c>
      <c r="W854" t="s">
        <v>10297</v>
      </c>
      <c r="X854" t="s">
        <v>600</v>
      </c>
      <c r="Y854" t="s">
        <v>78</v>
      </c>
      <c r="Z854" t="s">
        <v>32</v>
      </c>
      <c r="AA854" t="s">
        <v>10298</v>
      </c>
      <c r="AB854" t="s">
        <v>10299</v>
      </c>
      <c r="AC854" t="s">
        <v>10300</v>
      </c>
      <c r="AD854" t="s">
        <v>6465</v>
      </c>
      <c r="AE854" t="s">
        <v>3390</v>
      </c>
      <c r="AF854" t="s">
        <v>46835</v>
      </c>
    </row>
    <row r="855" spans="1:32" x14ac:dyDescent="0.2">
      <c r="A855">
        <v>850</v>
      </c>
      <c r="B855" t="s">
        <v>10301</v>
      </c>
      <c r="C855" t="s">
        <v>10302</v>
      </c>
      <c r="D855" t="s">
        <v>10303</v>
      </c>
      <c r="E855" t="s">
        <v>10304</v>
      </c>
      <c r="F855" t="s">
        <v>10305</v>
      </c>
      <c r="G855" t="s">
        <v>10306</v>
      </c>
      <c r="H855" t="str">
        <f>"Bcap31"</f>
        <v>Bcap31</v>
      </c>
      <c r="I855" t="s">
        <v>10307</v>
      </c>
      <c r="J855" t="s">
        <v>37</v>
      </c>
      <c r="K855">
        <v>10090</v>
      </c>
      <c r="L855" s="3" t="str">
        <f>HYPERLINK("http://www.uniprot.org/uniprot/Q61335", "Q61335")</f>
        <v>Q61335</v>
      </c>
      <c r="M855" t="s">
        <v>10308</v>
      </c>
      <c r="N855" t="str">
        <f>"Bcap31"</f>
        <v>Bcap31</v>
      </c>
      <c r="O855" s="3" t="str">
        <f>HYPERLINK("http://www.informatics.jax.org/marker/MGI:1350933", "MGI:1350933")</f>
        <v>MGI:1350933</v>
      </c>
      <c r="P855" t="s">
        <v>10309</v>
      </c>
      <c r="Q855" t="s">
        <v>10310</v>
      </c>
      <c r="R855" t="s">
        <v>1664</v>
      </c>
      <c r="S855" t="s">
        <v>32</v>
      </c>
      <c r="T855" t="s">
        <v>32</v>
      </c>
      <c r="U855" t="s">
        <v>32</v>
      </c>
      <c r="V855" t="s">
        <v>6500</v>
      </c>
      <c r="W855" t="s">
        <v>32</v>
      </c>
      <c r="X855" t="s">
        <v>32</v>
      </c>
      <c r="Y855" t="s">
        <v>32</v>
      </c>
      <c r="Z855" t="s">
        <v>32</v>
      </c>
      <c r="AA855" t="s">
        <v>10311</v>
      </c>
      <c r="AB855" t="s">
        <v>10312</v>
      </c>
      <c r="AC855" t="s">
        <v>10313</v>
      </c>
      <c r="AD855" t="s">
        <v>32</v>
      </c>
      <c r="AE855" t="s">
        <v>10314</v>
      </c>
      <c r="AF855" t="s">
        <v>46835</v>
      </c>
    </row>
    <row r="856" spans="1:32" x14ac:dyDescent="0.2">
      <c r="A856">
        <v>851</v>
      </c>
      <c r="B856" t="s">
        <v>10315</v>
      </c>
      <c r="C856" t="s">
        <v>10316</v>
      </c>
      <c r="D856" t="s">
        <v>10317</v>
      </c>
      <c r="E856" t="s">
        <v>10318</v>
      </c>
      <c r="F856" t="s">
        <v>10319</v>
      </c>
      <c r="G856" t="s">
        <v>10320</v>
      </c>
      <c r="H856" t="str">
        <f>"Capza1"</f>
        <v>Capza1</v>
      </c>
      <c r="I856" t="s">
        <v>10321</v>
      </c>
      <c r="J856" t="s">
        <v>37</v>
      </c>
      <c r="K856">
        <v>10090</v>
      </c>
      <c r="L856" s="3" t="str">
        <f>HYPERLINK("http://www.uniprot.org/uniprot/P47753", "P47753")</f>
        <v>P47753</v>
      </c>
      <c r="M856" t="s">
        <v>10322</v>
      </c>
      <c r="N856" t="str">
        <f>"Capza1"</f>
        <v>Capza1</v>
      </c>
      <c r="O856" s="3" t="str">
        <f>HYPERLINK("http://www.informatics.jax.org/marker/MGI:106227", "MGI:106227")</f>
        <v>MGI:106227</v>
      </c>
      <c r="P856" t="s">
        <v>10323</v>
      </c>
      <c r="Q856" t="s">
        <v>32</v>
      </c>
      <c r="R856" t="s">
        <v>186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479</v>
      </c>
      <c r="Y856" t="s">
        <v>157</v>
      </c>
      <c r="Z856" t="s">
        <v>126</v>
      </c>
      <c r="AA856" t="s">
        <v>10324</v>
      </c>
      <c r="AB856" t="s">
        <v>10325</v>
      </c>
      <c r="AC856" t="s">
        <v>2119</v>
      </c>
      <c r="AD856" t="s">
        <v>32</v>
      </c>
      <c r="AE856" t="s">
        <v>7910</v>
      </c>
      <c r="AF856" t="s">
        <v>46835</v>
      </c>
    </row>
    <row r="857" spans="1:32" x14ac:dyDescent="0.2">
      <c r="A857">
        <v>852</v>
      </c>
      <c r="B857" t="s">
        <v>10326</v>
      </c>
      <c r="C857" t="s">
        <v>10327</v>
      </c>
      <c r="D857" t="s">
        <v>32</v>
      </c>
      <c r="E857" t="s">
        <v>10328</v>
      </c>
      <c r="F857" t="s">
        <v>10329</v>
      </c>
      <c r="G857" t="s">
        <v>10330</v>
      </c>
      <c r="H857" t="str">
        <f>"Wbp2"</f>
        <v>Wbp2</v>
      </c>
      <c r="I857" t="s">
        <v>32</v>
      </c>
      <c r="J857" t="s">
        <v>37</v>
      </c>
      <c r="K857">
        <v>10090</v>
      </c>
      <c r="L857" s="3" t="str">
        <f>HYPERLINK("http://www.uniprot.org/uniprot/P97765", "P97765")</f>
        <v>P97765</v>
      </c>
      <c r="M857" t="s">
        <v>10331</v>
      </c>
      <c r="N857" t="str">
        <f>"Wbp2"</f>
        <v>Wbp2</v>
      </c>
      <c r="O857" s="3" t="str">
        <f>HYPERLINK("http://www.informatics.jax.org/marker/MGI:104709", "MGI:104709")</f>
        <v>MGI:104709</v>
      </c>
      <c r="P857" t="s">
        <v>10332</v>
      </c>
      <c r="Q857" t="s">
        <v>32</v>
      </c>
      <c r="R857" t="s">
        <v>40</v>
      </c>
      <c r="S857" t="s">
        <v>41</v>
      </c>
      <c r="T857" t="s">
        <v>32</v>
      </c>
      <c r="U857" t="s">
        <v>32</v>
      </c>
      <c r="V857" t="s">
        <v>55</v>
      </c>
      <c r="W857" t="s">
        <v>32</v>
      </c>
      <c r="X857" t="s">
        <v>32</v>
      </c>
      <c r="Y857" t="s">
        <v>618</v>
      </c>
      <c r="Z857" t="s">
        <v>32</v>
      </c>
      <c r="AA857" t="s">
        <v>10333</v>
      </c>
      <c r="AB857" t="s">
        <v>10334</v>
      </c>
      <c r="AC857" t="s">
        <v>10335</v>
      </c>
      <c r="AD857" t="s">
        <v>32</v>
      </c>
      <c r="AE857" t="s">
        <v>32</v>
      </c>
      <c r="AF857" t="s">
        <v>46835</v>
      </c>
    </row>
    <row r="858" spans="1:32" x14ac:dyDescent="0.2">
      <c r="A858">
        <v>853</v>
      </c>
      <c r="B858" t="s">
        <v>10336</v>
      </c>
      <c r="C858" t="s">
        <v>10337</v>
      </c>
      <c r="D858" t="s">
        <v>10338</v>
      </c>
      <c r="E858" t="s">
        <v>10339</v>
      </c>
      <c r="F858" t="s">
        <v>10340</v>
      </c>
      <c r="G858" t="s">
        <v>10341</v>
      </c>
      <c r="H858" t="str">
        <f>"Atp6v1f"</f>
        <v>Atp6v1f</v>
      </c>
      <c r="I858" t="s">
        <v>10342</v>
      </c>
      <c r="J858" t="s">
        <v>37</v>
      </c>
      <c r="K858">
        <v>10090</v>
      </c>
      <c r="L858" s="3" t="str">
        <f>HYPERLINK("http://www.uniprot.org/uniprot/Q9D1K2", "Q9D1K2")</f>
        <v>Q9D1K2</v>
      </c>
      <c r="M858" t="s">
        <v>10343</v>
      </c>
      <c r="N858" t="str">
        <f>"Atp6v1f"</f>
        <v>Atp6v1f</v>
      </c>
      <c r="O858" s="3" t="str">
        <f>HYPERLINK("http://www.informatics.jax.org/marker/MGI:1913394", "MGI:1913394")</f>
        <v>MGI:1913394</v>
      </c>
      <c r="P858" t="s">
        <v>10344</v>
      </c>
      <c r="Q858" t="s">
        <v>4257</v>
      </c>
      <c r="R858" t="s">
        <v>10250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 t="s">
        <v>32</v>
      </c>
      <c r="Z858" t="s">
        <v>32</v>
      </c>
      <c r="AA858" t="s">
        <v>32</v>
      </c>
      <c r="AB858" t="s">
        <v>10345</v>
      </c>
      <c r="AC858" t="s">
        <v>10252</v>
      </c>
      <c r="AD858" t="s">
        <v>32</v>
      </c>
      <c r="AE858" t="s">
        <v>6963</v>
      </c>
      <c r="AF858" t="s">
        <v>46835</v>
      </c>
    </row>
    <row r="859" spans="1:32" x14ac:dyDescent="0.2">
      <c r="A859">
        <v>854</v>
      </c>
      <c r="B859" t="s">
        <v>10346</v>
      </c>
      <c r="C859" t="s">
        <v>10347</v>
      </c>
      <c r="D859" t="s">
        <v>32</v>
      </c>
      <c r="E859" t="s">
        <v>10348</v>
      </c>
      <c r="F859" t="s">
        <v>10349</v>
      </c>
      <c r="G859" t="s">
        <v>10350</v>
      </c>
      <c r="H859" t="str">
        <f>"Coro2b"</f>
        <v>Coro2b</v>
      </c>
      <c r="I859" t="s">
        <v>32</v>
      </c>
      <c r="J859" t="s">
        <v>37</v>
      </c>
      <c r="K859">
        <v>10090</v>
      </c>
      <c r="L859" s="3" t="str">
        <f>HYPERLINK("http://www.uniprot.org/uniprot/Q8BH44", "Q8BH44")</f>
        <v>Q8BH44</v>
      </c>
      <c r="M859" t="s">
        <v>10351</v>
      </c>
      <c r="N859" t="str">
        <f>"Coro2b"</f>
        <v>Coro2b</v>
      </c>
      <c r="O859" s="3" t="str">
        <f>HYPERLINK("http://www.informatics.jax.org/marker/MGI:2444283", "MGI:2444283")</f>
        <v>MGI:2444283</v>
      </c>
      <c r="P859" t="s">
        <v>10352</v>
      </c>
      <c r="Q859" t="s">
        <v>32</v>
      </c>
      <c r="R859" t="s">
        <v>186</v>
      </c>
      <c r="S859" t="s">
        <v>32</v>
      </c>
      <c r="T859" t="s">
        <v>32</v>
      </c>
      <c r="U859" t="s">
        <v>32</v>
      </c>
      <c r="V859" t="s">
        <v>3167</v>
      </c>
      <c r="W859" t="s">
        <v>32</v>
      </c>
      <c r="X859" t="s">
        <v>405</v>
      </c>
      <c r="Y859" t="s">
        <v>32</v>
      </c>
      <c r="Z859" t="s">
        <v>32</v>
      </c>
      <c r="AA859" t="s">
        <v>10353</v>
      </c>
      <c r="AB859" t="s">
        <v>10354</v>
      </c>
      <c r="AC859" t="s">
        <v>10355</v>
      </c>
      <c r="AD859" t="s">
        <v>32</v>
      </c>
      <c r="AE859" t="s">
        <v>32</v>
      </c>
      <c r="AF859" t="s">
        <v>46835</v>
      </c>
    </row>
    <row r="860" spans="1:32" x14ac:dyDescent="0.2">
      <c r="A860">
        <v>855</v>
      </c>
      <c r="B860" t="s">
        <v>10356</v>
      </c>
      <c r="C860" t="s">
        <v>10357</v>
      </c>
      <c r="D860" t="s">
        <v>10358</v>
      </c>
      <c r="E860" t="s">
        <v>10359</v>
      </c>
      <c r="F860" t="s">
        <v>10360</v>
      </c>
      <c r="G860" t="s">
        <v>10361</v>
      </c>
      <c r="H860" t="str">
        <f>"Sec23a"</f>
        <v>Sec23a</v>
      </c>
      <c r="I860" t="s">
        <v>10362</v>
      </c>
      <c r="J860" t="s">
        <v>37</v>
      </c>
      <c r="K860">
        <v>10090</v>
      </c>
      <c r="L860" s="3" t="str">
        <f>HYPERLINK("http://www.uniprot.org/uniprot/Q01405", "Q01405")</f>
        <v>Q01405</v>
      </c>
      <c r="M860" t="s">
        <v>10363</v>
      </c>
      <c r="N860" t="str">
        <f>"Sec23a"</f>
        <v>Sec23a</v>
      </c>
      <c r="O860" s="3" t="str">
        <f>HYPERLINK("http://www.informatics.jax.org/marker/MGI:1349635", "MGI:1349635")</f>
        <v>MGI:1349635</v>
      </c>
      <c r="P860" t="s">
        <v>10364</v>
      </c>
      <c r="Q860" t="s">
        <v>2916</v>
      </c>
      <c r="R860" t="s">
        <v>2917</v>
      </c>
      <c r="S860" t="s">
        <v>32</v>
      </c>
      <c r="T860" t="s">
        <v>32</v>
      </c>
      <c r="U860" t="s">
        <v>32</v>
      </c>
      <c r="V860" t="s">
        <v>32</v>
      </c>
      <c r="W860" t="s">
        <v>42</v>
      </c>
      <c r="X860" t="s">
        <v>32</v>
      </c>
      <c r="Y860" t="s">
        <v>157</v>
      </c>
      <c r="Z860" t="s">
        <v>32</v>
      </c>
      <c r="AA860" t="s">
        <v>10365</v>
      </c>
      <c r="AB860" t="s">
        <v>10366</v>
      </c>
      <c r="AC860" t="s">
        <v>10367</v>
      </c>
      <c r="AD860" t="s">
        <v>32</v>
      </c>
      <c r="AE860" t="s">
        <v>10368</v>
      </c>
      <c r="AF860" t="s">
        <v>46835</v>
      </c>
    </row>
    <row r="861" spans="1:32" x14ac:dyDescent="0.2">
      <c r="A861">
        <v>856</v>
      </c>
      <c r="B861" t="s">
        <v>10369</v>
      </c>
      <c r="C861" t="s">
        <v>10370</v>
      </c>
      <c r="D861" t="s">
        <v>10371</v>
      </c>
      <c r="E861" t="s">
        <v>10372</v>
      </c>
      <c r="F861" t="s">
        <v>10373</v>
      </c>
      <c r="G861" t="s">
        <v>10374</v>
      </c>
      <c r="H861" t="str">
        <f>"Ctps1"</f>
        <v>Ctps1</v>
      </c>
      <c r="I861" t="s">
        <v>10375</v>
      </c>
      <c r="J861" t="s">
        <v>37</v>
      </c>
      <c r="K861">
        <v>10090</v>
      </c>
      <c r="L861" s="3" t="str">
        <f>HYPERLINK("http://www.uniprot.org/uniprot/P70698", "P70698")</f>
        <v>P70698</v>
      </c>
      <c r="M861" t="s">
        <v>10376</v>
      </c>
      <c r="N861" t="str">
        <f>"Ctps"</f>
        <v>Ctps</v>
      </c>
      <c r="O861" s="3" t="str">
        <f>HYPERLINK("http://www.informatics.jax.org/marker/MGI:1858304", "MGI:1858304")</f>
        <v>MGI:1858304</v>
      </c>
      <c r="P861" t="s">
        <v>10377</v>
      </c>
      <c r="Q861" t="s">
        <v>10378</v>
      </c>
      <c r="R861" t="s">
        <v>418</v>
      </c>
      <c r="S861" t="s">
        <v>32</v>
      </c>
      <c r="T861" t="s">
        <v>32</v>
      </c>
      <c r="U861" t="s">
        <v>32</v>
      </c>
      <c r="V861" t="s">
        <v>7957</v>
      </c>
      <c r="W861" t="s">
        <v>205</v>
      </c>
      <c r="X861" t="s">
        <v>1022</v>
      </c>
      <c r="Y861" t="s">
        <v>157</v>
      </c>
      <c r="Z861" t="s">
        <v>126</v>
      </c>
      <c r="AA861" t="s">
        <v>10379</v>
      </c>
      <c r="AB861" t="s">
        <v>10380</v>
      </c>
      <c r="AC861" t="s">
        <v>10381</v>
      </c>
      <c r="AD861" t="s">
        <v>10382</v>
      </c>
      <c r="AE861" t="s">
        <v>6139</v>
      </c>
      <c r="AF861" t="s">
        <v>46835</v>
      </c>
    </row>
    <row r="862" spans="1:32" x14ac:dyDescent="0.2">
      <c r="A862">
        <v>857</v>
      </c>
      <c r="B862" t="s">
        <v>10383</v>
      </c>
      <c r="C862" t="s">
        <v>10384</v>
      </c>
      <c r="D862" t="s">
        <v>10385</v>
      </c>
      <c r="E862" t="s">
        <v>10386</v>
      </c>
      <c r="F862" t="s">
        <v>10387</v>
      </c>
      <c r="G862" t="s">
        <v>10388</v>
      </c>
      <c r="H862" t="str">
        <f>"Gnb1"</f>
        <v>Gnb1</v>
      </c>
      <c r="I862" t="s">
        <v>32</v>
      </c>
      <c r="J862" t="s">
        <v>37</v>
      </c>
      <c r="K862">
        <v>10090</v>
      </c>
      <c r="L862" s="3" t="str">
        <f>HYPERLINK("http://www.uniprot.org/uniprot/P62874", "P62874")</f>
        <v>P62874</v>
      </c>
      <c r="M862" t="s">
        <v>10389</v>
      </c>
      <c r="N862" t="str">
        <f>"Gnb1"</f>
        <v>Gnb1</v>
      </c>
      <c r="O862" s="3" t="str">
        <f>HYPERLINK("http://www.informatics.jax.org/marker/MGI:95781", "MGI:95781")</f>
        <v>MGI:95781</v>
      </c>
      <c r="P862" t="s">
        <v>10390</v>
      </c>
      <c r="Q862" t="s">
        <v>32</v>
      </c>
      <c r="R862" t="s">
        <v>32</v>
      </c>
      <c r="S862" t="s">
        <v>32</v>
      </c>
      <c r="T862" t="s">
        <v>32</v>
      </c>
      <c r="U862" t="s">
        <v>32</v>
      </c>
      <c r="V862" t="s">
        <v>1910</v>
      </c>
      <c r="W862" t="s">
        <v>32</v>
      </c>
      <c r="X862" t="s">
        <v>10391</v>
      </c>
      <c r="Y862" t="s">
        <v>157</v>
      </c>
      <c r="Z862" t="s">
        <v>126</v>
      </c>
      <c r="AA862" t="s">
        <v>10392</v>
      </c>
      <c r="AB862" t="s">
        <v>10393</v>
      </c>
      <c r="AC862" t="s">
        <v>10394</v>
      </c>
      <c r="AD862" t="s">
        <v>32</v>
      </c>
      <c r="AE862" t="s">
        <v>10395</v>
      </c>
      <c r="AF862" t="s">
        <v>46835</v>
      </c>
    </row>
    <row r="863" spans="1:32" x14ac:dyDescent="0.2">
      <c r="A863">
        <v>858</v>
      </c>
      <c r="B863" t="s">
        <v>10396</v>
      </c>
      <c r="C863" t="s">
        <v>10397</v>
      </c>
      <c r="D863" t="s">
        <v>10398</v>
      </c>
      <c r="E863" t="s">
        <v>10399</v>
      </c>
      <c r="F863" t="s">
        <v>10400</v>
      </c>
      <c r="G863" t="s">
        <v>32</v>
      </c>
      <c r="H863" t="str">
        <f>"Prdx3"</f>
        <v>Prdx3</v>
      </c>
      <c r="I863" t="s">
        <v>10401</v>
      </c>
      <c r="J863" t="s">
        <v>37</v>
      </c>
      <c r="K863">
        <v>10090</v>
      </c>
      <c r="L863" s="3" t="str">
        <f>HYPERLINK("http://www.uniprot.org/uniprot/P20108", "P20108")</f>
        <v>P20108</v>
      </c>
      <c r="M863" t="s">
        <v>10402</v>
      </c>
      <c r="N863" t="str">
        <f>"Prdx3"</f>
        <v>Prdx3</v>
      </c>
      <c r="O863" s="3" t="str">
        <f>HYPERLINK("http://www.informatics.jax.org/marker/MGI:88034", "MGI:88034")</f>
        <v>MGI:88034</v>
      </c>
      <c r="P863" t="s">
        <v>10403</v>
      </c>
      <c r="Q863" t="s">
        <v>32</v>
      </c>
      <c r="R863" t="s">
        <v>10404</v>
      </c>
      <c r="S863" t="s">
        <v>32</v>
      </c>
      <c r="T863" t="s">
        <v>32</v>
      </c>
      <c r="U863" t="s">
        <v>32</v>
      </c>
      <c r="V863" t="s">
        <v>5688</v>
      </c>
      <c r="W863" t="s">
        <v>32</v>
      </c>
      <c r="X863" t="s">
        <v>1091</v>
      </c>
      <c r="Y863" t="s">
        <v>1236</v>
      </c>
      <c r="Z863" t="s">
        <v>32</v>
      </c>
      <c r="AA863" t="s">
        <v>10405</v>
      </c>
      <c r="AB863" t="s">
        <v>10406</v>
      </c>
      <c r="AC863" t="s">
        <v>10407</v>
      </c>
      <c r="AD863" t="s">
        <v>32</v>
      </c>
      <c r="AE863" t="s">
        <v>10408</v>
      </c>
      <c r="AF863" t="s">
        <v>46835</v>
      </c>
    </row>
    <row r="864" spans="1:32" x14ac:dyDescent="0.2">
      <c r="A864">
        <v>859</v>
      </c>
      <c r="B864" t="s">
        <v>10409</v>
      </c>
      <c r="C864" t="s">
        <v>10410</v>
      </c>
      <c r="D864" t="s">
        <v>32</v>
      </c>
      <c r="E864" t="s">
        <v>10411</v>
      </c>
      <c r="F864" t="s">
        <v>10412</v>
      </c>
      <c r="G864" t="s">
        <v>10413</v>
      </c>
      <c r="H864" t="str">
        <f>"Ilf3"</f>
        <v>Ilf3</v>
      </c>
      <c r="I864" t="s">
        <v>32</v>
      </c>
      <c r="J864" t="s">
        <v>37</v>
      </c>
      <c r="K864">
        <v>10090</v>
      </c>
      <c r="L864" s="3" t="str">
        <f>HYPERLINK("http://www.uniprot.org/uniprot/Q9Z1X4", "Q9Z1X4")</f>
        <v>Q9Z1X4</v>
      </c>
      <c r="M864" t="s">
        <v>10414</v>
      </c>
      <c r="N864" t="str">
        <f>"Ilf3"</f>
        <v>Ilf3</v>
      </c>
      <c r="O864" s="3" t="str">
        <f>HYPERLINK("http://www.informatics.jax.org/marker/MGI:1339973", "MGI:1339973")</f>
        <v>MGI:1339973</v>
      </c>
      <c r="P864" t="s">
        <v>10415</v>
      </c>
      <c r="Q864" t="s">
        <v>10416</v>
      </c>
      <c r="R864" t="s">
        <v>40</v>
      </c>
      <c r="S864" t="s">
        <v>41</v>
      </c>
      <c r="T864" t="s">
        <v>32</v>
      </c>
      <c r="U864" t="s">
        <v>32</v>
      </c>
      <c r="V864" t="s">
        <v>55</v>
      </c>
      <c r="W864" t="s">
        <v>32</v>
      </c>
      <c r="X864" t="s">
        <v>956</v>
      </c>
      <c r="Y864" t="s">
        <v>207</v>
      </c>
      <c r="Z864" t="s">
        <v>126</v>
      </c>
      <c r="AA864" t="s">
        <v>10417</v>
      </c>
      <c r="AB864" t="s">
        <v>10418</v>
      </c>
      <c r="AC864" t="s">
        <v>10419</v>
      </c>
      <c r="AD864" t="s">
        <v>32</v>
      </c>
      <c r="AE864" t="s">
        <v>32</v>
      </c>
      <c r="AF864" t="s">
        <v>46835</v>
      </c>
    </row>
    <row r="865" spans="1:33" x14ac:dyDescent="0.2">
      <c r="A865">
        <v>860</v>
      </c>
      <c r="B865" t="s">
        <v>10420</v>
      </c>
      <c r="C865" t="s">
        <v>10421</v>
      </c>
      <c r="D865" t="s">
        <v>10422</v>
      </c>
      <c r="E865" t="s">
        <v>10423</v>
      </c>
      <c r="F865" t="s">
        <v>10424</v>
      </c>
      <c r="G865" t="s">
        <v>10425</v>
      </c>
      <c r="H865" t="str">
        <f>"Ap2a2"</f>
        <v>Ap2a2</v>
      </c>
      <c r="I865" t="s">
        <v>10426</v>
      </c>
      <c r="J865" t="s">
        <v>37</v>
      </c>
      <c r="K865">
        <v>10090</v>
      </c>
      <c r="L865" s="3" t="str">
        <f>HYPERLINK("http://www.uniprot.org/uniprot/P17427", "P17427")</f>
        <v>P17427</v>
      </c>
      <c r="M865" t="s">
        <v>10427</v>
      </c>
      <c r="N865" t="str">
        <f>"Ap2a2"</f>
        <v>Ap2a2</v>
      </c>
      <c r="O865" s="3" t="str">
        <f>HYPERLINK("http://www.informatics.jax.org/marker/MGI:101920", "MGI:101920")</f>
        <v>MGI:101920</v>
      </c>
      <c r="P865" t="s">
        <v>10428</v>
      </c>
      <c r="Q865" t="s">
        <v>910</v>
      </c>
      <c r="R865" t="s">
        <v>7022</v>
      </c>
      <c r="S865" t="s">
        <v>32</v>
      </c>
      <c r="T865" t="s">
        <v>32</v>
      </c>
      <c r="U865" t="s">
        <v>32</v>
      </c>
      <c r="V865" t="s">
        <v>32</v>
      </c>
      <c r="W865" t="s">
        <v>584</v>
      </c>
      <c r="X865" t="s">
        <v>32</v>
      </c>
      <c r="Y865" t="s">
        <v>32</v>
      </c>
      <c r="Z865" t="s">
        <v>126</v>
      </c>
      <c r="AA865" t="s">
        <v>10429</v>
      </c>
      <c r="AB865" t="s">
        <v>10430</v>
      </c>
      <c r="AC865" t="s">
        <v>10431</v>
      </c>
      <c r="AD865" t="s">
        <v>32</v>
      </c>
      <c r="AE865" t="s">
        <v>10432</v>
      </c>
      <c r="AF865" t="s">
        <v>46835</v>
      </c>
    </row>
    <row r="866" spans="1:33" x14ac:dyDescent="0.2">
      <c r="A866">
        <v>861</v>
      </c>
      <c r="B866" t="s">
        <v>10433</v>
      </c>
      <c r="C866" t="s">
        <v>10434</v>
      </c>
      <c r="D866" t="s">
        <v>32</v>
      </c>
      <c r="E866" t="s">
        <v>10435</v>
      </c>
      <c r="F866" t="s">
        <v>10436</v>
      </c>
      <c r="G866" t="s">
        <v>10437</v>
      </c>
      <c r="H866" t="str">
        <f>"Ddost"</f>
        <v>Ddost</v>
      </c>
      <c r="I866" t="s">
        <v>32</v>
      </c>
      <c r="J866" t="s">
        <v>37</v>
      </c>
      <c r="K866">
        <v>10090</v>
      </c>
      <c r="L866" s="3" t="str">
        <f>HYPERLINK("http://www.uniprot.org/uniprot/O54734", "O54734")</f>
        <v>O54734</v>
      </c>
      <c r="M866" t="s">
        <v>10438</v>
      </c>
      <c r="N866" t="str">
        <f>"Ddost"</f>
        <v>Ddost</v>
      </c>
      <c r="O866" s="3" t="str">
        <f>HYPERLINK("http://www.informatics.jax.org/marker/MGI:1194508", "MGI:1194508")</f>
        <v>MGI:1194508</v>
      </c>
      <c r="P866" t="s">
        <v>10439</v>
      </c>
      <c r="Q866" t="s">
        <v>32</v>
      </c>
      <c r="R866" t="s">
        <v>1664</v>
      </c>
      <c r="S866" t="s">
        <v>32</v>
      </c>
      <c r="T866" t="s">
        <v>32</v>
      </c>
      <c r="U866" t="s">
        <v>32</v>
      </c>
      <c r="V866" t="s">
        <v>3948</v>
      </c>
      <c r="W866" t="s">
        <v>32</v>
      </c>
      <c r="X866" t="s">
        <v>32</v>
      </c>
      <c r="Y866" t="s">
        <v>32</v>
      </c>
      <c r="Z866" t="s">
        <v>32</v>
      </c>
      <c r="AA866" t="s">
        <v>10440</v>
      </c>
      <c r="AB866" t="s">
        <v>10441</v>
      </c>
      <c r="AC866" t="s">
        <v>10442</v>
      </c>
      <c r="AD866" t="s">
        <v>3952</v>
      </c>
      <c r="AE866" t="s">
        <v>548</v>
      </c>
      <c r="AF866" t="s">
        <v>46835</v>
      </c>
    </row>
    <row r="867" spans="1:33" x14ac:dyDescent="0.2">
      <c r="A867">
        <v>862</v>
      </c>
      <c r="B867" t="s">
        <v>10443</v>
      </c>
      <c r="C867" t="s">
        <v>10444</v>
      </c>
      <c r="D867" t="s">
        <v>10445</v>
      </c>
      <c r="E867" t="s">
        <v>10446</v>
      </c>
      <c r="F867" t="s">
        <v>10447</v>
      </c>
      <c r="G867" t="s">
        <v>10448</v>
      </c>
      <c r="H867" t="str">
        <f>"Mapk3"</f>
        <v>Mapk3</v>
      </c>
      <c r="I867" t="s">
        <v>10449</v>
      </c>
      <c r="J867" t="s">
        <v>37</v>
      </c>
      <c r="K867">
        <v>10090</v>
      </c>
      <c r="L867" s="3" t="str">
        <f>HYPERLINK("http://www.uniprot.org/uniprot/Q63844", "Q63844")</f>
        <v>Q63844</v>
      </c>
      <c r="M867" t="s">
        <v>10450</v>
      </c>
      <c r="N867" t="str">
        <f>"Mapk3"</f>
        <v>Mapk3</v>
      </c>
      <c r="O867" s="3" t="str">
        <f>HYPERLINK("http://www.informatics.jax.org/marker/MGI:1346859", "MGI:1346859")</f>
        <v>MGI:1346859</v>
      </c>
      <c r="P867" t="s">
        <v>10451</v>
      </c>
      <c r="Q867" t="s">
        <v>5417</v>
      </c>
      <c r="R867" t="s">
        <v>10452</v>
      </c>
      <c r="S867" t="s">
        <v>32</v>
      </c>
      <c r="T867" t="s">
        <v>32</v>
      </c>
      <c r="U867" t="s">
        <v>32</v>
      </c>
      <c r="V867" t="s">
        <v>32</v>
      </c>
      <c r="W867" t="s">
        <v>205</v>
      </c>
      <c r="X867" t="s">
        <v>5419</v>
      </c>
      <c r="Y867" t="s">
        <v>157</v>
      </c>
      <c r="Z867" t="s">
        <v>32</v>
      </c>
      <c r="AA867" t="s">
        <v>10453</v>
      </c>
      <c r="AB867" t="s">
        <v>10454</v>
      </c>
      <c r="AC867" t="s">
        <v>10455</v>
      </c>
      <c r="AD867" t="s">
        <v>32</v>
      </c>
      <c r="AE867" t="s">
        <v>10456</v>
      </c>
      <c r="AF867" t="s">
        <v>46835</v>
      </c>
    </row>
    <row r="868" spans="1:33" x14ac:dyDescent="0.2">
      <c r="A868">
        <v>863</v>
      </c>
      <c r="B868" t="s">
        <v>10457</v>
      </c>
      <c r="C868" t="s">
        <v>10458</v>
      </c>
      <c r="D868" t="s">
        <v>10459</v>
      </c>
      <c r="E868" t="s">
        <v>10460</v>
      </c>
      <c r="F868" t="s">
        <v>10461</v>
      </c>
      <c r="G868" t="s">
        <v>10462</v>
      </c>
      <c r="H868" t="str">
        <f>"Ndufs1"</f>
        <v>Ndufs1</v>
      </c>
      <c r="I868" t="s">
        <v>32</v>
      </c>
      <c r="J868" t="s">
        <v>37</v>
      </c>
      <c r="K868">
        <v>10090</v>
      </c>
      <c r="L868" s="3" t="str">
        <f>HYPERLINK("http://www.uniprot.org/uniprot/Q91VD9", "Q91VD9")</f>
        <v>Q91VD9</v>
      </c>
      <c r="M868" t="s">
        <v>10463</v>
      </c>
      <c r="N868" t="str">
        <f>"Ndufs1"</f>
        <v>Ndufs1</v>
      </c>
      <c r="O868" s="3" t="str">
        <f>HYPERLINK("http://www.informatics.jax.org/marker/MGI:2443241", "MGI:2443241")</f>
        <v>MGI:2443241</v>
      </c>
      <c r="P868" t="s">
        <v>10464</v>
      </c>
      <c r="Q868" t="s">
        <v>6888</v>
      </c>
      <c r="R868" t="s">
        <v>3858</v>
      </c>
      <c r="S868" t="s">
        <v>32</v>
      </c>
      <c r="T868" t="s">
        <v>32</v>
      </c>
      <c r="U868" t="s">
        <v>32</v>
      </c>
      <c r="V868" t="s">
        <v>1039</v>
      </c>
      <c r="W868" t="s">
        <v>10465</v>
      </c>
      <c r="X868" t="s">
        <v>10466</v>
      </c>
      <c r="Y868" t="s">
        <v>157</v>
      </c>
      <c r="Z868" t="s">
        <v>126</v>
      </c>
      <c r="AA868" t="s">
        <v>10467</v>
      </c>
      <c r="AB868" t="s">
        <v>10468</v>
      </c>
      <c r="AC868" t="s">
        <v>10469</v>
      </c>
      <c r="AD868" t="s">
        <v>32</v>
      </c>
      <c r="AE868" t="s">
        <v>10470</v>
      </c>
      <c r="AF868" t="s">
        <v>46835</v>
      </c>
    </row>
    <row r="869" spans="1:33" x14ac:dyDescent="0.2">
      <c r="A869">
        <v>864</v>
      </c>
      <c r="B869" t="s">
        <v>10471</v>
      </c>
      <c r="C869" t="s">
        <v>10472</v>
      </c>
      <c r="D869" t="s">
        <v>10473</v>
      </c>
      <c r="E869" t="s">
        <v>10474</v>
      </c>
      <c r="F869" t="s">
        <v>10475</v>
      </c>
      <c r="G869" t="s">
        <v>10476</v>
      </c>
      <c r="H869" t="str">
        <f>"Eif4h"</f>
        <v>Eif4h</v>
      </c>
      <c r="I869" t="s">
        <v>10477</v>
      </c>
      <c r="J869" t="s">
        <v>37</v>
      </c>
      <c r="K869">
        <v>10090</v>
      </c>
      <c r="L869" s="3" t="str">
        <f>HYPERLINK("http://www.uniprot.org/uniprot/Q9WUK2", "Q9WUK2")</f>
        <v>Q9WUK2</v>
      </c>
      <c r="M869" t="s">
        <v>10478</v>
      </c>
      <c r="N869" t="str">
        <f>"Eif4h"</f>
        <v>Eif4h</v>
      </c>
      <c r="O869" s="3" t="str">
        <f>HYPERLINK("http://www.informatics.jax.org/marker/MGI:1341822", "MGI:1341822")</f>
        <v>MGI:1341822</v>
      </c>
      <c r="P869" t="s">
        <v>10479</v>
      </c>
      <c r="Q869" t="s">
        <v>260</v>
      </c>
      <c r="R869" t="s">
        <v>418</v>
      </c>
      <c r="S869" t="s">
        <v>41</v>
      </c>
      <c r="T869" t="s">
        <v>32</v>
      </c>
      <c r="U869" t="s">
        <v>32</v>
      </c>
      <c r="V869" t="s">
        <v>32</v>
      </c>
      <c r="W869" t="s">
        <v>32</v>
      </c>
      <c r="X869" t="s">
        <v>1566</v>
      </c>
      <c r="Y869" t="s">
        <v>97</v>
      </c>
      <c r="Z869" t="s">
        <v>126</v>
      </c>
      <c r="AA869" t="s">
        <v>10480</v>
      </c>
      <c r="AB869" t="s">
        <v>10481</v>
      </c>
      <c r="AC869" t="s">
        <v>4090</v>
      </c>
      <c r="AD869" t="s">
        <v>32</v>
      </c>
      <c r="AE869" t="s">
        <v>10482</v>
      </c>
      <c r="AF869" t="s">
        <v>46835</v>
      </c>
    </row>
    <row r="870" spans="1:33" x14ac:dyDescent="0.2">
      <c r="A870">
        <v>865</v>
      </c>
      <c r="B870" t="s">
        <v>10483</v>
      </c>
      <c r="C870" t="s">
        <v>10484</v>
      </c>
      <c r="D870" t="s">
        <v>10485</v>
      </c>
      <c r="E870" t="s">
        <v>10486</v>
      </c>
      <c r="F870" t="s">
        <v>10487</v>
      </c>
      <c r="G870" t="s">
        <v>10488</v>
      </c>
      <c r="H870" t="str">
        <f>"Dcps"</f>
        <v>Dcps</v>
      </c>
      <c r="I870" t="s">
        <v>10489</v>
      </c>
      <c r="J870" t="s">
        <v>37</v>
      </c>
      <c r="K870">
        <v>10090</v>
      </c>
      <c r="L870" s="3" t="str">
        <f>HYPERLINK("http://www.uniprot.org/uniprot/Q9DAR7", "Q9DAR7")</f>
        <v>Q9DAR7</v>
      </c>
      <c r="M870" t="s">
        <v>10490</v>
      </c>
      <c r="N870" t="str">
        <f>"Dcps"</f>
        <v>Dcps</v>
      </c>
      <c r="O870" s="3" t="str">
        <f>HYPERLINK("http://www.informatics.jax.org/marker/MGI:1916555", "MGI:1916555")</f>
        <v>MGI:1916555</v>
      </c>
      <c r="P870" t="s">
        <v>10491</v>
      </c>
      <c r="Q870" t="s">
        <v>2139</v>
      </c>
      <c r="R870" t="s">
        <v>40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343</v>
      </c>
      <c r="Y870" t="s">
        <v>157</v>
      </c>
      <c r="Z870" t="s">
        <v>126</v>
      </c>
      <c r="AA870" t="s">
        <v>10492</v>
      </c>
      <c r="AB870" t="s">
        <v>10493</v>
      </c>
      <c r="AC870" t="s">
        <v>10494</v>
      </c>
      <c r="AD870" t="s">
        <v>32</v>
      </c>
      <c r="AE870" t="s">
        <v>10495</v>
      </c>
      <c r="AF870" t="s">
        <v>46835</v>
      </c>
    </row>
    <row r="871" spans="1:33" x14ac:dyDescent="0.2">
      <c r="A871">
        <v>866</v>
      </c>
      <c r="B871" t="s">
        <v>10496</v>
      </c>
      <c r="C871" t="s">
        <v>10497</v>
      </c>
      <c r="D871" t="s">
        <v>10498</v>
      </c>
      <c r="E871" t="s">
        <v>10499</v>
      </c>
      <c r="F871" t="s">
        <v>10500</v>
      </c>
      <c r="G871" t="s">
        <v>10501</v>
      </c>
      <c r="H871" t="str">
        <f>"Erlin2"</f>
        <v>Erlin2</v>
      </c>
      <c r="I871" t="s">
        <v>10502</v>
      </c>
      <c r="J871" t="s">
        <v>37</v>
      </c>
      <c r="K871">
        <v>10090</v>
      </c>
      <c r="L871" s="3" t="str">
        <f>HYPERLINK("http://www.uniprot.org/uniprot/Q8BFZ9", "Q8BFZ9")</f>
        <v>Q8BFZ9</v>
      </c>
      <c r="M871" t="s">
        <v>10503</v>
      </c>
      <c r="N871" t="str">
        <f>"Erlin2"</f>
        <v>Erlin2</v>
      </c>
      <c r="O871" s="3" t="str">
        <f>HYPERLINK("http://www.informatics.jax.org/marker/MGI:2387215", "MGI:2387215")</f>
        <v>MGI:2387215</v>
      </c>
      <c r="P871" t="s">
        <v>10504</v>
      </c>
      <c r="Q871" t="s">
        <v>10505</v>
      </c>
      <c r="R871" t="s">
        <v>1664</v>
      </c>
      <c r="S871" t="s">
        <v>32</v>
      </c>
      <c r="T871" t="s">
        <v>32</v>
      </c>
      <c r="U871" t="s">
        <v>32</v>
      </c>
      <c r="V871" t="s">
        <v>1550</v>
      </c>
      <c r="W871" t="s">
        <v>32</v>
      </c>
      <c r="X871" t="s">
        <v>32</v>
      </c>
      <c r="Y871" t="s">
        <v>10506</v>
      </c>
      <c r="Z871" t="s">
        <v>32</v>
      </c>
      <c r="AA871" t="s">
        <v>10507</v>
      </c>
      <c r="AB871" t="s">
        <v>10508</v>
      </c>
      <c r="AC871" t="s">
        <v>10509</v>
      </c>
      <c r="AD871" t="s">
        <v>32</v>
      </c>
      <c r="AE871" t="s">
        <v>9063</v>
      </c>
      <c r="AF871" t="s">
        <v>46835</v>
      </c>
    </row>
    <row r="872" spans="1:33" x14ac:dyDescent="0.2">
      <c r="A872">
        <v>867</v>
      </c>
      <c r="B872" t="s">
        <v>10510</v>
      </c>
      <c r="C872" t="s">
        <v>10511</v>
      </c>
      <c r="D872" t="s">
        <v>10512</v>
      </c>
      <c r="E872" t="s">
        <v>10513</v>
      </c>
      <c r="F872" t="s">
        <v>10514</v>
      </c>
      <c r="G872" t="s">
        <v>10515</v>
      </c>
      <c r="H872" t="str">
        <f>"Smc1a"</f>
        <v>Smc1a</v>
      </c>
      <c r="I872" t="s">
        <v>10516</v>
      </c>
      <c r="J872" t="s">
        <v>37</v>
      </c>
      <c r="K872">
        <v>10090</v>
      </c>
      <c r="L872" s="3" t="str">
        <f>HYPERLINK("http://www.uniprot.org/uniprot/Q9CU62", "Q9CU62")</f>
        <v>Q9CU62</v>
      </c>
      <c r="M872" t="s">
        <v>10517</v>
      </c>
      <c r="N872" t="str">
        <f>"Smc1a"</f>
        <v>Smc1a</v>
      </c>
      <c r="O872" s="3" t="str">
        <f>HYPERLINK("http://www.informatics.jax.org/marker/MGI:1344345", "MGI:1344345")</f>
        <v>MGI:1344345</v>
      </c>
      <c r="P872" t="s">
        <v>10518</v>
      </c>
      <c r="Q872" t="s">
        <v>10519</v>
      </c>
      <c r="R872" t="s">
        <v>7397</v>
      </c>
      <c r="S872" t="s">
        <v>32</v>
      </c>
      <c r="T872" t="s">
        <v>32</v>
      </c>
      <c r="U872" t="s">
        <v>32</v>
      </c>
      <c r="V872" t="s">
        <v>290</v>
      </c>
      <c r="W872" t="s">
        <v>205</v>
      </c>
      <c r="X872" t="s">
        <v>32</v>
      </c>
      <c r="Y872" t="s">
        <v>1023</v>
      </c>
      <c r="Z872" t="s">
        <v>126</v>
      </c>
      <c r="AA872" t="s">
        <v>10520</v>
      </c>
      <c r="AB872" t="s">
        <v>10521</v>
      </c>
      <c r="AC872" t="s">
        <v>10522</v>
      </c>
      <c r="AD872" t="s">
        <v>32</v>
      </c>
      <c r="AE872" t="s">
        <v>10523</v>
      </c>
      <c r="AF872" t="s">
        <v>46835</v>
      </c>
    </row>
    <row r="873" spans="1:33" x14ac:dyDescent="0.2">
      <c r="A873">
        <v>868</v>
      </c>
      <c r="B873" t="s">
        <v>10524</v>
      </c>
      <c r="C873" t="s">
        <v>10525</v>
      </c>
      <c r="D873" t="s">
        <v>32</v>
      </c>
      <c r="E873" t="s">
        <v>10526</v>
      </c>
      <c r="F873" t="s">
        <v>10527</v>
      </c>
      <c r="G873" t="s">
        <v>10528</v>
      </c>
      <c r="H873" t="str">
        <f>"Ubap2l"</f>
        <v>Ubap2l</v>
      </c>
      <c r="I873" t="s">
        <v>32</v>
      </c>
      <c r="J873" t="s">
        <v>37</v>
      </c>
      <c r="K873">
        <v>10090</v>
      </c>
      <c r="L873" s="3" t="str">
        <f>HYPERLINK("http://www.uniprot.org/uniprot/Q80X50", "Q80X50")</f>
        <v>Q80X50</v>
      </c>
      <c r="M873" t="s">
        <v>10529</v>
      </c>
      <c r="N873" t="str">
        <f>"Ubap2l"</f>
        <v>Ubap2l</v>
      </c>
      <c r="O873" s="3" t="str">
        <f>HYPERLINK("http://www.informatics.jax.org/marker/MGI:1921633", "MGI:1921633")</f>
        <v>MGI:1921633</v>
      </c>
      <c r="P873" t="s">
        <v>10530</v>
      </c>
      <c r="Q873" t="s">
        <v>32</v>
      </c>
      <c r="R873" t="s">
        <v>32</v>
      </c>
      <c r="S873" t="s">
        <v>41</v>
      </c>
      <c r="T873" t="s">
        <v>32</v>
      </c>
      <c r="U873" t="s">
        <v>32</v>
      </c>
      <c r="V873" t="s">
        <v>32</v>
      </c>
      <c r="W873" t="s">
        <v>32</v>
      </c>
      <c r="X873" t="s">
        <v>32</v>
      </c>
      <c r="Y873" t="s">
        <v>97</v>
      </c>
      <c r="Z873" t="s">
        <v>126</v>
      </c>
      <c r="AA873" t="s">
        <v>10531</v>
      </c>
      <c r="AB873" t="s">
        <v>10532</v>
      </c>
      <c r="AC873" t="s">
        <v>32</v>
      </c>
      <c r="AD873" t="s">
        <v>32</v>
      </c>
      <c r="AE873" t="s">
        <v>32</v>
      </c>
      <c r="AF873" t="s">
        <v>46835</v>
      </c>
    </row>
    <row r="874" spans="1:33" x14ac:dyDescent="0.2">
      <c r="A874">
        <v>869</v>
      </c>
      <c r="B874" t="s">
        <v>10533</v>
      </c>
      <c r="C874" t="s">
        <v>47225</v>
      </c>
      <c r="D874" t="s">
        <v>32</v>
      </c>
      <c r="E874" t="s">
        <v>46870</v>
      </c>
      <c r="F874" t="s">
        <v>46869</v>
      </c>
      <c r="G874" t="s">
        <v>32</v>
      </c>
      <c r="H874" t="s">
        <v>47358</v>
      </c>
      <c r="I874" t="s">
        <v>32</v>
      </c>
      <c r="J874" t="s">
        <v>37</v>
      </c>
      <c r="K874">
        <v>10090</v>
      </c>
      <c r="L874" s="3" t="str">
        <f>HYPERLINK(CONCATENATE("https://www.uniprot.org/uniprotkb/", AG874, "/entry"), AG874)</f>
        <v>A0A991ENW0</v>
      </c>
      <c r="M874" t="s">
        <v>32</v>
      </c>
      <c r="N874" t="s">
        <v>32</v>
      </c>
      <c r="O874" s="3" t="s">
        <v>32</v>
      </c>
      <c r="P874" t="s">
        <v>32</v>
      </c>
      <c r="Q874" t="s">
        <v>32</v>
      </c>
      <c r="R874" t="s">
        <v>32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32</v>
      </c>
      <c r="Y874" t="s">
        <v>32</v>
      </c>
      <c r="Z874" t="s">
        <v>32</v>
      </c>
      <c r="AA874" t="s">
        <v>32</v>
      </c>
      <c r="AB874" t="s">
        <v>32</v>
      </c>
      <c r="AC874" t="s">
        <v>32</v>
      </c>
      <c r="AD874" t="s">
        <v>32</v>
      </c>
      <c r="AE874" t="s">
        <v>32</v>
      </c>
      <c r="AF874" t="s">
        <v>46835</v>
      </c>
      <c r="AG874" t="s">
        <v>46869</v>
      </c>
    </row>
    <row r="875" spans="1:33" x14ac:dyDescent="0.2">
      <c r="A875">
        <v>870</v>
      </c>
      <c r="B875" t="s">
        <v>10534</v>
      </c>
      <c r="C875" t="s">
        <v>10535</v>
      </c>
      <c r="D875" t="s">
        <v>10536</v>
      </c>
      <c r="E875" t="s">
        <v>10537</v>
      </c>
      <c r="F875" t="s">
        <v>10538</v>
      </c>
      <c r="G875" t="s">
        <v>32</v>
      </c>
      <c r="H875" t="str">
        <f>"Cops6"</f>
        <v>Cops6</v>
      </c>
      <c r="I875" t="s">
        <v>10539</v>
      </c>
      <c r="J875" t="s">
        <v>37</v>
      </c>
      <c r="K875">
        <v>10090</v>
      </c>
      <c r="L875" s="3" t="str">
        <f>HYPERLINK("http://www.uniprot.org/uniprot/O88545", "O88545")</f>
        <v>O88545</v>
      </c>
      <c r="M875" t="s">
        <v>10540</v>
      </c>
      <c r="N875" t="str">
        <f>"Cops6"</f>
        <v>Cops6</v>
      </c>
      <c r="O875" s="3" t="str">
        <f>HYPERLINK("http://www.informatics.jax.org/marker/MGI:1349439", "MGI:1349439")</f>
        <v>MGI:1349439</v>
      </c>
      <c r="P875" t="s">
        <v>7411</v>
      </c>
      <c r="Q875" t="s">
        <v>32</v>
      </c>
      <c r="R875" t="s">
        <v>7411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32</v>
      </c>
      <c r="Y875" t="s">
        <v>32</v>
      </c>
      <c r="Z875" t="s">
        <v>32</v>
      </c>
      <c r="AA875" t="s">
        <v>4179</v>
      </c>
      <c r="AB875" t="s">
        <v>10541</v>
      </c>
      <c r="AC875" t="s">
        <v>10542</v>
      </c>
      <c r="AD875" t="s">
        <v>32</v>
      </c>
      <c r="AE875" t="s">
        <v>10543</v>
      </c>
      <c r="AF875" t="s">
        <v>46835</v>
      </c>
    </row>
    <row r="876" spans="1:33" x14ac:dyDescent="0.2">
      <c r="A876">
        <v>871</v>
      </c>
      <c r="B876" t="s">
        <v>10544</v>
      </c>
      <c r="C876" t="s">
        <v>10545</v>
      </c>
      <c r="D876" t="s">
        <v>10546</v>
      </c>
      <c r="E876" t="s">
        <v>10547</v>
      </c>
      <c r="F876" t="s">
        <v>10548</v>
      </c>
      <c r="G876" t="s">
        <v>10549</v>
      </c>
      <c r="H876" t="str">
        <f>"Naa50"</f>
        <v>Naa50</v>
      </c>
      <c r="I876" t="s">
        <v>10550</v>
      </c>
      <c r="J876" t="s">
        <v>37</v>
      </c>
      <c r="K876">
        <v>10090</v>
      </c>
      <c r="L876" s="3" t="str">
        <f>HYPERLINK("http://www.uniprot.org/uniprot/Q6PGB6", "Q6PGB6")</f>
        <v>Q6PGB6</v>
      </c>
      <c r="M876" t="s">
        <v>10551</v>
      </c>
      <c r="N876" t="str">
        <f>"Naa50"</f>
        <v>Naa50</v>
      </c>
      <c r="O876" s="3" t="str">
        <f>HYPERLINK("http://www.informatics.jax.org/marker/MGI:1919367", "MGI:1919367")</f>
        <v>MGI:1919367</v>
      </c>
      <c r="P876" t="s">
        <v>10552</v>
      </c>
      <c r="Q876" t="s">
        <v>32</v>
      </c>
      <c r="R876" t="s">
        <v>40</v>
      </c>
      <c r="S876" t="s">
        <v>41</v>
      </c>
      <c r="T876" t="s">
        <v>32</v>
      </c>
      <c r="U876" t="s">
        <v>32</v>
      </c>
      <c r="V876" t="s">
        <v>32</v>
      </c>
      <c r="W876" t="s">
        <v>32</v>
      </c>
      <c r="X876" t="s">
        <v>7304</v>
      </c>
      <c r="Y876" t="s">
        <v>157</v>
      </c>
      <c r="Z876" t="s">
        <v>32</v>
      </c>
      <c r="AA876" t="s">
        <v>10553</v>
      </c>
      <c r="AB876" t="s">
        <v>10554</v>
      </c>
      <c r="AC876" t="s">
        <v>10555</v>
      </c>
      <c r="AD876" t="s">
        <v>32</v>
      </c>
      <c r="AE876" t="s">
        <v>32</v>
      </c>
      <c r="AF876" t="s">
        <v>46835</v>
      </c>
    </row>
    <row r="877" spans="1:33" x14ac:dyDescent="0.2">
      <c r="A877">
        <v>872</v>
      </c>
      <c r="B877" t="s">
        <v>10556</v>
      </c>
      <c r="C877" t="s">
        <v>10557</v>
      </c>
      <c r="D877" t="s">
        <v>10558</v>
      </c>
      <c r="E877" t="s">
        <v>10559</v>
      </c>
      <c r="F877" t="s">
        <v>10560</v>
      </c>
      <c r="G877" t="s">
        <v>10561</v>
      </c>
      <c r="H877" t="str">
        <f>"Adk"</f>
        <v>Adk</v>
      </c>
      <c r="I877" t="s">
        <v>32</v>
      </c>
      <c r="J877" t="s">
        <v>37</v>
      </c>
      <c r="K877">
        <v>10090</v>
      </c>
      <c r="L877" s="3" t="str">
        <f>HYPERLINK("http://www.uniprot.org/uniprot/P55264", "P55264")</f>
        <v>P55264</v>
      </c>
      <c r="M877" t="s">
        <v>10562</v>
      </c>
      <c r="N877" t="str">
        <f>"Adk"</f>
        <v>Adk</v>
      </c>
      <c r="O877" s="3" t="str">
        <f>HYPERLINK("http://www.informatics.jax.org/marker/MGI:87930", "MGI:87930")</f>
        <v>MGI:87930</v>
      </c>
      <c r="P877" t="s">
        <v>10563</v>
      </c>
      <c r="Q877" t="s">
        <v>2361</v>
      </c>
      <c r="R877" t="s">
        <v>40</v>
      </c>
      <c r="S877" t="s">
        <v>41</v>
      </c>
      <c r="T877" t="s">
        <v>32</v>
      </c>
      <c r="U877" t="s">
        <v>32</v>
      </c>
      <c r="V877" t="s">
        <v>32</v>
      </c>
      <c r="W877" t="s">
        <v>1266</v>
      </c>
      <c r="X877" t="s">
        <v>419</v>
      </c>
      <c r="Y877" t="s">
        <v>618</v>
      </c>
      <c r="Z877" t="s">
        <v>126</v>
      </c>
      <c r="AA877" t="s">
        <v>10564</v>
      </c>
      <c r="AB877" t="s">
        <v>10565</v>
      </c>
      <c r="AC877" t="s">
        <v>10566</v>
      </c>
      <c r="AD877" t="s">
        <v>10567</v>
      </c>
      <c r="AE877" t="s">
        <v>10568</v>
      </c>
      <c r="AF877" t="s">
        <v>46835</v>
      </c>
    </row>
    <row r="878" spans="1:33" x14ac:dyDescent="0.2">
      <c r="A878">
        <v>873</v>
      </c>
      <c r="B878" t="s">
        <v>10569</v>
      </c>
      <c r="C878" t="s">
        <v>10570</v>
      </c>
      <c r="D878" t="s">
        <v>32</v>
      </c>
      <c r="E878" t="s">
        <v>10571</v>
      </c>
      <c r="F878" t="s">
        <v>10572</v>
      </c>
      <c r="G878" t="s">
        <v>32</v>
      </c>
      <c r="H878" t="str">
        <f>"Pfdn1"</f>
        <v>Pfdn1</v>
      </c>
      <c r="I878" t="s">
        <v>32</v>
      </c>
      <c r="J878" t="s">
        <v>37</v>
      </c>
      <c r="K878">
        <v>10090</v>
      </c>
      <c r="L878" s="3" t="str">
        <f>HYPERLINK("http://www.uniprot.org/uniprot/Q9CWM4", "Q9CWM4")</f>
        <v>Q9CWM4</v>
      </c>
      <c r="M878" t="s">
        <v>10573</v>
      </c>
      <c r="N878" t="str">
        <f>"Pfdn1"</f>
        <v>Pfdn1</v>
      </c>
      <c r="O878" s="3" t="str">
        <f>HYPERLINK("http://www.informatics.jax.org/marker/MGI:1914449", "MGI:1914449")</f>
        <v>MGI:1914449</v>
      </c>
      <c r="P878" t="s">
        <v>10574</v>
      </c>
      <c r="Q878" t="s">
        <v>32</v>
      </c>
      <c r="R878" t="s">
        <v>32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388</v>
      </c>
      <c r="Y878" t="s">
        <v>78</v>
      </c>
      <c r="Z878" t="s">
        <v>32</v>
      </c>
      <c r="AA878" t="s">
        <v>10575</v>
      </c>
      <c r="AB878" t="s">
        <v>10576</v>
      </c>
      <c r="AC878" t="s">
        <v>10577</v>
      </c>
      <c r="AD878" t="s">
        <v>32</v>
      </c>
      <c r="AE878" t="s">
        <v>32</v>
      </c>
      <c r="AF878" t="s">
        <v>46835</v>
      </c>
    </row>
    <row r="879" spans="1:33" x14ac:dyDescent="0.2">
      <c r="A879">
        <v>874</v>
      </c>
      <c r="B879" t="s">
        <v>10578</v>
      </c>
      <c r="C879" t="s">
        <v>10579</v>
      </c>
      <c r="D879" t="s">
        <v>10580</v>
      </c>
      <c r="E879" t="s">
        <v>10581</v>
      </c>
      <c r="F879" t="s">
        <v>10582</v>
      </c>
      <c r="G879" t="s">
        <v>10583</v>
      </c>
      <c r="H879" t="str">
        <f>"Atp7a"</f>
        <v>Atp7a</v>
      </c>
      <c r="I879" t="s">
        <v>32</v>
      </c>
      <c r="J879" t="s">
        <v>37</v>
      </c>
      <c r="K879">
        <v>10090</v>
      </c>
      <c r="L879" s="3" t="str">
        <f>HYPERLINK("http://www.uniprot.org/uniprot/Q64430", "Q64430")</f>
        <v>Q64430</v>
      </c>
      <c r="M879" t="s">
        <v>10584</v>
      </c>
      <c r="N879" t="str">
        <f>"Atp7a"</f>
        <v>Atp7a</v>
      </c>
      <c r="O879" s="3" t="str">
        <f>HYPERLINK("http://www.informatics.jax.org/marker/MGI:99400", "MGI:99400")</f>
        <v>MGI:99400</v>
      </c>
      <c r="P879" t="s">
        <v>10585</v>
      </c>
      <c r="Q879" t="s">
        <v>10586</v>
      </c>
      <c r="R879" t="s">
        <v>10587</v>
      </c>
      <c r="S879" t="s">
        <v>32</v>
      </c>
      <c r="T879" t="s">
        <v>32</v>
      </c>
      <c r="U879" t="s">
        <v>829</v>
      </c>
      <c r="V879" t="s">
        <v>1620</v>
      </c>
      <c r="W879" t="s">
        <v>10588</v>
      </c>
      <c r="X879" t="s">
        <v>1506</v>
      </c>
      <c r="Y879" t="s">
        <v>4720</v>
      </c>
      <c r="Z879" t="s">
        <v>32</v>
      </c>
      <c r="AA879" t="s">
        <v>10589</v>
      </c>
      <c r="AB879" t="s">
        <v>10590</v>
      </c>
      <c r="AC879" t="s">
        <v>10591</v>
      </c>
      <c r="AD879" t="s">
        <v>32</v>
      </c>
      <c r="AE879" t="s">
        <v>10592</v>
      </c>
      <c r="AF879" t="s">
        <v>46835</v>
      </c>
    </row>
    <row r="880" spans="1:33" x14ac:dyDescent="0.2">
      <c r="A880">
        <v>875</v>
      </c>
      <c r="B880" t="s">
        <v>10593</v>
      </c>
      <c r="C880" t="s">
        <v>10594</v>
      </c>
      <c r="D880" t="s">
        <v>10595</v>
      </c>
      <c r="E880" t="s">
        <v>10596</v>
      </c>
      <c r="F880" t="s">
        <v>10597</v>
      </c>
      <c r="G880" t="s">
        <v>10598</v>
      </c>
      <c r="H880" t="str">
        <f>"Tmod1"</f>
        <v>Tmod1</v>
      </c>
      <c r="I880" t="s">
        <v>10599</v>
      </c>
      <c r="J880" t="s">
        <v>37</v>
      </c>
      <c r="K880">
        <v>10090</v>
      </c>
      <c r="L880" s="3" t="str">
        <f>HYPERLINK("http://www.uniprot.org/uniprot/P49813", "P49813")</f>
        <v>P49813</v>
      </c>
      <c r="M880" t="s">
        <v>10600</v>
      </c>
      <c r="N880" t="str">
        <f>"Tmod1"</f>
        <v>Tmod1</v>
      </c>
      <c r="O880" s="3" t="str">
        <f>HYPERLINK("http://www.informatics.jax.org/marker/MGI:98775", "MGI:98775")</f>
        <v>MGI:98775</v>
      </c>
      <c r="P880" t="s">
        <v>10601</v>
      </c>
      <c r="Q880" t="s">
        <v>32</v>
      </c>
      <c r="R880" t="s">
        <v>186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405</v>
      </c>
      <c r="Y880" t="s">
        <v>32</v>
      </c>
      <c r="Z880" t="s">
        <v>32</v>
      </c>
      <c r="AA880" t="s">
        <v>10602</v>
      </c>
      <c r="AB880" t="s">
        <v>10603</v>
      </c>
      <c r="AC880" t="s">
        <v>10604</v>
      </c>
      <c r="AD880" t="s">
        <v>32</v>
      </c>
      <c r="AE880" t="s">
        <v>10605</v>
      </c>
      <c r="AF880" t="s">
        <v>46835</v>
      </c>
    </row>
    <row r="881" spans="1:32" x14ac:dyDescent="0.2">
      <c r="A881">
        <v>876</v>
      </c>
      <c r="B881" t="s">
        <v>10606</v>
      </c>
      <c r="C881" t="s">
        <v>10607</v>
      </c>
      <c r="D881" t="s">
        <v>10608</v>
      </c>
      <c r="E881" t="s">
        <v>10609</v>
      </c>
      <c r="F881" t="s">
        <v>10610</v>
      </c>
      <c r="G881" t="s">
        <v>32</v>
      </c>
      <c r="H881" t="str">
        <f>"Cyb5r3"</f>
        <v>Cyb5r3</v>
      </c>
      <c r="I881" t="s">
        <v>10611</v>
      </c>
      <c r="J881" t="s">
        <v>37</v>
      </c>
      <c r="K881">
        <v>10090</v>
      </c>
      <c r="L881" s="3" t="str">
        <f>HYPERLINK("http://www.uniprot.org/uniprot/Q9DCN2", "Q9DCN2")</f>
        <v>Q9DCN2</v>
      </c>
      <c r="M881" t="s">
        <v>10612</v>
      </c>
      <c r="N881" t="str">
        <f>"Cyb5r3"</f>
        <v>Cyb5r3</v>
      </c>
      <c r="O881" s="3" t="str">
        <f>HYPERLINK("http://www.informatics.jax.org/marker/MGI:94893", "MGI:94893")</f>
        <v>MGI:94893</v>
      </c>
      <c r="P881" t="s">
        <v>10613</v>
      </c>
      <c r="Q881" t="s">
        <v>10614</v>
      </c>
      <c r="R881" t="s">
        <v>10615</v>
      </c>
      <c r="S881" t="s">
        <v>10616</v>
      </c>
      <c r="T881" t="s">
        <v>32</v>
      </c>
      <c r="U881" t="s">
        <v>32</v>
      </c>
      <c r="V881" t="s">
        <v>32</v>
      </c>
      <c r="W881" t="s">
        <v>7933</v>
      </c>
      <c r="X881" t="s">
        <v>600</v>
      </c>
      <c r="Y881" t="s">
        <v>138</v>
      </c>
      <c r="Z881" t="s">
        <v>32</v>
      </c>
      <c r="AA881" t="s">
        <v>10617</v>
      </c>
      <c r="AB881" t="s">
        <v>10618</v>
      </c>
      <c r="AC881" t="s">
        <v>10619</v>
      </c>
      <c r="AD881" t="s">
        <v>32</v>
      </c>
      <c r="AE881" t="s">
        <v>10620</v>
      </c>
      <c r="AF881" t="s">
        <v>46835</v>
      </c>
    </row>
    <row r="882" spans="1:32" x14ac:dyDescent="0.2">
      <c r="A882">
        <v>877</v>
      </c>
      <c r="B882" t="s">
        <v>10621</v>
      </c>
      <c r="C882" t="s">
        <v>10622</v>
      </c>
      <c r="D882" t="s">
        <v>32</v>
      </c>
      <c r="E882" t="s">
        <v>10623</v>
      </c>
      <c r="F882" t="s">
        <v>10624</v>
      </c>
      <c r="G882" t="s">
        <v>32</v>
      </c>
      <c r="H882" t="str">
        <f>"Clta"</f>
        <v>Clta</v>
      </c>
      <c r="I882" t="s">
        <v>32</v>
      </c>
      <c r="J882" t="s">
        <v>37</v>
      </c>
      <c r="K882">
        <v>10090</v>
      </c>
      <c r="L882" s="3" t="str">
        <f>HYPERLINK("http://www.uniprot.org/uniprot/O08585", "O08585")</f>
        <v>O08585</v>
      </c>
      <c r="M882" t="s">
        <v>10625</v>
      </c>
      <c r="N882" t="str">
        <f>"Clta"</f>
        <v>Clta</v>
      </c>
      <c r="O882" s="3" t="str">
        <f>HYPERLINK("http://www.informatics.jax.org/marker/MGI:894297", "MGI:894297")</f>
        <v>MGI:894297</v>
      </c>
      <c r="P882" t="s">
        <v>10626</v>
      </c>
      <c r="Q882" t="s">
        <v>2968</v>
      </c>
      <c r="R882" t="s">
        <v>773</v>
      </c>
      <c r="S882" t="s">
        <v>32</v>
      </c>
      <c r="T882" t="s">
        <v>32</v>
      </c>
      <c r="U882" t="s">
        <v>32</v>
      </c>
      <c r="V882" t="s">
        <v>32</v>
      </c>
      <c r="W882" t="s">
        <v>1380</v>
      </c>
      <c r="X882" t="s">
        <v>32</v>
      </c>
      <c r="Y882" t="s">
        <v>157</v>
      </c>
      <c r="Z882" t="s">
        <v>32</v>
      </c>
      <c r="AA882" t="s">
        <v>10627</v>
      </c>
      <c r="AB882" t="s">
        <v>10628</v>
      </c>
      <c r="AC882" t="s">
        <v>10629</v>
      </c>
      <c r="AD882" t="s">
        <v>32</v>
      </c>
      <c r="AE882" t="s">
        <v>10630</v>
      </c>
      <c r="AF882" t="s">
        <v>46835</v>
      </c>
    </row>
    <row r="883" spans="1:32" x14ac:dyDescent="0.2">
      <c r="A883">
        <v>878</v>
      </c>
      <c r="B883" t="s">
        <v>10631</v>
      </c>
      <c r="C883" t="s">
        <v>10632</v>
      </c>
      <c r="D883" t="s">
        <v>10633</v>
      </c>
      <c r="E883" t="s">
        <v>10634</v>
      </c>
      <c r="F883" t="s">
        <v>10635</v>
      </c>
      <c r="G883" t="s">
        <v>32</v>
      </c>
      <c r="H883" t="str">
        <f>"Snx18"</f>
        <v>Snx18</v>
      </c>
      <c r="I883" t="s">
        <v>32</v>
      </c>
      <c r="J883" t="s">
        <v>37</v>
      </c>
      <c r="K883">
        <v>10090</v>
      </c>
      <c r="L883" s="3" t="str">
        <f>HYPERLINK("http://www.uniprot.org/uniprot/Q91ZR2", "Q91ZR2")</f>
        <v>Q91ZR2</v>
      </c>
      <c r="M883" t="s">
        <v>10636</v>
      </c>
      <c r="N883" t="str">
        <f>"Snx18"</f>
        <v>Snx18</v>
      </c>
      <c r="O883" s="3" t="str">
        <f>HYPERLINK("http://www.informatics.jax.org/marker/MGI:2137642", "MGI:2137642")</f>
        <v>MGI:2137642</v>
      </c>
      <c r="P883" t="s">
        <v>10637</v>
      </c>
      <c r="Q883" t="s">
        <v>10638</v>
      </c>
      <c r="R883" t="s">
        <v>10639</v>
      </c>
      <c r="S883" t="s">
        <v>32</v>
      </c>
      <c r="T883" t="s">
        <v>32</v>
      </c>
      <c r="U883" t="s">
        <v>32</v>
      </c>
      <c r="V883" t="s">
        <v>10640</v>
      </c>
      <c r="W883" t="s">
        <v>584</v>
      </c>
      <c r="X883" t="s">
        <v>32</v>
      </c>
      <c r="Y883" t="s">
        <v>32</v>
      </c>
      <c r="Z883" t="s">
        <v>32</v>
      </c>
      <c r="AA883" t="s">
        <v>10641</v>
      </c>
      <c r="AB883" t="s">
        <v>10642</v>
      </c>
      <c r="AC883" t="s">
        <v>10643</v>
      </c>
      <c r="AD883" t="s">
        <v>32</v>
      </c>
      <c r="AE883" t="s">
        <v>4859</v>
      </c>
      <c r="AF883" t="s">
        <v>46835</v>
      </c>
    </row>
    <row r="884" spans="1:32" x14ac:dyDescent="0.2">
      <c r="A884">
        <v>879</v>
      </c>
      <c r="B884" t="s">
        <v>10644</v>
      </c>
      <c r="C884" t="s">
        <v>10645</v>
      </c>
      <c r="D884" t="s">
        <v>10646</v>
      </c>
      <c r="E884" t="s">
        <v>10647</v>
      </c>
      <c r="F884" t="s">
        <v>10648</v>
      </c>
      <c r="G884" t="s">
        <v>10649</v>
      </c>
      <c r="H884" t="str">
        <f>"Dlst"</f>
        <v>Dlst</v>
      </c>
      <c r="I884" t="s">
        <v>32</v>
      </c>
      <c r="J884" t="s">
        <v>37</v>
      </c>
      <c r="K884">
        <v>10090</v>
      </c>
      <c r="L884" s="3" t="str">
        <f>HYPERLINK("http://www.uniprot.org/uniprot/Q9D2G2", "Q9D2G2")</f>
        <v>Q9D2G2</v>
      </c>
      <c r="M884" t="s">
        <v>10650</v>
      </c>
      <c r="N884" t="str">
        <f>"Dlst"</f>
        <v>Dlst</v>
      </c>
      <c r="O884" s="3" t="str">
        <f>HYPERLINK("http://www.informatics.jax.org/marker/MGI:1926170", "MGI:1926170")</f>
        <v>MGI:1926170</v>
      </c>
      <c r="P884" t="s">
        <v>10651</v>
      </c>
      <c r="Q884" t="s">
        <v>1756</v>
      </c>
      <c r="R884" t="s">
        <v>2377</v>
      </c>
      <c r="S884" t="s">
        <v>41</v>
      </c>
      <c r="T884" t="s">
        <v>32</v>
      </c>
      <c r="U884" t="s">
        <v>32</v>
      </c>
      <c r="V884" t="s">
        <v>10652</v>
      </c>
      <c r="W884" t="s">
        <v>32</v>
      </c>
      <c r="X884" t="s">
        <v>7304</v>
      </c>
      <c r="Y884" t="s">
        <v>157</v>
      </c>
      <c r="Z884" t="s">
        <v>32</v>
      </c>
      <c r="AA884" t="s">
        <v>10653</v>
      </c>
      <c r="AB884" t="s">
        <v>10654</v>
      </c>
      <c r="AC884" t="s">
        <v>10655</v>
      </c>
      <c r="AD884" t="s">
        <v>10656</v>
      </c>
      <c r="AE884" t="s">
        <v>10657</v>
      </c>
      <c r="AF884" t="s">
        <v>46835</v>
      </c>
    </row>
    <row r="885" spans="1:32" x14ac:dyDescent="0.2">
      <c r="A885">
        <v>880</v>
      </c>
      <c r="B885" t="s">
        <v>10658</v>
      </c>
      <c r="C885" t="s">
        <v>10659</v>
      </c>
      <c r="D885" t="s">
        <v>10660</v>
      </c>
      <c r="E885" t="s">
        <v>10661</v>
      </c>
      <c r="F885" t="s">
        <v>10662</v>
      </c>
      <c r="G885" t="s">
        <v>10663</v>
      </c>
      <c r="H885" t="str">
        <f>"Hnrnpdl"</f>
        <v>Hnrnpdl</v>
      </c>
      <c r="I885" t="s">
        <v>10664</v>
      </c>
      <c r="J885" t="s">
        <v>37</v>
      </c>
      <c r="K885">
        <v>10090</v>
      </c>
      <c r="L885" s="3" t="str">
        <f>HYPERLINK("http://www.uniprot.org/uniprot/Q9Z130", "Q9Z130")</f>
        <v>Q9Z130</v>
      </c>
      <c r="M885" t="s">
        <v>10665</v>
      </c>
      <c r="N885" t="str">
        <f>"Hnrnpdl"</f>
        <v>Hnrnpdl</v>
      </c>
      <c r="O885" s="3" t="str">
        <f>HYPERLINK("http://www.informatics.jax.org/marker/MGI:1355299", "MGI:1355299")</f>
        <v>MGI:1355299</v>
      </c>
      <c r="P885" t="s">
        <v>10666</v>
      </c>
      <c r="Q885" t="s">
        <v>4152</v>
      </c>
      <c r="R885" t="s">
        <v>40</v>
      </c>
      <c r="S885" t="s">
        <v>32</v>
      </c>
      <c r="T885" t="s">
        <v>32</v>
      </c>
      <c r="U885" t="s">
        <v>32</v>
      </c>
      <c r="V885" t="s">
        <v>55</v>
      </c>
      <c r="W885" t="s">
        <v>32</v>
      </c>
      <c r="X885" t="s">
        <v>1940</v>
      </c>
      <c r="Y885" t="s">
        <v>207</v>
      </c>
      <c r="Z885" t="s">
        <v>32</v>
      </c>
      <c r="AA885" t="s">
        <v>10667</v>
      </c>
      <c r="AB885" t="s">
        <v>9597</v>
      </c>
      <c r="AC885" t="s">
        <v>10668</v>
      </c>
      <c r="AD885" t="s">
        <v>32</v>
      </c>
      <c r="AE885" t="s">
        <v>32</v>
      </c>
      <c r="AF885" t="s">
        <v>46835</v>
      </c>
    </row>
    <row r="886" spans="1:32" x14ac:dyDescent="0.2">
      <c r="A886">
        <v>881</v>
      </c>
      <c r="B886" t="s">
        <v>10669</v>
      </c>
      <c r="C886" t="s">
        <v>10670</v>
      </c>
      <c r="D886" t="s">
        <v>10671</v>
      </c>
      <c r="E886" t="s">
        <v>10672</v>
      </c>
      <c r="F886" t="s">
        <v>10673</v>
      </c>
      <c r="G886" t="s">
        <v>10674</v>
      </c>
      <c r="H886" t="str">
        <f>"Arih1"</f>
        <v>Arih1</v>
      </c>
      <c r="I886" t="s">
        <v>32</v>
      </c>
      <c r="J886" t="s">
        <v>37</v>
      </c>
      <c r="K886">
        <v>10090</v>
      </c>
      <c r="L886" s="3" t="str">
        <f>HYPERLINK("http://www.uniprot.org/uniprot/Q9Z1K5", "Q9Z1K5")</f>
        <v>Q9Z1K5</v>
      </c>
      <c r="M886" t="s">
        <v>10675</v>
      </c>
      <c r="N886" t="str">
        <f>"Arih1"</f>
        <v>Arih1</v>
      </c>
      <c r="O886" s="3" t="str">
        <f>HYPERLINK("http://www.informatics.jax.org/marker/MGI:1344363", "MGI:1344363")</f>
        <v>MGI:1344363</v>
      </c>
      <c r="P886" t="s">
        <v>10676</v>
      </c>
      <c r="Q886" t="s">
        <v>1020</v>
      </c>
      <c r="R886" t="s">
        <v>40</v>
      </c>
      <c r="S886" t="s">
        <v>32</v>
      </c>
      <c r="T886" t="s">
        <v>32</v>
      </c>
      <c r="U886" t="s">
        <v>32</v>
      </c>
      <c r="V886" t="s">
        <v>3791</v>
      </c>
      <c r="W886" t="s">
        <v>42</v>
      </c>
      <c r="X886" t="s">
        <v>515</v>
      </c>
      <c r="Y886" t="s">
        <v>78</v>
      </c>
      <c r="Z886" t="s">
        <v>32</v>
      </c>
      <c r="AA886" t="s">
        <v>10677</v>
      </c>
      <c r="AB886" t="s">
        <v>10678</v>
      </c>
      <c r="AC886" t="s">
        <v>10679</v>
      </c>
      <c r="AD886" t="s">
        <v>1027</v>
      </c>
      <c r="AE886" t="s">
        <v>2299</v>
      </c>
      <c r="AF886" t="s">
        <v>46835</v>
      </c>
    </row>
    <row r="887" spans="1:32" x14ac:dyDescent="0.2">
      <c r="A887">
        <v>882</v>
      </c>
      <c r="B887" t="s">
        <v>10680</v>
      </c>
      <c r="C887" t="s">
        <v>10681</v>
      </c>
      <c r="D887" t="s">
        <v>32</v>
      </c>
      <c r="E887" t="s">
        <v>10682</v>
      </c>
      <c r="F887" t="s">
        <v>10683</v>
      </c>
      <c r="G887" t="s">
        <v>10684</v>
      </c>
      <c r="H887" t="str">
        <f>"Spr"</f>
        <v>Spr</v>
      </c>
      <c r="I887" t="s">
        <v>32</v>
      </c>
      <c r="J887" t="s">
        <v>37</v>
      </c>
      <c r="K887">
        <v>10090</v>
      </c>
      <c r="L887" s="3" t="str">
        <f>HYPERLINK("http://www.uniprot.org/uniprot/Q64105", "Q64105")</f>
        <v>Q64105</v>
      </c>
      <c r="M887" t="s">
        <v>10685</v>
      </c>
      <c r="N887" t="str">
        <f>"Spr"</f>
        <v>Spr</v>
      </c>
      <c r="O887" s="3" t="str">
        <f>HYPERLINK("http://www.informatics.jax.org/marker/MGI:103078", "MGI:103078")</f>
        <v>MGI:103078</v>
      </c>
      <c r="P887" t="s">
        <v>10686</v>
      </c>
      <c r="Q887" t="s">
        <v>32</v>
      </c>
      <c r="R887" t="s">
        <v>418</v>
      </c>
      <c r="S887" t="s">
        <v>32</v>
      </c>
      <c r="T887" t="s">
        <v>32</v>
      </c>
      <c r="U887" t="s">
        <v>32</v>
      </c>
      <c r="V887" t="s">
        <v>32</v>
      </c>
      <c r="W887" t="s">
        <v>3204</v>
      </c>
      <c r="X887" t="s">
        <v>600</v>
      </c>
      <c r="Y887" t="s">
        <v>157</v>
      </c>
      <c r="Z887" t="s">
        <v>126</v>
      </c>
      <c r="AA887" t="s">
        <v>10687</v>
      </c>
      <c r="AB887" t="s">
        <v>5336</v>
      </c>
      <c r="AC887" t="s">
        <v>10688</v>
      </c>
      <c r="AD887" t="s">
        <v>32</v>
      </c>
      <c r="AE887" t="s">
        <v>10689</v>
      </c>
      <c r="AF887" t="s">
        <v>46835</v>
      </c>
    </row>
    <row r="888" spans="1:32" x14ac:dyDescent="0.2">
      <c r="A888">
        <v>883</v>
      </c>
      <c r="B888" t="s">
        <v>10690</v>
      </c>
      <c r="C888" t="s">
        <v>10691</v>
      </c>
      <c r="D888" t="s">
        <v>32</v>
      </c>
      <c r="E888" t="s">
        <v>10692</v>
      </c>
      <c r="F888" t="s">
        <v>10693</v>
      </c>
      <c r="G888" t="s">
        <v>10694</v>
      </c>
      <c r="H888" t="str">
        <f>"Tnrc6b"</f>
        <v>Tnrc6b</v>
      </c>
      <c r="I888" t="s">
        <v>10695</v>
      </c>
      <c r="J888" t="s">
        <v>37</v>
      </c>
      <c r="K888">
        <v>10090</v>
      </c>
      <c r="L888" s="3" t="str">
        <f>HYPERLINK("http://www.uniprot.org/uniprot/Q8BKI2", "Q8BKI2")</f>
        <v>Q8BKI2</v>
      </c>
      <c r="M888" t="s">
        <v>10696</v>
      </c>
      <c r="N888" t="str">
        <f>"Tnrc6b"</f>
        <v>Tnrc6b</v>
      </c>
      <c r="O888" s="3" t="str">
        <f>HYPERLINK("http://www.informatics.jax.org/marker/MGI:2443730", "MGI:2443730")</f>
        <v>MGI:2443730</v>
      </c>
      <c r="P888" t="s">
        <v>10697</v>
      </c>
      <c r="Q888" t="s">
        <v>10698</v>
      </c>
      <c r="R888" t="s">
        <v>418</v>
      </c>
      <c r="S888" t="s">
        <v>41</v>
      </c>
      <c r="T888" t="s">
        <v>32</v>
      </c>
      <c r="U888" t="s">
        <v>32</v>
      </c>
      <c r="V888" t="s">
        <v>290</v>
      </c>
      <c r="W888" t="s">
        <v>32</v>
      </c>
      <c r="X888" t="s">
        <v>1282</v>
      </c>
      <c r="Y888" t="s">
        <v>618</v>
      </c>
      <c r="Z888" t="s">
        <v>32</v>
      </c>
      <c r="AA888" t="s">
        <v>10699</v>
      </c>
      <c r="AB888" t="s">
        <v>10700</v>
      </c>
      <c r="AC888" t="s">
        <v>4711</v>
      </c>
      <c r="AD888" t="s">
        <v>32</v>
      </c>
      <c r="AE888" t="s">
        <v>10701</v>
      </c>
      <c r="AF888" t="s">
        <v>46835</v>
      </c>
    </row>
    <row r="889" spans="1:32" x14ac:dyDescent="0.2">
      <c r="A889">
        <v>884</v>
      </c>
      <c r="B889" t="s">
        <v>10702</v>
      </c>
      <c r="C889" t="s">
        <v>10703</v>
      </c>
      <c r="D889" t="s">
        <v>10704</v>
      </c>
      <c r="E889" t="s">
        <v>10705</v>
      </c>
      <c r="F889" t="s">
        <v>10706</v>
      </c>
      <c r="G889" t="s">
        <v>10707</v>
      </c>
      <c r="H889" t="str">
        <f>"H1-0"</f>
        <v>H1-0</v>
      </c>
      <c r="I889" t="s">
        <v>10708</v>
      </c>
      <c r="J889" t="s">
        <v>37</v>
      </c>
      <c r="K889">
        <v>10090</v>
      </c>
      <c r="L889" s="3" t="str">
        <f>HYPERLINK("http://www.uniprot.org/uniprot/P10922", "P10922")</f>
        <v>P10922</v>
      </c>
      <c r="M889" t="s">
        <v>10709</v>
      </c>
      <c r="N889" t="str">
        <f>"H1f0"</f>
        <v>H1f0</v>
      </c>
      <c r="O889" s="3" t="str">
        <f>HYPERLINK("http://www.informatics.jax.org/marker/MGI:95893", "MGI:95893")</f>
        <v>MGI:95893</v>
      </c>
      <c r="P889" t="s">
        <v>10710</v>
      </c>
      <c r="Q889" t="s">
        <v>32</v>
      </c>
      <c r="R889" t="s">
        <v>1939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247</v>
      </c>
      <c r="Y889" t="s">
        <v>10711</v>
      </c>
      <c r="Z889" t="s">
        <v>32</v>
      </c>
      <c r="AA889" t="s">
        <v>10712</v>
      </c>
      <c r="AB889" t="s">
        <v>10713</v>
      </c>
      <c r="AC889" t="s">
        <v>10714</v>
      </c>
      <c r="AD889" t="s">
        <v>32</v>
      </c>
      <c r="AE889" t="s">
        <v>2563</v>
      </c>
      <c r="AF889" t="s">
        <v>46835</v>
      </c>
    </row>
    <row r="890" spans="1:32" x14ac:dyDescent="0.2">
      <c r="A890">
        <v>885</v>
      </c>
      <c r="B890" t="s">
        <v>10715</v>
      </c>
      <c r="C890" t="s">
        <v>10716</v>
      </c>
      <c r="D890" t="s">
        <v>32</v>
      </c>
      <c r="E890" t="s">
        <v>10717</v>
      </c>
      <c r="F890" t="s">
        <v>10718</v>
      </c>
      <c r="G890" t="s">
        <v>10719</v>
      </c>
      <c r="H890" t="str">
        <f>"Cat"</f>
        <v>Cat</v>
      </c>
      <c r="I890" t="s">
        <v>10720</v>
      </c>
      <c r="J890" t="s">
        <v>37</v>
      </c>
      <c r="K890">
        <v>10090</v>
      </c>
      <c r="L890" s="3" t="str">
        <f>HYPERLINK("http://www.uniprot.org/uniprot/P24270", "P24270")</f>
        <v>P24270</v>
      </c>
      <c r="M890" t="s">
        <v>10721</v>
      </c>
      <c r="N890" t="str">
        <f>"Cat"</f>
        <v>Cat</v>
      </c>
      <c r="O890" s="3" t="str">
        <f>HYPERLINK("http://www.informatics.jax.org/marker/MGI:88271", "MGI:88271")</f>
        <v>MGI:88271</v>
      </c>
      <c r="P890" t="s">
        <v>10722</v>
      </c>
      <c r="Q890" t="s">
        <v>10104</v>
      </c>
      <c r="R890" t="s">
        <v>5745</v>
      </c>
      <c r="S890" t="s">
        <v>32</v>
      </c>
      <c r="T890" t="s">
        <v>32</v>
      </c>
      <c r="U890" t="s">
        <v>32</v>
      </c>
      <c r="V890" t="s">
        <v>32</v>
      </c>
      <c r="W890" t="s">
        <v>10723</v>
      </c>
      <c r="X890" t="s">
        <v>10724</v>
      </c>
      <c r="Y890" t="s">
        <v>157</v>
      </c>
      <c r="Z890" t="s">
        <v>32</v>
      </c>
      <c r="AA890" t="s">
        <v>10725</v>
      </c>
      <c r="AB890" t="s">
        <v>10726</v>
      </c>
      <c r="AC890" t="s">
        <v>10727</v>
      </c>
      <c r="AD890" t="s">
        <v>32</v>
      </c>
      <c r="AE890" t="s">
        <v>10728</v>
      </c>
      <c r="AF890" t="s">
        <v>46835</v>
      </c>
    </row>
    <row r="891" spans="1:32" x14ac:dyDescent="0.2">
      <c r="A891">
        <v>886</v>
      </c>
      <c r="B891" t="s">
        <v>10729</v>
      </c>
      <c r="C891" t="s">
        <v>10730</v>
      </c>
      <c r="D891" t="s">
        <v>32</v>
      </c>
      <c r="E891" t="s">
        <v>10731</v>
      </c>
      <c r="F891" t="s">
        <v>10732</v>
      </c>
      <c r="G891" t="s">
        <v>32</v>
      </c>
      <c r="H891" t="str">
        <f>"Rplp1"</f>
        <v>Rplp1</v>
      </c>
      <c r="I891" t="s">
        <v>32</v>
      </c>
      <c r="J891" t="s">
        <v>37</v>
      </c>
      <c r="K891">
        <v>10090</v>
      </c>
      <c r="L891" s="3" t="str">
        <f>HYPERLINK("http://www.uniprot.org/uniprot/P47955", "P47955")</f>
        <v>P47955</v>
      </c>
      <c r="M891" t="s">
        <v>10733</v>
      </c>
      <c r="N891" t="str">
        <f>"Rplp1"</f>
        <v>Rplp1</v>
      </c>
      <c r="O891" s="3" t="str">
        <f>HYPERLINK("http://www.informatics.jax.org/marker/MGI:1927099", "MGI:1927099")</f>
        <v>MGI:1927099</v>
      </c>
      <c r="P891" t="s">
        <v>5610</v>
      </c>
      <c r="Q891" t="s">
        <v>32</v>
      </c>
      <c r="R891" t="s">
        <v>32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447</v>
      </c>
      <c r="Y891" t="s">
        <v>157</v>
      </c>
      <c r="Z891" t="s">
        <v>32</v>
      </c>
      <c r="AA891" t="s">
        <v>10734</v>
      </c>
      <c r="AB891" t="s">
        <v>3056</v>
      </c>
      <c r="AC891" t="s">
        <v>10735</v>
      </c>
      <c r="AD891" t="s">
        <v>32</v>
      </c>
      <c r="AE891" t="s">
        <v>765</v>
      </c>
      <c r="AF891" t="s">
        <v>46835</v>
      </c>
    </row>
    <row r="892" spans="1:32" x14ac:dyDescent="0.2">
      <c r="A892">
        <v>887</v>
      </c>
      <c r="B892" t="s">
        <v>10736</v>
      </c>
      <c r="C892" t="s">
        <v>10737</v>
      </c>
      <c r="D892" t="s">
        <v>10738</v>
      </c>
      <c r="E892" t="s">
        <v>10739</v>
      </c>
      <c r="F892" t="s">
        <v>10740</v>
      </c>
      <c r="G892" t="s">
        <v>10741</v>
      </c>
      <c r="H892" t="str">
        <f>"Ca2"</f>
        <v>Ca2</v>
      </c>
      <c r="I892" t="s">
        <v>10742</v>
      </c>
      <c r="J892" t="s">
        <v>37</v>
      </c>
      <c r="K892">
        <v>10090</v>
      </c>
      <c r="L892" s="3" t="str">
        <f>HYPERLINK("http://www.uniprot.org/uniprot/P00920", "P00920")</f>
        <v>P00920</v>
      </c>
      <c r="M892" t="s">
        <v>10743</v>
      </c>
      <c r="N892" t="str">
        <f>"Car2"</f>
        <v>Car2</v>
      </c>
      <c r="O892" s="3" t="str">
        <f>HYPERLINK("http://www.informatics.jax.org/marker/MGI:88269", "MGI:88269")</f>
        <v>MGI:88269</v>
      </c>
      <c r="P892" t="s">
        <v>10744</v>
      </c>
      <c r="Q892" t="s">
        <v>32</v>
      </c>
      <c r="R892" t="s">
        <v>222</v>
      </c>
      <c r="S892" t="s">
        <v>32</v>
      </c>
      <c r="T892" t="s">
        <v>32</v>
      </c>
      <c r="U892" t="s">
        <v>32</v>
      </c>
      <c r="V892" t="s">
        <v>32</v>
      </c>
      <c r="W892" t="s">
        <v>42</v>
      </c>
      <c r="X892" t="s">
        <v>224</v>
      </c>
      <c r="Y892" t="s">
        <v>157</v>
      </c>
      <c r="Z892" t="s">
        <v>32</v>
      </c>
      <c r="AA892" t="s">
        <v>10745</v>
      </c>
      <c r="AB892" t="s">
        <v>10746</v>
      </c>
      <c r="AC892" t="s">
        <v>10747</v>
      </c>
      <c r="AD892" t="s">
        <v>32</v>
      </c>
      <c r="AE892" t="s">
        <v>10748</v>
      </c>
      <c r="AF892" t="s">
        <v>46835</v>
      </c>
    </row>
    <row r="893" spans="1:32" x14ac:dyDescent="0.2">
      <c r="A893">
        <v>888</v>
      </c>
      <c r="B893" t="s">
        <v>10749</v>
      </c>
      <c r="C893" t="s">
        <v>10750</v>
      </c>
      <c r="D893" t="s">
        <v>10751</v>
      </c>
      <c r="E893" t="s">
        <v>10752</v>
      </c>
      <c r="F893" t="s">
        <v>10753</v>
      </c>
      <c r="G893" t="s">
        <v>10754</v>
      </c>
      <c r="H893" t="str">
        <f>"Rufy3"</f>
        <v>Rufy3</v>
      </c>
      <c r="I893" t="s">
        <v>32</v>
      </c>
      <c r="J893" t="s">
        <v>37</v>
      </c>
      <c r="K893">
        <v>10090</v>
      </c>
      <c r="L893" s="3" t="str">
        <f>HYPERLINK("http://www.uniprot.org/uniprot/Q9D394", "Q9D394")</f>
        <v>Q9D394</v>
      </c>
      <c r="M893" t="s">
        <v>10755</v>
      </c>
      <c r="N893" t="str">
        <f>"Rufy3"</f>
        <v>Rufy3</v>
      </c>
      <c r="O893" s="3" t="str">
        <f>HYPERLINK("http://www.informatics.jax.org/marker/MGI:106484", "MGI:106484")</f>
        <v>MGI:106484</v>
      </c>
      <c r="P893" t="s">
        <v>10756</v>
      </c>
      <c r="Q893" t="s">
        <v>2027</v>
      </c>
      <c r="R893" t="s">
        <v>10757</v>
      </c>
      <c r="S893" t="s">
        <v>41</v>
      </c>
      <c r="T893" t="s">
        <v>32</v>
      </c>
      <c r="U893" t="s">
        <v>10758</v>
      </c>
      <c r="V893" t="s">
        <v>290</v>
      </c>
      <c r="W893" t="s">
        <v>32</v>
      </c>
      <c r="X893" t="s">
        <v>2029</v>
      </c>
      <c r="Y893" t="s">
        <v>618</v>
      </c>
      <c r="Z893" t="s">
        <v>126</v>
      </c>
      <c r="AA893" t="s">
        <v>10759</v>
      </c>
      <c r="AB893" t="s">
        <v>10760</v>
      </c>
      <c r="AC893" t="s">
        <v>32</v>
      </c>
      <c r="AD893" t="s">
        <v>32</v>
      </c>
      <c r="AE893" t="s">
        <v>32</v>
      </c>
      <c r="AF893" t="s">
        <v>46835</v>
      </c>
    </row>
    <row r="894" spans="1:32" x14ac:dyDescent="0.2">
      <c r="A894">
        <v>889</v>
      </c>
      <c r="B894" t="s">
        <v>10761</v>
      </c>
      <c r="C894" t="s">
        <v>10762</v>
      </c>
      <c r="D894" t="s">
        <v>10763</v>
      </c>
      <c r="E894" t="s">
        <v>10764</v>
      </c>
      <c r="F894" t="s">
        <v>10765</v>
      </c>
      <c r="G894" t="s">
        <v>10766</v>
      </c>
      <c r="H894" t="str">
        <f>"Sf3b1"</f>
        <v>Sf3b1</v>
      </c>
      <c r="I894" t="s">
        <v>10767</v>
      </c>
      <c r="J894" t="s">
        <v>37</v>
      </c>
      <c r="K894">
        <v>10090</v>
      </c>
      <c r="L894" s="3" t="str">
        <f>HYPERLINK("http://www.uniprot.org/uniprot/Q99NB9", "Q99NB9")</f>
        <v>Q99NB9</v>
      </c>
      <c r="M894" t="s">
        <v>10768</v>
      </c>
      <c r="N894" t="str">
        <f>"Sf3b1"</f>
        <v>Sf3b1</v>
      </c>
      <c r="O894" s="3" t="str">
        <f>HYPERLINK("http://www.informatics.jax.org/marker/MGI:1932339", "MGI:1932339")</f>
        <v>MGI:1932339</v>
      </c>
      <c r="P894" t="s">
        <v>10769</v>
      </c>
      <c r="Q894" t="s">
        <v>2139</v>
      </c>
      <c r="R894" t="s">
        <v>2140</v>
      </c>
      <c r="S894" t="s">
        <v>32</v>
      </c>
      <c r="T894" t="s">
        <v>32</v>
      </c>
      <c r="U894" t="s">
        <v>32</v>
      </c>
      <c r="V894" t="s">
        <v>55</v>
      </c>
      <c r="W894" t="s">
        <v>32</v>
      </c>
      <c r="X894" t="s">
        <v>1282</v>
      </c>
      <c r="Y894" t="s">
        <v>700</v>
      </c>
      <c r="Z894" t="s">
        <v>32</v>
      </c>
      <c r="AA894" t="s">
        <v>10770</v>
      </c>
      <c r="AB894" t="s">
        <v>10771</v>
      </c>
      <c r="AC894" t="s">
        <v>10772</v>
      </c>
      <c r="AD894" t="s">
        <v>32</v>
      </c>
      <c r="AE894" t="s">
        <v>10773</v>
      </c>
      <c r="AF894" t="s">
        <v>46835</v>
      </c>
    </row>
    <row r="895" spans="1:32" x14ac:dyDescent="0.2">
      <c r="A895">
        <v>890</v>
      </c>
      <c r="B895" t="s">
        <v>10774</v>
      </c>
      <c r="C895" t="s">
        <v>10775</v>
      </c>
      <c r="D895" t="s">
        <v>10776</v>
      </c>
      <c r="E895" t="s">
        <v>10777</v>
      </c>
      <c r="F895" t="s">
        <v>10778</v>
      </c>
      <c r="G895" t="s">
        <v>10779</v>
      </c>
      <c r="H895" t="str">
        <f>"Hspa4l"</f>
        <v>Hspa4l</v>
      </c>
      <c r="I895" t="s">
        <v>10780</v>
      </c>
      <c r="J895" t="s">
        <v>37</v>
      </c>
      <c r="K895">
        <v>10090</v>
      </c>
      <c r="L895" s="3" t="str">
        <f>HYPERLINK("http://www.uniprot.org/uniprot/P48722", "P48722")</f>
        <v>P48722</v>
      </c>
      <c r="M895" t="s">
        <v>10781</v>
      </c>
      <c r="N895" t="str">
        <f>"Hspa4l"</f>
        <v>Hspa4l</v>
      </c>
      <c r="O895" s="3" t="str">
        <f>HYPERLINK("http://www.informatics.jax.org/marker/MGI:107422", "MGI:107422")</f>
        <v>MGI:107422</v>
      </c>
      <c r="P895" t="s">
        <v>10782</v>
      </c>
      <c r="Q895" t="s">
        <v>386</v>
      </c>
      <c r="R895" t="s">
        <v>40</v>
      </c>
      <c r="S895" t="s">
        <v>41</v>
      </c>
      <c r="T895" t="s">
        <v>32</v>
      </c>
      <c r="U895" t="s">
        <v>32</v>
      </c>
      <c r="V895" t="s">
        <v>32</v>
      </c>
      <c r="W895" t="s">
        <v>205</v>
      </c>
      <c r="X895" t="s">
        <v>388</v>
      </c>
      <c r="Y895" t="s">
        <v>618</v>
      </c>
      <c r="Z895" t="s">
        <v>32</v>
      </c>
      <c r="AA895" t="s">
        <v>10783</v>
      </c>
      <c r="AB895" t="s">
        <v>4218</v>
      </c>
      <c r="AC895" t="s">
        <v>6204</v>
      </c>
      <c r="AD895" t="s">
        <v>32</v>
      </c>
      <c r="AE895" t="s">
        <v>1445</v>
      </c>
      <c r="AF895" t="s">
        <v>46835</v>
      </c>
    </row>
    <row r="896" spans="1:32" x14ac:dyDescent="0.2">
      <c r="A896">
        <v>891</v>
      </c>
      <c r="B896" t="s">
        <v>10784</v>
      </c>
      <c r="C896" t="s">
        <v>10785</v>
      </c>
      <c r="D896" t="s">
        <v>32</v>
      </c>
      <c r="E896" t="s">
        <v>10786</v>
      </c>
      <c r="F896" t="s">
        <v>10787</v>
      </c>
      <c r="G896" t="s">
        <v>10788</v>
      </c>
      <c r="H896" t="str">
        <f>"Acin1"</f>
        <v>Acin1</v>
      </c>
      <c r="I896" t="s">
        <v>10789</v>
      </c>
      <c r="J896" t="s">
        <v>37</v>
      </c>
      <c r="K896">
        <v>10090</v>
      </c>
      <c r="L896" s="3" t="str">
        <f>HYPERLINK("http://www.uniprot.org/uniprot/Q9JIX8", "Q9JIX8")</f>
        <v>Q9JIX8</v>
      </c>
      <c r="M896" t="s">
        <v>10790</v>
      </c>
      <c r="N896" t="str">
        <f>"Acin1"</f>
        <v>Acin1</v>
      </c>
      <c r="O896" s="3" t="str">
        <f>HYPERLINK("http://www.informatics.jax.org/marker/MGI:1891824", "MGI:1891824")</f>
        <v>MGI:1891824</v>
      </c>
      <c r="P896" t="s">
        <v>10791</v>
      </c>
      <c r="Q896" t="s">
        <v>10792</v>
      </c>
      <c r="R896" t="s">
        <v>2279</v>
      </c>
      <c r="S896" t="s">
        <v>41</v>
      </c>
      <c r="T896" t="s">
        <v>32</v>
      </c>
      <c r="U896" t="s">
        <v>32</v>
      </c>
      <c r="V896" t="s">
        <v>32</v>
      </c>
      <c r="W896" t="s">
        <v>32</v>
      </c>
      <c r="X896" t="s">
        <v>32</v>
      </c>
      <c r="Y896" t="s">
        <v>207</v>
      </c>
      <c r="Z896" t="s">
        <v>32</v>
      </c>
      <c r="AA896" t="s">
        <v>10793</v>
      </c>
      <c r="AB896" t="s">
        <v>10794</v>
      </c>
      <c r="AC896" t="s">
        <v>10795</v>
      </c>
      <c r="AD896" t="s">
        <v>32</v>
      </c>
      <c r="AE896" t="s">
        <v>10796</v>
      </c>
      <c r="AF896" t="s">
        <v>46835</v>
      </c>
    </row>
    <row r="897" spans="1:32" x14ac:dyDescent="0.2">
      <c r="A897">
        <v>892</v>
      </c>
      <c r="B897" t="s">
        <v>10797</v>
      </c>
      <c r="C897" t="s">
        <v>10798</v>
      </c>
      <c r="D897" t="s">
        <v>10799</v>
      </c>
      <c r="E897" t="s">
        <v>10800</v>
      </c>
      <c r="F897" t="s">
        <v>10801</v>
      </c>
      <c r="G897" t="s">
        <v>10802</v>
      </c>
      <c r="H897" t="str">
        <f>"Golga4"</f>
        <v>Golga4</v>
      </c>
      <c r="I897" t="s">
        <v>32</v>
      </c>
      <c r="J897" t="s">
        <v>37</v>
      </c>
      <c r="K897">
        <v>10090</v>
      </c>
      <c r="L897" s="3" t="str">
        <f>HYPERLINK("http://www.uniprot.org/uniprot/Q91VW5", "Q91VW5")</f>
        <v>Q91VW5</v>
      </c>
      <c r="M897" t="s">
        <v>10803</v>
      </c>
      <c r="N897" t="str">
        <f>"Golga4"</f>
        <v>Golga4</v>
      </c>
      <c r="O897" s="3" t="str">
        <f>HYPERLINK("http://www.informatics.jax.org/marker/MGI:1859646", "MGI:1859646")</f>
        <v>MGI:1859646</v>
      </c>
      <c r="P897" t="s">
        <v>10804</v>
      </c>
      <c r="Q897" t="s">
        <v>32</v>
      </c>
      <c r="R897" t="s">
        <v>7998</v>
      </c>
      <c r="S897" t="s">
        <v>32</v>
      </c>
      <c r="T897" t="s">
        <v>32</v>
      </c>
      <c r="U897" t="s">
        <v>32</v>
      </c>
      <c r="V897" t="s">
        <v>290</v>
      </c>
      <c r="W897" t="s">
        <v>32</v>
      </c>
      <c r="X897" t="s">
        <v>32</v>
      </c>
      <c r="Y897" t="s">
        <v>618</v>
      </c>
      <c r="Z897" t="s">
        <v>32</v>
      </c>
      <c r="AA897" t="s">
        <v>10805</v>
      </c>
      <c r="AB897" t="s">
        <v>10806</v>
      </c>
      <c r="AC897" t="s">
        <v>10807</v>
      </c>
      <c r="AD897" t="s">
        <v>32</v>
      </c>
      <c r="AE897" t="s">
        <v>10808</v>
      </c>
      <c r="AF897" t="s">
        <v>46835</v>
      </c>
    </row>
    <row r="898" spans="1:32" x14ac:dyDescent="0.2">
      <c r="A898">
        <v>893</v>
      </c>
      <c r="B898" t="s">
        <v>10809</v>
      </c>
      <c r="C898" t="s">
        <v>10810</v>
      </c>
      <c r="D898" t="s">
        <v>10811</v>
      </c>
      <c r="E898" t="s">
        <v>10812</v>
      </c>
      <c r="F898" t="s">
        <v>10813</v>
      </c>
      <c r="G898" t="s">
        <v>10814</v>
      </c>
      <c r="H898" t="str">
        <f>"Ogdh"</f>
        <v>Ogdh</v>
      </c>
      <c r="I898" t="s">
        <v>10815</v>
      </c>
      <c r="J898" t="s">
        <v>37</v>
      </c>
      <c r="K898">
        <v>10090</v>
      </c>
      <c r="L898" s="3" t="str">
        <f>HYPERLINK("http://www.uniprot.org/uniprot/Q60597", "Q60597")</f>
        <v>Q60597</v>
      </c>
      <c r="M898" t="s">
        <v>10816</v>
      </c>
      <c r="N898" t="str">
        <f>"Ogdh"</f>
        <v>Ogdh</v>
      </c>
      <c r="O898" s="3" t="str">
        <f>HYPERLINK("http://www.informatics.jax.org/marker/MGI:1098267", "MGI:1098267")</f>
        <v>MGI:1098267</v>
      </c>
      <c r="P898" t="s">
        <v>10817</v>
      </c>
      <c r="Q898" t="s">
        <v>221</v>
      </c>
      <c r="R898" t="s">
        <v>2377</v>
      </c>
      <c r="S898" t="s">
        <v>41</v>
      </c>
      <c r="T898" t="s">
        <v>32</v>
      </c>
      <c r="U898" t="s">
        <v>32</v>
      </c>
      <c r="V898" t="s">
        <v>1039</v>
      </c>
      <c r="W898" t="s">
        <v>10818</v>
      </c>
      <c r="X898" t="s">
        <v>600</v>
      </c>
      <c r="Y898" t="s">
        <v>516</v>
      </c>
      <c r="Z898" t="s">
        <v>126</v>
      </c>
      <c r="AA898" t="s">
        <v>10819</v>
      </c>
      <c r="AB898" t="s">
        <v>10820</v>
      </c>
      <c r="AC898" t="s">
        <v>10821</v>
      </c>
      <c r="AD898" t="s">
        <v>32</v>
      </c>
      <c r="AE898" t="s">
        <v>10657</v>
      </c>
      <c r="AF898" t="s">
        <v>46835</v>
      </c>
    </row>
    <row r="899" spans="1:32" x14ac:dyDescent="0.2">
      <c r="A899">
        <v>894</v>
      </c>
      <c r="B899" t="s">
        <v>10822</v>
      </c>
      <c r="C899" t="s">
        <v>10823</v>
      </c>
      <c r="D899" t="s">
        <v>10824</v>
      </c>
      <c r="E899" t="s">
        <v>10825</v>
      </c>
      <c r="F899" t="s">
        <v>10826</v>
      </c>
      <c r="G899" t="s">
        <v>10827</v>
      </c>
      <c r="H899" t="str">
        <f>"Ldhb"</f>
        <v>Ldhb</v>
      </c>
      <c r="I899" t="s">
        <v>10828</v>
      </c>
      <c r="J899" t="s">
        <v>37</v>
      </c>
      <c r="K899">
        <v>10090</v>
      </c>
      <c r="L899" s="3" t="str">
        <f>HYPERLINK("http://www.uniprot.org/uniprot/P16125", "P16125")</f>
        <v>P16125</v>
      </c>
      <c r="M899" t="s">
        <v>10829</v>
      </c>
      <c r="N899" t="str">
        <f>"Ldhb"</f>
        <v>Ldhb</v>
      </c>
      <c r="O899" s="3" t="str">
        <f>HYPERLINK("http://www.informatics.jax.org/marker/MGI:96763", "MGI:96763")</f>
        <v>MGI:96763</v>
      </c>
      <c r="P899" t="s">
        <v>10830</v>
      </c>
      <c r="Q899" t="s">
        <v>32</v>
      </c>
      <c r="R899" t="s">
        <v>10831</v>
      </c>
      <c r="S899" t="s">
        <v>32</v>
      </c>
      <c r="T899" t="s">
        <v>32</v>
      </c>
      <c r="U899" t="s">
        <v>32</v>
      </c>
      <c r="V899" t="s">
        <v>32</v>
      </c>
      <c r="W899" t="s">
        <v>325</v>
      </c>
      <c r="X899" t="s">
        <v>600</v>
      </c>
      <c r="Y899" t="s">
        <v>157</v>
      </c>
      <c r="Z899" t="s">
        <v>32</v>
      </c>
      <c r="AA899" t="s">
        <v>10832</v>
      </c>
      <c r="AB899" t="s">
        <v>10833</v>
      </c>
      <c r="AC899" t="s">
        <v>1186</v>
      </c>
      <c r="AD899" t="s">
        <v>1187</v>
      </c>
      <c r="AE899" t="s">
        <v>1188</v>
      </c>
      <c r="AF899" t="s">
        <v>46835</v>
      </c>
    </row>
    <row r="900" spans="1:32" x14ac:dyDescent="0.2">
      <c r="A900">
        <v>895</v>
      </c>
      <c r="B900" t="s">
        <v>10834</v>
      </c>
      <c r="C900" t="s">
        <v>10835</v>
      </c>
      <c r="D900" t="s">
        <v>10836</v>
      </c>
      <c r="E900" t="s">
        <v>10837</v>
      </c>
      <c r="F900" t="s">
        <v>10838</v>
      </c>
      <c r="G900" t="s">
        <v>10839</v>
      </c>
      <c r="H900" t="str">
        <f>"Ptpn11"</f>
        <v>Ptpn11</v>
      </c>
      <c r="I900" t="s">
        <v>32</v>
      </c>
      <c r="J900" t="s">
        <v>37</v>
      </c>
      <c r="K900">
        <v>10090</v>
      </c>
      <c r="L900" s="3" t="str">
        <f>HYPERLINK("http://www.uniprot.org/uniprot/P35235", "P35235")</f>
        <v>P35235</v>
      </c>
      <c r="M900" t="s">
        <v>10840</v>
      </c>
      <c r="N900" t="str">
        <f>"Ptpn11"</f>
        <v>Ptpn11</v>
      </c>
      <c r="O900" s="3" t="str">
        <f>HYPERLINK("http://www.informatics.jax.org/marker/MGI:99511", "MGI:99511")</f>
        <v>MGI:99511</v>
      </c>
      <c r="P900" t="s">
        <v>10841</v>
      </c>
      <c r="Q900" t="s">
        <v>32</v>
      </c>
      <c r="R900" t="s">
        <v>418</v>
      </c>
      <c r="S900" t="s">
        <v>41</v>
      </c>
      <c r="T900" t="s">
        <v>32</v>
      </c>
      <c r="U900" t="s">
        <v>32</v>
      </c>
      <c r="V900" t="s">
        <v>10842</v>
      </c>
      <c r="W900" t="s">
        <v>32</v>
      </c>
      <c r="X900" t="s">
        <v>3683</v>
      </c>
      <c r="Y900" t="s">
        <v>157</v>
      </c>
      <c r="Z900" t="s">
        <v>126</v>
      </c>
      <c r="AA900" t="s">
        <v>10843</v>
      </c>
      <c r="AB900" t="s">
        <v>10844</v>
      </c>
      <c r="AC900" t="s">
        <v>10845</v>
      </c>
      <c r="AD900" t="s">
        <v>32</v>
      </c>
      <c r="AE900" t="s">
        <v>10846</v>
      </c>
      <c r="AF900" t="s">
        <v>46835</v>
      </c>
    </row>
    <row r="901" spans="1:32" x14ac:dyDescent="0.2">
      <c r="A901">
        <v>896</v>
      </c>
      <c r="B901" t="s">
        <v>10847</v>
      </c>
      <c r="C901" t="s">
        <v>10848</v>
      </c>
      <c r="D901" t="s">
        <v>10849</v>
      </c>
      <c r="E901" t="s">
        <v>10850</v>
      </c>
      <c r="F901" t="s">
        <v>10851</v>
      </c>
      <c r="G901" t="s">
        <v>32</v>
      </c>
      <c r="H901" t="str">
        <f>"Tkfc"</f>
        <v>Tkfc</v>
      </c>
      <c r="I901" t="s">
        <v>32</v>
      </c>
      <c r="J901" t="s">
        <v>37</v>
      </c>
      <c r="K901">
        <v>10090</v>
      </c>
      <c r="L901" s="3" t="str">
        <f>HYPERLINK("http://www.uniprot.org/uniprot/Q8VC30", "Q8VC30")</f>
        <v>Q8VC30</v>
      </c>
      <c r="M901" t="s">
        <v>10852</v>
      </c>
      <c r="N901" t="str">
        <f>"Tkfc"</f>
        <v>Tkfc</v>
      </c>
      <c r="O901" s="3" t="str">
        <f>HYPERLINK("http://www.informatics.jax.org/marker/MGI:2385084", "MGI:2385084")</f>
        <v>MGI:2385084</v>
      </c>
      <c r="P901" t="s">
        <v>10853</v>
      </c>
      <c r="Q901" t="s">
        <v>32</v>
      </c>
      <c r="R901" t="s">
        <v>32</v>
      </c>
      <c r="S901" t="s">
        <v>32</v>
      </c>
      <c r="T901" t="s">
        <v>32</v>
      </c>
      <c r="U901" t="s">
        <v>32</v>
      </c>
      <c r="V901" t="s">
        <v>32</v>
      </c>
      <c r="W901" t="s">
        <v>10854</v>
      </c>
      <c r="X901" t="s">
        <v>10855</v>
      </c>
      <c r="Y901" t="s">
        <v>618</v>
      </c>
      <c r="Z901" t="s">
        <v>32</v>
      </c>
      <c r="AA901" t="s">
        <v>10856</v>
      </c>
      <c r="AB901" t="s">
        <v>1268</v>
      </c>
      <c r="AC901" t="s">
        <v>10857</v>
      </c>
      <c r="AD901" t="s">
        <v>32</v>
      </c>
      <c r="AE901" t="s">
        <v>10858</v>
      </c>
      <c r="AF901" t="s">
        <v>46835</v>
      </c>
    </row>
    <row r="902" spans="1:32" x14ac:dyDescent="0.2">
      <c r="A902">
        <v>897</v>
      </c>
      <c r="B902" t="s">
        <v>10859</v>
      </c>
      <c r="C902" t="s">
        <v>10860</v>
      </c>
      <c r="D902" t="s">
        <v>10861</v>
      </c>
      <c r="E902" t="s">
        <v>10862</v>
      </c>
      <c r="F902" t="s">
        <v>10863</v>
      </c>
      <c r="G902" t="s">
        <v>10864</v>
      </c>
      <c r="H902" t="str">
        <f>"Smc3"</f>
        <v>Smc3</v>
      </c>
      <c r="I902" t="s">
        <v>10865</v>
      </c>
      <c r="J902" t="s">
        <v>37</v>
      </c>
      <c r="K902">
        <v>10090</v>
      </c>
      <c r="L902" s="3" t="str">
        <f>HYPERLINK("http://www.uniprot.org/uniprot/Q9CW03", "Q9CW03")</f>
        <v>Q9CW03</v>
      </c>
      <c r="M902" t="s">
        <v>10866</v>
      </c>
      <c r="N902" t="str">
        <f>"Smc3"</f>
        <v>Smc3</v>
      </c>
      <c r="O902" s="3" t="str">
        <f>HYPERLINK("http://www.informatics.jax.org/marker/MGI:1339795", "MGI:1339795")</f>
        <v>MGI:1339795</v>
      </c>
      <c r="P902" t="s">
        <v>10518</v>
      </c>
      <c r="Q902" t="s">
        <v>10519</v>
      </c>
      <c r="R902" t="s">
        <v>7397</v>
      </c>
      <c r="S902" t="s">
        <v>32</v>
      </c>
      <c r="T902" t="s">
        <v>32</v>
      </c>
      <c r="U902" t="s">
        <v>32</v>
      </c>
      <c r="V902" t="s">
        <v>290</v>
      </c>
      <c r="W902" t="s">
        <v>205</v>
      </c>
      <c r="X902" t="s">
        <v>32</v>
      </c>
      <c r="Y902" t="s">
        <v>1023</v>
      </c>
      <c r="Z902" t="s">
        <v>126</v>
      </c>
      <c r="AA902" t="s">
        <v>10867</v>
      </c>
      <c r="AB902" t="s">
        <v>10868</v>
      </c>
      <c r="AC902" t="s">
        <v>10869</v>
      </c>
      <c r="AD902" t="s">
        <v>32</v>
      </c>
      <c r="AE902" t="s">
        <v>10523</v>
      </c>
      <c r="AF902" t="s">
        <v>46835</v>
      </c>
    </row>
    <row r="903" spans="1:32" x14ac:dyDescent="0.2">
      <c r="A903">
        <v>898</v>
      </c>
      <c r="B903" t="s">
        <v>10870</v>
      </c>
      <c r="C903" t="s">
        <v>10871</v>
      </c>
      <c r="D903" t="s">
        <v>10872</v>
      </c>
      <c r="E903" t="s">
        <v>10873</v>
      </c>
      <c r="F903" t="s">
        <v>10874</v>
      </c>
      <c r="G903" t="s">
        <v>10875</v>
      </c>
      <c r="H903" t="str">
        <f>"Cops5"</f>
        <v>Cops5</v>
      </c>
      <c r="I903" t="s">
        <v>10876</v>
      </c>
      <c r="J903" t="s">
        <v>37</v>
      </c>
      <c r="K903">
        <v>10090</v>
      </c>
      <c r="L903" s="3" t="str">
        <f>HYPERLINK("http://www.uniprot.org/uniprot/O35864", "O35864")</f>
        <v>O35864</v>
      </c>
      <c r="M903" t="s">
        <v>10877</v>
      </c>
      <c r="N903" t="str">
        <f>"Cops5"</f>
        <v>Cops5</v>
      </c>
      <c r="O903" s="3" t="str">
        <f>HYPERLINK("http://www.informatics.jax.org/marker/MGI:1349415", "MGI:1349415")</f>
        <v>MGI:1349415</v>
      </c>
      <c r="P903" t="s">
        <v>10878</v>
      </c>
      <c r="Q903" t="s">
        <v>32</v>
      </c>
      <c r="R903" t="s">
        <v>4178</v>
      </c>
      <c r="S903" t="s">
        <v>32</v>
      </c>
      <c r="T903" t="s">
        <v>32</v>
      </c>
      <c r="U903" t="s">
        <v>32</v>
      </c>
      <c r="V903" t="s">
        <v>32</v>
      </c>
      <c r="W903" t="s">
        <v>42</v>
      </c>
      <c r="X903" t="s">
        <v>4882</v>
      </c>
      <c r="Y903" t="s">
        <v>78</v>
      </c>
      <c r="Z903" t="s">
        <v>32</v>
      </c>
      <c r="AA903" t="s">
        <v>10879</v>
      </c>
      <c r="AB903" t="s">
        <v>10880</v>
      </c>
      <c r="AC903" t="s">
        <v>10881</v>
      </c>
      <c r="AD903" t="s">
        <v>32</v>
      </c>
      <c r="AE903" t="s">
        <v>10543</v>
      </c>
      <c r="AF903" t="s">
        <v>46835</v>
      </c>
    </row>
    <row r="904" spans="1:32" x14ac:dyDescent="0.2">
      <c r="A904">
        <v>899</v>
      </c>
      <c r="B904" t="s">
        <v>10882</v>
      </c>
      <c r="C904" t="s">
        <v>10883</v>
      </c>
      <c r="D904" t="s">
        <v>10884</v>
      </c>
      <c r="E904" t="s">
        <v>10885</v>
      </c>
      <c r="F904" t="s">
        <v>10886</v>
      </c>
      <c r="G904" t="s">
        <v>10887</v>
      </c>
      <c r="H904" t="str">
        <f>"Ndufa10"</f>
        <v>Ndufa10</v>
      </c>
      <c r="I904" t="s">
        <v>32</v>
      </c>
      <c r="J904" t="s">
        <v>37</v>
      </c>
      <c r="K904">
        <v>10090</v>
      </c>
      <c r="L904" s="3" t="str">
        <f>HYPERLINK("http://www.uniprot.org/uniprot/Q99LC3", "Q99LC3")</f>
        <v>Q99LC3</v>
      </c>
      <c r="M904" t="s">
        <v>10888</v>
      </c>
      <c r="N904" t="str">
        <f>"Ndufa10"</f>
        <v>Ndufa10</v>
      </c>
      <c r="O904" s="3" t="str">
        <f>HYPERLINK("http://www.informatics.jax.org/marker/MGI:1914523", "MGI:1914523")</f>
        <v>MGI:1914523</v>
      </c>
      <c r="P904" t="s">
        <v>10889</v>
      </c>
      <c r="Q904" t="s">
        <v>6888</v>
      </c>
      <c r="R904" t="s">
        <v>1038</v>
      </c>
      <c r="S904" t="s">
        <v>32</v>
      </c>
      <c r="T904" t="s">
        <v>32</v>
      </c>
      <c r="U904" t="s">
        <v>32</v>
      </c>
      <c r="V904" t="s">
        <v>1039</v>
      </c>
      <c r="W904" t="s">
        <v>4600</v>
      </c>
      <c r="X904" t="s">
        <v>32</v>
      </c>
      <c r="Y904" t="s">
        <v>157</v>
      </c>
      <c r="Z904" t="s">
        <v>126</v>
      </c>
      <c r="AA904" t="s">
        <v>10890</v>
      </c>
      <c r="AB904" t="s">
        <v>10891</v>
      </c>
      <c r="AC904" t="s">
        <v>10892</v>
      </c>
      <c r="AD904" t="s">
        <v>32</v>
      </c>
      <c r="AE904" t="s">
        <v>10470</v>
      </c>
      <c r="AF904" t="s">
        <v>46835</v>
      </c>
    </row>
    <row r="905" spans="1:32" x14ac:dyDescent="0.2">
      <c r="A905">
        <v>900</v>
      </c>
      <c r="B905" t="s">
        <v>10893</v>
      </c>
      <c r="C905" t="s">
        <v>10894</v>
      </c>
      <c r="D905" t="s">
        <v>10895</v>
      </c>
      <c r="E905" t="s">
        <v>10896</v>
      </c>
      <c r="F905" t="s">
        <v>10897</v>
      </c>
      <c r="G905" t="s">
        <v>10898</v>
      </c>
      <c r="H905" t="str">
        <f>"Nckap1"</f>
        <v>Nckap1</v>
      </c>
      <c r="I905" t="s">
        <v>10899</v>
      </c>
      <c r="J905" t="s">
        <v>37</v>
      </c>
      <c r="K905">
        <v>10090</v>
      </c>
      <c r="L905" s="3" t="str">
        <f>HYPERLINK("http://www.uniprot.org/uniprot/P28660", "P28660")</f>
        <v>P28660</v>
      </c>
      <c r="M905" t="s">
        <v>10900</v>
      </c>
      <c r="N905" t="str">
        <f>"Nckap1"</f>
        <v>Nckap1</v>
      </c>
      <c r="O905" s="3" t="str">
        <f>HYPERLINK("http://www.informatics.jax.org/marker/MGI:1355333", "MGI:1355333")</f>
        <v>MGI:1355333</v>
      </c>
      <c r="P905" t="s">
        <v>10901</v>
      </c>
      <c r="Q905" t="s">
        <v>32</v>
      </c>
      <c r="R905" t="s">
        <v>10902</v>
      </c>
      <c r="S905" t="s">
        <v>41</v>
      </c>
      <c r="T905" t="s">
        <v>32</v>
      </c>
      <c r="U905" t="s">
        <v>32</v>
      </c>
      <c r="V905" t="s">
        <v>493</v>
      </c>
      <c r="W905" t="s">
        <v>32</v>
      </c>
      <c r="X905" t="s">
        <v>32</v>
      </c>
      <c r="Y905" t="s">
        <v>78</v>
      </c>
      <c r="Z905" t="s">
        <v>32</v>
      </c>
      <c r="AA905" t="s">
        <v>10903</v>
      </c>
      <c r="AB905" t="s">
        <v>10904</v>
      </c>
      <c r="AC905" t="s">
        <v>10905</v>
      </c>
      <c r="AD905" t="s">
        <v>32</v>
      </c>
      <c r="AE905" t="s">
        <v>10906</v>
      </c>
      <c r="AF905" t="s">
        <v>46835</v>
      </c>
    </row>
    <row r="906" spans="1:32" x14ac:dyDescent="0.2">
      <c r="A906">
        <v>901</v>
      </c>
      <c r="B906" t="s">
        <v>10907</v>
      </c>
      <c r="C906" t="s">
        <v>10908</v>
      </c>
      <c r="D906" t="s">
        <v>10909</v>
      </c>
      <c r="E906" t="s">
        <v>10910</v>
      </c>
      <c r="F906" t="s">
        <v>10911</v>
      </c>
      <c r="G906" t="s">
        <v>10912</v>
      </c>
      <c r="H906" t="str">
        <f>"Ndufs2"</f>
        <v>Ndufs2</v>
      </c>
      <c r="I906" t="s">
        <v>32</v>
      </c>
      <c r="J906" t="s">
        <v>37</v>
      </c>
      <c r="K906">
        <v>10090</v>
      </c>
      <c r="L906" s="3" t="str">
        <f>HYPERLINK("http://www.uniprot.org/uniprot/Q91WD5", "Q91WD5")</f>
        <v>Q91WD5</v>
      </c>
      <c r="M906" t="s">
        <v>10913</v>
      </c>
      <c r="N906" t="str">
        <f>"Ndufs2"</f>
        <v>Ndufs2</v>
      </c>
      <c r="O906" s="3" t="str">
        <f>HYPERLINK("http://www.informatics.jax.org/marker/MGI:2385112", "MGI:2385112")</f>
        <v>MGI:2385112</v>
      </c>
      <c r="P906" t="s">
        <v>10914</v>
      </c>
      <c r="Q906" t="s">
        <v>6888</v>
      </c>
      <c r="R906" t="s">
        <v>3858</v>
      </c>
      <c r="S906" t="s">
        <v>32</v>
      </c>
      <c r="T906" t="s">
        <v>32</v>
      </c>
      <c r="U906" t="s">
        <v>32</v>
      </c>
      <c r="V906" t="s">
        <v>1039</v>
      </c>
      <c r="W906" t="s">
        <v>10915</v>
      </c>
      <c r="X906" t="s">
        <v>10466</v>
      </c>
      <c r="Y906" t="s">
        <v>57</v>
      </c>
      <c r="Z906" t="s">
        <v>126</v>
      </c>
      <c r="AA906" t="s">
        <v>10916</v>
      </c>
      <c r="AB906" t="s">
        <v>10917</v>
      </c>
      <c r="AC906" t="s">
        <v>10918</v>
      </c>
      <c r="AD906" t="s">
        <v>32</v>
      </c>
      <c r="AE906" t="s">
        <v>10470</v>
      </c>
      <c r="AF906" t="s">
        <v>46835</v>
      </c>
    </row>
    <row r="907" spans="1:32" x14ac:dyDescent="0.2">
      <c r="A907">
        <v>902</v>
      </c>
      <c r="B907" t="s">
        <v>10919</v>
      </c>
      <c r="C907" t="s">
        <v>10920</v>
      </c>
      <c r="D907" t="s">
        <v>32</v>
      </c>
      <c r="E907" t="s">
        <v>10921</v>
      </c>
      <c r="F907" t="s">
        <v>10922</v>
      </c>
      <c r="G907" t="s">
        <v>10923</v>
      </c>
      <c r="H907" t="str">
        <f>"Cul1"</f>
        <v>Cul1</v>
      </c>
      <c r="I907" t="s">
        <v>32</v>
      </c>
      <c r="J907" t="s">
        <v>37</v>
      </c>
      <c r="K907">
        <v>10090</v>
      </c>
      <c r="L907" s="3" t="str">
        <f>HYPERLINK("http://www.uniprot.org/uniprot/Q9WTX6", "Q9WTX6")</f>
        <v>Q9WTX6</v>
      </c>
      <c r="M907" t="s">
        <v>10924</v>
      </c>
      <c r="N907" t="str">
        <f>"Cul1"</f>
        <v>Cul1</v>
      </c>
      <c r="O907" s="3" t="str">
        <f>HYPERLINK("http://www.informatics.jax.org/marker/MGI:1349658", "MGI:1349658")</f>
        <v>MGI:1349658</v>
      </c>
      <c r="P907" t="s">
        <v>10925</v>
      </c>
      <c r="Q907" t="s">
        <v>10926</v>
      </c>
      <c r="R907" t="s">
        <v>32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32</v>
      </c>
      <c r="Y907" t="s">
        <v>10927</v>
      </c>
      <c r="Z907" t="s">
        <v>32</v>
      </c>
      <c r="AA907" t="s">
        <v>10928</v>
      </c>
      <c r="AB907" t="s">
        <v>10929</v>
      </c>
      <c r="AC907" t="s">
        <v>10930</v>
      </c>
      <c r="AD907" t="s">
        <v>1027</v>
      </c>
      <c r="AE907" t="s">
        <v>5490</v>
      </c>
      <c r="AF907" t="s">
        <v>46835</v>
      </c>
    </row>
    <row r="908" spans="1:32" x14ac:dyDescent="0.2">
      <c r="A908">
        <v>903</v>
      </c>
      <c r="B908" t="s">
        <v>10931</v>
      </c>
      <c r="C908" t="s">
        <v>10932</v>
      </c>
      <c r="D908" t="s">
        <v>32</v>
      </c>
      <c r="E908" t="s">
        <v>10933</v>
      </c>
      <c r="F908" t="s">
        <v>10934</v>
      </c>
      <c r="G908" t="s">
        <v>10935</v>
      </c>
      <c r="H908" t="str">
        <f>"Prkar1a"</f>
        <v>Prkar1a</v>
      </c>
      <c r="I908" t="s">
        <v>32</v>
      </c>
      <c r="J908" t="s">
        <v>37</v>
      </c>
      <c r="K908">
        <v>10090</v>
      </c>
      <c r="L908" s="3" t="str">
        <f>HYPERLINK("http://www.uniprot.org/uniprot/Q9DBC7", "Q9DBC7")</f>
        <v>Q9DBC7</v>
      </c>
      <c r="M908" t="s">
        <v>10936</v>
      </c>
      <c r="N908" t="str">
        <f>"Prkar1a"</f>
        <v>Prkar1a</v>
      </c>
      <c r="O908" s="3" t="str">
        <f>HYPERLINK("http://www.informatics.jax.org/marker/MGI:104878", "MGI:104878")</f>
        <v>MGI:104878</v>
      </c>
      <c r="P908" t="s">
        <v>10937</v>
      </c>
      <c r="Q908" t="s">
        <v>32</v>
      </c>
      <c r="R908" t="s">
        <v>2474</v>
      </c>
      <c r="S908" t="s">
        <v>32</v>
      </c>
      <c r="T908" t="s">
        <v>32</v>
      </c>
      <c r="U908" t="s">
        <v>32</v>
      </c>
      <c r="V908" t="s">
        <v>55</v>
      </c>
      <c r="W908" t="s">
        <v>10938</v>
      </c>
      <c r="X908" t="s">
        <v>32</v>
      </c>
      <c r="Y908" t="s">
        <v>480</v>
      </c>
      <c r="Z908" t="s">
        <v>32</v>
      </c>
      <c r="AA908" t="s">
        <v>10939</v>
      </c>
      <c r="AB908" t="s">
        <v>10940</v>
      </c>
      <c r="AC908" t="s">
        <v>10941</v>
      </c>
      <c r="AD908" t="s">
        <v>32</v>
      </c>
      <c r="AE908" t="s">
        <v>10942</v>
      </c>
      <c r="AF908" t="s">
        <v>46835</v>
      </c>
    </row>
    <row r="909" spans="1:32" x14ac:dyDescent="0.2">
      <c r="A909">
        <v>904</v>
      </c>
      <c r="B909" t="s">
        <v>10943</v>
      </c>
      <c r="C909" t="s">
        <v>10944</v>
      </c>
      <c r="D909" t="s">
        <v>32</v>
      </c>
      <c r="E909" t="s">
        <v>10945</v>
      </c>
      <c r="F909" t="s">
        <v>10946</v>
      </c>
      <c r="G909" t="s">
        <v>10947</v>
      </c>
      <c r="H909" t="str">
        <f>"Cxadr"</f>
        <v>Cxadr</v>
      </c>
      <c r="I909" t="s">
        <v>10948</v>
      </c>
      <c r="J909" t="s">
        <v>37</v>
      </c>
      <c r="K909">
        <v>10090</v>
      </c>
      <c r="L909" s="3" t="str">
        <f>HYPERLINK("http://www.uniprot.org/uniprot/P97792", "P97792")</f>
        <v>P97792</v>
      </c>
      <c r="M909" t="s">
        <v>10949</v>
      </c>
      <c r="N909" t="str">
        <f>"Cxadr"</f>
        <v>Cxadr</v>
      </c>
      <c r="O909" s="3" t="str">
        <f>HYPERLINK("http://www.informatics.jax.org/marker/MGI:1201679", "MGI:1201679")</f>
        <v>MGI:1201679</v>
      </c>
      <c r="P909" t="s">
        <v>10950</v>
      </c>
      <c r="Q909" t="s">
        <v>2784</v>
      </c>
      <c r="R909" t="s">
        <v>10951</v>
      </c>
      <c r="S909" t="s">
        <v>41</v>
      </c>
      <c r="T909" t="s">
        <v>32</v>
      </c>
      <c r="U909" t="s">
        <v>32</v>
      </c>
      <c r="V909" t="s">
        <v>2864</v>
      </c>
      <c r="W909" t="s">
        <v>32</v>
      </c>
      <c r="X909" t="s">
        <v>6983</v>
      </c>
      <c r="Y909" t="s">
        <v>10952</v>
      </c>
      <c r="Z909" t="s">
        <v>126</v>
      </c>
      <c r="AA909" t="s">
        <v>10953</v>
      </c>
      <c r="AB909" t="s">
        <v>10954</v>
      </c>
      <c r="AC909" t="s">
        <v>10955</v>
      </c>
      <c r="AD909" t="s">
        <v>32</v>
      </c>
      <c r="AE909" t="s">
        <v>10956</v>
      </c>
      <c r="AF909" t="s">
        <v>46835</v>
      </c>
    </row>
    <row r="910" spans="1:32" x14ac:dyDescent="0.2">
      <c r="A910">
        <v>905</v>
      </c>
      <c r="B910" t="s">
        <v>10957</v>
      </c>
      <c r="C910" t="s">
        <v>10958</v>
      </c>
      <c r="D910" t="s">
        <v>32</v>
      </c>
      <c r="E910" t="s">
        <v>10959</v>
      </c>
      <c r="F910" t="s">
        <v>10960</v>
      </c>
      <c r="G910" t="s">
        <v>10961</v>
      </c>
      <c r="H910" t="str">
        <f>"Snx5"</f>
        <v>Snx5</v>
      </c>
      <c r="I910" t="s">
        <v>32</v>
      </c>
      <c r="J910" t="s">
        <v>37</v>
      </c>
      <c r="K910">
        <v>10090</v>
      </c>
      <c r="L910" s="3" t="str">
        <f>HYPERLINK("http://www.uniprot.org/uniprot/Q9D8U8", "Q9D8U8")</f>
        <v>Q9D8U8</v>
      </c>
      <c r="M910" t="s">
        <v>10962</v>
      </c>
      <c r="N910" t="str">
        <f>"Snx5"</f>
        <v>Snx5</v>
      </c>
      <c r="O910" s="3" t="str">
        <f>HYPERLINK("http://www.informatics.jax.org/marker/MGI:1916428", "MGI:1916428")</f>
        <v>MGI:1916428</v>
      </c>
      <c r="P910" t="s">
        <v>10963</v>
      </c>
      <c r="Q910" t="s">
        <v>910</v>
      </c>
      <c r="R910" t="s">
        <v>10964</v>
      </c>
      <c r="S910" t="s">
        <v>32</v>
      </c>
      <c r="T910" t="s">
        <v>32</v>
      </c>
      <c r="U910" t="s">
        <v>32</v>
      </c>
      <c r="V910" t="s">
        <v>32</v>
      </c>
      <c r="W910" t="s">
        <v>584</v>
      </c>
      <c r="X910" t="s">
        <v>32</v>
      </c>
      <c r="Y910" t="s">
        <v>157</v>
      </c>
      <c r="Z910" t="s">
        <v>126</v>
      </c>
      <c r="AA910" t="s">
        <v>10965</v>
      </c>
      <c r="AB910" t="s">
        <v>10966</v>
      </c>
      <c r="AC910" t="s">
        <v>10967</v>
      </c>
      <c r="AD910" t="s">
        <v>32</v>
      </c>
      <c r="AE910" t="s">
        <v>10968</v>
      </c>
      <c r="AF910" t="s">
        <v>46835</v>
      </c>
    </row>
    <row r="911" spans="1:32" x14ac:dyDescent="0.2">
      <c r="A911">
        <v>906</v>
      </c>
      <c r="B911" t="s">
        <v>10969</v>
      </c>
      <c r="C911" t="s">
        <v>10970</v>
      </c>
      <c r="D911" t="s">
        <v>10971</v>
      </c>
      <c r="E911" t="s">
        <v>10972</v>
      </c>
      <c r="F911" t="s">
        <v>10973</v>
      </c>
      <c r="G911" t="s">
        <v>10974</v>
      </c>
      <c r="H911" t="str">
        <f>"Acat1"</f>
        <v>Acat1</v>
      </c>
      <c r="I911" t="s">
        <v>32</v>
      </c>
      <c r="J911" t="s">
        <v>37</v>
      </c>
      <c r="K911">
        <v>10090</v>
      </c>
      <c r="L911" s="3" t="str">
        <f>HYPERLINK("http://www.uniprot.org/uniprot/Q8QZT1", "Q8QZT1")</f>
        <v>Q8QZT1</v>
      </c>
      <c r="M911" t="s">
        <v>10975</v>
      </c>
      <c r="N911" t="str">
        <f>"Acat1"</f>
        <v>Acat1</v>
      </c>
      <c r="O911" s="3" t="str">
        <f>HYPERLINK("http://www.informatics.jax.org/marker/MGI:87870", "MGI:87870")</f>
        <v>MGI:87870</v>
      </c>
      <c r="P911" t="s">
        <v>10976</v>
      </c>
      <c r="Q911" t="s">
        <v>6214</v>
      </c>
      <c r="R911" t="s">
        <v>1038</v>
      </c>
      <c r="S911" t="s">
        <v>32</v>
      </c>
      <c r="T911" t="s">
        <v>32</v>
      </c>
      <c r="U911" t="s">
        <v>32</v>
      </c>
      <c r="V911" t="s">
        <v>1039</v>
      </c>
      <c r="W911" t="s">
        <v>10977</v>
      </c>
      <c r="X911" t="s">
        <v>7304</v>
      </c>
      <c r="Y911" t="s">
        <v>157</v>
      </c>
      <c r="Z911" t="s">
        <v>32</v>
      </c>
      <c r="AA911" t="s">
        <v>10978</v>
      </c>
      <c r="AB911" t="s">
        <v>9721</v>
      </c>
      <c r="AC911" t="s">
        <v>10979</v>
      </c>
      <c r="AD911" t="s">
        <v>6218</v>
      </c>
      <c r="AE911" t="s">
        <v>10980</v>
      </c>
      <c r="AF911" t="s">
        <v>46835</v>
      </c>
    </row>
    <row r="912" spans="1:32" x14ac:dyDescent="0.2">
      <c r="A912">
        <v>907</v>
      </c>
      <c r="B912" t="s">
        <v>10981</v>
      </c>
      <c r="C912" t="s">
        <v>10982</v>
      </c>
      <c r="D912" t="s">
        <v>10983</v>
      </c>
      <c r="E912" t="s">
        <v>10984</v>
      </c>
      <c r="F912" t="s">
        <v>10985</v>
      </c>
      <c r="G912" t="s">
        <v>10986</v>
      </c>
      <c r="H912" t="str">
        <f>"Rbm14"</f>
        <v>Rbm14</v>
      </c>
      <c r="I912" t="s">
        <v>32</v>
      </c>
      <c r="J912" t="s">
        <v>37</v>
      </c>
      <c r="K912">
        <v>10090</v>
      </c>
      <c r="L912" s="3" t="str">
        <f>HYPERLINK("http://www.uniprot.org/uniprot/Q8C2Q3", "Q8C2Q3")</f>
        <v>Q8C2Q3</v>
      </c>
      <c r="M912" t="s">
        <v>10987</v>
      </c>
      <c r="N912" t="str">
        <f>"Rbm14"</f>
        <v>Rbm14</v>
      </c>
      <c r="O912" s="3" t="str">
        <f>HYPERLINK("http://www.informatics.jax.org/marker/MGI:1929092", "MGI:1929092")</f>
        <v>MGI:1929092</v>
      </c>
      <c r="P912" t="s">
        <v>10988</v>
      </c>
      <c r="Q912" t="s">
        <v>10237</v>
      </c>
      <c r="R912" t="s">
        <v>40</v>
      </c>
      <c r="S912" t="s">
        <v>41</v>
      </c>
      <c r="T912" t="s">
        <v>32</v>
      </c>
      <c r="U912" t="s">
        <v>32</v>
      </c>
      <c r="V912" t="s">
        <v>55</v>
      </c>
      <c r="W912" t="s">
        <v>32</v>
      </c>
      <c r="X912" t="s">
        <v>1282</v>
      </c>
      <c r="Y912" t="s">
        <v>516</v>
      </c>
      <c r="Z912" t="s">
        <v>32</v>
      </c>
      <c r="AA912" t="s">
        <v>10989</v>
      </c>
      <c r="AB912" t="s">
        <v>10990</v>
      </c>
      <c r="AC912" t="s">
        <v>10991</v>
      </c>
      <c r="AD912" t="s">
        <v>32</v>
      </c>
      <c r="AE912" t="s">
        <v>10992</v>
      </c>
      <c r="AF912" t="s">
        <v>46835</v>
      </c>
    </row>
    <row r="913" spans="1:33" x14ac:dyDescent="0.2">
      <c r="A913">
        <v>908</v>
      </c>
      <c r="B913" t="s">
        <v>10993</v>
      </c>
      <c r="C913" t="s">
        <v>10994</v>
      </c>
      <c r="D913" t="s">
        <v>10995</v>
      </c>
      <c r="E913" t="s">
        <v>10996</v>
      </c>
      <c r="F913" t="s">
        <v>10997</v>
      </c>
      <c r="G913" t="s">
        <v>10998</v>
      </c>
      <c r="H913" t="str">
        <f>"Idh3a"</f>
        <v>Idh3a</v>
      </c>
      <c r="I913" t="s">
        <v>32</v>
      </c>
      <c r="J913" t="s">
        <v>37</v>
      </c>
      <c r="K913">
        <v>10090</v>
      </c>
      <c r="L913" s="3" t="str">
        <f>HYPERLINK("http://www.uniprot.org/uniprot/Q9D6R2", "Q9D6R2")</f>
        <v>Q9D6R2</v>
      </c>
      <c r="M913" t="s">
        <v>10999</v>
      </c>
      <c r="N913" t="str">
        <f>"Idh3a"</f>
        <v>Idh3a</v>
      </c>
      <c r="O913" s="3" t="str">
        <f>HYPERLINK("http://www.informatics.jax.org/marker/MGI:1915084", "MGI:1915084")</f>
        <v>MGI:1915084</v>
      </c>
      <c r="P913" t="s">
        <v>11000</v>
      </c>
      <c r="Q913" t="s">
        <v>1756</v>
      </c>
      <c r="R913" t="s">
        <v>1038</v>
      </c>
      <c r="S913" t="s">
        <v>41</v>
      </c>
      <c r="T913" t="s">
        <v>32</v>
      </c>
      <c r="U913" t="s">
        <v>32</v>
      </c>
      <c r="V913" t="s">
        <v>1039</v>
      </c>
      <c r="W913" t="s">
        <v>11001</v>
      </c>
      <c r="X913" t="s">
        <v>600</v>
      </c>
      <c r="Y913" t="s">
        <v>157</v>
      </c>
      <c r="Z913" t="s">
        <v>32</v>
      </c>
      <c r="AA913" t="s">
        <v>11002</v>
      </c>
      <c r="AB913" t="s">
        <v>11003</v>
      </c>
      <c r="AC913" t="s">
        <v>11004</v>
      </c>
      <c r="AD913" t="s">
        <v>32</v>
      </c>
      <c r="AE913" t="s">
        <v>3390</v>
      </c>
      <c r="AF913" t="s">
        <v>46835</v>
      </c>
    </row>
    <row r="914" spans="1:33" x14ac:dyDescent="0.2">
      <c r="A914">
        <v>909</v>
      </c>
      <c r="B914" t="s">
        <v>11005</v>
      </c>
      <c r="C914" t="s">
        <v>11006</v>
      </c>
      <c r="D914" t="s">
        <v>11007</v>
      </c>
      <c r="E914" t="s">
        <v>11008</v>
      </c>
      <c r="F914" t="s">
        <v>11009</v>
      </c>
      <c r="G914" t="s">
        <v>11010</v>
      </c>
      <c r="H914" t="str">
        <f>"Mcm6"</f>
        <v>Mcm6</v>
      </c>
      <c r="I914" t="s">
        <v>11011</v>
      </c>
      <c r="J914" t="s">
        <v>37</v>
      </c>
      <c r="K914">
        <v>10090</v>
      </c>
      <c r="L914" s="3" t="str">
        <f>HYPERLINK("http://www.uniprot.org/uniprot/P97311", "P97311")</f>
        <v>P97311</v>
      </c>
      <c r="M914" t="s">
        <v>11012</v>
      </c>
      <c r="N914" t="str">
        <f>"Mcm6"</f>
        <v>Mcm6</v>
      </c>
      <c r="O914" s="3" t="str">
        <f>HYPERLINK("http://www.informatics.jax.org/marker/MGI:1298227", "MGI:1298227")</f>
        <v>MGI:1298227</v>
      </c>
      <c r="P914" t="s">
        <v>11013</v>
      </c>
      <c r="Q914" t="s">
        <v>11014</v>
      </c>
      <c r="R914" t="s">
        <v>1939</v>
      </c>
      <c r="S914" t="s">
        <v>32</v>
      </c>
      <c r="T914" t="s">
        <v>32</v>
      </c>
      <c r="U914" t="s">
        <v>32</v>
      </c>
      <c r="V914" t="s">
        <v>32</v>
      </c>
      <c r="W914" t="s">
        <v>205</v>
      </c>
      <c r="X914" t="s">
        <v>11015</v>
      </c>
      <c r="Y914" t="s">
        <v>372</v>
      </c>
      <c r="Z914" t="s">
        <v>32</v>
      </c>
      <c r="AA914" t="s">
        <v>11016</v>
      </c>
      <c r="AB914" t="s">
        <v>11017</v>
      </c>
      <c r="AC914" t="s">
        <v>11018</v>
      </c>
      <c r="AD914" t="s">
        <v>32</v>
      </c>
      <c r="AE914" t="s">
        <v>11019</v>
      </c>
      <c r="AF914" t="s">
        <v>46835</v>
      </c>
    </row>
    <row r="915" spans="1:33" x14ac:dyDescent="0.2">
      <c r="A915">
        <v>910</v>
      </c>
      <c r="B915" t="s">
        <v>11020</v>
      </c>
      <c r="C915" t="s">
        <v>47136</v>
      </c>
      <c r="D915" t="s">
        <v>32</v>
      </c>
      <c r="E915" t="s">
        <v>46872</v>
      </c>
      <c r="F915" t="s">
        <v>46871</v>
      </c>
      <c r="G915" t="s">
        <v>32</v>
      </c>
      <c r="H915" t="s">
        <v>47267</v>
      </c>
      <c r="I915" t="s">
        <v>32</v>
      </c>
      <c r="J915" t="s">
        <v>37</v>
      </c>
      <c r="K915">
        <v>10090</v>
      </c>
      <c r="L915" s="3" t="str">
        <f>HYPERLINK(CONCATENATE("https://www.uniprot.org/uniprotkb/", AG915, "/entry"), AG915)</f>
        <v>Q8BQ46</v>
      </c>
      <c r="M915" t="s">
        <v>32</v>
      </c>
      <c r="N915" t="s">
        <v>32</v>
      </c>
      <c r="O915" s="3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32</v>
      </c>
      <c r="Y915" t="s">
        <v>32</v>
      </c>
      <c r="Z915" t="s">
        <v>32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t="s">
        <v>46835</v>
      </c>
      <c r="AG915" t="s">
        <v>46871</v>
      </c>
    </row>
    <row r="916" spans="1:33" x14ac:dyDescent="0.2">
      <c r="A916">
        <v>911</v>
      </c>
      <c r="B916" t="s">
        <v>11021</v>
      </c>
      <c r="C916" t="s">
        <v>11022</v>
      </c>
      <c r="D916" t="s">
        <v>11023</v>
      </c>
      <c r="E916" t="s">
        <v>11024</v>
      </c>
      <c r="F916" t="s">
        <v>11025</v>
      </c>
      <c r="G916" t="s">
        <v>11026</v>
      </c>
      <c r="H916" t="str">
        <f>"Dhx15"</f>
        <v>Dhx15</v>
      </c>
      <c r="I916" t="s">
        <v>32</v>
      </c>
      <c r="J916" t="s">
        <v>37</v>
      </c>
      <c r="K916">
        <v>10090</v>
      </c>
      <c r="L916" s="3" t="str">
        <f>HYPERLINK("http://www.uniprot.org/uniprot/O35286", "O35286")</f>
        <v>O35286</v>
      </c>
      <c r="M916" t="s">
        <v>11027</v>
      </c>
      <c r="N916" t="str">
        <f>"Dhx15"</f>
        <v>Dhx15</v>
      </c>
      <c r="O916" s="3" t="str">
        <f>HYPERLINK("http://www.informatics.jax.org/marker/MGI:1099786", "MGI:1099786")</f>
        <v>MGI:1099786</v>
      </c>
      <c r="P916" t="s">
        <v>11028</v>
      </c>
      <c r="Q916" t="s">
        <v>11029</v>
      </c>
      <c r="R916" t="s">
        <v>2279</v>
      </c>
      <c r="S916" t="s">
        <v>32</v>
      </c>
      <c r="T916" t="s">
        <v>32</v>
      </c>
      <c r="U916" t="s">
        <v>32</v>
      </c>
      <c r="V916" t="s">
        <v>32</v>
      </c>
      <c r="W916" t="s">
        <v>205</v>
      </c>
      <c r="X916" t="s">
        <v>5050</v>
      </c>
      <c r="Y916" t="s">
        <v>516</v>
      </c>
      <c r="Z916" t="s">
        <v>32</v>
      </c>
      <c r="AA916" t="s">
        <v>11030</v>
      </c>
      <c r="AB916" t="s">
        <v>11031</v>
      </c>
      <c r="AC916" t="s">
        <v>11032</v>
      </c>
      <c r="AD916" t="s">
        <v>32</v>
      </c>
      <c r="AE916" t="s">
        <v>946</v>
      </c>
      <c r="AF916" t="s">
        <v>46835</v>
      </c>
    </row>
    <row r="917" spans="1:33" x14ac:dyDescent="0.2">
      <c r="A917">
        <v>912</v>
      </c>
      <c r="B917" t="s">
        <v>11033</v>
      </c>
      <c r="C917" t="s">
        <v>11034</v>
      </c>
      <c r="D917" t="s">
        <v>32</v>
      </c>
      <c r="E917" t="s">
        <v>11035</v>
      </c>
      <c r="F917" t="s">
        <v>11036</v>
      </c>
      <c r="G917" t="s">
        <v>32</v>
      </c>
      <c r="H917" t="str">
        <f>"Ufc1"</f>
        <v>Ufc1</v>
      </c>
      <c r="I917" t="s">
        <v>32</v>
      </c>
      <c r="J917" t="s">
        <v>37</v>
      </c>
      <c r="K917">
        <v>10090</v>
      </c>
      <c r="L917" s="3" t="str">
        <f>HYPERLINK("http://www.uniprot.org/uniprot/Q9CR09", "Q9CR09")</f>
        <v>Q9CR09</v>
      </c>
      <c r="M917" t="s">
        <v>11037</v>
      </c>
      <c r="N917" t="str">
        <f>"Ufc1"</f>
        <v>Ufc1</v>
      </c>
      <c r="O917" s="3" t="str">
        <f>HYPERLINK("http://www.informatics.jax.org/marker/MGI:1913405", "MGI:1913405")</f>
        <v>MGI:1913405</v>
      </c>
      <c r="P917" t="s">
        <v>1020</v>
      </c>
      <c r="Q917" t="s">
        <v>1020</v>
      </c>
      <c r="R917" t="s">
        <v>32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32</v>
      </c>
      <c r="Y917" t="s">
        <v>32</v>
      </c>
      <c r="Z917" t="s">
        <v>32</v>
      </c>
      <c r="AA917" t="s">
        <v>11038</v>
      </c>
      <c r="AB917" t="s">
        <v>32</v>
      </c>
      <c r="AC917" t="s">
        <v>11039</v>
      </c>
      <c r="AD917" t="s">
        <v>32</v>
      </c>
      <c r="AE917" t="s">
        <v>32</v>
      </c>
      <c r="AF917" t="s">
        <v>46835</v>
      </c>
    </row>
    <row r="918" spans="1:33" x14ac:dyDescent="0.2">
      <c r="A918">
        <v>913</v>
      </c>
      <c r="B918" t="s">
        <v>11040</v>
      </c>
      <c r="C918" t="s">
        <v>11041</v>
      </c>
      <c r="D918" t="s">
        <v>32</v>
      </c>
      <c r="E918" t="s">
        <v>11042</v>
      </c>
      <c r="F918" t="s">
        <v>11043</v>
      </c>
      <c r="G918" t="s">
        <v>11044</v>
      </c>
      <c r="H918" t="str">
        <f>"Bola2"</f>
        <v>Bola2</v>
      </c>
      <c r="I918" t="s">
        <v>32</v>
      </c>
      <c r="J918" t="s">
        <v>37</v>
      </c>
      <c r="K918">
        <v>10090</v>
      </c>
      <c r="L918" s="3" t="str">
        <f>HYPERLINK("http://www.uniprot.org/uniprot/Q8BGS2", "Q8BGS2")</f>
        <v>Q8BGS2</v>
      </c>
      <c r="M918" t="s">
        <v>11045</v>
      </c>
      <c r="N918" t="str">
        <f>"Bola2"</f>
        <v>Bola2</v>
      </c>
      <c r="O918" s="3" t="str">
        <f>HYPERLINK("http://www.informatics.jax.org/marker/MGI:1913412", "MGI:1913412")</f>
        <v>MGI:1913412</v>
      </c>
      <c r="P918" t="s">
        <v>11046</v>
      </c>
      <c r="Q918" t="s">
        <v>32</v>
      </c>
      <c r="R918" t="s">
        <v>40</v>
      </c>
      <c r="S918" t="s">
        <v>41</v>
      </c>
      <c r="T918" t="s">
        <v>32</v>
      </c>
      <c r="U918" t="s">
        <v>32</v>
      </c>
      <c r="V918" t="s">
        <v>32</v>
      </c>
      <c r="W918" t="s">
        <v>32</v>
      </c>
      <c r="X918" t="s">
        <v>32</v>
      </c>
      <c r="Y918" t="s">
        <v>78</v>
      </c>
      <c r="Z918" t="s">
        <v>126</v>
      </c>
      <c r="AA918" t="s">
        <v>11047</v>
      </c>
      <c r="AB918" t="s">
        <v>11048</v>
      </c>
      <c r="AC918" t="s">
        <v>11049</v>
      </c>
      <c r="AD918" t="s">
        <v>32</v>
      </c>
      <c r="AE918" t="s">
        <v>32</v>
      </c>
      <c r="AF918" t="s">
        <v>46835</v>
      </c>
    </row>
    <row r="919" spans="1:33" x14ac:dyDescent="0.2">
      <c r="A919">
        <v>914</v>
      </c>
      <c r="B919" t="s">
        <v>11050</v>
      </c>
      <c r="C919" t="s">
        <v>11051</v>
      </c>
      <c r="D919" t="s">
        <v>11052</v>
      </c>
      <c r="E919" t="s">
        <v>11053</v>
      </c>
      <c r="F919" t="s">
        <v>11054</v>
      </c>
      <c r="G919" t="s">
        <v>11055</v>
      </c>
      <c r="H919" t="str">
        <f>"Tomm70"</f>
        <v>Tomm70</v>
      </c>
      <c r="I919" t="s">
        <v>11056</v>
      </c>
      <c r="J919" t="s">
        <v>37</v>
      </c>
      <c r="K919">
        <v>10090</v>
      </c>
      <c r="L919" s="3" t="str">
        <f>HYPERLINK("http://www.uniprot.org/uniprot/Q9CZW5", "Q9CZW5")</f>
        <v>Q9CZW5</v>
      </c>
      <c r="M919" t="s">
        <v>11057</v>
      </c>
      <c r="N919" t="str">
        <f>"Tomm70a"</f>
        <v>Tomm70a</v>
      </c>
      <c r="O919" s="3" t="str">
        <f>HYPERLINK("http://www.informatics.jax.org/marker/MGI:106295", "MGI:106295")</f>
        <v>MGI:106295</v>
      </c>
      <c r="P919" t="s">
        <v>11058</v>
      </c>
      <c r="Q919" t="s">
        <v>32</v>
      </c>
      <c r="R919" t="s">
        <v>4782</v>
      </c>
      <c r="S919" t="s">
        <v>32</v>
      </c>
      <c r="T919" t="s">
        <v>32</v>
      </c>
      <c r="U919" t="s">
        <v>32</v>
      </c>
      <c r="V919" t="s">
        <v>11059</v>
      </c>
      <c r="W919" t="s">
        <v>32</v>
      </c>
      <c r="X919" t="s">
        <v>32</v>
      </c>
      <c r="Y919" t="s">
        <v>207</v>
      </c>
      <c r="Z919" t="s">
        <v>32</v>
      </c>
      <c r="AA919" t="s">
        <v>11060</v>
      </c>
      <c r="AB919" t="s">
        <v>11061</v>
      </c>
      <c r="AC919" t="s">
        <v>11062</v>
      </c>
      <c r="AD919" t="s">
        <v>32</v>
      </c>
      <c r="AE919" t="s">
        <v>11063</v>
      </c>
      <c r="AF919" t="s">
        <v>46835</v>
      </c>
    </row>
    <row r="920" spans="1:33" x14ac:dyDescent="0.2">
      <c r="A920">
        <v>915</v>
      </c>
      <c r="B920" t="s">
        <v>11064</v>
      </c>
      <c r="C920" t="s">
        <v>11065</v>
      </c>
      <c r="D920" t="s">
        <v>11066</v>
      </c>
      <c r="E920" t="s">
        <v>11067</v>
      </c>
      <c r="F920" t="s">
        <v>11068</v>
      </c>
      <c r="G920" t="s">
        <v>11069</v>
      </c>
      <c r="H920" t="str">
        <f>"Aimp2"</f>
        <v>Aimp2</v>
      </c>
      <c r="I920" t="s">
        <v>11070</v>
      </c>
      <c r="J920" t="s">
        <v>37</v>
      </c>
      <c r="K920">
        <v>10090</v>
      </c>
      <c r="L920" s="3" t="str">
        <f>HYPERLINK("http://www.uniprot.org/uniprot/Q8R010", "Q8R010")</f>
        <v>Q8R010</v>
      </c>
      <c r="M920" t="s">
        <v>11071</v>
      </c>
      <c r="N920" t="str">
        <f>"Aimp2"</f>
        <v>Aimp2</v>
      </c>
      <c r="O920" s="3" t="str">
        <f>HYPERLINK("http://www.informatics.jax.org/marker/MGI:2385237", "MGI:2385237")</f>
        <v>MGI:2385237</v>
      </c>
      <c r="P920" t="s">
        <v>11072</v>
      </c>
      <c r="Q920" t="s">
        <v>11073</v>
      </c>
      <c r="R920" t="s">
        <v>40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2029</v>
      </c>
      <c r="Y920" t="s">
        <v>2836</v>
      </c>
      <c r="Z920" t="s">
        <v>32</v>
      </c>
      <c r="AA920" t="s">
        <v>11074</v>
      </c>
      <c r="AB920" t="s">
        <v>11075</v>
      </c>
      <c r="AC920" t="s">
        <v>11076</v>
      </c>
      <c r="AD920" t="s">
        <v>32</v>
      </c>
      <c r="AE920" t="s">
        <v>32</v>
      </c>
      <c r="AF920" t="s">
        <v>46835</v>
      </c>
    </row>
    <row r="921" spans="1:33" x14ac:dyDescent="0.2">
      <c r="A921">
        <v>916</v>
      </c>
      <c r="B921" t="s">
        <v>11077</v>
      </c>
      <c r="C921" t="s">
        <v>11078</v>
      </c>
      <c r="D921" t="s">
        <v>11079</v>
      </c>
      <c r="E921" t="s">
        <v>11080</v>
      </c>
      <c r="F921" t="s">
        <v>11081</v>
      </c>
      <c r="G921" t="s">
        <v>11082</v>
      </c>
      <c r="H921" t="str">
        <f>"Ctnnd1"</f>
        <v>Ctnnd1</v>
      </c>
      <c r="I921" t="s">
        <v>11083</v>
      </c>
      <c r="J921" t="s">
        <v>37</v>
      </c>
      <c r="K921">
        <v>10090</v>
      </c>
      <c r="L921" s="3" t="str">
        <f>HYPERLINK("http://www.uniprot.org/uniprot/P30999", "P30999")</f>
        <v>P30999</v>
      </c>
      <c r="M921" t="s">
        <v>11084</v>
      </c>
      <c r="N921" t="str">
        <f>"Ctnnd1"</f>
        <v>Ctnnd1</v>
      </c>
      <c r="O921" s="3" t="str">
        <f>HYPERLINK("http://www.informatics.jax.org/marker/MGI:105100", "MGI:105100")</f>
        <v>MGI:105100</v>
      </c>
      <c r="P921" t="s">
        <v>11085</v>
      </c>
      <c r="Q921" t="s">
        <v>11086</v>
      </c>
      <c r="R921" t="s">
        <v>11087</v>
      </c>
      <c r="S921" t="s">
        <v>41</v>
      </c>
      <c r="T921" t="s">
        <v>32</v>
      </c>
      <c r="U921" t="s">
        <v>32</v>
      </c>
      <c r="V921" t="s">
        <v>137</v>
      </c>
      <c r="W921" t="s">
        <v>32</v>
      </c>
      <c r="X921" t="s">
        <v>32</v>
      </c>
      <c r="Y921" t="s">
        <v>516</v>
      </c>
      <c r="Z921" t="s">
        <v>32</v>
      </c>
      <c r="AA921" t="s">
        <v>11088</v>
      </c>
      <c r="AB921" t="s">
        <v>11089</v>
      </c>
      <c r="AC921" t="s">
        <v>11090</v>
      </c>
      <c r="AD921" t="s">
        <v>32</v>
      </c>
      <c r="AE921" t="s">
        <v>11091</v>
      </c>
      <c r="AF921" t="s">
        <v>46835</v>
      </c>
    </row>
    <row r="922" spans="1:33" x14ac:dyDescent="0.2">
      <c r="A922">
        <v>917</v>
      </c>
      <c r="B922" t="s">
        <v>11092</v>
      </c>
      <c r="C922" t="s">
        <v>11093</v>
      </c>
      <c r="D922" t="s">
        <v>11094</v>
      </c>
      <c r="E922" t="s">
        <v>11095</v>
      </c>
      <c r="F922" t="s">
        <v>11096</v>
      </c>
      <c r="G922" t="s">
        <v>11097</v>
      </c>
      <c r="H922" t="str">
        <f>"Hsd17b4"</f>
        <v>Hsd17b4</v>
      </c>
      <c r="I922" t="s">
        <v>11098</v>
      </c>
      <c r="J922" t="s">
        <v>37</v>
      </c>
      <c r="K922">
        <v>10090</v>
      </c>
      <c r="L922" s="3" t="str">
        <f>HYPERLINK("http://www.uniprot.org/uniprot/P51660", "P51660")</f>
        <v>P51660</v>
      </c>
      <c r="M922" t="s">
        <v>11099</v>
      </c>
      <c r="N922" t="str">
        <f>"Hsd17b4"</f>
        <v>Hsd17b4</v>
      </c>
      <c r="O922" s="3" t="str">
        <f>HYPERLINK("http://www.informatics.jax.org/marker/MGI:105089", "MGI:105089")</f>
        <v>MGI:105089</v>
      </c>
      <c r="P922" t="s">
        <v>11100</v>
      </c>
      <c r="Q922" t="s">
        <v>6214</v>
      </c>
      <c r="R922" t="s">
        <v>5745</v>
      </c>
      <c r="S922" t="s">
        <v>32</v>
      </c>
      <c r="T922" t="s">
        <v>32</v>
      </c>
      <c r="U922" t="s">
        <v>32</v>
      </c>
      <c r="V922" t="s">
        <v>32</v>
      </c>
      <c r="W922" t="s">
        <v>325</v>
      </c>
      <c r="X922" t="s">
        <v>11101</v>
      </c>
      <c r="Y922" t="s">
        <v>157</v>
      </c>
      <c r="Z922" t="s">
        <v>32</v>
      </c>
      <c r="AA922" t="s">
        <v>11102</v>
      </c>
      <c r="AB922" t="s">
        <v>11103</v>
      </c>
      <c r="AC922" t="s">
        <v>11104</v>
      </c>
      <c r="AD922" t="s">
        <v>6218</v>
      </c>
      <c r="AE922" t="s">
        <v>11105</v>
      </c>
      <c r="AF922" t="s">
        <v>46835</v>
      </c>
    </row>
    <row r="923" spans="1:33" x14ac:dyDescent="0.2">
      <c r="A923">
        <v>918</v>
      </c>
      <c r="B923" t="s">
        <v>11106</v>
      </c>
      <c r="C923" t="s">
        <v>11107</v>
      </c>
      <c r="D923" t="s">
        <v>11108</v>
      </c>
      <c r="E923" t="s">
        <v>11109</v>
      </c>
      <c r="F923" t="s">
        <v>11110</v>
      </c>
      <c r="G923" t="s">
        <v>32</v>
      </c>
      <c r="H923" t="str">
        <f>"Aldh2"</f>
        <v>Aldh2</v>
      </c>
      <c r="I923" t="s">
        <v>11111</v>
      </c>
      <c r="J923" t="s">
        <v>37</v>
      </c>
      <c r="K923">
        <v>10090</v>
      </c>
      <c r="L923" s="3" t="str">
        <f>HYPERLINK("http://www.uniprot.org/uniprot/P47738", "P47738")</f>
        <v>P47738</v>
      </c>
      <c r="M923" t="s">
        <v>11112</v>
      </c>
      <c r="N923" t="str">
        <f>"Aldh2"</f>
        <v>Aldh2</v>
      </c>
      <c r="O923" s="3" t="str">
        <f>HYPERLINK("http://www.informatics.jax.org/marker/MGI:99600", "MGI:99600")</f>
        <v>MGI:99600</v>
      </c>
      <c r="P923" t="s">
        <v>11113</v>
      </c>
      <c r="Q923" t="s">
        <v>32</v>
      </c>
      <c r="R923" t="s">
        <v>1038</v>
      </c>
      <c r="S923" t="s">
        <v>32</v>
      </c>
      <c r="T923" t="s">
        <v>32</v>
      </c>
      <c r="U923" t="s">
        <v>32</v>
      </c>
      <c r="V923" t="s">
        <v>1039</v>
      </c>
      <c r="W923" t="s">
        <v>325</v>
      </c>
      <c r="X923" t="s">
        <v>600</v>
      </c>
      <c r="Y923" t="s">
        <v>78</v>
      </c>
      <c r="Z923" t="s">
        <v>32</v>
      </c>
      <c r="AA923" t="s">
        <v>11114</v>
      </c>
      <c r="AB923" t="s">
        <v>2128</v>
      </c>
      <c r="AC923" t="s">
        <v>11115</v>
      </c>
      <c r="AD923" t="s">
        <v>4948</v>
      </c>
      <c r="AE923" t="s">
        <v>11116</v>
      </c>
      <c r="AF923" t="s">
        <v>46835</v>
      </c>
    </row>
    <row r="924" spans="1:33" x14ac:dyDescent="0.2">
      <c r="A924">
        <v>919</v>
      </c>
      <c r="B924" t="s">
        <v>11117</v>
      </c>
      <c r="C924" t="s">
        <v>11118</v>
      </c>
      <c r="D924" t="s">
        <v>32</v>
      </c>
      <c r="E924" t="s">
        <v>11119</v>
      </c>
      <c r="F924" t="s">
        <v>11120</v>
      </c>
      <c r="G924" t="s">
        <v>11121</v>
      </c>
      <c r="H924" t="str">
        <f>"Bclaf1"</f>
        <v>Bclaf1</v>
      </c>
      <c r="I924" t="s">
        <v>11122</v>
      </c>
      <c r="J924" t="s">
        <v>37</v>
      </c>
      <c r="K924">
        <v>10090</v>
      </c>
      <c r="L924" s="3" t="str">
        <f>HYPERLINK("http://www.uniprot.org/uniprot/Q8K019", "Q8K019")</f>
        <v>Q8K019</v>
      </c>
      <c r="M924" t="s">
        <v>11123</v>
      </c>
      <c r="N924" t="str">
        <f>"Bclaf1"</f>
        <v>Bclaf1</v>
      </c>
      <c r="O924" s="3" t="str">
        <f>HYPERLINK("http://www.informatics.jax.org/marker/MGI:1917580", "MGI:1917580")</f>
        <v>MGI:1917580</v>
      </c>
      <c r="P924" t="s">
        <v>11124</v>
      </c>
      <c r="Q924" t="s">
        <v>4152</v>
      </c>
      <c r="R924" t="s">
        <v>40</v>
      </c>
      <c r="S924" t="s">
        <v>41</v>
      </c>
      <c r="T924" t="s">
        <v>32</v>
      </c>
      <c r="U924" t="s">
        <v>32</v>
      </c>
      <c r="V924" t="s">
        <v>32</v>
      </c>
      <c r="W924" t="s">
        <v>32</v>
      </c>
      <c r="X924" t="s">
        <v>7046</v>
      </c>
      <c r="Y924" t="s">
        <v>761</v>
      </c>
      <c r="Z924" t="s">
        <v>32</v>
      </c>
      <c r="AA924" t="s">
        <v>11125</v>
      </c>
      <c r="AB924" t="s">
        <v>11126</v>
      </c>
      <c r="AC924" t="s">
        <v>11127</v>
      </c>
      <c r="AD924" t="s">
        <v>32</v>
      </c>
      <c r="AE924" t="s">
        <v>32</v>
      </c>
      <c r="AF924" t="s">
        <v>46835</v>
      </c>
    </row>
    <row r="925" spans="1:33" x14ac:dyDescent="0.2">
      <c r="A925">
        <v>920</v>
      </c>
      <c r="B925" t="s">
        <v>11128</v>
      </c>
      <c r="C925" t="s">
        <v>11129</v>
      </c>
      <c r="D925" t="s">
        <v>32</v>
      </c>
      <c r="E925" t="s">
        <v>11130</v>
      </c>
      <c r="F925" t="s">
        <v>11131</v>
      </c>
      <c r="G925" t="s">
        <v>11132</v>
      </c>
      <c r="H925" t="str">
        <f>"Gmfb"</f>
        <v>Gmfb</v>
      </c>
      <c r="I925" t="s">
        <v>32</v>
      </c>
      <c r="J925" t="s">
        <v>37</v>
      </c>
      <c r="K925">
        <v>10090</v>
      </c>
      <c r="L925" s="3" t="str">
        <f>HYPERLINK("http://www.uniprot.org/uniprot/Q9CQI3", "Q9CQI3")</f>
        <v>Q9CQI3</v>
      </c>
      <c r="M925" t="s">
        <v>11133</v>
      </c>
      <c r="N925" t="str">
        <f>"Gmfb"</f>
        <v>Gmfb</v>
      </c>
      <c r="O925" s="3" t="str">
        <f>HYPERLINK("http://www.informatics.jax.org/marker/MGI:1927133", "MGI:1927133")</f>
        <v>MGI:1927133</v>
      </c>
      <c r="P925" t="s">
        <v>11134</v>
      </c>
      <c r="Q925" t="s">
        <v>32</v>
      </c>
      <c r="R925" t="s">
        <v>32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11135</v>
      </c>
      <c r="Y925" t="s">
        <v>157</v>
      </c>
      <c r="Z925" t="s">
        <v>126</v>
      </c>
      <c r="AA925" t="s">
        <v>11136</v>
      </c>
      <c r="AB925" t="s">
        <v>32</v>
      </c>
      <c r="AC925" t="s">
        <v>11137</v>
      </c>
      <c r="AD925" t="s">
        <v>32</v>
      </c>
      <c r="AE925" t="s">
        <v>32</v>
      </c>
      <c r="AF925" t="s">
        <v>46835</v>
      </c>
    </row>
    <row r="926" spans="1:33" x14ac:dyDescent="0.2">
      <c r="A926">
        <v>921</v>
      </c>
      <c r="B926" t="s">
        <v>11138</v>
      </c>
      <c r="C926" t="s">
        <v>11139</v>
      </c>
      <c r="D926" t="s">
        <v>32</v>
      </c>
      <c r="E926" t="s">
        <v>11140</v>
      </c>
      <c r="F926" t="s">
        <v>11141</v>
      </c>
      <c r="G926" t="s">
        <v>11142</v>
      </c>
      <c r="H926" t="str">
        <f>"Dis3l2"</f>
        <v>Dis3l2</v>
      </c>
      <c r="I926" t="s">
        <v>32</v>
      </c>
      <c r="J926" t="s">
        <v>37</v>
      </c>
      <c r="K926">
        <v>10090</v>
      </c>
      <c r="L926" s="3" t="str">
        <f>HYPERLINK("http://www.uniprot.org/uniprot/Q8CI75", "Q8CI75")</f>
        <v>Q8CI75</v>
      </c>
      <c r="M926" t="s">
        <v>11143</v>
      </c>
      <c r="N926" t="str">
        <f>"Dis3l2"</f>
        <v>Dis3l2</v>
      </c>
      <c r="O926" s="3" t="str">
        <f>HYPERLINK("http://www.informatics.jax.org/marker/MGI:2442555", "MGI:2442555")</f>
        <v>MGI:2442555</v>
      </c>
      <c r="P926" t="s">
        <v>11144</v>
      </c>
      <c r="Q926" t="s">
        <v>2968</v>
      </c>
      <c r="R926" t="s">
        <v>418</v>
      </c>
      <c r="S926" t="s">
        <v>41</v>
      </c>
      <c r="T926" t="s">
        <v>32</v>
      </c>
      <c r="U926" t="s">
        <v>1636</v>
      </c>
      <c r="V926" t="s">
        <v>32</v>
      </c>
      <c r="W926" t="s">
        <v>223</v>
      </c>
      <c r="X926" t="s">
        <v>11145</v>
      </c>
      <c r="Y926" t="s">
        <v>157</v>
      </c>
      <c r="Z926" t="s">
        <v>126</v>
      </c>
      <c r="AA926" t="s">
        <v>11146</v>
      </c>
      <c r="AB926" t="s">
        <v>11147</v>
      </c>
      <c r="AC926" t="s">
        <v>11148</v>
      </c>
      <c r="AD926" t="s">
        <v>32</v>
      </c>
      <c r="AE926" t="s">
        <v>32</v>
      </c>
      <c r="AF926" t="s">
        <v>46835</v>
      </c>
    </row>
    <row r="927" spans="1:33" x14ac:dyDescent="0.2">
      <c r="A927">
        <v>922</v>
      </c>
      <c r="B927" t="s">
        <v>11149</v>
      </c>
      <c r="C927" t="s">
        <v>11150</v>
      </c>
      <c r="D927" t="s">
        <v>11151</v>
      </c>
      <c r="E927" t="s">
        <v>11152</v>
      </c>
      <c r="F927" t="s">
        <v>11153</v>
      </c>
      <c r="G927" t="s">
        <v>11154</v>
      </c>
      <c r="H927" t="str">
        <f>"Ssrp1"</f>
        <v>Ssrp1</v>
      </c>
      <c r="I927" t="s">
        <v>32</v>
      </c>
      <c r="J927" t="s">
        <v>37</v>
      </c>
      <c r="K927">
        <v>10090</v>
      </c>
      <c r="L927" s="3" t="str">
        <f>HYPERLINK("http://www.uniprot.org/uniprot/Q08943", "Q08943")</f>
        <v>Q08943</v>
      </c>
      <c r="M927" t="s">
        <v>11155</v>
      </c>
      <c r="N927" t="str">
        <f>"Ssrp1"</f>
        <v>Ssrp1</v>
      </c>
      <c r="O927" s="3" t="str">
        <f>HYPERLINK("http://www.informatics.jax.org/marker/MGI:107912", "MGI:107912")</f>
        <v>MGI:107912</v>
      </c>
      <c r="P927" t="s">
        <v>11156</v>
      </c>
      <c r="Q927" t="s">
        <v>11157</v>
      </c>
      <c r="R927" t="s">
        <v>1939</v>
      </c>
      <c r="S927" t="s">
        <v>41</v>
      </c>
      <c r="T927" t="s">
        <v>32</v>
      </c>
      <c r="U927" t="s">
        <v>32</v>
      </c>
      <c r="V927" t="s">
        <v>32</v>
      </c>
      <c r="W927" t="s">
        <v>32</v>
      </c>
      <c r="X927" t="s">
        <v>247</v>
      </c>
      <c r="Y927" t="s">
        <v>516</v>
      </c>
      <c r="Z927" t="s">
        <v>32</v>
      </c>
      <c r="AA927" t="s">
        <v>11158</v>
      </c>
      <c r="AB927" t="s">
        <v>11159</v>
      </c>
      <c r="AC927" t="s">
        <v>11160</v>
      </c>
      <c r="AD927" t="s">
        <v>32</v>
      </c>
      <c r="AE927" t="s">
        <v>11161</v>
      </c>
      <c r="AF927" t="s">
        <v>46835</v>
      </c>
    </row>
    <row r="928" spans="1:33" x14ac:dyDescent="0.2">
      <c r="A928">
        <v>923</v>
      </c>
      <c r="B928" t="s">
        <v>11162</v>
      </c>
      <c r="C928" t="s">
        <v>11163</v>
      </c>
      <c r="D928" t="s">
        <v>32</v>
      </c>
      <c r="E928" t="s">
        <v>11164</v>
      </c>
      <c r="F928" t="s">
        <v>11165</v>
      </c>
      <c r="G928" t="s">
        <v>11166</v>
      </c>
      <c r="H928" t="str">
        <f>"Optn"</f>
        <v>Optn</v>
      </c>
      <c r="I928" t="s">
        <v>32</v>
      </c>
      <c r="J928" t="s">
        <v>37</v>
      </c>
      <c r="K928">
        <v>10090</v>
      </c>
      <c r="L928" s="3" t="str">
        <f>HYPERLINK("http://www.uniprot.org/uniprot/Q8K3K8", "Q8K3K8")</f>
        <v>Q8K3K8</v>
      </c>
      <c r="M928" t="s">
        <v>11167</v>
      </c>
      <c r="N928" t="str">
        <f>"Optn"</f>
        <v>Optn</v>
      </c>
      <c r="O928" s="3" t="str">
        <f>HYPERLINK("http://www.informatics.jax.org/marker/MGI:1918898", "MGI:1918898")</f>
        <v>MGI:1918898</v>
      </c>
      <c r="P928" t="s">
        <v>11168</v>
      </c>
      <c r="Q928" t="s">
        <v>11169</v>
      </c>
      <c r="R928" t="s">
        <v>11170</v>
      </c>
      <c r="S928" t="s">
        <v>32</v>
      </c>
      <c r="T928" t="s">
        <v>32</v>
      </c>
      <c r="U928" t="s">
        <v>32</v>
      </c>
      <c r="V928" t="s">
        <v>11171</v>
      </c>
      <c r="W928" t="s">
        <v>42</v>
      </c>
      <c r="X928" t="s">
        <v>32</v>
      </c>
      <c r="Y928" t="s">
        <v>618</v>
      </c>
      <c r="Z928" t="s">
        <v>126</v>
      </c>
      <c r="AA928" t="s">
        <v>11172</v>
      </c>
      <c r="AB928" t="s">
        <v>11173</v>
      </c>
      <c r="AC928" t="s">
        <v>11174</v>
      </c>
      <c r="AD928" t="s">
        <v>32</v>
      </c>
      <c r="AE928" t="s">
        <v>11175</v>
      </c>
      <c r="AF928" t="s">
        <v>46835</v>
      </c>
    </row>
    <row r="929" spans="1:33" x14ac:dyDescent="0.2">
      <c r="A929">
        <v>924</v>
      </c>
      <c r="B929" t="s">
        <v>11176</v>
      </c>
      <c r="C929" t="s">
        <v>11177</v>
      </c>
      <c r="D929" t="s">
        <v>32</v>
      </c>
      <c r="E929" t="s">
        <v>11178</v>
      </c>
      <c r="F929" t="s">
        <v>11179</v>
      </c>
      <c r="G929" t="s">
        <v>11180</v>
      </c>
      <c r="H929" t="str">
        <f>"Hbs1l"</f>
        <v>Hbs1l</v>
      </c>
      <c r="I929" t="s">
        <v>11181</v>
      </c>
      <c r="J929" t="s">
        <v>37</v>
      </c>
      <c r="K929">
        <v>10090</v>
      </c>
      <c r="L929" s="3" t="str">
        <f>HYPERLINK("http://www.uniprot.org/uniprot/Q69ZS7", "Q69ZS7")</f>
        <v>Q69ZS7</v>
      </c>
      <c r="M929" t="s">
        <v>11182</v>
      </c>
      <c r="N929" t="str">
        <f>"Hbs1l"</f>
        <v>Hbs1l</v>
      </c>
      <c r="O929" s="3" t="str">
        <f>HYPERLINK("http://www.informatics.jax.org/marker/MGI:1891704", "MGI:1891704")</f>
        <v>MGI:1891704</v>
      </c>
      <c r="P929" t="s">
        <v>11183</v>
      </c>
      <c r="Q929" t="s">
        <v>2324</v>
      </c>
      <c r="R929" t="s">
        <v>32</v>
      </c>
      <c r="S929" t="s">
        <v>41</v>
      </c>
      <c r="T929" t="s">
        <v>32</v>
      </c>
      <c r="U929" t="s">
        <v>32</v>
      </c>
      <c r="V929" t="s">
        <v>32</v>
      </c>
      <c r="W929" t="s">
        <v>261</v>
      </c>
      <c r="X929" t="s">
        <v>262</v>
      </c>
      <c r="Y929" t="s">
        <v>157</v>
      </c>
      <c r="Z929" t="s">
        <v>126</v>
      </c>
      <c r="AA929" t="s">
        <v>11184</v>
      </c>
      <c r="AB929" t="s">
        <v>32</v>
      </c>
      <c r="AC929" t="s">
        <v>4572</v>
      </c>
      <c r="AD929" t="s">
        <v>32</v>
      </c>
      <c r="AE929" t="s">
        <v>10495</v>
      </c>
      <c r="AF929" t="s">
        <v>46835</v>
      </c>
    </row>
    <row r="930" spans="1:33" x14ac:dyDescent="0.2">
      <c r="A930">
        <v>925</v>
      </c>
      <c r="B930" t="s">
        <v>11185</v>
      </c>
      <c r="C930" t="s">
        <v>11186</v>
      </c>
      <c r="D930" t="s">
        <v>11187</v>
      </c>
      <c r="E930" t="s">
        <v>11188</v>
      </c>
      <c r="F930" t="s">
        <v>11189</v>
      </c>
      <c r="G930" t="s">
        <v>11190</v>
      </c>
      <c r="H930" t="str">
        <f>"Psmd5"</f>
        <v>Psmd5</v>
      </c>
      <c r="I930" t="s">
        <v>11191</v>
      </c>
      <c r="J930" t="s">
        <v>37</v>
      </c>
      <c r="K930">
        <v>10090</v>
      </c>
      <c r="L930" s="3" t="str">
        <f>HYPERLINK("http://www.uniprot.org/uniprot/Q8BJY1", "Q8BJY1")</f>
        <v>Q8BJY1</v>
      </c>
      <c r="M930" t="s">
        <v>11192</v>
      </c>
      <c r="N930" t="str">
        <f>"Psmd5"</f>
        <v>Psmd5</v>
      </c>
      <c r="O930" s="3" t="str">
        <f>HYPERLINK("http://www.informatics.jax.org/marker/MGI:1914248", "MGI:1914248")</f>
        <v>MGI:1914248</v>
      </c>
      <c r="P930" t="s">
        <v>10574</v>
      </c>
      <c r="Q930" t="s">
        <v>32</v>
      </c>
      <c r="R930" t="s">
        <v>32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388</v>
      </c>
      <c r="Y930" t="s">
        <v>78</v>
      </c>
      <c r="Z930" t="s">
        <v>32</v>
      </c>
      <c r="AA930" t="s">
        <v>11193</v>
      </c>
      <c r="AB930" t="s">
        <v>11194</v>
      </c>
      <c r="AC930" t="s">
        <v>32</v>
      </c>
      <c r="AD930" t="s">
        <v>32</v>
      </c>
      <c r="AE930" t="s">
        <v>2774</v>
      </c>
      <c r="AF930" t="s">
        <v>46835</v>
      </c>
    </row>
    <row r="931" spans="1:33" x14ac:dyDescent="0.2">
      <c r="A931">
        <v>926</v>
      </c>
      <c r="B931" t="s">
        <v>11195</v>
      </c>
      <c r="C931" t="s">
        <v>11196</v>
      </c>
      <c r="D931" t="s">
        <v>32</v>
      </c>
      <c r="E931" t="s">
        <v>11197</v>
      </c>
      <c r="F931" t="s">
        <v>11198</v>
      </c>
      <c r="G931" t="s">
        <v>11199</v>
      </c>
      <c r="H931" t="str">
        <f>"Sec23ip"</f>
        <v>Sec23ip</v>
      </c>
      <c r="I931" t="s">
        <v>32</v>
      </c>
      <c r="J931" t="s">
        <v>37</v>
      </c>
      <c r="K931">
        <v>10090</v>
      </c>
      <c r="L931" s="3" t="str">
        <f>HYPERLINK("http://www.uniprot.org/uniprot/Q6NZC7", "Q6NZC7")</f>
        <v>Q6NZC7</v>
      </c>
      <c r="M931" t="s">
        <v>11200</v>
      </c>
      <c r="N931" t="str">
        <f>"Sec23ip"</f>
        <v>Sec23ip</v>
      </c>
      <c r="O931" s="3" t="str">
        <f>HYPERLINK("http://www.informatics.jax.org/marker/MGI:2450915", "MGI:2450915")</f>
        <v>MGI:2450915</v>
      </c>
      <c r="P931" t="s">
        <v>11201</v>
      </c>
      <c r="Q931" t="s">
        <v>32</v>
      </c>
      <c r="R931" t="s">
        <v>11202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t="s">
        <v>618</v>
      </c>
      <c r="Z931" t="s">
        <v>32</v>
      </c>
      <c r="AA931" t="s">
        <v>11203</v>
      </c>
      <c r="AB931" t="s">
        <v>11204</v>
      </c>
      <c r="AC931" t="s">
        <v>11205</v>
      </c>
      <c r="AD931" t="s">
        <v>32</v>
      </c>
      <c r="AE931" t="s">
        <v>11206</v>
      </c>
      <c r="AF931" t="s">
        <v>46835</v>
      </c>
    </row>
    <row r="932" spans="1:33" x14ac:dyDescent="0.2">
      <c r="A932">
        <v>927</v>
      </c>
      <c r="B932" t="s">
        <v>11207</v>
      </c>
      <c r="C932" t="s">
        <v>11208</v>
      </c>
      <c r="D932" t="s">
        <v>32</v>
      </c>
      <c r="E932" t="s">
        <v>11209</v>
      </c>
      <c r="F932" t="s">
        <v>11210</v>
      </c>
      <c r="G932" t="s">
        <v>11211</v>
      </c>
      <c r="H932" t="str">
        <f>"Ufm1"</f>
        <v>Ufm1</v>
      </c>
      <c r="I932" t="s">
        <v>32</v>
      </c>
      <c r="J932" t="s">
        <v>37</v>
      </c>
      <c r="K932">
        <v>10090</v>
      </c>
      <c r="L932" s="3" t="str">
        <f>HYPERLINK("http://www.uniprot.org/uniprot/P61961", "P61961")</f>
        <v>P61961</v>
      </c>
      <c r="M932" t="s">
        <v>11212</v>
      </c>
      <c r="N932" t="str">
        <f>"Ufm1"</f>
        <v>Ufm1</v>
      </c>
      <c r="O932" s="3" t="str">
        <f>HYPERLINK("http://www.informatics.jax.org/marker/MGI:1915140", "MGI:1915140")</f>
        <v>MGI:1915140</v>
      </c>
      <c r="P932" t="s">
        <v>11213</v>
      </c>
      <c r="Q932" t="s">
        <v>1020</v>
      </c>
      <c r="R932" t="s">
        <v>40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32</v>
      </c>
      <c r="Y932" t="s">
        <v>7792</v>
      </c>
      <c r="Z932" t="s">
        <v>126</v>
      </c>
      <c r="AA932" t="s">
        <v>11214</v>
      </c>
      <c r="AB932" t="s">
        <v>463</v>
      </c>
      <c r="AC932" t="s">
        <v>32</v>
      </c>
      <c r="AD932" t="s">
        <v>32</v>
      </c>
      <c r="AE932" t="s">
        <v>32</v>
      </c>
      <c r="AF932" t="s">
        <v>46835</v>
      </c>
    </row>
    <row r="933" spans="1:33" x14ac:dyDescent="0.2">
      <c r="A933">
        <v>928</v>
      </c>
      <c r="B933" t="s">
        <v>11215</v>
      </c>
      <c r="C933" t="s">
        <v>47209</v>
      </c>
      <c r="D933" t="s">
        <v>32</v>
      </c>
      <c r="E933" t="s">
        <v>46874</v>
      </c>
      <c r="F933" t="s">
        <v>46873</v>
      </c>
      <c r="G933" t="s">
        <v>32</v>
      </c>
      <c r="H933" t="s">
        <v>47341</v>
      </c>
      <c r="I933" t="s">
        <v>32</v>
      </c>
      <c r="J933" t="s">
        <v>37</v>
      </c>
      <c r="K933">
        <v>10090</v>
      </c>
      <c r="L933" s="3" t="str">
        <f>HYPERLINK(CONCATENATE("https://www.uniprot.org/uniprotkb/", AG933, "/entry"), AG933)</f>
        <v>D3Z3N4</v>
      </c>
      <c r="M933" t="s">
        <v>32</v>
      </c>
      <c r="N933" t="s">
        <v>32</v>
      </c>
      <c r="O933" s="3" t="s">
        <v>32</v>
      </c>
      <c r="P933" t="s">
        <v>32</v>
      </c>
      <c r="Q933" t="s">
        <v>32</v>
      </c>
      <c r="R933" t="s">
        <v>32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32</v>
      </c>
      <c r="Y933" t="s">
        <v>32</v>
      </c>
      <c r="Z933" t="s">
        <v>32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t="s">
        <v>46835</v>
      </c>
      <c r="AG933" t="s">
        <v>46873</v>
      </c>
    </row>
    <row r="934" spans="1:33" x14ac:dyDescent="0.2">
      <c r="A934">
        <v>929</v>
      </c>
      <c r="B934" t="s">
        <v>11216</v>
      </c>
      <c r="C934" t="s">
        <v>11217</v>
      </c>
      <c r="D934" t="s">
        <v>11218</v>
      </c>
      <c r="E934" t="s">
        <v>11219</v>
      </c>
      <c r="F934" t="s">
        <v>11220</v>
      </c>
      <c r="G934" t="s">
        <v>32</v>
      </c>
      <c r="H934" t="str">
        <f>"Nmt1"</f>
        <v>Nmt1</v>
      </c>
      <c r="I934" t="s">
        <v>32</v>
      </c>
      <c r="J934" t="s">
        <v>37</v>
      </c>
      <c r="K934">
        <v>10090</v>
      </c>
      <c r="L934" s="3" t="str">
        <f>HYPERLINK("http://www.uniprot.org/uniprot/O70310", "O70310")</f>
        <v>O70310</v>
      </c>
      <c r="M934" t="s">
        <v>11221</v>
      </c>
      <c r="N934" t="str">
        <f>"Nmt1"</f>
        <v>Nmt1</v>
      </c>
      <c r="O934" s="3" t="str">
        <f>HYPERLINK("http://www.informatics.jax.org/marker/MGI:102579", "MGI:102579")</f>
        <v>MGI:102579</v>
      </c>
      <c r="P934" t="s">
        <v>11222</v>
      </c>
      <c r="Q934" t="s">
        <v>32</v>
      </c>
      <c r="R934" t="s">
        <v>714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7304</v>
      </c>
      <c r="Y934" t="s">
        <v>618</v>
      </c>
      <c r="Z934" t="s">
        <v>32</v>
      </c>
      <c r="AA934" t="s">
        <v>11223</v>
      </c>
      <c r="AB934" t="s">
        <v>11224</v>
      </c>
      <c r="AC934" t="s">
        <v>11225</v>
      </c>
      <c r="AD934" t="s">
        <v>32</v>
      </c>
      <c r="AE934" t="s">
        <v>11226</v>
      </c>
      <c r="AF934" t="s">
        <v>46835</v>
      </c>
    </row>
    <row r="935" spans="1:33" x14ac:dyDescent="0.2">
      <c r="A935">
        <v>930</v>
      </c>
      <c r="B935" t="s">
        <v>11227</v>
      </c>
      <c r="C935" t="s">
        <v>11228</v>
      </c>
      <c r="D935" t="s">
        <v>11229</v>
      </c>
      <c r="E935" t="s">
        <v>11230</v>
      </c>
      <c r="F935" t="s">
        <v>11231</v>
      </c>
      <c r="G935" t="s">
        <v>11232</v>
      </c>
      <c r="H935" t="str">
        <f>"Znf207"</f>
        <v>Znf207</v>
      </c>
      <c r="I935" t="s">
        <v>32</v>
      </c>
      <c r="J935" t="s">
        <v>37</v>
      </c>
      <c r="K935">
        <v>10090</v>
      </c>
      <c r="L935" s="3" t="str">
        <f>HYPERLINK("http://www.uniprot.org/uniprot/Q9JMD0", "Q9JMD0")</f>
        <v>Q9JMD0</v>
      </c>
      <c r="M935" t="s">
        <v>11233</v>
      </c>
      <c r="N935" t="str">
        <f>"Zfp207"</f>
        <v>Zfp207</v>
      </c>
      <c r="O935" s="3" t="str">
        <f>HYPERLINK("http://www.informatics.jax.org/marker/MGI:1340045", "MGI:1340045")</f>
        <v>MGI:1340045</v>
      </c>
      <c r="P935" t="s">
        <v>11234</v>
      </c>
      <c r="Q935" t="s">
        <v>6873</v>
      </c>
      <c r="R935" t="s">
        <v>11235</v>
      </c>
      <c r="S935" t="s">
        <v>41</v>
      </c>
      <c r="T935" t="s">
        <v>32</v>
      </c>
      <c r="U935" t="s">
        <v>32</v>
      </c>
      <c r="V935" t="s">
        <v>3791</v>
      </c>
      <c r="W935" t="s">
        <v>42</v>
      </c>
      <c r="X935" t="s">
        <v>32</v>
      </c>
      <c r="Y935" t="s">
        <v>32</v>
      </c>
      <c r="Z935" t="s">
        <v>32</v>
      </c>
      <c r="AA935" t="s">
        <v>11236</v>
      </c>
      <c r="AB935" t="s">
        <v>11237</v>
      </c>
      <c r="AC935" t="s">
        <v>11238</v>
      </c>
      <c r="AD935" t="s">
        <v>32</v>
      </c>
      <c r="AE935" t="s">
        <v>32</v>
      </c>
      <c r="AF935" t="s">
        <v>46835</v>
      </c>
    </row>
    <row r="936" spans="1:33" x14ac:dyDescent="0.2">
      <c r="A936">
        <v>931</v>
      </c>
      <c r="B936" t="s">
        <v>11239</v>
      </c>
      <c r="C936" t="s">
        <v>11240</v>
      </c>
      <c r="D936" t="s">
        <v>11241</v>
      </c>
      <c r="E936" t="s">
        <v>11242</v>
      </c>
      <c r="F936" t="s">
        <v>11243</v>
      </c>
      <c r="G936" t="s">
        <v>11244</v>
      </c>
      <c r="H936" t="str">
        <f>"Cox7a2"</f>
        <v>Cox7a2</v>
      </c>
      <c r="I936" t="s">
        <v>11245</v>
      </c>
      <c r="J936" t="s">
        <v>37</v>
      </c>
      <c r="K936">
        <v>10090</v>
      </c>
      <c r="L936" s="3" t="str">
        <f>HYPERLINK("http://www.uniprot.org/uniprot/P48771", "P48771")</f>
        <v>P48771</v>
      </c>
      <c r="M936" t="s">
        <v>11246</v>
      </c>
      <c r="N936" t="str">
        <f>"Cox7a2"</f>
        <v>Cox7a2</v>
      </c>
      <c r="O936" s="3" t="str">
        <f>HYPERLINK("http://www.informatics.jax.org/marker/MGI:1316715", "MGI:1316715")</f>
        <v>MGI:1316715</v>
      </c>
      <c r="P936" t="s">
        <v>11247</v>
      </c>
      <c r="Q936" t="s">
        <v>32</v>
      </c>
      <c r="R936" t="s">
        <v>3858</v>
      </c>
      <c r="S936" t="s">
        <v>32</v>
      </c>
      <c r="T936" t="s">
        <v>32</v>
      </c>
      <c r="U936" t="s">
        <v>32</v>
      </c>
      <c r="V936" t="s">
        <v>3859</v>
      </c>
      <c r="W936" t="s">
        <v>32</v>
      </c>
      <c r="X936" t="s">
        <v>600</v>
      </c>
      <c r="Y936" t="s">
        <v>78</v>
      </c>
      <c r="Z936" t="s">
        <v>32</v>
      </c>
      <c r="AA936" t="s">
        <v>11248</v>
      </c>
      <c r="AB936" t="s">
        <v>11249</v>
      </c>
      <c r="AC936" t="s">
        <v>11250</v>
      </c>
      <c r="AD936" t="s">
        <v>3862</v>
      </c>
      <c r="AE936" t="s">
        <v>32</v>
      </c>
      <c r="AF936" t="s">
        <v>46835</v>
      </c>
    </row>
    <row r="937" spans="1:33" x14ac:dyDescent="0.2">
      <c r="A937">
        <v>932</v>
      </c>
      <c r="B937" t="s">
        <v>11251</v>
      </c>
      <c r="C937" t="s">
        <v>11252</v>
      </c>
      <c r="D937" t="s">
        <v>32</v>
      </c>
      <c r="E937" t="s">
        <v>11253</v>
      </c>
      <c r="F937" t="s">
        <v>11254</v>
      </c>
      <c r="G937" t="s">
        <v>11255</v>
      </c>
      <c r="H937" t="str">
        <f>"Rtn3"</f>
        <v>Rtn3</v>
      </c>
      <c r="I937" t="s">
        <v>32</v>
      </c>
      <c r="J937" t="s">
        <v>37</v>
      </c>
      <c r="K937">
        <v>10090</v>
      </c>
      <c r="L937" s="3" t="str">
        <f>HYPERLINK("http://www.uniprot.org/uniprot/Q9ES97", "Q9ES97")</f>
        <v>Q9ES97</v>
      </c>
      <c r="M937" t="s">
        <v>11256</v>
      </c>
      <c r="N937" t="str">
        <f>"Rtn3"</f>
        <v>Rtn3</v>
      </c>
      <c r="O937" s="3" t="str">
        <f>HYPERLINK("http://www.informatics.jax.org/marker/MGI:1339970", "MGI:1339970")</f>
        <v>MGI:1339970</v>
      </c>
      <c r="P937" t="s">
        <v>11257</v>
      </c>
      <c r="Q937" t="s">
        <v>11258</v>
      </c>
      <c r="R937" t="s">
        <v>11259</v>
      </c>
      <c r="S937" t="s">
        <v>41</v>
      </c>
      <c r="T937" t="s">
        <v>32</v>
      </c>
      <c r="U937" t="s">
        <v>32</v>
      </c>
      <c r="V937" t="s">
        <v>493</v>
      </c>
      <c r="W937" t="s">
        <v>32</v>
      </c>
      <c r="X937" t="s">
        <v>32</v>
      </c>
      <c r="Y937" t="s">
        <v>157</v>
      </c>
      <c r="Z937" t="s">
        <v>32</v>
      </c>
      <c r="AA937" t="s">
        <v>11260</v>
      </c>
      <c r="AB937" t="s">
        <v>11261</v>
      </c>
      <c r="AC937" t="s">
        <v>32</v>
      </c>
      <c r="AD937" t="s">
        <v>32</v>
      </c>
      <c r="AE937" t="s">
        <v>11262</v>
      </c>
      <c r="AF937" t="s">
        <v>46835</v>
      </c>
    </row>
    <row r="938" spans="1:33" x14ac:dyDescent="0.2">
      <c r="A938">
        <v>933</v>
      </c>
      <c r="B938" t="s">
        <v>11263</v>
      </c>
      <c r="C938" t="s">
        <v>11264</v>
      </c>
      <c r="D938" t="s">
        <v>11265</v>
      </c>
      <c r="E938" t="s">
        <v>11266</v>
      </c>
      <c r="F938" t="s">
        <v>11267</v>
      </c>
      <c r="G938" t="s">
        <v>11268</v>
      </c>
      <c r="H938" t="str">
        <f>"Alyref"</f>
        <v>Alyref</v>
      </c>
      <c r="I938" t="s">
        <v>11269</v>
      </c>
      <c r="J938" t="s">
        <v>37</v>
      </c>
      <c r="K938">
        <v>10090</v>
      </c>
      <c r="L938" s="3" t="str">
        <f>HYPERLINK("http://www.uniprot.org/uniprot/O08583", "O08583")</f>
        <v>O08583</v>
      </c>
      <c r="M938" t="s">
        <v>11270</v>
      </c>
      <c r="N938" t="str">
        <f>"Alyref"</f>
        <v>Alyref</v>
      </c>
      <c r="O938" s="3" t="str">
        <f>HYPERLINK("http://www.informatics.jax.org/marker/MGI:1341044", "MGI:1341044")</f>
        <v>MGI:1341044</v>
      </c>
      <c r="P938" t="s">
        <v>11271</v>
      </c>
      <c r="Q938" t="s">
        <v>1127</v>
      </c>
      <c r="R938" t="s">
        <v>2219</v>
      </c>
      <c r="S938" t="s">
        <v>41</v>
      </c>
      <c r="T938" t="s">
        <v>32</v>
      </c>
      <c r="U938" t="s">
        <v>32</v>
      </c>
      <c r="V938" t="s">
        <v>32</v>
      </c>
      <c r="W938" t="s">
        <v>32</v>
      </c>
      <c r="X938" t="s">
        <v>11272</v>
      </c>
      <c r="Y938" t="s">
        <v>11273</v>
      </c>
      <c r="Z938" t="s">
        <v>126</v>
      </c>
      <c r="AA938" t="s">
        <v>11274</v>
      </c>
      <c r="AB938" t="s">
        <v>11275</v>
      </c>
      <c r="AC938" t="s">
        <v>11276</v>
      </c>
      <c r="AD938" t="s">
        <v>32</v>
      </c>
      <c r="AE938" t="s">
        <v>11277</v>
      </c>
      <c r="AF938" t="s">
        <v>46835</v>
      </c>
    </row>
    <row r="939" spans="1:33" x14ac:dyDescent="0.2">
      <c r="A939">
        <v>934</v>
      </c>
      <c r="B939" t="s">
        <v>11278</v>
      </c>
      <c r="C939" t="s">
        <v>11279</v>
      </c>
      <c r="D939" t="s">
        <v>32</v>
      </c>
      <c r="E939" t="s">
        <v>11280</v>
      </c>
      <c r="F939" t="s">
        <v>11281</v>
      </c>
      <c r="G939" t="s">
        <v>11282</v>
      </c>
      <c r="H939" t="str">
        <f>"Septin8"</f>
        <v>Septin8</v>
      </c>
      <c r="I939" t="s">
        <v>32</v>
      </c>
      <c r="J939" t="s">
        <v>37</v>
      </c>
      <c r="K939">
        <v>10090</v>
      </c>
      <c r="L939" s="3" t="str">
        <f>HYPERLINK("http://www.uniprot.org/uniprot/Q8CHH9", "Q8CHH9")</f>
        <v>Q8CHH9</v>
      </c>
      <c r="M939" t="s">
        <v>11283</v>
      </c>
      <c r="N939" t="str">
        <f>"Septin8"</f>
        <v>Septin8</v>
      </c>
      <c r="O939" s="3" t="str">
        <f>HYPERLINK("http://www.informatics.jax.org/marker/MGI:894310", "MGI:894310")</f>
        <v>MGI:894310</v>
      </c>
      <c r="P939" t="s">
        <v>11284</v>
      </c>
      <c r="Q939" t="s">
        <v>32</v>
      </c>
      <c r="R939" t="s">
        <v>11285</v>
      </c>
      <c r="S939" t="s">
        <v>41</v>
      </c>
      <c r="T939" t="s">
        <v>32</v>
      </c>
      <c r="U939" t="s">
        <v>32</v>
      </c>
      <c r="V939" t="s">
        <v>290</v>
      </c>
      <c r="W939" t="s">
        <v>261</v>
      </c>
      <c r="X939" t="s">
        <v>32</v>
      </c>
      <c r="Y939" t="s">
        <v>157</v>
      </c>
      <c r="Z939" t="s">
        <v>32</v>
      </c>
      <c r="AA939" t="s">
        <v>11286</v>
      </c>
      <c r="AB939" t="s">
        <v>11287</v>
      </c>
      <c r="AC939" t="s">
        <v>11288</v>
      </c>
      <c r="AD939" t="s">
        <v>32</v>
      </c>
      <c r="AE939" t="s">
        <v>32</v>
      </c>
      <c r="AF939" t="s">
        <v>46835</v>
      </c>
    </row>
    <row r="940" spans="1:33" x14ac:dyDescent="0.2">
      <c r="A940">
        <v>935</v>
      </c>
      <c r="B940" t="s">
        <v>11289</v>
      </c>
      <c r="C940" t="s">
        <v>11290</v>
      </c>
      <c r="D940" t="s">
        <v>11291</v>
      </c>
      <c r="E940" t="s">
        <v>11292</v>
      </c>
      <c r="F940" t="s">
        <v>11293</v>
      </c>
      <c r="G940" t="s">
        <v>11294</v>
      </c>
      <c r="H940" t="str">
        <f>"Copg2"</f>
        <v>Copg2</v>
      </c>
      <c r="I940" t="s">
        <v>32</v>
      </c>
      <c r="J940" t="s">
        <v>37</v>
      </c>
      <c r="K940">
        <v>10090</v>
      </c>
      <c r="L940" s="3" t="str">
        <f>HYPERLINK("http://www.uniprot.org/uniprot/Q9QXK3", "Q9QXK3")</f>
        <v>Q9QXK3</v>
      </c>
      <c r="M940" t="s">
        <v>11295</v>
      </c>
      <c r="N940" t="str">
        <f>"Copg2"</f>
        <v>Copg2</v>
      </c>
      <c r="O940" s="3" t="str">
        <f>HYPERLINK("http://www.informatics.jax.org/marker/MGI:1858683", "MGI:1858683")</f>
        <v>MGI:1858683</v>
      </c>
      <c r="P940" t="s">
        <v>11296</v>
      </c>
      <c r="Q940" t="s">
        <v>2916</v>
      </c>
      <c r="R940" t="s">
        <v>3166</v>
      </c>
      <c r="S940" t="s">
        <v>41</v>
      </c>
      <c r="T940" t="s">
        <v>32</v>
      </c>
      <c r="U940" t="s">
        <v>32</v>
      </c>
      <c r="V940" t="s">
        <v>55</v>
      </c>
      <c r="W940" t="s">
        <v>32</v>
      </c>
      <c r="X940" t="s">
        <v>32</v>
      </c>
      <c r="Y940" t="s">
        <v>618</v>
      </c>
      <c r="Z940" t="s">
        <v>32</v>
      </c>
      <c r="AA940" t="s">
        <v>11297</v>
      </c>
      <c r="AB940" t="s">
        <v>11298</v>
      </c>
      <c r="AC940" t="s">
        <v>4591</v>
      </c>
      <c r="AD940" t="s">
        <v>32</v>
      </c>
      <c r="AE940" t="s">
        <v>3171</v>
      </c>
      <c r="AF940" t="s">
        <v>46835</v>
      </c>
    </row>
    <row r="941" spans="1:33" x14ac:dyDescent="0.2">
      <c r="A941">
        <v>936</v>
      </c>
      <c r="B941" t="s">
        <v>11299</v>
      </c>
      <c r="C941" t="s">
        <v>11300</v>
      </c>
      <c r="D941" t="s">
        <v>32</v>
      </c>
      <c r="E941" t="s">
        <v>11301</v>
      </c>
      <c r="F941" t="s">
        <v>11302</v>
      </c>
      <c r="G941" t="s">
        <v>11303</v>
      </c>
      <c r="H941" t="str">
        <f>"Tp53bp1"</f>
        <v>Tp53bp1</v>
      </c>
      <c r="I941" t="s">
        <v>32</v>
      </c>
      <c r="J941" t="s">
        <v>37</v>
      </c>
      <c r="K941">
        <v>10090</v>
      </c>
      <c r="L941" s="3" t="str">
        <f>HYPERLINK("http://www.uniprot.org/uniprot/P70399", "P70399")</f>
        <v>P70399</v>
      </c>
      <c r="M941" t="s">
        <v>11304</v>
      </c>
      <c r="N941" t="str">
        <f>"Trp53bp1"</f>
        <v>Trp53bp1</v>
      </c>
      <c r="O941" s="3" t="str">
        <f>HYPERLINK("http://www.informatics.jax.org/marker/MGI:1351320", "MGI:1351320")</f>
        <v>MGI:1351320</v>
      </c>
      <c r="P941" t="s">
        <v>11305</v>
      </c>
      <c r="Q941" t="s">
        <v>11306</v>
      </c>
      <c r="R941" t="s">
        <v>11307</v>
      </c>
      <c r="S941" t="s">
        <v>41</v>
      </c>
      <c r="T941" t="s">
        <v>32</v>
      </c>
      <c r="U941" t="s">
        <v>32</v>
      </c>
      <c r="V941" t="s">
        <v>55</v>
      </c>
      <c r="W941" t="s">
        <v>32</v>
      </c>
      <c r="X941" t="s">
        <v>2350</v>
      </c>
      <c r="Y941" t="s">
        <v>2192</v>
      </c>
      <c r="Z941" t="s">
        <v>126</v>
      </c>
      <c r="AA941" t="s">
        <v>11308</v>
      </c>
      <c r="AB941" t="s">
        <v>11309</v>
      </c>
      <c r="AC941" t="s">
        <v>11310</v>
      </c>
      <c r="AD941" t="s">
        <v>32</v>
      </c>
      <c r="AE941" t="s">
        <v>11311</v>
      </c>
      <c r="AF941" t="s">
        <v>46835</v>
      </c>
    </row>
    <row r="942" spans="1:33" x14ac:dyDescent="0.2">
      <c r="A942">
        <v>937</v>
      </c>
      <c r="B942" t="s">
        <v>11312</v>
      </c>
      <c r="C942" t="s">
        <v>11313</v>
      </c>
      <c r="D942" t="s">
        <v>11314</v>
      </c>
      <c r="E942" t="s">
        <v>11315</v>
      </c>
      <c r="F942" t="s">
        <v>11316</v>
      </c>
      <c r="G942" t="s">
        <v>11317</v>
      </c>
      <c r="H942" t="str">
        <f>"Mcm3"</f>
        <v>Mcm3</v>
      </c>
      <c r="I942" t="s">
        <v>11318</v>
      </c>
      <c r="J942" t="s">
        <v>37</v>
      </c>
      <c r="K942">
        <v>10090</v>
      </c>
      <c r="L942" s="3" t="str">
        <f>HYPERLINK("http://www.uniprot.org/uniprot/P25206", "P25206")</f>
        <v>P25206</v>
      </c>
      <c r="M942" t="s">
        <v>11319</v>
      </c>
      <c r="N942" t="str">
        <f>"Mcm3"</f>
        <v>Mcm3</v>
      </c>
      <c r="O942" s="3" t="str">
        <f>HYPERLINK("http://www.informatics.jax.org/marker/MGI:101845", "MGI:101845")</f>
        <v>MGI:101845</v>
      </c>
      <c r="P942" t="s">
        <v>11013</v>
      </c>
      <c r="Q942" t="s">
        <v>11014</v>
      </c>
      <c r="R942" t="s">
        <v>1939</v>
      </c>
      <c r="S942" t="s">
        <v>32</v>
      </c>
      <c r="T942" t="s">
        <v>32</v>
      </c>
      <c r="U942" t="s">
        <v>32</v>
      </c>
      <c r="V942" t="s">
        <v>32</v>
      </c>
      <c r="W942" t="s">
        <v>205</v>
      </c>
      <c r="X942" t="s">
        <v>11015</v>
      </c>
      <c r="Y942" t="s">
        <v>372</v>
      </c>
      <c r="Z942" t="s">
        <v>32</v>
      </c>
      <c r="AA942" t="s">
        <v>11320</v>
      </c>
      <c r="AB942" t="s">
        <v>11321</v>
      </c>
      <c r="AC942" t="s">
        <v>11322</v>
      </c>
      <c r="AD942" t="s">
        <v>32</v>
      </c>
      <c r="AE942" t="s">
        <v>11019</v>
      </c>
      <c r="AF942" t="s">
        <v>46835</v>
      </c>
    </row>
    <row r="943" spans="1:33" x14ac:dyDescent="0.2">
      <c r="A943">
        <v>938</v>
      </c>
      <c r="B943" t="s">
        <v>11323</v>
      </c>
      <c r="C943" t="s">
        <v>11324</v>
      </c>
      <c r="D943" t="s">
        <v>11325</v>
      </c>
      <c r="E943" t="s">
        <v>11326</v>
      </c>
      <c r="F943" t="s">
        <v>11327</v>
      </c>
      <c r="G943" t="s">
        <v>11328</v>
      </c>
      <c r="H943" t="str">
        <f>"Lims1"</f>
        <v>Lims1</v>
      </c>
      <c r="I943" t="s">
        <v>11329</v>
      </c>
      <c r="J943" t="s">
        <v>37</v>
      </c>
      <c r="K943">
        <v>10090</v>
      </c>
      <c r="L943" s="3" t="str">
        <f>HYPERLINK("http://www.uniprot.org/uniprot/Q99JW4", "Q99JW4")</f>
        <v>Q99JW4</v>
      </c>
      <c r="M943" t="s">
        <v>11330</v>
      </c>
      <c r="N943" t="str">
        <f>"Lims1"</f>
        <v>Lims1</v>
      </c>
      <c r="O943" s="3" t="str">
        <f>HYPERLINK("http://www.informatics.jax.org/marker/MGI:1195263", "MGI:1195263")</f>
        <v>MGI:1195263</v>
      </c>
      <c r="P943" t="s">
        <v>11331</v>
      </c>
      <c r="Q943" t="s">
        <v>32</v>
      </c>
      <c r="R943" t="s">
        <v>5512</v>
      </c>
      <c r="S943" t="s">
        <v>32</v>
      </c>
      <c r="T943" t="s">
        <v>32</v>
      </c>
      <c r="U943" t="s">
        <v>32</v>
      </c>
      <c r="V943" t="s">
        <v>11332</v>
      </c>
      <c r="W943" t="s">
        <v>42</v>
      </c>
      <c r="X943" t="s">
        <v>32</v>
      </c>
      <c r="Y943" t="s">
        <v>78</v>
      </c>
      <c r="Z943" t="s">
        <v>32</v>
      </c>
      <c r="AA943" t="s">
        <v>11333</v>
      </c>
      <c r="AB943" t="s">
        <v>11334</v>
      </c>
      <c r="AC943" t="s">
        <v>11335</v>
      </c>
      <c r="AD943" t="s">
        <v>32</v>
      </c>
      <c r="AE943" t="s">
        <v>11336</v>
      </c>
      <c r="AF943" t="s">
        <v>46835</v>
      </c>
    </row>
    <row r="944" spans="1:33" x14ac:dyDescent="0.2">
      <c r="A944">
        <v>939</v>
      </c>
      <c r="B944" t="s">
        <v>11337</v>
      </c>
      <c r="C944" t="s">
        <v>11338</v>
      </c>
      <c r="D944" t="s">
        <v>11339</v>
      </c>
      <c r="E944" t="s">
        <v>11340</v>
      </c>
      <c r="F944" t="s">
        <v>11341</v>
      </c>
      <c r="G944" t="s">
        <v>11342</v>
      </c>
      <c r="H944" t="str">
        <f>"Ube2i"</f>
        <v>Ube2i</v>
      </c>
      <c r="I944" t="s">
        <v>11343</v>
      </c>
      <c r="J944" t="s">
        <v>37</v>
      </c>
      <c r="K944">
        <v>10090</v>
      </c>
      <c r="L944" s="3" t="str">
        <f>HYPERLINK("http://www.uniprot.org/uniprot/P63280", "P63280")</f>
        <v>P63280</v>
      </c>
      <c r="M944" t="s">
        <v>11344</v>
      </c>
      <c r="N944" t="str">
        <f>"Ube2i"</f>
        <v>Ube2i</v>
      </c>
      <c r="O944" s="3" t="str">
        <f>HYPERLINK("http://www.informatics.jax.org/marker/MGI:107365", "MGI:107365")</f>
        <v>MGI:107365</v>
      </c>
      <c r="P944" t="s">
        <v>11345</v>
      </c>
      <c r="Q944" t="s">
        <v>11346</v>
      </c>
      <c r="R944" t="s">
        <v>40</v>
      </c>
      <c r="S944" t="s">
        <v>32</v>
      </c>
      <c r="T944" t="s">
        <v>32</v>
      </c>
      <c r="U944" t="s">
        <v>32</v>
      </c>
      <c r="V944" t="s">
        <v>32</v>
      </c>
      <c r="W944" t="s">
        <v>205</v>
      </c>
      <c r="X944" t="s">
        <v>11347</v>
      </c>
      <c r="Y944" t="s">
        <v>516</v>
      </c>
      <c r="Z944" t="s">
        <v>126</v>
      </c>
      <c r="AA944" t="s">
        <v>11348</v>
      </c>
      <c r="AB944" t="s">
        <v>11349</v>
      </c>
      <c r="AC944" t="s">
        <v>11350</v>
      </c>
      <c r="AD944" t="s">
        <v>2286</v>
      </c>
      <c r="AE944" t="s">
        <v>11351</v>
      </c>
      <c r="AF944" t="s">
        <v>46835</v>
      </c>
    </row>
    <row r="945" spans="1:33" x14ac:dyDescent="0.2">
      <c r="A945">
        <v>940</v>
      </c>
      <c r="B945" t="s">
        <v>11352</v>
      </c>
      <c r="C945" t="s">
        <v>11353</v>
      </c>
      <c r="D945" t="s">
        <v>32</v>
      </c>
      <c r="E945" t="s">
        <v>11354</v>
      </c>
      <c r="F945" t="s">
        <v>11355</v>
      </c>
      <c r="G945" t="s">
        <v>32</v>
      </c>
      <c r="H945" t="str">
        <f>"Safb"</f>
        <v>Safb</v>
      </c>
      <c r="I945" t="s">
        <v>11356</v>
      </c>
      <c r="J945" t="s">
        <v>37</v>
      </c>
      <c r="K945">
        <v>10090</v>
      </c>
      <c r="L945" s="3" t="str">
        <f>HYPERLINK("http://www.uniprot.org/uniprot/D3YXK2", "D3YXK2")</f>
        <v>D3YXK2</v>
      </c>
      <c r="M945" t="s">
        <v>11357</v>
      </c>
      <c r="N945" t="str">
        <f>"Safb"</f>
        <v>Safb</v>
      </c>
      <c r="O945" s="3" t="str">
        <f>HYPERLINK("http://www.informatics.jax.org/marker/MGI:2146974", "MGI:2146974")</f>
        <v>MGI:2146974</v>
      </c>
      <c r="P945" t="s">
        <v>11358</v>
      </c>
      <c r="Q945" t="s">
        <v>4152</v>
      </c>
      <c r="R945" t="s">
        <v>2279</v>
      </c>
      <c r="S945" t="s">
        <v>32</v>
      </c>
      <c r="T945" t="s">
        <v>32</v>
      </c>
      <c r="U945" t="s">
        <v>32</v>
      </c>
      <c r="V945" t="s">
        <v>290</v>
      </c>
      <c r="W945" t="s">
        <v>32</v>
      </c>
      <c r="X945" t="s">
        <v>5759</v>
      </c>
      <c r="Y945" t="s">
        <v>207</v>
      </c>
      <c r="Z945" t="s">
        <v>32</v>
      </c>
      <c r="AA945" t="s">
        <v>11359</v>
      </c>
      <c r="AB945" t="s">
        <v>11360</v>
      </c>
      <c r="AC945" t="s">
        <v>11361</v>
      </c>
      <c r="AD945" t="s">
        <v>32</v>
      </c>
      <c r="AE945" t="s">
        <v>8802</v>
      </c>
      <c r="AF945" t="s">
        <v>46835</v>
      </c>
    </row>
    <row r="946" spans="1:33" x14ac:dyDescent="0.2">
      <c r="A946">
        <v>941</v>
      </c>
      <c r="B946" t="s">
        <v>11362</v>
      </c>
      <c r="C946" t="s">
        <v>11363</v>
      </c>
      <c r="D946" t="s">
        <v>11364</v>
      </c>
      <c r="E946" t="s">
        <v>11365</v>
      </c>
      <c r="F946" t="s">
        <v>11366</v>
      </c>
      <c r="G946" t="s">
        <v>11367</v>
      </c>
      <c r="H946" t="str">
        <f>"Raly"</f>
        <v>Raly</v>
      </c>
      <c r="I946" t="s">
        <v>11368</v>
      </c>
      <c r="J946" t="s">
        <v>37</v>
      </c>
      <c r="K946">
        <v>10090</v>
      </c>
      <c r="L946" s="3" t="str">
        <f>HYPERLINK("http://www.uniprot.org/uniprot/Q64012", "Q64012")</f>
        <v>Q64012</v>
      </c>
      <c r="M946" t="s">
        <v>11369</v>
      </c>
      <c r="N946" t="str">
        <f>"Raly"</f>
        <v>Raly</v>
      </c>
      <c r="O946" s="3" t="str">
        <f>HYPERLINK("http://www.informatics.jax.org/marker/MGI:97850", "MGI:97850")</f>
        <v>MGI:97850</v>
      </c>
      <c r="P946" t="s">
        <v>11370</v>
      </c>
      <c r="Q946" t="s">
        <v>1348</v>
      </c>
      <c r="R946" t="s">
        <v>2140</v>
      </c>
      <c r="S946" t="s">
        <v>41</v>
      </c>
      <c r="T946" t="s">
        <v>32</v>
      </c>
      <c r="U946" t="s">
        <v>32</v>
      </c>
      <c r="V946" t="s">
        <v>290</v>
      </c>
      <c r="W946" t="s">
        <v>32</v>
      </c>
      <c r="X946" t="s">
        <v>1129</v>
      </c>
      <c r="Y946" t="s">
        <v>516</v>
      </c>
      <c r="Z946" t="s">
        <v>32</v>
      </c>
      <c r="AA946" t="s">
        <v>11371</v>
      </c>
      <c r="AB946" t="s">
        <v>11372</v>
      </c>
      <c r="AC946" t="s">
        <v>11373</v>
      </c>
      <c r="AD946" t="s">
        <v>32</v>
      </c>
      <c r="AE946" t="s">
        <v>32</v>
      </c>
      <c r="AF946" t="s">
        <v>46835</v>
      </c>
    </row>
    <row r="947" spans="1:33" x14ac:dyDescent="0.2">
      <c r="A947">
        <v>942</v>
      </c>
      <c r="B947" t="s">
        <v>11374</v>
      </c>
      <c r="C947" t="s">
        <v>11375</v>
      </c>
      <c r="D947" t="s">
        <v>11376</v>
      </c>
      <c r="E947" t="s">
        <v>11377</v>
      </c>
      <c r="F947" t="s">
        <v>11378</v>
      </c>
      <c r="G947" t="s">
        <v>11379</v>
      </c>
      <c r="H947" t="str">
        <f>"Atp5me"</f>
        <v>Atp5me</v>
      </c>
      <c r="I947" t="s">
        <v>32</v>
      </c>
      <c r="J947" t="s">
        <v>37</v>
      </c>
      <c r="K947">
        <v>10090</v>
      </c>
      <c r="L947" s="3" t="str">
        <f>HYPERLINK("http://www.uniprot.org/uniprot/Q06185", "Q06185")</f>
        <v>Q06185</v>
      </c>
      <c r="M947" t="s">
        <v>11380</v>
      </c>
      <c r="N947" t="str">
        <f>"Atp5k"</f>
        <v>Atp5k</v>
      </c>
      <c r="O947" s="3" t="str">
        <f>HYPERLINK("http://www.informatics.jax.org/marker/MGI:106636", "MGI:106636")</f>
        <v>MGI:106636</v>
      </c>
      <c r="P947" t="s">
        <v>11381</v>
      </c>
      <c r="Q947" t="s">
        <v>1142</v>
      </c>
      <c r="R947" t="s">
        <v>4258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32</v>
      </c>
      <c r="Y947" t="s">
        <v>157</v>
      </c>
      <c r="Z947" t="s">
        <v>32</v>
      </c>
      <c r="AA947" t="s">
        <v>11382</v>
      </c>
      <c r="AB947" t="s">
        <v>11383</v>
      </c>
      <c r="AC947" t="s">
        <v>4261</v>
      </c>
      <c r="AD947" t="s">
        <v>32</v>
      </c>
      <c r="AE947" t="s">
        <v>1147</v>
      </c>
      <c r="AF947" t="s">
        <v>46835</v>
      </c>
    </row>
    <row r="948" spans="1:33" x14ac:dyDescent="0.2">
      <c r="A948">
        <v>943</v>
      </c>
      <c r="B948" t="s">
        <v>11384</v>
      </c>
      <c r="C948" t="s">
        <v>11385</v>
      </c>
      <c r="D948" t="s">
        <v>32</v>
      </c>
      <c r="E948" t="s">
        <v>11386</v>
      </c>
      <c r="F948" t="s">
        <v>11387</v>
      </c>
      <c r="G948" t="s">
        <v>11388</v>
      </c>
      <c r="H948" t="str">
        <f>"Fau"</f>
        <v>Fau</v>
      </c>
      <c r="I948" t="s">
        <v>32</v>
      </c>
      <c r="J948" t="s">
        <v>37</v>
      </c>
      <c r="K948">
        <v>10090</v>
      </c>
      <c r="L948" s="3" t="str">
        <f>HYPERLINK("http://www.uniprot.org/uniprot/P62862", "P62862")</f>
        <v>P62862</v>
      </c>
      <c r="M948" t="s">
        <v>11389</v>
      </c>
      <c r="N948" t="str">
        <f>"Fau"</f>
        <v>Fau</v>
      </c>
      <c r="O948" s="3" t="str">
        <f>HYPERLINK("http://www.informatics.jax.org/marker/MGI:102547", "MGI:102547")</f>
        <v>MGI:102547</v>
      </c>
      <c r="P948" t="s">
        <v>447</v>
      </c>
      <c r="Q948" t="s">
        <v>32</v>
      </c>
      <c r="R948" t="s">
        <v>32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447</v>
      </c>
      <c r="Y948" t="s">
        <v>32</v>
      </c>
      <c r="Z948" t="s">
        <v>32</v>
      </c>
      <c r="AA948" t="s">
        <v>11390</v>
      </c>
      <c r="AB948" t="s">
        <v>11391</v>
      </c>
      <c r="AC948" t="s">
        <v>1010</v>
      </c>
      <c r="AD948" t="s">
        <v>32</v>
      </c>
      <c r="AE948" t="s">
        <v>32</v>
      </c>
      <c r="AF948" t="s">
        <v>46835</v>
      </c>
    </row>
    <row r="949" spans="1:33" x14ac:dyDescent="0.2">
      <c r="A949">
        <v>944</v>
      </c>
      <c r="B949" t="s">
        <v>11392</v>
      </c>
      <c r="C949" t="s">
        <v>11393</v>
      </c>
      <c r="D949" t="s">
        <v>32</v>
      </c>
      <c r="E949" t="s">
        <v>11394</v>
      </c>
      <c r="F949" t="s">
        <v>11395</v>
      </c>
      <c r="G949" t="s">
        <v>11396</v>
      </c>
      <c r="H949" t="str">
        <f>"Dnpep"</f>
        <v>Dnpep</v>
      </c>
      <c r="I949" t="s">
        <v>32</v>
      </c>
      <c r="J949" t="s">
        <v>37</v>
      </c>
      <c r="K949">
        <v>10090</v>
      </c>
      <c r="L949" s="3" t="str">
        <f>HYPERLINK("http://www.uniprot.org/uniprot/Q9Z2W0", "Q9Z2W0")</f>
        <v>Q9Z2W0</v>
      </c>
      <c r="M949" t="s">
        <v>11397</v>
      </c>
      <c r="N949" t="str">
        <f>"Dnpep"</f>
        <v>Dnpep</v>
      </c>
      <c r="O949" s="3" t="str">
        <f>HYPERLINK("http://www.informatics.jax.org/marker/MGI:1278328", "MGI:1278328")</f>
        <v>MGI:1278328</v>
      </c>
      <c r="P949" t="s">
        <v>11398</v>
      </c>
      <c r="Q949" t="s">
        <v>32</v>
      </c>
      <c r="R949" t="s">
        <v>418</v>
      </c>
      <c r="S949" t="s">
        <v>32</v>
      </c>
      <c r="T949" t="s">
        <v>32</v>
      </c>
      <c r="U949" t="s">
        <v>32</v>
      </c>
      <c r="V949" t="s">
        <v>32</v>
      </c>
      <c r="W949" t="s">
        <v>42</v>
      </c>
      <c r="X949" t="s">
        <v>4215</v>
      </c>
      <c r="Y949" t="s">
        <v>618</v>
      </c>
      <c r="Z949" t="s">
        <v>32</v>
      </c>
      <c r="AA949" t="s">
        <v>4615</v>
      </c>
      <c r="AB949" t="s">
        <v>1268</v>
      </c>
      <c r="AC949" t="s">
        <v>11399</v>
      </c>
      <c r="AD949" t="s">
        <v>32</v>
      </c>
      <c r="AE949" t="s">
        <v>32</v>
      </c>
      <c r="AF949" t="s">
        <v>46835</v>
      </c>
    </row>
    <row r="950" spans="1:33" x14ac:dyDescent="0.2">
      <c r="A950">
        <v>945</v>
      </c>
      <c r="B950" t="s">
        <v>11400</v>
      </c>
      <c r="C950" t="s">
        <v>11401</v>
      </c>
      <c r="D950" t="s">
        <v>11402</v>
      </c>
      <c r="E950" t="s">
        <v>11403</v>
      </c>
      <c r="F950" t="s">
        <v>11404</v>
      </c>
      <c r="G950" t="s">
        <v>32</v>
      </c>
      <c r="H950" t="str">
        <f>"Pdcd5"</f>
        <v>Pdcd5</v>
      </c>
      <c r="I950" t="s">
        <v>11405</v>
      </c>
      <c r="J950" t="s">
        <v>37</v>
      </c>
      <c r="K950">
        <v>10090</v>
      </c>
      <c r="L950" s="3" t="str">
        <f>HYPERLINK("http://www.uniprot.org/uniprot/P56812", "P56812")</f>
        <v>P56812</v>
      </c>
      <c r="M950" t="s">
        <v>11406</v>
      </c>
      <c r="N950" t="str">
        <f>"Pdcd5"</f>
        <v>Pdcd5</v>
      </c>
      <c r="O950" s="3" t="str">
        <f>HYPERLINK("http://www.informatics.jax.org/marker/MGI:1913538", "MGI:1913538")</f>
        <v>MGI:1913538</v>
      </c>
      <c r="P950" t="s">
        <v>11407</v>
      </c>
      <c r="Q950" t="s">
        <v>541</v>
      </c>
      <c r="R950" t="s">
        <v>32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32</v>
      </c>
      <c r="Y950" t="s">
        <v>157</v>
      </c>
      <c r="Z950" t="s">
        <v>32</v>
      </c>
      <c r="AA950" t="s">
        <v>11408</v>
      </c>
      <c r="AB950" t="s">
        <v>4218</v>
      </c>
      <c r="AC950" t="s">
        <v>11409</v>
      </c>
      <c r="AD950" t="s">
        <v>32</v>
      </c>
      <c r="AE950" t="s">
        <v>32</v>
      </c>
      <c r="AF950" t="s">
        <v>46835</v>
      </c>
    </row>
    <row r="951" spans="1:33" x14ac:dyDescent="0.2">
      <c r="A951">
        <v>946</v>
      </c>
      <c r="B951" t="s">
        <v>11410</v>
      </c>
      <c r="C951" t="s">
        <v>11411</v>
      </c>
      <c r="D951" t="s">
        <v>11412</v>
      </c>
      <c r="E951" t="s">
        <v>11413</v>
      </c>
      <c r="F951" t="s">
        <v>11414</v>
      </c>
      <c r="G951" t="s">
        <v>11415</v>
      </c>
      <c r="H951" t="str">
        <f>"Asns"</f>
        <v>Asns</v>
      </c>
      <c r="I951" t="s">
        <v>32</v>
      </c>
      <c r="J951" t="s">
        <v>37</v>
      </c>
      <c r="K951">
        <v>10090</v>
      </c>
      <c r="L951" s="3" t="str">
        <f>HYPERLINK("http://www.uniprot.org/uniprot/Q61024", "Q61024")</f>
        <v>Q61024</v>
      </c>
      <c r="M951" t="s">
        <v>11416</v>
      </c>
      <c r="N951" t="str">
        <f>"Asns"</f>
        <v>Asns</v>
      </c>
      <c r="O951" s="3" t="str">
        <f>HYPERLINK("http://www.informatics.jax.org/marker/MGI:1350929", "MGI:1350929")</f>
        <v>MGI:1350929</v>
      </c>
      <c r="P951" t="s">
        <v>11417</v>
      </c>
      <c r="Q951" t="s">
        <v>11418</v>
      </c>
      <c r="R951" t="s">
        <v>32</v>
      </c>
      <c r="S951" t="s">
        <v>32</v>
      </c>
      <c r="T951" t="s">
        <v>32</v>
      </c>
      <c r="U951" t="s">
        <v>32</v>
      </c>
      <c r="V951" t="s">
        <v>7957</v>
      </c>
      <c r="W951" t="s">
        <v>205</v>
      </c>
      <c r="X951" t="s">
        <v>1022</v>
      </c>
      <c r="Y951" t="s">
        <v>157</v>
      </c>
      <c r="Z951" t="s">
        <v>32</v>
      </c>
      <c r="AA951" t="s">
        <v>11419</v>
      </c>
      <c r="AB951" t="s">
        <v>1268</v>
      </c>
      <c r="AC951" t="s">
        <v>11420</v>
      </c>
      <c r="AD951" t="s">
        <v>11421</v>
      </c>
      <c r="AE951" t="s">
        <v>11422</v>
      </c>
      <c r="AF951" t="s">
        <v>46835</v>
      </c>
    </row>
    <row r="952" spans="1:33" x14ac:dyDescent="0.2">
      <c r="A952">
        <v>947</v>
      </c>
      <c r="B952" t="s">
        <v>11423</v>
      </c>
      <c r="C952" t="s">
        <v>11424</v>
      </c>
      <c r="D952" t="s">
        <v>11425</v>
      </c>
      <c r="E952" t="s">
        <v>11426</v>
      </c>
      <c r="F952" t="s">
        <v>11427</v>
      </c>
      <c r="G952" t="s">
        <v>11428</v>
      </c>
      <c r="H952" t="str">
        <f>"Fkbp9"</f>
        <v>Fkbp9</v>
      </c>
      <c r="I952" t="s">
        <v>11429</v>
      </c>
      <c r="J952" t="s">
        <v>37</v>
      </c>
      <c r="K952">
        <v>10090</v>
      </c>
      <c r="L952" s="3" t="str">
        <f>HYPERLINK("http://www.uniprot.org/uniprot/Q9Z247", "Q9Z247")</f>
        <v>Q9Z247</v>
      </c>
      <c r="M952" t="s">
        <v>11430</v>
      </c>
      <c r="N952" t="str">
        <f>"Fkbp9"</f>
        <v>Fkbp9</v>
      </c>
      <c r="O952" s="3" t="str">
        <f>HYPERLINK("http://www.informatics.jax.org/marker/MGI:1350921", "MGI:1350921")</f>
        <v>MGI:1350921</v>
      </c>
      <c r="P952" t="s">
        <v>11431</v>
      </c>
      <c r="Q952" t="s">
        <v>32</v>
      </c>
      <c r="R952" t="s">
        <v>671</v>
      </c>
      <c r="S952" t="s">
        <v>32</v>
      </c>
      <c r="T952" t="s">
        <v>32</v>
      </c>
      <c r="U952" t="s">
        <v>32</v>
      </c>
      <c r="V952" t="s">
        <v>478</v>
      </c>
      <c r="W952" t="s">
        <v>188</v>
      </c>
      <c r="X952" t="s">
        <v>543</v>
      </c>
      <c r="Y952" t="s">
        <v>4720</v>
      </c>
      <c r="Z952" t="s">
        <v>32</v>
      </c>
      <c r="AA952" t="s">
        <v>6724</v>
      </c>
      <c r="AB952" t="s">
        <v>4722</v>
      </c>
      <c r="AC952" t="s">
        <v>11432</v>
      </c>
      <c r="AD952" t="s">
        <v>32</v>
      </c>
      <c r="AE952" t="s">
        <v>32</v>
      </c>
      <c r="AF952" t="s">
        <v>46835</v>
      </c>
    </row>
    <row r="953" spans="1:33" x14ac:dyDescent="0.2">
      <c r="A953">
        <v>948</v>
      </c>
      <c r="B953" t="s">
        <v>11433</v>
      </c>
      <c r="C953" t="s">
        <v>11434</v>
      </c>
      <c r="D953" t="s">
        <v>11435</v>
      </c>
      <c r="E953" t="s">
        <v>11436</v>
      </c>
      <c r="F953" t="s">
        <v>11437</v>
      </c>
      <c r="G953" t="s">
        <v>11438</v>
      </c>
      <c r="H953" t="str">
        <f>"Psme2"</f>
        <v>Psme2</v>
      </c>
      <c r="I953" t="s">
        <v>11439</v>
      </c>
      <c r="J953" t="s">
        <v>37</v>
      </c>
      <c r="K953">
        <v>10090</v>
      </c>
      <c r="L953" s="3" t="str">
        <f>HYPERLINK("http://www.uniprot.org/uniprot/P97372", "P97372")</f>
        <v>P97372</v>
      </c>
      <c r="M953" t="s">
        <v>11440</v>
      </c>
      <c r="N953" t="str">
        <f>"Psme2"</f>
        <v>Psme2</v>
      </c>
      <c r="O953" s="3" t="str">
        <f>HYPERLINK("http://www.informatics.jax.org/marker/MGI:1096365", "MGI:1096365")</f>
        <v>MGI:1096365</v>
      </c>
      <c r="P953" t="s">
        <v>11441</v>
      </c>
      <c r="Q953" t="s">
        <v>32</v>
      </c>
      <c r="R953" t="s">
        <v>3565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t="s">
        <v>157</v>
      </c>
      <c r="Z953" t="s">
        <v>126</v>
      </c>
      <c r="AA953" t="s">
        <v>4824</v>
      </c>
      <c r="AB953" t="s">
        <v>4825</v>
      </c>
      <c r="AC953" t="s">
        <v>11442</v>
      </c>
      <c r="AD953" t="s">
        <v>32</v>
      </c>
      <c r="AE953" t="s">
        <v>2774</v>
      </c>
      <c r="AF953" t="s">
        <v>46835</v>
      </c>
    </row>
    <row r="954" spans="1:33" x14ac:dyDescent="0.2">
      <c r="A954">
        <v>949</v>
      </c>
      <c r="B954" t="s">
        <v>11443</v>
      </c>
      <c r="C954" t="s">
        <v>11444</v>
      </c>
      <c r="D954" t="s">
        <v>32</v>
      </c>
      <c r="E954" t="s">
        <v>11445</v>
      </c>
      <c r="F954" t="s">
        <v>11446</v>
      </c>
      <c r="G954" t="s">
        <v>11447</v>
      </c>
      <c r="H954" t="str">
        <f>"Ociad1"</f>
        <v>Ociad1</v>
      </c>
      <c r="I954" t="s">
        <v>11448</v>
      </c>
      <c r="J954" t="s">
        <v>37</v>
      </c>
      <c r="K954">
        <v>10090</v>
      </c>
      <c r="L954" s="3" t="str">
        <f>HYPERLINK("http://www.uniprot.org/uniprot/Q9CRD0", "Q9CRD0")</f>
        <v>Q9CRD0</v>
      </c>
      <c r="M954" t="s">
        <v>11449</v>
      </c>
      <c r="N954" t="str">
        <f>"Ociad1"</f>
        <v>Ociad1</v>
      </c>
      <c r="O954" s="3" t="str">
        <f>HYPERLINK("http://www.informatics.jax.org/marker/MGI:1915345", "MGI:1915345")</f>
        <v>MGI:1915345</v>
      </c>
      <c r="P954" t="s">
        <v>11450</v>
      </c>
      <c r="Q954" t="s">
        <v>32</v>
      </c>
      <c r="R954" t="s">
        <v>11451</v>
      </c>
      <c r="S954" t="s">
        <v>41</v>
      </c>
      <c r="T954" t="s">
        <v>32</v>
      </c>
      <c r="U954" t="s">
        <v>32</v>
      </c>
      <c r="V954" t="s">
        <v>32</v>
      </c>
      <c r="W954" t="s">
        <v>32</v>
      </c>
      <c r="X954" t="s">
        <v>32</v>
      </c>
      <c r="Y954" t="s">
        <v>618</v>
      </c>
      <c r="Z954" t="s">
        <v>32</v>
      </c>
      <c r="AA954" t="s">
        <v>11452</v>
      </c>
      <c r="AB954" t="s">
        <v>11453</v>
      </c>
      <c r="AC954" t="s">
        <v>32</v>
      </c>
      <c r="AD954" t="s">
        <v>32</v>
      </c>
      <c r="AE954" t="s">
        <v>32</v>
      </c>
      <c r="AF954" t="s">
        <v>46835</v>
      </c>
    </row>
    <row r="955" spans="1:33" x14ac:dyDescent="0.2">
      <c r="A955">
        <v>950</v>
      </c>
      <c r="B955" t="s">
        <v>11454</v>
      </c>
      <c r="C955" t="s">
        <v>11455</v>
      </c>
      <c r="D955" t="s">
        <v>11456</v>
      </c>
      <c r="E955" t="s">
        <v>11457</v>
      </c>
      <c r="F955" t="s">
        <v>11458</v>
      </c>
      <c r="G955" t="s">
        <v>11459</v>
      </c>
      <c r="H955" t="str">
        <f>"Dync1li2"</f>
        <v>Dync1li2</v>
      </c>
      <c r="I955" t="s">
        <v>11460</v>
      </c>
      <c r="J955" t="s">
        <v>37</v>
      </c>
      <c r="K955">
        <v>10090</v>
      </c>
      <c r="L955" s="3" t="str">
        <f>HYPERLINK("http://www.uniprot.org/uniprot/Q6PDL0", "Q6PDL0")</f>
        <v>Q6PDL0</v>
      </c>
      <c r="M955" t="s">
        <v>11461</v>
      </c>
      <c r="N955" t="str">
        <f>"Dync1li2"</f>
        <v>Dync1li2</v>
      </c>
      <c r="O955" s="3" t="str">
        <f>HYPERLINK("http://www.informatics.jax.org/marker/MGI:107738", "MGI:107738")</f>
        <v>MGI:107738</v>
      </c>
      <c r="P955" t="s">
        <v>11462</v>
      </c>
      <c r="Q955" t="s">
        <v>4425</v>
      </c>
      <c r="R955" t="s">
        <v>828</v>
      </c>
      <c r="S955" t="s">
        <v>32</v>
      </c>
      <c r="T955" t="s">
        <v>32</v>
      </c>
      <c r="U955" t="s">
        <v>32</v>
      </c>
      <c r="V955" t="s">
        <v>32</v>
      </c>
      <c r="W955" t="s">
        <v>205</v>
      </c>
      <c r="X955" t="s">
        <v>830</v>
      </c>
      <c r="Y955" t="s">
        <v>2734</v>
      </c>
      <c r="Z955" t="s">
        <v>32</v>
      </c>
      <c r="AA955" t="s">
        <v>11463</v>
      </c>
      <c r="AB955" t="s">
        <v>11464</v>
      </c>
      <c r="AC955" t="s">
        <v>11465</v>
      </c>
      <c r="AD955" t="s">
        <v>32</v>
      </c>
      <c r="AE955" t="s">
        <v>11466</v>
      </c>
      <c r="AF955" t="s">
        <v>46835</v>
      </c>
    </row>
    <row r="956" spans="1:33" x14ac:dyDescent="0.2">
      <c r="A956">
        <v>951</v>
      </c>
      <c r="B956" t="s">
        <v>11467</v>
      </c>
      <c r="C956" t="s">
        <v>11468</v>
      </c>
      <c r="D956" t="s">
        <v>32</v>
      </c>
      <c r="E956" t="s">
        <v>11469</v>
      </c>
      <c r="F956" t="s">
        <v>11470</v>
      </c>
      <c r="G956" t="s">
        <v>11471</v>
      </c>
      <c r="H956" t="str">
        <f>"Srrm2"</f>
        <v>Srrm2</v>
      </c>
      <c r="I956" t="s">
        <v>11472</v>
      </c>
      <c r="J956" t="s">
        <v>37</v>
      </c>
      <c r="K956">
        <v>10090</v>
      </c>
      <c r="L956" s="3" t="str">
        <f>HYPERLINK("http://www.uniprot.org/uniprot/Q8BTI8", "Q8BTI8")</f>
        <v>Q8BTI8</v>
      </c>
      <c r="M956" t="s">
        <v>11473</v>
      </c>
      <c r="N956" t="str">
        <f>"Srrm2"</f>
        <v>Srrm2</v>
      </c>
      <c r="O956" s="3" t="str">
        <f>HYPERLINK("http://www.informatics.jax.org/marker/MGI:1923206", "MGI:1923206")</f>
        <v>MGI:1923206</v>
      </c>
      <c r="P956" t="s">
        <v>11474</v>
      </c>
      <c r="Q956" t="s">
        <v>2139</v>
      </c>
      <c r="R956" t="s">
        <v>2140</v>
      </c>
      <c r="S956" t="s">
        <v>41</v>
      </c>
      <c r="T956" t="s">
        <v>32</v>
      </c>
      <c r="U956" t="s">
        <v>32</v>
      </c>
      <c r="V956" t="s">
        <v>290</v>
      </c>
      <c r="W956" t="s">
        <v>32</v>
      </c>
      <c r="X956" t="s">
        <v>32</v>
      </c>
      <c r="Y956" t="s">
        <v>207</v>
      </c>
      <c r="Z956" t="s">
        <v>32</v>
      </c>
      <c r="AA956" t="s">
        <v>8104</v>
      </c>
      <c r="AB956" t="s">
        <v>11475</v>
      </c>
      <c r="AC956" t="s">
        <v>11476</v>
      </c>
      <c r="AD956" t="s">
        <v>32</v>
      </c>
      <c r="AE956" t="s">
        <v>946</v>
      </c>
      <c r="AF956" t="s">
        <v>46835</v>
      </c>
    </row>
    <row r="957" spans="1:33" x14ac:dyDescent="0.2">
      <c r="A957">
        <v>952</v>
      </c>
      <c r="B957" t="s">
        <v>11477</v>
      </c>
      <c r="C957" t="s">
        <v>11478</v>
      </c>
      <c r="D957" t="s">
        <v>11479</v>
      </c>
      <c r="E957" t="s">
        <v>11480</v>
      </c>
      <c r="F957" t="s">
        <v>11481</v>
      </c>
      <c r="G957" t="s">
        <v>11482</v>
      </c>
      <c r="H957" t="str">
        <f>"Tnpo1"</f>
        <v>Tnpo1</v>
      </c>
      <c r="I957" t="s">
        <v>11483</v>
      </c>
      <c r="J957" t="s">
        <v>37</v>
      </c>
      <c r="K957">
        <v>10090</v>
      </c>
      <c r="L957" s="3" t="str">
        <f>HYPERLINK("http://www.uniprot.org/uniprot/Q8BFY9", "Q8BFY9")</f>
        <v>Q8BFY9</v>
      </c>
      <c r="M957" t="s">
        <v>11484</v>
      </c>
      <c r="N957" t="str">
        <f>"Tnpo1"</f>
        <v>Tnpo1</v>
      </c>
      <c r="O957" s="3" t="str">
        <f>HYPERLINK("http://www.informatics.jax.org/marker/MGI:2681523", "MGI:2681523")</f>
        <v>MGI:2681523</v>
      </c>
      <c r="P957" t="s">
        <v>11485</v>
      </c>
      <c r="Q957" t="s">
        <v>434</v>
      </c>
      <c r="R957" t="s">
        <v>40</v>
      </c>
      <c r="S957" t="s">
        <v>41</v>
      </c>
      <c r="T957" t="s">
        <v>32</v>
      </c>
      <c r="U957" t="s">
        <v>32</v>
      </c>
      <c r="V957" t="s">
        <v>55</v>
      </c>
      <c r="W957" t="s">
        <v>32</v>
      </c>
      <c r="X957" t="s">
        <v>32</v>
      </c>
      <c r="Y957" t="s">
        <v>32</v>
      </c>
      <c r="Z957" t="s">
        <v>32</v>
      </c>
      <c r="AA957" t="s">
        <v>11486</v>
      </c>
      <c r="AB957" t="s">
        <v>110</v>
      </c>
      <c r="AC957" t="s">
        <v>436</v>
      </c>
      <c r="AD957" t="s">
        <v>32</v>
      </c>
      <c r="AE957" t="s">
        <v>11487</v>
      </c>
      <c r="AF957" t="s">
        <v>46835</v>
      </c>
    </row>
    <row r="958" spans="1:33" x14ac:dyDescent="0.2">
      <c r="A958">
        <v>953</v>
      </c>
      <c r="B958" t="s">
        <v>11488</v>
      </c>
      <c r="C958" t="s">
        <v>47211</v>
      </c>
      <c r="D958" t="s">
        <v>32</v>
      </c>
      <c r="E958" t="s">
        <v>46876</v>
      </c>
      <c r="F958" t="s">
        <v>46875</v>
      </c>
      <c r="G958" t="s">
        <v>32</v>
      </c>
      <c r="H958" t="s">
        <v>47344</v>
      </c>
      <c r="I958" t="s">
        <v>32</v>
      </c>
      <c r="J958" t="s">
        <v>37</v>
      </c>
      <c r="K958">
        <v>10090</v>
      </c>
      <c r="L958" s="3" t="str">
        <f>HYPERLINK(CONCATENATE("https://www.uniprot.org/uniprotkb/", AG958, "/entry"), AG958)</f>
        <v>D3YZZ5</v>
      </c>
      <c r="M958" t="s">
        <v>32</v>
      </c>
      <c r="N958" t="s">
        <v>32</v>
      </c>
      <c r="O958" s="3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t="s">
        <v>46835</v>
      </c>
      <c r="AG958" t="s">
        <v>46875</v>
      </c>
    </row>
    <row r="959" spans="1:33" x14ac:dyDescent="0.2">
      <c r="A959">
        <v>954</v>
      </c>
      <c r="B959" t="s">
        <v>11489</v>
      </c>
      <c r="C959" t="s">
        <v>11490</v>
      </c>
      <c r="D959" t="s">
        <v>32</v>
      </c>
      <c r="E959" t="s">
        <v>11491</v>
      </c>
      <c r="F959" t="s">
        <v>11492</v>
      </c>
      <c r="G959" t="s">
        <v>11493</v>
      </c>
      <c r="H959" t="str">
        <f>"Ykt6"</f>
        <v>Ykt6</v>
      </c>
      <c r="I959" t="s">
        <v>32</v>
      </c>
      <c r="J959" t="s">
        <v>37</v>
      </c>
      <c r="K959">
        <v>10090</v>
      </c>
      <c r="L959" s="3" t="str">
        <f>HYPERLINK("http://www.uniprot.org/uniprot/Q9CQW1", "Q9CQW1")</f>
        <v>Q9CQW1</v>
      </c>
      <c r="M959" t="s">
        <v>11494</v>
      </c>
      <c r="N959" t="str">
        <f>"Ykt6"</f>
        <v>Ykt6</v>
      </c>
      <c r="O959" s="3" t="str">
        <f>HYPERLINK("http://www.informatics.jax.org/marker/MGI:1927550", "MGI:1927550")</f>
        <v>MGI:1927550</v>
      </c>
      <c r="P959" t="s">
        <v>11495</v>
      </c>
      <c r="Q959" t="s">
        <v>2916</v>
      </c>
      <c r="R959" t="s">
        <v>3166</v>
      </c>
      <c r="S959" t="s">
        <v>32</v>
      </c>
      <c r="T959" t="s">
        <v>32</v>
      </c>
      <c r="U959" t="s">
        <v>32</v>
      </c>
      <c r="V959" t="s">
        <v>290</v>
      </c>
      <c r="W959" t="s">
        <v>32</v>
      </c>
      <c r="X959" t="s">
        <v>515</v>
      </c>
      <c r="Y959" t="s">
        <v>3097</v>
      </c>
      <c r="Z959" t="s">
        <v>32</v>
      </c>
      <c r="AA959" t="s">
        <v>11496</v>
      </c>
      <c r="AB959" t="s">
        <v>11497</v>
      </c>
      <c r="AC959" t="s">
        <v>11498</v>
      </c>
      <c r="AD959" t="s">
        <v>32</v>
      </c>
      <c r="AE959" t="s">
        <v>11499</v>
      </c>
      <c r="AF959" t="s">
        <v>46835</v>
      </c>
    </row>
    <row r="960" spans="1:33" x14ac:dyDescent="0.2">
      <c r="A960">
        <v>955</v>
      </c>
      <c r="B960" t="s">
        <v>11500</v>
      </c>
      <c r="C960" t="s">
        <v>11501</v>
      </c>
      <c r="D960" t="s">
        <v>11502</v>
      </c>
      <c r="E960" t="s">
        <v>11503</v>
      </c>
      <c r="F960" t="s">
        <v>11504</v>
      </c>
      <c r="G960" t="s">
        <v>11505</v>
      </c>
      <c r="H960" t="str">
        <f>"Septin9"</f>
        <v>Septin9</v>
      </c>
      <c r="I960" t="s">
        <v>32</v>
      </c>
      <c r="J960" t="s">
        <v>37</v>
      </c>
      <c r="K960">
        <v>10090</v>
      </c>
      <c r="L960" s="3" t="str">
        <f>HYPERLINK("http://www.uniprot.org/uniprot/Q80UG5", "Q80UG5")</f>
        <v>Q80UG5</v>
      </c>
      <c r="M960" t="s">
        <v>11506</v>
      </c>
      <c r="N960" t="str">
        <f>"Septin9"</f>
        <v>Septin9</v>
      </c>
      <c r="O960" s="3" t="str">
        <f>HYPERLINK("http://www.informatics.jax.org/marker/MGI:1858222", "MGI:1858222")</f>
        <v>MGI:1858222</v>
      </c>
      <c r="P960" t="s">
        <v>11507</v>
      </c>
      <c r="Q960" t="s">
        <v>11508</v>
      </c>
      <c r="R960" t="s">
        <v>186</v>
      </c>
      <c r="S960" t="s">
        <v>41</v>
      </c>
      <c r="T960" t="s">
        <v>32</v>
      </c>
      <c r="U960" t="s">
        <v>32</v>
      </c>
      <c r="V960" t="s">
        <v>32</v>
      </c>
      <c r="W960" t="s">
        <v>261</v>
      </c>
      <c r="X960" t="s">
        <v>32</v>
      </c>
      <c r="Y960" t="s">
        <v>157</v>
      </c>
      <c r="Z960" t="s">
        <v>32</v>
      </c>
      <c r="AA960" t="s">
        <v>11509</v>
      </c>
      <c r="AB960" t="s">
        <v>11510</v>
      </c>
      <c r="AC960" t="s">
        <v>11511</v>
      </c>
      <c r="AD960" t="s">
        <v>32</v>
      </c>
      <c r="AE960" t="s">
        <v>32</v>
      </c>
      <c r="AF960" t="s">
        <v>46835</v>
      </c>
    </row>
    <row r="961" spans="1:33" x14ac:dyDescent="0.2">
      <c r="A961">
        <v>956</v>
      </c>
      <c r="B961" t="s">
        <v>11512</v>
      </c>
      <c r="C961" t="s">
        <v>11513</v>
      </c>
      <c r="D961" t="s">
        <v>11514</v>
      </c>
      <c r="E961" t="s">
        <v>11515</v>
      </c>
      <c r="F961" t="s">
        <v>11516</v>
      </c>
      <c r="G961" t="s">
        <v>11517</v>
      </c>
      <c r="H961" t="str">
        <f>"Asl"</f>
        <v>Asl</v>
      </c>
      <c r="I961" t="s">
        <v>32</v>
      </c>
      <c r="J961" t="s">
        <v>37</v>
      </c>
      <c r="K961">
        <v>10090</v>
      </c>
      <c r="L961" s="3" t="str">
        <f>HYPERLINK("http://www.uniprot.org/uniprot/Q91YI0", "Q91YI0")</f>
        <v>Q91YI0</v>
      </c>
      <c r="M961" t="s">
        <v>11518</v>
      </c>
      <c r="N961" t="str">
        <f>"Asl"</f>
        <v>Asl</v>
      </c>
      <c r="O961" s="3" t="str">
        <f>HYPERLINK("http://www.informatics.jax.org/marker/MGI:88084", "MGI:88084")</f>
        <v>MGI:88084</v>
      </c>
      <c r="P961" t="s">
        <v>11519</v>
      </c>
      <c r="Q961" t="s">
        <v>1391</v>
      </c>
      <c r="R961" t="s">
        <v>32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224</v>
      </c>
      <c r="Y961" t="s">
        <v>78</v>
      </c>
      <c r="Z961" t="s">
        <v>32</v>
      </c>
      <c r="AA961" t="s">
        <v>11520</v>
      </c>
      <c r="AB961" t="s">
        <v>11521</v>
      </c>
      <c r="AC961" t="s">
        <v>11522</v>
      </c>
      <c r="AD961" t="s">
        <v>11523</v>
      </c>
      <c r="AE961" t="s">
        <v>1396</v>
      </c>
      <c r="AF961" t="s">
        <v>46835</v>
      </c>
    </row>
    <row r="962" spans="1:33" x14ac:dyDescent="0.2">
      <c r="A962">
        <v>957</v>
      </c>
      <c r="B962" t="s">
        <v>11524</v>
      </c>
      <c r="C962" t="s">
        <v>11525</v>
      </c>
      <c r="D962" t="s">
        <v>32</v>
      </c>
      <c r="E962" t="s">
        <v>11526</v>
      </c>
      <c r="F962" t="s">
        <v>11527</v>
      </c>
      <c r="G962" t="s">
        <v>32</v>
      </c>
      <c r="H962" t="str">
        <f>"Rsu1"</f>
        <v>Rsu1</v>
      </c>
      <c r="I962" t="s">
        <v>11528</v>
      </c>
      <c r="J962" t="s">
        <v>37</v>
      </c>
      <c r="K962">
        <v>10090</v>
      </c>
      <c r="L962" s="3" t="str">
        <f>HYPERLINK("http://www.uniprot.org/uniprot/Q01730", "Q01730")</f>
        <v>Q01730</v>
      </c>
      <c r="M962" t="s">
        <v>11529</v>
      </c>
      <c r="N962" t="str">
        <f>"Rsu1"</f>
        <v>Rsu1</v>
      </c>
      <c r="O962" s="3" t="str">
        <f>HYPERLINK("http://www.informatics.jax.org/marker/MGI:103040", "MGI:103040")</f>
        <v>MGI:103040</v>
      </c>
      <c r="P962" t="s">
        <v>11530</v>
      </c>
      <c r="Q962" t="s">
        <v>32</v>
      </c>
      <c r="R962" t="s">
        <v>32</v>
      </c>
      <c r="S962" t="s">
        <v>32</v>
      </c>
      <c r="T962" t="s">
        <v>32</v>
      </c>
      <c r="U962" t="s">
        <v>32</v>
      </c>
      <c r="V962" t="s">
        <v>2701</v>
      </c>
      <c r="W962" t="s">
        <v>32</v>
      </c>
      <c r="X962" t="s">
        <v>32</v>
      </c>
      <c r="Y962" t="s">
        <v>78</v>
      </c>
      <c r="Z962" t="s">
        <v>32</v>
      </c>
      <c r="AA962" t="s">
        <v>11531</v>
      </c>
      <c r="AB962" t="s">
        <v>11532</v>
      </c>
      <c r="AC962" t="s">
        <v>32</v>
      </c>
      <c r="AD962" t="s">
        <v>32</v>
      </c>
      <c r="AE962" t="s">
        <v>11533</v>
      </c>
      <c r="AF962" t="s">
        <v>46835</v>
      </c>
    </row>
    <row r="963" spans="1:33" x14ac:dyDescent="0.2">
      <c r="A963">
        <v>958</v>
      </c>
      <c r="B963" t="s">
        <v>11534</v>
      </c>
      <c r="C963" t="s">
        <v>11535</v>
      </c>
      <c r="D963" t="s">
        <v>32</v>
      </c>
      <c r="E963" t="s">
        <v>11536</v>
      </c>
      <c r="F963" t="s">
        <v>11537</v>
      </c>
      <c r="G963" t="s">
        <v>11538</v>
      </c>
      <c r="H963" t="str">
        <f>"Hgs"</f>
        <v>Hgs</v>
      </c>
      <c r="I963" t="s">
        <v>11539</v>
      </c>
      <c r="J963" t="s">
        <v>37</v>
      </c>
      <c r="K963">
        <v>10090</v>
      </c>
      <c r="L963" s="3" t="str">
        <f>HYPERLINK("http://www.uniprot.org/uniprot/Q99LI8", "Q99LI8")</f>
        <v>Q99LI8</v>
      </c>
      <c r="M963" t="s">
        <v>11540</v>
      </c>
      <c r="N963" t="str">
        <f>"Hgs"</f>
        <v>Hgs</v>
      </c>
      <c r="O963" s="3" t="str">
        <f>HYPERLINK("http://www.informatics.jax.org/marker/MGI:104681", "MGI:104681")</f>
        <v>MGI:104681</v>
      </c>
      <c r="P963" t="s">
        <v>11541</v>
      </c>
      <c r="Q963" t="s">
        <v>434</v>
      </c>
      <c r="R963" t="s">
        <v>6558</v>
      </c>
      <c r="S963" t="s">
        <v>32</v>
      </c>
      <c r="T963" t="s">
        <v>32</v>
      </c>
      <c r="U963" t="s">
        <v>32</v>
      </c>
      <c r="V963" t="s">
        <v>446</v>
      </c>
      <c r="W963" t="s">
        <v>42</v>
      </c>
      <c r="X963" t="s">
        <v>32</v>
      </c>
      <c r="Y963" t="s">
        <v>1023</v>
      </c>
      <c r="Z963" t="s">
        <v>32</v>
      </c>
      <c r="AA963" t="s">
        <v>11542</v>
      </c>
      <c r="AB963" t="s">
        <v>11543</v>
      </c>
      <c r="AC963" t="s">
        <v>11544</v>
      </c>
      <c r="AD963" t="s">
        <v>32</v>
      </c>
      <c r="AE963" t="s">
        <v>11545</v>
      </c>
      <c r="AF963" t="s">
        <v>46835</v>
      </c>
    </row>
    <row r="964" spans="1:33" x14ac:dyDescent="0.2">
      <c r="A964">
        <v>959</v>
      </c>
      <c r="B964" t="s">
        <v>11546</v>
      </c>
      <c r="C964" t="s">
        <v>11547</v>
      </c>
      <c r="D964" t="s">
        <v>11548</v>
      </c>
      <c r="E964" t="s">
        <v>11549</v>
      </c>
      <c r="F964" t="s">
        <v>11550</v>
      </c>
      <c r="G964" t="s">
        <v>11551</v>
      </c>
      <c r="H964" t="str">
        <f>"Mcm2"</f>
        <v>Mcm2</v>
      </c>
      <c r="I964" t="s">
        <v>11552</v>
      </c>
      <c r="J964" t="s">
        <v>37</v>
      </c>
      <c r="K964">
        <v>10090</v>
      </c>
      <c r="L964" s="3" t="str">
        <f>HYPERLINK("http://www.uniprot.org/uniprot/P97310", "P97310")</f>
        <v>P97310</v>
      </c>
      <c r="M964" t="s">
        <v>11553</v>
      </c>
      <c r="N964" t="str">
        <f>"Mcm2"</f>
        <v>Mcm2</v>
      </c>
      <c r="O964" s="3" t="str">
        <f>HYPERLINK("http://www.informatics.jax.org/marker/MGI:105380", "MGI:105380")</f>
        <v>MGI:105380</v>
      </c>
      <c r="P964" t="s">
        <v>11554</v>
      </c>
      <c r="Q964" t="s">
        <v>11014</v>
      </c>
      <c r="R964" t="s">
        <v>1939</v>
      </c>
      <c r="S964" t="s">
        <v>32</v>
      </c>
      <c r="T964" t="s">
        <v>32</v>
      </c>
      <c r="U964" t="s">
        <v>32</v>
      </c>
      <c r="V964" t="s">
        <v>446</v>
      </c>
      <c r="W964" t="s">
        <v>2325</v>
      </c>
      <c r="X964" t="s">
        <v>11015</v>
      </c>
      <c r="Y964" t="s">
        <v>516</v>
      </c>
      <c r="Z964" t="s">
        <v>32</v>
      </c>
      <c r="AA964" t="s">
        <v>11555</v>
      </c>
      <c r="AB964" t="s">
        <v>11556</v>
      </c>
      <c r="AC964" t="s">
        <v>11557</v>
      </c>
      <c r="AD964" t="s">
        <v>32</v>
      </c>
      <c r="AE964" t="s">
        <v>11019</v>
      </c>
      <c r="AF964" t="s">
        <v>46835</v>
      </c>
    </row>
    <row r="965" spans="1:33" x14ac:dyDescent="0.2">
      <c r="A965">
        <v>960</v>
      </c>
      <c r="B965" t="s">
        <v>11558</v>
      </c>
      <c r="C965" t="s">
        <v>11559</v>
      </c>
      <c r="D965" t="s">
        <v>32</v>
      </c>
      <c r="E965" t="s">
        <v>11560</v>
      </c>
      <c r="F965" t="s">
        <v>11561</v>
      </c>
      <c r="G965" t="s">
        <v>32</v>
      </c>
      <c r="H965" t="str">
        <f>"Flot1"</f>
        <v>Flot1</v>
      </c>
      <c r="I965" t="s">
        <v>32</v>
      </c>
      <c r="J965" t="s">
        <v>37</v>
      </c>
      <c r="K965">
        <v>10090</v>
      </c>
      <c r="L965" s="3" t="str">
        <f>HYPERLINK("http://www.uniprot.org/uniprot/O08917", "O08917")</f>
        <v>O08917</v>
      </c>
      <c r="M965" t="s">
        <v>11562</v>
      </c>
      <c r="N965" t="str">
        <f>"Flot1"</f>
        <v>Flot1</v>
      </c>
      <c r="O965" s="3" t="str">
        <f>HYPERLINK("http://www.informatics.jax.org/marker/MGI:1100500", "MGI:1100500")</f>
        <v>MGI:1100500</v>
      </c>
      <c r="P965" t="s">
        <v>11563</v>
      </c>
      <c r="Q965" t="s">
        <v>32</v>
      </c>
      <c r="R965" t="s">
        <v>11564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t="s">
        <v>618</v>
      </c>
      <c r="Z965" t="s">
        <v>32</v>
      </c>
      <c r="AA965" t="s">
        <v>11565</v>
      </c>
      <c r="AB965" t="s">
        <v>11566</v>
      </c>
      <c r="AC965" t="s">
        <v>11567</v>
      </c>
      <c r="AD965" t="s">
        <v>32</v>
      </c>
      <c r="AE965" t="s">
        <v>11568</v>
      </c>
      <c r="AF965" t="s">
        <v>46835</v>
      </c>
    </row>
    <row r="966" spans="1:33" x14ac:dyDescent="0.2">
      <c r="A966">
        <v>961</v>
      </c>
      <c r="B966" t="s">
        <v>11569</v>
      </c>
      <c r="C966" t="s">
        <v>11570</v>
      </c>
      <c r="D966" t="s">
        <v>11571</v>
      </c>
      <c r="E966" t="s">
        <v>11572</v>
      </c>
      <c r="F966" t="s">
        <v>11573</v>
      </c>
      <c r="G966" t="s">
        <v>11574</v>
      </c>
      <c r="H966" t="str">
        <f>"Nampt"</f>
        <v>Nampt</v>
      </c>
      <c r="I966" t="s">
        <v>11575</v>
      </c>
      <c r="J966" t="s">
        <v>37</v>
      </c>
      <c r="K966">
        <v>10090</v>
      </c>
      <c r="L966" s="3" t="str">
        <f>HYPERLINK("http://www.uniprot.org/uniprot/Q99KQ4", "Q99KQ4")</f>
        <v>Q99KQ4</v>
      </c>
      <c r="M966" t="s">
        <v>11576</v>
      </c>
      <c r="N966" t="str">
        <f>"Nampt"</f>
        <v>Nampt</v>
      </c>
      <c r="O966" s="3" t="str">
        <f>HYPERLINK("http://www.informatics.jax.org/marker/MGI:1929865", "MGI:1929865")</f>
        <v>MGI:1929865</v>
      </c>
      <c r="P966" t="s">
        <v>11577</v>
      </c>
      <c r="Q966" t="s">
        <v>11578</v>
      </c>
      <c r="R966" t="s">
        <v>542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11579</v>
      </c>
      <c r="Y966" t="s">
        <v>157</v>
      </c>
      <c r="Z966" t="s">
        <v>126</v>
      </c>
      <c r="AA966" t="s">
        <v>11580</v>
      </c>
      <c r="AB966" t="s">
        <v>11581</v>
      </c>
      <c r="AC966" t="s">
        <v>11582</v>
      </c>
      <c r="AD966" t="s">
        <v>11583</v>
      </c>
      <c r="AE966" t="s">
        <v>9142</v>
      </c>
      <c r="AF966" t="s">
        <v>46835</v>
      </c>
    </row>
    <row r="967" spans="1:33" x14ac:dyDescent="0.2">
      <c r="A967">
        <v>962</v>
      </c>
      <c r="B967" t="s">
        <v>11584</v>
      </c>
      <c r="C967" t="s">
        <v>11585</v>
      </c>
      <c r="D967" t="s">
        <v>32</v>
      </c>
      <c r="E967" t="s">
        <v>11586</v>
      </c>
      <c r="F967" t="s">
        <v>11587</v>
      </c>
      <c r="G967" t="s">
        <v>11588</v>
      </c>
      <c r="H967" t="str">
        <f>"Cul4a"</f>
        <v>Cul4a</v>
      </c>
      <c r="I967" t="s">
        <v>32</v>
      </c>
      <c r="J967" t="s">
        <v>37</v>
      </c>
      <c r="K967">
        <v>10090</v>
      </c>
      <c r="L967" s="3" t="str">
        <f>HYPERLINK("http://www.uniprot.org/uniprot/Q3TCH7", "Q3TCH7")</f>
        <v>Q3TCH7</v>
      </c>
      <c r="M967" t="s">
        <v>11589</v>
      </c>
      <c r="N967" t="str">
        <f>"Cul4a"</f>
        <v>Cul4a</v>
      </c>
      <c r="O967" s="3" t="str">
        <f>HYPERLINK("http://www.informatics.jax.org/marker/MGI:1914487", "MGI:1914487")</f>
        <v>MGI:1914487</v>
      </c>
      <c r="P967" t="s">
        <v>11590</v>
      </c>
      <c r="Q967" t="s">
        <v>11591</v>
      </c>
      <c r="R967" t="s">
        <v>32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32</v>
      </c>
      <c r="Y967" t="s">
        <v>1007</v>
      </c>
      <c r="Z967" t="s">
        <v>32</v>
      </c>
      <c r="AA967" t="s">
        <v>11592</v>
      </c>
      <c r="AB967" t="s">
        <v>11593</v>
      </c>
      <c r="AC967" t="s">
        <v>11594</v>
      </c>
      <c r="AD967" t="s">
        <v>1027</v>
      </c>
      <c r="AE967" t="s">
        <v>2934</v>
      </c>
      <c r="AF967" t="s">
        <v>46835</v>
      </c>
    </row>
    <row r="968" spans="1:33" x14ac:dyDescent="0.2">
      <c r="A968">
        <v>963</v>
      </c>
      <c r="B968" t="s">
        <v>11595</v>
      </c>
      <c r="C968" t="s">
        <v>11596</v>
      </c>
      <c r="D968" t="s">
        <v>11597</v>
      </c>
      <c r="E968" t="s">
        <v>11598</v>
      </c>
      <c r="F968" t="s">
        <v>11599</v>
      </c>
      <c r="G968" t="s">
        <v>11600</v>
      </c>
      <c r="H968" t="str">
        <f>"Galk1"</f>
        <v>Galk1</v>
      </c>
      <c r="I968" t="s">
        <v>11601</v>
      </c>
      <c r="J968" t="s">
        <v>37</v>
      </c>
      <c r="K968">
        <v>10090</v>
      </c>
      <c r="L968" s="3" t="str">
        <f>HYPERLINK("http://www.uniprot.org/uniprot/Q9R0N0", "Q9R0N0")</f>
        <v>Q9R0N0</v>
      </c>
      <c r="M968" t="s">
        <v>11602</v>
      </c>
      <c r="N968" t="str">
        <f>"Galk1"</f>
        <v>Galk1</v>
      </c>
      <c r="O968" s="3" t="str">
        <f>HYPERLINK("http://www.informatics.jax.org/marker/MGI:95730", "MGI:95730")</f>
        <v>MGI:95730</v>
      </c>
      <c r="P968" t="s">
        <v>11603</v>
      </c>
      <c r="Q968" t="s">
        <v>11604</v>
      </c>
      <c r="R968" t="s">
        <v>32</v>
      </c>
      <c r="S968" t="s">
        <v>32</v>
      </c>
      <c r="T968" t="s">
        <v>32</v>
      </c>
      <c r="U968" t="s">
        <v>32</v>
      </c>
      <c r="V968" t="s">
        <v>32</v>
      </c>
      <c r="W968" t="s">
        <v>205</v>
      </c>
      <c r="X968" t="s">
        <v>419</v>
      </c>
      <c r="Y968" t="s">
        <v>618</v>
      </c>
      <c r="Z968" t="s">
        <v>32</v>
      </c>
      <c r="AA968" t="s">
        <v>11605</v>
      </c>
      <c r="AB968" t="s">
        <v>2206</v>
      </c>
      <c r="AC968" t="s">
        <v>11606</v>
      </c>
      <c r="AD968" t="s">
        <v>11607</v>
      </c>
      <c r="AE968" t="s">
        <v>11608</v>
      </c>
      <c r="AF968" t="s">
        <v>46835</v>
      </c>
    </row>
    <row r="969" spans="1:33" x14ac:dyDescent="0.2">
      <c r="A969">
        <v>964</v>
      </c>
      <c r="B969" t="s">
        <v>11609</v>
      </c>
      <c r="C969" t="s">
        <v>11610</v>
      </c>
      <c r="D969" t="s">
        <v>11611</v>
      </c>
      <c r="E969" t="s">
        <v>11612</v>
      </c>
      <c r="F969" t="s">
        <v>11613</v>
      </c>
      <c r="G969" t="s">
        <v>11614</v>
      </c>
      <c r="H969" t="str">
        <f>"Cox7c"</f>
        <v>Cox7c</v>
      </c>
      <c r="I969" t="s">
        <v>11615</v>
      </c>
      <c r="J969" t="s">
        <v>37</v>
      </c>
      <c r="K969">
        <v>10090</v>
      </c>
      <c r="L969" s="3" t="str">
        <f>HYPERLINK("http://www.uniprot.org/uniprot/P17665", "P17665")</f>
        <v>P17665</v>
      </c>
      <c r="M969" t="s">
        <v>11616</v>
      </c>
      <c r="N969" t="str">
        <f>"Cox7c"</f>
        <v>Cox7c</v>
      </c>
      <c r="O969" s="3" t="str">
        <f>HYPERLINK("http://www.informatics.jax.org/marker/MGI:103226", "MGI:103226")</f>
        <v>MGI:103226</v>
      </c>
      <c r="P969" t="s">
        <v>11617</v>
      </c>
      <c r="Q969" t="s">
        <v>32</v>
      </c>
      <c r="R969" t="s">
        <v>3858</v>
      </c>
      <c r="S969" t="s">
        <v>32</v>
      </c>
      <c r="T969" t="s">
        <v>32</v>
      </c>
      <c r="U969" t="s">
        <v>32</v>
      </c>
      <c r="V969" t="s">
        <v>3859</v>
      </c>
      <c r="W969" t="s">
        <v>32</v>
      </c>
      <c r="X969" t="s">
        <v>32</v>
      </c>
      <c r="Y969" t="s">
        <v>78</v>
      </c>
      <c r="Z969" t="s">
        <v>126</v>
      </c>
      <c r="AA969" t="s">
        <v>3860</v>
      </c>
      <c r="AB969" t="s">
        <v>7558</v>
      </c>
      <c r="AC969" t="s">
        <v>32</v>
      </c>
      <c r="AD969" t="s">
        <v>3862</v>
      </c>
      <c r="AE969" t="s">
        <v>3863</v>
      </c>
      <c r="AF969" t="s">
        <v>46835</v>
      </c>
    </row>
    <row r="970" spans="1:33" x14ac:dyDescent="0.2">
      <c r="A970">
        <v>965</v>
      </c>
      <c r="B970" t="s">
        <v>11618</v>
      </c>
      <c r="C970" t="s">
        <v>47145</v>
      </c>
      <c r="D970" t="s">
        <v>32</v>
      </c>
      <c r="E970" t="s">
        <v>46878</v>
      </c>
      <c r="F970" t="s">
        <v>46877</v>
      </c>
      <c r="G970" t="s">
        <v>32</v>
      </c>
      <c r="H970" t="s">
        <v>47276</v>
      </c>
      <c r="I970" t="s">
        <v>32</v>
      </c>
      <c r="J970" t="s">
        <v>37</v>
      </c>
      <c r="K970">
        <v>10090</v>
      </c>
      <c r="L970" s="3" t="str">
        <f>HYPERLINK(CONCATENATE("https://www.uniprot.org/uniprotkb/", AG970, "/entry"), AG970)</f>
        <v>Q6PHQ9</v>
      </c>
      <c r="M970" t="s">
        <v>32</v>
      </c>
      <c r="N970" t="s">
        <v>32</v>
      </c>
      <c r="O970" s="3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32</v>
      </c>
      <c r="Y970" t="s">
        <v>32</v>
      </c>
      <c r="Z970" t="s">
        <v>32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t="s">
        <v>46835</v>
      </c>
      <c r="AG970" t="s">
        <v>46877</v>
      </c>
    </row>
    <row r="971" spans="1:33" x14ac:dyDescent="0.2">
      <c r="A971">
        <v>966</v>
      </c>
      <c r="B971" t="s">
        <v>11619</v>
      </c>
      <c r="C971" t="s">
        <v>11620</v>
      </c>
      <c r="D971" t="s">
        <v>11621</v>
      </c>
      <c r="E971" t="s">
        <v>11622</v>
      </c>
      <c r="F971" t="s">
        <v>11623</v>
      </c>
      <c r="G971" t="s">
        <v>11624</v>
      </c>
      <c r="H971" t="str">
        <f>"Atox1"</f>
        <v>Atox1</v>
      </c>
      <c r="I971" t="s">
        <v>32</v>
      </c>
      <c r="J971" t="s">
        <v>37</v>
      </c>
      <c r="K971">
        <v>10090</v>
      </c>
      <c r="L971" s="3" t="str">
        <f>HYPERLINK("http://www.uniprot.org/uniprot/O08997", "O08997")</f>
        <v>O08997</v>
      </c>
      <c r="M971" t="s">
        <v>11625</v>
      </c>
      <c r="N971" t="str">
        <f>"Atox1"</f>
        <v>Atox1</v>
      </c>
      <c r="O971" s="3" t="str">
        <f>HYPERLINK("http://www.informatics.jax.org/marker/MGI:1333855", "MGI:1333855")</f>
        <v>MGI:1333855</v>
      </c>
      <c r="P971" t="s">
        <v>11626</v>
      </c>
      <c r="Q971" t="s">
        <v>10586</v>
      </c>
      <c r="R971" t="s">
        <v>32</v>
      </c>
      <c r="S971" t="s">
        <v>32</v>
      </c>
      <c r="T971" t="s">
        <v>32</v>
      </c>
      <c r="U971" t="s">
        <v>32</v>
      </c>
      <c r="V971" t="s">
        <v>32</v>
      </c>
      <c r="W971" t="s">
        <v>11627</v>
      </c>
      <c r="X971" t="s">
        <v>388</v>
      </c>
      <c r="Y971" t="s">
        <v>157</v>
      </c>
      <c r="Z971" t="s">
        <v>32</v>
      </c>
      <c r="AA971" t="s">
        <v>11628</v>
      </c>
      <c r="AB971" t="s">
        <v>1268</v>
      </c>
      <c r="AC971" t="s">
        <v>11629</v>
      </c>
      <c r="AD971" t="s">
        <v>32</v>
      </c>
      <c r="AE971" t="s">
        <v>11630</v>
      </c>
      <c r="AF971" t="s">
        <v>46835</v>
      </c>
    </row>
    <row r="972" spans="1:33" x14ac:dyDescent="0.2">
      <c r="A972">
        <v>967</v>
      </c>
      <c r="B972" t="s">
        <v>11631</v>
      </c>
      <c r="C972" t="s">
        <v>11632</v>
      </c>
      <c r="D972" t="s">
        <v>11633</v>
      </c>
      <c r="E972" t="s">
        <v>11634</v>
      </c>
      <c r="F972" t="s">
        <v>11635</v>
      </c>
      <c r="G972" t="s">
        <v>11636</v>
      </c>
      <c r="H972" t="str">
        <f>"Prdx4"</f>
        <v>Prdx4</v>
      </c>
      <c r="I972" t="s">
        <v>32</v>
      </c>
      <c r="J972" t="s">
        <v>37</v>
      </c>
      <c r="K972">
        <v>10090</v>
      </c>
      <c r="L972" s="3" t="str">
        <f>HYPERLINK("http://www.uniprot.org/uniprot/O08807", "O08807")</f>
        <v>O08807</v>
      </c>
      <c r="M972" t="s">
        <v>11637</v>
      </c>
      <c r="N972" t="str">
        <f>"Prdx4"</f>
        <v>Prdx4</v>
      </c>
      <c r="O972" s="3" t="str">
        <f>HYPERLINK("http://www.informatics.jax.org/marker/MGI:1859815", "MGI:1859815")</f>
        <v>MGI:1859815</v>
      </c>
      <c r="P972" t="s">
        <v>11638</v>
      </c>
      <c r="Q972" t="s">
        <v>32</v>
      </c>
      <c r="R972" t="s">
        <v>874</v>
      </c>
      <c r="S972" t="s">
        <v>32</v>
      </c>
      <c r="T972" t="s">
        <v>32</v>
      </c>
      <c r="U972" t="s">
        <v>32</v>
      </c>
      <c r="V972" t="s">
        <v>10203</v>
      </c>
      <c r="W972" t="s">
        <v>32</v>
      </c>
      <c r="X972" t="s">
        <v>1091</v>
      </c>
      <c r="Y972" t="s">
        <v>494</v>
      </c>
      <c r="Z972" t="s">
        <v>126</v>
      </c>
      <c r="AA972" t="s">
        <v>11639</v>
      </c>
      <c r="AB972" t="s">
        <v>11640</v>
      </c>
      <c r="AC972" t="s">
        <v>11641</v>
      </c>
      <c r="AD972" t="s">
        <v>32</v>
      </c>
      <c r="AE972" t="s">
        <v>548</v>
      </c>
      <c r="AF972" t="s">
        <v>46835</v>
      </c>
    </row>
    <row r="973" spans="1:33" x14ac:dyDescent="0.2">
      <c r="A973">
        <v>968</v>
      </c>
      <c r="B973" t="s">
        <v>11642</v>
      </c>
      <c r="C973" t="s">
        <v>11643</v>
      </c>
      <c r="D973" t="s">
        <v>11644</v>
      </c>
      <c r="E973" t="s">
        <v>11645</v>
      </c>
      <c r="F973" t="s">
        <v>11646</v>
      </c>
      <c r="G973" t="s">
        <v>11647</v>
      </c>
      <c r="H973" t="str">
        <f>"Gnas"</f>
        <v>Gnas</v>
      </c>
      <c r="I973" t="s">
        <v>32</v>
      </c>
      <c r="J973" t="s">
        <v>37</v>
      </c>
      <c r="K973">
        <v>10090</v>
      </c>
      <c r="L973" s="3" t="str">
        <f>HYPERLINK("http://www.uniprot.org/uniprot/Q6R0H7", "Q6R0H7")</f>
        <v>Q6R0H7</v>
      </c>
      <c r="M973" t="s">
        <v>11648</v>
      </c>
      <c r="N973" t="str">
        <f>"Gnas"</f>
        <v>Gnas</v>
      </c>
      <c r="O973" s="3" t="str">
        <f>HYPERLINK("http://www.informatics.jax.org/marker/MGI:95777", "MGI:95777")</f>
        <v>MGI:95777</v>
      </c>
      <c r="P973" t="s">
        <v>11649</v>
      </c>
      <c r="Q973" t="s">
        <v>32</v>
      </c>
      <c r="R973" t="s">
        <v>2474</v>
      </c>
      <c r="S973" t="s">
        <v>41</v>
      </c>
      <c r="T973" t="s">
        <v>32</v>
      </c>
      <c r="U973" t="s">
        <v>32</v>
      </c>
      <c r="V973" t="s">
        <v>290</v>
      </c>
      <c r="W973" t="s">
        <v>342</v>
      </c>
      <c r="X973" t="s">
        <v>10391</v>
      </c>
      <c r="Y973" t="s">
        <v>11650</v>
      </c>
      <c r="Z973" t="s">
        <v>32</v>
      </c>
      <c r="AA973" t="s">
        <v>11651</v>
      </c>
      <c r="AB973" t="s">
        <v>11652</v>
      </c>
      <c r="AC973" t="s">
        <v>11653</v>
      </c>
      <c r="AD973" t="s">
        <v>32</v>
      </c>
      <c r="AE973" t="s">
        <v>11654</v>
      </c>
      <c r="AF973" t="s">
        <v>46835</v>
      </c>
    </row>
    <row r="974" spans="1:33" x14ac:dyDescent="0.2">
      <c r="A974">
        <v>969</v>
      </c>
      <c r="B974" t="s">
        <v>11655</v>
      </c>
      <c r="C974" t="s">
        <v>11656</v>
      </c>
      <c r="D974" t="s">
        <v>32</v>
      </c>
      <c r="E974" t="s">
        <v>11657</v>
      </c>
      <c r="F974" t="s">
        <v>11658</v>
      </c>
      <c r="G974" t="s">
        <v>32</v>
      </c>
      <c r="H974" t="str">
        <f>"Wipi2"</f>
        <v>Wipi2</v>
      </c>
      <c r="I974" t="s">
        <v>32</v>
      </c>
      <c r="J974" t="s">
        <v>37</v>
      </c>
      <c r="K974">
        <v>10090</v>
      </c>
      <c r="L974" s="3" t="str">
        <f>HYPERLINK("http://www.uniprot.org/uniprot/Q80W47", "Q80W47")</f>
        <v>Q80W47</v>
      </c>
      <c r="M974" t="s">
        <v>11659</v>
      </c>
      <c r="N974" t="str">
        <f>"Wipi2"</f>
        <v>Wipi2</v>
      </c>
      <c r="O974" s="3" t="str">
        <f>HYPERLINK("http://www.informatics.jax.org/marker/MGI:1923831", "MGI:1923831")</f>
        <v>MGI:1923831</v>
      </c>
      <c r="P974" t="s">
        <v>11660</v>
      </c>
      <c r="Q974" t="s">
        <v>11661</v>
      </c>
      <c r="R974" t="s">
        <v>5989</v>
      </c>
      <c r="S974" t="s">
        <v>32</v>
      </c>
      <c r="T974" t="s">
        <v>32</v>
      </c>
      <c r="U974" t="s">
        <v>32</v>
      </c>
      <c r="V974" t="s">
        <v>1910</v>
      </c>
      <c r="W974" t="s">
        <v>584</v>
      </c>
      <c r="X974" t="s">
        <v>32</v>
      </c>
      <c r="Y974" t="s">
        <v>618</v>
      </c>
      <c r="Z974" t="s">
        <v>32</v>
      </c>
      <c r="AA974" t="s">
        <v>11662</v>
      </c>
      <c r="AB974" t="s">
        <v>11663</v>
      </c>
      <c r="AC974" t="s">
        <v>11664</v>
      </c>
      <c r="AD974" t="s">
        <v>32</v>
      </c>
      <c r="AE974" t="s">
        <v>11665</v>
      </c>
      <c r="AF974" t="s">
        <v>46835</v>
      </c>
    </row>
    <row r="975" spans="1:33" x14ac:dyDescent="0.2">
      <c r="A975">
        <v>970</v>
      </c>
      <c r="B975" t="s">
        <v>11666</v>
      </c>
      <c r="C975" t="s">
        <v>11667</v>
      </c>
      <c r="D975" t="s">
        <v>11668</v>
      </c>
      <c r="E975" t="s">
        <v>11669</v>
      </c>
      <c r="F975" t="s">
        <v>11670</v>
      </c>
      <c r="G975" t="s">
        <v>11671</v>
      </c>
      <c r="H975" t="str">
        <f>"Farsa"</f>
        <v>Farsa</v>
      </c>
      <c r="I975" t="s">
        <v>11672</v>
      </c>
      <c r="J975" t="s">
        <v>37</v>
      </c>
      <c r="K975">
        <v>10090</v>
      </c>
      <c r="L975" s="3" t="str">
        <f>HYPERLINK("http://www.uniprot.org/uniprot/Q8C0C7", "Q8C0C7")</f>
        <v>Q8C0C7</v>
      </c>
      <c r="M975" t="s">
        <v>11673</v>
      </c>
      <c r="N975" t="str">
        <f>"Farsa"</f>
        <v>Farsa</v>
      </c>
      <c r="O975" s="3" t="str">
        <f>HYPERLINK("http://www.informatics.jax.org/marker/MGI:1913840", "MGI:1913840")</f>
        <v>MGI:1913840</v>
      </c>
      <c r="P975" t="s">
        <v>11674</v>
      </c>
      <c r="Q975" t="s">
        <v>260</v>
      </c>
      <c r="R975" t="s">
        <v>418</v>
      </c>
      <c r="S975" t="s">
        <v>32</v>
      </c>
      <c r="T975" t="s">
        <v>32</v>
      </c>
      <c r="U975" t="s">
        <v>32</v>
      </c>
      <c r="V975" t="s">
        <v>32</v>
      </c>
      <c r="W975" t="s">
        <v>1266</v>
      </c>
      <c r="X975" t="s">
        <v>2983</v>
      </c>
      <c r="Y975" t="s">
        <v>157</v>
      </c>
      <c r="Z975" t="s">
        <v>32</v>
      </c>
      <c r="AA975" t="s">
        <v>7151</v>
      </c>
      <c r="AB975" t="s">
        <v>11675</v>
      </c>
      <c r="AC975" t="s">
        <v>11676</v>
      </c>
      <c r="AD975" t="s">
        <v>32</v>
      </c>
      <c r="AE975" t="s">
        <v>32</v>
      </c>
      <c r="AF975" t="s">
        <v>46835</v>
      </c>
    </row>
    <row r="976" spans="1:33" x14ac:dyDescent="0.2">
      <c r="A976">
        <v>971</v>
      </c>
      <c r="B976" t="s">
        <v>11677</v>
      </c>
      <c r="C976" t="s">
        <v>11678</v>
      </c>
      <c r="D976" t="s">
        <v>32</v>
      </c>
      <c r="E976" t="s">
        <v>11679</v>
      </c>
      <c r="F976" t="s">
        <v>11680</v>
      </c>
      <c r="G976" t="s">
        <v>32</v>
      </c>
      <c r="H976" t="str">
        <f>"Rpl29"</f>
        <v>Rpl29</v>
      </c>
      <c r="I976" t="s">
        <v>11681</v>
      </c>
      <c r="J976" t="s">
        <v>37</v>
      </c>
      <c r="K976">
        <v>10090</v>
      </c>
      <c r="L976" s="3" t="str">
        <f>HYPERLINK("http://www.uniprot.org/uniprot/P47915", "P47915")</f>
        <v>P47915</v>
      </c>
      <c r="M976" t="s">
        <v>11682</v>
      </c>
      <c r="N976" t="str">
        <f>"Rpl29"</f>
        <v>Rpl29</v>
      </c>
      <c r="O976" s="3" t="str">
        <f>HYPERLINK("http://www.informatics.jax.org/marker/MGI:99687", "MGI:99687")</f>
        <v>MGI:99687</v>
      </c>
      <c r="P976" t="s">
        <v>11683</v>
      </c>
      <c r="Q976" t="s">
        <v>32</v>
      </c>
      <c r="R976" t="s">
        <v>418</v>
      </c>
      <c r="S976" t="s">
        <v>32</v>
      </c>
      <c r="T976" t="s">
        <v>32</v>
      </c>
      <c r="U976" t="s">
        <v>32</v>
      </c>
      <c r="V976" t="s">
        <v>55</v>
      </c>
      <c r="W976" t="s">
        <v>32</v>
      </c>
      <c r="X976" t="s">
        <v>447</v>
      </c>
      <c r="Y976" t="s">
        <v>97</v>
      </c>
      <c r="Z976" t="s">
        <v>126</v>
      </c>
      <c r="AA976" t="s">
        <v>11684</v>
      </c>
      <c r="AB976" t="s">
        <v>11685</v>
      </c>
      <c r="AC976" t="s">
        <v>11686</v>
      </c>
      <c r="AD976" t="s">
        <v>32</v>
      </c>
      <c r="AE976" t="s">
        <v>765</v>
      </c>
      <c r="AF976" t="s">
        <v>46835</v>
      </c>
    </row>
    <row r="977" spans="1:32" x14ac:dyDescent="0.2">
      <c r="A977">
        <v>972</v>
      </c>
      <c r="B977" t="s">
        <v>11687</v>
      </c>
      <c r="C977" t="s">
        <v>11688</v>
      </c>
      <c r="D977" t="s">
        <v>32</v>
      </c>
      <c r="E977" t="s">
        <v>11689</v>
      </c>
      <c r="F977" t="s">
        <v>11690</v>
      </c>
      <c r="G977" t="s">
        <v>11691</v>
      </c>
      <c r="H977" t="str">
        <f>"Glud1"</f>
        <v>Glud1</v>
      </c>
      <c r="I977" t="s">
        <v>11692</v>
      </c>
      <c r="J977" t="s">
        <v>37</v>
      </c>
      <c r="K977">
        <v>10090</v>
      </c>
      <c r="L977" s="3" t="str">
        <f>HYPERLINK("http://www.uniprot.org/uniprot/P26443", "P26443")</f>
        <v>P26443</v>
      </c>
      <c r="M977" t="s">
        <v>11693</v>
      </c>
      <c r="N977" t="str">
        <f>"Glud1"</f>
        <v>Glud1</v>
      </c>
      <c r="O977" s="3" t="str">
        <f>HYPERLINK("http://www.informatics.jax.org/marker/MGI:95753", "MGI:95753")</f>
        <v>MGI:95753</v>
      </c>
      <c r="P977" t="s">
        <v>11694</v>
      </c>
      <c r="Q977" t="s">
        <v>32</v>
      </c>
      <c r="R977" t="s">
        <v>11695</v>
      </c>
      <c r="S977" t="s">
        <v>32</v>
      </c>
      <c r="T977" t="s">
        <v>32</v>
      </c>
      <c r="U977" t="s">
        <v>32</v>
      </c>
      <c r="V977" t="s">
        <v>1039</v>
      </c>
      <c r="W977" t="s">
        <v>11696</v>
      </c>
      <c r="X977" t="s">
        <v>600</v>
      </c>
      <c r="Y977" t="s">
        <v>11697</v>
      </c>
      <c r="Z977" t="s">
        <v>32</v>
      </c>
      <c r="AA977" t="s">
        <v>11698</v>
      </c>
      <c r="AB977" t="s">
        <v>11699</v>
      </c>
      <c r="AC977" t="s">
        <v>11700</v>
      </c>
      <c r="AD977" t="s">
        <v>32</v>
      </c>
      <c r="AE977" t="s">
        <v>11701</v>
      </c>
      <c r="AF977" t="s">
        <v>46835</v>
      </c>
    </row>
    <row r="978" spans="1:32" x14ac:dyDescent="0.2">
      <c r="A978">
        <v>973</v>
      </c>
      <c r="B978" t="s">
        <v>11702</v>
      </c>
      <c r="C978" t="s">
        <v>11703</v>
      </c>
      <c r="D978" t="s">
        <v>11704</v>
      </c>
      <c r="E978" t="s">
        <v>11705</v>
      </c>
      <c r="F978" t="s">
        <v>11706</v>
      </c>
      <c r="G978" t="s">
        <v>11707</v>
      </c>
      <c r="H978" t="str">
        <f>"Ccar2"</f>
        <v>Ccar2</v>
      </c>
      <c r="I978" t="s">
        <v>32</v>
      </c>
      <c r="J978" t="s">
        <v>37</v>
      </c>
      <c r="K978">
        <v>10090</v>
      </c>
      <c r="L978" s="3" t="str">
        <f>HYPERLINK("http://www.uniprot.org/uniprot/Q8VDP4", "Q8VDP4")</f>
        <v>Q8VDP4</v>
      </c>
      <c r="M978" t="s">
        <v>11708</v>
      </c>
      <c r="N978" t="str">
        <f>"Ccar2"</f>
        <v>Ccar2</v>
      </c>
      <c r="O978" s="3" t="str">
        <f>HYPERLINK("http://www.informatics.jax.org/marker/MGI:2444228", "MGI:2444228")</f>
        <v>MGI:2444228</v>
      </c>
      <c r="P978" t="s">
        <v>11709</v>
      </c>
      <c r="Q978" t="s">
        <v>11710</v>
      </c>
      <c r="R978" t="s">
        <v>324</v>
      </c>
      <c r="S978" t="s">
        <v>32</v>
      </c>
      <c r="T978" t="s">
        <v>32</v>
      </c>
      <c r="U978" t="s">
        <v>1636</v>
      </c>
      <c r="V978" t="s">
        <v>290</v>
      </c>
      <c r="W978" t="s">
        <v>32</v>
      </c>
      <c r="X978" t="s">
        <v>11711</v>
      </c>
      <c r="Y978" t="s">
        <v>207</v>
      </c>
      <c r="Z978" t="s">
        <v>32</v>
      </c>
      <c r="AA978" t="s">
        <v>11712</v>
      </c>
      <c r="AB978" t="s">
        <v>11713</v>
      </c>
      <c r="AC978" t="s">
        <v>11714</v>
      </c>
      <c r="AD978" t="s">
        <v>32</v>
      </c>
      <c r="AE978" t="s">
        <v>32</v>
      </c>
      <c r="AF978" t="s">
        <v>46835</v>
      </c>
    </row>
    <row r="979" spans="1:32" x14ac:dyDescent="0.2">
      <c r="A979">
        <v>974</v>
      </c>
      <c r="B979" t="s">
        <v>11715</v>
      </c>
      <c r="C979" t="s">
        <v>11716</v>
      </c>
      <c r="D979" t="s">
        <v>11717</v>
      </c>
      <c r="E979" t="s">
        <v>11718</v>
      </c>
      <c r="F979" t="s">
        <v>11719</v>
      </c>
      <c r="G979" t="s">
        <v>11720</v>
      </c>
      <c r="H979" t="str">
        <f>"Api5"</f>
        <v>Api5</v>
      </c>
      <c r="I979" t="s">
        <v>32</v>
      </c>
      <c r="J979" t="s">
        <v>37</v>
      </c>
      <c r="K979">
        <v>10090</v>
      </c>
      <c r="L979" s="3" t="str">
        <f>HYPERLINK("http://www.uniprot.org/uniprot/O35841", "O35841")</f>
        <v>O35841</v>
      </c>
      <c r="M979" t="s">
        <v>11721</v>
      </c>
      <c r="N979" t="str">
        <f>"Api5"</f>
        <v>Api5</v>
      </c>
      <c r="O979" s="3" t="str">
        <f>HYPERLINK("http://www.informatics.jax.org/marker/MGI:1888993", "MGI:1888993")</f>
        <v>MGI:1888993</v>
      </c>
      <c r="P979" t="s">
        <v>11722</v>
      </c>
      <c r="Q979" t="s">
        <v>541</v>
      </c>
      <c r="R979" t="s">
        <v>40</v>
      </c>
      <c r="S979" t="s">
        <v>32</v>
      </c>
      <c r="T979" t="s">
        <v>32</v>
      </c>
      <c r="U979" t="s">
        <v>32</v>
      </c>
      <c r="V979" t="s">
        <v>55</v>
      </c>
      <c r="W979" t="s">
        <v>32</v>
      </c>
      <c r="X979" t="s">
        <v>32</v>
      </c>
      <c r="Y979" t="s">
        <v>157</v>
      </c>
      <c r="Z979" t="s">
        <v>32</v>
      </c>
      <c r="AA979" t="s">
        <v>11723</v>
      </c>
      <c r="AB979" t="s">
        <v>11724</v>
      </c>
      <c r="AC979" t="s">
        <v>11725</v>
      </c>
      <c r="AD979" t="s">
        <v>32</v>
      </c>
      <c r="AE979" t="s">
        <v>32</v>
      </c>
      <c r="AF979" t="s">
        <v>46835</v>
      </c>
    </row>
    <row r="980" spans="1:32" x14ac:dyDescent="0.2">
      <c r="A980">
        <v>975</v>
      </c>
      <c r="B980" t="s">
        <v>11726</v>
      </c>
      <c r="C980" t="s">
        <v>11727</v>
      </c>
      <c r="D980" t="s">
        <v>11728</v>
      </c>
      <c r="E980" t="s">
        <v>11729</v>
      </c>
      <c r="F980" t="s">
        <v>11730</v>
      </c>
      <c r="G980" t="s">
        <v>11731</v>
      </c>
      <c r="H980" t="str">
        <f>"Gps1"</f>
        <v>Gps1</v>
      </c>
      <c r="I980" t="s">
        <v>11732</v>
      </c>
      <c r="J980" t="s">
        <v>37</v>
      </c>
      <c r="K980">
        <v>10090</v>
      </c>
      <c r="L980" s="3" t="str">
        <f>HYPERLINK("http://www.uniprot.org/uniprot/Q99LD4", "Q99LD4")</f>
        <v>Q99LD4</v>
      </c>
      <c r="M980" t="s">
        <v>11733</v>
      </c>
      <c r="N980" t="str">
        <f>"Gps1"</f>
        <v>Gps1</v>
      </c>
      <c r="O980" s="3" t="str">
        <f>HYPERLINK("http://www.informatics.jax.org/marker/MGI:2384801", "MGI:2384801")</f>
        <v>MGI:2384801</v>
      </c>
      <c r="P980" t="s">
        <v>7410</v>
      </c>
      <c r="Q980" t="s">
        <v>32</v>
      </c>
      <c r="R980" t="s">
        <v>7411</v>
      </c>
      <c r="S980" t="s">
        <v>41</v>
      </c>
      <c r="T980" t="s">
        <v>32</v>
      </c>
      <c r="U980" t="s">
        <v>32</v>
      </c>
      <c r="V980" t="s">
        <v>32</v>
      </c>
      <c r="W980" t="s">
        <v>32</v>
      </c>
      <c r="X980" t="s">
        <v>32</v>
      </c>
      <c r="Y980" t="s">
        <v>618</v>
      </c>
      <c r="Z980" t="s">
        <v>32</v>
      </c>
      <c r="AA980" t="s">
        <v>4179</v>
      </c>
      <c r="AB980" t="s">
        <v>11734</v>
      </c>
      <c r="AC980" t="s">
        <v>32</v>
      </c>
      <c r="AD980" t="s">
        <v>32</v>
      </c>
      <c r="AE980" t="s">
        <v>4181</v>
      </c>
      <c r="AF980" t="s">
        <v>46835</v>
      </c>
    </row>
    <row r="981" spans="1:32" x14ac:dyDescent="0.2">
      <c r="A981">
        <v>976</v>
      </c>
      <c r="B981" t="s">
        <v>11735</v>
      </c>
      <c r="C981" t="s">
        <v>11736</v>
      </c>
      <c r="D981" t="s">
        <v>11737</v>
      </c>
      <c r="E981" t="s">
        <v>11738</v>
      </c>
      <c r="F981" t="s">
        <v>11739</v>
      </c>
      <c r="G981" t="s">
        <v>11740</v>
      </c>
      <c r="H981" t="str">
        <f>"Echs1"</f>
        <v>Echs1</v>
      </c>
      <c r="I981" t="s">
        <v>32</v>
      </c>
      <c r="J981" t="s">
        <v>37</v>
      </c>
      <c r="K981">
        <v>10090</v>
      </c>
      <c r="L981" s="3" t="str">
        <f>HYPERLINK("http://www.uniprot.org/uniprot/Q8BH95", "Q8BH95")</f>
        <v>Q8BH95</v>
      </c>
      <c r="M981" t="s">
        <v>11741</v>
      </c>
      <c r="N981" t="str">
        <f>"Echs1"</f>
        <v>Echs1</v>
      </c>
      <c r="O981" s="3" t="str">
        <f>HYPERLINK("http://www.informatics.jax.org/marker/MGI:2136460", "MGI:2136460")</f>
        <v>MGI:2136460</v>
      </c>
      <c r="P981" t="s">
        <v>11742</v>
      </c>
      <c r="Q981" t="s">
        <v>6214</v>
      </c>
      <c r="R981" t="s">
        <v>1038</v>
      </c>
      <c r="S981" t="s">
        <v>32</v>
      </c>
      <c r="T981" t="s">
        <v>32</v>
      </c>
      <c r="U981" t="s">
        <v>32</v>
      </c>
      <c r="V981" t="s">
        <v>1039</v>
      </c>
      <c r="W981" t="s">
        <v>32</v>
      </c>
      <c r="X981" t="s">
        <v>926</v>
      </c>
      <c r="Y981" t="s">
        <v>157</v>
      </c>
      <c r="Z981" t="s">
        <v>32</v>
      </c>
      <c r="AA981" t="s">
        <v>9720</v>
      </c>
      <c r="AB981" t="s">
        <v>2128</v>
      </c>
      <c r="AC981" t="s">
        <v>11743</v>
      </c>
      <c r="AD981" t="s">
        <v>6218</v>
      </c>
      <c r="AE981" t="s">
        <v>11744</v>
      </c>
      <c r="AF981" t="s">
        <v>46835</v>
      </c>
    </row>
    <row r="982" spans="1:32" x14ac:dyDescent="0.2">
      <c r="A982">
        <v>977</v>
      </c>
      <c r="B982" t="s">
        <v>11745</v>
      </c>
      <c r="C982" t="s">
        <v>11746</v>
      </c>
      <c r="D982" t="s">
        <v>11747</v>
      </c>
      <c r="E982" t="s">
        <v>11748</v>
      </c>
      <c r="F982" t="s">
        <v>11749</v>
      </c>
      <c r="G982" t="s">
        <v>11750</v>
      </c>
      <c r="H982" t="str">
        <f>"Itga6"</f>
        <v>Itga6</v>
      </c>
      <c r="I982" t="s">
        <v>32</v>
      </c>
      <c r="J982" t="s">
        <v>37</v>
      </c>
      <c r="K982">
        <v>10090</v>
      </c>
      <c r="L982" s="3" t="str">
        <f>HYPERLINK("http://www.uniprot.org/uniprot/Q61739", "Q61739")</f>
        <v>Q61739</v>
      </c>
      <c r="M982" t="s">
        <v>11751</v>
      </c>
      <c r="N982" t="str">
        <f>"Itga6"</f>
        <v>Itga6</v>
      </c>
      <c r="O982" s="3" t="str">
        <f>HYPERLINK("http://www.informatics.jax.org/marker/MGI:96605", "MGI:96605")</f>
        <v>MGI:96605</v>
      </c>
      <c r="P982" t="s">
        <v>11752</v>
      </c>
      <c r="Q982" t="s">
        <v>2784</v>
      </c>
      <c r="R982" t="s">
        <v>2474</v>
      </c>
      <c r="S982" t="s">
        <v>41</v>
      </c>
      <c r="T982" t="s">
        <v>32</v>
      </c>
      <c r="U982" t="s">
        <v>32</v>
      </c>
      <c r="V982" t="s">
        <v>1665</v>
      </c>
      <c r="W982" t="s">
        <v>188</v>
      </c>
      <c r="X982" t="s">
        <v>8879</v>
      </c>
      <c r="Y982" t="s">
        <v>11753</v>
      </c>
      <c r="Z982" t="s">
        <v>32</v>
      </c>
      <c r="AA982" t="s">
        <v>11754</v>
      </c>
      <c r="AB982" t="s">
        <v>11755</v>
      </c>
      <c r="AC982" t="s">
        <v>11756</v>
      </c>
      <c r="AD982" t="s">
        <v>32</v>
      </c>
      <c r="AE982" t="s">
        <v>11757</v>
      </c>
      <c r="AF982" t="s">
        <v>46835</v>
      </c>
    </row>
    <row r="983" spans="1:32" x14ac:dyDescent="0.2">
      <c r="A983">
        <v>978</v>
      </c>
      <c r="B983" t="s">
        <v>11758</v>
      </c>
      <c r="C983" t="s">
        <v>11759</v>
      </c>
      <c r="D983" t="s">
        <v>11760</v>
      </c>
      <c r="E983" t="s">
        <v>11761</v>
      </c>
      <c r="F983" t="s">
        <v>11762</v>
      </c>
      <c r="G983" t="s">
        <v>11763</v>
      </c>
      <c r="H983" t="str">
        <f>"Hcfc1"</f>
        <v>Hcfc1</v>
      </c>
      <c r="I983" t="s">
        <v>32</v>
      </c>
      <c r="J983" t="s">
        <v>37</v>
      </c>
      <c r="K983">
        <v>10090</v>
      </c>
      <c r="L983" s="3" t="str">
        <f>HYPERLINK("http://www.uniprot.org/uniprot/Q61191", "Q61191")</f>
        <v>Q61191</v>
      </c>
      <c r="M983" t="s">
        <v>11764</v>
      </c>
      <c r="N983" t="str">
        <f>"Hcfc1"</f>
        <v>Hcfc1</v>
      </c>
      <c r="O983" s="3" t="str">
        <f>HYPERLINK("http://www.informatics.jax.org/marker/MGI:105942", "MGI:105942")</f>
        <v>MGI:105942</v>
      </c>
      <c r="P983" t="s">
        <v>11765</v>
      </c>
      <c r="Q983" t="s">
        <v>9824</v>
      </c>
      <c r="R983" t="s">
        <v>40</v>
      </c>
      <c r="S983" t="s">
        <v>32</v>
      </c>
      <c r="T983" t="s">
        <v>32</v>
      </c>
      <c r="U983" t="s">
        <v>32</v>
      </c>
      <c r="V983" t="s">
        <v>11766</v>
      </c>
      <c r="W983" t="s">
        <v>32</v>
      </c>
      <c r="X983" t="s">
        <v>9988</v>
      </c>
      <c r="Y983" t="s">
        <v>11767</v>
      </c>
      <c r="Z983" t="s">
        <v>126</v>
      </c>
      <c r="AA983" t="s">
        <v>11768</v>
      </c>
      <c r="AB983" t="s">
        <v>11769</v>
      </c>
      <c r="AC983" t="s">
        <v>11770</v>
      </c>
      <c r="AD983" t="s">
        <v>32</v>
      </c>
      <c r="AE983" t="s">
        <v>11771</v>
      </c>
      <c r="AF983" t="s">
        <v>46835</v>
      </c>
    </row>
    <row r="984" spans="1:32" x14ac:dyDescent="0.2">
      <c r="A984">
        <v>979</v>
      </c>
      <c r="B984" t="s">
        <v>11772</v>
      </c>
      <c r="C984" t="s">
        <v>11773</v>
      </c>
      <c r="D984" t="s">
        <v>11774</v>
      </c>
      <c r="E984" t="s">
        <v>11775</v>
      </c>
      <c r="F984" t="s">
        <v>11776</v>
      </c>
      <c r="G984" t="s">
        <v>11777</v>
      </c>
      <c r="H984" t="str">
        <f>"Hars1"</f>
        <v>Hars1</v>
      </c>
      <c r="I984" t="s">
        <v>11778</v>
      </c>
      <c r="J984" t="s">
        <v>37</v>
      </c>
      <c r="K984">
        <v>10090</v>
      </c>
      <c r="L984" s="3" t="str">
        <f>HYPERLINK("http://www.uniprot.org/uniprot/Q61035", "Q61035")</f>
        <v>Q61035</v>
      </c>
      <c r="M984" t="s">
        <v>11779</v>
      </c>
      <c r="N984" t="str">
        <f>"Hars"</f>
        <v>Hars</v>
      </c>
      <c r="O984" s="3" t="str">
        <f>HYPERLINK("http://www.informatics.jax.org/marker/MGI:108087", "MGI:108087")</f>
        <v>MGI:108087</v>
      </c>
      <c r="P984" t="s">
        <v>2982</v>
      </c>
      <c r="Q984" t="s">
        <v>260</v>
      </c>
      <c r="R984" t="s">
        <v>418</v>
      </c>
      <c r="S984" t="s">
        <v>32</v>
      </c>
      <c r="T984" t="s">
        <v>32</v>
      </c>
      <c r="U984" t="s">
        <v>32</v>
      </c>
      <c r="V984" t="s">
        <v>32</v>
      </c>
      <c r="W984" t="s">
        <v>205</v>
      </c>
      <c r="X984" t="s">
        <v>2983</v>
      </c>
      <c r="Y984" t="s">
        <v>157</v>
      </c>
      <c r="Z984" t="s">
        <v>32</v>
      </c>
      <c r="AA984" t="s">
        <v>11780</v>
      </c>
      <c r="AB984" t="s">
        <v>3903</v>
      </c>
      <c r="AC984" t="s">
        <v>11781</v>
      </c>
      <c r="AD984" t="s">
        <v>32</v>
      </c>
      <c r="AE984" t="s">
        <v>32</v>
      </c>
      <c r="AF984" t="s">
        <v>46835</v>
      </c>
    </row>
    <row r="985" spans="1:32" x14ac:dyDescent="0.2">
      <c r="A985">
        <v>980</v>
      </c>
      <c r="B985" t="s">
        <v>11782</v>
      </c>
      <c r="C985" t="s">
        <v>11783</v>
      </c>
      <c r="D985" t="s">
        <v>11784</v>
      </c>
      <c r="E985" t="s">
        <v>11785</v>
      </c>
      <c r="F985" t="s">
        <v>11786</v>
      </c>
      <c r="G985" t="s">
        <v>11787</v>
      </c>
      <c r="H985" t="str">
        <f>"Khdrbs1"</f>
        <v>Khdrbs1</v>
      </c>
      <c r="I985" t="s">
        <v>32</v>
      </c>
      <c r="J985" t="s">
        <v>37</v>
      </c>
      <c r="K985">
        <v>10090</v>
      </c>
      <c r="L985" s="3" t="str">
        <f>HYPERLINK("http://www.uniprot.org/uniprot/Q60749", "Q60749")</f>
        <v>Q60749</v>
      </c>
      <c r="M985" t="s">
        <v>11788</v>
      </c>
      <c r="N985" t="str">
        <f>"Khdrbs1"</f>
        <v>Khdrbs1</v>
      </c>
      <c r="O985" s="3" t="str">
        <f>HYPERLINK("http://www.informatics.jax.org/marker/MGI:893579", "MGI:893579")</f>
        <v>MGI:893579</v>
      </c>
      <c r="P985" t="s">
        <v>11789</v>
      </c>
      <c r="Q985" t="s">
        <v>11790</v>
      </c>
      <c r="R985" t="s">
        <v>5943</v>
      </c>
      <c r="S985" t="s">
        <v>32</v>
      </c>
      <c r="T985" t="s">
        <v>32</v>
      </c>
      <c r="U985" t="s">
        <v>32</v>
      </c>
      <c r="V985" t="s">
        <v>7861</v>
      </c>
      <c r="W985" t="s">
        <v>32</v>
      </c>
      <c r="X985" t="s">
        <v>1282</v>
      </c>
      <c r="Y985" t="s">
        <v>207</v>
      </c>
      <c r="Z985" t="s">
        <v>32</v>
      </c>
      <c r="AA985" t="s">
        <v>11791</v>
      </c>
      <c r="AB985" t="s">
        <v>11792</v>
      </c>
      <c r="AC985" t="s">
        <v>11793</v>
      </c>
      <c r="AD985" t="s">
        <v>32</v>
      </c>
      <c r="AE985" t="s">
        <v>2882</v>
      </c>
      <c r="AF985" t="s">
        <v>46835</v>
      </c>
    </row>
    <row r="986" spans="1:32" x14ac:dyDescent="0.2">
      <c r="A986">
        <v>981</v>
      </c>
      <c r="B986" t="s">
        <v>11794</v>
      </c>
      <c r="C986" t="s">
        <v>11795</v>
      </c>
      <c r="D986" t="s">
        <v>11796</v>
      </c>
      <c r="E986" t="s">
        <v>11797</v>
      </c>
      <c r="F986" t="s">
        <v>11798</v>
      </c>
      <c r="G986" t="s">
        <v>11799</v>
      </c>
      <c r="H986" t="str">
        <f>"Pnp"</f>
        <v>Pnp</v>
      </c>
      <c r="I986" t="s">
        <v>11800</v>
      </c>
      <c r="J986" t="s">
        <v>37</v>
      </c>
      <c r="K986">
        <v>10090</v>
      </c>
      <c r="L986" s="3" t="str">
        <f>HYPERLINK("http://www.uniprot.org/uniprot/P23492", "P23492")</f>
        <v>P23492</v>
      </c>
      <c r="M986" t="s">
        <v>11801</v>
      </c>
      <c r="N986" t="str">
        <f>"Pnp"</f>
        <v>Pnp</v>
      </c>
      <c r="O986" s="3" t="str">
        <f>HYPERLINK("http://www.informatics.jax.org/marker/MGI:97365", "MGI:97365")</f>
        <v>MGI:97365</v>
      </c>
      <c r="P986" t="s">
        <v>11802</v>
      </c>
      <c r="Q986" t="s">
        <v>2361</v>
      </c>
      <c r="R986" t="s">
        <v>418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2362</v>
      </c>
      <c r="Y986" t="s">
        <v>78</v>
      </c>
      <c r="Z986" t="s">
        <v>32</v>
      </c>
      <c r="AA986" t="s">
        <v>11803</v>
      </c>
      <c r="AB986" t="s">
        <v>11804</v>
      </c>
      <c r="AC986" t="s">
        <v>11805</v>
      </c>
      <c r="AD986" t="s">
        <v>11806</v>
      </c>
      <c r="AE986" t="s">
        <v>11807</v>
      </c>
      <c r="AF986" t="s">
        <v>46835</v>
      </c>
    </row>
    <row r="987" spans="1:32" x14ac:dyDescent="0.2">
      <c r="A987">
        <v>982</v>
      </c>
      <c r="B987" t="s">
        <v>11808</v>
      </c>
      <c r="C987" t="s">
        <v>11809</v>
      </c>
      <c r="D987" t="s">
        <v>11810</v>
      </c>
      <c r="E987" t="s">
        <v>11811</v>
      </c>
      <c r="F987" t="s">
        <v>11812</v>
      </c>
      <c r="G987" t="s">
        <v>11813</v>
      </c>
      <c r="H987" t="str">
        <f>"Nisch"</f>
        <v>Nisch</v>
      </c>
      <c r="I987" t="s">
        <v>11814</v>
      </c>
      <c r="J987" t="s">
        <v>37</v>
      </c>
      <c r="K987">
        <v>10090</v>
      </c>
      <c r="L987" s="3" t="str">
        <f>HYPERLINK("http://www.uniprot.org/uniprot/Q80TM9", "Q80TM9")</f>
        <v>Q80TM9</v>
      </c>
      <c r="M987" t="s">
        <v>11815</v>
      </c>
      <c r="N987" t="str">
        <f>"Nisch"</f>
        <v>Nisch</v>
      </c>
      <c r="O987" s="3" t="str">
        <f>HYPERLINK("http://www.informatics.jax.org/marker/MGI:1928323", "MGI:1928323")</f>
        <v>MGI:1928323</v>
      </c>
      <c r="P987" t="s">
        <v>11816</v>
      </c>
      <c r="Q987" t="s">
        <v>541</v>
      </c>
      <c r="R987" t="s">
        <v>11817</v>
      </c>
      <c r="S987" t="s">
        <v>41</v>
      </c>
      <c r="T987" t="s">
        <v>32</v>
      </c>
      <c r="U987" t="s">
        <v>32</v>
      </c>
      <c r="V987" t="s">
        <v>10018</v>
      </c>
      <c r="W987" t="s">
        <v>32</v>
      </c>
      <c r="X987" t="s">
        <v>6983</v>
      </c>
      <c r="Y987" t="s">
        <v>618</v>
      </c>
      <c r="Z987" t="s">
        <v>32</v>
      </c>
      <c r="AA987" t="s">
        <v>11818</v>
      </c>
      <c r="AB987" t="s">
        <v>11819</v>
      </c>
      <c r="AC987" t="s">
        <v>11820</v>
      </c>
      <c r="AD987" t="s">
        <v>32</v>
      </c>
      <c r="AE987" t="s">
        <v>11821</v>
      </c>
      <c r="AF987" t="s">
        <v>46835</v>
      </c>
    </row>
    <row r="988" spans="1:32" x14ac:dyDescent="0.2">
      <c r="A988">
        <v>983</v>
      </c>
      <c r="B988" t="s">
        <v>11822</v>
      </c>
      <c r="C988" t="s">
        <v>11823</v>
      </c>
      <c r="D988" t="s">
        <v>32</v>
      </c>
      <c r="E988" t="s">
        <v>11824</v>
      </c>
      <c r="F988" t="s">
        <v>11825</v>
      </c>
      <c r="G988" t="s">
        <v>11826</v>
      </c>
      <c r="H988" t="str">
        <f>"Nmral1"</f>
        <v>Nmral1</v>
      </c>
      <c r="I988" t="s">
        <v>32</v>
      </c>
      <c r="J988" t="s">
        <v>37</v>
      </c>
      <c r="K988">
        <v>10090</v>
      </c>
      <c r="L988" s="3" t="str">
        <f>HYPERLINK("http://www.uniprot.org/uniprot/Q8K2T1", "Q8K2T1")</f>
        <v>Q8K2T1</v>
      </c>
      <c r="M988" t="s">
        <v>11827</v>
      </c>
      <c r="N988" t="str">
        <f>"Nmral1"</f>
        <v>Nmral1</v>
      </c>
      <c r="O988" s="3" t="str">
        <f>HYPERLINK("http://www.informatics.jax.org/marker/MGI:1915074", "MGI:1915074")</f>
        <v>MGI:1915074</v>
      </c>
      <c r="P988" t="s">
        <v>11828</v>
      </c>
      <c r="Q988" t="s">
        <v>32</v>
      </c>
      <c r="R988" t="s">
        <v>40</v>
      </c>
      <c r="S988" t="s">
        <v>41</v>
      </c>
      <c r="T988" t="s">
        <v>32</v>
      </c>
      <c r="U988" t="s">
        <v>32</v>
      </c>
      <c r="V988" t="s">
        <v>32</v>
      </c>
      <c r="W988" t="s">
        <v>3204</v>
      </c>
      <c r="X988" t="s">
        <v>32</v>
      </c>
      <c r="Y988" t="s">
        <v>32</v>
      </c>
      <c r="Z988" t="s">
        <v>32</v>
      </c>
      <c r="AA988" t="s">
        <v>32</v>
      </c>
      <c r="AB988" t="s">
        <v>11829</v>
      </c>
      <c r="AC988" t="s">
        <v>4516</v>
      </c>
      <c r="AD988" t="s">
        <v>32</v>
      </c>
      <c r="AE988" t="s">
        <v>1396</v>
      </c>
      <c r="AF988" t="s">
        <v>46835</v>
      </c>
    </row>
    <row r="989" spans="1:32" x14ac:dyDescent="0.2">
      <c r="A989">
        <v>984</v>
      </c>
      <c r="B989" t="s">
        <v>11830</v>
      </c>
      <c r="C989" t="s">
        <v>11831</v>
      </c>
      <c r="D989" t="s">
        <v>32</v>
      </c>
      <c r="E989" t="s">
        <v>11832</v>
      </c>
      <c r="F989" t="s">
        <v>11833</v>
      </c>
      <c r="G989" t="s">
        <v>32</v>
      </c>
      <c r="H989" t="str">
        <f>"Grhpr"</f>
        <v>Grhpr</v>
      </c>
      <c r="I989" t="s">
        <v>11834</v>
      </c>
      <c r="J989" t="s">
        <v>37</v>
      </c>
      <c r="K989">
        <v>10090</v>
      </c>
      <c r="L989" s="3" t="str">
        <f>HYPERLINK("http://www.uniprot.org/uniprot/Q91Z53", "Q91Z53")</f>
        <v>Q91Z53</v>
      </c>
      <c r="M989" t="s">
        <v>11835</v>
      </c>
      <c r="N989" t="str">
        <f>"Grhpr"</f>
        <v>Grhpr</v>
      </c>
      <c r="O989" s="3" t="str">
        <f>HYPERLINK("http://www.informatics.jax.org/marker/MGI:1923488", "MGI:1923488")</f>
        <v>MGI:1923488</v>
      </c>
      <c r="P989" t="s">
        <v>11836</v>
      </c>
      <c r="Q989" t="s">
        <v>32</v>
      </c>
      <c r="R989" t="s">
        <v>32</v>
      </c>
      <c r="S989" t="s">
        <v>32</v>
      </c>
      <c r="T989" t="s">
        <v>32</v>
      </c>
      <c r="U989" t="s">
        <v>32</v>
      </c>
      <c r="V989" t="s">
        <v>32</v>
      </c>
      <c r="W989" t="s">
        <v>3204</v>
      </c>
      <c r="X989" t="s">
        <v>600</v>
      </c>
      <c r="Y989" t="s">
        <v>618</v>
      </c>
      <c r="Z989" t="s">
        <v>32</v>
      </c>
      <c r="AA989" t="s">
        <v>11837</v>
      </c>
      <c r="AB989" t="s">
        <v>11838</v>
      </c>
      <c r="AC989" t="s">
        <v>11839</v>
      </c>
      <c r="AD989" t="s">
        <v>32</v>
      </c>
      <c r="AE989" t="s">
        <v>11840</v>
      </c>
      <c r="AF989" t="s">
        <v>46835</v>
      </c>
    </row>
    <row r="990" spans="1:32" x14ac:dyDescent="0.2">
      <c r="A990">
        <v>985</v>
      </c>
      <c r="B990" t="s">
        <v>11841</v>
      </c>
      <c r="C990" t="s">
        <v>11842</v>
      </c>
      <c r="D990" t="s">
        <v>11843</v>
      </c>
      <c r="E990" t="s">
        <v>11844</v>
      </c>
      <c r="F990" t="s">
        <v>11845</v>
      </c>
      <c r="G990" t="s">
        <v>11846</v>
      </c>
      <c r="H990" t="str">
        <f>"Bag6"</f>
        <v>Bag6</v>
      </c>
      <c r="I990" t="s">
        <v>32</v>
      </c>
      <c r="J990" t="s">
        <v>37</v>
      </c>
      <c r="K990">
        <v>10090</v>
      </c>
      <c r="L990" s="3" t="str">
        <f>HYPERLINK("http://www.uniprot.org/uniprot/Q9Z1R2", "Q9Z1R2")</f>
        <v>Q9Z1R2</v>
      </c>
      <c r="M990" t="s">
        <v>11847</v>
      </c>
      <c r="N990" t="str">
        <f>"Bag6"</f>
        <v>Bag6</v>
      </c>
      <c r="O990" s="3" t="str">
        <f>HYPERLINK("http://www.informatics.jax.org/marker/MGI:1919439", "MGI:1919439")</f>
        <v>MGI:1919439</v>
      </c>
      <c r="P990" t="s">
        <v>11848</v>
      </c>
      <c r="Q990" t="s">
        <v>11849</v>
      </c>
      <c r="R990" t="s">
        <v>542</v>
      </c>
      <c r="S990" t="s">
        <v>32</v>
      </c>
      <c r="T990" t="s">
        <v>32</v>
      </c>
      <c r="U990" t="s">
        <v>32</v>
      </c>
      <c r="V990" t="s">
        <v>55</v>
      </c>
      <c r="W990" t="s">
        <v>32</v>
      </c>
      <c r="X990" t="s">
        <v>11850</v>
      </c>
      <c r="Y990" t="s">
        <v>157</v>
      </c>
      <c r="Z990" t="s">
        <v>32</v>
      </c>
      <c r="AA990" t="s">
        <v>11851</v>
      </c>
      <c r="AB990" t="s">
        <v>11852</v>
      </c>
      <c r="AC990" t="s">
        <v>11853</v>
      </c>
      <c r="AD990" t="s">
        <v>32</v>
      </c>
      <c r="AE990" t="s">
        <v>32</v>
      </c>
      <c r="AF990" t="s">
        <v>46835</v>
      </c>
    </row>
    <row r="991" spans="1:32" x14ac:dyDescent="0.2">
      <c r="A991">
        <v>986</v>
      </c>
      <c r="B991" t="s">
        <v>11854</v>
      </c>
      <c r="C991" t="s">
        <v>11855</v>
      </c>
      <c r="D991" t="s">
        <v>32</v>
      </c>
      <c r="E991" t="s">
        <v>11856</v>
      </c>
      <c r="F991" t="s">
        <v>11857</v>
      </c>
      <c r="G991" t="s">
        <v>11858</v>
      </c>
      <c r="H991" t="str">
        <f>"Sar1b"</f>
        <v>Sar1b</v>
      </c>
      <c r="I991" t="s">
        <v>32</v>
      </c>
      <c r="J991" t="s">
        <v>37</v>
      </c>
      <c r="K991">
        <v>10090</v>
      </c>
      <c r="L991" s="3" t="str">
        <f>HYPERLINK("http://www.uniprot.org/uniprot/Q9CQC9", "Q9CQC9")</f>
        <v>Q9CQC9</v>
      </c>
      <c r="M991" t="s">
        <v>11859</v>
      </c>
      <c r="N991" t="str">
        <f>"Sar1b"</f>
        <v>Sar1b</v>
      </c>
      <c r="O991" s="3" t="str">
        <f>HYPERLINK("http://www.informatics.jax.org/marker/MGI:1913647", "MGI:1913647")</f>
        <v>MGI:1913647</v>
      </c>
      <c r="P991" t="s">
        <v>11860</v>
      </c>
      <c r="Q991" t="s">
        <v>2916</v>
      </c>
      <c r="R991" t="s">
        <v>11259</v>
      </c>
      <c r="S991" t="s">
        <v>32</v>
      </c>
      <c r="T991" t="s">
        <v>32</v>
      </c>
      <c r="U991" t="s">
        <v>32</v>
      </c>
      <c r="V991" t="s">
        <v>32</v>
      </c>
      <c r="W991" t="s">
        <v>342</v>
      </c>
      <c r="X991" t="s">
        <v>32</v>
      </c>
      <c r="Y991" t="s">
        <v>618</v>
      </c>
      <c r="Z991" t="s">
        <v>32</v>
      </c>
      <c r="AA991" t="s">
        <v>11861</v>
      </c>
      <c r="AB991" t="s">
        <v>11862</v>
      </c>
      <c r="AC991" t="s">
        <v>11863</v>
      </c>
      <c r="AD991" t="s">
        <v>32</v>
      </c>
      <c r="AE991" t="s">
        <v>11864</v>
      </c>
      <c r="AF991" t="s">
        <v>46835</v>
      </c>
    </row>
    <row r="992" spans="1:32" x14ac:dyDescent="0.2">
      <c r="A992">
        <v>987</v>
      </c>
      <c r="B992" t="s">
        <v>11865</v>
      </c>
      <c r="C992" t="s">
        <v>11866</v>
      </c>
      <c r="D992" t="s">
        <v>11867</v>
      </c>
      <c r="E992" t="s">
        <v>11868</v>
      </c>
      <c r="F992" t="s">
        <v>11869</v>
      </c>
      <c r="G992" t="s">
        <v>11870</v>
      </c>
      <c r="H992" t="str">
        <f>"Ccar1"</f>
        <v>Ccar1</v>
      </c>
      <c r="I992" t="s">
        <v>11871</v>
      </c>
      <c r="J992" t="s">
        <v>37</v>
      </c>
      <c r="K992">
        <v>10090</v>
      </c>
      <c r="L992" s="3" t="str">
        <f>HYPERLINK("http://www.uniprot.org/uniprot/Q8CH18", "Q8CH18")</f>
        <v>Q8CH18</v>
      </c>
      <c r="M992" t="s">
        <v>11872</v>
      </c>
      <c r="N992" t="str">
        <f>"Ccar1"</f>
        <v>Ccar1</v>
      </c>
      <c r="O992" s="3" t="str">
        <f>HYPERLINK("http://www.informatics.jax.org/marker/MGI:1914750", "MGI:1914750")</f>
        <v>MGI:1914750</v>
      </c>
      <c r="P992" t="s">
        <v>11873</v>
      </c>
      <c r="Q992" t="s">
        <v>11874</v>
      </c>
      <c r="R992" t="s">
        <v>418</v>
      </c>
      <c r="S992" t="s">
        <v>41</v>
      </c>
      <c r="T992" t="s">
        <v>32</v>
      </c>
      <c r="U992" t="s">
        <v>32</v>
      </c>
      <c r="V992" t="s">
        <v>290</v>
      </c>
      <c r="W992" t="s">
        <v>32</v>
      </c>
      <c r="X992" t="s">
        <v>6736</v>
      </c>
      <c r="Y992" t="s">
        <v>1007</v>
      </c>
      <c r="Z992" t="s">
        <v>32</v>
      </c>
      <c r="AA992" t="s">
        <v>11875</v>
      </c>
      <c r="AB992" t="s">
        <v>11876</v>
      </c>
      <c r="AC992" t="s">
        <v>11877</v>
      </c>
      <c r="AD992" t="s">
        <v>32</v>
      </c>
      <c r="AE992" t="s">
        <v>32</v>
      </c>
      <c r="AF992" t="s">
        <v>46835</v>
      </c>
    </row>
    <row r="993" spans="1:32" x14ac:dyDescent="0.2">
      <c r="A993">
        <v>988</v>
      </c>
      <c r="B993" t="s">
        <v>11878</v>
      </c>
      <c r="C993" t="s">
        <v>11879</v>
      </c>
      <c r="D993" t="s">
        <v>32</v>
      </c>
      <c r="E993" t="s">
        <v>11880</v>
      </c>
      <c r="F993" t="s">
        <v>11881</v>
      </c>
      <c r="G993" t="s">
        <v>11882</v>
      </c>
      <c r="H993" t="str">
        <f>"Rad23a"</f>
        <v>Rad23a</v>
      </c>
      <c r="I993" t="s">
        <v>11883</v>
      </c>
      <c r="J993" t="s">
        <v>37</v>
      </c>
      <c r="K993">
        <v>10090</v>
      </c>
      <c r="L993" s="3" t="str">
        <f>HYPERLINK("http://www.uniprot.org/uniprot/P54726", "P54726")</f>
        <v>P54726</v>
      </c>
      <c r="M993" t="s">
        <v>11884</v>
      </c>
      <c r="N993" t="str">
        <f>"Rad23a"</f>
        <v>Rad23a</v>
      </c>
      <c r="O993" s="3" t="str">
        <f>HYPERLINK("http://www.informatics.jax.org/marker/MGI:105126", "MGI:105126")</f>
        <v>MGI:105126</v>
      </c>
      <c r="P993" t="s">
        <v>11885</v>
      </c>
      <c r="Q993" t="s">
        <v>11886</v>
      </c>
      <c r="R993" t="s">
        <v>11887</v>
      </c>
      <c r="S993" t="s">
        <v>32</v>
      </c>
      <c r="T993" t="s">
        <v>32</v>
      </c>
      <c r="U993" t="s">
        <v>32</v>
      </c>
      <c r="V993" t="s">
        <v>55</v>
      </c>
      <c r="W993" t="s">
        <v>32</v>
      </c>
      <c r="X993" t="s">
        <v>32</v>
      </c>
      <c r="Y993" t="s">
        <v>1007</v>
      </c>
      <c r="Z993" t="s">
        <v>32</v>
      </c>
      <c r="AA993" t="s">
        <v>11888</v>
      </c>
      <c r="AB993" t="s">
        <v>11889</v>
      </c>
      <c r="AC993" t="s">
        <v>11890</v>
      </c>
      <c r="AD993" t="s">
        <v>32</v>
      </c>
      <c r="AE993" t="s">
        <v>11891</v>
      </c>
      <c r="AF993" t="s">
        <v>46835</v>
      </c>
    </row>
    <row r="994" spans="1:32" x14ac:dyDescent="0.2">
      <c r="A994">
        <v>989</v>
      </c>
      <c r="B994" t="s">
        <v>11892</v>
      </c>
      <c r="C994" t="s">
        <v>11893</v>
      </c>
      <c r="D994" t="s">
        <v>11894</v>
      </c>
      <c r="E994" t="s">
        <v>11895</v>
      </c>
      <c r="F994" t="s">
        <v>11896</v>
      </c>
      <c r="G994" t="s">
        <v>11897</v>
      </c>
      <c r="H994" t="str">
        <f>"Stk39"</f>
        <v>Stk39</v>
      </c>
      <c r="I994" t="s">
        <v>11898</v>
      </c>
      <c r="J994" t="s">
        <v>37</v>
      </c>
      <c r="K994">
        <v>10090</v>
      </c>
      <c r="L994" s="3" t="str">
        <f>HYPERLINK("http://www.uniprot.org/uniprot/Q9Z1W9", "Q9Z1W9")</f>
        <v>Q9Z1W9</v>
      </c>
      <c r="M994" t="s">
        <v>11899</v>
      </c>
      <c r="N994" t="str">
        <f>"Stk39"</f>
        <v>Stk39</v>
      </c>
      <c r="O994" s="3" t="str">
        <f>HYPERLINK("http://www.informatics.jax.org/marker/MGI:1858416", "MGI:1858416")</f>
        <v>MGI:1858416</v>
      </c>
      <c r="P994" t="s">
        <v>11900</v>
      </c>
      <c r="Q994" t="s">
        <v>32</v>
      </c>
      <c r="R994" t="s">
        <v>40</v>
      </c>
      <c r="S994" t="s">
        <v>32</v>
      </c>
      <c r="T994" t="s">
        <v>32</v>
      </c>
      <c r="U994" t="s">
        <v>32</v>
      </c>
      <c r="V994" t="s">
        <v>32</v>
      </c>
      <c r="W994" t="s">
        <v>205</v>
      </c>
      <c r="X994" t="s">
        <v>5419</v>
      </c>
      <c r="Y994" t="s">
        <v>157</v>
      </c>
      <c r="Z994" t="s">
        <v>126</v>
      </c>
      <c r="AA994" t="s">
        <v>11901</v>
      </c>
      <c r="AB994" t="s">
        <v>11902</v>
      </c>
      <c r="AC994" t="s">
        <v>11903</v>
      </c>
      <c r="AD994" t="s">
        <v>32</v>
      </c>
      <c r="AE994" t="s">
        <v>32</v>
      </c>
      <c r="AF994" t="s">
        <v>46835</v>
      </c>
    </row>
    <row r="995" spans="1:32" x14ac:dyDescent="0.2">
      <c r="A995">
        <v>990</v>
      </c>
      <c r="B995" t="s">
        <v>11904</v>
      </c>
      <c r="C995" t="s">
        <v>11905</v>
      </c>
      <c r="D995" t="s">
        <v>11906</v>
      </c>
      <c r="E995" t="s">
        <v>11907</v>
      </c>
      <c r="F995" t="s">
        <v>11908</v>
      </c>
      <c r="G995" t="s">
        <v>11909</v>
      </c>
      <c r="H995" t="str">
        <f>"Pin1"</f>
        <v>Pin1</v>
      </c>
      <c r="I995" t="s">
        <v>32</v>
      </c>
      <c r="J995" t="s">
        <v>37</v>
      </c>
      <c r="K995">
        <v>10090</v>
      </c>
      <c r="L995" s="3" t="str">
        <f>HYPERLINK("http://www.uniprot.org/uniprot/Q9QUR7", "Q9QUR7")</f>
        <v>Q9QUR7</v>
      </c>
      <c r="M995" t="s">
        <v>11910</v>
      </c>
      <c r="N995" t="str">
        <f>"Pin1"</f>
        <v>Pin1</v>
      </c>
      <c r="O995" s="3" t="str">
        <f>HYPERLINK("http://www.informatics.jax.org/marker/MGI:1346036", "MGI:1346036")</f>
        <v>MGI:1346036</v>
      </c>
      <c r="P995" t="s">
        <v>11911</v>
      </c>
      <c r="Q995" t="s">
        <v>9824</v>
      </c>
      <c r="R995" t="s">
        <v>40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543</v>
      </c>
      <c r="Y995" t="s">
        <v>157</v>
      </c>
      <c r="Z995" t="s">
        <v>32</v>
      </c>
      <c r="AA995" t="s">
        <v>11912</v>
      </c>
      <c r="AB995" t="s">
        <v>11913</v>
      </c>
      <c r="AC995" t="s">
        <v>11914</v>
      </c>
      <c r="AD995" t="s">
        <v>32</v>
      </c>
      <c r="AE995" t="s">
        <v>11915</v>
      </c>
      <c r="AF995" t="s">
        <v>46835</v>
      </c>
    </row>
    <row r="996" spans="1:32" x14ac:dyDescent="0.2">
      <c r="A996">
        <v>991</v>
      </c>
      <c r="B996" t="s">
        <v>11916</v>
      </c>
      <c r="C996" t="s">
        <v>11917</v>
      </c>
      <c r="D996" t="s">
        <v>11918</v>
      </c>
      <c r="E996" t="s">
        <v>11919</v>
      </c>
      <c r="F996" t="s">
        <v>11920</v>
      </c>
      <c r="G996" t="s">
        <v>11921</v>
      </c>
      <c r="H996" t="str">
        <f>"Arpc3"</f>
        <v>Arpc3</v>
      </c>
      <c r="I996" t="s">
        <v>32</v>
      </c>
      <c r="J996" t="s">
        <v>37</v>
      </c>
      <c r="K996">
        <v>10090</v>
      </c>
      <c r="L996" s="3" t="str">
        <f>HYPERLINK("http://www.uniprot.org/uniprot/Q9JM76", "Q9JM76")</f>
        <v>Q9JM76</v>
      </c>
      <c r="M996" t="s">
        <v>11922</v>
      </c>
      <c r="N996" t="str">
        <f>"Arpc3"</f>
        <v>Arpc3</v>
      </c>
      <c r="O996" s="3" t="str">
        <f>HYPERLINK("http://www.informatics.jax.org/marker/MGI:1928375", "MGI:1928375")</f>
        <v>MGI:1928375</v>
      </c>
      <c r="P996" t="s">
        <v>11923</v>
      </c>
      <c r="Q996" t="s">
        <v>32</v>
      </c>
      <c r="R996" t="s">
        <v>7920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405</v>
      </c>
      <c r="Y996" t="s">
        <v>516</v>
      </c>
      <c r="Z996" t="s">
        <v>126</v>
      </c>
      <c r="AA996" t="s">
        <v>9277</v>
      </c>
      <c r="AB996" t="s">
        <v>11924</v>
      </c>
      <c r="AC996" t="s">
        <v>11925</v>
      </c>
      <c r="AD996" t="s">
        <v>32</v>
      </c>
      <c r="AE996" t="s">
        <v>5831</v>
      </c>
      <c r="AF996" t="s">
        <v>46835</v>
      </c>
    </row>
    <row r="997" spans="1:32" x14ac:dyDescent="0.2">
      <c r="A997">
        <v>992</v>
      </c>
      <c r="B997" t="s">
        <v>11926</v>
      </c>
      <c r="C997" t="s">
        <v>11927</v>
      </c>
      <c r="D997" t="s">
        <v>11928</v>
      </c>
      <c r="E997" t="s">
        <v>11929</v>
      </c>
      <c r="F997" t="s">
        <v>11930</v>
      </c>
      <c r="G997" t="s">
        <v>11931</v>
      </c>
      <c r="H997" t="str">
        <f>"Son"</f>
        <v>Son</v>
      </c>
      <c r="I997" t="s">
        <v>11932</v>
      </c>
      <c r="J997" t="s">
        <v>37</v>
      </c>
      <c r="K997">
        <v>10090</v>
      </c>
      <c r="L997" s="3" t="str">
        <f>HYPERLINK("http://www.uniprot.org/uniprot/Q9QX47", "Q9QX47")</f>
        <v>Q9QX47</v>
      </c>
      <c r="M997" t="s">
        <v>11933</v>
      </c>
      <c r="N997" t="str">
        <f>"Son"</f>
        <v>Son</v>
      </c>
      <c r="O997" s="3" t="str">
        <f>HYPERLINK("http://www.informatics.jax.org/marker/MGI:98353", "MGI:98353")</f>
        <v>MGI:98353</v>
      </c>
      <c r="P997" t="s">
        <v>11934</v>
      </c>
      <c r="Q997" t="s">
        <v>11935</v>
      </c>
      <c r="R997" t="s">
        <v>2279</v>
      </c>
      <c r="S997" t="s">
        <v>41</v>
      </c>
      <c r="T997" t="s">
        <v>32</v>
      </c>
      <c r="U997" t="s">
        <v>32</v>
      </c>
      <c r="V997" t="s">
        <v>55</v>
      </c>
      <c r="W997" t="s">
        <v>32</v>
      </c>
      <c r="X997" t="s">
        <v>956</v>
      </c>
      <c r="Y997" t="s">
        <v>207</v>
      </c>
      <c r="Z997" t="s">
        <v>32</v>
      </c>
      <c r="AA997" t="s">
        <v>11936</v>
      </c>
      <c r="AB997" t="s">
        <v>6901</v>
      </c>
      <c r="AC997" t="s">
        <v>11937</v>
      </c>
      <c r="AD997" t="s">
        <v>32</v>
      </c>
      <c r="AE997" t="s">
        <v>32</v>
      </c>
      <c r="AF997" t="s">
        <v>46835</v>
      </c>
    </row>
    <row r="998" spans="1:32" x14ac:dyDescent="0.2">
      <c r="A998">
        <v>993</v>
      </c>
      <c r="B998" t="s">
        <v>11938</v>
      </c>
      <c r="C998" t="s">
        <v>11939</v>
      </c>
      <c r="D998" t="s">
        <v>11940</v>
      </c>
      <c r="E998" t="s">
        <v>11941</v>
      </c>
      <c r="F998" t="s">
        <v>11942</v>
      </c>
      <c r="G998" t="s">
        <v>32</v>
      </c>
      <c r="H998" t="str">
        <f>"Chmp2a"</f>
        <v>Chmp2a</v>
      </c>
      <c r="I998" t="s">
        <v>32</v>
      </c>
      <c r="J998" t="s">
        <v>37</v>
      </c>
      <c r="K998">
        <v>10090</v>
      </c>
      <c r="L998" s="3" t="str">
        <f>HYPERLINK("http://www.uniprot.org/uniprot/Q9DB34", "Q9DB34")</f>
        <v>Q9DB34</v>
      </c>
      <c r="M998" t="s">
        <v>11943</v>
      </c>
      <c r="N998" t="str">
        <f>"Chmp2a"</f>
        <v>Chmp2a</v>
      </c>
      <c r="O998" s="3" t="str">
        <f>HYPERLINK("http://www.informatics.jax.org/marker/MGI:1916203", "MGI:1916203")</f>
        <v>MGI:1916203</v>
      </c>
      <c r="P998" t="s">
        <v>7801</v>
      </c>
      <c r="Q998" t="s">
        <v>434</v>
      </c>
      <c r="R998" t="s">
        <v>7802</v>
      </c>
      <c r="S998" t="s">
        <v>32</v>
      </c>
      <c r="T998" t="s">
        <v>32</v>
      </c>
      <c r="U998" t="s">
        <v>32</v>
      </c>
      <c r="V998" t="s">
        <v>290</v>
      </c>
      <c r="W998" t="s">
        <v>32</v>
      </c>
      <c r="X998" t="s">
        <v>32</v>
      </c>
      <c r="Y998" t="s">
        <v>1023</v>
      </c>
      <c r="Z998" t="s">
        <v>32</v>
      </c>
      <c r="AA998" t="s">
        <v>11944</v>
      </c>
      <c r="AB998" t="s">
        <v>11945</v>
      </c>
      <c r="AC998" t="s">
        <v>11946</v>
      </c>
      <c r="AD998" t="s">
        <v>32</v>
      </c>
      <c r="AE998" t="s">
        <v>11947</v>
      </c>
      <c r="AF998" t="s">
        <v>46835</v>
      </c>
    </row>
    <row r="999" spans="1:32" x14ac:dyDescent="0.2">
      <c r="A999">
        <v>994</v>
      </c>
      <c r="B999" t="s">
        <v>11948</v>
      </c>
      <c r="C999" t="s">
        <v>11949</v>
      </c>
      <c r="D999" t="s">
        <v>11950</v>
      </c>
      <c r="E999" t="s">
        <v>11951</v>
      </c>
      <c r="F999" t="s">
        <v>11952</v>
      </c>
      <c r="G999" t="s">
        <v>11953</v>
      </c>
      <c r="H999" t="str">
        <f>"Got1"</f>
        <v>Got1</v>
      </c>
      <c r="I999" t="s">
        <v>32</v>
      </c>
      <c r="J999" t="s">
        <v>37</v>
      </c>
      <c r="K999">
        <v>10090</v>
      </c>
      <c r="L999" s="3" t="str">
        <f>HYPERLINK("http://www.uniprot.org/uniprot/P05201", "P05201")</f>
        <v>P05201</v>
      </c>
      <c r="M999" t="s">
        <v>11954</v>
      </c>
      <c r="N999" t="str">
        <f>"Got1"</f>
        <v>Got1</v>
      </c>
      <c r="O999" s="3" t="str">
        <f>HYPERLINK("http://www.informatics.jax.org/marker/MGI:95791", "MGI:95791")</f>
        <v>MGI:95791</v>
      </c>
      <c r="P999" t="s">
        <v>11955</v>
      </c>
      <c r="Q999" t="s">
        <v>11956</v>
      </c>
      <c r="R999" t="s">
        <v>418</v>
      </c>
      <c r="S999" t="s">
        <v>32</v>
      </c>
      <c r="T999" t="s">
        <v>32</v>
      </c>
      <c r="U999" t="s">
        <v>32</v>
      </c>
      <c r="V999" t="s">
        <v>32</v>
      </c>
      <c r="W999" t="s">
        <v>3373</v>
      </c>
      <c r="X999" t="s">
        <v>3374</v>
      </c>
      <c r="Y999" t="s">
        <v>618</v>
      </c>
      <c r="Z999" t="s">
        <v>32</v>
      </c>
      <c r="AA999" t="s">
        <v>11957</v>
      </c>
      <c r="AB999" t="s">
        <v>11958</v>
      </c>
      <c r="AC999" t="s">
        <v>11959</v>
      </c>
      <c r="AD999" t="s">
        <v>32</v>
      </c>
      <c r="AE999" t="s">
        <v>11960</v>
      </c>
      <c r="AF999" t="s">
        <v>46835</v>
      </c>
    </row>
    <row r="1000" spans="1:32" x14ac:dyDescent="0.2">
      <c r="A1000">
        <v>995</v>
      </c>
      <c r="B1000" t="s">
        <v>11961</v>
      </c>
      <c r="C1000" t="s">
        <v>11962</v>
      </c>
      <c r="D1000" t="s">
        <v>32</v>
      </c>
      <c r="E1000" t="s">
        <v>11963</v>
      </c>
      <c r="F1000" t="s">
        <v>11964</v>
      </c>
      <c r="G1000" t="s">
        <v>11965</v>
      </c>
      <c r="H1000" t="str">
        <f>"Gng5"</f>
        <v>Gng5</v>
      </c>
      <c r="I1000" t="s">
        <v>11966</v>
      </c>
      <c r="J1000" t="s">
        <v>37</v>
      </c>
      <c r="K1000">
        <v>10090</v>
      </c>
      <c r="L1000" s="3" t="str">
        <f>HYPERLINK("http://www.uniprot.org/uniprot/Q80SZ7", "Q80SZ7")</f>
        <v>Q80SZ7</v>
      </c>
      <c r="M1000" t="s">
        <v>11967</v>
      </c>
      <c r="N1000" t="str">
        <f>"Gng5"</f>
        <v>Gng5</v>
      </c>
      <c r="O1000" s="3" t="str">
        <f>HYPERLINK("http://www.informatics.jax.org/marker/MGI:109164", "MGI:109164")</f>
        <v>MGI:109164</v>
      </c>
      <c r="P1000" t="s">
        <v>11968</v>
      </c>
      <c r="Q1000" t="s">
        <v>32</v>
      </c>
      <c r="R1000" t="s">
        <v>2474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10391</v>
      </c>
      <c r="Y1000" t="s">
        <v>7985</v>
      </c>
      <c r="Z1000" t="s">
        <v>32</v>
      </c>
      <c r="AA1000" t="s">
        <v>11969</v>
      </c>
      <c r="AB1000" t="s">
        <v>11970</v>
      </c>
      <c r="AC1000" t="s">
        <v>11971</v>
      </c>
      <c r="AD1000" t="s">
        <v>32</v>
      </c>
      <c r="AE1000" t="s">
        <v>11972</v>
      </c>
      <c r="AF1000" t="s">
        <v>46835</v>
      </c>
    </row>
    <row r="1001" spans="1:32" x14ac:dyDescent="0.2">
      <c r="A1001">
        <v>996</v>
      </c>
      <c r="B1001" t="s">
        <v>11973</v>
      </c>
      <c r="C1001" t="s">
        <v>11974</v>
      </c>
      <c r="D1001" t="s">
        <v>11975</v>
      </c>
      <c r="E1001" t="s">
        <v>11976</v>
      </c>
      <c r="F1001" t="s">
        <v>11977</v>
      </c>
      <c r="G1001" t="s">
        <v>11978</v>
      </c>
      <c r="H1001" t="str">
        <f>"Eif3m"</f>
        <v>Eif3m</v>
      </c>
      <c r="I1001" t="s">
        <v>11979</v>
      </c>
      <c r="J1001" t="s">
        <v>37</v>
      </c>
      <c r="K1001">
        <v>10090</v>
      </c>
      <c r="L1001" s="3" t="str">
        <f>HYPERLINK("http://www.uniprot.org/uniprot/Q99JX4", "Q99JX4")</f>
        <v>Q99JX4</v>
      </c>
      <c r="M1001" t="s">
        <v>11980</v>
      </c>
      <c r="N1001" t="str">
        <f>"Eif3m"</f>
        <v>Eif3m</v>
      </c>
      <c r="O1001" s="3" t="str">
        <f>HYPERLINK("http://www.informatics.jax.org/marker/MGI:1351744", "MGI:1351744")</f>
        <v>MGI:1351744</v>
      </c>
      <c r="P1001" t="s">
        <v>2674</v>
      </c>
      <c r="Q1001" t="s">
        <v>260</v>
      </c>
      <c r="R1001" t="s">
        <v>418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2675</v>
      </c>
      <c r="Y1001" t="s">
        <v>157</v>
      </c>
      <c r="Z1001" t="s">
        <v>32</v>
      </c>
      <c r="AA1001" t="s">
        <v>11981</v>
      </c>
      <c r="AB1001" t="s">
        <v>2677</v>
      </c>
      <c r="AC1001" t="s">
        <v>11982</v>
      </c>
      <c r="AD1001" t="s">
        <v>32</v>
      </c>
      <c r="AE1001" t="s">
        <v>1570</v>
      </c>
      <c r="AF1001" t="s">
        <v>46835</v>
      </c>
    </row>
    <row r="1002" spans="1:32" x14ac:dyDescent="0.2">
      <c r="A1002">
        <v>997</v>
      </c>
      <c r="B1002" t="s">
        <v>11983</v>
      </c>
      <c r="C1002" t="s">
        <v>11984</v>
      </c>
      <c r="D1002" t="s">
        <v>11985</v>
      </c>
      <c r="E1002" t="s">
        <v>11986</v>
      </c>
      <c r="F1002" t="s">
        <v>11987</v>
      </c>
      <c r="G1002" t="s">
        <v>11988</v>
      </c>
      <c r="H1002" t="str">
        <f>"Mat2a"</f>
        <v>Mat2a</v>
      </c>
      <c r="I1002" t="s">
        <v>32</v>
      </c>
      <c r="J1002" t="s">
        <v>37</v>
      </c>
      <c r="K1002">
        <v>10090</v>
      </c>
      <c r="L1002" s="3" t="str">
        <f>HYPERLINK("http://www.uniprot.org/uniprot/Q3THS6", "Q3THS6")</f>
        <v>Q3THS6</v>
      </c>
      <c r="M1002" t="s">
        <v>11989</v>
      </c>
      <c r="N1002" t="str">
        <f>"Mat2a"</f>
        <v>Mat2a</v>
      </c>
      <c r="O1002" s="3" t="str">
        <f>HYPERLINK("http://www.informatics.jax.org/marker/MGI:2443731", "MGI:2443731")</f>
        <v>MGI:2443731</v>
      </c>
      <c r="P1002" t="s">
        <v>11990</v>
      </c>
      <c r="Q1002" t="s">
        <v>2308</v>
      </c>
      <c r="R1002" t="s">
        <v>32</v>
      </c>
      <c r="S1002" t="s">
        <v>32</v>
      </c>
      <c r="T1002" t="s">
        <v>32</v>
      </c>
      <c r="U1002" t="s">
        <v>32</v>
      </c>
      <c r="V1002" t="s">
        <v>32</v>
      </c>
      <c r="W1002" t="s">
        <v>11991</v>
      </c>
      <c r="X1002" t="s">
        <v>515</v>
      </c>
      <c r="Y1002" t="s">
        <v>516</v>
      </c>
      <c r="Z1002" t="s">
        <v>32</v>
      </c>
      <c r="AA1002" t="s">
        <v>11992</v>
      </c>
      <c r="AB1002" t="s">
        <v>11993</v>
      </c>
      <c r="AC1002" t="s">
        <v>11994</v>
      </c>
      <c r="AD1002" t="s">
        <v>11995</v>
      </c>
      <c r="AE1002" t="s">
        <v>8625</v>
      </c>
      <c r="AF1002" t="s">
        <v>46835</v>
      </c>
    </row>
    <row r="1003" spans="1:32" x14ac:dyDescent="0.2">
      <c r="A1003">
        <v>998</v>
      </c>
      <c r="B1003" t="s">
        <v>11996</v>
      </c>
      <c r="C1003" t="s">
        <v>11997</v>
      </c>
      <c r="D1003" t="s">
        <v>32</v>
      </c>
      <c r="E1003" t="s">
        <v>11998</v>
      </c>
      <c r="F1003" t="s">
        <v>11999</v>
      </c>
      <c r="G1003" t="s">
        <v>12000</v>
      </c>
      <c r="H1003" t="str">
        <f>"Rps27"</f>
        <v>Rps27</v>
      </c>
      <c r="I1003" t="s">
        <v>32</v>
      </c>
      <c r="J1003" t="s">
        <v>37</v>
      </c>
      <c r="K1003">
        <v>10090</v>
      </c>
      <c r="L1003" s="3" t="str">
        <f>HYPERLINK("http://www.uniprot.org/uniprot/Q6ZWU9", "Q6ZWU9")</f>
        <v>Q6ZWU9</v>
      </c>
      <c r="M1003" t="s">
        <v>12001</v>
      </c>
      <c r="N1003" t="str">
        <f>"Rps27"</f>
        <v>Rps27</v>
      </c>
      <c r="O1003" s="3" t="str">
        <f>HYPERLINK("http://www.informatics.jax.org/marker/MGI:1888676", "MGI:1888676")</f>
        <v>MGI:1888676</v>
      </c>
      <c r="P1003" t="s">
        <v>12002</v>
      </c>
      <c r="Q1003" t="s">
        <v>32</v>
      </c>
      <c r="R1003" t="s">
        <v>32</v>
      </c>
      <c r="S1003" t="s">
        <v>32</v>
      </c>
      <c r="T1003" t="s">
        <v>32</v>
      </c>
      <c r="U1003" t="s">
        <v>32</v>
      </c>
      <c r="V1003" t="s">
        <v>446</v>
      </c>
      <c r="W1003" t="s">
        <v>42</v>
      </c>
      <c r="X1003" t="s">
        <v>447</v>
      </c>
      <c r="Y1003" t="s">
        <v>618</v>
      </c>
      <c r="Z1003" t="s">
        <v>126</v>
      </c>
      <c r="AA1003" t="s">
        <v>12003</v>
      </c>
      <c r="AB1003" t="s">
        <v>12004</v>
      </c>
      <c r="AC1003" t="s">
        <v>12005</v>
      </c>
      <c r="AD1003" t="s">
        <v>32</v>
      </c>
      <c r="AE1003" t="s">
        <v>12006</v>
      </c>
      <c r="AF1003" t="s">
        <v>46835</v>
      </c>
    </row>
    <row r="1004" spans="1:32" x14ac:dyDescent="0.2">
      <c r="A1004">
        <v>999</v>
      </c>
      <c r="B1004" t="s">
        <v>12007</v>
      </c>
      <c r="C1004" t="s">
        <v>12008</v>
      </c>
      <c r="D1004" t="s">
        <v>12009</v>
      </c>
      <c r="E1004" t="s">
        <v>12010</v>
      </c>
      <c r="F1004" t="s">
        <v>12011</v>
      </c>
      <c r="G1004" t="s">
        <v>12012</v>
      </c>
      <c r="H1004" t="str">
        <f>"Banf1"</f>
        <v>Banf1</v>
      </c>
      <c r="I1004" t="s">
        <v>32</v>
      </c>
      <c r="J1004" t="s">
        <v>37</v>
      </c>
      <c r="K1004">
        <v>10090</v>
      </c>
      <c r="L1004" s="3" t="str">
        <f>HYPERLINK("http://www.uniprot.org/uniprot/O54962", "O54962")</f>
        <v>O54962</v>
      </c>
      <c r="M1004" t="s">
        <v>12013</v>
      </c>
      <c r="N1004" t="str">
        <f>"Banf1"</f>
        <v>Banf1</v>
      </c>
      <c r="O1004" s="3" t="str">
        <f>HYPERLINK("http://www.informatics.jax.org/marker/MGI:1346330", "MGI:1346330")</f>
        <v>MGI:1346330</v>
      </c>
      <c r="P1004" t="s">
        <v>12014</v>
      </c>
      <c r="Q1004" t="s">
        <v>32</v>
      </c>
      <c r="R1004" t="s">
        <v>8375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247</v>
      </c>
      <c r="Y1004" t="s">
        <v>157</v>
      </c>
      <c r="Z1004" t="s">
        <v>32</v>
      </c>
      <c r="AA1004" t="s">
        <v>12015</v>
      </c>
      <c r="AB1004" t="s">
        <v>12016</v>
      </c>
      <c r="AC1004" t="s">
        <v>12017</v>
      </c>
      <c r="AD1004" t="s">
        <v>32</v>
      </c>
      <c r="AE1004" t="s">
        <v>12018</v>
      </c>
      <c r="AF1004" t="s">
        <v>46835</v>
      </c>
    </row>
    <row r="1005" spans="1:32" x14ac:dyDescent="0.2">
      <c r="A1005">
        <v>1000</v>
      </c>
      <c r="B1005" t="s">
        <v>12019</v>
      </c>
      <c r="C1005" t="s">
        <v>12020</v>
      </c>
      <c r="D1005" t="s">
        <v>12021</v>
      </c>
      <c r="E1005" t="s">
        <v>12022</v>
      </c>
      <c r="F1005" t="s">
        <v>12023</v>
      </c>
      <c r="G1005" t="s">
        <v>12024</v>
      </c>
      <c r="H1005" t="str">
        <f>"Zc3h15"</f>
        <v>Zc3h15</v>
      </c>
      <c r="I1005" t="s">
        <v>12025</v>
      </c>
      <c r="J1005" t="s">
        <v>37</v>
      </c>
      <c r="K1005">
        <v>10090</v>
      </c>
      <c r="L1005" s="3" t="str">
        <f>HYPERLINK("http://www.uniprot.org/uniprot/Q3TIV5", "Q3TIV5")</f>
        <v>Q3TIV5</v>
      </c>
      <c r="M1005" t="s">
        <v>12026</v>
      </c>
      <c r="N1005" t="str">
        <f>"Zc3h15"</f>
        <v>Zc3h15</v>
      </c>
      <c r="O1005" s="3" t="str">
        <f>HYPERLINK("http://www.informatics.jax.org/marker/MGI:1919747", "MGI:1919747")</f>
        <v>MGI:1919747</v>
      </c>
      <c r="P1005" t="s">
        <v>12027</v>
      </c>
      <c r="Q1005" t="s">
        <v>32</v>
      </c>
      <c r="R1005" t="s">
        <v>40</v>
      </c>
      <c r="S1005" t="s">
        <v>41</v>
      </c>
      <c r="T1005" t="s">
        <v>32</v>
      </c>
      <c r="U1005" t="s">
        <v>32</v>
      </c>
      <c r="V1005" t="s">
        <v>12028</v>
      </c>
      <c r="W1005" t="s">
        <v>42</v>
      </c>
      <c r="X1005" t="s">
        <v>32</v>
      </c>
      <c r="Y1005" t="s">
        <v>618</v>
      </c>
      <c r="Z1005" t="s">
        <v>32</v>
      </c>
      <c r="AA1005" t="s">
        <v>12029</v>
      </c>
      <c r="AB1005" t="s">
        <v>928</v>
      </c>
      <c r="AC1005" t="s">
        <v>4525</v>
      </c>
      <c r="AD1005" t="s">
        <v>32</v>
      </c>
      <c r="AE1005" t="s">
        <v>32</v>
      </c>
      <c r="AF1005" t="s">
        <v>46835</v>
      </c>
    </row>
    <row r="1006" spans="1:32" x14ac:dyDescent="0.2">
      <c r="A1006">
        <v>1001</v>
      </c>
      <c r="B1006" t="s">
        <v>12030</v>
      </c>
      <c r="C1006" t="s">
        <v>12031</v>
      </c>
      <c r="D1006" t="s">
        <v>12032</v>
      </c>
      <c r="E1006" t="s">
        <v>12033</v>
      </c>
      <c r="F1006" t="s">
        <v>12034</v>
      </c>
      <c r="G1006" t="s">
        <v>12035</v>
      </c>
      <c r="H1006" t="str">
        <f>"Tra2b"</f>
        <v>Tra2b</v>
      </c>
      <c r="I1006" t="s">
        <v>12036</v>
      </c>
      <c r="J1006" t="s">
        <v>37</v>
      </c>
      <c r="K1006">
        <v>10090</v>
      </c>
      <c r="L1006" s="3" t="str">
        <f>HYPERLINK("http://www.uniprot.org/uniprot/P62996", "P62996")</f>
        <v>P62996</v>
      </c>
      <c r="M1006" t="s">
        <v>12037</v>
      </c>
      <c r="N1006" t="str">
        <f>"Tra2b"</f>
        <v>Tra2b</v>
      </c>
      <c r="O1006" s="3" t="str">
        <f>HYPERLINK("http://www.informatics.jax.org/marker/MGI:106016", "MGI:106016")</f>
        <v>MGI:106016</v>
      </c>
      <c r="P1006" t="s">
        <v>12038</v>
      </c>
      <c r="Q1006" t="s">
        <v>2139</v>
      </c>
      <c r="R1006" t="s">
        <v>2279</v>
      </c>
      <c r="S1006" t="s">
        <v>41</v>
      </c>
      <c r="T1006" t="s">
        <v>32</v>
      </c>
      <c r="U1006" t="s">
        <v>32</v>
      </c>
      <c r="V1006" t="s">
        <v>32</v>
      </c>
      <c r="W1006" t="s">
        <v>32</v>
      </c>
      <c r="X1006" t="s">
        <v>7696</v>
      </c>
      <c r="Y1006" t="s">
        <v>207</v>
      </c>
      <c r="Z1006" t="s">
        <v>32</v>
      </c>
      <c r="AA1006" t="s">
        <v>12039</v>
      </c>
      <c r="AB1006" t="s">
        <v>12040</v>
      </c>
      <c r="AC1006" t="s">
        <v>12041</v>
      </c>
      <c r="AD1006" t="s">
        <v>32</v>
      </c>
      <c r="AE1006" t="s">
        <v>12042</v>
      </c>
      <c r="AF1006" t="s">
        <v>46835</v>
      </c>
    </row>
    <row r="1007" spans="1:32" x14ac:dyDescent="0.2">
      <c r="A1007">
        <v>1002</v>
      </c>
      <c r="B1007" t="s">
        <v>12043</v>
      </c>
      <c r="C1007" t="s">
        <v>12044</v>
      </c>
      <c r="D1007" t="s">
        <v>12045</v>
      </c>
      <c r="E1007" t="s">
        <v>12046</v>
      </c>
      <c r="F1007" t="s">
        <v>12047</v>
      </c>
      <c r="G1007" t="s">
        <v>12048</v>
      </c>
      <c r="H1007" t="str">
        <f>"H1-1"</f>
        <v>H1-1</v>
      </c>
      <c r="I1007" t="s">
        <v>32</v>
      </c>
      <c r="J1007" t="s">
        <v>37</v>
      </c>
      <c r="K1007">
        <v>10090</v>
      </c>
      <c r="L1007" s="3" t="str">
        <f>HYPERLINK("http://www.uniprot.org/uniprot/P43275", "P43275")</f>
        <v>P43275</v>
      </c>
      <c r="M1007" t="s">
        <v>12049</v>
      </c>
      <c r="N1007" t="str">
        <f>"H1f1"</f>
        <v>H1f1</v>
      </c>
      <c r="O1007" s="3" t="str">
        <f>HYPERLINK("http://www.informatics.jax.org/marker/MGI:1931523", "MGI:1931523")</f>
        <v>MGI:1931523</v>
      </c>
      <c r="P1007" t="s">
        <v>12050</v>
      </c>
      <c r="Q1007" t="s">
        <v>32</v>
      </c>
      <c r="R1007" t="s">
        <v>1939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247</v>
      </c>
      <c r="Y1007" t="s">
        <v>12051</v>
      </c>
      <c r="Z1007" t="s">
        <v>32</v>
      </c>
      <c r="AA1007" t="s">
        <v>12052</v>
      </c>
      <c r="AB1007" t="s">
        <v>12053</v>
      </c>
      <c r="AC1007" t="s">
        <v>12054</v>
      </c>
      <c r="AD1007" t="s">
        <v>32</v>
      </c>
      <c r="AE1007" t="s">
        <v>2563</v>
      </c>
      <c r="AF1007" t="s">
        <v>46835</v>
      </c>
    </row>
    <row r="1008" spans="1:32" x14ac:dyDescent="0.2">
      <c r="A1008">
        <v>1003</v>
      </c>
      <c r="B1008" t="s">
        <v>12055</v>
      </c>
      <c r="C1008" t="s">
        <v>12056</v>
      </c>
      <c r="D1008" t="s">
        <v>12057</v>
      </c>
      <c r="E1008" t="s">
        <v>12058</v>
      </c>
      <c r="F1008" t="s">
        <v>12059</v>
      </c>
      <c r="G1008" t="s">
        <v>12060</v>
      </c>
      <c r="H1008" t="str">
        <f>"Aldh18a1"</f>
        <v>Aldh18a1</v>
      </c>
      <c r="I1008" t="s">
        <v>12061</v>
      </c>
      <c r="J1008" t="s">
        <v>37</v>
      </c>
      <c r="K1008">
        <v>10090</v>
      </c>
      <c r="L1008" s="3" t="str">
        <f>HYPERLINK("http://www.uniprot.org/uniprot/Q9Z110", "Q9Z110")</f>
        <v>Q9Z110</v>
      </c>
      <c r="M1008" t="s">
        <v>12062</v>
      </c>
      <c r="N1008" t="str">
        <f>"Aldh18a1"</f>
        <v>Aldh18a1</v>
      </c>
      <c r="O1008" s="3" t="str">
        <f>HYPERLINK("http://www.informatics.jax.org/marker/MGI:1888908", "MGI:1888908")</f>
        <v>MGI:1888908</v>
      </c>
      <c r="P1008" t="s">
        <v>12063</v>
      </c>
      <c r="Q1008" t="s">
        <v>12064</v>
      </c>
      <c r="R1008" t="s">
        <v>3858</v>
      </c>
      <c r="S1008" t="s">
        <v>41</v>
      </c>
      <c r="T1008" t="s">
        <v>32</v>
      </c>
      <c r="U1008" t="s">
        <v>32</v>
      </c>
      <c r="V1008" t="s">
        <v>32</v>
      </c>
      <c r="W1008" t="s">
        <v>8128</v>
      </c>
      <c r="X1008" t="s">
        <v>12065</v>
      </c>
      <c r="Y1008" t="s">
        <v>32</v>
      </c>
      <c r="Z1008" t="s">
        <v>32</v>
      </c>
      <c r="AA1008" t="s">
        <v>12066</v>
      </c>
      <c r="AB1008" t="s">
        <v>12067</v>
      </c>
      <c r="AC1008" t="s">
        <v>12068</v>
      </c>
      <c r="AD1008" t="s">
        <v>12069</v>
      </c>
      <c r="AE1008" t="s">
        <v>8763</v>
      </c>
      <c r="AF1008" t="s">
        <v>46835</v>
      </c>
    </row>
    <row r="1009" spans="1:32" x14ac:dyDescent="0.2">
      <c r="A1009">
        <v>1004</v>
      </c>
      <c r="B1009" t="s">
        <v>12070</v>
      </c>
      <c r="C1009" t="s">
        <v>12071</v>
      </c>
      <c r="D1009" t="s">
        <v>12072</v>
      </c>
      <c r="E1009" t="s">
        <v>12073</v>
      </c>
      <c r="F1009" t="s">
        <v>12074</v>
      </c>
      <c r="G1009" t="s">
        <v>12075</v>
      </c>
      <c r="H1009" t="str">
        <f>"Mtco2"</f>
        <v>Mtco2</v>
      </c>
      <c r="I1009" t="s">
        <v>12076</v>
      </c>
      <c r="J1009" t="s">
        <v>37</v>
      </c>
      <c r="K1009">
        <v>10090</v>
      </c>
      <c r="L1009" s="3" t="str">
        <f>HYPERLINK("http://www.uniprot.org/uniprot/P00405", "P00405")</f>
        <v>P00405</v>
      </c>
      <c r="M1009" t="s">
        <v>12077</v>
      </c>
      <c r="N1009" t="str">
        <f>"mt-Co2"</f>
        <v>mt-Co2</v>
      </c>
      <c r="O1009" s="3" t="str">
        <f>HYPERLINK("http://www.informatics.jax.org/marker/MGI:102503", "MGI:102503")</f>
        <v>MGI:102503</v>
      </c>
      <c r="P1009" t="s">
        <v>12078</v>
      </c>
      <c r="Q1009" t="s">
        <v>6888</v>
      </c>
      <c r="R1009" t="s">
        <v>3858</v>
      </c>
      <c r="S1009" t="s">
        <v>32</v>
      </c>
      <c r="T1009" t="s">
        <v>32</v>
      </c>
      <c r="U1009" t="s">
        <v>32</v>
      </c>
      <c r="V1009" t="s">
        <v>493</v>
      </c>
      <c r="W1009" t="s">
        <v>12079</v>
      </c>
      <c r="X1009" t="s">
        <v>1506</v>
      </c>
      <c r="Y1009" t="s">
        <v>618</v>
      </c>
      <c r="Z1009" t="s">
        <v>126</v>
      </c>
      <c r="AA1009" t="s">
        <v>12080</v>
      </c>
      <c r="AB1009" t="s">
        <v>12081</v>
      </c>
      <c r="AC1009" t="s">
        <v>12082</v>
      </c>
      <c r="AD1009" t="s">
        <v>32</v>
      </c>
      <c r="AE1009" t="s">
        <v>3863</v>
      </c>
      <c r="AF1009" t="s">
        <v>46835</v>
      </c>
    </row>
    <row r="1010" spans="1:32" x14ac:dyDescent="0.2">
      <c r="A1010">
        <v>1005</v>
      </c>
      <c r="B1010" t="s">
        <v>12083</v>
      </c>
      <c r="C1010" t="s">
        <v>12084</v>
      </c>
      <c r="D1010" t="s">
        <v>12085</v>
      </c>
      <c r="E1010" t="s">
        <v>12086</v>
      </c>
      <c r="F1010" t="s">
        <v>12087</v>
      </c>
      <c r="G1010" t="s">
        <v>12088</v>
      </c>
      <c r="H1010" t="str">
        <f>"Sms"</f>
        <v>Sms</v>
      </c>
      <c r="I1010" t="s">
        <v>32</v>
      </c>
      <c r="J1010" t="s">
        <v>37</v>
      </c>
      <c r="K1010">
        <v>10090</v>
      </c>
      <c r="L1010" s="3" t="str">
        <f>HYPERLINK("http://www.uniprot.org/uniprot/P97355", "P97355")</f>
        <v>P97355</v>
      </c>
      <c r="M1010" t="s">
        <v>12089</v>
      </c>
      <c r="N1010" t="str">
        <f>"Sms"</f>
        <v>Sms</v>
      </c>
      <c r="O1010" s="3" t="str">
        <f>HYPERLINK("http://www.informatics.jax.org/marker/MGI:109490", "MGI:109490")</f>
        <v>MGI:109490</v>
      </c>
      <c r="P1010" t="s">
        <v>12090</v>
      </c>
      <c r="Q1010" t="s">
        <v>12091</v>
      </c>
      <c r="R1010" t="s">
        <v>32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515</v>
      </c>
      <c r="Y1010" t="s">
        <v>157</v>
      </c>
      <c r="Z1010" t="s">
        <v>32</v>
      </c>
      <c r="AA1010" t="s">
        <v>12092</v>
      </c>
      <c r="AB1010" t="s">
        <v>32</v>
      </c>
      <c r="AC1010" t="s">
        <v>12093</v>
      </c>
      <c r="AD1010" t="s">
        <v>12094</v>
      </c>
      <c r="AE1010" t="s">
        <v>12095</v>
      </c>
      <c r="AF1010" t="s">
        <v>46835</v>
      </c>
    </row>
    <row r="1011" spans="1:32" x14ac:dyDescent="0.2">
      <c r="A1011">
        <v>1006</v>
      </c>
      <c r="B1011" t="s">
        <v>12096</v>
      </c>
      <c r="C1011" t="s">
        <v>12097</v>
      </c>
      <c r="D1011" t="s">
        <v>12098</v>
      </c>
      <c r="E1011" t="s">
        <v>12099</v>
      </c>
      <c r="F1011" t="s">
        <v>12100</v>
      </c>
      <c r="G1011" t="s">
        <v>12101</v>
      </c>
      <c r="H1011" t="str">
        <f>"Ndufa13"</f>
        <v>Ndufa13</v>
      </c>
      <c r="I1011" t="s">
        <v>12102</v>
      </c>
      <c r="J1011" t="s">
        <v>37</v>
      </c>
      <c r="K1011">
        <v>10090</v>
      </c>
      <c r="L1011" s="3" t="str">
        <f>HYPERLINK("http://www.uniprot.org/uniprot/Q9ERS2", "Q9ERS2")</f>
        <v>Q9ERS2</v>
      </c>
      <c r="M1011" t="s">
        <v>12103</v>
      </c>
      <c r="N1011" t="str">
        <f>"Ndufa13"</f>
        <v>Ndufa13</v>
      </c>
      <c r="O1011" s="3" t="str">
        <f>HYPERLINK("http://www.informatics.jax.org/marker/MGI:1914434", "MGI:1914434")</f>
        <v>MGI:1914434</v>
      </c>
      <c r="P1011" t="s">
        <v>12104</v>
      </c>
      <c r="Q1011" t="s">
        <v>6052</v>
      </c>
      <c r="R1011" t="s">
        <v>12105</v>
      </c>
      <c r="S1011" t="s">
        <v>32</v>
      </c>
      <c r="T1011" t="s">
        <v>32</v>
      </c>
      <c r="U1011" t="s">
        <v>32</v>
      </c>
      <c r="V1011" t="s">
        <v>493</v>
      </c>
      <c r="W1011" t="s">
        <v>32</v>
      </c>
      <c r="X1011" t="s">
        <v>32</v>
      </c>
      <c r="Y1011" t="s">
        <v>78</v>
      </c>
      <c r="Z1011" t="s">
        <v>126</v>
      </c>
      <c r="AA1011" t="s">
        <v>12106</v>
      </c>
      <c r="AB1011" t="s">
        <v>12107</v>
      </c>
      <c r="AC1011" t="s">
        <v>12108</v>
      </c>
      <c r="AD1011" t="s">
        <v>32</v>
      </c>
      <c r="AE1011" t="s">
        <v>10470</v>
      </c>
      <c r="AF1011" t="s">
        <v>46835</v>
      </c>
    </row>
    <row r="1012" spans="1:32" x14ac:dyDescent="0.2">
      <c r="A1012">
        <v>1007</v>
      </c>
      <c r="B1012" t="s">
        <v>12109</v>
      </c>
      <c r="C1012" t="s">
        <v>12110</v>
      </c>
      <c r="D1012" t="s">
        <v>12111</v>
      </c>
      <c r="E1012" t="s">
        <v>12112</v>
      </c>
      <c r="F1012" t="s">
        <v>12113</v>
      </c>
      <c r="G1012" t="s">
        <v>32</v>
      </c>
      <c r="H1012" t="str">
        <f>"Rbm3"</f>
        <v>Rbm3</v>
      </c>
      <c r="I1012" t="s">
        <v>32</v>
      </c>
      <c r="J1012" t="s">
        <v>37</v>
      </c>
      <c r="K1012">
        <v>10090</v>
      </c>
      <c r="L1012" s="3" t="str">
        <f>HYPERLINK("http://www.uniprot.org/uniprot/O89086", "O89086")</f>
        <v>O89086</v>
      </c>
      <c r="M1012" t="s">
        <v>12114</v>
      </c>
      <c r="N1012" t="str">
        <f>"Rbm3"</f>
        <v>Rbm3</v>
      </c>
      <c r="O1012" s="3" t="str">
        <f>HYPERLINK("http://www.informatics.jax.org/marker/MGI:1099460", "MGI:1099460")</f>
        <v>MGI:1099460</v>
      </c>
      <c r="P1012" t="s">
        <v>12115</v>
      </c>
      <c r="Q1012" t="s">
        <v>386</v>
      </c>
      <c r="R1012" t="s">
        <v>1952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1282</v>
      </c>
      <c r="Y1012" t="s">
        <v>2734</v>
      </c>
      <c r="Z1012" t="s">
        <v>32</v>
      </c>
      <c r="AA1012" t="s">
        <v>12116</v>
      </c>
      <c r="AB1012" t="s">
        <v>12117</v>
      </c>
      <c r="AC1012" t="s">
        <v>12118</v>
      </c>
      <c r="AD1012" t="s">
        <v>32</v>
      </c>
      <c r="AE1012" t="s">
        <v>32</v>
      </c>
      <c r="AF1012" t="s">
        <v>46835</v>
      </c>
    </row>
    <row r="1013" spans="1:32" x14ac:dyDescent="0.2">
      <c r="A1013">
        <v>1008</v>
      </c>
      <c r="B1013" t="s">
        <v>12119</v>
      </c>
      <c r="C1013" t="s">
        <v>12120</v>
      </c>
      <c r="D1013" t="s">
        <v>12121</v>
      </c>
      <c r="E1013" t="s">
        <v>12122</v>
      </c>
      <c r="F1013" t="s">
        <v>12123</v>
      </c>
      <c r="G1013" t="s">
        <v>32</v>
      </c>
      <c r="H1013" t="str">
        <f>"Vapb"</f>
        <v>Vapb</v>
      </c>
      <c r="I1013" t="s">
        <v>32</v>
      </c>
      <c r="J1013" t="s">
        <v>37</v>
      </c>
      <c r="K1013">
        <v>10090</v>
      </c>
      <c r="L1013" s="3" t="str">
        <f>HYPERLINK("http://www.uniprot.org/uniprot/Q9QY76", "Q9QY76")</f>
        <v>Q9QY76</v>
      </c>
      <c r="M1013" t="s">
        <v>12124</v>
      </c>
      <c r="N1013" t="str">
        <f>"Vapb"</f>
        <v>Vapb</v>
      </c>
      <c r="O1013" s="3" t="str">
        <f>HYPERLINK("http://www.informatics.jax.org/marker/MGI:1928744", "MGI:1928744")</f>
        <v>MGI:1928744</v>
      </c>
      <c r="P1013" t="s">
        <v>12125</v>
      </c>
      <c r="Q1013" t="s">
        <v>12126</v>
      </c>
      <c r="R1013" t="s">
        <v>1664</v>
      </c>
      <c r="S1013" t="s">
        <v>32</v>
      </c>
      <c r="T1013" t="s">
        <v>32</v>
      </c>
      <c r="U1013" t="s">
        <v>32</v>
      </c>
      <c r="V1013" t="s">
        <v>6500</v>
      </c>
      <c r="W1013" t="s">
        <v>32</v>
      </c>
      <c r="X1013" t="s">
        <v>32</v>
      </c>
      <c r="Y1013" t="s">
        <v>516</v>
      </c>
      <c r="Z1013" t="s">
        <v>32</v>
      </c>
      <c r="AA1013" t="s">
        <v>12127</v>
      </c>
      <c r="AB1013" t="s">
        <v>12128</v>
      </c>
      <c r="AC1013" t="s">
        <v>12129</v>
      </c>
      <c r="AD1013" t="s">
        <v>32</v>
      </c>
      <c r="AE1013" t="s">
        <v>12130</v>
      </c>
      <c r="AF1013" t="s">
        <v>46835</v>
      </c>
    </row>
    <row r="1014" spans="1:32" x14ac:dyDescent="0.2">
      <c r="A1014">
        <v>1009</v>
      </c>
      <c r="B1014" t="s">
        <v>12131</v>
      </c>
      <c r="C1014" t="s">
        <v>12132</v>
      </c>
      <c r="D1014" t="s">
        <v>12133</v>
      </c>
      <c r="E1014" t="s">
        <v>12134</v>
      </c>
      <c r="F1014" t="s">
        <v>12135</v>
      </c>
      <c r="G1014" t="s">
        <v>12136</v>
      </c>
      <c r="H1014" t="str">
        <f>"Hmgcs1"</f>
        <v>Hmgcs1</v>
      </c>
      <c r="I1014" t="s">
        <v>32</v>
      </c>
      <c r="J1014" t="s">
        <v>37</v>
      </c>
      <c r="K1014">
        <v>10090</v>
      </c>
      <c r="L1014" s="3" t="str">
        <f>HYPERLINK("http://www.uniprot.org/uniprot/Q8JZK9", "Q8JZK9")</f>
        <v>Q8JZK9</v>
      </c>
      <c r="M1014" t="s">
        <v>12137</v>
      </c>
      <c r="N1014" t="str">
        <f>"Hmgcs1"</f>
        <v>Hmgcs1</v>
      </c>
      <c r="O1014" s="3" t="str">
        <f>HYPERLINK("http://www.informatics.jax.org/marker/MGI:107592", "MGI:107592")</f>
        <v>MGI:107592</v>
      </c>
      <c r="P1014" t="s">
        <v>12138</v>
      </c>
      <c r="Q1014" t="s">
        <v>10614</v>
      </c>
      <c r="R1014" t="s">
        <v>418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515</v>
      </c>
      <c r="Y1014" t="s">
        <v>157</v>
      </c>
      <c r="Z1014" t="s">
        <v>32</v>
      </c>
      <c r="AA1014" t="s">
        <v>12139</v>
      </c>
      <c r="AB1014" t="s">
        <v>1268</v>
      </c>
      <c r="AC1014" t="s">
        <v>12140</v>
      </c>
      <c r="AD1014" t="s">
        <v>12141</v>
      </c>
      <c r="AE1014" t="s">
        <v>5365</v>
      </c>
      <c r="AF1014" t="s">
        <v>46835</v>
      </c>
    </row>
    <row r="1015" spans="1:32" x14ac:dyDescent="0.2">
      <c r="A1015">
        <v>1010</v>
      </c>
      <c r="B1015" t="s">
        <v>12142</v>
      </c>
      <c r="C1015" t="s">
        <v>12143</v>
      </c>
      <c r="D1015" t="s">
        <v>32</v>
      </c>
      <c r="E1015" t="s">
        <v>12144</v>
      </c>
      <c r="F1015" t="s">
        <v>12145</v>
      </c>
      <c r="G1015" t="s">
        <v>12146</v>
      </c>
      <c r="H1015" t="str">
        <f>"Rab6a"</f>
        <v>Rab6a</v>
      </c>
      <c r="I1015" t="s">
        <v>12147</v>
      </c>
      <c r="J1015" t="s">
        <v>37</v>
      </c>
      <c r="K1015">
        <v>10090</v>
      </c>
      <c r="L1015" s="3" t="str">
        <f>HYPERLINK("http://www.uniprot.org/uniprot/P35279", "P35279")</f>
        <v>P35279</v>
      </c>
      <c r="M1015" t="s">
        <v>12148</v>
      </c>
      <c r="N1015" t="str">
        <f>"Rab6a"</f>
        <v>Rab6a</v>
      </c>
      <c r="O1015" s="3" t="str">
        <f>HYPERLINK("http://www.informatics.jax.org/marker/MGI:894313", "MGI:894313")</f>
        <v>MGI:894313</v>
      </c>
      <c r="P1015" t="s">
        <v>12149</v>
      </c>
      <c r="Q1015" t="s">
        <v>2916</v>
      </c>
      <c r="R1015" t="s">
        <v>9099</v>
      </c>
      <c r="S1015" t="s">
        <v>41</v>
      </c>
      <c r="T1015" t="s">
        <v>32</v>
      </c>
      <c r="U1015" t="s">
        <v>32</v>
      </c>
      <c r="V1015" t="s">
        <v>32</v>
      </c>
      <c r="W1015" t="s">
        <v>261</v>
      </c>
      <c r="X1015" t="s">
        <v>32</v>
      </c>
      <c r="Y1015" t="s">
        <v>7985</v>
      </c>
      <c r="Z1015" t="s">
        <v>32</v>
      </c>
      <c r="AA1015" t="s">
        <v>12150</v>
      </c>
      <c r="AB1015" t="s">
        <v>12151</v>
      </c>
      <c r="AC1015" t="s">
        <v>12152</v>
      </c>
      <c r="AD1015" t="s">
        <v>32</v>
      </c>
      <c r="AE1015" t="s">
        <v>12153</v>
      </c>
      <c r="AF1015" t="s">
        <v>46835</v>
      </c>
    </row>
    <row r="1016" spans="1:32" x14ac:dyDescent="0.2">
      <c r="A1016">
        <v>1011</v>
      </c>
      <c r="B1016" t="s">
        <v>12154</v>
      </c>
      <c r="C1016" t="s">
        <v>12155</v>
      </c>
      <c r="D1016" t="s">
        <v>12156</v>
      </c>
      <c r="E1016" t="s">
        <v>12157</v>
      </c>
      <c r="F1016" t="s">
        <v>12158</v>
      </c>
      <c r="G1016" t="s">
        <v>12159</v>
      </c>
      <c r="H1016" t="str">
        <f>"Eps15l1"</f>
        <v>Eps15l1</v>
      </c>
      <c r="I1016" t="s">
        <v>12160</v>
      </c>
      <c r="J1016" t="s">
        <v>37</v>
      </c>
      <c r="K1016">
        <v>10090</v>
      </c>
      <c r="L1016" s="3" t="str">
        <f>HYPERLINK("http://www.uniprot.org/uniprot/Q60902", "Q60902")</f>
        <v>Q60902</v>
      </c>
      <c r="M1016" t="s">
        <v>12161</v>
      </c>
      <c r="N1016" t="str">
        <f>"Eps15l1"</f>
        <v>Eps15l1</v>
      </c>
      <c r="O1016" s="3" t="str">
        <f>HYPERLINK("http://www.informatics.jax.org/marker/MGI:104582", "MGI:104582")</f>
        <v>MGI:104582</v>
      </c>
      <c r="P1016" t="s">
        <v>12162</v>
      </c>
      <c r="Q1016" t="s">
        <v>2822</v>
      </c>
      <c r="R1016" t="s">
        <v>12163</v>
      </c>
      <c r="S1016" t="s">
        <v>41</v>
      </c>
      <c r="T1016" t="s">
        <v>32</v>
      </c>
      <c r="U1016" t="s">
        <v>32</v>
      </c>
      <c r="V1016" t="s">
        <v>137</v>
      </c>
      <c r="W1016" t="s">
        <v>188</v>
      </c>
      <c r="X1016" t="s">
        <v>32</v>
      </c>
      <c r="Y1016" t="s">
        <v>157</v>
      </c>
      <c r="Z1016" t="s">
        <v>32</v>
      </c>
      <c r="AA1016" t="s">
        <v>12164</v>
      </c>
      <c r="AB1016" t="s">
        <v>12165</v>
      </c>
      <c r="AC1016" t="s">
        <v>4723</v>
      </c>
      <c r="AD1016" t="s">
        <v>32</v>
      </c>
      <c r="AE1016" t="s">
        <v>12166</v>
      </c>
      <c r="AF1016" t="s">
        <v>46835</v>
      </c>
    </row>
    <row r="1017" spans="1:32" x14ac:dyDescent="0.2">
      <c r="A1017">
        <v>1012</v>
      </c>
      <c r="B1017" t="s">
        <v>12167</v>
      </c>
      <c r="C1017" t="s">
        <v>12168</v>
      </c>
      <c r="D1017" t="s">
        <v>32</v>
      </c>
      <c r="E1017" t="s">
        <v>12169</v>
      </c>
      <c r="F1017" t="s">
        <v>12170</v>
      </c>
      <c r="G1017" t="s">
        <v>12171</v>
      </c>
      <c r="H1017" t="str">
        <f>"Mlec"</f>
        <v>Mlec</v>
      </c>
      <c r="I1017" t="s">
        <v>12172</v>
      </c>
      <c r="J1017" t="s">
        <v>37</v>
      </c>
      <c r="K1017">
        <v>10090</v>
      </c>
      <c r="L1017" s="3" t="str">
        <f>HYPERLINK("http://www.uniprot.org/uniprot/Q6ZQI3", "Q6ZQI3")</f>
        <v>Q6ZQI3</v>
      </c>
      <c r="M1017" t="s">
        <v>12173</v>
      </c>
      <c r="N1017" t="str">
        <f>"Mlec"</f>
        <v>Mlec</v>
      </c>
      <c r="O1017" s="3" t="str">
        <f>HYPERLINK("http://www.informatics.jax.org/marker/MGI:1924015", "MGI:1924015")</f>
        <v>MGI:1924015</v>
      </c>
      <c r="P1017" t="s">
        <v>12174</v>
      </c>
      <c r="Q1017" t="s">
        <v>2170</v>
      </c>
      <c r="R1017" t="s">
        <v>1664</v>
      </c>
      <c r="S1017" t="s">
        <v>32</v>
      </c>
      <c r="T1017" t="s">
        <v>32</v>
      </c>
      <c r="U1017" t="s">
        <v>32</v>
      </c>
      <c r="V1017" t="s">
        <v>3948</v>
      </c>
      <c r="W1017" t="s">
        <v>32</v>
      </c>
      <c r="X1017" t="s">
        <v>32</v>
      </c>
      <c r="Y1017" t="s">
        <v>3733</v>
      </c>
      <c r="Z1017" t="s">
        <v>32</v>
      </c>
      <c r="AA1017" t="s">
        <v>12175</v>
      </c>
      <c r="AB1017" t="s">
        <v>12176</v>
      </c>
      <c r="AC1017" t="s">
        <v>12177</v>
      </c>
      <c r="AD1017" t="s">
        <v>32</v>
      </c>
      <c r="AE1017" t="s">
        <v>548</v>
      </c>
      <c r="AF1017" t="s">
        <v>46835</v>
      </c>
    </row>
    <row r="1018" spans="1:32" x14ac:dyDescent="0.2">
      <c r="A1018">
        <v>1013</v>
      </c>
      <c r="B1018" t="s">
        <v>12178</v>
      </c>
      <c r="C1018" t="s">
        <v>12179</v>
      </c>
      <c r="D1018" t="s">
        <v>12180</v>
      </c>
      <c r="E1018" t="s">
        <v>12181</v>
      </c>
      <c r="F1018" t="s">
        <v>12182</v>
      </c>
      <c r="G1018" t="s">
        <v>12183</v>
      </c>
      <c r="H1018" t="str">
        <f>"Sec13"</f>
        <v>Sec13</v>
      </c>
      <c r="I1018" t="s">
        <v>12184</v>
      </c>
      <c r="J1018" t="s">
        <v>37</v>
      </c>
      <c r="K1018">
        <v>10090</v>
      </c>
      <c r="L1018" s="3" t="str">
        <f>HYPERLINK("http://www.uniprot.org/uniprot/Q9D1M0", "Q9D1M0")</f>
        <v>Q9D1M0</v>
      </c>
      <c r="M1018" t="s">
        <v>12185</v>
      </c>
      <c r="N1018" t="str">
        <f>"Sec13"</f>
        <v>Sec13</v>
      </c>
      <c r="O1018" s="3" t="str">
        <f>HYPERLINK("http://www.informatics.jax.org/marker/MGI:99832", "MGI:99832")</f>
        <v>MGI:99832</v>
      </c>
      <c r="P1018" t="s">
        <v>12186</v>
      </c>
      <c r="Q1018" t="s">
        <v>12187</v>
      </c>
      <c r="R1018" t="s">
        <v>12188</v>
      </c>
      <c r="S1018" t="s">
        <v>32</v>
      </c>
      <c r="T1018" t="s">
        <v>32</v>
      </c>
      <c r="U1018" t="s">
        <v>32</v>
      </c>
      <c r="V1018" t="s">
        <v>1910</v>
      </c>
      <c r="W1018" t="s">
        <v>32</v>
      </c>
      <c r="X1018" t="s">
        <v>32</v>
      </c>
      <c r="Y1018" t="s">
        <v>157</v>
      </c>
      <c r="Z1018" t="s">
        <v>32</v>
      </c>
      <c r="AA1018" t="s">
        <v>12189</v>
      </c>
      <c r="AB1018" t="s">
        <v>12190</v>
      </c>
      <c r="AC1018" t="s">
        <v>12191</v>
      </c>
      <c r="AD1018" t="s">
        <v>32</v>
      </c>
      <c r="AE1018" t="s">
        <v>12192</v>
      </c>
      <c r="AF1018" t="s">
        <v>46835</v>
      </c>
    </row>
    <row r="1019" spans="1:32" x14ac:dyDescent="0.2">
      <c r="A1019">
        <v>1014</v>
      </c>
      <c r="B1019" t="s">
        <v>12193</v>
      </c>
      <c r="C1019" t="s">
        <v>12194</v>
      </c>
      <c r="D1019" t="s">
        <v>12195</v>
      </c>
      <c r="E1019" t="s">
        <v>12196</v>
      </c>
      <c r="F1019" t="s">
        <v>12197</v>
      </c>
      <c r="G1019" t="s">
        <v>32</v>
      </c>
      <c r="H1019" t="str">
        <f>"Kpna3"</f>
        <v>Kpna3</v>
      </c>
      <c r="I1019" t="s">
        <v>12198</v>
      </c>
      <c r="J1019" t="s">
        <v>37</v>
      </c>
      <c r="K1019">
        <v>10090</v>
      </c>
      <c r="L1019" s="3" t="str">
        <f>HYPERLINK("http://www.uniprot.org/uniprot/O35344", "O35344")</f>
        <v>O35344</v>
      </c>
      <c r="M1019" t="s">
        <v>12199</v>
      </c>
      <c r="N1019" t="str">
        <f>"Kpna3"</f>
        <v>Kpna3</v>
      </c>
      <c r="O1019" s="3" t="str">
        <f>HYPERLINK("http://www.informatics.jax.org/marker/MGI:1100863", "MGI:1100863")</f>
        <v>MGI:1100863</v>
      </c>
      <c r="P1019" t="s">
        <v>12200</v>
      </c>
      <c r="Q1019" t="s">
        <v>434</v>
      </c>
      <c r="R1019" t="s">
        <v>40</v>
      </c>
      <c r="S1019" t="s">
        <v>32</v>
      </c>
      <c r="T1019" t="s">
        <v>32</v>
      </c>
      <c r="U1019" t="s">
        <v>32</v>
      </c>
      <c r="V1019" t="s">
        <v>55</v>
      </c>
      <c r="W1019" t="s">
        <v>32</v>
      </c>
      <c r="X1019" t="s">
        <v>32</v>
      </c>
      <c r="Y1019" t="s">
        <v>157</v>
      </c>
      <c r="Z1019" t="s">
        <v>32</v>
      </c>
      <c r="AA1019" t="s">
        <v>12201</v>
      </c>
      <c r="AB1019" t="s">
        <v>12202</v>
      </c>
      <c r="AC1019" t="s">
        <v>12203</v>
      </c>
      <c r="AD1019" t="s">
        <v>32</v>
      </c>
      <c r="AE1019" t="s">
        <v>32</v>
      </c>
      <c r="AF1019" t="s">
        <v>46835</v>
      </c>
    </row>
    <row r="1020" spans="1:32" x14ac:dyDescent="0.2">
      <c r="A1020">
        <v>1015</v>
      </c>
      <c r="B1020" t="s">
        <v>12204</v>
      </c>
      <c r="C1020" t="s">
        <v>12205</v>
      </c>
      <c r="D1020" t="s">
        <v>32</v>
      </c>
      <c r="E1020" t="s">
        <v>12206</v>
      </c>
      <c r="F1020" t="s">
        <v>12207</v>
      </c>
      <c r="G1020" t="s">
        <v>12208</v>
      </c>
      <c r="H1020" t="str">
        <f>"Nif3l1"</f>
        <v>Nif3l1</v>
      </c>
      <c r="I1020" t="s">
        <v>32</v>
      </c>
      <c r="J1020" t="s">
        <v>37</v>
      </c>
      <c r="K1020">
        <v>10090</v>
      </c>
      <c r="L1020" s="3" t="str">
        <f>HYPERLINK("http://www.uniprot.org/uniprot/Q9EQ80", "Q9EQ80")</f>
        <v>Q9EQ80</v>
      </c>
      <c r="M1020" t="s">
        <v>12209</v>
      </c>
      <c r="N1020" t="str">
        <f>"Nif3l1"</f>
        <v>Nif3l1</v>
      </c>
      <c r="O1020" s="3" t="str">
        <f>HYPERLINK("http://www.informatics.jax.org/marker/MGI:1929485", "MGI:1929485")</f>
        <v>MGI:1929485</v>
      </c>
      <c r="P1020" t="s">
        <v>8032</v>
      </c>
      <c r="Q1020" t="s">
        <v>32</v>
      </c>
      <c r="R1020" t="s">
        <v>40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32</v>
      </c>
      <c r="Y1020" t="s">
        <v>157</v>
      </c>
      <c r="Z1020" t="s">
        <v>32</v>
      </c>
      <c r="AA1020" t="s">
        <v>12210</v>
      </c>
      <c r="AB1020" t="s">
        <v>12211</v>
      </c>
      <c r="AC1020" t="s">
        <v>12212</v>
      </c>
      <c r="AD1020" t="s">
        <v>32</v>
      </c>
      <c r="AE1020" t="s">
        <v>32</v>
      </c>
      <c r="AF1020" t="s">
        <v>46835</v>
      </c>
    </row>
    <row r="1021" spans="1:32" x14ac:dyDescent="0.2">
      <c r="A1021">
        <v>1016</v>
      </c>
      <c r="B1021" t="s">
        <v>12213</v>
      </c>
      <c r="C1021" t="s">
        <v>12214</v>
      </c>
      <c r="D1021" t="s">
        <v>12215</v>
      </c>
      <c r="E1021" t="s">
        <v>12216</v>
      </c>
      <c r="F1021" t="s">
        <v>12217</v>
      </c>
      <c r="G1021" t="s">
        <v>12218</v>
      </c>
      <c r="H1021" t="str">
        <f>"Ddx6"</f>
        <v>Ddx6</v>
      </c>
      <c r="I1021" t="s">
        <v>12219</v>
      </c>
      <c r="J1021" t="s">
        <v>37</v>
      </c>
      <c r="K1021">
        <v>10090</v>
      </c>
      <c r="L1021" s="3" t="str">
        <f>HYPERLINK("http://www.uniprot.org/uniprot/P54823", "P54823")</f>
        <v>P54823</v>
      </c>
      <c r="M1021" t="s">
        <v>12220</v>
      </c>
      <c r="N1021" t="str">
        <f>"Ddx6"</f>
        <v>Ddx6</v>
      </c>
      <c r="O1021" s="3" t="str">
        <f>HYPERLINK("http://www.informatics.jax.org/marker/MGI:104976", "MGI:104976")</f>
        <v>MGI:104976</v>
      </c>
      <c r="P1021" t="s">
        <v>12221</v>
      </c>
      <c r="Q1021" t="s">
        <v>32</v>
      </c>
      <c r="R1021" t="s">
        <v>40</v>
      </c>
      <c r="S1021" t="s">
        <v>32</v>
      </c>
      <c r="T1021" t="s">
        <v>32</v>
      </c>
      <c r="U1021" t="s">
        <v>32</v>
      </c>
      <c r="V1021" t="s">
        <v>32</v>
      </c>
      <c r="W1021" t="s">
        <v>205</v>
      </c>
      <c r="X1021" t="s">
        <v>5050</v>
      </c>
      <c r="Y1021" t="s">
        <v>2836</v>
      </c>
      <c r="Z1021" t="s">
        <v>32</v>
      </c>
      <c r="AA1021" t="s">
        <v>12222</v>
      </c>
      <c r="AB1021" t="s">
        <v>12223</v>
      </c>
      <c r="AC1021" t="s">
        <v>12224</v>
      </c>
      <c r="AD1021" t="s">
        <v>32</v>
      </c>
      <c r="AE1021" t="s">
        <v>12225</v>
      </c>
      <c r="AF1021" t="s">
        <v>46835</v>
      </c>
    </row>
    <row r="1022" spans="1:32" x14ac:dyDescent="0.2">
      <c r="A1022">
        <v>1017</v>
      </c>
      <c r="B1022" t="s">
        <v>12226</v>
      </c>
      <c r="C1022" t="s">
        <v>12227</v>
      </c>
      <c r="D1022" t="s">
        <v>32</v>
      </c>
      <c r="E1022" t="s">
        <v>12228</v>
      </c>
      <c r="F1022" t="s">
        <v>12229</v>
      </c>
      <c r="G1022" t="s">
        <v>12230</v>
      </c>
      <c r="H1022" t="str">
        <f>"Gpd1"</f>
        <v>Gpd1</v>
      </c>
      <c r="I1022" t="s">
        <v>12231</v>
      </c>
      <c r="J1022" t="s">
        <v>37</v>
      </c>
      <c r="K1022">
        <v>10090</v>
      </c>
      <c r="L1022" s="3" t="str">
        <f>HYPERLINK("http://www.uniprot.org/uniprot/P13707", "P13707")</f>
        <v>P13707</v>
      </c>
      <c r="M1022" t="s">
        <v>12232</v>
      </c>
      <c r="N1022" t="str">
        <f>"Gpd1"</f>
        <v>Gpd1</v>
      </c>
      <c r="O1022" s="3" t="str">
        <f>HYPERLINK("http://www.informatics.jax.org/marker/MGI:95679", "MGI:95679")</f>
        <v>MGI:95679</v>
      </c>
      <c r="P1022" t="s">
        <v>12233</v>
      </c>
      <c r="Q1022" t="s">
        <v>32</v>
      </c>
      <c r="R1022" t="s">
        <v>418</v>
      </c>
      <c r="S1022" t="s">
        <v>32</v>
      </c>
      <c r="T1022" t="s">
        <v>32</v>
      </c>
      <c r="U1022" t="s">
        <v>32</v>
      </c>
      <c r="V1022" t="s">
        <v>32</v>
      </c>
      <c r="W1022" t="s">
        <v>325</v>
      </c>
      <c r="X1022" t="s">
        <v>600</v>
      </c>
      <c r="Y1022" t="s">
        <v>618</v>
      </c>
      <c r="Z1022" t="s">
        <v>32</v>
      </c>
      <c r="AA1022" t="s">
        <v>12234</v>
      </c>
      <c r="AB1022" t="s">
        <v>12235</v>
      </c>
      <c r="AC1022" t="s">
        <v>12236</v>
      </c>
      <c r="AD1022" t="s">
        <v>32</v>
      </c>
      <c r="AE1022" t="s">
        <v>9863</v>
      </c>
      <c r="AF1022" t="s">
        <v>46835</v>
      </c>
    </row>
    <row r="1023" spans="1:32" x14ac:dyDescent="0.2">
      <c r="A1023">
        <v>1018</v>
      </c>
      <c r="B1023" t="s">
        <v>12237</v>
      </c>
      <c r="C1023" t="s">
        <v>12238</v>
      </c>
      <c r="D1023" t="s">
        <v>12239</v>
      </c>
      <c r="E1023" t="s">
        <v>12240</v>
      </c>
      <c r="F1023" t="s">
        <v>12241</v>
      </c>
      <c r="G1023" t="s">
        <v>12242</v>
      </c>
      <c r="H1023" t="str">
        <f>"Rbm25"</f>
        <v>Rbm25</v>
      </c>
      <c r="I1023" t="s">
        <v>32</v>
      </c>
      <c r="J1023" t="s">
        <v>37</v>
      </c>
      <c r="K1023">
        <v>10090</v>
      </c>
      <c r="L1023" s="3" t="str">
        <f>HYPERLINK("http://www.uniprot.org/uniprot/B2RY56", "B2RY56")</f>
        <v>B2RY56</v>
      </c>
      <c r="M1023" t="s">
        <v>12243</v>
      </c>
      <c r="N1023" t="str">
        <f>"Rbm25"</f>
        <v>Rbm25</v>
      </c>
      <c r="O1023" s="3" t="str">
        <f>HYPERLINK("http://www.informatics.jax.org/marker/MGI:1914289", "MGI:1914289")</f>
        <v>MGI:1914289</v>
      </c>
      <c r="P1023" t="s">
        <v>12244</v>
      </c>
      <c r="Q1023" t="s">
        <v>10792</v>
      </c>
      <c r="R1023" t="s">
        <v>40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1282</v>
      </c>
      <c r="Y1023" t="s">
        <v>516</v>
      </c>
      <c r="Z1023" t="s">
        <v>32</v>
      </c>
      <c r="AA1023" t="s">
        <v>12245</v>
      </c>
      <c r="AB1023" t="s">
        <v>12246</v>
      </c>
      <c r="AC1023" t="s">
        <v>4168</v>
      </c>
      <c r="AD1023" t="s">
        <v>32</v>
      </c>
      <c r="AE1023" t="s">
        <v>32</v>
      </c>
      <c r="AF1023" t="s">
        <v>46835</v>
      </c>
    </row>
    <row r="1024" spans="1:32" x14ac:dyDescent="0.2">
      <c r="A1024">
        <v>1019</v>
      </c>
      <c r="B1024" t="s">
        <v>12247</v>
      </c>
      <c r="C1024" t="s">
        <v>12248</v>
      </c>
      <c r="D1024" t="s">
        <v>12249</v>
      </c>
      <c r="E1024" t="s">
        <v>12250</v>
      </c>
      <c r="F1024" t="s">
        <v>12251</v>
      </c>
      <c r="G1024" t="s">
        <v>12252</v>
      </c>
      <c r="H1024" t="str">
        <f>"Dlat"</f>
        <v>Dlat</v>
      </c>
      <c r="I1024" t="s">
        <v>32</v>
      </c>
      <c r="J1024" t="s">
        <v>37</v>
      </c>
      <c r="K1024">
        <v>10090</v>
      </c>
      <c r="L1024" s="3" t="str">
        <f>HYPERLINK("http://www.uniprot.org/uniprot/Q8BMF4", "Q8BMF4")</f>
        <v>Q8BMF4</v>
      </c>
      <c r="M1024" t="s">
        <v>12253</v>
      </c>
      <c r="N1024" t="str">
        <f>"Dlat"</f>
        <v>Dlat</v>
      </c>
      <c r="O1024" s="3" t="str">
        <f>HYPERLINK("http://www.informatics.jax.org/marker/MGI:2385311", "MGI:2385311")</f>
        <v>MGI:2385311</v>
      </c>
      <c r="P1024" t="s">
        <v>12254</v>
      </c>
      <c r="Q1024" t="s">
        <v>12255</v>
      </c>
      <c r="R1024" t="s">
        <v>1038</v>
      </c>
      <c r="S1024" t="s">
        <v>32</v>
      </c>
      <c r="T1024" t="s">
        <v>32</v>
      </c>
      <c r="U1024" t="s">
        <v>32</v>
      </c>
      <c r="V1024" t="s">
        <v>12256</v>
      </c>
      <c r="W1024" t="s">
        <v>32</v>
      </c>
      <c r="X1024" t="s">
        <v>7304</v>
      </c>
      <c r="Y1024" t="s">
        <v>157</v>
      </c>
      <c r="Z1024" t="s">
        <v>32</v>
      </c>
      <c r="AA1024" t="s">
        <v>12257</v>
      </c>
      <c r="AB1024" t="s">
        <v>12258</v>
      </c>
      <c r="AC1024" t="s">
        <v>12259</v>
      </c>
      <c r="AD1024" t="s">
        <v>32</v>
      </c>
      <c r="AE1024" t="s">
        <v>12260</v>
      </c>
      <c r="AF1024" t="s">
        <v>46835</v>
      </c>
    </row>
    <row r="1025" spans="1:32" x14ac:dyDescent="0.2">
      <c r="A1025">
        <v>1020</v>
      </c>
      <c r="B1025" t="s">
        <v>12261</v>
      </c>
      <c r="C1025" t="s">
        <v>12262</v>
      </c>
      <c r="D1025" t="s">
        <v>12263</v>
      </c>
      <c r="E1025" t="s">
        <v>12264</v>
      </c>
      <c r="F1025" t="s">
        <v>12265</v>
      </c>
      <c r="G1025" t="s">
        <v>12266</v>
      </c>
      <c r="H1025" t="str">
        <f>"Larp1"</f>
        <v>Larp1</v>
      </c>
      <c r="I1025" t="s">
        <v>12267</v>
      </c>
      <c r="J1025" t="s">
        <v>37</v>
      </c>
      <c r="K1025">
        <v>10090</v>
      </c>
      <c r="L1025" s="3" t="str">
        <f>HYPERLINK("http://www.uniprot.org/uniprot/Q6ZQ58", "Q6ZQ58")</f>
        <v>Q6ZQ58</v>
      </c>
      <c r="M1025" t="s">
        <v>12268</v>
      </c>
      <c r="N1025" t="str">
        <f>"Larp1"</f>
        <v>Larp1</v>
      </c>
      <c r="O1025" s="3" t="str">
        <f>HYPERLINK("http://www.informatics.jax.org/marker/MGI:1890165", "MGI:1890165")</f>
        <v>MGI:1890165</v>
      </c>
      <c r="P1025" t="s">
        <v>12269</v>
      </c>
      <c r="Q1025" t="s">
        <v>1680</v>
      </c>
      <c r="R1025" t="s">
        <v>418</v>
      </c>
      <c r="S1025" t="s">
        <v>41</v>
      </c>
      <c r="T1025" t="s">
        <v>32</v>
      </c>
      <c r="U1025" t="s">
        <v>32</v>
      </c>
      <c r="V1025" t="s">
        <v>32</v>
      </c>
      <c r="W1025" t="s">
        <v>32</v>
      </c>
      <c r="X1025" t="s">
        <v>9766</v>
      </c>
      <c r="Y1025" t="s">
        <v>207</v>
      </c>
      <c r="Z1025" t="s">
        <v>32</v>
      </c>
      <c r="AA1025" t="s">
        <v>12270</v>
      </c>
      <c r="AB1025" t="s">
        <v>12271</v>
      </c>
      <c r="AC1025" t="s">
        <v>12272</v>
      </c>
      <c r="AD1025" t="s">
        <v>32</v>
      </c>
      <c r="AE1025" t="s">
        <v>32</v>
      </c>
      <c r="AF1025" t="s">
        <v>46835</v>
      </c>
    </row>
    <row r="1026" spans="1:32" x14ac:dyDescent="0.2">
      <c r="A1026">
        <v>1021</v>
      </c>
      <c r="B1026" t="s">
        <v>12273</v>
      </c>
      <c r="C1026" t="s">
        <v>12274</v>
      </c>
      <c r="D1026" t="s">
        <v>12275</v>
      </c>
      <c r="E1026" t="s">
        <v>12276</v>
      </c>
      <c r="F1026" t="s">
        <v>12277</v>
      </c>
      <c r="G1026" t="s">
        <v>12278</v>
      </c>
      <c r="H1026" t="str">
        <f>"Mtr"</f>
        <v>Mtr</v>
      </c>
      <c r="I1026" t="s">
        <v>32</v>
      </c>
      <c r="J1026" t="s">
        <v>37</v>
      </c>
      <c r="K1026">
        <v>10090</v>
      </c>
      <c r="L1026" s="3" t="str">
        <f>HYPERLINK("http://www.uniprot.org/uniprot/A6H5Y3", "A6H5Y3")</f>
        <v>A6H5Y3</v>
      </c>
      <c r="M1026" t="s">
        <v>12279</v>
      </c>
      <c r="N1026" t="str">
        <f>"Mtr"</f>
        <v>Mtr</v>
      </c>
      <c r="O1026" s="3" t="str">
        <f>HYPERLINK("http://www.informatics.jax.org/marker/MGI:894292", "MGI:894292")</f>
        <v>MGI:894292</v>
      </c>
      <c r="P1026" t="s">
        <v>12280</v>
      </c>
      <c r="Q1026" t="s">
        <v>12281</v>
      </c>
      <c r="R1026" t="s">
        <v>418</v>
      </c>
      <c r="S1026" t="s">
        <v>32</v>
      </c>
      <c r="T1026" t="s">
        <v>32</v>
      </c>
      <c r="U1026" t="s">
        <v>32</v>
      </c>
      <c r="V1026" t="s">
        <v>55</v>
      </c>
      <c r="W1026" t="s">
        <v>12282</v>
      </c>
      <c r="X1026" t="s">
        <v>1706</v>
      </c>
      <c r="Y1026" t="s">
        <v>618</v>
      </c>
      <c r="Z1026" t="s">
        <v>32</v>
      </c>
      <c r="AA1026" t="s">
        <v>12283</v>
      </c>
      <c r="AB1026" t="s">
        <v>1268</v>
      </c>
      <c r="AC1026" t="s">
        <v>12284</v>
      </c>
      <c r="AD1026" t="s">
        <v>12285</v>
      </c>
      <c r="AE1026" t="s">
        <v>12286</v>
      </c>
      <c r="AF1026" t="s">
        <v>46835</v>
      </c>
    </row>
    <row r="1027" spans="1:32" x14ac:dyDescent="0.2">
      <c r="A1027">
        <v>1022</v>
      </c>
      <c r="B1027" t="s">
        <v>12287</v>
      </c>
      <c r="C1027" t="s">
        <v>12288</v>
      </c>
      <c r="D1027" t="s">
        <v>32</v>
      </c>
      <c r="E1027" t="s">
        <v>12289</v>
      </c>
      <c r="F1027" t="s">
        <v>12290</v>
      </c>
      <c r="G1027" t="s">
        <v>12291</v>
      </c>
      <c r="H1027" t="str">
        <f>"Nhlrc2"</f>
        <v>Nhlrc2</v>
      </c>
      <c r="I1027" t="s">
        <v>32</v>
      </c>
      <c r="J1027" t="s">
        <v>37</v>
      </c>
      <c r="K1027">
        <v>10090</v>
      </c>
      <c r="L1027" s="3" t="str">
        <f>HYPERLINK("http://www.uniprot.org/uniprot/Q8BZW8", "Q8BZW8")</f>
        <v>Q8BZW8</v>
      </c>
      <c r="M1027" t="s">
        <v>12292</v>
      </c>
      <c r="N1027" t="str">
        <f>"Nhlrc2"</f>
        <v>Nhlrc2</v>
      </c>
      <c r="O1027" s="3" t="str">
        <f>HYPERLINK("http://www.informatics.jax.org/marker/MGI:1914116", "MGI:1914116")</f>
        <v>MGI:1914116</v>
      </c>
      <c r="P1027" t="s">
        <v>12293</v>
      </c>
      <c r="Q1027" t="s">
        <v>32</v>
      </c>
      <c r="R1027" t="s">
        <v>418</v>
      </c>
      <c r="S1027" t="s">
        <v>32</v>
      </c>
      <c r="T1027" t="s">
        <v>32</v>
      </c>
      <c r="U1027" t="s">
        <v>32</v>
      </c>
      <c r="V1027" t="s">
        <v>55</v>
      </c>
      <c r="W1027" t="s">
        <v>32</v>
      </c>
      <c r="X1027" t="s">
        <v>32</v>
      </c>
      <c r="Y1027" t="s">
        <v>32</v>
      </c>
      <c r="Z1027" t="s">
        <v>32</v>
      </c>
      <c r="AA1027" t="s">
        <v>32</v>
      </c>
      <c r="AB1027" t="s">
        <v>1268</v>
      </c>
      <c r="AC1027" t="s">
        <v>32</v>
      </c>
      <c r="AD1027" t="s">
        <v>32</v>
      </c>
      <c r="AE1027" t="s">
        <v>2235</v>
      </c>
      <c r="AF1027" t="s">
        <v>46835</v>
      </c>
    </row>
    <row r="1028" spans="1:32" x14ac:dyDescent="0.2">
      <c r="A1028">
        <v>1023</v>
      </c>
      <c r="B1028" t="s">
        <v>12294</v>
      </c>
      <c r="C1028" t="s">
        <v>12295</v>
      </c>
      <c r="D1028" t="s">
        <v>32</v>
      </c>
      <c r="E1028" t="s">
        <v>12296</v>
      </c>
      <c r="F1028" t="s">
        <v>12297</v>
      </c>
      <c r="G1028" t="s">
        <v>12298</v>
      </c>
      <c r="H1028" t="str">
        <f>"Rap1gds1"</f>
        <v>Rap1gds1</v>
      </c>
      <c r="I1028" t="s">
        <v>32</v>
      </c>
      <c r="J1028" t="s">
        <v>37</v>
      </c>
      <c r="K1028">
        <v>10090</v>
      </c>
      <c r="L1028" s="3" t="str">
        <f>HYPERLINK("http://www.uniprot.org/uniprot/E9Q912", "E9Q912")</f>
        <v>E9Q912</v>
      </c>
      <c r="M1028" t="s">
        <v>12299</v>
      </c>
      <c r="N1028" t="str">
        <f>"Rap1gds1"</f>
        <v>Rap1gds1</v>
      </c>
      <c r="O1028" s="3" t="str">
        <f>HYPERLINK("http://www.informatics.jax.org/marker/MGI:2385189", "MGI:2385189")</f>
        <v>MGI:2385189</v>
      </c>
      <c r="P1028" t="s">
        <v>12300</v>
      </c>
      <c r="Q1028" t="s">
        <v>32</v>
      </c>
      <c r="R1028" t="s">
        <v>9412</v>
      </c>
      <c r="S1028" t="s">
        <v>41</v>
      </c>
      <c r="T1028" t="s">
        <v>32</v>
      </c>
      <c r="U1028" t="s">
        <v>32</v>
      </c>
      <c r="V1028" t="s">
        <v>55</v>
      </c>
      <c r="W1028" t="s">
        <v>32</v>
      </c>
      <c r="X1028" t="s">
        <v>5011</v>
      </c>
      <c r="Y1028" t="s">
        <v>78</v>
      </c>
      <c r="Z1028" t="s">
        <v>32</v>
      </c>
      <c r="AA1028" t="s">
        <v>12301</v>
      </c>
      <c r="AB1028" t="s">
        <v>12302</v>
      </c>
      <c r="AC1028" t="s">
        <v>12303</v>
      </c>
      <c r="AD1028" t="s">
        <v>32</v>
      </c>
      <c r="AE1028" t="s">
        <v>32</v>
      </c>
      <c r="AF1028" t="s">
        <v>46835</v>
      </c>
    </row>
    <row r="1029" spans="1:32" x14ac:dyDescent="0.2">
      <c r="A1029">
        <v>1024</v>
      </c>
      <c r="B1029" t="s">
        <v>12304</v>
      </c>
      <c r="C1029" t="s">
        <v>12305</v>
      </c>
      <c r="D1029" t="s">
        <v>12306</v>
      </c>
      <c r="E1029" t="s">
        <v>12307</v>
      </c>
      <c r="F1029" t="s">
        <v>12308</v>
      </c>
      <c r="G1029" t="s">
        <v>12309</v>
      </c>
      <c r="H1029" t="str">
        <f>"Nup93"</f>
        <v>Nup93</v>
      </c>
      <c r="I1029" t="s">
        <v>12310</v>
      </c>
      <c r="J1029" t="s">
        <v>37</v>
      </c>
      <c r="K1029">
        <v>10090</v>
      </c>
      <c r="L1029" s="3" t="str">
        <f>HYPERLINK("http://www.uniprot.org/uniprot/Q8BJ71", "Q8BJ71")</f>
        <v>Q8BJ71</v>
      </c>
      <c r="M1029" t="s">
        <v>12311</v>
      </c>
      <c r="N1029" t="str">
        <f>"Nup93"</f>
        <v>Nup93</v>
      </c>
      <c r="O1029" s="3" t="str">
        <f>HYPERLINK("http://www.informatics.jax.org/marker/MGI:1919055", "MGI:1919055")</f>
        <v>MGI:1919055</v>
      </c>
      <c r="P1029" t="s">
        <v>12312</v>
      </c>
      <c r="Q1029" t="s">
        <v>6423</v>
      </c>
      <c r="R1029" t="s">
        <v>8238</v>
      </c>
      <c r="S1029" t="s">
        <v>41</v>
      </c>
      <c r="T1029" t="s">
        <v>32</v>
      </c>
      <c r="U1029" t="s">
        <v>32</v>
      </c>
      <c r="V1029" t="s">
        <v>32</v>
      </c>
      <c r="W1029" t="s">
        <v>32</v>
      </c>
      <c r="X1029" t="s">
        <v>32</v>
      </c>
      <c r="Y1029" t="s">
        <v>618</v>
      </c>
      <c r="Z1029" t="s">
        <v>32</v>
      </c>
      <c r="AA1029" t="s">
        <v>12313</v>
      </c>
      <c r="AB1029" t="s">
        <v>12314</v>
      </c>
      <c r="AC1029" t="s">
        <v>12315</v>
      </c>
      <c r="AD1029" t="s">
        <v>32</v>
      </c>
      <c r="AE1029" t="s">
        <v>12316</v>
      </c>
      <c r="AF1029" t="s">
        <v>46835</v>
      </c>
    </row>
    <row r="1030" spans="1:32" x14ac:dyDescent="0.2">
      <c r="A1030">
        <v>1025</v>
      </c>
      <c r="B1030" t="s">
        <v>12317</v>
      </c>
      <c r="C1030" t="s">
        <v>12318</v>
      </c>
      <c r="D1030" t="s">
        <v>12319</v>
      </c>
      <c r="E1030" t="s">
        <v>12320</v>
      </c>
      <c r="F1030" t="s">
        <v>12321</v>
      </c>
      <c r="G1030" t="s">
        <v>12322</v>
      </c>
      <c r="H1030" t="str">
        <f>"Hagh"</f>
        <v>Hagh</v>
      </c>
      <c r="I1030" t="s">
        <v>12323</v>
      </c>
      <c r="J1030" t="s">
        <v>37</v>
      </c>
      <c r="K1030">
        <v>10090</v>
      </c>
      <c r="L1030" s="3" t="str">
        <f>HYPERLINK("http://www.uniprot.org/uniprot/Q99KB8", "Q99KB8")</f>
        <v>Q99KB8</v>
      </c>
      <c r="M1030" t="s">
        <v>12324</v>
      </c>
      <c r="N1030" t="str">
        <f>"Hagh"</f>
        <v>Hagh</v>
      </c>
      <c r="O1030" s="3" t="str">
        <f>HYPERLINK("http://www.informatics.jax.org/marker/MGI:95745", "MGI:95745")</f>
        <v>MGI:95745</v>
      </c>
      <c r="P1030" t="s">
        <v>12325</v>
      </c>
      <c r="Q1030" t="s">
        <v>32</v>
      </c>
      <c r="R1030" t="s">
        <v>1842</v>
      </c>
      <c r="S1030" t="s">
        <v>8503</v>
      </c>
      <c r="T1030" t="s">
        <v>32</v>
      </c>
      <c r="U1030" t="s">
        <v>32</v>
      </c>
      <c r="V1030" t="s">
        <v>1039</v>
      </c>
      <c r="W1030" t="s">
        <v>42</v>
      </c>
      <c r="X1030" t="s">
        <v>343</v>
      </c>
      <c r="Y1030" t="s">
        <v>78</v>
      </c>
      <c r="Z1030" t="s">
        <v>32</v>
      </c>
      <c r="AA1030" t="s">
        <v>12326</v>
      </c>
      <c r="AB1030" t="s">
        <v>12327</v>
      </c>
      <c r="AC1030" t="s">
        <v>12328</v>
      </c>
      <c r="AD1030" t="s">
        <v>12329</v>
      </c>
      <c r="AE1030" t="s">
        <v>1188</v>
      </c>
      <c r="AF1030" t="s">
        <v>46835</v>
      </c>
    </row>
    <row r="1031" spans="1:32" x14ac:dyDescent="0.2">
      <c r="A1031">
        <v>1026</v>
      </c>
      <c r="B1031" t="s">
        <v>12330</v>
      </c>
      <c r="C1031" t="s">
        <v>12331</v>
      </c>
      <c r="D1031" t="s">
        <v>32</v>
      </c>
      <c r="E1031" t="s">
        <v>12332</v>
      </c>
      <c r="F1031" t="s">
        <v>12333</v>
      </c>
      <c r="G1031" t="s">
        <v>12334</v>
      </c>
      <c r="H1031" t="str">
        <f>"Col4a2"</f>
        <v>Col4a2</v>
      </c>
      <c r="I1031" t="s">
        <v>32</v>
      </c>
      <c r="J1031" t="s">
        <v>37</v>
      </c>
      <c r="K1031">
        <v>10090</v>
      </c>
      <c r="L1031" s="3" t="str">
        <f>HYPERLINK("http://www.uniprot.org/uniprot/P08122", "P08122")</f>
        <v>P08122</v>
      </c>
      <c r="M1031" t="s">
        <v>12335</v>
      </c>
      <c r="N1031" t="str">
        <f>"Col4a2"</f>
        <v>Col4a2</v>
      </c>
      <c r="O1031" s="3" t="str">
        <f>HYPERLINK("http://www.informatics.jax.org/marker/MGI:88455", "MGI:88455")</f>
        <v>MGI:88455</v>
      </c>
      <c r="P1031" t="s">
        <v>12336</v>
      </c>
      <c r="Q1031" t="s">
        <v>4227</v>
      </c>
      <c r="R1031" t="s">
        <v>2785</v>
      </c>
      <c r="S1031" t="s">
        <v>32</v>
      </c>
      <c r="T1031" t="s">
        <v>32</v>
      </c>
      <c r="U1031" t="s">
        <v>32</v>
      </c>
      <c r="V1031" t="s">
        <v>8152</v>
      </c>
      <c r="W1031" t="s">
        <v>32</v>
      </c>
      <c r="X1031" t="s">
        <v>32</v>
      </c>
      <c r="Y1031" t="s">
        <v>12337</v>
      </c>
      <c r="Z1031" t="s">
        <v>32</v>
      </c>
      <c r="AA1031" t="s">
        <v>12338</v>
      </c>
      <c r="AB1031" t="s">
        <v>12339</v>
      </c>
      <c r="AC1031" t="s">
        <v>12340</v>
      </c>
      <c r="AD1031" t="s">
        <v>32</v>
      </c>
      <c r="AE1031" t="s">
        <v>12341</v>
      </c>
      <c r="AF1031" t="s">
        <v>46835</v>
      </c>
    </row>
    <row r="1032" spans="1:32" x14ac:dyDescent="0.2">
      <c r="A1032">
        <v>1027</v>
      </c>
      <c r="B1032" t="s">
        <v>12342</v>
      </c>
      <c r="C1032" t="s">
        <v>12343</v>
      </c>
      <c r="D1032" t="s">
        <v>12344</v>
      </c>
      <c r="E1032" t="s">
        <v>12345</v>
      </c>
      <c r="F1032" t="s">
        <v>12346</v>
      </c>
      <c r="G1032" t="s">
        <v>32</v>
      </c>
      <c r="H1032" t="str">
        <f>"Lman1"</f>
        <v>Lman1</v>
      </c>
      <c r="I1032" t="s">
        <v>12347</v>
      </c>
      <c r="J1032" t="s">
        <v>37</v>
      </c>
      <c r="K1032">
        <v>10090</v>
      </c>
      <c r="L1032" s="3" t="str">
        <f>HYPERLINK("http://www.uniprot.org/uniprot/Q9D0F3", "Q9D0F3")</f>
        <v>Q9D0F3</v>
      </c>
      <c r="M1032" t="s">
        <v>12348</v>
      </c>
      <c r="N1032" t="str">
        <f>"Lman1"</f>
        <v>Lman1</v>
      </c>
      <c r="O1032" s="3" t="str">
        <f>HYPERLINK("http://www.informatics.jax.org/marker/MGI:1917611", "MGI:1917611")</f>
        <v>MGI:1917611</v>
      </c>
      <c r="P1032" t="s">
        <v>12349</v>
      </c>
      <c r="Q1032" t="s">
        <v>2916</v>
      </c>
      <c r="R1032" t="s">
        <v>11259</v>
      </c>
      <c r="S1032" t="s">
        <v>32</v>
      </c>
      <c r="T1032" t="s">
        <v>32</v>
      </c>
      <c r="U1032" t="s">
        <v>32</v>
      </c>
      <c r="V1032" t="s">
        <v>3948</v>
      </c>
      <c r="W1032" t="s">
        <v>12350</v>
      </c>
      <c r="X1032" t="s">
        <v>32</v>
      </c>
      <c r="Y1032" t="s">
        <v>2080</v>
      </c>
      <c r="Z1032" t="s">
        <v>32</v>
      </c>
      <c r="AA1032" t="s">
        <v>12351</v>
      </c>
      <c r="AB1032" t="s">
        <v>12352</v>
      </c>
      <c r="AC1032" t="s">
        <v>12353</v>
      </c>
      <c r="AD1032" t="s">
        <v>32</v>
      </c>
      <c r="AE1032" t="s">
        <v>12354</v>
      </c>
      <c r="AF1032" t="s">
        <v>46835</v>
      </c>
    </row>
    <row r="1033" spans="1:32" x14ac:dyDescent="0.2">
      <c r="A1033">
        <v>1028</v>
      </c>
      <c r="B1033" t="s">
        <v>12355</v>
      </c>
      <c r="C1033" t="s">
        <v>12356</v>
      </c>
      <c r="D1033" t="s">
        <v>12357</v>
      </c>
      <c r="E1033" t="s">
        <v>12358</v>
      </c>
      <c r="F1033" t="s">
        <v>12359</v>
      </c>
      <c r="G1033" t="s">
        <v>32</v>
      </c>
      <c r="H1033" t="str">
        <f>"Drg1"</f>
        <v>Drg1</v>
      </c>
      <c r="I1033" t="s">
        <v>12360</v>
      </c>
      <c r="J1033" t="s">
        <v>37</v>
      </c>
      <c r="K1033">
        <v>10090</v>
      </c>
      <c r="L1033" s="3" t="str">
        <f>HYPERLINK("http://www.uniprot.org/uniprot/P32233", "P32233")</f>
        <v>P32233</v>
      </c>
      <c r="M1033" t="s">
        <v>12361</v>
      </c>
      <c r="N1033" t="str">
        <f>"Drg1"</f>
        <v>Drg1</v>
      </c>
      <c r="O1033" s="3" t="str">
        <f>HYPERLINK("http://www.informatics.jax.org/marker/MGI:1343297", "MGI:1343297")</f>
        <v>MGI:1343297</v>
      </c>
      <c r="P1033" t="s">
        <v>12362</v>
      </c>
      <c r="Q1033" t="s">
        <v>32</v>
      </c>
      <c r="R1033" t="s">
        <v>40</v>
      </c>
      <c r="S1033" t="s">
        <v>32</v>
      </c>
      <c r="T1033" t="s">
        <v>32</v>
      </c>
      <c r="U1033" t="s">
        <v>32</v>
      </c>
      <c r="V1033" t="s">
        <v>32</v>
      </c>
      <c r="W1033" t="s">
        <v>342</v>
      </c>
      <c r="X1033" t="s">
        <v>343</v>
      </c>
      <c r="Y1033" t="s">
        <v>12363</v>
      </c>
      <c r="Z1033" t="s">
        <v>32</v>
      </c>
      <c r="AA1033" t="s">
        <v>12364</v>
      </c>
      <c r="AB1033" t="s">
        <v>12365</v>
      </c>
      <c r="AC1033" t="s">
        <v>12366</v>
      </c>
      <c r="AD1033" t="s">
        <v>32</v>
      </c>
      <c r="AE1033" t="s">
        <v>32</v>
      </c>
      <c r="AF1033" t="s">
        <v>46835</v>
      </c>
    </row>
    <row r="1034" spans="1:32" x14ac:dyDescent="0.2">
      <c r="A1034">
        <v>1029</v>
      </c>
      <c r="B1034" t="s">
        <v>12367</v>
      </c>
      <c r="C1034" t="s">
        <v>12368</v>
      </c>
      <c r="D1034" t="s">
        <v>12369</v>
      </c>
      <c r="E1034" t="s">
        <v>12370</v>
      </c>
      <c r="F1034" t="s">
        <v>12371</v>
      </c>
      <c r="G1034" t="s">
        <v>12372</v>
      </c>
      <c r="H1034" t="str">
        <f>"Mcm4"</f>
        <v>Mcm4</v>
      </c>
      <c r="I1034" t="s">
        <v>12373</v>
      </c>
      <c r="J1034" t="s">
        <v>37</v>
      </c>
      <c r="K1034">
        <v>10090</v>
      </c>
      <c r="L1034" s="3" t="str">
        <f>HYPERLINK("http://www.uniprot.org/uniprot/P49717", "P49717")</f>
        <v>P49717</v>
      </c>
      <c r="M1034" t="s">
        <v>12374</v>
      </c>
      <c r="N1034" t="str">
        <f>"Mcm4"</f>
        <v>Mcm4</v>
      </c>
      <c r="O1034" s="3" t="str">
        <f>HYPERLINK("http://www.informatics.jax.org/marker/MGI:103199", "MGI:103199")</f>
        <v>MGI:103199</v>
      </c>
      <c r="P1034" t="s">
        <v>12375</v>
      </c>
      <c r="Q1034" t="s">
        <v>11014</v>
      </c>
      <c r="R1034" t="s">
        <v>1939</v>
      </c>
      <c r="S1034" t="s">
        <v>32</v>
      </c>
      <c r="T1034" t="s">
        <v>32</v>
      </c>
      <c r="U1034" t="s">
        <v>32</v>
      </c>
      <c r="V1034" t="s">
        <v>32</v>
      </c>
      <c r="W1034" t="s">
        <v>205</v>
      </c>
      <c r="X1034" t="s">
        <v>11015</v>
      </c>
      <c r="Y1034" t="s">
        <v>516</v>
      </c>
      <c r="Z1034" t="s">
        <v>32</v>
      </c>
      <c r="AA1034" t="s">
        <v>11320</v>
      </c>
      <c r="AB1034" t="s">
        <v>11017</v>
      </c>
      <c r="AC1034" t="s">
        <v>11322</v>
      </c>
      <c r="AD1034" t="s">
        <v>32</v>
      </c>
      <c r="AE1034" t="s">
        <v>11019</v>
      </c>
      <c r="AF1034" t="s">
        <v>46835</v>
      </c>
    </row>
    <row r="1035" spans="1:32" x14ac:dyDescent="0.2">
      <c r="A1035">
        <v>1030</v>
      </c>
      <c r="B1035" t="s">
        <v>12376</v>
      </c>
      <c r="C1035" t="s">
        <v>12377</v>
      </c>
      <c r="D1035" t="s">
        <v>12378</v>
      </c>
      <c r="E1035" t="s">
        <v>12379</v>
      </c>
      <c r="F1035" t="s">
        <v>12380</v>
      </c>
      <c r="G1035" t="s">
        <v>12381</v>
      </c>
      <c r="H1035" t="str">
        <f>"Scfd1"</f>
        <v>Scfd1</v>
      </c>
      <c r="I1035" t="s">
        <v>12382</v>
      </c>
      <c r="J1035" t="s">
        <v>37</v>
      </c>
      <c r="K1035">
        <v>10090</v>
      </c>
      <c r="L1035" s="3" t="str">
        <f>HYPERLINK("http://www.uniprot.org/uniprot/Q8BRF7", "Q8BRF7")</f>
        <v>Q8BRF7</v>
      </c>
      <c r="M1035" t="s">
        <v>12383</v>
      </c>
      <c r="N1035" t="str">
        <f>"Scfd1"</f>
        <v>Scfd1</v>
      </c>
      <c r="O1035" s="3" t="str">
        <f>HYPERLINK("http://www.informatics.jax.org/marker/MGI:1924233", "MGI:1924233")</f>
        <v>MGI:1924233</v>
      </c>
      <c r="P1035" t="s">
        <v>12384</v>
      </c>
      <c r="Q1035" t="s">
        <v>2916</v>
      </c>
      <c r="R1035" t="s">
        <v>10053</v>
      </c>
      <c r="S1035" t="s">
        <v>41</v>
      </c>
      <c r="T1035" t="s">
        <v>32</v>
      </c>
      <c r="U1035" t="s">
        <v>32</v>
      </c>
      <c r="V1035" t="s">
        <v>32</v>
      </c>
      <c r="W1035" t="s">
        <v>32</v>
      </c>
      <c r="X1035" t="s">
        <v>32</v>
      </c>
      <c r="Y1035" t="s">
        <v>618</v>
      </c>
      <c r="Z1035" t="s">
        <v>32</v>
      </c>
      <c r="AA1035" t="s">
        <v>12385</v>
      </c>
      <c r="AB1035" t="s">
        <v>12386</v>
      </c>
      <c r="AC1035" t="s">
        <v>12387</v>
      </c>
      <c r="AD1035" t="s">
        <v>32</v>
      </c>
      <c r="AE1035" t="s">
        <v>12388</v>
      </c>
      <c r="AF1035" t="s">
        <v>46835</v>
      </c>
    </row>
    <row r="1036" spans="1:32" x14ac:dyDescent="0.2">
      <c r="A1036">
        <v>1031</v>
      </c>
      <c r="B1036" t="s">
        <v>12389</v>
      </c>
      <c r="C1036" t="s">
        <v>12390</v>
      </c>
      <c r="D1036" t="s">
        <v>12391</v>
      </c>
      <c r="E1036" t="s">
        <v>12392</v>
      </c>
      <c r="F1036" t="s">
        <v>12393</v>
      </c>
      <c r="G1036" t="s">
        <v>12394</v>
      </c>
      <c r="H1036" t="str">
        <f>"Rpl22"</f>
        <v>Rpl22</v>
      </c>
      <c r="I1036" t="s">
        <v>32</v>
      </c>
      <c r="J1036" t="s">
        <v>37</v>
      </c>
      <c r="K1036">
        <v>10090</v>
      </c>
      <c r="L1036" s="3" t="str">
        <f>HYPERLINK("http://www.uniprot.org/uniprot/P67984", "P67984")</f>
        <v>P67984</v>
      </c>
      <c r="M1036" t="s">
        <v>12395</v>
      </c>
      <c r="N1036" t="str">
        <f>"Rpl22"</f>
        <v>Rpl22</v>
      </c>
      <c r="O1036" s="3" t="str">
        <f>HYPERLINK("http://www.informatics.jax.org/marker/MGI:99262", "MGI:99262")</f>
        <v>MGI:99262</v>
      </c>
      <c r="P1036" t="s">
        <v>12396</v>
      </c>
      <c r="Q1036" t="s">
        <v>32</v>
      </c>
      <c r="R1036" t="s">
        <v>418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12397</v>
      </c>
      <c r="Y1036" t="s">
        <v>618</v>
      </c>
      <c r="Z1036" t="s">
        <v>126</v>
      </c>
      <c r="AA1036" t="s">
        <v>12398</v>
      </c>
      <c r="AB1036" t="s">
        <v>12399</v>
      </c>
      <c r="AC1036" t="s">
        <v>12400</v>
      </c>
      <c r="AD1036" t="s">
        <v>32</v>
      </c>
      <c r="AE1036" t="s">
        <v>765</v>
      </c>
      <c r="AF1036" t="s">
        <v>46835</v>
      </c>
    </row>
    <row r="1037" spans="1:32" x14ac:dyDescent="0.2">
      <c r="A1037">
        <v>1032</v>
      </c>
      <c r="B1037" t="s">
        <v>12401</v>
      </c>
      <c r="C1037" t="s">
        <v>12402</v>
      </c>
      <c r="D1037" t="s">
        <v>12403</v>
      </c>
      <c r="E1037" t="s">
        <v>12404</v>
      </c>
      <c r="F1037" t="s">
        <v>12405</v>
      </c>
      <c r="G1037" t="s">
        <v>12406</v>
      </c>
      <c r="H1037" t="str">
        <f>"Umps"</f>
        <v>Umps</v>
      </c>
      <c r="I1037" t="s">
        <v>32</v>
      </c>
      <c r="J1037" t="s">
        <v>37</v>
      </c>
      <c r="K1037">
        <v>10090</v>
      </c>
      <c r="L1037" s="3" t="str">
        <f>HYPERLINK("http://www.uniprot.org/uniprot/P13439", "P13439")</f>
        <v>P13439</v>
      </c>
      <c r="M1037" t="s">
        <v>12407</v>
      </c>
      <c r="N1037" t="str">
        <f>"Umps"</f>
        <v>Umps</v>
      </c>
      <c r="O1037" s="3" t="str">
        <f>HYPERLINK("http://www.informatics.jax.org/marker/MGI:1298388", "MGI:1298388")</f>
        <v>MGI:1298388</v>
      </c>
      <c r="P1037" t="s">
        <v>12408</v>
      </c>
      <c r="Q1037" t="s">
        <v>6845</v>
      </c>
      <c r="R1037" t="s">
        <v>32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12409</v>
      </c>
      <c r="Y1037" t="s">
        <v>618</v>
      </c>
      <c r="Z1037" t="s">
        <v>32</v>
      </c>
      <c r="AA1037" t="s">
        <v>12410</v>
      </c>
      <c r="AB1037" t="s">
        <v>110</v>
      </c>
      <c r="AC1037" t="s">
        <v>12411</v>
      </c>
      <c r="AD1037" t="s">
        <v>12412</v>
      </c>
      <c r="AE1037" t="s">
        <v>6853</v>
      </c>
      <c r="AF1037" t="s">
        <v>46835</v>
      </c>
    </row>
    <row r="1038" spans="1:32" x14ac:dyDescent="0.2">
      <c r="A1038">
        <v>1033</v>
      </c>
      <c r="B1038" t="s">
        <v>12413</v>
      </c>
      <c r="C1038" t="s">
        <v>12414</v>
      </c>
      <c r="D1038" t="s">
        <v>32</v>
      </c>
      <c r="E1038" t="s">
        <v>12415</v>
      </c>
      <c r="F1038" t="s">
        <v>12416</v>
      </c>
      <c r="G1038" t="s">
        <v>12417</v>
      </c>
      <c r="H1038" t="str">
        <f>"Rps29"</f>
        <v>Rps29</v>
      </c>
      <c r="I1038" t="s">
        <v>32</v>
      </c>
      <c r="J1038" t="s">
        <v>37</v>
      </c>
      <c r="K1038">
        <v>10090</v>
      </c>
      <c r="L1038" s="3" t="str">
        <f>HYPERLINK("http://www.uniprot.org/uniprot/P62274", "P62274")</f>
        <v>P62274</v>
      </c>
      <c r="M1038" t="s">
        <v>12418</v>
      </c>
      <c r="N1038" t="str">
        <f>"Rps29"</f>
        <v>Rps29</v>
      </c>
      <c r="O1038" s="3" t="str">
        <f>HYPERLINK("http://www.informatics.jax.org/marker/MGI:107681", "MGI:107681")</f>
        <v>MGI:107681</v>
      </c>
      <c r="P1038" t="s">
        <v>12419</v>
      </c>
      <c r="Q1038" t="s">
        <v>32</v>
      </c>
      <c r="R1038" t="s">
        <v>874</v>
      </c>
      <c r="S1038" t="s">
        <v>32</v>
      </c>
      <c r="T1038" t="s">
        <v>32</v>
      </c>
      <c r="U1038" t="s">
        <v>32</v>
      </c>
      <c r="V1038" t="s">
        <v>32</v>
      </c>
      <c r="W1038" t="s">
        <v>42</v>
      </c>
      <c r="X1038" t="s">
        <v>447</v>
      </c>
      <c r="Y1038" t="s">
        <v>97</v>
      </c>
      <c r="Z1038" t="s">
        <v>126</v>
      </c>
      <c r="AA1038" t="s">
        <v>1792</v>
      </c>
      <c r="AB1038" t="s">
        <v>6156</v>
      </c>
      <c r="AC1038" t="s">
        <v>12420</v>
      </c>
      <c r="AD1038" t="s">
        <v>32</v>
      </c>
      <c r="AE1038" t="s">
        <v>691</v>
      </c>
      <c r="AF1038" t="s">
        <v>46835</v>
      </c>
    </row>
    <row r="1039" spans="1:32" x14ac:dyDescent="0.2">
      <c r="A1039">
        <v>1034</v>
      </c>
      <c r="B1039" t="s">
        <v>12421</v>
      </c>
      <c r="C1039" t="s">
        <v>12422</v>
      </c>
      <c r="D1039" t="s">
        <v>32</v>
      </c>
      <c r="E1039" t="s">
        <v>12423</v>
      </c>
      <c r="F1039" t="s">
        <v>12424</v>
      </c>
      <c r="G1039" t="s">
        <v>32</v>
      </c>
      <c r="H1039" t="str">
        <f>"Gatd3"</f>
        <v>Gatd3</v>
      </c>
      <c r="I1039" t="s">
        <v>12425</v>
      </c>
      <c r="J1039" t="s">
        <v>37</v>
      </c>
      <c r="K1039">
        <v>10090</v>
      </c>
      <c r="L1039" s="3" t="str">
        <f>HYPERLINK("http://www.uniprot.org/uniprot/Q9D172", "Q9D172")</f>
        <v>Q9D172</v>
      </c>
      <c r="M1039" t="s">
        <v>12426</v>
      </c>
      <c r="N1039" t="str">
        <f>"Gatd3a"</f>
        <v>Gatd3a</v>
      </c>
      <c r="O1039" s="3" t="str">
        <f>HYPERLINK("http://www.informatics.jax.org/marker/MGI:1351861", "MGI:1351861")</f>
        <v>MGI:1351861</v>
      </c>
      <c r="P1039" t="s">
        <v>12427</v>
      </c>
      <c r="Q1039" t="s">
        <v>32</v>
      </c>
      <c r="R1039" t="s">
        <v>1038</v>
      </c>
      <c r="S1039" t="s">
        <v>32</v>
      </c>
      <c r="T1039" t="s">
        <v>32</v>
      </c>
      <c r="U1039" t="s">
        <v>32</v>
      </c>
      <c r="V1039" t="s">
        <v>1039</v>
      </c>
      <c r="W1039" t="s">
        <v>32</v>
      </c>
      <c r="X1039" t="s">
        <v>32</v>
      </c>
      <c r="Y1039" t="s">
        <v>78</v>
      </c>
      <c r="Z1039" t="s">
        <v>32</v>
      </c>
      <c r="AA1039" t="s">
        <v>32</v>
      </c>
      <c r="AB1039" t="s">
        <v>3721</v>
      </c>
      <c r="AC1039" t="s">
        <v>32</v>
      </c>
      <c r="AD1039" t="s">
        <v>32</v>
      </c>
      <c r="AE1039" t="s">
        <v>32</v>
      </c>
      <c r="AF1039" t="s">
        <v>46835</v>
      </c>
    </row>
    <row r="1040" spans="1:32" x14ac:dyDescent="0.2">
      <c r="A1040">
        <v>1035</v>
      </c>
      <c r="B1040" t="s">
        <v>12428</v>
      </c>
      <c r="C1040" t="s">
        <v>12429</v>
      </c>
      <c r="D1040" t="s">
        <v>12430</v>
      </c>
      <c r="E1040" t="s">
        <v>12431</v>
      </c>
      <c r="F1040" t="s">
        <v>12432</v>
      </c>
      <c r="G1040" t="s">
        <v>12433</v>
      </c>
      <c r="H1040" t="str">
        <f>"Kpna1"</f>
        <v>Kpna1</v>
      </c>
      <c r="I1040" t="s">
        <v>12434</v>
      </c>
      <c r="J1040" t="s">
        <v>37</v>
      </c>
      <c r="K1040">
        <v>10090</v>
      </c>
      <c r="L1040" s="3" t="str">
        <f>HYPERLINK("http://www.uniprot.org/uniprot/Q60960", "Q60960")</f>
        <v>Q60960</v>
      </c>
      <c r="M1040" t="s">
        <v>12435</v>
      </c>
      <c r="N1040" t="str">
        <f>"Kpna1"</f>
        <v>Kpna1</v>
      </c>
      <c r="O1040" s="3" t="str">
        <f>HYPERLINK("http://www.informatics.jax.org/marker/MGI:103560", "MGI:103560")</f>
        <v>MGI:103560</v>
      </c>
      <c r="P1040" t="s">
        <v>12436</v>
      </c>
      <c r="Q1040" t="s">
        <v>434</v>
      </c>
      <c r="R1040" t="s">
        <v>40</v>
      </c>
      <c r="S1040" t="s">
        <v>32</v>
      </c>
      <c r="T1040" t="s">
        <v>32</v>
      </c>
      <c r="U1040" t="s">
        <v>32</v>
      </c>
      <c r="V1040" t="s">
        <v>55</v>
      </c>
      <c r="W1040" t="s">
        <v>32</v>
      </c>
      <c r="X1040" t="s">
        <v>32</v>
      </c>
      <c r="Y1040" t="s">
        <v>1023</v>
      </c>
      <c r="Z1040" t="s">
        <v>32</v>
      </c>
      <c r="AA1040" t="s">
        <v>12437</v>
      </c>
      <c r="AB1040" t="s">
        <v>12438</v>
      </c>
      <c r="AC1040" t="s">
        <v>12439</v>
      </c>
      <c r="AD1040" t="s">
        <v>32</v>
      </c>
      <c r="AE1040" t="s">
        <v>12440</v>
      </c>
      <c r="AF1040" t="s">
        <v>46835</v>
      </c>
    </row>
    <row r="1041" spans="1:32" x14ac:dyDescent="0.2">
      <c r="A1041">
        <v>1036</v>
      </c>
      <c r="B1041" t="s">
        <v>12441</v>
      </c>
      <c r="C1041" t="s">
        <v>12442</v>
      </c>
      <c r="D1041" t="s">
        <v>12443</v>
      </c>
      <c r="E1041" t="s">
        <v>12444</v>
      </c>
      <c r="F1041" t="s">
        <v>12445</v>
      </c>
      <c r="G1041" t="s">
        <v>12446</v>
      </c>
      <c r="H1041" t="str">
        <f>"Snrpd3"</f>
        <v>Snrpd3</v>
      </c>
      <c r="I1041" t="s">
        <v>32</v>
      </c>
      <c r="J1041" t="s">
        <v>37</v>
      </c>
      <c r="K1041">
        <v>10090</v>
      </c>
      <c r="L1041" s="3" t="str">
        <f>HYPERLINK("http://www.uniprot.org/uniprot/P62320", "P62320")</f>
        <v>P62320</v>
      </c>
      <c r="M1041" t="s">
        <v>12447</v>
      </c>
      <c r="N1041" t="str">
        <f>"Snrpd3"</f>
        <v>Snrpd3</v>
      </c>
      <c r="O1041" s="3" t="str">
        <f>HYPERLINK("http://www.informatics.jax.org/marker/MGI:1914582", "MGI:1914582")</f>
        <v>MGI:1914582</v>
      </c>
      <c r="P1041" t="s">
        <v>12448</v>
      </c>
      <c r="Q1041" t="s">
        <v>2139</v>
      </c>
      <c r="R1041" t="s">
        <v>2219</v>
      </c>
      <c r="S1041" t="s">
        <v>32</v>
      </c>
      <c r="T1041" t="s">
        <v>32</v>
      </c>
      <c r="U1041" t="s">
        <v>32</v>
      </c>
      <c r="V1041" t="s">
        <v>55</v>
      </c>
      <c r="W1041" t="s">
        <v>32</v>
      </c>
      <c r="X1041" t="s">
        <v>1129</v>
      </c>
      <c r="Y1041" t="s">
        <v>57</v>
      </c>
      <c r="Z1041" t="s">
        <v>32</v>
      </c>
      <c r="AA1041" t="s">
        <v>12449</v>
      </c>
      <c r="AB1041" t="s">
        <v>12450</v>
      </c>
      <c r="AC1041" t="s">
        <v>12451</v>
      </c>
      <c r="AD1041" t="s">
        <v>32</v>
      </c>
      <c r="AE1041" t="s">
        <v>8082</v>
      </c>
      <c r="AF1041" t="s">
        <v>46835</v>
      </c>
    </row>
    <row r="1042" spans="1:32" x14ac:dyDescent="0.2">
      <c r="A1042">
        <v>1037</v>
      </c>
      <c r="B1042" t="s">
        <v>12452</v>
      </c>
      <c r="C1042" t="s">
        <v>12453</v>
      </c>
      <c r="D1042" t="s">
        <v>32</v>
      </c>
      <c r="E1042" t="s">
        <v>12454</v>
      </c>
      <c r="F1042" t="s">
        <v>12455</v>
      </c>
      <c r="G1042" t="s">
        <v>12456</v>
      </c>
      <c r="H1042" t="str">
        <f>"Pfdn2"</f>
        <v>Pfdn2</v>
      </c>
      <c r="I1042" t="s">
        <v>12457</v>
      </c>
      <c r="J1042" t="s">
        <v>37</v>
      </c>
      <c r="K1042">
        <v>10090</v>
      </c>
      <c r="L1042" s="3" t="str">
        <f>HYPERLINK("http://www.uniprot.org/uniprot/O70591", "O70591")</f>
        <v>O70591</v>
      </c>
      <c r="M1042" t="s">
        <v>12458</v>
      </c>
      <c r="N1042" t="str">
        <f>"Pfdn2"</f>
        <v>Pfdn2</v>
      </c>
      <c r="O1042" s="3" t="str">
        <f>HYPERLINK("http://www.informatics.jax.org/marker/MGI:1276111", "MGI:1276111")</f>
        <v>MGI:1276111</v>
      </c>
      <c r="P1042" t="s">
        <v>12459</v>
      </c>
      <c r="Q1042" t="s">
        <v>32</v>
      </c>
      <c r="R1042" t="s">
        <v>1021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388</v>
      </c>
      <c r="Y1042" t="s">
        <v>32</v>
      </c>
      <c r="Z1042" t="s">
        <v>32</v>
      </c>
      <c r="AA1042" t="s">
        <v>12460</v>
      </c>
      <c r="AB1042" t="s">
        <v>12461</v>
      </c>
      <c r="AC1042" t="s">
        <v>10577</v>
      </c>
      <c r="AD1042" t="s">
        <v>32</v>
      </c>
      <c r="AE1042" t="s">
        <v>32</v>
      </c>
      <c r="AF1042" t="s">
        <v>46835</v>
      </c>
    </row>
    <row r="1043" spans="1:32" x14ac:dyDescent="0.2">
      <c r="A1043">
        <v>1038</v>
      </c>
      <c r="B1043" t="s">
        <v>12462</v>
      </c>
      <c r="C1043" t="s">
        <v>12463</v>
      </c>
      <c r="D1043" t="s">
        <v>12464</v>
      </c>
      <c r="E1043" t="s">
        <v>12465</v>
      </c>
      <c r="F1043" t="s">
        <v>12466</v>
      </c>
      <c r="G1043" t="s">
        <v>32</v>
      </c>
      <c r="H1043" t="str">
        <f>"Nipsnap2"</f>
        <v>Nipsnap2</v>
      </c>
      <c r="I1043" t="s">
        <v>12467</v>
      </c>
      <c r="J1043" t="s">
        <v>37</v>
      </c>
      <c r="K1043">
        <v>10090</v>
      </c>
      <c r="L1043" s="3" t="str">
        <f>HYPERLINK("http://www.uniprot.org/uniprot/O55126", "O55126")</f>
        <v>O55126</v>
      </c>
      <c r="M1043" t="s">
        <v>12468</v>
      </c>
      <c r="N1043" t="str">
        <f>"Nipsnap2"</f>
        <v>Nipsnap2</v>
      </c>
      <c r="O1043" s="3" t="str">
        <f>HYPERLINK("http://www.informatics.jax.org/marker/MGI:1278343", "MGI:1278343")</f>
        <v>MGI:1278343</v>
      </c>
      <c r="P1043" t="s">
        <v>9642</v>
      </c>
      <c r="Q1043" t="s">
        <v>32</v>
      </c>
      <c r="R1043" t="s">
        <v>9642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32</v>
      </c>
      <c r="Y1043" t="s">
        <v>32</v>
      </c>
      <c r="Z1043" t="s">
        <v>32</v>
      </c>
      <c r="AA1043" t="s">
        <v>12469</v>
      </c>
      <c r="AB1043" t="s">
        <v>12470</v>
      </c>
      <c r="AC1043" t="s">
        <v>32</v>
      </c>
      <c r="AD1043" t="s">
        <v>32</v>
      </c>
      <c r="AE1043" t="s">
        <v>4969</v>
      </c>
      <c r="AF1043" t="s">
        <v>46835</v>
      </c>
    </row>
    <row r="1044" spans="1:32" x14ac:dyDescent="0.2">
      <c r="A1044">
        <v>1039</v>
      </c>
      <c r="B1044" t="s">
        <v>12471</v>
      </c>
      <c r="C1044" t="s">
        <v>12472</v>
      </c>
      <c r="D1044" t="s">
        <v>12473</v>
      </c>
      <c r="E1044" t="s">
        <v>12474</v>
      </c>
      <c r="F1044" t="s">
        <v>12475</v>
      </c>
      <c r="G1044" t="s">
        <v>12476</v>
      </c>
      <c r="H1044" t="str">
        <f>"Rbm39"</f>
        <v>Rbm39</v>
      </c>
      <c r="I1044" t="s">
        <v>12477</v>
      </c>
      <c r="J1044" t="s">
        <v>37</v>
      </c>
      <c r="K1044">
        <v>10090</v>
      </c>
      <c r="L1044" s="3" t="str">
        <f>HYPERLINK("http://www.uniprot.org/uniprot/Q8VH51", "Q8VH51")</f>
        <v>Q8VH51</v>
      </c>
      <c r="M1044" t="s">
        <v>12478</v>
      </c>
      <c r="N1044" t="str">
        <f>"Rbm39"</f>
        <v>Rbm39</v>
      </c>
      <c r="O1044" s="3" t="str">
        <f>HYPERLINK("http://www.informatics.jax.org/marker/MGI:2157953", "MGI:2157953")</f>
        <v>MGI:2157953</v>
      </c>
      <c r="P1044" t="s">
        <v>12479</v>
      </c>
      <c r="Q1044" t="s">
        <v>1348</v>
      </c>
      <c r="R1044" t="s">
        <v>2279</v>
      </c>
      <c r="S1044" t="s">
        <v>41</v>
      </c>
      <c r="T1044" t="s">
        <v>32</v>
      </c>
      <c r="U1044" t="s">
        <v>32</v>
      </c>
      <c r="V1044" t="s">
        <v>55</v>
      </c>
      <c r="W1044" t="s">
        <v>32</v>
      </c>
      <c r="X1044" t="s">
        <v>4869</v>
      </c>
      <c r="Y1044" t="s">
        <v>516</v>
      </c>
      <c r="Z1044" t="s">
        <v>126</v>
      </c>
      <c r="AA1044" t="s">
        <v>12480</v>
      </c>
      <c r="AB1044" t="s">
        <v>12481</v>
      </c>
      <c r="AC1044" t="s">
        <v>12482</v>
      </c>
      <c r="AD1044" t="s">
        <v>32</v>
      </c>
      <c r="AE1044" t="s">
        <v>12483</v>
      </c>
      <c r="AF1044" t="s">
        <v>46835</v>
      </c>
    </row>
    <row r="1045" spans="1:32" x14ac:dyDescent="0.2">
      <c r="A1045">
        <v>1040</v>
      </c>
      <c r="B1045" t="s">
        <v>12484</v>
      </c>
      <c r="C1045" t="s">
        <v>12485</v>
      </c>
      <c r="D1045" t="s">
        <v>12486</v>
      </c>
      <c r="E1045" t="s">
        <v>12487</v>
      </c>
      <c r="F1045" t="s">
        <v>12488</v>
      </c>
      <c r="G1045" t="s">
        <v>32</v>
      </c>
      <c r="H1045" t="str">
        <f>"Ndufb5"</f>
        <v>Ndufb5</v>
      </c>
      <c r="I1045" t="s">
        <v>32</v>
      </c>
      <c r="J1045" t="s">
        <v>37</v>
      </c>
      <c r="K1045">
        <v>10090</v>
      </c>
      <c r="L1045" s="3" t="str">
        <f>HYPERLINK("http://www.uniprot.org/uniprot/Q9CQH3", "Q9CQH3")</f>
        <v>Q9CQH3</v>
      </c>
      <c r="M1045" t="s">
        <v>12489</v>
      </c>
      <c r="N1045" t="str">
        <f>"Ndufb5"</f>
        <v>Ndufb5</v>
      </c>
      <c r="O1045" s="3" t="str">
        <f>HYPERLINK("http://www.informatics.jax.org/marker/MGI:1913296", "MGI:1913296")</f>
        <v>MGI:1913296</v>
      </c>
      <c r="P1045" t="s">
        <v>12490</v>
      </c>
      <c r="Q1045" t="s">
        <v>6888</v>
      </c>
      <c r="R1045" t="s">
        <v>3858</v>
      </c>
      <c r="S1045" t="s">
        <v>32</v>
      </c>
      <c r="T1045" t="s">
        <v>32</v>
      </c>
      <c r="U1045" t="s">
        <v>32</v>
      </c>
      <c r="V1045" t="s">
        <v>3859</v>
      </c>
      <c r="W1045" t="s">
        <v>32</v>
      </c>
      <c r="X1045" t="s">
        <v>32</v>
      </c>
      <c r="Y1045" t="s">
        <v>32</v>
      </c>
      <c r="Z1045" t="s">
        <v>126</v>
      </c>
      <c r="AA1045" t="s">
        <v>12491</v>
      </c>
      <c r="AB1045" t="s">
        <v>10917</v>
      </c>
      <c r="AC1045" t="s">
        <v>32</v>
      </c>
      <c r="AD1045" t="s">
        <v>32</v>
      </c>
      <c r="AE1045" t="s">
        <v>10470</v>
      </c>
      <c r="AF1045" t="s">
        <v>46835</v>
      </c>
    </row>
    <row r="1046" spans="1:32" x14ac:dyDescent="0.2">
      <c r="A1046">
        <v>1041</v>
      </c>
      <c r="B1046" t="s">
        <v>12492</v>
      </c>
      <c r="C1046" t="s">
        <v>12493</v>
      </c>
      <c r="D1046" t="s">
        <v>12494</v>
      </c>
      <c r="E1046" t="s">
        <v>12495</v>
      </c>
      <c r="F1046" t="s">
        <v>12496</v>
      </c>
      <c r="G1046" t="s">
        <v>12497</v>
      </c>
      <c r="H1046" t="str">
        <f>"Gsto1"</f>
        <v>Gsto1</v>
      </c>
      <c r="I1046" t="s">
        <v>12498</v>
      </c>
      <c r="J1046" t="s">
        <v>37</v>
      </c>
      <c r="K1046">
        <v>10090</v>
      </c>
      <c r="L1046" s="3" t="str">
        <f>HYPERLINK("http://www.uniprot.org/uniprot/O09131", "O09131")</f>
        <v>O09131</v>
      </c>
      <c r="M1046" t="s">
        <v>12499</v>
      </c>
      <c r="N1046" t="str">
        <f>"Gsto1"</f>
        <v>Gsto1</v>
      </c>
      <c r="O1046" s="3" t="str">
        <f>HYPERLINK("http://www.informatics.jax.org/marker/MGI:1342273", "MGI:1342273")</f>
        <v>MGI:1342273</v>
      </c>
      <c r="P1046" t="s">
        <v>12500</v>
      </c>
      <c r="Q1046" t="s">
        <v>32</v>
      </c>
      <c r="R1046" t="s">
        <v>418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326</v>
      </c>
      <c r="Y1046" t="s">
        <v>157</v>
      </c>
      <c r="Z1046" t="s">
        <v>32</v>
      </c>
      <c r="AA1046" t="s">
        <v>12501</v>
      </c>
      <c r="AB1046" t="s">
        <v>12502</v>
      </c>
      <c r="AC1046" t="s">
        <v>12503</v>
      </c>
      <c r="AD1046" t="s">
        <v>32</v>
      </c>
      <c r="AE1046" t="s">
        <v>12504</v>
      </c>
      <c r="AF1046" t="s">
        <v>46835</v>
      </c>
    </row>
    <row r="1047" spans="1:32" x14ac:dyDescent="0.2">
      <c r="A1047">
        <v>1042</v>
      </c>
      <c r="B1047" t="s">
        <v>12505</v>
      </c>
      <c r="C1047" t="s">
        <v>12506</v>
      </c>
      <c r="D1047" t="s">
        <v>12507</v>
      </c>
      <c r="E1047" t="s">
        <v>12508</v>
      </c>
      <c r="F1047" t="s">
        <v>12509</v>
      </c>
      <c r="G1047" t="s">
        <v>12510</v>
      </c>
      <c r="H1047" t="str">
        <f>"Snta1"</f>
        <v>Snta1</v>
      </c>
      <c r="I1047" t="s">
        <v>12511</v>
      </c>
      <c r="J1047" t="s">
        <v>37</v>
      </c>
      <c r="K1047">
        <v>10090</v>
      </c>
      <c r="L1047" s="3" t="str">
        <f>HYPERLINK("http://www.uniprot.org/uniprot/Q61234", "Q61234")</f>
        <v>Q61234</v>
      </c>
      <c r="M1047" t="s">
        <v>12512</v>
      </c>
      <c r="N1047" t="str">
        <f>"Snta1"</f>
        <v>Snta1</v>
      </c>
      <c r="O1047" s="3" t="str">
        <f>HYPERLINK("http://www.informatics.jax.org/marker/MGI:101772", "MGI:101772")</f>
        <v>MGI:101772</v>
      </c>
      <c r="P1047" t="s">
        <v>12513</v>
      </c>
      <c r="Q1047" t="s">
        <v>32</v>
      </c>
      <c r="R1047" t="s">
        <v>3015</v>
      </c>
      <c r="S1047" t="s">
        <v>32</v>
      </c>
      <c r="T1047" t="s">
        <v>32</v>
      </c>
      <c r="U1047" t="s">
        <v>32</v>
      </c>
      <c r="V1047" t="s">
        <v>55</v>
      </c>
      <c r="W1047" t="s">
        <v>1380</v>
      </c>
      <c r="X1047" t="s">
        <v>5561</v>
      </c>
      <c r="Y1047" t="s">
        <v>618</v>
      </c>
      <c r="Z1047" t="s">
        <v>126</v>
      </c>
      <c r="AA1047" t="s">
        <v>12514</v>
      </c>
      <c r="AB1047" t="s">
        <v>12515</v>
      </c>
      <c r="AC1047" t="s">
        <v>12516</v>
      </c>
      <c r="AD1047" t="s">
        <v>32</v>
      </c>
      <c r="AE1047" t="s">
        <v>32</v>
      </c>
      <c r="AF1047" t="s">
        <v>46835</v>
      </c>
    </row>
    <row r="1048" spans="1:32" x14ac:dyDescent="0.2">
      <c r="A1048">
        <v>1043</v>
      </c>
      <c r="B1048" t="s">
        <v>12517</v>
      </c>
      <c r="C1048" t="s">
        <v>12518</v>
      </c>
      <c r="D1048" t="s">
        <v>12519</v>
      </c>
      <c r="E1048" t="s">
        <v>12520</v>
      </c>
      <c r="F1048" t="s">
        <v>12521</v>
      </c>
      <c r="G1048" t="s">
        <v>12522</v>
      </c>
      <c r="H1048" t="str">
        <f>"Slc2a1"</f>
        <v>Slc2a1</v>
      </c>
      <c r="I1048" t="s">
        <v>32</v>
      </c>
      <c r="J1048" t="s">
        <v>37</v>
      </c>
      <c r="K1048">
        <v>10090</v>
      </c>
      <c r="L1048" s="3" t="str">
        <f>HYPERLINK("http://www.uniprot.org/uniprot/P17809", "P17809")</f>
        <v>P17809</v>
      </c>
      <c r="M1048" t="s">
        <v>12523</v>
      </c>
      <c r="N1048" t="str">
        <f>"Slc2a1"</f>
        <v>Slc2a1</v>
      </c>
      <c r="O1048" s="3" t="str">
        <f>HYPERLINK("http://www.informatics.jax.org/marker/MGI:95755", "MGI:95755")</f>
        <v>MGI:95755</v>
      </c>
      <c r="P1048" t="s">
        <v>12524</v>
      </c>
      <c r="Q1048" t="s">
        <v>12525</v>
      </c>
      <c r="R1048" t="s">
        <v>2474</v>
      </c>
      <c r="S1048" t="s">
        <v>32</v>
      </c>
      <c r="T1048" t="s">
        <v>32</v>
      </c>
      <c r="U1048" t="s">
        <v>32</v>
      </c>
      <c r="V1048" t="s">
        <v>493</v>
      </c>
      <c r="W1048" t="s">
        <v>32</v>
      </c>
      <c r="X1048" t="s">
        <v>32</v>
      </c>
      <c r="Y1048" t="s">
        <v>372</v>
      </c>
      <c r="Z1048" t="s">
        <v>32</v>
      </c>
      <c r="AA1048" t="s">
        <v>12526</v>
      </c>
      <c r="AB1048" t="s">
        <v>12527</v>
      </c>
      <c r="AC1048" t="s">
        <v>12528</v>
      </c>
      <c r="AD1048" t="s">
        <v>32</v>
      </c>
      <c r="AE1048" t="s">
        <v>12529</v>
      </c>
      <c r="AF1048" t="s">
        <v>46835</v>
      </c>
    </row>
    <row r="1049" spans="1:32" x14ac:dyDescent="0.2">
      <c r="A1049">
        <v>1044</v>
      </c>
      <c r="B1049" t="s">
        <v>12530</v>
      </c>
      <c r="C1049" t="s">
        <v>12531</v>
      </c>
      <c r="D1049" t="s">
        <v>32</v>
      </c>
      <c r="E1049" t="s">
        <v>12532</v>
      </c>
      <c r="F1049" t="s">
        <v>12533</v>
      </c>
      <c r="G1049" t="s">
        <v>12534</v>
      </c>
      <c r="H1049" t="str">
        <f>"Hnrnpll"</f>
        <v>Hnrnpll</v>
      </c>
      <c r="I1049" t="s">
        <v>12535</v>
      </c>
      <c r="J1049" t="s">
        <v>37</v>
      </c>
      <c r="K1049">
        <v>10090</v>
      </c>
      <c r="L1049" s="3" t="str">
        <f>HYPERLINK("http://www.uniprot.org/uniprot/Q921F4", "Q921F4")</f>
        <v>Q921F4</v>
      </c>
      <c r="M1049" t="s">
        <v>12536</v>
      </c>
      <c r="N1049" t="str">
        <f>"Hnrnpll"</f>
        <v>Hnrnpll</v>
      </c>
      <c r="O1049" s="3" t="str">
        <f>HYPERLINK("http://www.informatics.jax.org/marker/MGI:1919942", "MGI:1919942")</f>
        <v>MGI:1919942</v>
      </c>
      <c r="P1049" t="s">
        <v>12537</v>
      </c>
      <c r="Q1049" t="s">
        <v>32</v>
      </c>
      <c r="R1049" t="s">
        <v>32</v>
      </c>
      <c r="S1049" t="s">
        <v>41</v>
      </c>
      <c r="T1049" t="s">
        <v>32</v>
      </c>
      <c r="U1049" t="s">
        <v>32</v>
      </c>
      <c r="V1049" t="s">
        <v>55</v>
      </c>
      <c r="W1049" t="s">
        <v>32</v>
      </c>
      <c r="X1049" t="s">
        <v>1129</v>
      </c>
      <c r="Y1049" t="s">
        <v>1007</v>
      </c>
      <c r="Z1049" t="s">
        <v>126</v>
      </c>
      <c r="AA1049" t="s">
        <v>12538</v>
      </c>
      <c r="AB1049" t="s">
        <v>12539</v>
      </c>
      <c r="AC1049" t="s">
        <v>4168</v>
      </c>
      <c r="AD1049" t="s">
        <v>32</v>
      </c>
      <c r="AE1049" t="s">
        <v>32</v>
      </c>
      <c r="AF1049" t="s">
        <v>46835</v>
      </c>
    </row>
    <row r="1050" spans="1:32" x14ac:dyDescent="0.2">
      <c r="A1050">
        <v>1045</v>
      </c>
      <c r="B1050" t="s">
        <v>12540</v>
      </c>
      <c r="C1050" t="s">
        <v>12541</v>
      </c>
      <c r="D1050" t="s">
        <v>12542</v>
      </c>
      <c r="E1050" t="s">
        <v>12543</v>
      </c>
      <c r="F1050" t="s">
        <v>12544</v>
      </c>
      <c r="G1050" t="s">
        <v>12545</v>
      </c>
      <c r="H1050" t="str">
        <f>"Skt"</f>
        <v>Skt</v>
      </c>
      <c r="I1050" t="s">
        <v>32</v>
      </c>
      <c r="J1050" t="s">
        <v>37</v>
      </c>
      <c r="K1050">
        <v>10090</v>
      </c>
      <c r="L1050" s="3" t="str">
        <f>HYPERLINK("http://www.uniprot.org/uniprot/A2AQ25", "A2AQ25")</f>
        <v>A2AQ25</v>
      </c>
      <c r="M1050" t="s">
        <v>12546</v>
      </c>
      <c r="N1050" t="str">
        <f>"Etl4"</f>
        <v>Etl4</v>
      </c>
      <c r="O1050" s="3" t="str">
        <f>HYPERLINK("http://www.informatics.jax.org/marker/MGI:95454", "MGI:95454")</f>
        <v>MGI:95454</v>
      </c>
      <c r="P1050" t="s">
        <v>12547</v>
      </c>
      <c r="Q1050" t="s">
        <v>32</v>
      </c>
      <c r="R1050" t="s">
        <v>418</v>
      </c>
      <c r="S1050" t="s">
        <v>41</v>
      </c>
      <c r="T1050" t="s">
        <v>32</v>
      </c>
      <c r="U1050" t="s">
        <v>32</v>
      </c>
      <c r="V1050" t="s">
        <v>290</v>
      </c>
      <c r="W1050" t="s">
        <v>32</v>
      </c>
      <c r="X1050" t="s">
        <v>2029</v>
      </c>
      <c r="Y1050" t="s">
        <v>4720</v>
      </c>
      <c r="Z1050" t="s">
        <v>32</v>
      </c>
      <c r="AA1050" t="s">
        <v>12548</v>
      </c>
      <c r="AB1050" t="s">
        <v>2172</v>
      </c>
      <c r="AC1050" t="s">
        <v>32</v>
      </c>
      <c r="AD1050" t="s">
        <v>32</v>
      </c>
      <c r="AE1050" t="s">
        <v>32</v>
      </c>
      <c r="AF1050" t="s">
        <v>46835</v>
      </c>
    </row>
    <row r="1051" spans="1:32" x14ac:dyDescent="0.2">
      <c r="A1051">
        <v>1046</v>
      </c>
      <c r="B1051" t="s">
        <v>12549</v>
      </c>
      <c r="C1051" t="s">
        <v>12550</v>
      </c>
      <c r="D1051" t="s">
        <v>32</v>
      </c>
      <c r="E1051" t="s">
        <v>12551</v>
      </c>
      <c r="F1051" t="s">
        <v>12552</v>
      </c>
      <c r="G1051" t="s">
        <v>12553</v>
      </c>
      <c r="H1051" t="str">
        <f>"Cul5"</f>
        <v>Cul5</v>
      </c>
      <c r="I1051" t="s">
        <v>32</v>
      </c>
      <c r="J1051" t="s">
        <v>37</v>
      </c>
      <c r="K1051">
        <v>10090</v>
      </c>
      <c r="L1051" s="3" t="str">
        <f>HYPERLINK("http://www.uniprot.org/uniprot/Q9D5V5", "Q9D5V5")</f>
        <v>Q9D5V5</v>
      </c>
      <c r="M1051" t="s">
        <v>12554</v>
      </c>
      <c r="N1051" t="str">
        <f>"Cul5"</f>
        <v>Cul5</v>
      </c>
      <c r="O1051" s="3" t="str">
        <f>HYPERLINK("http://www.informatics.jax.org/marker/MGI:1922967", "MGI:1922967")</f>
        <v>MGI:1922967</v>
      </c>
      <c r="P1051" t="s">
        <v>12555</v>
      </c>
      <c r="Q1051" t="s">
        <v>1020</v>
      </c>
      <c r="R1051" t="s">
        <v>32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32</v>
      </c>
      <c r="Y1051" t="s">
        <v>1007</v>
      </c>
      <c r="Z1051" t="s">
        <v>126</v>
      </c>
      <c r="AA1051" t="s">
        <v>12556</v>
      </c>
      <c r="AB1051" t="s">
        <v>12557</v>
      </c>
      <c r="AC1051" t="s">
        <v>11594</v>
      </c>
      <c r="AD1051" t="s">
        <v>1027</v>
      </c>
      <c r="AE1051" t="s">
        <v>12558</v>
      </c>
      <c r="AF1051" t="s">
        <v>46835</v>
      </c>
    </row>
    <row r="1052" spans="1:32" x14ac:dyDescent="0.2">
      <c r="A1052">
        <v>1047</v>
      </c>
      <c r="B1052" t="s">
        <v>12559</v>
      </c>
      <c r="C1052" t="s">
        <v>12560</v>
      </c>
      <c r="D1052" t="s">
        <v>12561</v>
      </c>
      <c r="E1052" t="s">
        <v>12562</v>
      </c>
      <c r="F1052" t="s">
        <v>12563</v>
      </c>
      <c r="G1052" t="s">
        <v>12564</v>
      </c>
      <c r="H1052" t="str">
        <f>"Nxn"</f>
        <v>Nxn</v>
      </c>
      <c r="I1052" t="s">
        <v>12565</v>
      </c>
      <c r="J1052" t="s">
        <v>37</v>
      </c>
      <c r="K1052">
        <v>10090</v>
      </c>
      <c r="L1052" s="3" t="str">
        <f>HYPERLINK("http://www.uniprot.org/uniprot/P97346", "P97346")</f>
        <v>P97346</v>
      </c>
      <c r="M1052" t="s">
        <v>12566</v>
      </c>
      <c r="N1052" t="str">
        <f>"Nxn"</f>
        <v>Nxn</v>
      </c>
      <c r="O1052" s="3" t="str">
        <f>HYPERLINK("http://www.informatics.jax.org/marker/MGI:109331", "MGI:109331")</f>
        <v>MGI:109331</v>
      </c>
      <c r="P1052" t="s">
        <v>12567</v>
      </c>
      <c r="Q1052" t="s">
        <v>9743</v>
      </c>
      <c r="R1052" t="s">
        <v>40</v>
      </c>
      <c r="S1052" t="s">
        <v>41</v>
      </c>
      <c r="T1052" t="s">
        <v>32</v>
      </c>
      <c r="U1052" t="s">
        <v>32</v>
      </c>
      <c r="V1052" t="s">
        <v>32</v>
      </c>
      <c r="W1052" t="s">
        <v>325</v>
      </c>
      <c r="X1052" t="s">
        <v>12568</v>
      </c>
      <c r="Y1052" t="s">
        <v>78</v>
      </c>
      <c r="Z1052" t="s">
        <v>32</v>
      </c>
      <c r="AA1052" t="s">
        <v>12569</v>
      </c>
      <c r="AB1052" t="s">
        <v>928</v>
      </c>
      <c r="AC1052" t="s">
        <v>12570</v>
      </c>
      <c r="AD1052" t="s">
        <v>32</v>
      </c>
      <c r="AE1052" t="s">
        <v>32</v>
      </c>
      <c r="AF1052" t="s">
        <v>46835</v>
      </c>
    </row>
    <row r="1053" spans="1:32" x14ac:dyDescent="0.2">
      <c r="A1053">
        <v>1048</v>
      </c>
      <c r="B1053" t="s">
        <v>12571</v>
      </c>
      <c r="C1053" t="s">
        <v>12572</v>
      </c>
      <c r="D1053" t="s">
        <v>32</v>
      </c>
      <c r="E1053" t="s">
        <v>12573</v>
      </c>
      <c r="F1053" t="s">
        <v>12574</v>
      </c>
      <c r="G1053" t="s">
        <v>12575</v>
      </c>
      <c r="H1053" t="str">
        <f>"Ppp6c"</f>
        <v>Ppp6c</v>
      </c>
      <c r="I1053" t="s">
        <v>32</v>
      </c>
      <c r="J1053" t="s">
        <v>37</v>
      </c>
      <c r="K1053">
        <v>10090</v>
      </c>
      <c r="L1053" s="3" t="str">
        <f>HYPERLINK("http://www.uniprot.org/uniprot/Q9CQR6", "Q9CQR6")</f>
        <v>Q9CQR6</v>
      </c>
      <c r="M1053" t="s">
        <v>12576</v>
      </c>
      <c r="N1053" t="str">
        <f>"Ppp6c"</f>
        <v>Ppp6c</v>
      </c>
      <c r="O1053" s="3" t="str">
        <f>HYPERLINK("http://www.informatics.jax.org/marker/MGI:1915107", "MGI:1915107")</f>
        <v>MGI:1915107</v>
      </c>
      <c r="P1053" t="s">
        <v>12577</v>
      </c>
      <c r="Q1053" t="s">
        <v>12578</v>
      </c>
      <c r="R1053" t="s">
        <v>1842</v>
      </c>
      <c r="S1053" t="s">
        <v>32</v>
      </c>
      <c r="T1053" t="s">
        <v>32</v>
      </c>
      <c r="U1053" t="s">
        <v>32</v>
      </c>
      <c r="V1053" t="s">
        <v>32</v>
      </c>
      <c r="W1053" t="s">
        <v>5883</v>
      </c>
      <c r="X1053" t="s">
        <v>3683</v>
      </c>
      <c r="Y1053" t="s">
        <v>78</v>
      </c>
      <c r="Z1053" t="s">
        <v>32</v>
      </c>
      <c r="AA1053" t="s">
        <v>12579</v>
      </c>
      <c r="AB1053" t="s">
        <v>3903</v>
      </c>
      <c r="AC1053" t="s">
        <v>12580</v>
      </c>
      <c r="AD1053" t="s">
        <v>32</v>
      </c>
      <c r="AE1053" t="s">
        <v>12581</v>
      </c>
      <c r="AF1053" t="s">
        <v>46835</v>
      </c>
    </row>
    <row r="1054" spans="1:32" x14ac:dyDescent="0.2">
      <c r="A1054">
        <v>1049</v>
      </c>
      <c r="B1054" t="s">
        <v>12582</v>
      </c>
      <c r="C1054" t="s">
        <v>12583</v>
      </c>
      <c r="D1054" t="s">
        <v>12584</v>
      </c>
      <c r="E1054" t="s">
        <v>12585</v>
      </c>
      <c r="F1054" t="s">
        <v>12586</v>
      </c>
      <c r="G1054" t="s">
        <v>12587</v>
      </c>
      <c r="H1054" t="str">
        <f>"Spta1"</f>
        <v>Spta1</v>
      </c>
      <c r="I1054" t="s">
        <v>12588</v>
      </c>
      <c r="J1054" t="s">
        <v>37</v>
      </c>
      <c r="K1054">
        <v>10090</v>
      </c>
      <c r="L1054" s="3" t="str">
        <f>HYPERLINK("http://www.uniprot.org/uniprot/P08032", "P08032")</f>
        <v>P08032</v>
      </c>
      <c r="M1054" t="s">
        <v>12589</v>
      </c>
      <c r="N1054" t="str">
        <f>"Spta1"</f>
        <v>Spta1</v>
      </c>
      <c r="O1054" s="3" t="str">
        <f>HYPERLINK("http://www.informatics.jax.org/marker/MGI:98385", "MGI:98385")</f>
        <v>MGI:98385</v>
      </c>
      <c r="P1054" t="s">
        <v>12590</v>
      </c>
      <c r="Q1054" t="s">
        <v>646</v>
      </c>
      <c r="R1054" t="s">
        <v>186</v>
      </c>
      <c r="S1054" t="s">
        <v>32</v>
      </c>
      <c r="T1054" t="s">
        <v>32</v>
      </c>
      <c r="U1054" t="s">
        <v>32</v>
      </c>
      <c r="V1054" t="s">
        <v>187</v>
      </c>
      <c r="W1054" t="s">
        <v>188</v>
      </c>
      <c r="X1054" t="s">
        <v>479</v>
      </c>
      <c r="Y1054" t="s">
        <v>618</v>
      </c>
      <c r="Z1054" t="s">
        <v>32</v>
      </c>
      <c r="AA1054" t="s">
        <v>12591</v>
      </c>
      <c r="AB1054" t="s">
        <v>12592</v>
      </c>
      <c r="AC1054" t="s">
        <v>12593</v>
      </c>
      <c r="AD1054" t="s">
        <v>32</v>
      </c>
      <c r="AE1054" t="s">
        <v>1200</v>
      </c>
      <c r="AF1054" t="s">
        <v>46835</v>
      </c>
    </row>
    <row r="1055" spans="1:32" x14ac:dyDescent="0.2">
      <c r="A1055">
        <v>1050</v>
      </c>
      <c r="B1055" t="s">
        <v>12594</v>
      </c>
      <c r="C1055" t="s">
        <v>12595</v>
      </c>
      <c r="D1055" t="s">
        <v>32</v>
      </c>
      <c r="E1055" t="s">
        <v>12596</v>
      </c>
      <c r="F1055" t="s">
        <v>12597</v>
      </c>
      <c r="G1055" t="s">
        <v>12598</v>
      </c>
      <c r="H1055" t="str">
        <f>"H2ac15"</f>
        <v>H2ac15</v>
      </c>
      <c r="I1055" t="s">
        <v>12599</v>
      </c>
      <c r="J1055" t="s">
        <v>37</v>
      </c>
      <c r="K1055">
        <v>10090</v>
      </c>
      <c r="L1055" s="3" t="str">
        <f>HYPERLINK("http://www.uniprot.org/uniprot/Q8CGP7", "Q8CGP7")</f>
        <v>Q8CGP7</v>
      </c>
      <c r="M1055" t="s">
        <v>12600</v>
      </c>
      <c r="N1055" t="str">
        <f>"H2ac15"</f>
        <v>H2ac15</v>
      </c>
      <c r="O1055" s="3" t="str">
        <f>HYPERLINK("http://www.informatics.jax.org/marker/MGI:2448297", "MGI:2448297")</f>
        <v>MGI:2448297</v>
      </c>
      <c r="P1055" t="s">
        <v>12601</v>
      </c>
      <c r="Q1055" t="s">
        <v>32</v>
      </c>
      <c r="R1055" t="s">
        <v>246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247</v>
      </c>
      <c r="Y1055" t="s">
        <v>357</v>
      </c>
      <c r="Z1055" t="s">
        <v>32</v>
      </c>
      <c r="AA1055" t="s">
        <v>32</v>
      </c>
      <c r="AB1055" t="s">
        <v>12602</v>
      </c>
      <c r="AC1055" t="s">
        <v>251</v>
      </c>
      <c r="AD1055" t="s">
        <v>32</v>
      </c>
      <c r="AE1055" t="s">
        <v>12603</v>
      </c>
      <c r="AF1055" t="s">
        <v>46835</v>
      </c>
    </row>
    <row r="1056" spans="1:32" x14ac:dyDescent="0.2">
      <c r="A1056">
        <v>1051</v>
      </c>
      <c r="B1056" t="s">
        <v>12604</v>
      </c>
      <c r="C1056" t="s">
        <v>12605</v>
      </c>
      <c r="D1056" t="s">
        <v>12606</v>
      </c>
      <c r="E1056" t="s">
        <v>12607</v>
      </c>
      <c r="F1056" t="s">
        <v>12608</v>
      </c>
      <c r="G1056" t="s">
        <v>12609</v>
      </c>
      <c r="H1056" t="str">
        <f>"Psmd9"</f>
        <v>Psmd9</v>
      </c>
      <c r="I1056" t="s">
        <v>32</v>
      </c>
      <c r="J1056" t="s">
        <v>37</v>
      </c>
      <c r="K1056">
        <v>10090</v>
      </c>
      <c r="L1056" s="3" t="str">
        <f>HYPERLINK("http://www.uniprot.org/uniprot/Q9CR00", "Q9CR00")</f>
        <v>Q9CR00</v>
      </c>
      <c r="M1056" t="s">
        <v>12610</v>
      </c>
      <c r="N1056" t="str">
        <f>"Psmd9"</f>
        <v>Psmd9</v>
      </c>
      <c r="O1056" s="3" t="str">
        <f>HYPERLINK("http://www.informatics.jax.org/marker/MGI:1914401", "MGI:1914401")</f>
        <v>MGI:1914401</v>
      </c>
      <c r="P1056" t="s">
        <v>12611</v>
      </c>
      <c r="Q1056" t="s">
        <v>32</v>
      </c>
      <c r="R1056" t="s">
        <v>32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388</v>
      </c>
      <c r="Y1056" t="s">
        <v>618</v>
      </c>
      <c r="Z1056" t="s">
        <v>32</v>
      </c>
      <c r="AA1056" t="s">
        <v>12612</v>
      </c>
      <c r="AB1056" t="s">
        <v>12613</v>
      </c>
      <c r="AC1056" t="s">
        <v>12614</v>
      </c>
      <c r="AD1056" t="s">
        <v>32</v>
      </c>
      <c r="AE1056" t="s">
        <v>2774</v>
      </c>
      <c r="AF1056" t="s">
        <v>46835</v>
      </c>
    </row>
    <row r="1057" spans="1:33" x14ac:dyDescent="0.2">
      <c r="A1057">
        <v>1052</v>
      </c>
      <c r="B1057" t="s">
        <v>12615</v>
      </c>
      <c r="C1057" t="s">
        <v>12616</v>
      </c>
      <c r="D1057" t="s">
        <v>12617</v>
      </c>
      <c r="E1057" t="s">
        <v>12618</v>
      </c>
      <c r="F1057" t="s">
        <v>12619</v>
      </c>
      <c r="G1057" t="s">
        <v>12620</v>
      </c>
      <c r="H1057" t="str">
        <f>"Shc1"</f>
        <v>Shc1</v>
      </c>
      <c r="I1057" t="s">
        <v>12621</v>
      </c>
      <c r="J1057" t="s">
        <v>37</v>
      </c>
      <c r="K1057">
        <v>10090</v>
      </c>
      <c r="L1057" s="3" t="str">
        <f>HYPERLINK("http://www.uniprot.org/uniprot/P98083", "P98083")</f>
        <v>P98083</v>
      </c>
      <c r="M1057" t="s">
        <v>12622</v>
      </c>
      <c r="N1057" t="str">
        <f>"Shc1"</f>
        <v>Shc1</v>
      </c>
      <c r="O1057" s="3" t="str">
        <f>HYPERLINK("http://www.informatics.jax.org/marker/MGI:98296", "MGI:98296")</f>
        <v>MGI:98296</v>
      </c>
      <c r="P1057" t="s">
        <v>12623</v>
      </c>
      <c r="Q1057" t="s">
        <v>12624</v>
      </c>
      <c r="R1057" t="s">
        <v>1842</v>
      </c>
      <c r="S1057" t="s">
        <v>8503</v>
      </c>
      <c r="T1057" t="s">
        <v>32</v>
      </c>
      <c r="U1057" t="s">
        <v>32</v>
      </c>
      <c r="V1057" t="s">
        <v>12625</v>
      </c>
      <c r="W1057" t="s">
        <v>32</v>
      </c>
      <c r="X1057" t="s">
        <v>32</v>
      </c>
      <c r="Y1057" t="s">
        <v>157</v>
      </c>
      <c r="Z1057" t="s">
        <v>32</v>
      </c>
      <c r="AA1057" t="s">
        <v>12626</v>
      </c>
      <c r="AB1057" t="s">
        <v>12627</v>
      </c>
      <c r="AC1057" t="s">
        <v>12628</v>
      </c>
      <c r="AD1057" t="s">
        <v>32</v>
      </c>
      <c r="AE1057" t="s">
        <v>12629</v>
      </c>
      <c r="AF1057" t="s">
        <v>46835</v>
      </c>
    </row>
    <row r="1058" spans="1:33" x14ac:dyDescent="0.2">
      <c r="A1058">
        <v>1053</v>
      </c>
      <c r="B1058" t="s">
        <v>12630</v>
      </c>
      <c r="C1058" t="s">
        <v>12631</v>
      </c>
      <c r="D1058" t="s">
        <v>32</v>
      </c>
      <c r="E1058" t="s">
        <v>12632</v>
      </c>
      <c r="F1058" t="s">
        <v>12633</v>
      </c>
      <c r="G1058" t="s">
        <v>12634</v>
      </c>
      <c r="H1058" t="str">
        <f>"Rcn3"</f>
        <v>Rcn3</v>
      </c>
      <c r="I1058" t="s">
        <v>12635</v>
      </c>
      <c r="J1058" t="s">
        <v>37</v>
      </c>
      <c r="K1058">
        <v>10090</v>
      </c>
      <c r="L1058" s="3" t="str">
        <f>HYPERLINK("http://www.uniprot.org/uniprot/Q8BH97", "Q8BH97")</f>
        <v>Q8BH97</v>
      </c>
      <c r="M1058" t="s">
        <v>12636</v>
      </c>
      <c r="N1058" t="str">
        <f>"Rcn3"</f>
        <v>Rcn3</v>
      </c>
      <c r="O1058" s="3" t="str">
        <f>HYPERLINK("http://www.informatics.jax.org/marker/MGI:1277122", "MGI:1277122")</f>
        <v>MGI:1277122</v>
      </c>
      <c r="P1058" t="s">
        <v>12637</v>
      </c>
      <c r="Q1058" t="s">
        <v>32</v>
      </c>
      <c r="R1058" t="s">
        <v>671</v>
      </c>
      <c r="S1058" t="s">
        <v>32</v>
      </c>
      <c r="T1058" t="s">
        <v>32</v>
      </c>
      <c r="U1058" t="s">
        <v>32</v>
      </c>
      <c r="V1058" t="s">
        <v>478</v>
      </c>
      <c r="W1058" t="s">
        <v>188</v>
      </c>
      <c r="X1058" t="s">
        <v>388</v>
      </c>
      <c r="Y1058" t="s">
        <v>3733</v>
      </c>
      <c r="Z1058" t="s">
        <v>32</v>
      </c>
      <c r="AA1058" t="s">
        <v>12638</v>
      </c>
      <c r="AB1058" t="s">
        <v>12639</v>
      </c>
      <c r="AC1058" t="s">
        <v>4723</v>
      </c>
      <c r="AD1058" t="s">
        <v>32</v>
      </c>
      <c r="AE1058" t="s">
        <v>32</v>
      </c>
      <c r="AF1058" t="s">
        <v>46835</v>
      </c>
    </row>
    <row r="1059" spans="1:33" x14ac:dyDescent="0.2">
      <c r="A1059">
        <v>1054</v>
      </c>
      <c r="B1059" t="s">
        <v>12640</v>
      </c>
      <c r="C1059" t="s">
        <v>12641</v>
      </c>
      <c r="D1059" t="s">
        <v>12642</v>
      </c>
      <c r="E1059" t="s">
        <v>12643</v>
      </c>
      <c r="F1059" t="s">
        <v>12644</v>
      </c>
      <c r="G1059" t="s">
        <v>12645</v>
      </c>
      <c r="H1059" t="str">
        <f>"Gnai2"</f>
        <v>Gnai2</v>
      </c>
      <c r="I1059" t="s">
        <v>12646</v>
      </c>
      <c r="J1059" t="s">
        <v>37</v>
      </c>
      <c r="K1059">
        <v>10090</v>
      </c>
      <c r="L1059" s="3" t="str">
        <f>HYPERLINK("http://www.uniprot.org/uniprot/P08752", "P08752")</f>
        <v>P08752</v>
      </c>
      <c r="M1059" t="s">
        <v>12647</v>
      </c>
      <c r="N1059" t="str">
        <f>"Gnai2"</f>
        <v>Gnai2</v>
      </c>
      <c r="O1059" s="3" t="str">
        <f>HYPERLINK("http://www.informatics.jax.org/marker/MGI:95772", "MGI:95772")</f>
        <v>MGI:95772</v>
      </c>
      <c r="P1059" t="s">
        <v>12648</v>
      </c>
      <c r="Q1059" t="s">
        <v>11508</v>
      </c>
      <c r="R1059" t="s">
        <v>371</v>
      </c>
      <c r="S1059" t="s">
        <v>32</v>
      </c>
      <c r="T1059" t="s">
        <v>32</v>
      </c>
      <c r="U1059" t="s">
        <v>32</v>
      </c>
      <c r="V1059" t="s">
        <v>32</v>
      </c>
      <c r="W1059" t="s">
        <v>342</v>
      </c>
      <c r="X1059" t="s">
        <v>10391</v>
      </c>
      <c r="Y1059" t="s">
        <v>12649</v>
      </c>
      <c r="Z1059" t="s">
        <v>32</v>
      </c>
      <c r="AA1059" t="s">
        <v>12650</v>
      </c>
      <c r="AB1059" t="s">
        <v>12651</v>
      </c>
      <c r="AC1059" t="s">
        <v>12652</v>
      </c>
      <c r="AD1059" t="s">
        <v>32</v>
      </c>
      <c r="AE1059" t="s">
        <v>12653</v>
      </c>
      <c r="AF1059" t="s">
        <v>46835</v>
      </c>
    </row>
    <row r="1060" spans="1:33" x14ac:dyDescent="0.2">
      <c r="A1060">
        <v>1055</v>
      </c>
      <c r="B1060" t="s">
        <v>12654</v>
      </c>
      <c r="C1060" t="s">
        <v>12655</v>
      </c>
      <c r="D1060" t="s">
        <v>12656</v>
      </c>
      <c r="E1060" t="s">
        <v>12657</v>
      </c>
      <c r="F1060" t="s">
        <v>12658</v>
      </c>
      <c r="G1060" t="s">
        <v>12659</v>
      </c>
      <c r="H1060" t="str">
        <f>"FAM120A"</f>
        <v>FAM120A</v>
      </c>
      <c r="I1060" t="s">
        <v>12660</v>
      </c>
      <c r="J1060" t="s">
        <v>37</v>
      </c>
      <c r="K1060">
        <v>10090</v>
      </c>
      <c r="L1060" s="3" t="str">
        <f>HYPERLINK("http://www.uniprot.org/uniprot/Q6A0A9", "Q6A0A9")</f>
        <v>Q6A0A9</v>
      </c>
      <c r="M1060" t="s">
        <v>12661</v>
      </c>
      <c r="N1060" t="str">
        <f>"Fam120a"</f>
        <v>Fam120a</v>
      </c>
      <c r="O1060" s="3" t="str">
        <f>HYPERLINK("http://www.informatics.jax.org/marker/MGI:2446163", "MGI:2446163")</f>
        <v>MGI:2446163</v>
      </c>
      <c r="P1060" t="s">
        <v>12662</v>
      </c>
      <c r="Q1060" t="s">
        <v>32</v>
      </c>
      <c r="R1060" t="s">
        <v>222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1282</v>
      </c>
      <c r="Y1060" t="s">
        <v>97</v>
      </c>
      <c r="Z1060" t="s">
        <v>32</v>
      </c>
      <c r="AA1060" t="s">
        <v>32</v>
      </c>
      <c r="AB1060" t="s">
        <v>12663</v>
      </c>
      <c r="AC1060" t="s">
        <v>4711</v>
      </c>
      <c r="AD1060" t="s">
        <v>32</v>
      </c>
      <c r="AE1060" t="s">
        <v>32</v>
      </c>
      <c r="AF1060" t="s">
        <v>46835</v>
      </c>
    </row>
    <row r="1061" spans="1:33" x14ac:dyDescent="0.2">
      <c r="A1061">
        <v>1056</v>
      </c>
      <c r="B1061" t="s">
        <v>12664</v>
      </c>
      <c r="C1061" t="s">
        <v>12665</v>
      </c>
      <c r="D1061" t="s">
        <v>12666</v>
      </c>
      <c r="E1061" t="s">
        <v>12667</v>
      </c>
      <c r="F1061" t="s">
        <v>12668</v>
      </c>
      <c r="G1061" t="s">
        <v>12669</v>
      </c>
      <c r="H1061" t="str">
        <f>"Capns1"</f>
        <v>Capns1</v>
      </c>
      <c r="I1061" t="s">
        <v>12670</v>
      </c>
      <c r="J1061" t="s">
        <v>37</v>
      </c>
      <c r="K1061">
        <v>10090</v>
      </c>
      <c r="L1061" s="3" t="str">
        <f>HYPERLINK("http://www.uniprot.org/uniprot/O88456", "O88456")</f>
        <v>O88456</v>
      </c>
      <c r="M1061" t="s">
        <v>12671</v>
      </c>
      <c r="N1061" t="str">
        <f>"Capns1"</f>
        <v>Capns1</v>
      </c>
      <c r="O1061" s="3" t="str">
        <f>HYPERLINK("http://www.informatics.jax.org/marker/MGI:88266", "MGI:88266")</f>
        <v>MGI:88266</v>
      </c>
      <c r="P1061" t="s">
        <v>12672</v>
      </c>
      <c r="Q1061" t="s">
        <v>32</v>
      </c>
      <c r="R1061" t="s">
        <v>222</v>
      </c>
      <c r="S1061" t="s">
        <v>32</v>
      </c>
      <c r="T1061" t="s">
        <v>32</v>
      </c>
      <c r="U1061" t="s">
        <v>32</v>
      </c>
      <c r="V1061" t="s">
        <v>55</v>
      </c>
      <c r="W1061" t="s">
        <v>188</v>
      </c>
      <c r="X1061" t="s">
        <v>32</v>
      </c>
      <c r="Y1061" t="s">
        <v>157</v>
      </c>
      <c r="Z1061" t="s">
        <v>32</v>
      </c>
      <c r="AA1061" t="s">
        <v>5082</v>
      </c>
      <c r="AB1061" t="s">
        <v>12673</v>
      </c>
      <c r="AC1061" t="s">
        <v>12674</v>
      </c>
      <c r="AD1061" t="s">
        <v>32</v>
      </c>
      <c r="AE1061" t="s">
        <v>561</v>
      </c>
      <c r="AF1061" t="s">
        <v>46835</v>
      </c>
    </row>
    <row r="1062" spans="1:33" x14ac:dyDescent="0.2">
      <c r="A1062">
        <v>1057</v>
      </c>
      <c r="B1062" t="s">
        <v>12675</v>
      </c>
      <c r="C1062" t="s">
        <v>12676</v>
      </c>
      <c r="D1062" t="s">
        <v>12677</v>
      </c>
      <c r="E1062" t="s">
        <v>12678</v>
      </c>
      <c r="F1062" t="s">
        <v>12679</v>
      </c>
      <c r="G1062" t="s">
        <v>12680</v>
      </c>
      <c r="H1062" t="str">
        <f>"Ivns1abp"</f>
        <v>Ivns1abp</v>
      </c>
      <c r="I1062" t="s">
        <v>12681</v>
      </c>
      <c r="J1062" t="s">
        <v>37</v>
      </c>
      <c r="K1062">
        <v>10090</v>
      </c>
      <c r="L1062" s="3" t="str">
        <f>HYPERLINK("http://www.uniprot.org/uniprot/Q920Q8", "Q920Q8")</f>
        <v>Q920Q8</v>
      </c>
      <c r="M1062" t="s">
        <v>12682</v>
      </c>
      <c r="N1062" t="str">
        <f>"Ivns1abp"</f>
        <v>Ivns1abp</v>
      </c>
      <c r="O1062" s="3" t="str">
        <f>HYPERLINK("http://www.informatics.jax.org/marker/MGI:2152389", "MGI:2152389")</f>
        <v>MGI:2152389</v>
      </c>
      <c r="P1062" t="s">
        <v>12683</v>
      </c>
      <c r="Q1062" t="s">
        <v>32</v>
      </c>
      <c r="R1062" t="s">
        <v>324</v>
      </c>
      <c r="S1062" t="s">
        <v>41</v>
      </c>
      <c r="T1062" t="s">
        <v>32</v>
      </c>
      <c r="U1062" t="s">
        <v>32</v>
      </c>
      <c r="V1062" t="s">
        <v>11766</v>
      </c>
      <c r="W1062" t="s">
        <v>32</v>
      </c>
      <c r="X1062" t="s">
        <v>32</v>
      </c>
      <c r="Y1062" t="s">
        <v>618</v>
      </c>
      <c r="Z1062" t="s">
        <v>32</v>
      </c>
      <c r="AA1062" t="s">
        <v>12684</v>
      </c>
      <c r="AB1062" t="s">
        <v>12685</v>
      </c>
      <c r="AC1062" t="s">
        <v>32</v>
      </c>
      <c r="AD1062" t="s">
        <v>32</v>
      </c>
      <c r="AE1062" t="s">
        <v>32</v>
      </c>
      <c r="AF1062" t="s">
        <v>46835</v>
      </c>
    </row>
    <row r="1063" spans="1:33" x14ac:dyDescent="0.2">
      <c r="A1063">
        <v>1058</v>
      </c>
      <c r="B1063" t="s">
        <v>12686</v>
      </c>
      <c r="C1063" t="s">
        <v>12687</v>
      </c>
      <c r="D1063" t="s">
        <v>12688</v>
      </c>
      <c r="E1063" t="s">
        <v>12689</v>
      </c>
      <c r="F1063" t="s">
        <v>12690</v>
      </c>
      <c r="G1063" t="s">
        <v>12691</v>
      </c>
      <c r="H1063" t="str">
        <f>"Suclg2"</f>
        <v>Suclg2</v>
      </c>
      <c r="I1063" t="s">
        <v>32</v>
      </c>
      <c r="J1063" t="s">
        <v>37</v>
      </c>
      <c r="K1063">
        <v>10090</v>
      </c>
      <c r="L1063" s="3" t="str">
        <f>HYPERLINK("http://www.uniprot.org/uniprot/Q9Z2I8", "Q9Z2I8")</f>
        <v>Q9Z2I8</v>
      </c>
      <c r="M1063" t="s">
        <v>12692</v>
      </c>
      <c r="N1063" t="str">
        <f>"Suclg2"</f>
        <v>Suclg2</v>
      </c>
      <c r="O1063" s="3" t="str">
        <f>HYPERLINK("http://www.informatics.jax.org/marker/MGI:1306824", "MGI:1306824")</f>
        <v>MGI:1306824</v>
      </c>
      <c r="P1063" t="s">
        <v>12693</v>
      </c>
      <c r="Q1063" t="s">
        <v>1756</v>
      </c>
      <c r="R1063" t="s">
        <v>1038</v>
      </c>
      <c r="S1063" t="s">
        <v>41</v>
      </c>
      <c r="T1063" t="s">
        <v>32</v>
      </c>
      <c r="U1063" t="s">
        <v>32</v>
      </c>
      <c r="V1063" t="s">
        <v>1039</v>
      </c>
      <c r="W1063" t="s">
        <v>342</v>
      </c>
      <c r="X1063" t="s">
        <v>1022</v>
      </c>
      <c r="Y1063" t="s">
        <v>157</v>
      </c>
      <c r="Z1063" t="s">
        <v>32</v>
      </c>
      <c r="AA1063" t="s">
        <v>6003</v>
      </c>
      <c r="AB1063" t="s">
        <v>12694</v>
      </c>
      <c r="AC1063" t="s">
        <v>12695</v>
      </c>
      <c r="AD1063" t="s">
        <v>12696</v>
      </c>
      <c r="AE1063" t="s">
        <v>3390</v>
      </c>
      <c r="AF1063" t="s">
        <v>46835</v>
      </c>
    </row>
    <row r="1064" spans="1:33" x14ac:dyDescent="0.2">
      <c r="A1064">
        <v>1059</v>
      </c>
      <c r="B1064" t="s">
        <v>12697</v>
      </c>
      <c r="C1064" t="s">
        <v>12698</v>
      </c>
      <c r="D1064" t="s">
        <v>12699</v>
      </c>
      <c r="E1064" t="s">
        <v>12700</v>
      </c>
      <c r="F1064" t="s">
        <v>12701</v>
      </c>
      <c r="G1064" t="s">
        <v>12702</v>
      </c>
      <c r="H1064" t="str">
        <f>"Nup210"</f>
        <v>Nup210</v>
      </c>
      <c r="I1064" t="s">
        <v>12703</v>
      </c>
      <c r="J1064" t="s">
        <v>37</v>
      </c>
      <c r="K1064">
        <v>10090</v>
      </c>
      <c r="L1064" s="3" t="str">
        <f>HYPERLINK("http://www.uniprot.org/uniprot/Q9QY81", "Q9QY81")</f>
        <v>Q9QY81</v>
      </c>
      <c r="M1064" t="s">
        <v>12704</v>
      </c>
      <c r="N1064" t="str">
        <f>"Nup210"</f>
        <v>Nup210</v>
      </c>
      <c r="O1064" s="3" t="str">
        <f>HYPERLINK("http://www.informatics.jax.org/marker/MGI:1859555", "MGI:1859555")</f>
        <v>MGI:1859555</v>
      </c>
      <c r="P1064" t="s">
        <v>12705</v>
      </c>
      <c r="Q1064" t="s">
        <v>6423</v>
      </c>
      <c r="R1064" t="s">
        <v>12706</v>
      </c>
      <c r="S1064" t="s">
        <v>32</v>
      </c>
      <c r="T1064" t="s">
        <v>32</v>
      </c>
      <c r="U1064" t="s">
        <v>32</v>
      </c>
      <c r="V1064" t="s">
        <v>3948</v>
      </c>
      <c r="W1064" t="s">
        <v>32</v>
      </c>
      <c r="X1064" t="s">
        <v>32</v>
      </c>
      <c r="Y1064" t="s">
        <v>4720</v>
      </c>
      <c r="Z1064" t="s">
        <v>32</v>
      </c>
      <c r="AA1064" t="s">
        <v>12707</v>
      </c>
      <c r="AB1064" t="s">
        <v>12708</v>
      </c>
      <c r="AC1064" t="s">
        <v>32</v>
      </c>
      <c r="AD1064" t="s">
        <v>32</v>
      </c>
      <c r="AE1064" t="s">
        <v>4686</v>
      </c>
      <c r="AF1064" t="s">
        <v>46835</v>
      </c>
    </row>
    <row r="1065" spans="1:33" x14ac:dyDescent="0.2">
      <c r="A1065">
        <v>1060</v>
      </c>
      <c r="B1065" t="s">
        <v>12709</v>
      </c>
      <c r="C1065" t="s">
        <v>12710</v>
      </c>
      <c r="D1065" t="s">
        <v>32</v>
      </c>
      <c r="E1065" t="s">
        <v>12711</v>
      </c>
      <c r="F1065" t="s">
        <v>12712</v>
      </c>
      <c r="G1065" t="s">
        <v>12713</v>
      </c>
      <c r="H1065" t="str">
        <f>"Vat1"</f>
        <v>Vat1</v>
      </c>
      <c r="I1065" t="s">
        <v>12714</v>
      </c>
      <c r="J1065" t="s">
        <v>37</v>
      </c>
      <c r="K1065">
        <v>10090</v>
      </c>
      <c r="L1065" s="3" t="str">
        <f>HYPERLINK("http://www.uniprot.org/uniprot/Q62465", "Q62465")</f>
        <v>Q62465</v>
      </c>
      <c r="M1065" t="s">
        <v>12715</v>
      </c>
      <c r="N1065" t="str">
        <f>"Vat1"</f>
        <v>Vat1</v>
      </c>
      <c r="O1065" s="3" t="str">
        <f>HYPERLINK("http://www.informatics.jax.org/marker/MGI:1349450", "MGI:1349450")</f>
        <v>MGI:1349450</v>
      </c>
      <c r="P1065" t="s">
        <v>12716</v>
      </c>
      <c r="Q1065" t="s">
        <v>32</v>
      </c>
      <c r="R1065" t="s">
        <v>9642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600</v>
      </c>
      <c r="Y1065" t="s">
        <v>157</v>
      </c>
      <c r="Z1065" t="s">
        <v>32</v>
      </c>
      <c r="AA1065" t="s">
        <v>12717</v>
      </c>
      <c r="AB1065" t="s">
        <v>12718</v>
      </c>
      <c r="AC1065" t="s">
        <v>12719</v>
      </c>
      <c r="AD1065" t="s">
        <v>32</v>
      </c>
      <c r="AE1065" t="s">
        <v>548</v>
      </c>
      <c r="AF1065" t="s">
        <v>46835</v>
      </c>
    </row>
    <row r="1066" spans="1:33" x14ac:dyDescent="0.2">
      <c r="A1066">
        <v>1061</v>
      </c>
      <c r="B1066" t="s">
        <v>12720</v>
      </c>
      <c r="C1066" t="s">
        <v>47105</v>
      </c>
      <c r="D1066" t="s">
        <v>32</v>
      </c>
      <c r="E1066" t="s">
        <v>46880</v>
      </c>
      <c r="F1066" t="s">
        <v>46879</v>
      </c>
      <c r="G1066" t="s">
        <v>32</v>
      </c>
      <c r="H1066" t="s">
        <v>47236</v>
      </c>
      <c r="I1066" t="s">
        <v>32</v>
      </c>
      <c r="J1066" t="s">
        <v>37</v>
      </c>
      <c r="K1066">
        <v>10090</v>
      </c>
      <c r="L1066" s="3" t="str">
        <f>HYPERLINK(CONCATENATE("https://www.uniprot.org/uniprotkb/", AG1066, "/entry"), AG1066)</f>
        <v>Q9Z1A1</v>
      </c>
      <c r="M1066" t="s">
        <v>32</v>
      </c>
      <c r="N1066" t="s">
        <v>32</v>
      </c>
      <c r="O1066" s="3" t="s">
        <v>32</v>
      </c>
      <c r="P1066" t="s">
        <v>32</v>
      </c>
      <c r="Q1066" t="s">
        <v>32</v>
      </c>
      <c r="R1066" t="s">
        <v>32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32</v>
      </c>
      <c r="Y1066" t="s">
        <v>32</v>
      </c>
      <c r="Z1066" t="s">
        <v>32</v>
      </c>
      <c r="AA1066" t="s">
        <v>32</v>
      </c>
      <c r="AB1066" t="s">
        <v>32</v>
      </c>
      <c r="AC1066" t="s">
        <v>32</v>
      </c>
      <c r="AD1066" t="s">
        <v>32</v>
      </c>
      <c r="AE1066" t="s">
        <v>32</v>
      </c>
      <c r="AF1066" t="s">
        <v>46835</v>
      </c>
      <c r="AG1066" t="s">
        <v>46879</v>
      </c>
    </row>
    <row r="1067" spans="1:33" x14ac:dyDescent="0.2">
      <c r="A1067">
        <v>1062</v>
      </c>
      <c r="B1067" t="s">
        <v>12721</v>
      </c>
      <c r="C1067" t="s">
        <v>12722</v>
      </c>
      <c r="D1067" t="s">
        <v>12723</v>
      </c>
      <c r="E1067" t="s">
        <v>12724</v>
      </c>
      <c r="F1067" t="s">
        <v>12725</v>
      </c>
      <c r="G1067" t="s">
        <v>12726</v>
      </c>
      <c r="H1067" t="str">
        <f>"Atp6v0d1"</f>
        <v>Atp6v0d1</v>
      </c>
      <c r="I1067" t="s">
        <v>12727</v>
      </c>
      <c r="J1067" t="s">
        <v>37</v>
      </c>
      <c r="K1067">
        <v>10090</v>
      </c>
      <c r="L1067" s="3" t="str">
        <f>HYPERLINK("http://www.uniprot.org/uniprot/P51863", "P51863")</f>
        <v>P51863</v>
      </c>
      <c r="M1067" t="s">
        <v>12728</v>
      </c>
      <c r="N1067" t="str">
        <f>"Atp6v0d1"</f>
        <v>Atp6v0d1</v>
      </c>
      <c r="O1067" s="3" t="str">
        <f>HYPERLINK("http://www.informatics.jax.org/marker/MGI:1201778", "MGI:1201778")</f>
        <v>MGI:1201778</v>
      </c>
      <c r="P1067" t="s">
        <v>12729</v>
      </c>
      <c r="Q1067" t="s">
        <v>12730</v>
      </c>
      <c r="R1067" t="s">
        <v>12731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32</v>
      </c>
      <c r="Y1067" t="s">
        <v>618</v>
      </c>
      <c r="Z1067" t="s">
        <v>32</v>
      </c>
      <c r="AA1067" t="s">
        <v>12732</v>
      </c>
      <c r="AB1067" t="s">
        <v>12733</v>
      </c>
      <c r="AC1067" t="s">
        <v>12734</v>
      </c>
      <c r="AD1067" t="s">
        <v>32</v>
      </c>
      <c r="AE1067" t="s">
        <v>6963</v>
      </c>
      <c r="AF1067" t="s">
        <v>46835</v>
      </c>
    </row>
    <row r="1068" spans="1:33" x14ac:dyDescent="0.2">
      <c r="A1068">
        <v>1063</v>
      </c>
      <c r="B1068" t="s">
        <v>12735</v>
      </c>
      <c r="C1068" t="s">
        <v>12736</v>
      </c>
      <c r="D1068" t="s">
        <v>32</v>
      </c>
      <c r="E1068" t="s">
        <v>12737</v>
      </c>
      <c r="F1068" t="s">
        <v>12738</v>
      </c>
      <c r="G1068" t="s">
        <v>12739</v>
      </c>
      <c r="H1068" t="str">
        <f>"Eml4"</f>
        <v>Eml4</v>
      </c>
      <c r="I1068" t="s">
        <v>32</v>
      </c>
      <c r="J1068" t="s">
        <v>37</v>
      </c>
      <c r="K1068">
        <v>10090</v>
      </c>
      <c r="L1068" s="3" t="str">
        <f>HYPERLINK("http://www.uniprot.org/uniprot/Q3UMY5", "Q3UMY5")</f>
        <v>Q3UMY5</v>
      </c>
      <c r="M1068" t="s">
        <v>12740</v>
      </c>
      <c r="N1068" t="str">
        <f>"Eml4"</f>
        <v>Eml4</v>
      </c>
      <c r="O1068" s="3" t="str">
        <f>HYPERLINK("http://www.informatics.jax.org/marker/MGI:1926048", "MGI:1926048")</f>
        <v>MGI:1926048</v>
      </c>
      <c r="P1068" t="s">
        <v>12741</v>
      </c>
      <c r="Q1068" t="s">
        <v>2968</v>
      </c>
      <c r="R1068" t="s">
        <v>341</v>
      </c>
      <c r="S1068" t="s">
        <v>41</v>
      </c>
      <c r="T1068" t="s">
        <v>32</v>
      </c>
      <c r="U1068" t="s">
        <v>32</v>
      </c>
      <c r="V1068" t="s">
        <v>3167</v>
      </c>
      <c r="W1068" t="s">
        <v>32</v>
      </c>
      <c r="X1068" t="s">
        <v>32</v>
      </c>
      <c r="Y1068" t="s">
        <v>157</v>
      </c>
      <c r="Z1068" t="s">
        <v>32</v>
      </c>
      <c r="AA1068" t="s">
        <v>12742</v>
      </c>
      <c r="AB1068" t="s">
        <v>12743</v>
      </c>
      <c r="AC1068" t="s">
        <v>12744</v>
      </c>
      <c r="AD1068" t="s">
        <v>32</v>
      </c>
      <c r="AE1068" t="s">
        <v>12745</v>
      </c>
      <c r="AF1068" t="s">
        <v>46835</v>
      </c>
    </row>
    <row r="1069" spans="1:33" x14ac:dyDescent="0.2">
      <c r="A1069">
        <v>1064</v>
      </c>
      <c r="B1069" t="s">
        <v>12746</v>
      </c>
      <c r="C1069" t="s">
        <v>12747</v>
      </c>
      <c r="D1069" t="s">
        <v>32</v>
      </c>
      <c r="E1069" t="s">
        <v>12748</v>
      </c>
      <c r="F1069" t="s">
        <v>12749</v>
      </c>
      <c r="G1069" t="s">
        <v>32</v>
      </c>
      <c r="H1069" t="str">
        <f>"Tubb6"</f>
        <v>Tubb6</v>
      </c>
      <c r="I1069" t="s">
        <v>32</v>
      </c>
      <c r="J1069" t="s">
        <v>37</v>
      </c>
      <c r="K1069">
        <v>10090</v>
      </c>
      <c r="L1069" s="3" t="str">
        <f>HYPERLINK("http://www.uniprot.org/uniprot/Q922F4", "Q922F4")</f>
        <v>Q922F4</v>
      </c>
      <c r="M1069" t="s">
        <v>12750</v>
      </c>
      <c r="N1069" t="str">
        <f>"Tubb6"</f>
        <v>Tubb6</v>
      </c>
      <c r="O1069" s="3" t="str">
        <f>HYPERLINK("http://www.informatics.jax.org/marker/MGI:1915201", "MGI:1915201")</f>
        <v>MGI:1915201</v>
      </c>
      <c r="P1069" t="s">
        <v>12751</v>
      </c>
      <c r="Q1069" t="s">
        <v>32</v>
      </c>
      <c r="R1069" t="s">
        <v>341</v>
      </c>
      <c r="S1069" t="s">
        <v>32</v>
      </c>
      <c r="T1069" t="s">
        <v>32</v>
      </c>
      <c r="U1069" t="s">
        <v>32</v>
      </c>
      <c r="V1069" t="s">
        <v>32</v>
      </c>
      <c r="W1069" t="s">
        <v>342</v>
      </c>
      <c r="X1069" t="s">
        <v>32</v>
      </c>
      <c r="Y1069" t="s">
        <v>12752</v>
      </c>
      <c r="Z1069" t="s">
        <v>32</v>
      </c>
      <c r="AA1069" t="s">
        <v>345</v>
      </c>
      <c r="AB1069" t="s">
        <v>6103</v>
      </c>
      <c r="AC1069" t="s">
        <v>6104</v>
      </c>
      <c r="AD1069" t="s">
        <v>32</v>
      </c>
      <c r="AE1069" t="s">
        <v>6105</v>
      </c>
      <c r="AF1069" t="s">
        <v>46835</v>
      </c>
    </row>
    <row r="1070" spans="1:33" x14ac:dyDescent="0.2">
      <c r="A1070">
        <v>1065</v>
      </c>
      <c r="B1070" t="s">
        <v>12753</v>
      </c>
      <c r="C1070" t="s">
        <v>12754</v>
      </c>
      <c r="D1070" t="s">
        <v>12755</v>
      </c>
      <c r="E1070" t="s">
        <v>12756</v>
      </c>
      <c r="F1070" t="s">
        <v>12757</v>
      </c>
      <c r="G1070" t="s">
        <v>12758</v>
      </c>
      <c r="H1070" t="str">
        <f>"Cwc15"</f>
        <v>Cwc15</v>
      </c>
      <c r="I1070" t="s">
        <v>12759</v>
      </c>
      <c r="J1070" t="s">
        <v>37</v>
      </c>
      <c r="K1070">
        <v>10090</v>
      </c>
      <c r="L1070" s="3" t="str">
        <f>HYPERLINK("http://www.uniprot.org/uniprot/Q9JHS9", "Q9JHS9")</f>
        <v>Q9JHS9</v>
      </c>
      <c r="M1070" t="s">
        <v>12760</v>
      </c>
      <c r="N1070" t="str">
        <f>"Cwc15"</f>
        <v>Cwc15</v>
      </c>
      <c r="O1070" s="3" t="str">
        <f>HYPERLINK("http://www.informatics.jax.org/marker/MGI:1913320", "MGI:1913320")</f>
        <v>MGI:1913320</v>
      </c>
      <c r="P1070" t="s">
        <v>12761</v>
      </c>
      <c r="Q1070" t="s">
        <v>2139</v>
      </c>
      <c r="R1070" t="s">
        <v>2140</v>
      </c>
      <c r="S1070" t="s">
        <v>32</v>
      </c>
      <c r="T1070" t="s">
        <v>32</v>
      </c>
      <c r="U1070" t="s">
        <v>32</v>
      </c>
      <c r="V1070" t="s">
        <v>290</v>
      </c>
      <c r="W1070" t="s">
        <v>32</v>
      </c>
      <c r="X1070" t="s">
        <v>32</v>
      </c>
      <c r="Y1070" t="s">
        <v>157</v>
      </c>
      <c r="Z1070" t="s">
        <v>32</v>
      </c>
      <c r="AA1070" t="s">
        <v>12762</v>
      </c>
      <c r="AB1070" t="s">
        <v>12763</v>
      </c>
      <c r="AC1070" t="s">
        <v>4711</v>
      </c>
      <c r="AD1070" t="s">
        <v>32</v>
      </c>
      <c r="AE1070" t="s">
        <v>946</v>
      </c>
      <c r="AF1070" t="s">
        <v>46835</v>
      </c>
    </row>
    <row r="1071" spans="1:33" x14ac:dyDescent="0.2">
      <c r="A1071">
        <v>1066</v>
      </c>
      <c r="B1071" t="s">
        <v>12764</v>
      </c>
      <c r="C1071" t="s">
        <v>12765</v>
      </c>
      <c r="D1071" t="s">
        <v>32</v>
      </c>
      <c r="E1071" t="s">
        <v>12766</v>
      </c>
      <c r="F1071" t="s">
        <v>12767</v>
      </c>
      <c r="G1071" t="s">
        <v>12768</v>
      </c>
      <c r="H1071" t="str">
        <f>"Lmnb2"</f>
        <v>Lmnb2</v>
      </c>
      <c r="I1071" t="s">
        <v>32</v>
      </c>
      <c r="J1071" t="s">
        <v>37</v>
      </c>
      <c r="K1071">
        <v>10090</v>
      </c>
      <c r="L1071" s="3" t="str">
        <f>HYPERLINK("http://www.uniprot.org/uniprot/P21619", "P21619")</f>
        <v>P21619</v>
      </c>
      <c r="M1071" t="s">
        <v>12769</v>
      </c>
      <c r="N1071" t="str">
        <f>"Lmnb2"</f>
        <v>Lmnb2</v>
      </c>
      <c r="O1071" s="3" t="str">
        <f>HYPERLINK("http://www.informatics.jax.org/marker/MGI:96796", "MGI:96796")</f>
        <v>MGI:96796</v>
      </c>
      <c r="P1071" t="s">
        <v>12770</v>
      </c>
      <c r="Q1071" t="s">
        <v>32</v>
      </c>
      <c r="R1071" t="s">
        <v>1768</v>
      </c>
      <c r="S1071" t="s">
        <v>41</v>
      </c>
      <c r="T1071" t="s">
        <v>32</v>
      </c>
      <c r="U1071" t="s">
        <v>32</v>
      </c>
      <c r="V1071" t="s">
        <v>290</v>
      </c>
      <c r="W1071" t="s">
        <v>32</v>
      </c>
      <c r="X1071" t="s">
        <v>32</v>
      </c>
      <c r="Y1071" t="s">
        <v>5990</v>
      </c>
      <c r="Z1071" t="s">
        <v>32</v>
      </c>
      <c r="AA1071" t="s">
        <v>12771</v>
      </c>
      <c r="AB1071" t="s">
        <v>12772</v>
      </c>
      <c r="AC1071" t="s">
        <v>12773</v>
      </c>
      <c r="AD1071" t="s">
        <v>32</v>
      </c>
      <c r="AE1071" t="s">
        <v>32</v>
      </c>
      <c r="AF1071" t="s">
        <v>46835</v>
      </c>
    </row>
    <row r="1072" spans="1:33" x14ac:dyDescent="0.2">
      <c r="A1072">
        <v>1067</v>
      </c>
      <c r="B1072" t="s">
        <v>12774</v>
      </c>
      <c r="C1072" t="s">
        <v>12775</v>
      </c>
      <c r="D1072" t="s">
        <v>12776</v>
      </c>
      <c r="E1072" t="s">
        <v>12777</v>
      </c>
      <c r="F1072" t="s">
        <v>12778</v>
      </c>
      <c r="G1072" t="s">
        <v>12779</v>
      </c>
      <c r="H1072" t="str">
        <f>"Pla2g7"</f>
        <v>Pla2g7</v>
      </c>
      <c r="I1072" t="s">
        <v>12780</v>
      </c>
      <c r="J1072" t="s">
        <v>37</v>
      </c>
      <c r="K1072">
        <v>10090</v>
      </c>
      <c r="L1072" s="3" t="str">
        <f>HYPERLINK("http://www.uniprot.org/uniprot/Q60963", "Q60963")</f>
        <v>Q60963</v>
      </c>
      <c r="M1072" t="s">
        <v>12781</v>
      </c>
      <c r="N1072" t="str">
        <f>"Pla2g7"</f>
        <v>Pla2g7</v>
      </c>
      <c r="O1072" s="3" t="str">
        <f>HYPERLINK("http://www.informatics.jax.org/marker/MGI:1351327", "MGI:1351327")</f>
        <v>MGI:1351327</v>
      </c>
      <c r="P1072" t="s">
        <v>12782</v>
      </c>
      <c r="Q1072" t="s">
        <v>12783</v>
      </c>
      <c r="R1072" t="s">
        <v>5635</v>
      </c>
      <c r="S1072" t="s">
        <v>32</v>
      </c>
      <c r="T1072" t="s">
        <v>32</v>
      </c>
      <c r="U1072" t="s">
        <v>32</v>
      </c>
      <c r="V1072" t="s">
        <v>811</v>
      </c>
      <c r="W1072" t="s">
        <v>32</v>
      </c>
      <c r="X1072" t="s">
        <v>343</v>
      </c>
      <c r="Y1072" t="s">
        <v>3733</v>
      </c>
      <c r="Z1072" t="s">
        <v>32</v>
      </c>
      <c r="AA1072" t="s">
        <v>12784</v>
      </c>
      <c r="AB1072" t="s">
        <v>12785</v>
      </c>
      <c r="AC1072" t="s">
        <v>12786</v>
      </c>
      <c r="AD1072" t="s">
        <v>32</v>
      </c>
      <c r="AE1072" t="s">
        <v>12787</v>
      </c>
      <c r="AF1072" t="s">
        <v>46835</v>
      </c>
    </row>
    <row r="1073" spans="1:33" x14ac:dyDescent="0.2">
      <c r="A1073">
        <v>1068</v>
      </c>
      <c r="B1073" t="s">
        <v>12788</v>
      </c>
      <c r="C1073" t="s">
        <v>12789</v>
      </c>
      <c r="D1073" t="s">
        <v>12790</v>
      </c>
      <c r="E1073" t="s">
        <v>12791</v>
      </c>
      <c r="F1073" t="s">
        <v>12792</v>
      </c>
      <c r="G1073" t="s">
        <v>12793</v>
      </c>
      <c r="H1073" t="str">
        <f>"Usp14"</f>
        <v>Usp14</v>
      </c>
      <c r="I1073" t="s">
        <v>32</v>
      </c>
      <c r="J1073" t="s">
        <v>37</v>
      </c>
      <c r="K1073">
        <v>10090</v>
      </c>
      <c r="L1073" s="3" t="str">
        <f>HYPERLINK("http://www.uniprot.org/uniprot/Q9JMA1", "Q9JMA1")</f>
        <v>Q9JMA1</v>
      </c>
      <c r="M1073" t="s">
        <v>12794</v>
      </c>
      <c r="N1073" t="str">
        <f>"Usp14"</f>
        <v>Usp14</v>
      </c>
      <c r="O1073" s="3" t="str">
        <f>HYPERLINK("http://www.informatics.jax.org/marker/MGI:1928898", "MGI:1928898")</f>
        <v>MGI:1928898</v>
      </c>
      <c r="P1073" t="s">
        <v>12795</v>
      </c>
      <c r="Q1073" t="s">
        <v>12796</v>
      </c>
      <c r="R1073" t="s">
        <v>12797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557</v>
      </c>
      <c r="Y1073" t="s">
        <v>157</v>
      </c>
      <c r="Z1073" t="s">
        <v>126</v>
      </c>
      <c r="AA1073" t="s">
        <v>12798</v>
      </c>
      <c r="AB1073" t="s">
        <v>12799</v>
      </c>
      <c r="AC1073" t="s">
        <v>12800</v>
      </c>
      <c r="AD1073" t="s">
        <v>32</v>
      </c>
      <c r="AE1073" t="s">
        <v>12801</v>
      </c>
      <c r="AF1073" t="s">
        <v>46835</v>
      </c>
    </row>
    <row r="1074" spans="1:33" x14ac:dyDescent="0.2">
      <c r="A1074">
        <v>1069</v>
      </c>
      <c r="B1074" t="s">
        <v>12802</v>
      </c>
      <c r="C1074" t="s">
        <v>12803</v>
      </c>
      <c r="D1074" t="s">
        <v>12804</v>
      </c>
      <c r="E1074" t="s">
        <v>12805</v>
      </c>
      <c r="F1074" t="s">
        <v>12806</v>
      </c>
      <c r="G1074" t="s">
        <v>12807</v>
      </c>
      <c r="H1074" t="str">
        <f>"Pmpca"</f>
        <v>Pmpca</v>
      </c>
      <c r="I1074" t="s">
        <v>12808</v>
      </c>
      <c r="J1074" t="s">
        <v>37</v>
      </c>
      <c r="K1074">
        <v>10090</v>
      </c>
      <c r="L1074" s="3" t="str">
        <f>HYPERLINK("http://www.uniprot.org/uniprot/Q9DC61", "Q9DC61")</f>
        <v>Q9DC61</v>
      </c>
      <c r="M1074" t="s">
        <v>12809</v>
      </c>
      <c r="N1074" t="str">
        <f>"Pmpca"</f>
        <v>Pmpca</v>
      </c>
      <c r="O1074" s="3" t="str">
        <f>HYPERLINK("http://www.informatics.jax.org/marker/MGI:1918568", "MGI:1918568")</f>
        <v>MGI:1918568</v>
      </c>
      <c r="P1074" t="s">
        <v>12810</v>
      </c>
      <c r="Q1074" t="s">
        <v>32</v>
      </c>
      <c r="R1074" t="s">
        <v>3858</v>
      </c>
      <c r="S1074" t="s">
        <v>32</v>
      </c>
      <c r="T1074" t="s">
        <v>32</v>
      </c>
      <c r="U1074" t="s">
        <v>32</v>
      </c>
      <c r="V1074" t="s">
        <v>1039</v>
      </c>
      <c r="W1074" t="s">
        <v>32</v>
      </c>
      <c r="X1074" t="s">
        <v>32</v>
      </c>
      <c r="Y1074" t="s">
        <v>78</v>
      </c>
      <c r="Z1074" t="s">
        <v>32</v>
      </c>
      <c r="AA1074" t="s">
        <v>12811</v>
      </c>
      <c r="AB1074" t="s">
        <v>9721</v>
      </c>
      <c r="AC1074" t="s">
        <v>12812</v>
      </c>
      <c r="AD1074" t="s">
        <v>32</v>
      </c>
      <c r="AE1074" t="s">
        <v>8564</v>
      </c>
      <c r="AF1074" t="s">
        <v>46835</v>
      </c>
    </row>
    <row r="1075" spans="1:33" x14ac:dyDescent="0.2">
      <c r="A1075">
        <v>1070</v>
      </c>
      <c r="B1075" t="s">
        <v>12813</v>
      </c>
      <c r="C1075" t="s">
        <v>12814</v>
      </c>
      <c r="D1075" t="s">
        <v>12815</v>
      </c>
      <c r="E1075" t="s">
        <v>12816</v>
      </c>
      <c r="F1075" t="s">
        <v>12817</v>
      </c>
      <c r="G1075" t="s">
        <v>12818</v>
      </c>
      <c r="H1075" t="str">
        <f>"Ufl1"</f>
        <v>Ufl1</v>
      </c>
      <c r="I1075" t="s">
        <v>32</v>
      </c>
      <c r="J1075" t="s">
        <v>37</v>
      </c>
      <c r="K1075">
        <v>10090</v>
      </c>
      <c r="L1075" s="3" t="str">
        <f>HYPERLINK("http://www.uniprot.org/uniprot/Q8CCJ3", "Q8CCJ3")</f>
        <v>Q8CCJ3</v>
      </c>
      <c r="M1075" t="s">
        <v>12819</v>
      </c>
      <c r="N1075" t="str">
        <f>"Ufl1"</f>
        <v>Ufl1</v>
      </c>
      <c r="O1075" s="3" t="str">
        <f>HYPERLINK("http://www.informatics.jax.org/marker/MGI:1914740", "MGI:1914740")</f>
        <v>MGI:1914740</v>
      </c>
      <c r="P1075" t="s">
        <v>12820</v>
      </c>
      <c r="Q1075" t="s">
        <v>3400</v>
      </c>
      <c r="R1075" t="s">
        <v>12821</v>
      </c>
      <c r="S1075" t="s">
        <v>41</v>
      </c>
      <c r="T1075" t="s">
        <v>32</v>
      </c>
      <c r="U1075" t="s">
        <v>32</v>
      </c>
      <c r="V1075" t="s">
        <v>32</v>
      </c>
      <c r="W1075" t="s">
        <v>32</v>
      </c>
      <c r="X1075" t="s">
        <v>515</v>
      </c>
      <c r="Y1075" t="s">
        <v>277</v>
      </c>
      <c r="Z1075" t="s">
        <v>32</v>
      </c>
      <c r="AA1075" t="s">
        <v>12822</v>
      </c>
      <c r="AB1075" t="s">
        <v>12823</v>
      </c>
      <c r="AC1075" t="s">
        <v>12824</v>
      </c>
      <c r="AD1075" t="s">
        <v>32</v>
      </c>
      <c r="AE1075" t="s">
        <v>4220</v>
      </c>
      <c r="AF1075" t="s">
        <v>46835</v>
      </c>
    </row>
    <row r="1076" spans="1:33" x14ac:dyDescent="0.2">
      <c r="A1076">
        <v>1071</v>
      </c>
      <c r="B1076" t="s">
        <v>12825</v>
      </c>
      <c r="C1076" t="s">
        <v>47208</v>
      </c>
      <c r="D1076" t="s">
        <v>32</v>
      </c>
      <c r="E1076" t="s">
        <v>46882</v>
      </c>
      <c r="F1076" t="s">
        <v>46881</v>
      </c>
      <c r="G1076" t="s">
        <v>32</v>
      </c>
      <c r="H1076" t="s">
        <v>47340</v>
      </c>
      <c r="I1076" t="s">
        <v>32</v>
      </c>
      <c r="J1076" t="s">
        <v>37</v>
      </c>
      <c r="K1076">
        <v>10090</v>
      </c>
      <c r="L1076" s="3" t="str">
        <f>HYPERLINK(CONCATENATE("https://www.uniprot.org/uniprotkb/", AG1076, "/entry"), AG1076)</f>
        <v>D4AFX7</v>
      </c>
      <c r="M1076" t="s">
        <v>32</v>
      </c>
      <c r="N1076" t="s">
        <v>32</v>
      </c>
      <c r="O1076" s="3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32</v>
      </c>
      <c r="Y1076" t="s">
        <v>32</v>
      </c>
      <c r="Z1076" t="s">
        <v>32</v>
      </c>
      <c r="AA1076" t="s">
        <v>32</v>
      </c>
      <c r="AB1076" t="s">
        <v>32</v>
      </c>
      <c r="AC1076" t="s">
        <v>32</v>
      </c>
      <c r="AD1076" t="s">
        <v>32</v>
      </c>
      <c r="AE1076" t="s">
        <v>32</v>
      </c>
      <c r="AF1076" t="s">
        <v>46835</v>
      </c>
      <c r="AG1076" t="s">
        <v>46881</v>
      </c>
    </row>
    <row r="1077" spans="1:33" x14ac:dyDescent="0.2">
      <c r="A1077">
        <v>1072</v>
      </c>
      <c r="B1077" t="s">
        <v>12826</v>
      </c>
      <c r="C1077" t="s">
        <v>12827</v>
      </c>
      <c r="D1077" t="s">
        <v>12828</v>
      </c>
      <c r="E1077" t="s">
        <v>12829</v>
      </c>
      <c r="F1077" t="s">
        <v>12830</v>
      </c>
      <c r="G1077" t="s">
        <v>12831</v>
      </c>
      <c r="H1077" t="str">
        <f>"Srp68"</f>
        <v>Srp68</v>
      </c>
      <c r="I1077" t="s">
        <v>32</v>
      </c>
      <c r="J1077" t="s">
        <v>37</v>
      </c>
      <c r="K1077">
        <v>10090</v>
      </c>
      <c r="L1077" s="3" t="str">
        <f>HYPERLINK("http://www.uniprot.org/uniprot/Q8BMA6", "Q8BMA6")</f>
        <v>Q8BMA6</v>
      </c>
      <c r="M1077" t="s">
        <v>12832</v>
      </c>
      <c r="N1077" t="str">
        <f>"Srp68"</f>
        <v>Srp68</v>
      </c>
      <c r="O1077" s="3" t="str">
        <f>HYPERLINK("http://www.informatics.jax.org/marker/MGI:1917447", "MGI:1917447")</f>
        <v>MGI:1917447</v>
      </c>
      <c r="P1077" t="s">
        <v>12833</v>
      </c>
      <c r="Q1077" t="s">
        <v>32</v>
      </c>
      <c r="R1077" t="s">
        <v>8784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1129</v>
      </c>
      <c r="Y1077" t="s">
        <v>157</v>
      </c>
      <c r="Z1077" t="s">
        <v>32</v>
      </c>
      <c r="AA1077" t="s">
        <v>12834</v>
      </c>
      <c r="AB1077" t="s">
        <v>12835</v>
      </c>
      <c r="AC1077" t="s">
        <v>12836</v>
      </c>
      <c r="AD1077" t="s">
        <v>32</v>
      </c>
      <c r="AE1077" t="s">
        <v>8789</v>
      </c>
      <c r="AF1077" t="s">
        <v>46835</v>
      </c>
    </row>
    <row r="1078" spans="1:33" x14ac:dyDescent="0.2">
      <c r="A1078">
        <v>1073</v>
      </c>
      <c r="B1078" t="s">
        <v>12837</v>
      </c>
      <c r="C1078" t="s">
        <v>12838</v>
      </c>
      <c r="D1078" t="s">
        <v>12839</v>
      </c>
      <c r="E1078" t="s">
        <v>12840</v>
      </c>
      <c r="F1078" t="s">
        <v>12841</v>
      </c>
      <c r="G1078" t="s">
        <v>12842</v>
      </c>
      <c r="H1078" t="str">
        <f>"Nid2"</f>
        <v>Nid2</v>
      </c>
      <c r="I1078" t="s">
        <v>32</v>
      </c>
      <c r="J1078" t="s">
        <v>37</v>
      </c>
      <c r="K1078">
        <v>10090</v>
      </c>
      <c r="L1078" s="3" t="str">
        <f>HYPERLINK("http://www.uniprot.org/uniprot/O88322", "O88322")</f>
        <v>O88322</v>
      </c>
      <c r="M1078" t="s">
        <v>12843</v>
      </c>
      <c r="N1078" t="str">
        <f>"Nid2"</f>
        <v>Nid2</v>
      </c>
      <c r="O1078" s="3" t="str">
        <f>HYPERLINK("http://www.informatics.jax.org/marker/MGI:1298229", "MGI:1298229")</f>
        <v>MGI:1298229</v>
      </c>
      <c r="P1078" t="s">
        <v>12844</v>
      </c>
      <c r="Q1078" t="s">
        <v>2784</v>
      </c>
      <c r="R1078" t="s">
        <v>2785</v>
      </c>
      <c r="S1078" t="s">
        <v>32</v>
      </c>
      <c r="T1078" t="s">
        <v>32</v>
      </c>
      <c r="U1078" t="s">
        <v>32</v>
      </c>
      <c r="V1078" t="s">
        <v>2786</v>
      </c>
      <c r="W1078" t="s">
        <v>1380</v>
      </c>
      <c r="X1078" t="s">
        <v>32</v>
      </c>
      <c r="Y1078" t="s">
        <v>12845</v>
      </c>
      <c r="Z1078" t="s">
        <v>32</v>
      </c>
      <c r="AA1078" t="s">
        <v>12846</v>
      </c>
      <c r="AB1078" t="s">
        <v>12847</v>
      </c>
      <c r="AC1078" t="s">
        <v>4723</v>
      </c>
      <c r="AD1078" t="s">
        <v>32</v>
      </c>
      <c r="AE1078" t="s">
        <v>12848</v>
      </c>
      <c r="AF1078" t="s">
        <v>46835</v>
      </c>
    </row>
    <row r="1079" spans="1:33" x14ac:dyDescent="0.2">
      <c r="A1079">
        <v>1074</v>
      </c>
      <c r="B1079" t="s">
        <v>12849</v>
      </c>
      <c r="C1079" t="s">
        <v>12850</v>
      </c>
      <c r="D1079" t="s">
        <v>12851</v>
      </c>
      <c r="E1079" t="s">
        <v>12852</v>
      </c>
      <c r="F1079" t="s">
        <v>12853</v>
      </c>
      <c r="G1079" t="s">
        <v>12854</v>
      </c>
      <c r="H1079" t="str">
        <f>"Dhx29"</f>
        <v>Dhx29</v>
      </c>
      <c r="I1079" t="s">
        <v>32</v>
      </c>
      <c r="J1079" t="s">
        <v>37</v>
      </c>
      <c r="K1079">
        <v>10090</v>
      </c>
      <c r="L1079" s="3" t="str">
        <f>HYPERLINK("http://www.uniprot.org/uniprot/Q6PGC1", "Q6PGC1")</f>
        <v>Q6PGC1</v>
      </c>
      <c r="M1079" t="s">
        <v>12855</v>
      </c>
      <c r="N1079" t="str">
        <f>"Dhx29"</f>
        <v>Dhx29</v>
      </c>
      <c r="O1079" s="3" t="str">
        <f>HYPERLINK("http://www.informatics.jax.org/marker/MGI:2145374", "MGI:2145374")</f>
        <v>MGI:2145374</v>
      </c>
      <c r="P1079" t="s">
        <v>12856</v>
      </c>
      <c r="Q1079" t="s">
        <v>260</v>
      </c>
      <c r="R1079" t="s">
        <v>418</v>
      </c>
      <c r="S1079" t="s">
        <v>32</v>
      </c>
      <c r="T1079" t="s">
        <v>32</v>
      </c>
      <c r="U1079" t="s">
        <v>32</v>
      </c>
      <c r="V1079" t="s">
        <v>290</v>
      </c>
      <c r="W1079" t="s">
        <v>205</v>
      </c>
      <c r="X1079" t="s">
        <v>12857</v>
      </c>
      <c r="Y1079" t="s">
        <v>618</v>
      </c>
      <c r="Z1079" t="s">
        <v>32</v>
      </c>
      <c r="AA1079" t="s">
        <v>12858</v>
      </c>
      <c r="AB1079" t="s">
        <v>12859</v>
      </c>
      <c r="AC1079" t="s">
        <v>12860</v>
      </c>
      <c r="AD1079" t="s">
        <v>32</v>
      </c>
      <c r="AE1079" t="s">
        <v>32</v>
      </c>
      <c r="AF1079" t="s">
        <v>46835</v>
      </c>
    </row>
    <row r="1080" spans="1:33" x14ac:dyDescent="0.2">
      <c r="A1080">
        <v>1075</v>
      </c>
      <c r="B1080" t="s">
        <v>12861</v>
      </c>
      <c r="C1080" t="s">
        <v>12862</v>
      </c>
      <c r="D1080" t="s">
        <v>12863</v>
      </c>
      <c r="E1080" t="s">
        <v>12864</v>
      </c>
      <c r="F1080" t="s">
        <v>12865</v>
      </c>
      <c r="G1080" t="s">
        <v>32</v>
      </c>
      <c r="H1080" t="str">
        <f>"Adi1"</f>
        <v>Adi1</v>
      </c>
      <c r="I1080" t="s">
        <v>12866</v>
      </c>
      <c r="J1080" t="s">
        <v>37</v>
      </c>
      <c r="K1080">
        <v>10090</v>
      </c>
      <c r="L1080" s="3" t="str">
        <f>HYPERLINK("http://www.uniprot.org/uniprot/Q99JT9", "Q99JT9")</f>
        <v>Q99JT9</v>
      </c>
      <c r="M1080" t="s">
        <v>12867</v>
      </c>
      <c r="N1080" t="str">
        <f>"Adi1"</f>
        <v>Adi1</v>
      </c>
      <c r="O1080" s="3" t="str">
        <f>HYPERLINK("http://www.informatics.jax.org/marker/MGI:2144929", "MGI:2144929")</f>
        <v>MGI:2144929</v>
      </c>
      <c r="P1080" t="s">
        <v>12868</v>
      </c>
      <c r="Q1080" t="s">
        <v>12281</v>
      </c>
      <c r="R1080" t="s">
        <v>276</v>
      </c>
      <c r="S1080" t="s">
        <v>32</v>
      </c>
      <c r="T1080" t="s">
        <v>32</v>
      </c>
      <c r="U1080" t="s">
        <v>32</v>
      </c>
      <c r="V1080" t="s">
        <v>32</v>
      </c>
      <c r="W1080" t="s">
        <v>12869</v>
      </c>
      <c r="X1080" t="s">
        <v>3732</v>
      </c>
      <c r="Y1080" t="s">
        <v>32</v>
      </c>
      <c r="Z1080" t="s">
        <v>126</v>
      </c>
      <c r="AA1080" t="s">
        <v>12870</v>
      </c>
      <c r="AB1080" t="s">
        <v>12871</v>
      </c>
      <c r="AC1080" t="s">
        <v>12872</v>
      </c>
      <c r="AD1080" t="s">
        <v>12873</v>
      </c>
      <c r="AE1080" t="s">
        <v>4205</v>
      </c>
      <c r="AF1080" t="s">
        <v>46835</v>
      </c>
    </row>
    <row r="1081" spans="1:33" x14ac:dyDescent="0.2">
      <c r="A1081">
        <v>1076</v>
      </c>
      <c r="B1081" t="s">
        <v>12874</v>
      </c>
      <c r="C1081" t="s">
        <v>12875</v>
      </c>
      <c r="D1081" t="s">
        <v>12876</v>
      </c>
      <c r="E1081" t="s">
        <v>12877</v>
      </c>
      <c r="F1081" t="s">
        <v>12878</v>
      </c>
      <c r="G1081" t="s">
        <v>12879</v>
      </c>
      <c r="H1081" t="str">
        <f>"Naa16"</f>
        <v>Naa16</v>
      </c>
      <c r="I1081" t="s">
        <v>12880</v>
      </c>
      <c r="J1081" t="s">
        <v>37</v>
      </c>
      <c r="K1081">
        <v>10090</v>
      </c>
      <c r="L1081" s="3" t="str">
        <f>HYPERLINK("http://www.uniprot.org/uniprot/Q9DBB4", "Q9DBB4")</f>
        <v>Q9DBB4</v>
      </c>
      <c r="M1081" t="s">
        <v>12881</v>
      </c>
      <c r="N1081" t="str">
        <f>"Naa16"</f>
        <v>Naa16</v>
      </c>
      <c r="O1081" s="3" t="str">
        <f>HYPERLINK("http://www.informatics.jax.org/marker/MGI:1914147", "MGI:1914147")</f>
        <v>MGI:1914147</v>
      </c>
      <c r="P1081" t="s">
        <v>995</v>
      </c>
      <c r="Q1081" t="s">
        <v>32</v>
      </c>
      <c r="R1081" t="s">
        <v>32</v>
      </c>
      <c r="S1081" t="s">
        <v>32</v>
      </c>
      <c r="T1081" t="s">
        <v>32</v>
      </c>
      <c r="U1081" t="s">
        <v>32</v>
      </c>
      <c r="V1081" t="s">
        <v>995</v>
      </c>
      <c r="W1081" t="s">
        <v>32</v>
      </c>
      <c r="X1081" t="s">
        <v>32</v>
      </c>
      <c r="Y1081" t="s">
        <v>32</v>
      </c>
      <c r="Z1081" t="s">
        <v>32</v>
      </c>
      <c r="AA1081" t="s">
        <v>12882</v>
      </c>
      <c r="AB1081" t="s">
        <v>12883</v>
      </c>
      <c r="AC1081" t="s">
        <v>6949</v>
      </c>
      <c r="AD1081" t="s">
        <v>32</v>
      </c>
      <c r="AE1081" t="s">
        <v>32</v>
      </c>
      <c r="AF1081" t="s">
        <v>46835</v>
      </c>
    </row>
    <row r="1082" spans="1:33" x14ac:dyDescent="0.2">
      <c r="A1082">
        <v>1077</v>
      </c>
      <c r="B1082" t="s">
        <v>12884</v>
      </c>
      <c r="C1082" t="s">
        <v>12885</v>
      </c>
      <c r="D1082" t="s">
        <v>12886</v>
      </c>
      <c r="E1082" t="s">
        <v>12887</v>
      </c>
      <c r="F1082" t="s">
        <v>12888</v>
      </c>
      <c r="G1082" t="s">
        <v>32</v>
      </c>
      <c r="H1082" t="str">
        <f>"Lsm2"</f>
        <v>Lsm2</v>
      </c>
      <c r="I1082" t="s">
        <v>12889</v>
      </c>
      <c r="J1082" t="s">
        <v>37</v>
      </c>
      <c r="K1082">
        <v>10090</v>
      </c>
      <c r="L1082" s="3" t="str">
        <f>HYPERLINK("http://www.uniprot.org/uniprot/O35900", "O35900")</f>
        <v>O35900</v>
      </c>
      <c r="M1082" t="s">
        <v>12890</v>
      </c>
      <c r="N1082" t="str">
        <f>"Lsm2"</f>
        <v>Lsm2</v>
      </c>
      <c r="O1082" s="3" t="str">
        <f>HYPERLINK("http://www.informatics.jax.org/marker/MGI:90676", "MGI:90676")</f>
        <v>MGI:90676</v>
      </c>
      <c r="P1082" t="s">
        <v>12891</v>
      </c>
      <c r="Q1082" t="s">
        <v>2139</v>
      </c>
      <c r="R1082" t="s">
        <v>2140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1129</v>
      </c>
      <c r="Y1082" t="s">
        <v>618</v>
      </c>
      <c r="Z1082" t="s">
        <v>32</v>
      </c>
      <c r="AA1082" t="s">
        <v>12892</v>
      </c>
      <c r="AB1082" t="s">
        <v>12893</v>
      </c>
      <c r="AC1082" t="s">
        <v>12894</v>
      </c>
      <c r="AD1082" t="s">
        <v>32</v>
      </c>
      <c r="AE1082" t="s">
        <v>12895</v>
      </c>
      <c r="AF1082" t="s">
        <v>46835</v>
      </c>
    </row>
    <row r="1083" spans="1:33" x14ac:dyDescent="0.2">
      <c r="A1083">
        <v>1078</v>
      </c>
      <c r="B1083" t="s">
        <v>12896</v>
      </c>
      <c r="C1083" t="s">
        <v>12897</v>
      </c>
      <c r="D1083" t="s">
        <v>12898</v>
      </c>
      <c r="E1083" t="s">
        <v>12899</v>
      </c>
      <c r="F1083" t="s">
        <v>12900</v>
      </c>
      <c r="G1083" t="s">
        <v>12901</v>
      </c>
      <c r="H1083" t="str">
        <f>"Prrc1"</f>
        <v>Prrc1</v>
      </c>
      <c r="I1083" t="s">
        <v>32</v>
      </c>
      <c r="J1083" t="s">
        <v>37</v>
      </c>
      <c r="K1083">
        <v>10090</v>
      </c>
      <c r="L1083" s="3" t="str">
        <f>HYPERLINK("http://www.uniprot.org/uniprot/Q3UPH1", "Q3UPH1")</f>
        <v>Q3UPH1</v>
      </c>
      <c r="M1083" t="s">
        <v>12902</v>
      </c>
      <c r="N1083" t="str">
        <f>"Prrc1"</f>
        <v>Prrc1</v>
      </c>
      <c r="O1083" s="3" t="str">
        <f>HYPERLINK("http://www.informatics.jax.org/marker/MGI:1916106", "MGI:1916106")</f>
        <v>MGI:1916106</v>
      </c>
      <c r="P1083" t="s">
        <v>12903</v>
      </c>
      <c r="Q1083" t="s">
        <v>32</v>
      </c>
      <c r="R1083" t="s">
        <v>12904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t="s">
        <v>618</v>
      </c>
      <c r="Z1083" t="s">
        <v>32</v>
      </c>
      <c r="AA1083" t="s">
        <v>12905</v>
      </c>
      <c r="AB1083" t="s">
        <v>12906</v>
      </c>
      <c r="AC1083" t="s">
        <v>12907</v>
      </c>
      <c r="AD1083" t="s">
        <v>32</v>
      </c>
      <c r="AE1083" t="s">
        <v>32</v>
      </c>
      <c r="AF1083" t="s">
        <v>46835</v>
      </c>
    </row>
    <row r="1084" spans="1:33" x14ac:dyDescent="0.2">
      <c r="A1084">
        <v>1079</v>
      </c>
      <c r="B1084" t="s">
        <v>12908</v>
      </c>
      <c r="C1084" t="s">
        <v>12909</v>
      </c>
      <c r="D1084" t="s">
        <v>12910</v>
      </c>
      <c r="E1084" t="s">
        <v>12911</v>
      </c>
      <c r="F1084" t="s">
        <v>12912</v>
      </c>
      <c r="G1084" t="s">
        <v>12913</v>
      </c>
      <c r="H1084" t="str">
        <f>"Lnpk"</f>
        <v>Lnpk</v>
      </c>
      <c r="I1084" t="s">
        <v>12914</v>
      </c>
      <c r="J1084" t="s">
        <v>37</v>
      </c>
      <c r="K1084">
        <v>10090</v>
      </c>
      <c r="L1084" s="3" t="str">
        <f>HYPERLINK("http://www.uniprot.org/uniprot/Q7TQ95", "Q7TQ95")</f>
        <v>Q7TQ95</v>
      </c>
      <c r="M1084" t="s">
        <v>12915</v>
      </c>
      <c r="N1084" t="str">
        <f>"Lnpk"</f>
        <v>Lnpk</v>
      </c>
      <c r="O1084" s="3" t="str">
        <f>HYPERLINK("http://www.informatics.jax.org/marker/MGI:1918115", "MGI:1918115")</f>
        <v>MGI:1918115</v>
      </c>
      <c r="P1084" t="s">
        <v>12916</v>
      </c>
      <c r="Q1084" t="s">
        <v>32</v>
      </c>
      <c r="R1084" t="s">
        <v>1664</v>
      </c>
      <c r="S1084" t="s">
        <v>32</v>
      </c>
      <c r="T1084" t="s">
        <v>32</v>
      </c>
      <c r="U1084" t="s">
        <v>32</v>
      </c>
      <c r="V1084" t="s">
        <v>12917</v>
      </c>
      <c r="W1084" t="s">
        <v>42</v>
      </c>
      <c r="X1084" t="s">
        <v>2029</v>
      </c>
      <c r="Y1084" t="s">
        <v>5562</v>
      </c>
      <c r="Z1084" t="s">
        <v>32</v>
      </c>
      <c r="AA1084" t="s">
        <v>12918</v>
      </c>
      <c r="AB1084" t="s">
        <v>12919</v>
      </c>
      <c r="AC1084" t="s">
        <v>12920</v>
      </c>
      <c r="AD1084" t="s">
        <v>32</v>
      </c>
      <c r="AE1084" t="s">
        <v>32</v>
      </c>
      <c r="AF1084" t="s">
        <v>46835</v>
      </c>
    </row>
    <row r="1085" spans="1:33" x14ac:dyDescent="0.2">
      <c r="A1085">
        <v>1080</v>
      </c>
      <c r="B1085" t="s">
        <v>12921</v>
      </c>
      <c r="C1085" t="s">
        <v>12922</v>
      </c>
      <c r="D1085" t="s">
        <v>12923</v>
      </c>
      <c r="E1085" t="s">
        <v>12924</v>
      </c>
      <c r="F1085" t="s">
        <v>12925</v>
      </c>
      <c r="G1085" t="s">
        <v>12926</v>
      </c>
      <c r="H1085" t="str">
        <f>"Akr1e2"</f>
        <v>Akr1e2</v>
      </c>
      <c r="I1085" t="s">
        <v>12927</v>
      </c>
      <c r="J1085" t="s">
        <v>37</v>
      </c>
      <c r="K1085">
        <v>10090</v>
      </c>
      <c r="L1085" s="3" t="str">
        <f>HYPERLINK("http://www.uniprot.org/uniprot/Q9DCT1", "Q9DCT1")</f>
        <v>Q9DCT1</v>
      </c>
      <c r="M1085" t="s">
        <v>12928</v>
      </c>
      <c r="N1085" t="str">
        <f>"Akr1e1"</f>
        <v>Akr1e1</v>
      </c>
      <c r="O1085" s="3" t="str">
        <f>HYPERLINK("http://www.informatics.jax.org/marker/MGI:1914758", "MGI:1914758")</f>
        <v>MGI:1914758</v>
      </c>
      <c r="P1085" t="s">
        <v>12929</v>
      </c>
      <c r="Q1085" t="s">
        <v>32</v>
      </c>
      <c r="R1085" t="s">
        <v>418</v>
      </c>
      <c r="S1085" t="s">
        <v>32</v>
      </c>
      <c r="T1085" t="s">
        <v>32</v>
      </c>
      <c r="U1085" t="s">
        <v>32</v>
      </c>
      <c r="V1085" t="s">
        <v>32</v>
      </c>
      <c r="W1085" t="s">
        <v>3204</v>
      </c>
      <c r="X1085" t="s">
        <v>600</v>
      </c>
      <c r="Y1085" t="s">
        <v>32</v>
      </c>
      <c r="Z1085" t="s">
        <v>32</v>
      </c>
      <c r="AA1085" t="s">
        <v>32</v>
      </c>
      <c r="AB1085" t="s">
        <v>1268</v>
      </c>
      <c r="AC1085" t="s">
        <v>12930</v>
      </c>
      <c r="AD1085" t="s">
        <v>32</v>
      </c>
      <c r="AE1085" t="s">
        <v>32</v>
      </c>
      <c r="AF1085" t="s">
        <v>46835</v>
      </c>
    </row>
    <row r="1086" spans="1:33" x14ac:dyDescent="0.2">
      <c r="A1086">
        <v>1081</v>
      </c>
      <c r="B1086" t="s">
        <v>12931</v>
      </c>
      <c r="C1086" t="s">
        <v>12932</v>
      </c>
      <c r="D1086" t="s">
        <v>12933</v>
      </c>
      <c r="E1086" t="s">
        <v>12934</v>
      </c>
      <c r="F1086" t="s">
        <v>12935</v>
      </c>
      <c r="G1086" t="s">
        <v>12936</v>
      </c>
      <c r="H1086" t="str">
        <f>"Dnmbp"</f>
        <v>Dnmbp</v>
      </c>
      <c r="I1086" t="s">
        <v>32</v>
      </c>
      <c r="J1086" t="s">
        <v>37</v>
      </c>
      <c r="K1086">
        <v>10090</v>
      </c>
      <c r="L1086" s="3" t="str">
        <f>HYPERLINK("http://www.uniprot.org/uniprot/Q6TXD4", "Q6TXD4")</f>
        <v>Q6TXD4</v>
      </c>
      <c r="M1086" t="s">
        <v>12937</v>
      </c>
      <c r="N1086" t="str">
        <f>"Dnmbp"</f>
        <v>Dnmbp</v>
      </c>
      <c r="O1086" s="3" t="str">
        <f>HYPERLINK("http://www.informatics.jax.org/marker/MGI:1917352", "MGI:1917352")</f>
        <v>MGI:1917352</v>
      </c>
      <c r="P1086" t="s">
        <v>12938</v>
      </c>
      <c r="Q1086" t="s">
        <v>32</v>
      </c>
      <c r="R1086" t="s">
        <v>12939</v>
      </c>
      <c r="S1086" t="s">
        <v>41</v>
      </c>
      <c r="T1086" t="s">
        <v>32</v>
      </c>
      <c r="U1086" t="s">
        <v>32</v>
      </c>
      <c r="V1086" t="s">
        <v>404</v>
      </c>
      <c r="W1086" t="s">
        <v>32</v>
      </c>
      <c r="X1086" t="s">
        <v>5011</v>
      </c>
      <c r="Y1086" t="s">
        <v>157</v>
      </c>
      <c r="Z1086" t="s">
        <v>32</v>
      </c>
      <c r="AA1086" t="s">
        <v>12940</v>
      </c>
      <c r="AB1086" t="s">
        <v>12941</v>
      </c>
      <c r="AC1086" t="s">
        <v>12942</v>
      </c>
      <c r="AD1086" t="s">
        <v>32</v>
      </c>
      <c r="AE1086" t="s">
        <v>12943</v>
      </c>
      <c r="AF1086" t="s">
        <v>46835</v>
      </c>
    </row>
    <row r="1087" spans="1:33" x14ac:dyDescent="0.2">
      <c r="A1087">
        <v>1082</v>
      </c>
      <c r="B1087" t="s">
        <v>12944</v>
      </c>
      <c r="C1087" t="s">
        <v>12945</v>
      </c>
      <c r="D1087" t="s">
        <v>12946</v>
      </c>
      <c r="E1087" t="s">
        <v>12947</v>
      </c>
      <c r="F1087" t="s">
        <v>12948</v>
      </c>
      <c r="G1087" t="s">
        <v>12949</v>
      </c>
      <c r="H1087" t="str">
        <f>"Ube2v2"</f>
        <v>Ube2v2</v>
      </c>
      <c r="I1087" t="s">
        <v>12950</v>
      </c>
      <c r="J1087" t="s">
        <v>37</v>
      </c>
      <c r="K1087">
        <v>10090</v>
      </c>
      <c r="L1087" s="3" t="str">
        <f>HYPERLINK("http://www.uniprot.org/uniprot/Q9D2M8", "Q9D2M8")</f>
        <v>Q9D2M8</v>
      </c>
      <c r="M1087" t="s">
        <v>12951</v>
      </c>
      <c r="N1087" t="str">
        <f>"Ube2v2"</f>
        <v>Ube2v2</v>
      </c>
      <c r="O1087" s="3" t="str">
        <f>HYPERLINK("http://www.informatics.jax.org/marker/MGI:1917870", "MGI:1917870")</f>
        <v>MGI:1917870</v>
      </c>
      <c r="P1087" t="s">
        <v>12952</v>
      </c>
      <c r="Q1087" t="s">
        <v>1020</v>
      </c>
      <c r="R1087" t="s">
        <v>32</v>
      </c>
      <c r="S1087" t="s">
        <v>41</v>
      </c>
      <c r="T1087" t="s">
        <v>32</v>
      </c>
      <c r="U1087" t="s">
        <v>32</v>
      </c>
      <c r="V1087" t="s">
        <v>32</v>
      </c>
      <c r="W1087" t="s">
        <v>32</v>
      </c>
      <c r="X1087" t="s">
        <v>32</v>
      </c>
      <c r="Y1087" t="s">
        <v>78</v>
      </c>
      <c r="Z1087" t="s">
        <v>32</v>
      </c>
      <c r="AA1087" t="s">
        <v>12953</v>
      </c>
      <c r="AB1087" t="s">
        <v>12954</v>
      </c>
      <c r="AC1087" t="s">
        <v>32</v>
      </c>
      <c r="AD1087" t="s">
        <v>32</v>
      </c>
      <c r="AE1087" t="s">
        <v>12955</v>
      </c>
      <c r="AF1087" t="s">
        <v>46835</v>
      </c>
    </row>
    <row r="1088" spans="1:33" x14ac:dyDescent="0.2">
      <c r="A1088">
        <v>1083</v>
      </c>
      <c r="B1088" t="s">
        <v>12956</v>
      </c>
      <c r="C1088" t="s">
        <v>12957</v>
      </c>
      <c r="D1088" t="s">
        <v>12958</v>
      </c>
      <c r="E1088" t="s">
        <v>12959</v>
      </c>
      <c r="F1088" t="s">
        <v>12960</v>
      </c>
      <c r="G1088" t="s">
        <v>12961</v>
      </c>
      <c r="H1088" t="str">
        <f>"Nucks1"</f>
        <v>Nucks1</v>
      </c>
      <c r="I1088" t="s">
        <v>12962</v>
      </c>
      <c r="J1088" t="s">
        <v>37</v>
      </c>
      <c r="K1088">
        <v>10090</v>
      </c>
      <c r="L1088" s="3" t="str">
        <f>HYPERLINK("http://www.uniprot.org/uniprot/Q80XU3", "Q80XU3")</f>
        <v>Q80XU3</v>
      </c>
      <c r="M1088" t="s">
        <v>12963</v>
      </c>
      <c r="N1088" t="str">
        <f>"Nucks1"</f>
        <v>Nucks1</v>
      </c>
      <c r="O1088" s="3" t="str">
        <f>HYPERLINK("http://www.informatics.jax.org/marker/MGI:1934811", "MGI:1934811")</f>
        <v>MGI:1934811</v>
      </c>
      <c r="P1088" t="s">
        <v>12964</v>
      </c>
      <c r="Q1088" t="s">
        <v>11886</v>
      </c>
      <c r="R1088" t="s">
        <v>1939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32</v>
      </c>
      <c r="Y1088" t="s">
        <v>618</v>
      </c>
      <c r="Z1088" t="s">
        <v>32</v>
      </c>
      <c r="AA1088" t="s">
        <v>12965</v>
      </c>
      <c r="AB1088" t="s">
        <v>12966</v>
      </c>
      <c r="AC1088" t="s">
        <v>12967</v>
      </c>
      <c r="AD1088" t="s">
        <v>32</v>
      </c>
      <c r="AE1088" t="s">
        <v>32</v>
      </c>
      <c r="AF1088" t="s">
        <v>46835</v>
      </c>
    </row>
    <row r="1089" spans="1:32" x14ac:dyDescent="0.2">
      <c r="A1089">
        <v>1084</v>
      </c>
      <c r="B1089" t="s">
        <v>12968</v>
      </c>
      <c r="C1089" t="s">
        <v>12969</v>
      </c>
      <c r="D1089" t="s">
        <v>32</v>
      </c>
      <c r="E1089" t="s">
        <v>12970</v>
      </c>
      <c r="F1089" t="s">
        <v>12971</v>
      </c>
      <c r="G1089" t="s">
        <v>12972</v>
      </c>
      <c r="H1089" t="str">
        <f>"Mpst"</f>
        <v>Mpst</v>
      </c>
      <c r="I1089" t="s">
        <v>32</v>
      </c>
      <c r="J1089" t="s">
        <v>37</v>
      </c>
      <c r="K1089">
        <v>10090</v>
      </c>
      <c r="L1089" s="3" t="str">
        <f>HYPERLINK("http://www.uniprot.org/uniprot/Q99J99", "Q99J99")</f>
        <v>Q99J99</v>
      </c>
      <c r="M1089" t="s">
        <v>12973</v>
      </c>
      <c r="N1089" t="str">
        <f>"Mpst"</f>
        <v>Mpst</v>
      </c>
      <c r="O1089" s="3" t="str">
        <f>HYPERLINK("http://www.informatics.jax.org/marker/MGI:2179733", "MGI:2179733")</f>
        <v>MGI:2179733</v>
      </c>
      <c r="P1089" t="s">
        <v>12974</v>
      </c>
      <c r="Q1089" t="s">
        <v>32</v>
      </c>
      <c r="R1089" t="s">
        <v>12975</v>
      </c>
      <c r="S1089" t="s">
        <v>32</v>
      </c>
      <c r="T1089" t="s">
        <v>32</v>
      </c>
      <c r="U1089" t="s">
        <v>32</v>
      </c>
      <c r="V1089" t="s">
        <v>12976</v>
      </c>
      <c r="W1089" t="s">
        <v>32</v>
      </c>
      <c r="X1089" t="s">
        <v>515</v>
      </c>
      <c r="Y1089" t="s">
        <v>480</v>
      </c>
      <c r="Z1089" t="s">
        <v>126</v>
      </c>
      <c r="AA1089" t="s">
        <v>12977</v>
      </c>
      <c r="AB1089" t="s">
        <v>12978</v>
      </c>
      <c r="AC1089" t="s">
        <v>12979</v>
      </c>
      <c r="AD1089" t="s">
        <v>32</v>
      </c>
      <c r="AE1089" t="s">
        <v>12980</v>
      </c>
      <c r="AF1089" t="s">
        <v>46835</v>
      </c>
    </row>
    <row r="1090" spans="1:32" x14ac:dyDescent="0.2">
      <c r="A1090">
        <v>1085</v>
      </c>
      <c r="B1090" t="s">
        <v>12981</v>
      </c>
      <c r="C1090" t="s">
        <v>12982</v>
      </c>
      <c r="D1090" t="s">
        <v>12983</v>
      </c>
      <c r="E1090" t="s">
        <v>12984</v>
      </c>
      <c r="F1090" t="s">
        <v>12985</v>
      </c>
      <c r="G1090" t="s">
        <v>12986</v>
      </c>
      <c r="H1090" t="str">
        <f>"Palm"</f>
        <v>Palm</v>
      </c>
      <c r="I1090" t="s">
        <v>32</v>
      </c>
      <c r="J1090" t="s">
        <v>37</v>
      </c>
      <c r="K1090">
        <v>10090</v>
      </c>
      <c r="L1090" s="3" t="str">
        <f>HYPERLINK("http://www.uniprot.org/uniprot/Q9Z0P4", "Q9Z0P4")</f>
        <v>Q9Z0P4</v>
      </c>
      <c r="M1090" t="s">
        <v>12987</v>
      </c>
      <c r="N1090" t="str">
        <f>"Palm"</f>
        <v>Palm</v>
      </c>
      <c r="O1090" s="3" t="str">
        <f>HYPERLINK("http://www.informatics.jax.org/marker/MGI:1261814", "MGI:1261814")</f>
        <v>MGI:1261814</v>
      </c>
      <c r="P1090" t="s">
        <v>12988</v>
      </c>
      <c r="Q1090" t="s">
        <v>646</v>
      </c>
      <c r="R1090" t="s">
        <v>12989</v>
      </c>
      <c r="S1090" t="s">
        <v>41</v>
      </c>
      <c r="T1090" t="s">
        <v>32</v>
      </c>
      <c r="U1090" t="s">
        <v>32</v>
      </c>
      <c r="V1090" t="s">
        <v>290</v>
      </c>
      <c r="W1090" t="s">
        <v>32</v>
      </c>
      <c r="X1090" t="s">
        <v>32</v>
      </c>
      <c r="Y1090" t="s">
        <v>12990</v>
      </c>
      <c r="Z1090" t="s">
        <v>32</v>
      </c>
      <c r="AA1090" t="s">
        <v>12991</v>
      </c>
      <c r="AB1090" t="s">
        <v>12992</v>
      </c>
      <c r="AC1090" t="s">
        <v>12993</v>
      </c>
      <c r="AD1090" t="s">
        <v>32</v>
      </c>
      <c r="AE1090" t="s">
        <v>32</v>
      </c>
      <c r="AF1090" t="s">
        <v>46835</v>
      </c>
    </row>
    <row r="1091" spans="1:32" x14ac:dyDescent="0.2">
      <c r="A1091">
        <v>1086</v>
      </c>
      <c r="B1091" t="s">
        <v>12994</v>
      </c>
      <c r="C1091" t="s">
        <v>12995</v>
      </c>
      <c r="D1091" t="s">
        <v>12996</v>
      </c>
      <c r="E1091" t="s">
        <v>12997</v>
      </c>
      <c r="F1091" t="s">
        <v>12998</v>
      </c>
      <c r="G1091" t="s">
        <v>12999</v>
      </c>
      <c r="H1091" t="str">
        <f>"Kif5c"</f>
        <v>Kif5c</v>
      </c>
      <c r="I1091" t="s">
        <v>13000</v>
      </c>
      <c r="J1091" t="s">
        <v>37</v>
      </c>
      <c r="K1091">
        <v>10090</v>
      </c>
      <c r="L1091" s="3" t="str">
        <f>HYPERLINK("http://www.uniprot.org/uniprot/P28738", "P28738")</f>
        <v>P28738</v>
      </c>
      <c r="M1091" t="s">
        <v>13001</v>
      </c>
      <c r="N1091" t="str">
        <f>"Kif5c"</f>
        <v>Kif5c</v>
      </c>
      <c r="O1091" s="3" t="str">
        <f>HYPERLINK("http://www.informatics.jax.org/marker/MGI:1098269", "MGI:1098269")</f>
        <v>MGI:1098269</v>
      </c>
      <c r="P1091" t="s">
        <v>13002</v>
      </c>
      <c r="Q1091" t="s">
        <v>4425</v>
      </c>
      <c r="R1091" t="s">
        <v>13003</v>
      </c>
      <c r="S1091" t="s">
        <v>32</v>
      </c>
      <c r="T1091" t="s">
        <v>32</v>
      </c>
      <c r="U1091" t="s">
        <v>32</v>
      </c>
      <c r="V1091" t="s">
        <v>290</v>
      </c>
      <c r="W1091" t="s">
        <v>205</v>
      </c>
      <c r="X1091" t="s">
        <v>13004</v>
      </c>
      <c r="Y1091" t="s">
        <v>618</v>
      </c>
      <c r="Z1091" t="s">
        <v>126</v>
      </c>
      <c r="AA1091" t="s">
        <v>13005</v>
      </c>
      <c r="AB1091" t="s">
        <v>13006</v>
      </c>
      <c r="AC1091" t="s">
        <v>13007</v>
      </c>
      <c r="AD1091" t="s">
        <v>32</v>
      </c>
      <c r="AE1091" t="s">
        <v>32</v>
      </c>
      <c r="AF1091" t="s">
        <v>46835</v>
      </c>
    </row>
    <row r="1092" spans="1:32" x14ac:dyDescent="0.2">
      <c r="A1092">
        <v>1087</v>
      </c>
      <c r="B1092" t="s">
        <v>13008</v>
      </c>
      <c r="C1092" t="s">
        <v>13009</v>
      </c>
      <c r="D1092" t="s">
        <v>13010</v>
      </c>
      <c r="E1092" t="s">
        <v>13011</v>
      </c>
      <c r="F1092" t="s">
        <v>13012</v>
      </c>
      <c r="G1092" t="s">
        <v>32</v>
      </c>
      <c r="H1092" t="str">
        <f>"Eef1e1"</f>
        <v>Eef1e1</v>
      </c>
      <c r="I1092" t="s">
        <v>32</v>
      </c>
      <c r="J1092" t="s">
        <v>37</v>
      </c>
      <c r="K1092">
        <v>10090</v>
      </c>
      <c r="L1092" s="3" t="str">
        <f>HYPERLINK("http://www.uniprot.org/uniprot/Q9D1M4", "Q9D1M4")</f>
        <v>Q9D1M4</v>
      </c>
      <c r="M1092" t="s">
        <v>13013</v>
      </c>
      <c r="N1092" t="str">
        <f>"Eef1e1"</f>
        <v>Eef1e1</v>
      </c>
      <c r="O1092" s="3" t="str">
        <f>HYPERLINK("http://www.informatics.jax.org/marker/MGI:1913393", "MGI:1913393")</f>
        <v>MGI:1913393</v>
      </c>
      <c r="P1092" t="s">
        <v>13014</v>
      </c>
      <c r="Q1092" t="s">
        <v>260</v>
      </c>
      <c r="R1092" t="s">
        <v>40</v>
      </c>
      <c r="S1092" t="s">
        <v>32</v>
      </c>
      <c r="T1092" t="s">
        <v>32</v>
      </c>
      <c r="U1092" t="s">
        <v>32</v>
      </c>
      <c r="V1092" t="s">
        <v>290</v>
      </c>
      <c r="W1092" t="s">
        <v>32</v>
      </c>
      <c r="X1092" t="s">
        <v>32</v>
      </c>
      <c r="Y1092" t="s">
        <v>78</v>
      </c>
      <c r="Z1092" t="s">
        <v>32</v>
      </c>
      <c r="AA1092" t="s">
        <v>13015</v>
      </c>
      <c r="AB1092" t="s">
        <v>13016</v>
      </c>
      <c r="AC1092" t="s">
        <v>32</v>
      </c>
      <c r="AD1092" t="s">
        <v>32</v>
      </c>
      <c r="AE1092" t="s">
        <v>32</v>
      </c>
      <c r="AF1092" t="s">
        <v>46835</v>
      </c>
    </row>
    <row r="1093" spans="1:32" x14ac:dyDescent="0.2">
      <c r="A1093">
        <v>1088</v>
      </c>
      <c r="B1093" t="s">
        <v>13017</v>
      </c>
      <c r="C1093" t="s">
        <v>13018</v>
      </c>
      <c r="D1093" t="s">
        <v>13019</v>
      </c>
      <c r="E1093" t="s">
        <v>13020</v>
      </c>
      <c r="F1093" t="s">
        <v>13021</v>
      </c>
      <c r="G1093" t="s">
        <v>13022</v>
      </c>
      <c r="H1093" t="str">
        <f>"Smu1"</f>
        <v>Smu1</v>
      </c>
      <c r="I1093" t="s">
        <v>32</v>
      </c>
      <c r="J1093" t="s">
        <v>37</v>
      </c>
      <c r="K1093">
        <v>10090</v>
      </c>
      <c r="L1093" s="3" t="str">
        <f>HYPERLINK("http://www.uniprot.org/uniprot/Q3UKJ7", "Q3UKJ7")</f>
        <v>Q3UKJ7</v>
      </c>
      <c r="M1093" t="s">
        <v>13023</v>
      </c>
      <c r="N1093" t="str">
        <f>"Smu1"</f>
        <v>Smu1</v>
      </c>
      <c r="O1093" s="3" t="str">
        <f>HYPERLINK("http://www.informatics.jax.org/marker/MGI:1915546", "MGI:1915546")</f>
        <v>MGI:1915546</v>
      </c>
      <c r="P1093" t="s">
        <v>13024</v>
      </c>
      <c r="Q1093" t="s">
        <v>2139</v>
      </c>
      <c r="R1093" t="s">
        <v>2219</v>
      </c>
      <c r="S1093" t="s">
        <v>41</v>
      </c>
      <c r="T1093" t="s">
        <v>32</v>
      </c>
      <c r="U1093" t="s">
        <v>32</v>
      </c>
      <c r="V1093" t="s">
        <v>1910</v>
      </c>
      <c r="W1093" t="s">
        <v>32</v>
      </c>
      <c r="X1093" t="s">
        <v>32</v>
      </c>
      <c r="Y1093" t="s">
        <v>461</v>
      </c>
      <c r="Z1093" t="s">
        <v>32</v>
      </c>
      <c r="AA1093" t="s">
        <v>13025</v>
      </c>
      <c r="AB1093" t="s">
        <v>13026</v>
      </c>
      <c r="AC1093" t="s">
        <v>32</v>
      </c>
      <c r="AD1093" t="s">
        <v>32</v>
      </c>
      <c r="AE1093" t="s">
        <v>32</v>
      </c>
      <c r="AF1093" t="s">
        <v>46835</v>
      </c>
    </row>
    <row r="1094" spans="1:32" x14ac:dyDescent="0.2">
      <c r="A1094">
        <v>1089</v>
      </c>
      <c r="B1094" t="s">
        <v>13027</v>
      </c>
      <c r="C1094" t="s">
        <v>13028</v>
      </c>
      <c r="D1094" t="s">
        <v>32</v>
      </c>
      <c r="E1094" t="s">
        <v>13029</v>
      </c>
      <c r="F1094" t="s">
        <v>13030</v>
      </c>
      <c r="G1094" t="s">
        <v>13031</v>
      </c>
      <c r="H1094" t="str">
        <f>"Gsr"</f>
        <v>Gsr</v>
      </c>
      <c r="I1094" t="s">
        <v>13032</v>
      </c>
      <c r="J1094" t="s">
        <v>37</v>
      </c>
      <c r="K1094">
        <v>10090</v>
      </c>
      <c r="L1094" s="3" t="str">
        <f>HYPERLINK("http://www.uniprot.org/uniprot/P47791", "P47791")</f>
        <v>P47791</v>
      </c>
      <c r="M1094" t="s">
        <v>13033</v>
      </c>
      <c r="N1094" t="str">
        <f>"Gsr"</f>
        <v>Gsr</v>
      </c>
      <c r="O1094" s="3" t="str">
        <f>HYPERLINK("http://www.informatics.jax.org/marker/MGI:95804", "MGI:95804")</f>
        <v>MGI:95804</v>
      </c>
      <c r="P1094" t="s">
        <v>13034</v>
      </c>
      <c r="Q1094" t="s">
        <v>32</v>
      </c>
      <c r="R1094" t="s">
        <v>1842</v>
      </c>
      <c r="S1094" t="s">
        <v>477</v>
      </c>
      <c r="T1094" t="s">
        <v>32</v>
      </c>
      <c r="U1094" t="s">
        <v>32</v>
      </c>
      <c r="V1094" t="s">
        <v>5688</v>
      </c>
      <c r="W1094" t="s">
        <v>9437</v>
      </c>
      <c r="X1094" t="s">
        <v>600</v>
      </c>
      <c r="Y1094" t="s">
        <v>8737</v>
      </c>
      <c r="Z1094" t="s">
        <v>32</v>
      </c>
      <c r="AA1094" t="s">
        <v>13035</v>
      </c>
      <c r="AB1094" t="s">
        <v>13036</v>
      </c>
      <c r="AC1094" t="s">
        <v>13037</v>
      </c>
      <c r="AD1094" t="s">
        <v>32</v>
      </c>
      <c r="AE1094" t="s">
        <v>13038</v>
      </c>
      <c r="AF1094" t="s">
        <v>46835</v>
      </c>
    </row>
    <row r="1095" spans="1:32" x14ac:dyDescent="0.2">
      <c r="A1095">
        <v>1090</v>
      </c>
      <c r="B1095" t="s">
        <v>13039</v>
      </c>
      <c r="C1095" t="s">
        <v>13040</v>
      </c>
      <c r="D1095" t="s">
        <v>13041</v>
      </c>
      <c r="E1095" t="s">
        <v>13042</v>
      </c>
      <c r="F1095" t="s">
        <v>13043</v>
      </c>
      <c r="G1095" t="s">
        <v>13044</v>
      </c>
      <c r="H1095" t="str">
        <f>"C3"</f>
        <v>C3</v>
      </c>
      <c r="I1095" t="s">
        <v>32</v>
      </c>
      <c r="J1095" t="s">
        <v>37</v>
      </c>
      <c r="K1095">
        <v>10090</v>
      </c>
      <c r="L1095" s="3" t="str">
        <f>HYPERLINK("http://www.uniprot.org/uniprot/P01027", "P01027")</f>
        <v>P01027</v>
      </c>
      <c r="M1095" t="s">
        <v>13045</v>
      </c>
      <c r="N1095" t="str">
        <f>"C3"</f>
        <v>C3</v>
      </c>
      <c r="O1095" s="3" t="str">
        <f>HYPERLINK("http://www.informatics.jax.org/marker/MGI:88227", "MGI:88227")</f>
        <v>MGI:88227</v>
      </c>
      <c r="P1095" t="s">
        <v>13046</v>
      </c>
      <c r="Q1095" t="s">
        <v>13047</v>
      </c>
      <c r="R1095" t="s">
        <v>630</v>
      </c>
      <c r="S1095" t="s">
        <v>477</v>
      </c>
      <c r="T1095" t="s">
        <v>32</v>
      </c>
      <c r="U1095" t="s">
        <v>32</v>
      </c>
      <c r="V1095" t="s">
        <v>811</v>
      </c>
      <c r="W1095" t="s">
        <v>32</v>
      </c>
      <c r="X1095" t="s">
        <v>32</v>
      </c>
      <c r="Y1095" t="s">
        <v>13048</v>
      </c>
      <c r="Z1095" t="s">
        <v>126</v>
      </c>
      <c r="AA1095" t="s">
        <v>13049</v>
      </c>
      <c r="AB1095" t="s">
        <v>13050</v>
      </c>
      <c r="AC1095" t="s">
        <v>13051</v>
      </c>
      <c r="AD1095" t="s">
        <v>32</v>
      </c>
      <c r="AE1095" t="s">
        <v>13052</v>
      </c>
      <c r="AF1095" t="s">
        <v>46835</v>
      </c>
    </row>
    <row r="1096" spans="1:32" x14ac:dyDescent="0.2">
      <c r="A1096">
        <v>1091</v>
      </c>
      <c r="B1096" t="s">
        <v>13053</v>
      </c>
      <c r="C1096" t="s">
        <v>13054</v>
      </c>
      <c r="D1096" t="s">
        <v>13055</v>
      </c>
      <c r="E1096" t="s">
        <v>13056</v>
      </c>
      <c r="F1096" t="s">
        <v>13057</v>
      </c>
      <c r="G1096" t="s">
        <v>13058</v>
      </c>
      <c r="H1096" t="str">
        <f>"Bsg"</f>
        <v>Bsg</v>
      </c>
      <c r="I1096" t="s">
        <v>32</v>
      </c>
      <c r="J1096" t="s">
        <v>37</v>
      </c>
      <c r="K1096">
        <v>10090</v>
      </c>
      <c r="L1096" s="3" t="str">
        <f>HYPERLINK("http://www.uniprot.org/uniprot/P18572", "P18572")</f>
        <v>P18572</v>
      </c>
      <c r="M1096" t="s">
        <v>13059</v>
      </c>
      <c r="N1096" t="str">
        <f>"Bsg"</f>
        <v>Bsg</v>
      </c>
      <c r="O1096" s="3" t="str">
        <f>HYPERLINK("http://www.informatics.jax.org/marker/MGI:88208", "MGI:88208")</f>
        <v>MGI:88208</v>
      </c>
      <c r="P1096" t="s">
        <v>13060</v>
      </c>
      <c r="Q1096" t="s">
        <v>13061</v>
      </c>
      <c r="R1096" t="s">
        <v>13062</v>
      </c>
      <c r="S1096" t="s">
        <v>41</v>
      </c>
      <c r="T1096" t="s">
        <v>32</v>
      </c>
      <c r="U1096" t="s">
        <v>32</v>
      </c>
      <c r="V1096" t="s">
        <v>13063</v>
      </c>
      <c r="W1096" t="s">
        <v>13064</v>
      </c>
      <c r="X1096" t="s">
        <v>6983</v>
      </c>
      <c r="Y1096" t="s">
        <v>2865</v>
      </c>
      <c r="Z1096" t="s">
        <v>32</v>
      </c>
      <c r="AA1096" t="s">
        <v>13065</v>
      </c>
      <c r="AB1096" t="s">
        <v>13066</v>
      </c>
      <c r="AC1096" t="s">
        <v>13067</v>
      </c>
      <c r="AD1096" t="s">
        <v>32</v>
      </c>
      <c r="AE1096" t="s">
        <v>32</v>
      </c>
      <c r="AF1096" t="s">
        <v>46835</v>
      </c>
    </row>
    <row r="1097" spans="1:32" x14ac:dyDescent="0.2">
      <c r="A1097">
        <v>1092</v>
      </c>
      <c r="B1097" t="s">
        <v>13068</v>
      </c>
      <c r="C1097" t="s">
        <v>13069</v>
      </c>
      <c r="D1097" t="s">
        <v>13070</v>
      </c>
      <c r="E1097" t="s">
        <v>13071</v>
      </c>
      <c r="F1097" t="s">
        <v>13072</v>
      </c>
      <c r="G1097" t="s">
        <v>13073</v>
      </c>
      <c r="H1097" t="str">
        <f>"Uqcrb"</f>
        <v>Uqcrb</v>
      </c>
      <c r="I1097" t="s">
        <v>32</v>
      </c>
      <c r="J1097" t="s">
        <v>37</v>
      </c>
      <c r="K1097">
        <v>10090</v>
      </c>
      <c r="L1097" s="3" t="str">
        <f>HYPERLINK("http://www.uniprot.org/uniprot/Q9D855", "Q9D855")</f>
        <v>Q9D855</v>
      </c>
      <c r="M1097" t="s">
        <v>13074</v>
      </c>
      <c r="N1097" t="str">
        <f>"Uqcrb"</f>
        <v>Uqcrb</v>
      </c>
      <c r="O1097" s="3" t="str">
        <f>HYPERLINK("http://www.informatics.jax.org/marker/MGI:1914780", "MGI:1914780")</f>
        <v>MGI:1914780</v>
      </c>
      <c r="P1097" t="s">
        <v>13075</v>
      </c>
      <c r="Q1097" t="s">
        <v>6888</v>
      </c>
      <c r="R1097" t="s">
        <v>3858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32</v>
      </c>
      <c r="Y1097" t="s">
        <v>78</v>
      </c>
      <c r="Z1097" t="s">
        <v>32</v>
      </c>
      <c r="AA1097" t="s">
        <v>13076</v>
      </c>
      <c r="AB1097" t="s">
        <v>13077</v>
      </c>
      <c r="AC1097" t="s">
        <v>9779</v>
      </c>
      <c r="AD1097" t="s">
        <v>32</v>
      </c>
      <c r="AE1097" t="s">
        <v>4604</v>
      </c>
      <c r="AF1097" t="s">
        <v>46835</v>
      </c>
    </row>
    <row r="1098" spans="1:32" x14ac:dyDescent="0.2">
      <c r="A1098">
        <v>1093</v>
      </c>
      <c r="B1098" t="s">
        <v>13078</v>
      </c>
      <c r="C1098" t="s">
        <v>13079</v>
      </c>
      <c r="D1098" t="s">
        <v>13080</v>
      </c>
      <c r="E1098" t="s">
        <v>13081</v>
      </c>
      <c r="F1098" t="s">
        <v>13082</v>
      </c>
      <c r="G1098" t="s">
        <v>13083</v>
      </c>
      <c r="H1098" t="str">
        <f>"Dnajb2"</f>
        <v>Dnajb2</v>
      </c>
      <c r="I1098" t="s">
        <v>32</v>
      </c>
      <c r="J1098" t="s">
        <v>37</v>
      </c>
      <c r="K1098">
        <v>10090</v>
      </c>
      <c r="L1098" s="3" t="str">
        <f>HYPERLINK("http://www.uniprot.org/uniprot/Q9QYI5", "Q9QYI5")</f>
        <v>Q9QYI5</v>
      </c>
      <c r="M1098" t="s">
        <v>13084</v>
      </c>
      <c r="N1098" t="str">
        <f>"Dnajb2"</f>
        <v>Dnajb2</v>
      </c>
      <c r="O1098" s="3" t="str">
        <f>HYPERLINK("http://www.informatics.jax.org/marker/MGI:1928739", "MGI:1928739")</f>
        <v>MGI:1928739</v>
      </c>
      <c r="P1098" t="s">
        <v>13085</v>
      </c>
      <c r="Q1098" t="s">
        <v>32</v>
      </c>
      <c r="R1098" t="s">
        <v>3151</v>
      </c>
      <c r="S1098" t="s">
        <v>41</v>
      </c>
      <c r="T1098" t="s">
        <v>32</v>
      </c>
      <c r="U1098" t="s">
        <v>32</v>
      </c>
      <c r="V1098" t="s">
        <v>55</v>
      </c>
      <c r="W1098" t="s">
        <v>32</v>
      </c>
      <c r="X1098" t="s">
        <v>388</v>
      </c>
      <c r="Y1098" t="s">
        <v>13086</v>
      </c>
      <c r="Z1098" t="s">
        <v>32</v>
      </c>
      <c r="AA1098" t="s">
        <v>13087</v>
      </c>
      <c r="AB1098" t="s">
        <v>13088</v>
      </c>
      <c r="AC1098" t="s">
        <v>13089</v>
      </c>
      <c r="AD1098" t="s">
        <v>32</v>
      </c>
      <c r="AE1098" t="s">
        <v>32</v>
      </c>
      <c r="AF1098" t="s">
        <v>46835</v>
      </c>
    </row>
    <row r="1099" spans="1:32" x14ac:dyDescent="0.2">
      <c r="A1099">
        <v>1094</v>
      </c>
      <c r="B1099" t="s">
        <v>13090</v>
      </c>
      <c r="C1099" t="s">
        <v>13091</v>
      </c>
      <c r="D1099" t="s">
        <v>13092</v>
      </c>
      <c r="E1099" t="s">
        <v>13093</v>
      </c>
      <c r="F1099" t="s">
        <v>13094</v>
      </c>
      <c r="G1099" t="s">
        <v>13095</v>
      </c>
      <c r="H1099" t="str">
        <f>"Aak1"</f>
        <v>Aak1</v>
      </c>
      <c r="I1099" t="s">
        <v>13096</v>
      </c>
      <c r="J1099" t="s">
        <v>37</v>
      </c>
      <c r="K1099">
        <v>10090</v>
      </c>
      <c r="L1099" s="3" t="str">
        <f>HYPERLINK("http://www.uniprot.org/uniprot/Q3UHJ0", "Q3UHJ0")</f>
        <v>Q3UHJ0</v>
      </c>
      <c r="M1099" t="s">
        <v>13097</v>
      </c>
      <c r="N1099" t="str">
        <f>"Aak1"</f>
        <v>Aak1</v>
      </c>
      <c r="O1099" s="3" t="str">
        <f>HYPERLINK("http://www.informatics.jax.org/marker/MGI:1098687", "MGI:1098687")</f>
        <v>MGI:1098687</v>
      </c>
      <c r="P1099" t="s">
        <v>13098</v>
      </c>
      <c r="Q1099" t="s">
        <v>2822</v>
      </c>
      <c r="R1099" t="s">
        <v>13099</v>
      </c>
      <c r="S1099" t="s">
        <v>41</v>
      </c>
      <c r="T1099" t="s">
        <v>32</v>
      </c>
      <c r="U1099" t="s">
        <v>32</v>
      </c>
      <c r="V1099" t="s">
        <v>32</v>
      </c>
      <c r="W1099" t="s">
        <v>205</v>
      </c>
      <c r="X1099" t="s">
        <v>5419</v>
      </c>
      <c r="Y1099" t="s">
        <v>97</v>
      </c>
      <c r="Z1099" t="s">
        <v>126</v>
      </c>
      <c r="AA1099" t="s">
        <v>13100</v>
      </c>
      <c r="AB1099" t="s">
        <v>13101</v>
      </c>
      <c r="AC1099" t="s">
        <v>13102</v>
      </c>
      <c r="AD1099" t="s">
        <v>32</v>
      </c>
      <c r="AE1099" t="s">
        <v>13103</v>
      </c>
      <c r="AF1099" t="s">
        <v>46835</v>
      </c>
    </row>
    <row r="1100" spans="1:32" x14ac:dyDescent="0.2">
      <c r="A1100">
        <v>1095</v>
      </c>
      <c r="B1100" t="s">
        <v>13104</v>
      </c>
      <c r="C1100" t="s">
        <v>13105</v>
      </c>
      <c r="D1100" t="s">
        <v>13106</v>
      </c>
      <c r="E1100" t="s">
        <v>13107</v>
      </c>
      <c r="F1100" t="s">
        <v>13108</v>
      </c>
      <c r="G1100" t="s">
        <v>32</v>
      </c>
      <c r="H1100" t="str">
        <f>"Pfdn6"</f>
        <v>Pfdn6</v>
      </c>
      <c r="I1100" t="s">
        <v>13109</v>
      </c>
      <c r="J1100" t="s">
        <v>37</v>
      </c>
      <c r="K1100">
        <v>10090</v>
      </c>
      <c r="L1100" s="3" t="str">
        <f>HYPERLINK("http://www.uniprot.org/uniprot/Q03958", "Q03958")</f>
        <v>Q03958</v>
      </c>
      <c r="M1100" t="s">
        <v>13110</v>
      </c>
      <c r="N1100" t="str">
        <f>"Pfdn6"</f>
        <v>Pfdn6</v>
      </c>
      <c r="O1100" s="3" t="str">
        <f>HYPERLINK("http://www.informatics.jax.org/marker/MGI:95908", "MGI:95908")</f>
        <v>MGI:95908</v>
      </c>
      <c r="P1100" t="s">
        <v>13111</v>
      </c>
      <c r="Q1100" t="s">
        <v>32</v>
      </c>
      <c r="R1100" t="s">
        <v>32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388</v>
      </c>
      <c r="Y1100" t="s">
        <v>461</v>
      </c>
      <c r="Z1100" t="s">
        <v>32</v>
      </c>
      <c r="AA1100" t="s">
        <v>13112</v>
      </c>
      <c r="AB1100" t="s">
        <v>13113</v>
      </c>
      <c r="AC1100" t="s">
        <v>13114</v>
      </c>
      <c r="AD1100" t="s">
        <v>32</v>
      </c>
      <c r="AE1100" t="s">
        <v>32</v>
      </c>
      <c r="AF1100" t="s">
        <v>46835</v>
      </c>
    </row>
    <row r="1101" spans="1:32" x14ac:dyDescent="0.2">
      <c r="A1101">
        <v>1096</v>
      </c>
      <c r="B1101" t="s">
        <v>13115</v>
      </c>
      <c r="C1101" t="s">
        <v>13116</v>
      </c>
      <c r="D1101" t="s">
        <v>13117</v>
      </c>
      <c r="E1101" t="s">
        <v>13118</v>
      </c>
      <c r="F1101" t="s">
        <v>13119</v>
      </c>
      <c r="G1101" t="s">
        <v>32</v>
      </c>
      <c r="H1101" t="str">
        <f>"Gipc1"</f>
        <v>Gipc1</v>
      </c>
      <c r="I1101" t="s">
        <v>13120</v>
      </c>
      <c r="J1101" t="s">
        <v>37</v>
      </c>
      <c r="K1101">
        <v>10090</v>
      </c>
      <c r="L1101" s="3" t="str">
        <f>HYPERLINK("http://www.uniprot.org/uniprot/Q9Z0G0", "Q9Z0G0")</f>
        <v>Q9Z0G0</v>
      </c>
      <c r="M1101" t="s">
        <v>13121</v>
      </c>
      <c r="N1101" t="str">
        <f>"Gipc1"</f>
        <v>Gipc1</v>
      </c>
      <c r="O1101" s="3" t="str">
        <f>HYPERLINK("http://www.informatics.jax.org/marker/MGI:1926252", "MGI:1926252")</f>
        <v>MGI:1926252</v>
      </c>
      <c r="P1101" t="s">
        <v>13122</v>
      </c>
      <c r="Q1101" t="s">
        <v>32</v>
      </c>
      <c r="R1101" t="s">
        <v>714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32</v>
      </c>
      <c r="Y1101" t="s">
        <v>618</v>
      </c>
      <c r="Z1101" t="s">
        <v>126</v>
      </c>
      <c r="AA1101" t="s">
        <v>13123</v>
      </c>
      <c r="AB1101" t="s">
        <v>13124</v>
      </c>
      <c r="AC1101" t="s">
        <v>13125</v>
      </c>
      <c r="AD1101" t="s">
        <v>32</v>
      </c>
      <c r="AE1101" t="s">
        <v>32</v>
      </c>
      <c r="AF1101" t="s">
        <v>46835</v>
      </c>
    </row>
    <row r="1102" spans="1:32" x14ac:dyDescent="0.2">
      <c r="A1102">
        <v>1097</v>
      </c>
      <c r="B1102" t="s">
        <v>13126</v>
      </c>
      <c r="C1102" t="s">
        <v>13127</v>
      </c>
      <c r="D1102" t="s">
        <v>13128</v>
      </c>
      <c r="E1102" t="s">
        <v>13129</v>
      </c>
      <c r="F1102" t="s">
        <v>13130</v>
      </c>
      <c r="G1102" t="s">
        <v>32</v>
      </c>
      <c r="H1102" t="str">
        <f>"Manf"</f>
        <v>Manf</v>
      </c>
      <c r="I1102" t="s">
        <v>13131</v>
      </c>
      <c r="J1102" t="s">
        <v>37</v>
      </c>
      <c r="K1102">
        <v>10090</v>
      </c>
      <c r="L1102" s="3" t="str">
        <f>HYPERLINK("http://www.uniprot.org/uniprot/Q9CXI5", "Q9CXI5")</f>
        <v>Q9CXI5</v>
      </c>
      <c r="M1102" t="s">
        <v>13132</v>
      </c>
      <c r="N1102" t="str">
        <f>"Manf"</f>
        <v>Manf</v>
      </c>
      <c r="O1102" s="3" t="str">
        <f>HYPERLINK("http://www.informatics.jax.org/marker/MGI:1922090", "MGI:1922090")</f>
        <v>MGI:1922090</v>
      </c>
      <c r="P1102" t="s">
        <v>13133</v>
      </c>
      <c r="Q1102" t="s">
        <v>13134</v>
      </c>
      <c r="R1102" t="s">
        <v>13135</v>
      </c>
      <c r="S1102" t="s">
        <v>32</v>
      </c>
      <c r="T1102" t="s">
        <v>32</v>
      </c>
      <c r="U1102" t="s">
        <v>32</v>
      </c>
      <c r="V1102" t="s">
        <v>811</v>
      </c>
      <c r="W1102" t="s">
        <v>584</v>
      </c>
      <c r="X1102" t="s">
        <v>11135</v>
      </c>
      <c r="Y1102" t="s">
        <v>2080</v>
      </c>
      <c r="Z1102" t="s">
        <v>126</v>
      </c>
      <c r="AA1102" t="s">
        <v>13136</v>
      </c>
      <c r="AB1102" t="s">
        <v>13137</v>
      </c>
      <c r="AC1102" t="s">
        <v>13138</v>
      </c>
      <c r="AD1102" t="s">
        <v>32</v>
      </c>
      <c r="AE1102" t="s">
        <v>2235</v>
      </c>
      <c r="AF1102" t="s">
        <v>46835</v>
      </c>
    </row>
    <row r="1103" spans="1:32" x14ac:dyDescent="0.2">
      <c r="A1103">
        <v>1098</v>
      </c>
      <c r="B1103" t="s">
        <v>13139</v>
      </c>
      <c r="C1103" t="s">
        <v>13140</v>
      </c>
      <c r="D1103" t="s">
        <v>32</v>
      </c>
      <c r="E1103" t="s">
        <v>13141</v>
      </c>
      <c r="F1103" t="s">
        <v>13142</v>
      </c>
      <c r="G1103" t="s">
        <v>32</v>
      </c>
      <c r="H1103" t="str">
        <f>"Pcnp"</f>
        <v>Pcnp</v>
      </c>
      <c r="I1103" t="s">
        <v>32</v>
      </c>
      <c r="J1103" t="s">
        <v>37</v>
      </c>
      <c r="K1103">
        <v>10090</v>
      </c>
      <c r="L1103" s="3" t="str">
        <f>HYPERLINK("http://www.uniprot.org/uniprot/Q6P8I4", "Q6P8I4")</f>
        <v>Q6P8I4</v>
      </c>
      <c r="M1103" t="s">
        <v>13143</v>
      </c>
      <c r="N1103" t="str">
        <f>"Pcnp"</f>
        <v>Pcnp</v>
      </c>
      <c r="O1103" s="3" t="str">
        <f>HYPERLINK("http://www.informatics.jax.org/marker/MGI:1923552", "MGI:1923552")</f>
        <v>MGI:1923552</v>
      </c>
      <c r="P1103" t="s">
        <v>13144</v>
      </c>
      <c r="Q1103" t="s">
        <v>9824</v>
      </c>
      <c r="R1103" t="s">
        <v>2279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32</v>
      </c>
      <c r="Y1103" t="s">
        <v>1023</v>
      </c>
      <c r="Z1103" t="s">
        <v>32</v>
      </c>
      <c r="AA1103" t="s">
        <v>13145</v>
      </c>
      <c r="AB1103" t="s">
        <v>13146</v>
      </c>
      <c r="AC1103" t="s">
        <v>32</v>
      </c>
      <c r="AD1103" t="s">
        <v>32</v>
      </c>
      <c r="AE1103" t="s">
        <v>32</v>
      </c>
      <c r="AF1103" t="s">
        <v>46835</v>
      </c>
    </row>
    <row r="1104" spans="1:32" x14ac:dyDescent="0.2">
      <c r="A1104">
        <v>1099</v>
      </c>
      <c r="B1104" t="s">
        <v>13147</v>
      </c>
      <c r="C1104" t="s">
        <v>13148</v>
      </c>
      <c r="D1104" t="s">
        <v>13149</v>
      </c>
      <c r="E1104" t="s">
        <v>13150</v>
      </c>
      <c r="F1104" t="s">
        <v>13151</v>
      </c>
      <c r="G1104" t="s">
        <v>32</v>
      </c>
      <c r="H1104" t="str">
        <f>"Fkbp2"</f>
        <v>Fkbp2</v>
      </c>
      <c r="I1104" t="s">
        <v>13152</v>
      </c>
      <c r="J1104" t="s">
        <v>37</v>
      </c>
      <c r="K1104">
        <v>10090</v>
      </c>
      <c r="L1104" s="3" t="str">
        <f>HYPERLINK("http://www.uniprot.org/uniprot/P45878", "P45878")</f>
        <v>P45878</v>
      </c>
      <c r="M1104" t="s">
        <v>13153</v>
      </c>
      <c r="N1104" t="str">
        <f>"Fkbp2"</f>
        <v>Fkbp2</v>
      </c>
      <c r="O1104" s="3" t="str">
        <f>HYPERLINK("http://www.informatics.jax.org/marker/MGI:95542", "MGI:95542")</f>
        <v>MGI:95542</v>
      </c>
      <c r="P1104" t="s">
        <v>13154</v>
      </c>
      <c r="Q1104" t="s">
        <v>32</v>
      </c>
      <c r="R1104" t="s">
        <v>1664</v>
      </c>
      <c r="S1104" t="s">
        <v>32</v>
      </c>
      <c r="T1104" t="s">
        <v>32</v>
      </c>
      <c r="U1104" t="s">
        <v>32</v>
      </c>
      <c r="V1104" t="s">
        <v>811</v>
      </c>
      <c r="W1104" t="s">
        <v>32</v>
      </c>
      <c r="X1104" t="s">
        <v>543</v>
      </c>
      <c r="Y1104" t="s">
        <v>32</v>
      </c>
      <c r="Z1104" t="s">
        <v>32</v>
      </c>
      <c r="AA1104" t="s">
        <v>13155</v>
      </c>
      <c r="AB1104" t="s">
        <v>13156</v>
      </c>
      <c r="AC1104" t="s">
        <v>3607</v>
      </c>
      <c r="AD1104" t="s">
        <v>32</v>
      </c>
      <c r="AE1104" t="s">
        <v>32</v>
      </c>
      <c r="AF1104" t="s">
        <v>46835</v>
      </c>
    </row>
    <row r="1105" spans="1:33" x14ac:dyDescent="0.2">
      <c r="A1105">
        <v>1100</v>
      </c>
      <c r="B1105" t="s">
        <v>13157</v>
      </c>
      <c r="C1105" t="s">
        <v>13158</v>
      </c>
      <c r="D1105" t="s">
        <v>32</v>
      </c>
      <c r="E1105" t="s">
        <v>13159</v>
      </c>
      <c r="F1105" t="s">
        <v>13160</v>
      </c>
      <c r="G1105" t="s">
        <v>13161</v>
      </c>
      <c r="H1105" t="str">
        <f>"Ptpn23"</f>
        <v>Ptpn23</v>
      </c>
      <c r="I1105" t="s">
        <v>13162</v>
      </c>
      <c r="J1105" t="s">
        <v>37</v>
      </c>
      <c r="K1105">
        <v>10090</v>
      </c>
      <c r="L1105" s="3" t="str">
        <f>HYPERLINK("http://www.uniprot.org/uniprot/Q6PB44", "Q6PB44")</f>
        <v>Q6PB44</v>
      </c>
      <c r="M1105" t="s">
        <v>13163</v>
      </c>
      <c r="N1105" t="str">
        <f>"Ptpn23"</f>
        <v>Ptpn23</v>
      </c>
      <c r="O1105" s="3" t="str">
        <f>HYPERLINK("http://www.informatics.jax.org/marker/MGI:2144837", "MGI:2144837")</f>
        <v>MGI:2144837</v>
      </c>
      <c r="P1105" t="s">
        <v>13164</v>
      </c>
      <c r="Q1105" t="s">
        <v>9112</v>
      </c>
      <c r="R1105" t="s">
        <v>13165</v>
      </c>
      <c r="S1105" t="s">
        <v>41</v>
      </c>
      <c r="T1105" t="s">
        <v>32</v>
      </c>
      <c r="U1105" t="s">
        <v>32</v>
      </c>
      <c r="V1105" t="s">
        <v>4559</v>
      </c>
      <c r="W1105" t="s">
        <v>32</v>
      </c>
      <c r="X1105" t="s">
        <v>3683</v>
      </c>
      <c r="Y1105" t="s">
        <v>2734</v>
      </c>
      <c r="Z1105" t="s">
        <v>126</v>
      </c>
      <c r="AA1105" t="s">
        <v>13166</v>
      </c>
      <c r="AB1105" t="s">
        <v>13167</v>
      </c>
      <c r="AC1105" t="s">
        <v>13168</v>
      </c>
      <c r="AD1105" t="s">
        <v>32</v>
      </c>
      <c r="AE1105" t="s">
        <v>32</v>
      </c>
      <c r="AF1105" t="s">
        <v>46835</v>
      </c>
    </row>
    <row r="1106" spans="1:33" x14ac:dyDescent="0.2">
      <c r="A1106">
        <v>1101</v>
      </c>
      <c r="B1106" t="s">
        <v>13169</v>
      </c>
      <c r="C1106" t="s">
        <v>13170</v>
      </c>
      <c r="D1106" t="s">
        <v>13171</v>
      </c>
      <c r="E1106" t="s">
        <v>13172</v>
      </c>
      <c r="F1106" t="s">
        <v>13173</v>
      </c>
      <c r="G1106" t="s">
        <v>13174</v>
      </c>
      <c r="H1106" t="str">
        <f>"Myl12b"</f>
        <v>Myl12b</v>
      </c>
      <c r="I1106" t="s">
        <v>13175</v>
      </c>
      <c r="J1106" t="s">
        <v>37</v>
      </c>
      <c r="K1106">
        <v>10090</v>
      </c>
      <c r="L1106" s="3" t="str">
        <f>HYPERLINK("http://www.uniprot.org/uniprot/Q3THE2", "Q3THE2")</f>
        <v>Q3THE2</v>
      </c>
      <c r="M1106" t="s">
        <v>13176</v>
      </c>
      <c r="N1106" t="str">
        <f>"Myl12b"</f>
        <v>Myl12b</v>
      </c>
      <c r="O1106" s="3" t="str">
        <f>HYPERLINK("http://www.informatics.jax.org/marker/MGI:107494", "MGI:107494")</f>
        <v>MGI:107494</v>
      </c>
      <c r="P1106" t="s">
        <v>13177</v>
      </c>
      <c r="Q1106" t="s">
        <v>32</v>
      </c>
      <c r="R1106" t="s">
        <v>32</v>
      </c>
      <c r="S1106" t="s">
        <v>32</v>
      </c>
      <c r="T1106" t="s">
        <v>32</v>
      </c>
      <c r="U1106" t="s">
        <v>32</v>
      </c>
      <c r="V1106" t="s">
        <v>55</v>
      </c>
      <c r="W1106" t="s">
        <v>188</v>
      </c>
      <c r="X1106" t="s">
        <v>5260</v>
      </c>
      <c r="Y1106" t="s">
        <v>618</v>
      </c>
      <c r="Z1106" t="s">
        <v>32</v>
      </c>
      <c r="AA1106" t="s">
        <v>3098</v>
      </c>
      <c r="AB1106" t="s">
        <v>13178</v>
      </c>
      <c r="AC1106" t="s">
        <v>13179</v>
      </c>
      <c r="AD1106" t="s">
        <v>32</v>
      </c>
      <c r="AE1106" t="s">
        <v>5264</v>
      </c>
      <c r="AF1106" t="s">
        <v>46835</v>
      </c>
    </row>
    <row r="1107" spans="1:33" x14ac:dyDescent="0.2">
      <c r="A1107">
        <v>1102</v>
      </c>
      <c r="B1107" t="s">
        <v>13180</v>
      </c>
      <c r="C1107" t="s">
        <v>13181</v>
      </c>
      <c r="D1107" t="s">
        <v>13182</v>
      </c>
      <c r="E1107" t="s">
        <v>13183</v>
      </c>
      <c r="F1107" t="s">
        <v>13184</v>
      </c>
      <c r="G1107" t="s">
        <v>13185</v>
      </c>
      <c r="H1107" t="str">
        <f>"Rbp3"</f>
        <v>Rbp3</v>
      </c>
      <c r="I1107" t="s">
        <v>32</v>
      </c>
      <c r="J1107" t="s">
        <v>37</v>
      </c>
      <c r="K1107">
        <v>10090</v>
      </c>
      <c r="L1107" s="3" t="str">
        <f>HYPERLINK("http://www.uniprot.org/uniprot/P49194", "P49194")</f>
        <v>P49194</v>
      </c>
      <c r="M1107" t="s">
        <v>13186</v>
      </c>
      <c r="N1107" t="str">
        <f>"Rbp3"</f>
        <v>Rbp3</v>
      </c>
      <c r="O1107" s="3" t="str">
        <f>HYPERLINK("http://www.informatics.jax.org/marker/MGI:97878", "MGI:97878")</f>
        <v>MGI:97878</v>
      </c>
      <c r="P1107" t="s">
        <v>13187</v>
      </c>
      <c r="Q1107" t="s">
        <v>4425</v>
      </c>
      <c r="R1107" t="s">
        <v>5586</v>
      </c>
      <c r="S1107" t="s">
        <v>32</v>
      </c>
      <c r="T1107" t="s">
        <v>32</v>
      </c>
      <c r="U1107" t="s">
        <v>32</v>
      </c>
      <c r="V1107" t="s">
        <v>478</v>
      </c>
      <c r="W1107" t="s">
        <v>13188</v>
      </c>
      <c r="X1107" t="s">
        <v>32</v>
      </c>
      <c r="Y1107" t="s">
        <v>3733</v>
      </c>
      <c r="Z1107" t="s">
        <v>32</v>
      </c>
      <c r="AA1107" t="s">
        <v>4615</v>
      </c>
      <c r="AB1107" t="s">
        <v>13189</v>
      </c>
      <c r="AC1107" t="s">
        <v>13190</v>
      </c>
      <c r="AD1107" t="s">
        <v>32</v>
      </c>
      <c r="AE1107" t="s">
        <v>13191</v>
      </c>
      <c r="AF1107" t="s">
        <v>46835</v>
      </c>
    </row>
    <row r="1108" spans="1:33" x14ac:dyDescent="0.2">
      <c r="A1108">
        <v>1103</v>
      </c>
      <c r="B1108" t="s">
        <v>13192</v>
      </c>
      <c r="C1108" t="s">
        <v>13193</v>
      </c>
      <c r="D1108" t="s">
        <v>13194</v>
      </c>
      <c r="E1108" t="s">
        <v>13195</v>
      </c>
      <c r="F1108" t="s">
        <v>13196</v>
      </c>
      <c r="G1108" t="s">
        <v>32</v>
      </c>
      <c r="H1108" t="str">
        <f>"Pdha1"</f>
        <v>Pdha1</v>
      </c>
      <c r="I1108" t="s">
        <v>13197</v>
      </c>
      <c r="J1108" t="s">
        <v>37</v>
      </c>
      <c r="K1108">
        <v>10090</v>
      </c>
      <c r="L1108" s="3" t="str">
        <f>HYPERLINK("http://www.uniprot.org/uniprot/P35486", "P35486")</f>
        <v>P35486</v>
      </c>
      <c r="M1108" t="s">
        <v>13198</v>
      </c>
      <c r="N1108" t="str">
        <f>"Pdha1"</f>
        <v>Pdha1</v>
      </c>
      <c r="O1108" s="3" t="str">
        <f>HYPERLINK("http://www.informatics.jax.org/marker/MGI:97532", "MGI:97532")</f>
        <v>MGI:97532</v>
      </c>
      <c r="P1108" t="s">
        <v>13199</v>
      </c>
      <c r="Q1108" t="s">
        <v>12255</v>
      </c>
      <c r="R1108" t="s">
        <v>1038</v>
      </c>
      <c r="S1108" t="s">
        <v>32</v>
      </c>
      <c r="T1108" t="s">
        <v>32</v>
      </c>
      <c r="U1108" t="s">
        <v>32</v>
      </c>
      <c r="V1108" t="s">
        <v>1039</v>
      </c>
      <c r="W1108" t="s">
        <v>13200</v>
      </c>
      <c r="X1108" t="s">
        <v>600</v>
      </c>
      <c r="Y1108" t="s">
        <v>157</v>
      </c>
      <c r="Z1108" t="s">
        <v>32</v>
      </c>
      <c r="AA1108" t="s">
        <v>12257</v>
      </c>
      <c r="AB1108" t="s">
        <v>13201</v>
      </c>
      <c r="AC1108" t="s">
        <v>13202</v>
      </c>
      <c r="AD1108" t="s">
        <v>32</v>
      </c>
      <c r="AE1108" t="s">
        <v>12260</v>
      </c>
      <c r="AF1108" t="s">
        <v>46835</v>
      </c>
    </row>
    <row r="1109" spans="1:33" x14ac:dyDescent="0.2">
      <c r="A1109">
        <v>1104</v>
      </c>
      <c r="B1109" t="s">
        <v>13203</v>
      </c>
      <c r="C1109" t="s">
        <v>13204</v>
      </c>
      <c r="D1109" t="s">
        <v>13205</v>
      </c>
      <c r="E1109" t="s">
        <v>13206</v>
      </c>
      <c r="F1109" t="s">
        <v>13207</v>
      </c>
      <c r="G1109" t="s">
        <v>13208</v>
      </c>
      <c r="H1109" t="str">
        <f>"Nudt21"</f>
        <v>Nudt21</v>
      </c>
      <c r="I1109" t="s">
        <v>32</v>
      </c>
      <c r="J1109" t="s">
        <v>37</v>
      </c>
      <c r="K1109">
        <v>10090</v>
      </c>
      <c r="L1109" s="3" t="str">
        <f>HYPERLINK("http://www.uniprot.org/uniprot/Q9CQF3", "Q9CQF3")</f>
        <v>Q9CQF3</v>
      </c>
      <c r="M1109" t="s">
        <v>13209</v>
      </c>
      <c r="N1109" t="str">
        <f>"Nudt21"</f>
        <v>Nudt21</v>
      </c>
      <c r="O1109" s="3" t="str">
        <f>HYPERLINK("http://www.informatics.jax.org/marker/MGI:1915469", "MGI:1915469")</f>
        <v>MGI:1915469</v>
      </c>
      <c r="P1109" t="s">
        <v>13210</v>
      </c>
      <c r="Q1109" t="s">
        <v>13211</v>
      </c>
      <c r="R1109" t="s">
        <v>40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1282</v>
      </c>
      <c r="Y1109" t="s">
        <v>97</v>
      </c>
      <c r="Z1109" t="s">
        <v>32</v>
      </c>
      <c r="AA1109" t="s">
        <v>13212</v>
      </c>
      <c r="AB1109" t="s">
        <v>13213</v>
      </c>
      <c r="AC1109" t="s">
        <v>13214</v>
      </c>
      <c r="AD1109" t="s">
        <v>32</v>
      </c>
      <c r="AE1109" t="s">
        <v>13215</v>
      </c>
      <c r="AF1109" t="s">
        <v>46835</v>
      </c>
    </row>
    <row r="1110" spans="1:33" x14ac:dyDescent="0.2">
      <c r="A1110">
        <v>1105</v>
      </c>
      <c r="B1110" t="s">
        <v>13216</v>
      </c>
      <c r="C1110" t="s">
        <v>13217</v>
      </c>
      <c r="D1110" t="s">
        <v>13218</v>
      </c>
      <c r="E1110" t="s">
        <v>13219</v>
      </c>
      <c r="F1110" t="s">
        <v>13220</v>
      </c>
      <c r="G1110" t="s">
        <v>32</v>
      </c>
      <c r="H1110" t="str">
        <f>"Ap1g1"</f>
        <v>Ap1g1</v>
      </c>
      <c r="I1110" t="s">
        <v>13221</v>
      </c>
      <c r="J1110" t="s">
        <v>37</v>
      </c>
      <c r="K1110">
        <v>10090</v>
      </c>
      <c r="L1110" s="3" t="str">
        <f>HYPERLINK("http://www.uniprot.org/uniprot/P22892", "P22892")</f>
        <v>P22892</v>
      </c>
      <c r="M1110" t="s">
        <v>13222</v>
      </c>
      <c r="N1110" t="str">
        <f>"Ap1g1"</f>
        <v>Ap1g1</v>
      </c>
      <c r="O1110" s="3" t="str">
        <f>HYPERLINK("http://www.informatics.jax.org/marker/MGI:101919", "MGI:101919")</f>
        <v>MGI:101919</v>
      </c>
      <c r="P1110" t="s">
        <v>13223</v>
      </c>
      <c r="Q1110" t="s">
        <v>434</v>
      </c>
      <c r="R1110" t="s">
        <v>13224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32</v>
      </c>
      <c r="Y1110" t="s">
        <v>32</v>
      </c>
      <c r="Z1110" t="s">
        <v>126</v>
      </c>
      <c r="AA1110" t="s">
        <v>13225</v>
      </c>
      <c r="AB1110" t="s">
        <v>13226</v>
      </c>
      <c r="AC1110" t="s">
        <v>13227</v>
      </c>
      <c r="AD1110" t="s">
        <v>32</v>
      </c>
      <c r="AE1110" t="s">
        <v>9104</v>
      </c>
      <c r="AF1110" t="s">
        <v>46835</v>
      </c>
    </row>
    <row r="1111" spans="1:33" x14ac:dyDescent="0.2">
      <c r="A1111">
        <v>1106</v>
      </c>
      <c r="B1111" t="s">
        <v>13228</v>
      </c>
      <c r="C1111" t="s">
        <v>13229</v>
      </c>
      <c r="D1111" t="s">
        <v>13230</v>
      </c>
      <c r="E1111" t="s">
        <v>13231</v>
      </c>
      <c r="F1111" t="s">
        <v>13232</v>
      </c>
      <c r="G1111" t="s">
        <v>13233</v>
      </c>
      <c r="H1111" t="str">
        <f>"Supt5h"</f>
        <v>Supt5h</v>
      </c>
      <c r="I1111" t="s">
        <v>13234</v>
      </c>
      <c r="J1111" t="s">
        <v>37</v>
      </c>
      <c r="K1111">
        <v>10090</v>
      </c>
      <c r="L1111" s="3" t="str">
        <f>HYPERLINK("http://www.uniprot.org/uniprot/O55201", "O55201")</f>
        <v>O55201</v>
      </c>
      <c r="M1111" t="s">
        <v>13235</v>
      </c>
      <c r="N1111" t="str">
        <f>"Supt5"</f>
        <v>Supt5</v>
      </c>
      <c r="O1111" s="3" t="str">
        <f>HYPERLINK("http://www.informatics.jax.org/marker/MGI:1202400", "MGI:1202400")</f>
        <v>MGI:1202400</v>
      </c>
      <c r="P1111" t="s">
        <v>13236</v>
      </c>
      <c r="Q1111" t="s">
        <v>4152</v>
      </c>
      <c r="R1111" t="s">
        <v>2279</v>
      </c>
      <c r="S1111" t="s">
        <v>41</v>
      </c>
      <c r="T1111" t="s">
        <v>32</v>
      </c>
      <c r="U1111" t="s">
        <v>32</v>
      </c>
      <c r="V1111" t="s">
        <v>55</v>
      </c>
      <c r="W1111" t="s">
        <v>32</v>
      </c>
      <c r="X1111" t="s">
        <v>6736</v>
      </c>
      <c r="Y1111" t="s">
        <v>207</v>
      </c>
      <c r="Z1111" t="s">
        <v>32</v>
      </c>
      <c r="AA1111" t="s">
        <v>13237</v>
      </c>
      <c r="AB1111" t="s">
        <v>13238</v>
      </c>
      <c r="AC1111" t="s">
        <v>13239</v>
      </c>
      <c r="AD1111" t="s">
        <v>32</v>
      </c>
      <c r="AE1111" t="s">
        <v>13240</v>
      </c>
      <c r="AF1111" t="s">
        <v>46835</v>
      </c>
    </row>
    <row r="1112" spans="1:33" x14ac:dyDescent="0.2">
      <c r="A1112">
        <v>1107</v>
      </c>
      <c r="B1112" t="s">
        <v>13241</v>
      </c>
      <c r="C1112" t="s">
        <v>13242</v>
      </c>
      <c r="D1112" t="s">
        <v>13243</v>
      </c>
      <c r="E1112" t="s">
        <v>13244</v>
      </c>
      <c r="F1112" t="s">
        <v>13245</v>
      </c>
      <c r="G1112" t="s">
        <v>13246</v>
      </c>
      <c r="H1112" t="str">
        <f>"Pspc1"</f>
        <v>Pspc1</v>
      </c>
      <c r="I1112" t="s">
        <v>13247</v>
      </c>
      <c r="J1112" t="s">
        <v>37</v>
      </c>
      <c r="K1112">
        <v>10090</v>
      </c>
      <c r="L1112" s="3" t="str">
        <f>HYPERLINK("http://www.uniprot.org/uniprot/Q8R326", "Q8R326")</f>
        <v>Q8R326</v>
      </c>
      <c r="M1112" t="s">
        <v>13248</v>
      </c>
      <c r="N1112" t="str">
        <f>"Pspc1"</f>
        <v>Pspc1</v>
      </c>
      <c r="O1112" s="3" t="str">
        <f>HYPERLINK("http://www.informatics.jax.org/marker/MGI:1913895", "MGI:1913895")</f>
        <v>MGI:1913895</v>
      </c>
      <c r="P1112" t="s">
        <v>13249</v>
      </c>
      <c r="Q1112" t="s">
        <v>13250</v>
      </c>
      <c r="R1112" t="s">
        <v>40</v>
      </c>
      <c r="S1112" t="s">
        <v>41</v>
      </c>
      <c r="T1112" t="s">
        <v>32</v>
      </c>
      <c r="U1112" t="s">
        <v>32</v>
      </c>
      <c r="V1112" t="s">
        <v>137</v>
      </c>
      <c r="W1112" t="s">
        <v>32</v>
      </c>
      <c r="X1112" t="s">
        <v>7696</v>
      </c>
      <c r="Y1112" t="s">
        <v>97</v>
      </c>
      <c r="Z1112" t="s">
        <v>32</v>
      </c>
      <c r="AA1112" t="s">
        <v>13251</v>
      </c>
      <c r="AB1112" t="s">
        <v>13252</v>
      </c>
      <c r="AC1112" t="s">
        <v>4711</v>
      </c>
      <c r="AD1112" t="s">
        <v>32</v>
      </c>
      <c r="AE1112" t="s">
        <v>32</v>
      </c>
      <c r="AF1112" t="s">
        <v>46835</v>
      </c>
    </row>
    <row r="1113" spans="1:33" x14ac:dyDescent="0.2">
      <c r="A1113">
        <v>1108</v>
      </c>
      <c r="B1113" t="s">
        <v>13253</v>
      </c>
      <c r="C1113" t="s">
        <v>13254</v>
      </c>
      <c r="D1113" t="s">
        <v>13255</v>
      </c>
      <c r="E1113" t="s">
        <v>13256</v>
      </c>
      <c r="F1113" t="s">
        <v>13257</v>
      </c>
      <c r="G1113" t="s">
        <v>13258</v>
      </c>
      <c r="H1113" t="str">
        <f>"Pcp4"</f>
        <v>Pcp4</v>
      </c>
      <c r="I1113" t="s">
        <v>13259</v>
      </c>
      <c r="J1113" t="s">
        <v>37</v>
      </c>
      <c r="K1113">
        <v>10090</v>
      </c>
      <c r="L1113" s="3" t="str">
        <f>HYPERLINK("http://www.uniprot.org/uniprot/P63054", "P63054")</f>
        <v>P63054</v>
      </c>
      <c r="M1113" t="s">
        <v>13260</v>
      </c>
      <c r="N1113" t="str">
        <f>"Pcp4"</f>
        <v>Pcp4</v>
      </c>
      <c r="O1113" s="3" t="str">
        <f>HYPERLINK("http://www.informatics.jax.org/marker/MGI:97509", "MGI:97509")</f>
        <v>MGI:97509</v>
      </c>
      <c r="P1113" t="s">
        <v>13261</v>
      </c>
      <c r="Q1113" t="s">
        <v>32</v>
      </c>
      <c r="R1113" t="s">
        <v>32</v>
      </c>
      <c r="S1113" t="s">
        <v>32</v>
      </c>
      <c r="T1113" t="s">
        <v>32</v>
      </c>
      <c r="U1113" t="s">
        <v>32</v>
      </c>
      <c r="V1113" t="s">
        <v>32</v>
      </c>
      <c r="W1113" t="s">
        <v>1380</v>
      </c>
      <c r="X1113" t="s">
        <v>1926</v>
      </c>
      <c r="Y1113" t="s">
        <v>32</v>
      </c>
      <c r="Z1113" t="s">
        <v>32</v>
      </c>
      <c r="AA1113" t="s">
        <v>13262</v>
      </c>
      <c r="AB1113" t="s">
        <v>13263</v>
      </c>
      <c r="AC1113" t="s">
        <v>13264</v>
      </c>
      <c r="AD1113" t="s">
        <v>32</v>
      </c>
      <c r="AE1113" t="s">
        <v>32</v>
      </c>
      <c r="AF1113" t="s">
        <v>46835</v>
      </c>
    </row>
    <row r="1114" spans="1:33" x14ac:dyDescent="0.2">
      <c r="A1114">
        <v>1109</v>
      </c>
      <c r="B1114" t="s">
        <v>13265</v>
      </c>
      <c r="C1114" t="s">
        <v>13266</v>
      </c>
      <c r="D1114" t="s">
        <v>13267</v>
      </c>
      <c r="E1114" t="s">
        <v>13268</v>
      </c>
      <c r="F1114" t="s">
        <v>13269</v>
      </c>
      <c r="G1114" t="s">
        <v>32</v>
      </c>
      <c r="H1114" t="str">
        <f>"Cops3"</f>
        <v>Cops3</v>
      </c>
      <c r="I1114" t="s">
        <v>13270</v>
      </c>
      <c r="J1114" t="s">
        <v>37</v>
      </c>
      <c r="K1114">
        <v>10090</v>
      </c>
      <c r="L1114" s="3" t="str">
        <f>HYPERLINK("http://www.uniprot.org/uniprot/O88543", "O88543")</f>
        <v>O88543</v>
      </c>
      <c r="M1114" t="s">
        <v>13271</v>
      </c>
      <c r="N1114" t="str">
        <f>"Cops3"</f>
        <v>Cops3</v>
      </c>
      <c r="O1114" s="3" t="str">
        <f>HYPERLINK("http://www.informatics.jax.org/marker/MGI:1349409", "MGI:1349409")</f>
        <v>MGI:1349409</v>
      </c>
      <c r="P1114" t="s">
        <v>13272</v>
      </c>
      <c r="Q1114" t="s">
        <v>32</v>
      </c>
      <c r="R1114" t="s">
        <v>7411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32</v>
      </c>
      <c r="Y1114" t="s">
        <v>157</v>
      </c>
      <c r="Z1114" t="s">
        <v>32</v>
      </c>
      <c r="AA1114" t="s">
        <v>13273</v>
      </c>
      <c r="AB1114" t="s">
        <v>13274</v>
      </c>
      <c r="AC1114" t="s">
        <v>32</v>
      </c>
      <c r="AD1114" t="s">
        <v>32</v>
      </c>
      <c r="AE1114" t="s">
        <v>10543</v>
      </c>
      <c r="AF1114" t="s">
        <v>46835</v>
      </c>
    </row>
    <row r="1115" spans="1:33" x14ac:dyDescent="0.2">
      <c r="A1115">
        <v>1110</v>
      </c>
      <c r="B1115" t="s">
        <v>13275</v>
      </c>
      <c r="C1115" t="s">
        <v>13276</v>
      </c>
      <c r="D1115" t="s">
        <v>13277</v>
      </c>
      <c r="E1115" t="s">
        <v>13278</v>
      </c>
      <c r="F1115" t="s">
        <v>13279</v>
      </c>
      <c r="G1115" t="s">
        <v>13280</v>
      </c>
      <c r="H1115" t="str">
        <f>"Anp32b"</f>
        <v>Anp32b</v>
      </c>
      <c r="I1115" t="s">
        <v>13281</v>
      </c>
      <c r="J1115" t="s">
        <v>37</v>
      </c>
      <c r="K1115">
        <v>10090</v>
      </c>
      <c r="L1115" s="3" t="str">
        <f>HYPERLINK("http://www.uniprot.org/uniprot/Q9EST5", "Q9EST5")</f>
        <v>Q9EST5</v>
      </c>
      <c r="M1115" t="s">
        <v>13282</v>
      </c>
      <c r="N1115" t="str">
        <f>"Anp32b"</f>
        <v>Anp32b</v>
      </c>
      <c r="O1115" s="3" t="str">
        <f>HYPERLINK("http://www.informatics.jax.org/marker/MGI:1914878", "MGI:1914878")</f>
        <v>MGI:1914878</v>
      </c>
      <c r="P1115" t="s">
        <v>13283</v>
      </c>
      <c r="Q1115" t="s">
        <v>32</v>
      </c>
      <c r="R1115" t="s">
        <v>2279</v>
      </c>
      <c r="S1115" t="s">
        <v>41</v>
      </c>
      <c r="T1115" t="s">
        <v>32</v>
      </c>
      <c r="U1115" t="s">
        <v>32</v>
      </c>
      <c r="V1115" t="s">
        <v>2701</v>
      </c>
      <c r="W1115" t="s">
        <v>32</v>
      </c>
      <c r="X1115" t="s">
        <v>388</v>
      </c>
      <c r="Y1115" t="s">
        <v>618</v>
      </c>
      <c r="Z1115" t="s">
        <v>32</v>
      </c>
      <c r="AA1115" t="s">
        <v>13284</v>
      </c>
      <c r="AB1115" t="s">
        <v>13285</v>
      </c>
      <c r="AC1115" t="s">
        <v>13286</v>
      </c>
      <c r="AD1115" t="s">
        <v>32</v>
      </c>
      <c r="AE1115" t="s">
        <v>32</v>
      </c>
      <c r="AF1115" t="s">
        <v>46835</v>
      </c>
    </row>
    <row r="1116" spans="1:33" x14ac:dyDescent="0.2">
      <c r="A1116">
        <v>1111</v>
      </c>
      <c r="B1116" t="s">
        <v>13287</v>
      </c>
      <c r="C1116" t="s">
        <v>13288</v>
      </c>
      <c r="D1116" t="s">
        <v>13289</v>
      </c>
      <c r="E1116" t="s">
        <v>13290</v>
      </c>
      <c r="F1116" t="s">
        <v>13291</v>
      </c>
      <c r="G1116" t="s">
        <v>13292</v>
      </c>
      <c r="H1116" t="str">
        <f>"Bin1"</f>
        <v>Bin1</v>
      </c>
      <c r="I1116" t="s">
        <v>13293</v>
      </c>
      <c r="J1116" t="s">
        <v>37</v>
      </c>
      <c r="K1116">
        <v>10090</v>
      </c>
      <c r="L1116" s="3" t="str">
        <f>HYPERLINK("http://www.uniprot.org/uniprot/O08539", "O08539")</f>
        <v>O08539</v>
      </c>
      <c r="M1116" t="s">
        <v>13294</v>
      </c>
      <c r="N1116" t="str">
        <f>"Bin1"</f>
        <v>Bin1</v>
      </c>
      <c r="O1116" s="3" t="str">
        <f>HYPERLINK("http://www.informatics.jax.org/marker/MGI:108092", "MGI:108092")</f>
        <v>MGI:108092</v>
      </c>
      <c r="P1116" t="s">
        <v>13295</v>
      </c>
      <c r="Q1116" t="s">
        <v>13296</v>
      </c>
      <c r="R1116" t="s">
        <v>13297</v>
      </c>
      <c r="S1116" t="s">
        <v>41</v>
      </c>
      <c r="T1116" t="s">
        <v>32</v>
      </c>
      <c r="U1116" t="s">
        <v>32</v>
      </c>
      <c r="V1116" t="s">
        <v>1606</v>
      </c>
      <c r="W1116" t="s">
        <v>32</v>
      </c>
      <c r="X1116" t="s">
        <v>2029</v>
      </c>
      <c r="Y1116" t="s">
        <v>157</v>
      </c>
      <c r="Z1116" t="s">
        <v>32</v>
      </c>
      <c r="AA1116" t="s">
        <v>13298</v>
      </c>
      <c r="AB1116" t="s">
        <v>13299</v>
      </c>
      <c r="AC1116" t="s">
        <v>13300</v>
      </c>
      <c r="AD1116" t="s">
        <v>32</v>
      </c>
      <c r="AE1116" t="s">
        <v>4859</v>
      </c>
      <c r="AF1116" t="s">
        <v>46835</v>
      </c>
    </row>
    <row r="1117" spans="1:33" x14ac:dyDescent="0.2">
      <c r="A1117">
        <v>1112</v>
      </c>
      <c r="B1117" t="s">
        <v>13301</v>
      </c>
      <c r="C1117" t="s">
        <v>13302</v>
      </c>
      <c r="D1117" t="s">
        <v>13303</v>
      </c>
      <c r="E1117" t="s">
        <v>13304</v>
      </c>
      <c r="F1117" t="s">
        <v>13305</v>
      </c>
      <c r="G1117" t="s">
        <v>13306</v>
      </c>
      <c r="H1117" t="str">
        <f>"Strip1"</f>
        <v>Strip1</v>
      </c>
      <c r="I1117" t="s">
        <v>13307</v>
      </c>
      <c r="J1117" t="s">
        <v>37</v>
      </c>
      <c r="K1117">
        <v>10090</v>
      </c>
      <c r="L1117" s="3" t="str">
        <f>HYPERLINK("http://www.uniprot.org/uniprot/Q8C079", "Q8C079")</f>
        <v>Q8C079</v>
      </c>
      <c r="M1117" t="s">
        <v>13308</v>
      </c>
      <c r="N1117" t="str">
        <f>"Strip1"</f>
        <v>Strip1</v>
      </c>
      <c r="O1117" s="3" t="str">
        <f>HYPERLINK("http://www.informatics.jax.org/marker/MGI:2443884", "MGI:2443884")</f>
        <v>MGI:2443884</v>
      </c>
      <c r="P1117" t="s">
        <v>9371</v>
      </c>
      <c r="Q1117" t="s">
        <v>32</v>
      </c>
      <c r="R1117" t="s">
        <v>418</v>
      </c>
      <c r="S1117" t="s">
        <v>41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t="s">
        <v>157</v>
      </c>
      <c r="Z1117" t="s">
        <v>32</v>
      </c>
      <c r="AA1117" t="s">
        <v>13309</v>
      </c>
      <c r="AB1117" t="s">
        <v>928</v>
      </c>
      <c r="AC1117" t="s">
        <v>13310</v>
      </c>
      <c r="AD1117" t="s">
        <v>32</v>
      </c>
      <c r="AE1117" t="s">
        <v>32</v>
      </c>
      <c r="AF1117" t="s">
        <v>46835</v>
      </c>
    </row>
    <row r="1118" spans="1:33" x14ac:dyDescent="0.2">
      <c r="A1118">
        <v>1113</v>
      </c>
      <c r="B1118" t="s">
        <v>13311</v>
      </c>
      <c r="C1118" t="s">
        <v>47159</v>
      </c>
      <c r="D1118" t="s">
        <v>32</v>
      </c>
      <c r="E1118" t="s">
        <v>46884</v>
      </c>
      <c r="F1118" t="s">
        <v>46883</v>
      </c>
      <c r="G1118" t="s">
        <v>32</v>
      </c>
      <c r="H1118" t="s">
        <v>47290</v>
      </c>
      <c r="I1118" t="s">
        <v>32</v>
      </c>
      <c r="J1118" t="s">
        <v>37</v>
      </c>
      <c r="K1118">
        <v>10090</v>
      </c>
      <c r="L1118" s="3" t="str">
        <f>HYPERLINK(CONCATENATE("https://www.uniprot.org/uniprotkb/", AG1118, "/entry"), AG1118)</f>
        <v>Q3UIX4</v>
      </c>
      <c r="M1118" t="s">
        <v>32</v>
      </c>
      <c r="N1118" t="s">
        <v>32</v>
      </c>
      <c r="O1118" s="3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 t="s">
        <v>32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t="s">
        <v>46835</v>
      </c>
      <c r="AG1118" t="s">
        <v>46883</v>
      </c>
    </row>
    <row r="1119" spans="1:33" x14ac:dyDescent="0.2">
      <c r="A1119">
        <v>1114</v>
      </c>
      <c r="B1119" t="s">
        <v>13312</v>
      </c>
      <c r="C1119" t="s">
        <v>13313</v>
      </c>
      <c r="D1119" t="s">
        <v>13314</v>
      </c>
      <c r="E1119" t="s">
        <v>13315</v>
      </c>
      <c r="F1119" t="s">
        <v>13316</v>
      </c>
      <c r="G1119" t="s">
        <v>13317</v>
      </c>
      <c r="H1119" t="str">
        <f>"Pex19"</f>
        <v>Pex19</v>
      </c>
      <c r="I1119" t="s">
        <v>13318</v>
      </c>
      <c r="J1119" t="s">
        <v>37</v>
      </c>
      <c r="K1119">
        <v>10090</v>
      </c>
      <c r="L1119" s="3" t="str">
        <f>HYPERLINK("http://www.uniprot.org/uniprot/Q8VCI5", "Q8VCI5")</f>
        <v>Q8VCI5</v>
      </c>
      <c r="M1119" t="s">
        <v>13319</v>
      </c>
      <c r="N1119" t="str">
        <f>"Pex19"</f>
        <v>Pex19</v>
      </c>
      <c r="O1119" s="3" t="str">
        <f>HYPERLINK("http://www.informatics.jax.org/marker/MGI:1334458", "MGI:1334458")</f>
        <v>MGI:1334458</v>
      </c>
      <c r="P1119" t="s">
        <v>13320</v>
      </c>
      <c r="Q1119" t="s">
        <v>13321</v>
      </c>
      <c r="R1119" t="s">
        <v>13322</v>
      </c>
      <c r="S1119" t="s">
        <v>41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t="s">
        <v>7985</v>
      </c>
      <c r="Z1119" t="s">
        <v>32</v>
      </c>
      <c r="AA1119" t="s">
        <v>13323</v>
      </c>
      <c r="AB1119" t="s">
        <v>13324</v>
      </c>
      <c r="AC1119" t="s">
        <v>13325</v>
      </c>
      <c r="AD1119" t="s">
        <v>32</v>
      </c>
      <c r="AE1119" t="s">
        <v>13326</v>
      </c>
      <c r="AF1119" t="s">
        <v>46835</v>
      </c>
    </row>
    <row r="1120" spans="1:33" x14ac:dyDescent="0.2">
      <c r="A1120">
        <v>1115</v>
      </c>
      <c r="B1120" t="s">
        <v>13327</v>
      </c>
      <c r="C1120" t="s">
        <v>13328</v>
      </c>
      <c r="D1120" t="s">
        <v>13329</v>
      </c>
      <c r="E1120" t="s">
        <v>13330</v>
      </c>
      <c r="F1120" t="s">
        <v>13331</v>
      </c>
      <c r="G1120" t="s">
        <v>13332</v>
      </c>
      <c r="H1120" t="str">
        <f>"Nop58"</f>
        <v>Nop58</v>
      </c>
      <c r="I1120" t="s">
        <v>13333</v>
      </c>
      <c r="J1120" t="s">
        <v>37</v>
      </c>
      <c r="K1120">
        <v>10090</v>
      </c>
      <c r="L1120" s="3" t="str">
        <f>HYPERLINK("http://www.uniprot.org/uniprot/Q6DFW4", "Q6DFW4")</f>
        <v>Q6DFW4</v>
      </c>
      <c r="M1120" t="s">
        <v>13334</v>
      </c>
      <c r="N1120" t="str">
        <f>"Nop58"</f>
        <v>Nop58</v>
      </c>
      <c r="O1120" s="3" t="str">
        <f>HYPERLINK("http://www.informatics.jax.org/marker/MGI:1933184", "MGI:1933184")</f>
        <v>MGI:1933184</v>
      </c>
      <c r="P1120" t="s">
        <v>13335</v>
      </c>
      <c r="Q1120" t="s">
        <v>6400</v>
      </c>
      <c r="R1120" t="s">
        <v>2279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7646</v>
      </c>
      <c r="Y1120" t="s">
        <v>1007</v>
      </c>
      <c r="Z1120" t="s">
        <v>32</v>
      </c>
      <c r="AA1120" t="s">
        <v>13336</v>
      </c>
      <c r="AB1120" t="s">
        <v>13337</v>
      </c>
      <c r="AC1120" t="s">
        <v>13338</v>
      </c>
      <c r="AD1120" t="s">
        <v>32</v>
      </c>
      <c r="AE1120" t="s">
        <v>13339</v>
      </c>
      <c r="AF1120" t="s">
        <v>46835</v>
      </c>
    </row>
    <row r="1121" spans="1:32" x14ac:dyDescent="0.2">
      <c r="A1121">
        <v>1116</v>
      </c>
      <c r="B1121" t="s">
        <v>13340</v>
      </c>
      <c r="C1121" t="s">
        <v>13341</v>
      </c>
      <c r="D1121" t="s">
        <v>32</v>
      </c>
      <c r="E1121" t="s">
        <v>13342</v>
      </c>
      <c r="F1121" t="s">
        <v>13343</v>
      </c>
      <c r="G1121" t="s">
        <v>13344</v>
      </c>
      <c r="H1121" t="str">
        <f>"Macroh2a2"</f>
        <v>Macroh2a2</v>
      </c>
      <c r="I1121" t="s">
        <v>32</v>
      </c>
      <c r="J1121" t="s">
        <v>37</v>
      </c>
      <c r="K1121">
        <v>10090</v>
      </c>
      <c r="L1121" s="3" t="str">
        <f>HYPERLINK("http://www.uniprot.org/uniprot/Q8CCK0", "Q8CCK0")</f>
        <v>Q8CCK0</v>
      </c>
      <c r="M1121" t="s">
        <v>13345</v>
      </c>
      <c r="N1121" t="str">
        <f>"Macroh2a2"</f>
        <v>Macroh2a2</v>
      </c>
      <c r="O1121" s="3" t="str">
        <f>HYPERLINK("http://www.informatics.jax.org/marker/MGI:3037658", "MGI:3037658")</f>
        <v>MGI:3037658</v>
      </c>
      <c r="P1121" t="s">
        <v>13346</v>
      </c>
      <c r="Q1121" t="s">
        <v>32</v>
      </c>
      <c r="R1121" t="s">
        <v>246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5712</v>
      </c>
      <c r="Y1121" t="s">
        <v>7792</v>
      </c>
      <c r="Z1121" t="s">
        <v>32</v>
      </c>
      <c r="AA1121" t="s">
        <v>13347</v>
      </c>
      <c r="AB1121" t="s">
        <v>13348</v>
      </c>
      <c r="AC1121" t="s">
        <v>13349</v>
      </c>
      <c r="AD1121" t="s">
        <v>32</v>
      </c>
      <c r="AE1121" t="s">
        <v>32</v>
      </c>
      <c r="AF1121" t="s">
        <v>46835</v>
      </c>
    </row>
    <row r="1122" spans="1:32" x14ac:dyDescent="0.2">
      <c r="A1122">
        <v>1117</v>
      </c>
      <c r="B1122" t="s">
        <v>13350</v>
      </c>
      <c r="C1122" t="s">
        <v>13351</v>
      </c>
      <c r="D1122" t="s">
        <v>13352</v>
      </c>
      <c r="E1122" t="s">
        <v>13353</v>
      </c>
      <c r="F1122" t="s">
        <v>13354</v>
      </c>
      <c r="G1122" t="s">
        <v>13355</v>
      </c>
      <c r="H1122" t="str">
        <f>"Usp4"</f>
        <v>Usp4</v>
      </c>
      <c r="I1122" t="s">
        <v>13356</v>
      </c>
      <c r="J1122" t="s">
        <v>37</v>
      </c>
      <c r="K1122">
        <v>10090</v>
      </c>
      <c r="L1122" s="3" t="str">
        <f>HYPERLINK("http://www.uniprot.org/uniprot/P35123", "P35123")</f>
        <v>P35123</v>
      </c>
      <c r="M1122" t="s">
        <v>13357</v>
      </c>
      <c r="N1122" t="str">
        <f>"Usp4"</f>
        <v>Usp4</v>
      </c>
      <c r="O1122" s="3" t="str">
        <f>HYPERLINK("http://www.informatics.jax.org/marker/MGI:98905", "MGI:98905")</f>
        <v>MGI:98905</v>
      </c>
      <c r="P1122" t="s">
        <v>13358</v>
      </c>
      <c r="Q1122" t="s">
        <v>1020</v>
      </c>
      <c r="R1122" t="s">
        <v>40</v>
      </c>
      <c r="S1122" t="s">
        <v>32</v>
      </c>
      <c r="T1122" t="s">
        <v>32</v>
      </c>
      <c r="U1122" t="s">
        <v>4682</v>
      </c>
      <c r="V1122" t="s">
        <v>55</v>
      </c>
      <c r="W1122" t="s">
        <v>42</v>
      </c>
      <c r="X1122" t="s">
        <v>557</v>
      </c>
      <c r="Y1122" t="s">
        <v>2836</v>
      </c>
      <c r="Z1122" t="s">
        <v>126</v>
      </c>
      <c r="AA1122" t="s">
        <v>13359</v>
      </c>
      <c r="AB1122" t="s">
        <v>8034</v>
      </c>
      <c r="AC1122" t="s">
        <v>13360</v>
      </c>
      <c r="AD1122" t="s">
        <v>32</v>
      </c>
      <c r="AE1122" t="s">
        <v>13361</v>
      </c>
      <c r="AF1122" t="s">
        <v>46835</v>
      </c>
    </row>
    <row r="1123" spans="1:32" x14ac:dyDescent="0.2">
      <c r="A1123">
        <v>1118</v>
      </c>
      <c r="B1123" t="s">
        <v>13362</v>
      </c>
      <c r="C1123" t="s">
        <v>13363</v>
      </c>
      <c r="D1123" t="s">
        <v>32</v>
      </c>
      <c r="E1123" t="s">
        <v>13364</v>
      </c>
      <c r="F1123" t="s">
        <v>13365</v>
      </c>
      <c r="G1123" t="s">
        <v>13366</v>
      </c>
      <c r="H1123" t="str">
        <f>"Mxra7"</f>
        <v>Mxra7</v>
      </c>
      <c r="I1123" t="s">
        <v>32</v>
      </c>
      <c r="J1123" t="s">
        <v>37</v>
      </c>
      <c r="K1123">
        <v>10090</v>
      </c>
      <c r="L1123" s="3" t="str">
        <f>HYPERLINK("http://www.uniprot.org/uniprot/Q9CZH7", "Q9CZH7")</f>
        <v>Q9CZH7</v>
      </c>
      <c r="M1123" t="s">
        <v>13367</v>
      </c>
      <c r="N1123" t="str">
        <f>"Mxra7"</f>
        <v>Mxra7</v>
      </c>
      <c r="O1123" s="3" t="str">
        <f>HYPERLINK("http://www.informatics.jax.org/marker/MGI:1914872", "MGI:1914872")</f>
        <v>MGI:1914872</v>
      </c>
      <c r="P1123" t="s">
        <v>13368</v>
      </c>
      <c r="Q1123" t="s">
        <v>32</v>
      </c>
      <c r="R1123" t="s">
        <v>5989</v>
      </c>
      <c r="S1123" t="s">
        <v>32</v>
      </c>
      <c r="T1123" t="s">
        <v>32</v>
      </c>
      <c r="U1123" t="s">
        <v>32</v>
      </c>
      <c r="V1123" t="s">
        <v>493</v>
      </c>
      <c r="W1123" t="s">
        <v>32</v>
      </c>
      <c r="X1123" t="s">
        <v>32</v>
      </c>
      <c r="Y1123" t="s">
        <v>618</v>
      </c>
      <c r="Z1123" t="s">
        <v>32</v>
      </c>
      <c r="AA1123" t="s">
        <v>32</v>
      </c>
      <c r="AB1123" t="s">
        <v>13369</v>
      </c>
      <c r="AC1123" t="s">
        <v>32</v>
      </c>
      <c r="AD1123" t="s">
        <v>32</v>
      </c>
      <c r="AE1123" t="s">
        <v>32</v>
      </c>
      <c r="AF1123" t="s">
        <v>46835</v>
      </c>
    </row>
    <row r="1124" spans="1:32" x14ac:dyDescent="0.2">
      <c r="A1124">
        <v>1119</v>
      </c>
      <c r="B1124" t="s">
        <v>13370</v>
      </c>
      <c r="C1124" t="s">
        <v>13371</v>
      </c>
      <c r="D1124" t="s">
        <v>13372</v>
      </c>
      <c r="E1124" t="s">
        <v>13373</v>
      </c>
      <c r="F1124" t="s">
        <v>13374</v>
      </c>
      <c r="G1124" t="s">
        <v>32</v>
      </c>
      <c r="H1124" t="str">
        <f>"Mcm7"</f>
        <v>Mcm7</v>
      </c>
      <c r="I1124" t="s">
        <v>13375</v>
      </c>
      <c r="J1124" t="s">
        <v>37</v>
      </c>
      <c r="K1124">
        <v>10090</v>
      </c>
      <c r="L1124" s="3" t="str">
        <f>HYPERLINK("http://www.uniprot.org/uniprot/Q61881", "Q61881")</f>
        <v>Q61881</v>
      </c>
      <c r="M1124" t="s">
        <v>13376</v>
      </c>
      <c r="N1124" t="str">
        <f>"Mcm7"</f>
        <v>Mcm7</v>
      </c>
      <c r="O1124" s="3" t="str">
        <f>HYPERLINK("http://www.informatics.jax.org/marker/MGI:1298398", "MGI:1298398")</f>
        <v>MGI:1298398</v>
      </c>
      <c r="P1124" t="s">
        <v>13377</v>
      </c>
      <c r="Q1124" t="s">
        <v>11014</v>
      </c>
      <c r="R1124" t="s">
        <v>1939</v>
      </c>
      <c r="S1124" t="s">
        <v>32</v>
      </c>
      <c r="T1124" t="s">
        <v>32</v>
      </c>
      <c r="U1124" t="s">
        <v>32</v>
      </c>
      <c r="V1124" t="s">
        <v>32</v>
      </c>
      <c r="W1124" t="s">
        <v>205</v>
      </c>
      <c r="X1124" t="s">
        <v>11015</v>
      </c>
      <c r="Y1124" t="s">
        <v>544</v>
      </c>
      <c r="Z1124" t="s">
        <v>32</v>
      </c>
      <c r="AA1124" t="s">
        <v>13378</v>
      </c>
      <c r="AB1124" t="s">
        <v>13379</v>
      </c>
      <c r="AC1124" t="s">
        <v>11322</v>
      </c>
      <c r="AD1124" t="s">
        <v>32</v>
      </c>
      <c r="AE1124" t="s">
        <v>11019</v>
      </c>
      <c r="AF1124" t="s">
        <v>46835</v>
      </c>
    </row>
    <row r="1125" spans="1:32" x14ac:dyDescent="0.2">
      <c r="A1125">
        <v>1120</v>
      </c>
      <c r="B1125" t="s">
        <v>13380</v>
      </c>
      <c r="C1125" t="s">
        <v>13381</v>
      </c>
      <c r="D1125" t="s">
        <v>13382</v>
      </c>
      <c r="E1125" t="s">
        <v>13383</v>
      </c>
      <c r="F1125" t="s">
        <v>13384</v>
      </c>
      <c r="G1125" t="s">
        <v>13385</v>
      </c>
      <c r="H1125" t="str">
        <f>"Rbm8a"</f>
        <v>Rbm8a</v>
      </c>
      <c r="I1125" t="s">
        <v>13386</v>
      </c>
      <c r="J1125" t="s">
        <v>37</v>
      </c>
      <c r="K1125">
        <v>10090</v>
      </c>
      <c r="L1125" s="3" t="str">
        <f>HYPERLINK("http://www.uniprot.org/uniprot/Q9CWZ3", "Q9CWZ3")</f>
        <v>Q9CWZ3</v>
      </c>
      <c r="M1125" t="s">
        <v>13387</v>
      </c>
      <c r="N1125" t="str">
        <f>"Rbm8a"</f>
        <v>Rbm8a</v>
      </c>
      <c r="O1125" s="3" t="str">
        <f>HYPERLINK("http://www.informatics.jax.org/marker/MGI:1913129", "MGI:1913129")</f>
        <v>MGI:1913129</v>
      </c>
      <c r="P1125" t="s">
        <v>13388</v>
      </c>
      <c r="Q1125" t="s">
        <v>13389</v>
      </c>
      <c r="R1125" t="s">
        <v>2219</v>
      </c>
      <c r="S1125" t="s">
        <v>41</v>
      </c>
      <c r="T1125" t="s">
        <v>32</v>
      </c>
      <c r="U1125" t="s">
        <v>32</v>
      </c>
      <c r="V1125" t="s">
        <v>32</v>
      </c>
      <c r="W1125" t="s">
        <v>32</v>
      </c>
      <c r="X1125" t="s">
        <v>1282</v>
      </c>
      <c r="Y1125" t="s">
        <v>516</v>
      </c>
      <c r="Z1125" t="s">
        <v>32</v>
      </c>
      <c r="AA1125" t="s">
        <v>13390</v>
      </c>
      <c r="AB1125" t="s">
        <v>13391</v>
      </c>
      <c r="AC1125" t="s">
        <v>4168</v>
      </c>
      <c r="AD1125" t="s">
        <v>32</v>
      </c>
      <c r="AE1125" t="s">
        <v>13392</v>
      </c>
      <c r="AF1125" t="s">
        <v>46835</v>
      </c>
    </row>
    <row r="1126" spans="1:32" x14ac:dyDescent="0.2">
      <c r="A1126">
        <v>1121</v>
      </c>
      <c r="B1126" t="s">
        <v>13393</v>
      </c>
      <c r="C1126" t="s">
        <v>13394</v>
      </c>
      <c r="D1126" t="s">
        <v>13395</v>
      </c>
      <c r="E1126" t="s">
        <v>13396</v>
      </c>
      <c r="F1126" t="s">
        <v>13397</v>
      </c>
      <c r="G1126" t="s">
        <v>13398</v>
      </c>
      <c r="H1126" t="str">
        <f>"Ubxn1"</f>
        <v>Ubxn1</v>
      </c>
      <c r="I1126" t="s">
        <v>13399</v>
      </c>
      <c r="J1126" t="s">
        <v>37</v>
      </c>
      <c r="K1126">
        <v>10090</v>
      </c>
      <c r="L1126" s="3" t="str">
        <f>HYPERLINK("http://www.uniprot.org/uniprot/Q922Y1", "Q922Y1")</f>
        <v>Q922Y1</v>
      </c>
      <c r="M1126" t="s">
        <v>13400</v>
      </c>
      <c r="N1126" t="str">
        <f>"Ubxn1"</f>
        <v>Ubxn1</v>
      </c>
      <c r="O1126" s="3" t="str">
        <f>HYPERLINK("http://www.informatics.jax.org/marker/MGI:1289301", "MGI:1289301")</f>
        <v>MGI:1289301</v>
      </c>
      <c r="P1126" t="s">
        <v>13401</v>
      </c>
      <c r="Q1126" t="s">
        <v>32</v>
      </c>
      <c r="R1126" t="s">
        <v>418</v>
      </c>
      <c r="S1126" t="s">
        <v>32</v>
      </c>
      <c r="T1126" t="s">
        <v>32</v>
      </c>
      <c r="U1126" t="s">
        <v>32</v>
      </c>
      <c r="V1126" t="s">
        <v>290</v>
      </c>
      <c r="W1126" t="s">
        <v>32</v>
      </c>
      <c r="X1126" t="s">
        <v>32</v>
      </c>
      <c r="Y1126" t="s">
        <v>157</v>
      </c>
      <c r="Z1126" t="s">
        <v>126</v>
      </c>
      <c r="AA1126" t="s">
        <v>13402</v>
      </c>
      <c r="AB1126" t="s">
        <v>13403</v>
      </c>
      <c r="AC1126" t="s">
        <v>13404</v>
      </c>
      <c r="AD1126" t="s">
        <v>32</v>
      </c>
      <c r="AE1126" t="s">
        <v>13405</v>
      </c>
      <c r="AF1126" t="s">
        <v>46835</v>
      </c>
    </row>
    <row r="1127" spans="1:32" x14ac:dyDescent="0.2">
      <c r="A1127">
        <v>1122</v>
      </c>
      <c r="B1127" t="s">
        <v>13406</v>
      </c>
      <c r="C1127" t="s">
        <v>13407</v>
      </c>
      <c r="D1127" t="s">
        <v>13408</v>
      </c>
      <c r="E1127" t="s">
        <v>13409</v>
      </c>
      <c r="F1127" t="s">
        <v>13410</v>
      </c>
      <c r="G1127" t="s">
        <v>13411</v>
      </c>
      <c r="H1127" t="str">
        <f>"Atxn2"</f>
        <v>Atxn2</v>
      </c>
      <c r="I1127" t="s">
        <v>13412</v>
      </c>
      <c r="J1127" t="s">
        <v>37</v>
      </c>
      <c r="K1127">
        <v>10090</v>
      </c>
      <c r="L1127" s="3" t="str">
        <f>HYPERLINK("http://www.uniprot.org/uniprot/O70305", "O70305")</f>
        <v>O70305</v>
      </c>
      <c r="M1127" t="s">
        <v>13413</v>
      </c>
      <c r="N1127" t="str">
        <f>"Atxn2"</f>
        <v>Atxn2</v>
      </c>
      <c r="O1127" s="3" t="str">
        <f>HYPERLINK("http://www.informatics.jax.org/marker/MGI:1277223", "MGI:1277223")</f>
        <v>MGI:1277223</v>
      </c>
      <c r="P1127" t="s">
        <v>13414</v>
      </c>
      <c r="Q1127" t="s">
        <v>32</v>
      </c>
      <c r="R1127" t="s">
        <v>418</v>
      </c>
      <c r="S1127" t="s">
        <v>41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2192</v>
      </c>
      <c r="Z1127" t="s">
        <v>32</v>
      </c>
      <c r="AA1127" t="s">
        <v>13415</v>
      </c>
      <c r="AB1127" t="s">
        <v>13416</v>
      </c>
      <c r="AC1127" t="s">
        <v>13417</v>
      </c>
      <c r="AD1127" t="s">
        <v>32</v>
      </c>
      <c r="AE1127" t="s">
        <v>32</v>
      </c>
      <c r="AF1127" t="s">
        <v>46835</v>
      </c>
    </row>
    <row r="1128" spans="1:32" x14ac:dyDescent="0.2">
      <c r="A1128">
        <v>1123</v>
      </c>
      <c r="B1128" t="s">
        <v>13418</v>
      </c>
      <c r="C1128" t="s">
        <v>13419</v>
      </c>
      <c r="D1128" t="s">
        <v>13420</v>
      </c>
      <c r="E1128" t="s">
        <v>13421</v>
      </c>
      <c r="F1128" t="s">
        <v>13422</v>
      </c>
      <c r="G1128" t="s">
        <v>13423</v>
      </c>
      <c r="H1128" t="str">
        <f>"Mcm5"</f>
        <v>Mcm5</v>
      </c>
      <c r="I1128" t="s">
        <v>13424</v>
      </c>
      <c r="J1128" t="s">
        <v>37</v>
      </c>
      <c r="K1128">
        <v>10090</v>
      </c>
      <c r="L1128" s="3" t="str">
        <f>HYPERLINK("http://www.uniprot.org/uniprot/P49718", "P49718")</f>
        <v>P49718</v>
      </c>
      <c r="M1128" t="s">
        <v>13425</v>
      </c>
      <c r="N1128" t="str">
        <f>"Mcm5"</f>
        <v>Mcm5</v>
      </c>
      <c r="O1128" s="3" t="str">
        <f>HYPERLINK("http://www.informatics.jax.org/marker/MGI:103197", "MGI:103197")</f>
        <v>MGI:103197</v>
      </c>
      <c r="P1128" t="s">
        <v>13426</v>
      </c>
      <c r="Q1128" t="s">
        <v>11014</v>
      </c>
      <c r="R1128" t="s">
        <v>8375</v>
      </c>
      <c r="S1128" t="s">
        <v>32</v>
      </c>
      <c r="T1128" t="s">
        <v>32</v>
      </c>
      <c r="U1128" t="s">
        <v>32</v>
      </c>
      <c r="V1128" t="s">
        <v>32</v>
      </c>
      <c r="W1128" t="s">
        <v>205</v>
      </c>
      <c r="X1128" t="s">
        <v>11015</v>
      </c>
      <c r="Y1128" t="s">
        <v>157</v>
      </c>
      <c r="Z1128" t="s">
        <v>32</v>
      </c>
      <c r="AA1128" t="s">
        <v>13427</v>
      </c>
      <c r="AB1128" t="s">
        <v>13379</v>
      </c>
      <c r="AC1128" t="s">
        <v>13428</v>
      </c>
      <c r="AD1128" t="s">
        <v>32</v>
      </c>
      <c r="AE1128" t="s">
        <v>11019</v>
      </c>
      <c r="AF1128" t="s">
        <v>46835</v>
      </c>
    </row>
    <row r="1129" spans="1:32" x14ac:dyDescent="0.2">
      <c r="A1129">
        <v>1124</v>
      </c>
      <c r="B1129" t="s">
        <v>13429</v>
      </c>
      <c r="C1129" t="s">
        <v>13430</v>
      </c>
      <c r="D1129" t="s">
        <v>13431</v>
      </c>
      <c r="E1129" t="s">
        <v>13432</v>
      </c>
      <c r="F1129" t="s">
        <v>13433</v>
      </c>
      <c r="G1129" t="s">
        <v>13434</v>
      </c>
      <c r="H1129" t="str">
        <f>"Huwe1"</f>
        <v>Huwe1</v>
      </c>
      <c r="I1129" t="s">
        <v>13435</v>
      </c>
      <c r="J1129" t="s">
        <v>37</v>
      </c>
      <c r="K1129">
        <v>10090</v>
      </c>
      <c r="L1129" s="3" t="str">
        <f>HYPERLINK("http://www.uniprot.org/uniprot/Q7TMY8", "Q7TMY8")</f>
        <v>Q7TMY8</v>
      </c>
      <c r="M1129" t="s">
        <v>13436</v>
      </c>
      <c r="N1129" t="str">
        <f>"Huwe1"</f>
        <v>Huwe1</v>
      </c>
      <c r="O1129" s="3" t="str">
        <f>HYPERLINK("http://www.informatics.jax.org/marker/MGI:1926884", "MGI:1926884")</f>
        <v>MGI:1926884</v>
      </c>
      <c r="P1129" t="s">
        <v>13437</v>
      </c>
      <c r="Q1129" t="s">
        <v>13438</v>
      </c>
      <c r="R1129" t="s">
        <v>1021</v>
      </c>
      <c r="S1129" t="s">
        <v>41</v>
      </c>
      <c r="T1129" t="s">
        <v>32</v>
      </c>
      <c r="U1129" t="s">
        <v>32</v>
      </c>
      <c r="V1129" t="s">
        <v>32</v>
      </c>
      <c r="W1129" t="s">
        <v>32</v>
      </c>
      <c r="X1129" t="s">
        <v>13439</v>
      </c>
      <c r="Y1129" t="s">
        <v>97</v>
      </c>
      <c r="Z1129" t="s">
        <v>32</v>
      </c>
      <c r="AA1129" t="s">
        <v>13440</v>
      </c>
      <c r="AB1129" t="s">
        <v>13441</v>
      </c>
      <c r="AC1129" t="s">
        <v>13442</v>
      </c>
      <c r="AD1129" t="s">
        <v>1027</v>
      </c>
      <c r="AE1129" t="s">
        <v>8272</v>
      </c>
      <c r="AF1129" t="s">
        <v>46835</v>
      </c>
    </row>
    <row r="1130" spans="1:32" x14ac:dyDescent="0.2">
      <c r="A1130">
        <v>1125</v>
      </c>
      <c r="B1130" t="s">
        <v>13443</v>
      </c>
      <c r="C1130" t="s">
        <v>13444</v>
      </c>
      <c r="D1130" t="s">
        <v>13445</v>
      </c>
      <c r="E1130" t="s">
        <v>13446</v>
      </c>
      <c r="F1130" t="s">
        <v>13447</v>
      </c>
      <c r="G1130" t="s">
        <v>13448</v>
      </c>
      <c r="H1130" t="str">
        <f>"Stt3b"</f>
        <v>Stt3b</v>
      </c>
      <c r="I1130" t="s">
        <v>13449</v>
      </c>
      <c r="J1130" t="s">
        <v>37</v>
      </c>
      <c r="K1130">
        <v>10090</v>
      </c>
      <c r="L1130" s="3" t="str">
        <f>HYPERLINK("http://www.uniprot.org/uniprot/Q3TDQ1", "Q3TDQ1")</f>
        <v>Q3TDQ1</v>
      </c>
      <c r="M1130" t="s">
        <v>13450</v>
      </c>
      <c r="N1130" t="str">
        <f>"Stt3b"</f>
        <v>Stt3b</v>
      </c>
      <c r="O1130" s="3" t="str">
        <f>HYPERLINK("http://www.informatics.jax.org/marker/MGI:1915542", "MGI:1915542")</f>
        <v>MGI:1915542</v>
      </c>
      <c r="P1130" t="s">
        <v>13451</v>
      </c>
      <c r="Q1130" t="s">
        <v>32</v>
      </c>
      <c r="R1130" t="s">
        <v>1664</v>
      </c>
      <c r="S1130" t="s">
        <v>32</v>
      </c>
      <c r="T1130" t="s">
        <v>32</v>
      </c>
      <c r="U1130" t="s">
        <v>32</v>
      </c>
      <c r="V1130" t="s">
        <v>493</v>
      </c>
      <c r="W1130" t="s">
        <v>9312</v>
      </c>
      <c r="X1130" t="s">
        <v>2362</v>
      </c>
      <c r="Y1130" t="s">
        <v>372</v>
      </c>
      <c r="Z1130" t="s">
        <v>32</v>
      </c>
      <c r="AA1130" t="s">
        <v>13452</v>
      </c>
      <c r="AB1130" t="s">
        <v>13453</v>
      </c>
      <c r="AC1130" t="s">
        <v>13454</v>
      </c>
      <c r="AD1130" t="s">
        <v>3952</v>
      </c>
      <c r="AE1130" t="s">
        <v>32</v>
      </c>
      <c r="AF1130" t="s">
        <v>46835</v>
      </c>
    </row>
    <row r="1131" spans="1:32" x14ac:dyDescent="0.2">
      <c r="A1131">
        <v>1126</v>
      </c>
      <c r="B1131" t="s">
        <v>13455</v>
      </c>
      <c r="C1131" t="s">
        <v>13456</v>
      </c>
      <c r="D1131" t="s">
        <v>13457</v>
      </c>
      <c r="E1131" t="s">
        <v>13458</v>
      </c>
      <c r="F1131" t="s">
        <v>13459</v>
      </c>
      <c r="G1131" t="s">
        <v>13460</v>
      </c>
      <c r="H1131" t="str">
        <f>"Pfdn5"</f>
        <v>Pfdn5</v>
      </c>
      <c r="I1131" t="s">
        <v>13461</v>
      </c>
      <c r="J1131" t="s">
        <v>37</v>
      </c>
      <c r="K1131">
        <v>10090</v>
      </c>
      <c r="L1131" s="3" t="str">
        <f>HYPERLINK("http://www.uniprot.org/uniprot/Q9WU28", "Q9WU28")</f>
        <v>Q9WU28</v>
      </c>
      <c r="M1131" t="s">
        <v>13462</v>
      </c>
      <c r="N1131" t="str">
        <f>"Pfdn5"</f>
        <v>Pfdn5</v>
      </c>
      <c r="O1131" s="3" t="str">
        <f>HYPERLINK("http://www.informatics.jax.org/marker/MGI:1928753", "MGI:1928753")</f>
        <v>MGI:1928753</v>
      </c>
      <c r="P1131" t="s">
        <v>13463</v>
      </c>
      <c r="Q1131" t="s">
        <v>32</v>
      </c>
      <c r="R1131" t="s">
        <v>2279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388</v>
      </c>
      <c r="Y1131" t="s">
        <v>157</v>
      </c>
      <c r="Z1131" t="s">
        <v>32</v>
      </c>
      <c r="AA1131" t="s">
        <v>13464</v>
      </c>
      <c r="AB1131" t="s">
        <v>13465</v>
      </c>
      <c r="AC1131" t="s">
        <v>13466</v>
      </c>
      <c r="AD1131" t="s">
        <v>32</v>
      </c>
      <c r="AE1131" t="s">
        <v>32</v>
      </c>
      <c r="AF1131" t="s">
        <v>46835</v>
      </c>
    </row>
    <row r="1132" spans="1:32" x14ac:dyDescent="0.2">
      <c r="A1132">
        <v>1127</v>
      </c>
      <c r="B1132" t="s">
        <v>13467</v>
      </c>
      <c r="C1132" t="s">
        <v>13468</v>
      </c>
      <c r="D1132" t="s">
        <v>13469</v>
      </c>
      <c r="E1132" t="s">
        <v>13470</v>
      </c>
      <c r="F1132" t="s">
        <v>13471</v>
      </c>
      <c r="G1132" t="s">
        <v>32</v>
      </c>
      <c r="H1132" t="str">
        <f>"Ap3d1"</f>
        <v>Ap3d1</v>
      </c>
      <c r="I1132" t="s">
        <v>13472</v>
      </c>
      <c r="J1132" t="s">
        <v>37</v>
      </c>
      <c r="K1132">
        <v>10090</v>
      </c>
      <c r="L1132" s="3" t="str">
        <f>HYPERLINK("http://www.uniprot.org/uniprot/O54774", "O54774")</f>
        <v>O54774</v>
      </c>
      <c r="M1132" t="s">
        <v>13473</v>
      </c>
      <c r="N1132" t="str">
        <f>"Ap3d1"</f>
        <v>Ap3d1</v>
      </c>
      <c r="O1132" s="3" t="str">
        <f>HYPERLINK("http://www.informatics.jax.org/marker/MGI:107734", "MGI:107734")</f>
        <v>MGI:107734</v>
      </c>
      <c r="P1132" t="s">
        <v>13474</v>
      </c>
      <c r="Q1132" t="s">
        <v>434</v>
      </c>
      <c r="R1132" t="s">
        <v>7998</v>
      </c>
      <c r="S1132" t="s">
        <v>32</v>
      </c>
      <c r="T1132" t="s">
        <v>32</v>
      </c>
      <c r="U1132" t="s">
        <v>32</v>
      </c>
      <c r="V1132" t="s">
        <v>137</v>
      </c>
      <c r="W1132" t="s">
        <v>32</v>
      </c>
      <c r="X1132" t="s">
        <v>32</v>
      </c>
      <c r="Y1132" t="s">
        <v>157</v>
      </c>
      <c r="Z1132" t="s">
        <v>32</v>
      </c>
      <c r="AA1132" t="s">
        <v>13475</v>
      </c>
      <c r="AB1132" t="s">
        <v>13476</v>
      </c>
      <c r="AC1132" t="s">
        <v>32</v>
      </c>
      <c r="AD1132" t="s">
        <v>32</v>
      </c>
      <c r="AE1132" t="s">
        <v>32</v>
      </c>
      <c r="AF1132" t="s">
        <v>46835</v>
      </c>
    </row>
    <row r="1133" spans="1:32" x14ac:dyDescent="0.2">
      <c r="A1133">
        <v>1128</v>
      </c>
      <c r="B1133" t="s">
        <v>13477</v>
      </c>
      <c r="C1133" t="s">
        <v>13478</v>
      </c>
      <c r="D1133" t="s">
        <v>13479</v>
      </c>
      <c r="E1133" t="s">
        <v>13480</v>
      </c>
      <c r="F1133" t="s">
        <v>13481</v>
      </c>
      <c r="G1133" t="s">
        <v>13482</v>
      </c>
      <c r="H1133" t="str">
        <f>"Smarca4"</f>
        <v>Smarca4</v>
      </c>
      <c r="I1133" t="s">
        <v>13483</v>
      </c>
      <c r="J1133" t="s">
        <v>37</v>
      </c>
      <c r="K1133">
        <v>10090</v>
      </c>
      <c r="L1133" s="3" t="str">
        <f>HYPERLINK("http://www.uniprot.org/uniprot/Q3TKT4", "Q3TKT4")</f>
        <v>Q3TKT4</v>
      </c>
      <c r="M1133" t="s">
        <v>13484</v>
      </c>
      <c r="N1133" t="str">
        <f>"Smarca4"</f>
        <v>Smarca4</v>
      </c>
      <c r="O1133" s="3" t="str">
        <f>HYPERLINK("http://www.informatics.jax.org/marker/MGI:88192", "MGI:88192")</f>
        <v>MGI:88192</v>
      </c>
      <c r="P1133" t="s">
        <v>13485</v>
      </c>
      <c r="Q1133" t="s">
        <v>9987</v>
      </c>
      <c r="R1133" t="s">
        <v>2279</v>
      </c>
      <c r="S1133" t="s">
        <v>41</v>
      </c>
      <c r="T1133" t="s">
        <v>32</v>
      </c>
      <c r="U1133" t="s">
        <v>32</v>
      </c>
      <c r="V1133" t="s">
        <v>13486</v>
      </c>
      <c r="W1133" t="s">
        <v>205</v>
      </c>
      <c r="X1133" t="s">
        <v>13487</v>
      </c>
      <c r="Y1133" t="s">
        <v>516</v>
      </c>
      <c r="Z1133" t="s">
        <v>32</v>
      </c>
      <c r="AA1133" t="s">
        <v>13488</v>
      </c>
      <c r="AB1133" t="s">
        <v>13489</v>
      </c>
      <c r="AC1133" t="s">
        <v>13490</v>
      </c>
      <c r="AD1133" t="s">
        <v>32</v>
      </c>
      <c r="AE1133" t="s">
        <v>13491</v>
      </c>
      <c r="AF1133" t="s">
        <v>46835</v>
      </c>
    </row>
    <row r="1134" spans="1:32" x14ac:dyDescent="0.2">
      <c r="A1134">
        <v>1129</v>
      </c>
      <c r="B1134" t="s">
        <v>13492</v>
      </c>
      <c r="C1134" t="s">
        <v>13493</v>
      </c>
      <c r="D1134" t="s">
        <v>32</v>
      </c>
      <c r="E1134" t="s">
        <v>13494</v>
      </c>
      <c r="F1134" t="s">
        <v>13495</v>
      </c>
      <c r="G1134" t="s">
        <v>13496</v>
      </c>
      <c r="H1134" t="str">
        <f>"Ccdc124"</f>
        <v>Ccdc124</v>
      </c>
      <c r="I1134" t="s">
        <v>32</v>
      </c>
      <c r="J1134" t="s">
        <v>37</v>
      </c>
      <c r="K1134">
        <v>10090</v>
      </c>
      <c r="L1134" s="3" t="str">
        <f>HYPERLINK("http://www.uniprot.org/uniprot/Q9D8X2", "Q9D8X2")</f>
        <v>Q9D8X2</v>
      </c>
      <c r="M1134" t="s">
        <v>13497</v>
      </c>
      <c r="N1134" t="str">
        <f>"Ccdc124"</f>
        <v>Ccdc124</v>
      </c>
      <c r="O1134" s="3" t="str">
        <f>HYPERLINK("http://www.informatics.jax.org/marker/MGI:1916403", "MGI:1916403")</f>
        <v>MGI:1916403</v>
      </c>
      <c r="P1134" t="s">
        <v>13498</v>
      </c>
      <c r="Q1134" t="s">
        <v>11508</v>
      </c>
      <c r="R1134" t="s">
        <v>186</v>
      </c>
      <c r="S1134" t="s">
        <v>32</v>
      </c>
      <c r="T1134" t="s">
        <v>32</v>
      </c>
      <c r="U1134" t="s">
        <v>32</v>
      </c>
      <c r="V1134" t="s">
        <v>290</v>
      </c>
      <c r="W1134" t="s">
        <v>32</v>
      </c>
      <c r="X1134" t="s">
        <v>32</v>
      </c>
      <c r="Y1134" t="s">
        <v>618</v>
      </c>
      <c r="Z1134" t="s">
        <v>32</v>
      </c>
      <c r="AA1134" t="s">
        <v>13499</v>
      </c>
      <c r="AB1134" t="s">
        <v>13500</v>
      </c>
      <c r="AC1134" t="s">
        <v>13501</v>
      </c>
      <c r="AD1134" t="s">
        <v>32</v>
      </c>
      <c r="AE1134" t="s">
        <v>32</v>
      </c>
      <c r="AF1134" t="s">
        <v>46835</v>
      </c>
    </row>
    <row r="1135" spans="1:32" x14ac:dyDescent="0.2">
      <c r="A1135">
        <v>1130</v>
      </c>
      <c r="B1135" t="s">
        <v>13502</v>
      </c>
      <c r="C1135" t="s">
        <v>13503</v>
      </c>
      <c r="D1135" t="s">
        <v>32</v>
      </c>
      <c r="E1135" t="s">
        <v>13504</v>
      </c>
      <c r="F1135" t="s">
        <v>13505</v>
      </c>
      <c r="G1135" t="s">
        <v>13506</v>
      </c>
      <c r="H1135" t="str">
        <f>"Tpd52"</f>
        <v>Tpd52</v>
      </c>
      <c r="I1135" t="s">
        <v>32</v>
      </c>
      <c r="J1135" t="s">
        <v>37</v>
      </c>
      <c r="K1135">
        <v>10090</v>
      </c>
      <c r="L1135" s="3" t="str">
        <f>HYPERLINK("http://www.uniprot.org/uniprot/Q62393", "Q62393")</f>
        <v>Q62393</v>
      </c>
      <c r="M1135" t="s">
        <v>13507</v>
      </c>
      <c r="N1135" t="str">
        <f>"Tpd52"</f>
        <v>Tpd52</v>
      </c>
      <c r="O1135" s="3" t="str">
        <f>HYPERLINK("http://www.informatics.jax.org/marker/MGI:107749", "MGI:107749")</f>
        <v>MGI:107749</v>
      </c>
      <c r="P1135" t="s">
        <v>13508</v>
      </c>
      <c r="Q1135" t="s">
        <v>32</v>
      </c>
      <c r="R1135" t="s">
        <v>32</v>
      </c>
      <c r="S1135" t="s">
        <v>41</v>
      </c>
      <c r="T1135" t="s">
        <v>32</v>
      </c>
      <c r="U1135" t="s">
        <v>32</v>
      </c>
      <c r="V1135" t="s">
        <v>290</v>
      </c>
      <c r="W1135" t="s">
        <v>32</v>
      </c>
      <c r="X1135" t="s">
        <v>32</v>
      </c>
      <c r="Y1135" t="s">
        <v>618</v>
      </c>
      <c r="Z1135" t="s">
        <v>32</v>
      </c>
      <c r="AA1135" t="s">
        <v>13509</v>
      </c>
      <c r="AB1135" t="s">
        <v>13510</v>
      </c>
      <c r="AC1135" t="s">
        <v>13511</v>
      </c>
      <c r="AD1135" t="s">
        <v>32</v>
      </c>
      <c r="AE1135" t="s">
        <v>10968</v>
      </c>
      <c r="AF1135" t="s">
        <v>46835</v>
      </c>
    </row>
    <row r="1136" spans="1:32" x14ac:dyDescent="0.2">
      <c r="A1136">
        <v>1131</v>
      </c>
      <c r="B1136" t="s">
        <v>13512</v>
      </c>
      <c r="C1136" t="s">
        <v>13513</v>
      </c>
      <c r="D1136" t="s">
        <v>13514</v>
      </c>
      <c r="E1136" t="s">
        <v>13515</v>
      </c>
      <c r="F1136" t="s">
        <v>13516</v>
      </c>
      <c r="G1136" t="s">
        <v>32</v>
      </c>
      <c r="H1136" t="str">
        <f>"Ppm1g"</f>
        <v>Ppm1g</v>
      </c>
      <c r="I1136" t="s">
        <v>13517</v>
      </c>
      <c r="J1136" t="s">
        <v>37</v>
      </c>
      <c r="K1136">
        <v>10090</v>
      </c>
      <c r="L1136" s="3" t="str">
        <f>HYPERLINK("http://www.uniprot.org/uniprot/Q61074", "Q61074")</f>
        <v>Q61074</v>
      </c>
      <c r="M1136" t="s">
        <v>13518</v>
      </c>
      <c r="N1136" t="str">
        <f>"Ppm1g"</f>
        <v>Ppm1g</v>
      </c>
      <c r="O1136" s="3" t="str">
        <f>HYPERLINK("http://www.informatics.jax.org/marker/MGI:106065", "MGI:106065")</f>
        <v>MGI:106065</v>
      </c>
      <c r="P1136" t="s">
        <v>13519</v>
      </c>
      <c r="Q1136" t="s">
        <v>9824</v>
      </c>
      <c r="R1136" t="s">
        <v>13520</v>
      </c>
      <c r="S1136" t="s">
        <v>32</v>
      </c>
      <c r="T1136" t="s">
        <v>32</v>
      </c>
      <c r="U1136" t="s">
        <v>32</v>
      </c>
      <c r="V1136" t="s">
        <v>55</v>
      </c>
      <c r="W1136" t="s">
        <v>9312</v>
      </c>
      <c r="X1136" t="s">
        <v>3683</v>
      </c>
      <c r="Y1136" t="s">
        <v>13521</v>
      </c>
      <c r="Z1136" t="s">
        <v>32</v>
      </c>
      <c r="AA1136" t="s">
        <v>13522</v>
      </c>
      <c r="AB1136" t="s">
        <v>13523</v>
      </c>
      <c r="AC1136" t="s">
        <v>13524</v>
      </c>
      <c r="AD1136" t="s">
        <v>32</v>
      </c>
      <c r="AE1136" t="s">
        <v>32</v>
      </c>
      <c r="AF1136" t="s">
        <v>46835</v>
      </c>
    </row>
    <row r="1137" spans="1:32" x14ac:dyDescent="0.2">
      <c r="A1137">
        <v>1132</v>
      </c>
      <c r="B1137" t="s">
        <v>13525</v>
      </c>
      <c r="C1137" t="s">
        <v>13526</v>
      </c>
      <c r="D1137" t="s">
        <v>13527</v>
      </c>
      <c r="E1137" t="s">
        <v>13528</v>
      </c>
      <c r="F1137" t="s">
        <v>13529</v>
      </c>
      <c r="G1137" t="s">
        <v>13530</v>
      </c>
      <c r="H1137" t="str">
        <f>"Ndufs3"</f>
        <v>Ndufs3</v>
      </c>
      <c r="I1137" t="s">
        <v>32</v>
      </c>
      <c r="J1137" t="s">
        <v>37</v>
      </c>
      <c r="K1137">
        <v>10090</v>
      </c>
      <c r="L1137" s="3" t="str">
        <f>HYPERLINK("http://www.uniprot.org/uniprot/Q9DCT2", "Q9DCT2")</f>
        <v>Q9DCT2</v>
      </c>
      <c r="M1137" t="s">
        <v>13531</v>
      </c>
      <c r="N1137" t="str">
        <f>"Ndufs3"</f>
        <v>Ndufs3</v>
      </c>
      <c r="O1137" s="3" t="str">
        <f>HYPERLINK("http://www.informatics.jax.org/marker/MGI:1915599", "MGI:1915599")</f>
        <v>MGI:1915599</v>
      </c>
      <c r="P1137" t="s">
        <v>13532</v>
      </c>
      <c r="Q1137" t="s">
        <v>6888</v>
      </c>
      <c r="R1137" t="s">
        <v>3858</v>
      </c>
      <c r="S1137" t="s">
        <v>32</v>
      </c>
      <c r="T1137" t="s">
        <v>32</v>
      </c>
      <c r="U1137" t="s">
        <v>32</v>
      </c>
      <c r="V1137" t="s">
        <v>1039</v>
      </c>
      <c r="W1137" t="s">
        <v>13533</v>
      </c>
      <c r="X1137" t="s">
        <v>10466</v>
      </c>
      <c r="Y1137" t="s">
        <v>32</v>
      </c>
      <c r="Z1137" t="s">
        <v>126</v>
      </c>
      <c r="AA1137" t="s">
        <v>13534</v>
      </c>
      <c r="AB1137" t="s">
        <v>13535</v>
      </c>
      <c r="AC1137" t="s">
        <v>13536</v>
      </c>
      <c r="AD1137" t="s">
        <v>32</v>
      </c>
      <c r="AE1137" t="s">
        <v>13537</v>
      </c>
      <c r="AF1137" t="s">
        <v>46835</v>
      </c>
    </row>
    <row r="1138" spans="1:32" x14ac:dyDescent="0.2">
      <c r="A1138">
        <v>1133</v>
      </c>
      <c r="B1138" t="s">
        <v>13538</v>
      </c>
      <c r="C1138" t="s">
        <v>13539</v>
      </c>
      <c r="D1138" t="s">
        <v>13540</v>
      </c>
      <c r="E1138" t="s">
        <v>13541</v>
      </c>
      <c r="F1138" t="s">
        <v>13542</v>
      </c>
      <c r="G1138" t="s">
        <v>13543</v>
      </c>
      <c r="H1138" t="str">
        <f>"Pdlim5"</f>
        <v>Pdlim5</v>
      </c>
      <c r="I1138" t="s">
        <v>32</v>
      </c>
      <c r="J1138" t="s">
        <v>37</v>
      </c>
      <c r="K1138">
        <v>10090</v>
      </c>
      <c r="L1138" s="3" t="str">
        <f>HYPERLINK("http://www.uniprot.org/uniprot/Q8CI51", "Q8CI51")</f>
        <v>Q8CI51</v>
      </c>
      <c r="M1138" t="s">
        <v>13544</v>
      </c>
      <c r="N1138" t="str">
        <f>"Pdlim5"</f>
        <v>Pdlim5</v>
      </c>
      <c r="O1138" s="3" t="str">
        <f>HYPERLINK("http://www.informatics.jax.org/marker/MGI:1927489", "MGI:1927489")</f>
        <v>MGI:1927489</v>
      </c>
      <c r="P1138" t="s">
        <v>13545</v>
      </c>
      <c r="Q1138" t="s">
        <v>32</v>
      </c>
      <c r="R1138" t="s">
        <v>13546</v>
      </c>
      <c r="S1138" t="s">
        <v>41</v>
      </c>
      <c r="T1138" t="s">
        <v>32</v>
      </c>
      <c r="U1138" t="s">
        <v>32</v>
      </c>
      <c r="V1138" t="s">
        <v>11332</v>
      </c>
      <c r="W1138" t="s">
        <v>42</v>
      </c>
      <c r="X1138" t="s">
        <v>32</v>
      </c>
      <c r="Y1138" t="s">
        <v>516</v>
      </c>
      <c r="Z1138" t="s">
        <v>126</v>
      </c>
      <c r="AA1138" t="s">
        <v>13547</v>
      </c>
      <c r="AB1138" t="s">
        <v>13548</v>
      </c>
      <c r="AC1138" t="s">
        <v>13549</v>
      </c>
      <c r="AD1138" t="s">
        <v>32</v>
      </c>
      <c r="AE1138" t="s">
        <v>32</v>
      </c>
      <c r="AF1138" t="s">
        <v>46835</v>
      </c>
    </row>
    <row r="1139" spans="1:32" x14ac:dyDescent="0.2">
      <c r="A1139">
        <v>1134</v>
      </c>
      <c r="B1139" t="s">
        <v>13550</v>
      </c>
      <c r="C1139" t="s">
        <v>13551</v>
      </c>
      <c r="D1139" t="s">
        <v>13552</v>
      </c>
      <c r="E1139" t="s">
        <v>13553</v>
      </c>
      <c r="F1139" t="s">
        <v>13554</v>
      </c>
      <c r="G1139" t="s">
        <v>32</v>
      </c>
      <c r="H1139" t="str">
        <f>"Serpinc1"</f>
        <v>Serpinc1</v>
      </c>
      <c r="I1139" t="s">
        <v>13555</v>
      </c>
      <c r="J1139" t="s">
        <v>37</v>
      </c>
      <c r="K1139">
        <v>10090</v>
      </c>
      <c r="L1139" s="3" t="str">
        <f>HYPERLINK("http://www.uniprot.org/uniprot/P32261", "P32261")</f>
        <v>P32261</v>
      </c>
      <c r="M1139" t="s">
        <v>13556</v>
      </c>
      <c r="N1139" t="str">
        <f>"Serpinc1"</f>
        <v>Serpinc1</v>
      </c>
      <c r="O1139" s="3" t="str">
        <f>HYPERLINK("http://www.informatics.jax.org/marker/MGI:88095", "MGI:88095")</f>
        <v>MGI:88095</v>
      </c>
      <c r="P1139" t="s">
        <v>13557</v>
      </c>
      <c r="Q1139" t="s">
        <v>6760</v>
      </c>
      <c r="R1139" t="s">
        <v>630</v>
      </c>
      <c r="S1139" t="s">
        <v>32</v>
      </c>
      <c r="T1139" t="s">
        <v>32</v>
      </c>
      <c r="U1139" t="s">
        <v>32</v>
      </c>
      <c r="V1139" t="s">
        <v>811</v>
      </c>
      <c r="W1139" t="s">
        <v>32</v>
      </c>
      <c r="X1139" t="s">
        <v>13558</v>
      </c>
      <c r="Y1139" t="s">
        <v>2865</v>
      </c>
      <c r="Z1139" t="s">
        <v>32</v>
      </c>
      <c r="AA1139" t="s">
        <v>13559</v>
      </c>
      <c r="AB1139" t="s">
        <v>9155</v>
      </c>
      <c r="AC1139" t="s">
        <v>13560</v>
      </c>
      <c r="AD1139" t="s">
        <v>32</v>
      </c>
      <c r="AE1139" t="s">
        <v>13561</v>
      </c>
      <c r="AF1139" t="s">
        <v>46835</v>
      </c>
    </row>
    <row r="1140" spans="1:32" x14ac:dyDescent="0.2">
      <c r="A1140">
        <v>1135</v>
      </c>
      <c r="B1140" t="s">
        <v>13562</v>
      </c>
      <c r="C1140" t="s">
        <v>13563</v>
      </c>
      <c r="D1140" t="s">
        <v>32</v>
      </c>
      <c r="E1140" t="s">
        <v>13564</v>
      </c>
      <c r="F1140" t="s">
        <v>13565</v>
      </c>
      <c r="G1140" t="s">
        <v>13566</v>
      </c>
      <c r="H1140" t="str">
        <f>"Pnn"</f>
        <v>Pnn</v>
      </c>
      <c r="I1140" t="s">
        <v>32</v>
      </c>
      <c r="J1140" t="s">
        <v>37</v>
      </c>
      <c r="K1140">
        <v>10090</v>
      </c>
      <c r="L1140" s="3" t="str">
        <f>HYPERLINK("http://www.uniprot.org/uniprot/O35691", "O35691")</f>
        <v>O35691</v>
      </c>
      <c r="M1140" t="s">
        <v>13567</v>
      </c>
      <c r="N1140" t="str">
        <f>"Pnn"</f>
        <v>Pnn</v>
      </c>
      <c r="O1140" s="3" t="str">
        <f>HYPERLINK("http://www.informatics.jax.org/marker/MGI:1100514", "MGI:1100514")</f>
        <v>MGI:1100514</v>
      </c>
      <c r="P1140" t="s">
        <v>13568</v>
      </c>
      <c r="Q1140" t="s">
        <v>1348</v>
      </c>
      <c r="R1140" t="s">
        <v>13569</v>
      </c>
      <c r="S1140" t="s">
        <v>32</v>
      </c>
      <c r="T1140" t="s">
        <v>32</v>
      </c>
      <c r="U1140" t="s">
        <v>32</v>
      </c>
      <c r="V1140" t="s">
        <v>290</v>
      </c>
      <c r="W1140" t="s">
        <v>32</v>
      </c>
      <c r="X1140" t="s">
        <v>2350</v>
      </c>
      <c r="Y1140" t="s">
        <v>207</v>
      </c>
      <c r="Z1140" t="s">
        <v>32</v>
      </c>
      <c r="AA1140" t="s">
        <v>13570</v>
      </c>
      <c r="AB1140" t="s">
        <v>13571</v>
      </c>
      <c r="AC1140" t="s">
        <v>13572</v>
      </c>
      <c r="AD1140" t="s">
        <v>32</v>
      </c>
      <c r="AE1140" t="s">
        <v>32</v>
      </c>
      <c r="AF1140" t="s">
        <v>46835</v>
      </c>
    </row>
    <row r="1141" spans="1:32" x14ac:dyDescent="0.2">
      <c r="A1141">
        <v>1136</v>
      </c>
      <c r="B1141" t="s">
        <v>13573</v>
      </c>
      <c r="C1141" t="s">
        <v>13574</v>
      </c>
      <c r="D1141" t="s">
        <v>32</v>
      </c>
      <c r="E1141" t="s">
        <v>13575</v>
      </c>
      <c r="F1141" t="s">
        <v>13576</v>
      </c>
      <c r="G1141" t="s">
        <v>13577</v>
      </c>
      <c r="H1141" t="str">
        <f>"Cul2"</f>
        <v>Cul2</v>
      </c>
      <c r="I1141" t="s">
        <v>32</v>
      </c>
      <c r="J1141" t="s">
        <v>37</v>
      </c>
      <c r="K1141">
        <v>10090</v>
      </c>
      <c r="L1141" s="3" t="str">
        <f>HYPERLINK("http://www.uniprot.org/uniprot/Q9D4H8", "Q9D4H8")</f>
        <v>Q9D4H8</v>
      </c>
      <c r="M1141" t="s">
        <v>13578</v>
      </c>
      <c r="N1141" t="str">
        <f>"Cul2"</f>
        <v>Cul2</v>
      </c>
      <c r="O1141" s="3" t="str">
        <f>HYPERLINK("http://www.informatics.jax.org/marker/MGI:1918995", "MGI:1918995")</f>
        <v>MGI:1918995</v>
      </c>
      <c r="P1141" t="s">
        <v>13579</v>
      </c>
      <c r="Q1141" t="s">
        <v>1020</v>
      </c>
      <c r="R1141" t="s">
        <v>2279</v>
      </c>
      <c r="S1141" t="s">
        <v>41</v>
      </c>
      <c r="T1141" t="s">
        <v>32</v>
      </c>
      <c r="U1141" t="s">
        <v>32</v>
      </c>
      <c r="V1141" t="s">
        <v>32</v>
      </c>
      <c r="W1141" t="s">
        <v>32</v>
      </c>
      <c r="X1141" t="s">
        <v>32</v>
      </c>
      <c r="Y1141" t="s">
        <v>516</v>
      </c>
      <c r="Z1141" t="s">
        <v>32</v>
      </c>
      <c r="AA1141" t="s">
        <v>13580</v>
      </c>
      <c r="AB1141" t="s">
        <v>13581</v>
      </c>
      <c r="AC1141" t="s">
        <v>13582</v>
      </c>
      <c r="AD1141" t="s">
        <v>1027</v>
      </c>
      <c r="AE1141" t="s">
        <v>13583</v>
      </c>
      <c r="AF1141" t="s">
        <v>46835</v>
      </c>
    </row>
    <row r="1142" spans="1:32" x14ac:dyDescent="0.2">
      <c r="A1142">
        <v>1137</v>
      </c>
      <c r="B1142" t="s">
        <v>13584</v>
      </c>
      <c r="C1142" t="s">
        <v>13585</v>
      </c>
      <c r="D1142" t="s">
        <v>13586</v>
      </c>
      <c r="E1142" t="s">
        <v>13587</v>
      </c>
      <c r="F1142" t="s">
        <v>13588</v>
      </c>
      <c r="G1142" t="s">
        <v>13589</v>
      </c>
      <c r="H1142" t="str">
        <f>"Anxa3"</f>
        <v>Anxa3</v>
      </c>
      <c r="I1142" t="s">
        <v>13590</v>
      </c>
      <c r="J1142" t="s">
        <v>37</v>
      </c>
      <c r="K1142">
        <v>10090</v>
      </c>
      <c r="L1142" s="3" t="str">
        <f>HYPERLINK("http://www.uniprot.org/uniprot/O35639", "O35639")</f>
        <v>O35639</v>
      </c>
      <c r="M1142" t="s">
        <v>13591</v>
      </c>
      <c r="N1142" t="str">
        <f>"Anxa3"</f>
        <v>Anxa3</v>
      </c>
      <c r="O1142" s="3" t="str">
        <f>HYPERLINK("http://www.informatics.jax.org/marker/MGI:1201378", "MGI:1201378")</f>
        <v>MGI:1201378</v>
      </c>
      <c r="P1142" t="s">
        <v>13592</v>
      </c>
      <c r="Q1142" t="s">
        <v>32</v>
      </c>
      <c r="R1142" t="s">
        <v>32</v>
      </c>
      <c r="S1142" t="s">
        <v>32</v>
      </c>
      <c r="T1142" t="s">
        <v>32</v>
      </c>
      <c r="U1142" t="s">
        <v>32</v>
      </c>
      <c r="V1142" t="s">
        <v>3029</v>
      </c>
      <c r="W1142" t="s">
        <v>3030</v>
      </c>
      <c r="X1142" t="s">
        <v>3416</v>
      </c>
      <c r="Y1142" t="s">
        <v>157</v>
      </c>
      <c r="Z1142" t="s">
        <v>32</v>
      </c>
      <c r="AA1142" t="s">
        <v>13593</v>
      </c>
      <c r="AB1142" t="s">
        <v>13594</v>
      </c>
      <c r="AC1142" t="s">
        <v>13595</v>
      </c>
      <c r="AD1142" t="s">
        <v>32</v>
      </c>
      <c r="AE1142" t="s">
        <v>32</v>
      </c>
      <c r="AF1142" t="s">
        <v>46835</v>
      </c>
    </row>
    <row r="1143" spans="1:32" x14ac:dyDescent="0.2">
      <c r="A1143">
        <v>1138</v>
      </c>
      <c r="B1143" t="s">
        <v>13596</v>
      </c>
      <c r="C1143" t="s">
        <v>13597</v>
      </c>
      <c r="D1143" t="s">
        <v>13598</v>
      </c>
      <c r="E1143" t="s">
        <v>13599</v>
      </c>
      <c r="F1143" t="s">
        <v>13600</v>
      </c>
      <c r="G1143" t="s">
        <v>13601</v>
      </c>
      <c r="H1143" t="str">
        <f>"Atp6v1e1"</f>
        <v>Atp6v1e1</v>
      </c>
      <c r="I1143" t="s">
        <v>13602</v>
      </c>
      <c r="J1143" t="s">
        <v>37</v>
      </c>
      <c r="K1143">
        <v>10090</v>
      </c>
      <c r="L1143" s="3" t="str">
        <f>HYPERLINK("http://www.uniprot.org/uniprot/P50518", "P50518")</f>
        <v>P50518</v>
      </c>
      <c r="M1143" t="s">
        <v>13603</v>
      </c>
      <c r="N1143" t="str">
        <f>"Atp6v1e1"</f>
        <v>Atp6v1e1</v>
      </c>
      <c r="O1143" s="3" t="str">
        <f>HYPERLINK("http://www.informatics.jax.org/marker/MGI:894326", "MGI:894326")</f>
        <v>MGI:894326</v>
      </c>
      <c r="P1143" t="s">
        <v>13604</v>
      </c>
      <c r="Q1143" t="s">
        <v>4257</v>
      </c>
      <c r="R1143" t="s">
        <v>13605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32</v>
      </c>
      <c r="Y1143" t="s">
        <v>157</v>
      </c>
      <c r="Z1143" t="s">
        <v>32</v>
      </c>
      <c r="AA1143" t="s">
        <v>13606</v>
      </c>
      <c r="AB1143" t="s">
        <v>13607</v>
      </c>
      <c r="AC1143" t="s">
        <v>13608</v>
      </c>
      <c r="AD1143" t="s">
        <v>32</v>
      </c>
      <c r="AE1143" t="s">
        <v>6963</v>
      </c>
      <c r="AF1143" t="s">
        <v>46835</v>
      </c>
    </row>
    <row r="1144" spans="1:32" x14ac:dyDescent="0.2">
      <c r="A1144">
        <v>1139</v>
      </c>
      <c r="B1144" t="s">
        <v>13609</v>
      </c>
      <c r="C1144" t="s">
        <v>13610</v>
      </c>
      <c r="D1144" t="s">
        <v>13611</v>
      </c>
      <c r="E1144" t="s">
        <v>13612</v>
      </c>
      <c r="F1144" t="s">
        <v>13613</v>
      </c>
      <c r="G1144" t="s">
        <v>13614</v>
      </c>
      <c r="H1144" t="str">
        <f>"Uba3"</f>
        <v>Uba3</v>
      </c>
      <c r="I1144" t="s">
        <v>13615</v>
      </c>
      <c r="J1144" t="s">
        <v>37</v>
      </c>
      <c r="K1144">
        <v>10090</v>
      </c>
      <c r="L1144" s="3" t="str">
        <f>HYPERLINK("http://www.uniprot.org/uniprot/Q8C878", "Q8C878")</f>
        <v>Q8C878</v>
      </c>
      <c r="M1144" t="s">
        <v>13616</v>
      </c>
      <c r="N1144" t="str">
        <f>"Uba3"</f>
        <v>Uba3</v>
      </c>
      <c r="O1144" s="3" t="str">
        <f>HYPERLINK("http://www.informatics.jax.org/marker/MGI:1341217", "MGI:1341217")</f>
        <v>MGI:1341217</v>
      </c>
      <c r="P1144" t="s">
        <v>13617</v>
      </c>
      <c r="Q1144" t="s">
        <v>13618</v>
      </c>
      <c r="R1144" t="s">
        <v>32</v>
      </c>
      <c r="S1144" t="s">
        <v>41</v>
      </c>
      <c r="T1144" t="s">
        <v>32</v>
      </c>
      <c r="U1144" t="s">
        <v>32</v>
      </c>
      <c r="V1144" t="s">
        <v>32</v>
      </c>
      <c r="W1144" t="s">
        <v>205</v>
      </c>
      <c r="X1144" t="s">
        <v>1022</v>
      </c>
      <c r="Y1144" t="s">
        <v>78</v>
      </c>
      <c r="Z1144" t="s">
        <v>32</v>
      </c>
      <c r="AA1144" t="s">
        <v>13619</v>
      </c>
      <c r="AB1144" t="s">
        <v>5312</v>
      </c>
      <c r="AC1144" t="s">
        <v>13620</v>
      </c>
      <c r="AD1144" t="s">
        <v>6231</v>
      </c>
      <c r="AE1144" t="s">
        <v>13621</v>
      </c>
      <c r="AF1144" t="s">
        <v>46835</v>
      </c>
    </row>
    <row r="1145" spans="1:32" x14ac:dyDescent="0.2">
      <c r="A1145">
        <v>1140</v>
      </c>
      <c r="B1145" t="s">
        <v>13622</v>
      </c>
      <c r="C1145" t="s">
        <v>13623</v>
      </c>
      <c r="D1145" t="s">
        <v>13624</v>
      </c>
      <c r="E1145" t="s">
        <v>13625</v>
      </c>
      <c r="F1145" t="s">
        <v>13626</v>
      </c>
      <c r="G1145" t="s">
        <v>13627</v>
      </c>
      <c r="H1145" t="str">
        <f>"Hk1"</f>
        <v>Hk1</v>
      </c>
      <c r="I1145" t="s">
        <v>32</v>
      </c>
      <c r="J1145" t="s">
        <v>37</v>
      </c>
      <c r="K1145">
        <v>10090</v>
      </c>
      <c r="L1145" s="3" t="str">
        <f>HYPERLINK("http://www.uniprot.org/uniprot/P17710", "P17710")</f>
        <v>P17710</v>
      </c>
      <c r="M1145" t="s">
        <v>13628</v>
      </c>
      <c r="N1145" t="str">
        <f>"Hk1"</f>
        <v>Hk1</v>
      </c>
      <c r="O1145" s="3" t="str">
        <f>HYPERLINK("http://www.informatics.jax.org/marker/MGI:96103", "MGI:96103")</f>
        <v>MGI:96103</v>
      </c>
      <c r="P1145" t="s">
        <v>13629</v>
      </c>
      <c r="Q1145" t="s">
        <v>13630</v>
      </c>
      <c r="R1145" t="s">
        <v>9642</v>
      </c>
      <c r="S1145" t="s">
        <v>8503</v>
      </c>
      <c r="T1145" t="s">
        <v>32</v>
      </c>
      <c r="U1145" t="s">
        <v>32</v>
      </c>
      <c r="V1145" t="s">
        <v>55</v>
      </c>
      <c r="W1145" t="s">
        <v>205</v>
      </c>
      <c r="X1145" t="s">
        <v>307</v>
      </c>
      <c r="Y1145" t="s">
        <v>618</v>
      </c>
      <c r="Z1145" t="s">
        <v>32</v>
      </c>
      <c r="AA1145" t="s">
        <v>13631</v>
      </c>
      <c r="AB1145" t="s">
        <v>13632</v>
      </c>
      <c r="AC1145" t="s">
        <v>13633</v>
      </c>
      <c r="AD1145" t="s">
        <v>9646</v>
      </c>
      <c r="AE1145" t="s">
        <v>32</v>
      </c>
      <c r="AF1145" t="s">
        <v>46835</v>
      </c>
    </row>
    <row r="1146" spans="1:32" x14ac:dyDescent="0.2">
      <c r="A1146">
        <v>1141</v>
      </c>
      <c r="B1146" t="s">
        <v>13634</v>
      </c>
      <c r="C1146" t="s">
        <v>13635</v>
      </c>
      <c r="D1146" t="s">
        <v>13636</v>
      </c>
      <c r="E1146" t="s">
        <v>13637</v>
      </c>
      <c r="F1146" t="s">
        <v>13638</v>
      </c>
      <c r="G1146" t="s">
        <v>13639</v>
      </c>
      <c r="H1146" t="str">
        <f>"Tomm34"</f>
        <v>Tomm34</v>
      </c>
      <c r="I1146" t="s">
        <v>32</v>
      </c>
      <c r="J1146" t="s">
        <v>37</v>
      </c>
      <c r="K1146">
        <v>10090</v>
      </c>
      <c r="L1146" s="3" t="str">
        <f>HYPERLINK("http://www.uniprot.org/uniprot/Q9CYG7", "Q9CYG7")</f>
        <v>Q9CYG7</v>
      </c>
      <c r="M1146" t="s">
        <v>13640</v>
      </c>
      <c r="N1146" t="str">
        <f>"Tomm34"</f>
        <v>Tomm34</v>
      </c>
      <c r="O1146" s="3" t="str">
        <f>HYPERLINK("http://www.informatics.jax.org/marker/MGI:1914395", "MGI:1914395")</f>
        <v>MGI:1914395</v>
      </c>
      <c r="P1146" t="s">
        <v>13641</v>
      </c>
      <c r="Q1146" t="s">
        <v>32</v>
      </c>
      <c r="R1146" t="s">
        <v>9642</v>
      </c>
      <c r="S1146" t="s">
        <v>41</v>
      </c>
      <c r="T1146" t="s">
        <v>32</v>
      </c>
      <c r="U1146" t="s">
        <v>32</v>
      </c>
      <c r="V1146" t="s">
        <v>995</v>
      </c>
      <c r="W1146" t="s">
        <v>32</v>
      </c>
      <c r="X1146" t="s">
        <v>388</v>
      </c>
      <c r="Y1146" t="s">
        <v>1007</v>
      </c>
      <c r="Z1146" t="s">
        <v>32</v>
      </c>
      <c r="AA1146" t="s">
        <v>13642</v>
      </c>
      <c r="AB1146" t="s">
        <v>13643</v>
      </c>
      <c r="AC1146" t="s">
        <v>6415</v>
      </c>
      <c r="AD1146" t="s">
        <v>32</v>
      </c>
      <c r="AE1146" t="s">
        <v>32</v>
      </c>
      <c r="AF1146" t="s">
        <v>46835</v>
      </c>
    </row>
    <row r="1147" spans="1:32" x14ac:dyDescent="0.2">
      <c r="A1147">
        <v>1142</v>
      </c>
      <c r="B1147" t="s">
        <v>13644</v>
      </c>
      <c r="C1147" t="s">
        <v>13645</v>
      </c>
      <c r="D1147" t="s">
        <v>13646</v>
      </c>
      <c r="E1147" t="s">
        <v>13647</v>
      </c>
      <c r="F1147" t="s">
        <v>13648</v>
      </c>
      <c r="G1147" t="s">
        <v>13649</v>
      </c>
      <c r="H1147" t="str">
        <f>"Dnm2"</f>
        <v>Dnm2</v>
      </c>
      <c r="I1147" t="s">
        <v>13650</v>
      </c>
      <c r="J1147" t="s">
        <v>37</v>
      </c>
      <c r="K1147">
        <v>10090</v>
      </c>
      <c r="L1147" s="3" t="str">
        <f>HYPERLINK("http://www.uniprot.org/uniprot/P39054", "P39054")</f>
        <v>P39054</v>
      </c>
      <c r="M1147" t="s">
        <v>13651</v>
      </c>
      <c r="N1147" t="str">
        <f>"Dnm2"</f>
        <v>Dnm2</v>
      </c>
      <c r="O1147" s="3" t="str">
        <f>HYPERLINK("http://www.informatics.jax.org/marker/MGI:109547", "MGI:109547")</f>
        <v>MGI:109547</v>
      </c>
      <c r="P1147" t="s">
        <v>13652</v>
      </c>
      <c r="Q1147" t="s">
        <v>13653</v>
      </c>
      <c r="R1147" t="s">
        <v>13654</v>
      </c>
      <c r="S1147" t="s">
        <v>41</v>
      </c>
      <c r="T1147" t="s">
        <v>32</v>
      </c>
      <c r="U1147" t="s">
        <v>32</v>
      </c>
      <c r="V1147" t="s">
        <v>32</v>
      </c>
      <c r="W1147" t="s">
        <v>261</v>
      </c>
      <c r="X1147" t="s">
        <v>13004</v>
      </c>
      <c r="Y1147" t="s">
        <v>157</v>
      </c>
      <c r="Z1147" t="s">
        <v>32</v>
      </c>
      <c r="AA1147" t="s">
        <v>13655</v>
      </c>
      <c r="AB1147" t="s">
        <v>13656</v>
      </c>
      <c r="AC1147" t="s">
        <v>13657</v>
      </c>
      <c r="AD1147" t="s">
        <v>32</v>
      </c>
      <c r="AE1147" t="s">
        <v>13658</v>
      </c>
      <c r="AF1147" t="s">
        <v>46835</v>
      </c>
    </row>
    <row r="1148" spans="1:32" x14ac:dyDescent="0.2">
      <c r="A1148">
        <v>1143</v>
      </c>
      <c r="B1148" t="s">
        <v>13659</v>
      </c>
      <c r="C1148" t="s">
        <v>13660</v>
      </c>
      <c r="D1148" t="s">
        <v>13661</v>
      </c>
      <c r="E1148" t="s">
        <v>13662</v>
      </c>
      <c r="F1148" t="s">
        <v>13663</v>
      </c>
      <c r="G1148" t="s">
        <v>13664</v>
      </c>
      <c r="H1148" t="str">
        <f>"Asrgl1"</f>
        <v>Asrgl1</v>
      </c>
      <c r="I1148" t="s">
        <v>32</v>
      </c>
      <c r="J1148" t="s">
        <v>37</v>
      </c>
      <c r="K1148">
        <v>10090</v>
      </c>
      <c r="L1148" s="3" t="str">
        <f>HYPERLINK("http://www.uniprot.org/uniprot/Q8C0M9", "Q8C0M9")</f>
        <v>Q8C0M9</v>
      </c>
      <c r="M1148" t="s">
        <v>13665</v>
      </c>
      <c r="N1148" t="str">
        <f>"Asrgl1"</f>
        <v>Asrgl1</v>
      </c>
      <c r="O1148" s="3" t="str">
        <f>HYPERLINK("http://www.informatics.jax.org/marker/MGI:1913764", "MGI:1913764")</f>
        <v>MGI:1913764</v>
      </c>
      <c r="P1148" t="s">
        <v>13666</v>
      </c>
      <c r="Q1148" t="s">
        <v>32</v>
      </c>
      <c r="R1148" t="s">
        <v>418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13667</v>
      </c>
      <c r="Y1148" t="s">
        <v>13668</v>
      </c>
      <c r="Z1148" t="s">
        <v>32</v>
      </c>
      <c r="AA1148" t="s">
        <v>13669</v>
      </c>
      <c r="AB1148" t="s">
        <v>13670</v>
      </c>
      <c r="AC1148" t="s">
        <v>13671</v>
      </c>
      <c r="AD1148" t="s">
        <v>32</v>
      </c>
      <c r="AE1148" t="s">
        <v>13672</v>
      </c>
      <c r="AF1148" t="s">
        <v>46835</v>
      </c>
    </row>
    <row r="1149" spans="1:32" x14ac:dyDescent="0.2">
      <c r="A1149">
        <v>1144</v>
      </c>
      <c r="B1149" t="s">
        <v>13673</v>
      </c>
      <c r="C1149" t="s">
        <v>13674</v>
      </c>
      <c r="D1149" t="s">
        <v>13675</v>
      </c>
      <c r="E1149" t="s">
        <v>13676</v>
      </c>
      <c r="F1149" t="s">
        <v>13677</v>
      </c>
      <c r="G1149" t="s">
        <v>32</v>
      </c>
      <c r="H1149" t="str">
        <f>"Sephs1"</f>
        <v>Sephs1</v>
      </c>
      <c r="I1149" t="s">
        <v>13678</v>
      </c>
      <c r="J1149" t="s">
        <v>37</v>
      </c>
      <c r="K1149">
        <v>10090</v>
      </c>
      <c r="L1149" s="3" t="str">
        <f>HYPERLINK("http://www.uniprot.org/uniprot/Q8BH69", "Q8BH69")</f>
        <v>Q8BH69</v>
      </c>
      <c r="M1149" t="s">
        <v>13679</v>
      </c>
      <c r="N1149" t="str">
        <f>"Sephs1"</f>
        <v>Sephs1</v>
      </c>
      <c r="O1149" s="3" t="str">
        <f>HYPERLINK("http://www.informatics.jax.org/marker/MGI:1923580", "MGI:1923580")</f>
        <v>MGI:1923580</v>
      </c>
      <c r="P1149" t="s">
        <v>13680</v>
      </c>
      <c r="Q1149" t="s">
        <v>32</v>
      </c>
      <c r="R1149" t="s">
        <v>13681</v>
      </c>
      <c r="S1149" t="s">
        <v>32</v>
      </c>
      <c r="T1149" t="s">
        <v>32</v>
      </c>
      <c r="U1149" t="s">
        <v>32</v>
      </c>
      <c r="V1149" t="s">
        <v>32</v>
      </c>
      <c r="W1149" t="s">
        <v>13682</v>
      </c>
      <c r="X1149" t="s">
        <v>419</v>
      </c>
      <c r="Y1149" t="s">
        <v>78</v>
      </c>
      <c r="Z1149" t="s">
        <v>32</v>
      </c>
      <c r="AA1149" t="s">
        <v>13683</v>
      </c>
      <c r="AB1149" t="s">
        <v>13684</v>
      </c>
      <c r="AC1149" t="s">
        <v>13685</v>
      </c>
      <c r="AD1149" t="s">
        <v>32</v>
      </c>
      <c r="AE1149" t="s">
        <v>32</v>
      </c>
      <c r="AF1149" t="s">
        <v>46835</v>
      </c>
    </row>
    <row r="1150" spans="1:32" x14ac:dyDescent="0.2">
      <c r="A1150">
        <v>1145</v>
      </c>
      <c r="B1150" t="s">
        <v>13686</v>
      </c>
      <c r="C1150" t="s">
        <v>13687</v>
      </c>
      <c r="D1150" t="s">
        <v>13688</v>
      </c>
      <c r="E1150" t="s">
        <v>13689</v>
      </c>
      <c r="F1150" t="s">
        <v>13690</v>
      </c>
      <c r="G1150" t="s">
        <v>13691</v>
      </c>
      <c r="H1150" t="str">
        <f>"Fkbp1a"</f>
        <v>Fkbp1a</v>
      </c>
      <c r="I1150" t="s">
        <v>13692</v>
      </c>
      <c r="J1150" t="s">
        <v>37</v>
      </c>
      <c r="K1150">
        <v>10090</v>
      </c>
      <c r="L1150" s="3" t="str">
        <f>HYPERLINK("http://www.uniprot.org/uniprot/P26883", "P26883")</f>
        <v>P26883</v>
      </c>
      <c r="M1150" t="s">
        <v>13693</v>
      </c>
      <c r="N1150" t="str">
        <f>"Fkbp1a"</f>
        <v>Fkbp1a</v>
      </c>
      <c r="O1150" s="3" t="str">
        <f>HYPERLINK("http://www.informatics.jax.org/marker/MGI:95541", "MGI:95541")</f>
        <v>MGI:95541</v>
      </c>
      <c r="P1150" t="s">
        <v>13694</v>
      </c>
      <c r="Q1150" t="s">
        <v>32</v>
      </c>
      <c r="R1150" t="s">
        <v>8747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543</v>
      </c>
      <c r="Y1150" t="s">
        <v>78</v>
      </c>
      <c r="Z1150" t="s">
        <v>32</v>
      </c>
      <c r="AA1150" t="s">
        <v>13695</v>
      </c>
      <c r="AB1150" t="s">
        <v>13696</v>
      </c>
      <c r="AC1150" t="s">
        <v>13697</v>
      </c>
      <c r="AD1150" t="s">
        <v>32</v>
      </c>
      <c r="AE1150" t="s">
        <v>13698</v>
      </c>
      <c r="AF1150" t="s">
        <v>46835</v>
      </c>
    </row>
    <row r="1151" spans="1:32" x14ac:dyDescent="0.2">
      <c r="A1151">
        <v>1146</v>
      </c>
      <c r="B1151" t="s">
        <v>13699</v>
      </c>
      <c r="C1151" t="s">
        <v>13700</v>
      </c>
      <c r="D1151" t="s">
        <v>13701</v>
      </c>
      <c r="E1151" t="s">
        <v>13702</v>
      </c>
      <c r="F1151" t="s">
        <v>13703</v>
      </c>
      <c r="G1151" t="s">
        <v>13704</v>
      </c>
      <c r="H1151" t="str">
        <f>"Jam3"</f>
        <v>Jam3</v>
      </c>
      <c r="I1151" t="s">
        <v>32</v>
      </c>
      <c r="J1151" t="s">
        <v>37</v>
      </c>
      <c r="K1151">
        <v>10090</v>
      </c>
      <c r="L1151" s="3" t="str">
        <f>HYPERLINK("http://www.uniprot.org/uniprot/Q9D8B7", "Q9D8B7")</f>
        <v>Q9D8B7</v>
      </c>
      <c r="M1151" t="s">
        <v>13705</v>
      </c>
      <c r="N1151" t="str">
        <f>"Jam3"</f>
        <v>Jam3</v>
      </c>
      <c r="O1151" s="3" t="str">
        <f>HYPERLINK("http://www.informatics.jax.org/marker/MGI:1933825", "MGI:1933825")</f>
        <v>MGI:1933825</v>
      </c>
      <c r="P1151" t="s">
        <v>13706</v>
      </c>
      <c r="Q1151" t="s">
        <v>13707</v>
      </c>
      <c r="R1151" t="s">
        <v>10951</v>
      </c>
      <c r="S1151" t="s">
        <v>32</v>
      </c>
      <c r="T1151" t="s">
        <v>32</v>
      </c>
      <c r="U1151" t="s">
        <v>32</v>
      </c>
      <c r="V1151" t="s">
        <v>13063</v>
      </c>
      <c r="W1151" t="s">
        <v>32</v>
      </c>
      <c r="X1151" t="s">
        <v>32</v>
      </c>
      <c r="Y1151" t="s">
        <v>13708</v>
      </c>
      <c r="Z1151" t="s">
        <v>126</v>
      </c>
      <c r="AA1151" t="s">
        <v>13709</v>
      </c>
      <c r="AB1151" t="s">
        <v>13710</v>
      </c>
      <c r="AC1151" t="s">
        <v>13711</v>
      </c>
      <c r="AD1151" t="s">
        <v>32</v>
      </c>
      <c r="AE1151" t="s">
        <v>13712</v>
      </c>
      <c r="AF1151" t="s">
        <v>46835</v>
      </c>
    </row>
    <row r="1152" spans="1:32" x14ac:dyDescent="0.2">
      <c r="A1152">
        <v>1147</v>
      </c>
      <c r="B1152" t="s">
        <v>13713</v>
      </c>
      <c r="C1152" t="s">
        <v>13714</v>
      </c>
      <c r="D1152" t="s">
        <v>13715</v>
      </c>
      <c r="E1152" t="s">
        <v>13716</v>
      </c>
      <c r="F1152" t="s">
        <v>13717</v>
      </c>
      <c r="G1152" t="s">
        <v>13718</v>
      </c>
      <c r="H1152" t="str">
        <f>"Xpo7"</f>
        <v>Xpo7</v>
      </c>
      <c r="I1152" t="s">
        <v>13719</v>
      </c>
      <c r="J1152" t="s">
        <v>37</v>
      </c>
      <c r="K1152">
        <v>10090</v>
      </c>
      <c r="L1152" s="3" t="str">
        <f>HYPERLINK("http://www.uniprot.org/uniprot/Q9EPK7", "Q9EPK7")</f>
        <v>Q9EPK7</v>
      </c>
      <c r="M1152" t="s">
        <v>13720</v>
      </c>
      <c r="N1152" t="str">
        <f>"Xpo7"</f>
        <v>Xpo7</v>
      </c>
      <c r="O1152" s="3" t="str">
        <f>HYPERLINK("http://www.informatics.jax.org/marker/MGI:1929705", "MGI:1929705")</f>
        <v>MGI:1929705</v>
      </c>
      <c r="P1152" t="s">
        <v>13721</v>
      </c>
      <c r="Q1152" t="s">
        <v>434</v>
      </c>
      <c r="R1152" t="s">
        <v>40</v>
      </c>
      <c r="S1152" t="s">
        <v>41</v>
      </c>
      <c r="T1152" t="s">
        <v>32</v>
      </c>
      <c r="U1152" t="s">
        <v>32</v>
      </c>
      <c r="V1152" t="s">
        <v>32</v>
      </c>
      <c r="W1152" t="s">
        <v>32</v>
      </c>
      <c r="X1152" t="s">
        <v>32</v>
      </c>
      <c r="Y1152" t="s">
        <v>157</v>
      </c>
      <c r="Z1152" t="s">
        <v>32</v>
      </c>
      <c r="AA1152" t="s">
        <v>13722</v>
      </c>
      <c r="AB1152" t="s">
        <v>13723</v>
      </c>
      <c r="AC1152" t="s">
        <v>5970</v>
      </c>
      <c r="AD1152" t="s">
        <v>32</v>
      </c>
      <c r="AE1152" t="s">
        <v>32</v>
      </c>
      <c r="AF1152" t="s">
        <v>46835</v>
      </c>
    </row>
    <row r="1153" spans="1:32" x14ac:dyDescent="0.2">
      <c r="A1153">
        <v>1148</v>
      </c>
      <c r="B1153" t="s">
        <v>13724</v>
      </c>
      <c r="C1153" t="s">
        <v>13725</v>
      </c>
      <c r="D1153" t="s">
        <v>13726</v>
      </c>
      <c r="E1153" t="s">
        <v>13727</v>
      </c>
      <c r="F1153" t="s">
        <v>13728</v>
      </c>
      <c r="G1153" t="s">
        <v>13729</v>
      </c>
      <c r="H1153" t="str">
        <f>"Ybx3"</f>
        <v>Ybx3</v>
      </c>
      <c r="I1153" t="s">
        <v>13730</v>
      </c>
      <c r="J1153" t="s">
        <v>37</v>
      </c>
      <c r="K1153">
        <v>10090</v>
      </c>
      <c r="L1153" s="3" t="str">
        <f>HYPERLINK("http://www.uniprot.org/uniprot/Q9JKB3", "Q9JKB3")</f>
        <v>Q9JKB3</v>
      </c>
      <c r="M1153" t="s">
        <v>13731</v>
      </c>
      <c r="N1153" t="str">
        <f>"Ybx3"</f>
        <v>Ybx3</v>
      </c>
      <c r="O1153" s="3" t="str">
        <f>HYPERLINK("http://www.informatics.jax.org/marker/MGI:2137670", "MGI:2137670")</f>
        <v>MGI:2137670</v>
      </c>
      <c r="P1153" t="s">
        <v>13732</v>
      </c>
      <c r="Q1153" t="s">
        <v>4152</v>
      </c>
      <c r="R1153" t="s">
        <v>40</v>
      </c>
      <c r="S1153" t="s">
        <v>41</v>
      </c>
      <c r="T1153" t="s">
        <v>32</v>
      </c>
      <c r="U1153" t="s">
        <v>32</v>
      </c>
      <c r="V1153" t="s">
        <v>32</v>
      </c>
      <c r="W1153" t="s">
        <v>32</v>
      </c>
      <c r="X1153" t="s">
        <v>5759</v>
      </c>
      <c r="Y1153" t="s">
        <v>97</v>
      </c>
      <c r="Z1153" t="s">
        <v>32</v>
      </c>
      <c r="AA1153" t="s">
        <v>13733</v>
      </c>
      <c r="AB1153" t="s">
        <v>13734</v>
      </c>
      <c r="AC1153" t="s">
        <v>13735</v>
      </c>
      <c r="AD1153" t="s">
        <v>32</v>
      </c>
      <c r="AE1153" t="s">
        <v>32</v>
      </c>
      <c r="AF1153" t="s">
        <v>46835</v>
      </c>
    </row>
    <row r="1154" spans="1:32" x14ac:dyDescent="0.2">
      <c r="A1154">
        <v>1149</v>
      </c>
      <c r="B1154" t="s">
        <v>13736</v>
      </c>
      <c r="C1154" t="s">
        <v>13737</v>
      </c>
      <c r="D1154" t="s">
        <v>13738</v>
      </c>
      <c r="E1154" t="s">
        <v>13739</v>
      </c>
      <c r="F1154" t="s">
        <v>13740</v>
      </c>
      <c r="G1154" t="s">
        <v>13741</v>
      </c>
      <c r="H1154" t="str">
        <f>"Smc2"</f>
        <v>Smc2</v>
      </c>
      <c r="I1154" t="s">
        <v>13742</v>
      </c>
      <c r="J1154" t="s">
        <v>37</v>
      </c>
      <c r="K1154">
        <v>10090</v>
      </c>
      <c r="L1154" s="3" t="str">
        <f>HYPERLINK("http://www.uniprot.org/uniprot/Q8CG48", "Q8CG48")</f>
        <v>Q8CG48</v>
      </c>
      <c r="M1154" t="s">
        <v>13743</v>
      </c>
      <c r="N1154" t="str">
        <f>"Smc2"</f>
        <v>Smc2</v>
      </c>
      <c r="O1154" s="3" t="str">
        <f>HYPERLINK("http://www.informatics.jax.org/marker/MGI:106067", "MGI:106067")</f>
        <v>MGI:106067</v>
      </c>
      <c r="P1154" t="s">
        <v>13744</v>
      </c>
      <c r="Q1154" t="s">
        <v>13745</v>
      </c>
      <c r="R1154" t="s">
        <v>8375</v>
      </c>
      <c r="S1154" t="s">
        <v>32</v>
      </c>
      <c r="T1154" t="s">
        <v>32</v>
      </c>
      <c r="U1154" t="s">
        <v>32</v>
      </c>
      <c r="V1154" t="s">
        <v>290</v>
      </c>
      <c r="W1154" t="s">
        <v>205</v>
      </c>
      <c r="X1154" t="s">
        <v>32</v>
      </c>
      <c r="Y1154" t="s">
        <v>78</v>
      </c>
      <c r="Z1154" t="s">
        <v>126</v>
      </c>
      <c r="AA1154" t="s">
        <v>13746</v>
      </c>
      <c r="AB1154" t="s">
        <v>13747</v>
      </c>
      <c r="AC1154" t="s">
        <v>13748</v>
      </c>
      <c r="AD1154" t="s">
        <v>32</v>
      </c>
      <c r="AE1154" t="s">
        <v>13749</v>
      </c>
      <c r="AF1154" t="s">
        <v>46835</v>
      </c>
    </row>
    <row r="1155" spans="1:32" x14ac:dyDescent="0.2">
      <c r="A1155">
        <v>1150</v>
      </c>
      <c r="B1155" t="s">
        <v>13750</v>
      </c>
      <c r="C1155" t="s">
        <v>13751</v>
      </c>
      <c r="D1155" t="s">
        <v>13752</v>
      </c>
      <c r="E1155" t="s">
        <v>13753</v>
      </c>
      <c r="F1155" t="s">
        <v>13754</v>
      </c>
      <c r="G1155" t="s">
        <v>13755</v>
      </c>
      <c r="H1155" t="str">
        <f>"Tcerg1"</f>
        <v>Tcerg1</v>
      </c>
      <c r="I1155" t="s">
        <v>13756</v>
      </c>
      <c r="J1155" t="s">
        <v>37</v>
      </c>
      <c r="K1155">
        <v>10090</v>
      </c>
      <c r="L1155" s="3" t="str">
        <f>HYPERLINK("http://www.uniprot.org/uniprot/Q8CGF7", "Q8CGF7")</f>
        <v>Q8CGF7</v>
      </c>
      <c r="M1155" t="s">
        <v>13757</v>
      </c>
      <c r="N1155" t="str">
        <f>"Tcerg1"</f>
        <v>Tcerg1</v>
      </c>
      <c r="O1155" s="3" t="str">
        <f>HYPERLINK("http://www.informatics.jax.org/marker/MGI:1926421", "MGI:1926421")</f>
        <v>MGI:1926421</v>
      </c>
      <c r="P1155" t="s">
        <v>13758</v>
      </c>
      <c r="Q1155" t="s">
        <v>4152</v>
      </c>
      <c r="R1155" t="s">
        <v>2279</v>
      </c>
      <c r="S1155" t="s">
        <v>41</v>
      </c>
      <c r="T1155" t="s">
        <v>32</v>
      </c>
      <c r="U1155" t="s">
        <v>32</v>
      </c>
      <c r="V1155" t="s">
        <v>137</v>
      </c>
      <c r="W1155" t="s">
        <v>32</v>
      </c>
      <c r="X1155" t="s">
        <v>5195</v>
      </c>
      <c r="Y1155" t="s">
        <v>2192</v>
      </c>
      <c r="Z1155" t="s">
        <v>126</v>
      </c>
      <c r="AA1155" t="s">
        <v>13759</v>
      </c>
      <c r="AB1155" t="s">
        <v>7318</v>
      </c>
      <c r="AC1155" t="s">
        <v>13760</v>
      </c>
      <c r="AD1155" t="s">
        <v>32</v>
      </c>
      <c r="AE1155" t="s">
        <v>32</v>
      </c>
      <c r="AF1155" t="s">
        <v>46835</v>
      </c>
    </row>
    <row r="1156" spans="1:32" x14ac:dyDescent="0.2">
      <c r="A1156">
        <v>1151</v>
      </c>
      <c r="B1156" t="s">
        <v>13761</v>
      </c>
      <c r="C1156" t="s">
        <v>13762</v>
      </c>
      <c r="D1156" t="s">
        <v>13763</v>
      </c>
      <c r="E1156" t="s">
        <v>13764</v>
      </c>
      <c r="F1156" t="s">
        <v>13765</v>
      </c>
      <c r="G1156" t="s">
        <v>13766</v>
      </c>
      <c r="H1156" t="str">
        <f>"Anp32e"</f>
        <v>Anp32e</v>
      </c>
      <c r="I1156" t="s">
        <v>13767</v>
      </c>
      <c r="J1156" t="s">
        <v>37</v>
      </c>
      <c r="K1156">
        <v>10090</v>
      </c>
      <c r="L1156" s="3" t="str">
        <f>HYPERLINK("http://www.uniprot.org/uniprot/P97822", "P97822")</f>
        <v>P97822</v>
      </c>
      <c r="M1156" t="s">
        <v>13768</v>
      </c>
      <c r="N1156" t="str">
        <f>"Anp32e"</f>
        <v>Anp32e</v>
      </c>
      <c r="O1156" s="3" t="str">
        <f>HYPERLINK("http://www.informatics.jax.org/marker/MGI:1913721", "MGI:1913721")</f>
        <v>MGI:1913721</v>
      </c>
      <c r="P1156" t="s">
        <v>13769</v>
      </c>
      <c r="Q1156" t="s">
        <v>32</v>
      </c>
      <c r="R1156" t="s">
        <v>40</v>
      </c>
      <c r="S1156" t="s">
        <v>41</v>
      </c>
      <c r="T1156" t="s">
        <v>32</v>
      </c>
      <c r="U1156" t="s">
        <v>32</v>
      </c>
      <c r="V1156" t="s">
        <v>2701</v>
      </c>
      <c r="W1156" t="s">
        <v>32</v>
      </c>
      <c r="X1156" t="s">
        <v>11850</v>
      </c>
      <c r="Y1156" t="s">
        <v>516</v>
      </c>
      <c r="Z1156" t="s">
        <v>32</v>
      </c>
      <c r="AA1156" t="s">
        <v>13770</v>
      </c>
      <c r="AB1156" t="s">
        <v>13771</v>
      </c>
      <c r="AC1156" t="s">
        <v>13772</v>
      </c>
      <c r="AD1156" t="s">
        <v>32</v>
      </c>
      <c r="AE1156" t="s">
        <v>32</v>
      </c>
      <c r="AF1156" t="s">
        <v>46835</v>
      </c>
    </row>
    <row r="1157" spans="1:32" x14ac:dyDescent="0.2">
      <c r="A1157">
        <v>1152</v>
      </c>
      <c r="B1157" t="s">
        <v>13773</v>
      </c>
      <c r="C1157" t="s">
        <v>13774</v>
      </c>
      <c r="D1157" t="s">
        <v>13775</v>
      </c>
      <c r="E1157" t="s">
        <v>13776</v>
      </c>
      <c r="F1157" t="s">
        <v>13777</v>
      </c>
      <c r="G1157" t="s">
        <v>13778</v>
      </c>
      <c r="H1157" t="str">
        <f>"Dkc1"</f>
        <v>Dkc1</v>
      </c>
      <c r="I1157" t="s">
        <v>32</v>
      </c>
      <c r="J1157" t="s">
        <v>37</v>
      </c>
      <c r="K1157">
        <v>10090</v>
      </c>
      <c r="L1157" s="3" t="str">
        <f>HYPERLINK("http://www.uniprot.org/uniprot/Q9ESX5", "Q9ESX5")</f>
        <v>Q9ESX5</v>
      </c>
      <c r="M1157" t="s">
        <v>13779</v>
      </c>
      <c r="N1157" t="str">
        <f>"Dkc1"</f>
        <v>Dkc1</v>
      </c>
      <c r="O1157" s="3" t="str">
        <f>HYPERLINK("http://www.informatics.jax.org/marker/MGI:1861727", "MGI:1861727")</f>
        <v>MGI:1861727</v>
      </c>
      <c r="P1157" t="s">
        <v>13780</v>
      </c>
      <c r="Q1157" t="s">
        <v>13781</v>
      </c>
      <c r="R1157" t="s">
        <v>2279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13782</v>
      </c>
      <c r="Y1157" t="s">
        <v>516</v>
      </c>
      <c r="Z1157" t="s">
        <v>32</v>
      </c>
      <c r="AA1157" t="s">
        <v>13783</v>
      </c>
      <c r="AB1157" t="s">
        <v>13784</v>
      </c>
      <c r="AC1157" t="s">
        <v>13785</v>
      </c>
      <c r="AD1157" t="s">
        <v>32</v>
      </c>
      <c r="AE1157" t="s">
        <v>13786</v>
      </c>
      <c r="AF1157" t="s">
        <v>46835</v>
      </c>
    </row>
    <row r="1158" spans="1:32" x14ac:dyDescent="0.2">
      <c r="A1158">
        <v>1153</v>
      </c>
      <c r="B1158" t="s">
        <v>13787</v>
      </c>
      <c r="C1158" t="s">
        <v>13788</v>
      </c>
      <c r="D1158" t="s">
        <v>13789</v>
      </c>
      <c r="E1158" t="s">
        <v>13790</v>
      </c>
      <c r="F1158" t="s">
        <v>13791</v>
      </c>
      <c r="G1158" t="s">
        <v>13792</v>
      </c>
      <c r="H1158" t="str">
        <f>"Bcar1"</f>
        <v>Bcar1</v>
      </c>
      <c r="I1158" t="s">
        <v>13793</v>
      </c>
      <c r="J1158" t="s">
        <v>37</v>
      </c>
      <c r="K1158">
        <v>10090</v>
      </c>
      <c r="L1158" s="3" t="str">
        <f>HYPERLINK("http://www.uniprot.org/uniprot/Q61140", "Q61140")</f>
        <v>Q61140</v>
      </c>
      <c r="M1158" t="s">
        <v>13794</v>
      </c>
      <c r="N1158" t="str">
        <f>"Bcar1"</f>
        <v>Bcar1</v>
      </c>
      <c r="O1158" s="3" t="str">
        <f>HYPERLINK("http://www.informatics.jax.org/marker/MGI:108091", "MGI:108091")</f>
        <v>MGI:108091</v>
      </c>
      <c r="P1158" t="s">
        <v>13795</v>
      </c>
      <c r="Q1158" t="s">
        <v>2784</v>
      </c>
      <c r="R1158" t="s">
        <v>5156</v>
      </c>
      <c r="S1158" t="s">
        <v>41</v>
      </c>
      <c r="T1158" t="s">
        <v>32</v>
      </c>
      <c r="U1158" t="s">
        <v>32</v>
      </c>
      <c r="V1158" t="s">
        <v>13796</v>
      </c>
      <c r="W1158" t="s">
        <v>32</v>
      </c>
      <c r="X1158" t="s">
        <v>32</v>
      </c>
      <c r="Y1158" t="s">
        <v>157</v>
      </c>
      <c r="Z1158" t="s">
        <v>126</v>
      </c>
      <c r="AA1158" t="s">
        <v>13797</v>
      </c>
      <c r="AB1158" t="s">
        <v>13798</v>
      </c>
      <c r="AC1158" t="s">
        <v>13799</v>
      </c>
      <c r="AD1158" t="s">
        <v>32</v>
      </c>
      <c r="AE1158" t="s">
        <v>13800</v>
      </c>
      <c r="AF1158" t="s">
        <v>46835</v>
      </c>
    </row>
    <row r="1159" spans="1:32" x14ac:dyDescent="0.2">
      <c r="A1159">
        <v>1154</v>
      </c>
      <c r="B1159" t="s">
        <v>13801</v>
      </c>
      <c r="C1159" t="s">
        <v>13802</v>
      </c>
      <c r="D1159" t="s">
        <v>13803</v>
      </c>
      <c r="E1159" t="s">
        <v>13804</v>
      </c>
      <c r="F1159" t="s">
        <v>13805</v>
      </c>
      <c r="G1159" t="s">
        <v>13806</v>
      </c>
      <c r="H1159" t="str">
        <f>"Srsf7"</f>
        <v>Srsf7</v>
      </c>
      <c r="I1159" t="s">
        <v>13807</v>
      </c>
      <c r="J1159" t="s">
        <v>37</v>
      </c>
      <c r="K1159">
        <v>10090</v>
      </c>
      <c r="L1159" s="3" t="str">
        <f>HYPERLINK("http://www.uniprot.org/uniprot/Q8BL97", "Q8BL97")</f>
        <v>Q8BL97</v>
      </c>
      <c r="M1159" t="s">
        <v>13808</v>
      </c>
      <c r="N1159" t="str">
        <f>"Srsf7"</f>
        <v>Srsf7</v>
      </c>
      <c r="O1159" s="3" t="str">
        <f>HYPERLINK("http://www.informatics.jax.org/marker/MGI:1926232", "MGI:1926232")</f>
        <v>MGI:1926232</v>
      </c>
      <c r="P1159" t="s">
        <v>13809</v>
      </c>
      <c r="Q1159" t="s">
        <v>1127</v>
      </c>
      <c r="R1159" t="s">
        <v>40</v>
      </c>
      <c r="S1159" t="s">
        <v>41</v>
      </c>
      <c r="T1159" t="s">
        <v>32</v>
      </c>
      <c r="U1159" t="s">
        <v>32</v>
      </c>
      <c r="V1159" t="s">
        <v>3791</v>
      </c>
      <c r="W1159" t="s">
        <v>42</v>
      </c>
      <c r="X1159" t="s">
        <v>9766</v>
      </c>
      <c r="Y1159" t="s">
        <v>516</v>
      </c>
      <c r="Z1159" t="s">
        <v>32</v>
      </c>
      <c r="AA1159" t="s">
        <v>13810</v>
      </c>
      <c r="AB1159" t="s">
        <v>13811</v>
      </c>
      <c r="AC1159" t="s">
        <v>13812</v>
      </c>
      <c r="AD1159" t="s">
        <v>32</v>
      </c>
      <c r="AE1159" t="s">
        <v>8698</v>
      </c>
      <c r="AF1159" t="s">
        <v>46835</v>
      </c>
    </row>
    <row r="1160" spans="1:32" x14ac:dyDescent="0.2">
      <c r="A1160">
        <v>1155</v>
      </c>
      <c r="B1160" t="s">
        <v>13813</v>
      </c>
      <c r="C1160" t="s">
        <v>13814</v>
      </c>
      <c r="D1160" t="s">
        <v>13815</v>
      </c>
      <c r="E1160" t="s">
        <v>13816</v>
      </c>
      <c r="F1160" t="s">
        <v>13817</v>
      </c>
      <c r="G1160" t="s">
        <v>32</v>
      </c>
      <c r="H1160" t="str">
        <f>"Pura"</f>
        <v>Pura</v>
      </c>
      <c r="I1160" t="s">
        <v>32</v>
      </c>
      <c r="J1160" t="s">
        <v>37</v>
      </c>
      <c r="K1160">
        <v>10090</v>
      </c>
      <c r="L1160" s="3" t="str">
        <f>HYPERLINK("http://www.uniprot.org/uniprot/P42669", "P42669")</f>
        <v>P42669</v>
      </c>
      <c r="M1160" t="s">
        <v>13818</v>
      </c>
      <c r="N1160" t="str">
        <f>"Pura"</f>
        <v>Pura</v>
      </c>
      <c r="O1160" s="3" t="str">
        <f>HYPERLINK("http://www.informatics.jax.org/marker/MGI:103079", "MGI:103079")</f>
        <v>MGI:103079</v>
      </c>
      <c r="P1160" t="s">
        <v>13819</v>
      </c>
      <c r="Q1160" t="s">
        <v>4152</v>
      </c>
      <c r="R1160" t="s">
        <v>2279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2350</v>
      </c>
      <c r="Y1160" t="s">
        <v>157</v>
      </c>
      <c r="Z1160" t="s">
        <v>32</v>
      </c>
      <c r="AA1160" t="s">
        <v>13820</v>
      </c>
      <c r="AB1160" t="s">
        <v>13821</v>
      </c>
      <c r="AC1160" t="s">
        <v>13822</v>
      </c>
      <c r="AD1160" t="s">
        <v>32</v>
      </c>
      <c r="AE1160" t="s">
        <v>32</v>
      </c>
      <c r="AF1160" t="s">
        <v>46835</v>
      </c>
    </row>
    <row r="1161" spans="1:32" x14ac:dyDescent="0.2">
      <c r="A1161">
        <v>1156</v>
      </c>
      <c r="B1161" t="s">
        <v>13823</v>
      </c>
      <c r="C1161" t="s">
        <v>13824</v>
      </c>
      <c r="D1161" t="s">
        <v>13825</v>
      </c>
      <c r="E1161" t="s">
        <v>13826</v>
      </c>
      <c r="F1161" t="s">
        <v>13827</v>
      </c>
      <c r="G1161" t="s">
        <v>13828</v>
      </c>
      <c r="H1161" t="str">
        <f>"Gfpt1"</f>
        <v>Gfpt1</v>
      </c>
      <c r="I1161" t="s">
        <v>13829</v>
      </c>
      <c r="J1161" t="s">
        <v>37</v>
      </c>
      <c r="K1161">
        <v>10090</v>
      </c>
      <c r="L1161" s="3" t="str">
        <f>HYPERLINK("http://www.uniprot.org/uniprot/P47856", "P47856")</f>
        <v>P47856</v>
      </c>
      <c r="M1161" t="s">
        <v>13830</v>
      </c>
      <c r="N1161" t="str">
        <f>"Gfpt1"</f>
        <v>Gfpt1</v>
      </c>
      <c r="O1161" s="3" t="str">
        <f>HYPERLINK("http://www.informatics.jax.org/marker/MGI:95698", "MGI:95698")</f>
        <v>MGI:95698</v>
      </c>
      <c r="P1161" t="s">
        <v>13831</v>
      </c>
      <c r="Q1161" t="s">
        <v>9465</v>
      </c>
      <c r="R1161" t="s">
        <v>32</v>
      </c>
      <c r="S1161" t="s">
        <v>41</v>
      </c>
      <c r="T1161" t="s">
        <v>32</v>
      </c>
      <c r="U1161" t="s">
        <v>32</v>
      </c>
      <c r="V1161" t="s">
        <v>6846</v>
      </c>
      <c r="W1161" t="s">
        <v>32</v>
      </c>
      <c r="X1161" t="s">
        <v>3374</v>
      </c>
      <c r="Y1161" t="s">
        <v>618</v>
      </c>
      <c r="Z1161" t="s">
        <v>32</v>
      </c>
      <c r="AA1161" t="s">
        <v>13832</v>
      </c>
      <c r="AB1161" t="s">
        <v>32</v>
      </c>
      <c r="AC1161" t="s">
        <v>13833</v>
      </c>
      <c r="AD1161" t="s">
        <v>13834</v>
      </c>
      <c r="AE1161" t="s">
        <v>13835</v>
      </c>
      <c r="AF1161" t="s">
        <v>46835</v>
      </c>
    </row>
    <row r="1162" spans="1:32" x14ac:dyDescent="0.2">
      <c r="A1162">
        <v>1157</v>
      </c>
      <c r="B1162" t="s">
        <v>13836</v>
      </c>
      <c r="C1162" t="s">
        <v>13837</v>
      </c>
      <c r="D1162" t="s">
        <v>13838</v>
      </c>
      <c r="E1162" t="s">
        <v>13839</v>
      </c>
      <c r="F1162" t="s">
        <v>13840</v>
      </c>
      <c r="G1162" t="s">
        <v>13841</v>
      </c>
      <c r="H1162" t="str">
        <f>"Larp4"</f>
        <v>Larp4</v>
      </c>
      <c r="I1162" t="s">
        <v>32</v>
      </c>
      <c r="J1162" t="s">
        <v>37</v>
      </c>
      <c r="K1162">
        <v>10090</v>
      </c>
      <c r="L1162" s="3" t="str">
        <f>HYPERLINK("http://www.uniprot.org/uniprot/Q8BWW4", "Q8BWW4")</f>
        <v>Q8BWW4</v>
      </c>
      <c r="M1162" t="s">
        <v>13842</v>
      </c>
      <c r="N1162" t="str">
        <f>"Larp4"</f>
        <v>Larp4</v>
      </c>
      <c r="O1162" s="3" t="str">
        <f>HYPERLINK("http://www.informatics.jax.org/marker/MGI:2443114", "MGI:2443114")</f>
        <v>MGI:2443114</v>
      </c>
      <c r="P1162" t="s">
        <v>13843</v>
      </c>
      <c r="Q1162" t="s">
        <v>260</v>
      </c>
      <c r="R1162" t="s">
        <v>418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1282</v>
      </c>
      <c r="Y1162" t="s">
        <v>97</v>
      </c>
      <c r="Z1162" t="s">
        <v>32</v>
      </c>
      <c r="AA1162" t="s">
        <v>13844</v>
      </c>
      <c r="AB1162" t="s">
        <v>13845</v>
      </c>
      <c r="AC1162" t="s">
        <v>13846</v>
      </c>
      <c r="AD1162" t="s">
        <v>32</v>
      </c>
      <c r="AE1162" t="s">
        <v>32</v>
      </c>
      <c r="AF1162" t="s">
        <v>46835</v>
      </c>
    </row>
    <row r="1163" spans="1:32" x14ac:dyDescent="0.2">
      <c r="A1163">
        <v>1158</v>
      </c>
      <c r="B1163" t="s">
        <v>13847</v>
      </c>
      <c r="C1163" t="s">
        <v>13848</v>
      </c>
      <c r="D1163" t="s">
        <v>13849</v>
      </c>
      <c r="E1163" t="s">
        <v>13850</v>
      </c>
      <c r="F1163" t="s">
        <v>13851</v>
      </c>
      <c r="G1163" t="s">
        <v>13852</v>
      </c>
      <c r="H1163" t="str">
        <f>"Arpc5"</f>
        <v>Arpc5</v>
      </c>
      <c r="I1163" t="s">
        <v>32</v>
      </c>
      <c r="J1163" t="s">
        <v>37</v>
      </c>
      <c r="K1163">
        <v>10090</v>
      </c>
      <c r="L1163" s="3" t="str">
        <f>HYPERLINK("http://www.uniprot.org/uniprot/Q9CPW4", "Q9CPW4")</f>
        <v>Q9CPW4</v>
      </c>
      <c r="M1163" t="s">
        <v>13853</v>
      </c>
      <c r="N1163" t="str">
        <f>"Arpc5"</f>
        <v>Arpc5</v>
      </c>
      <c r="O1163" s="3" t="str">
        <f>HYPERLINK("http://www.informatics.jax.org/marker/MGI:1915021", "MGI:1915021")</f>
        <v>MGI:1915021</v>
      </c>
      <c r="P1163" t="s">
        <v>13854</v>
      </c>
      <c r="Q1163" t="s">
        <v>32</v>
      </c>
      <c r="R1163" t="s">
        <v>7920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405</v>
      </c>
      <c r="Y1163" t="s">
        <v>4102</v>
      </c>
      <c r="Z1163" t="s">
        <v>126</v>
      </c>
      <c r="AA1163" t="s">
        <v>13855</v>
      </c>
      <c r="AB1163" t="s">
        <v>13856</v>
      </c>
      <c r="AC1163" t="s">
        <v>11925</v>
      </c>
      <c r="AD1163" t="s">
        <v>32</v>
      </c>
      <c r="AE1163" t="s">
        <v>8047</v>
      </c>
      <c r="AF1163" t="s">
        <v>46835</v>
      </c>
    </row>
    <row r="1164" spans="1:32" x14ac:dyDescent="0.2">
      <c r="A1164">
        <v>1159</v>
      </c>
      <c r="B1164" t="s">
        <v>13857</v>
      </c>
      <c r="C1164" t="s">
        <v>13858</v>
      </c>
      <c r="D1164" t="s">
        <v>13859</v>
      </c>
      <c r="E1164" t="s">
        <v>13860</v>
      </c>
      <c r="F1164" t="s">
        <v>13861</v>
      </c>
      <c r="G1164" t="s">
        <v>13862</v>
      </c>
      <c r="H1164" t="str">
        <f>"Edf1"</f>
        <v>Edf1</v>
      </c>
      <c r="I1164" t="s">
        <v>32</v>
      </c>
      <c r="J1164" t="s">
        <v>37</v>
      </c>
      <c r="K1164">
        <v>10090</v>
      </c>
      <c r="L1164" s="3" t="str">
        <f>HYPERLINK("http://www.uniprot.org/uniprot/Q9JMG1", "Q9JMG1")</f>
        <v>Q9JMG1</v>
      </c>
      <c r="M1164" t="s">
        <v>13863</v>
      </c>
      <c r="N1164" t="str">
        <f>"Edf1"</f>
        <v>Edf1</v>
      </c>
      <c r="O1164" s="3" t="str">
        <f>HYPERLINK("http://www.informatics.jax.org/marker/MGI:1891227", "MGI:1891227")</f>
        <v>MGI:1891227</v>
      </c>
      <c r="P1164" t="s">
        <v>13864</v>
      </c>
      <c r="Q1164" t="s">
        <v>13865</v>
      </c>
      <c r="R1164" t="s">
        <v>40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13866</v>
      </c>
      <c r="Y1164" t="s">
        <v>97</v>
      </c>
      <c r="Z1164" t="s">
        <v>32</v>
      </c>
      <c r="AA1164" t="s">
        <v>13867</v>
      </c>
      <c r="AB1164" t="s">
        <v>13868</v>
      </c>
      <c r="AC1164" t="s">
        <v>13869</v>
      </c>
      <c r="AD1164" t="s">
        <v>32</v>
      </c>
      <c r="AE1164" t="s">
        <v>32</v>
      </c>
      <c r="AF1164" t="s">
        <v>46835</v>
      </c>
    </row>
    <row r="1165" spans="1:32" x14ac:dyDescent="0.2">
      <c r="A1165">
        <v>1160</v>
      </c>
      <c r="B1165" t="s">
        <v>13870</v>
      </c>
      <c r="C1165" t="s">
        <v>13871</v>
      </c>
      <c r="D1165" t="s">
        <v>13872</v>
      </c>
      <c r="E1165" t="s">
        <v>13873</v>
      </c>
      <c r="F1165" t="s">
        <v>13874</v>
      </c>
      <c r="G1165" t="s">
        <v>13875</v>
      </c>
      <c r="H1165" t="str">
        <f>"Ndufab1"</f>
        <v>Ndufab1</v>
      </c>
      <c r="I1165" t="s">
        <v>32</v>
      </c>
      <c r="J1165" t="s">
        <v>37</v>
      </c>
      <c r="K1165">
        <v>10090</v>
      </c>
      <c r="L1165" s="3" t="str">
        <f>HYPERLINK("http://www.uniprot.org/uniprot/Q9CR21", "Q9CR21")</f>
        <v>Q9CR21</v>
      </c>
      <c r="M1165" t="s">
        <v>13876</v>
      </c>
      <c r="N1165" t="str">
        <f>"Ndufab1"</f>
        <v>Ndufab1</v>
      </c>
      <c r="O1165" s="3" t="str">
        <f>HYPERLINK("http://www.informatics.jax.org/marker/MGI:1917566", "MGI:1917566")</f>
        <v>MGI:1917566</v>
      </c>
      <c r="P1165" t="s">
        <v>13877</v>
      </c>
      <c r="Q1165" t="s">
        <v>13878</v>
      </c>
      <c r="R1165" t="s">
        <v>1038</v>
      </c>
      <c r="S1165" t="s">
        <v>32</v>
      </c>
      <c r="T1165" t="s">
        <v>32</v>
      </c>
      <c r="U1165" t="s">
        <v>32</v>
      </c>
      <c r="V1165" t="s">
        <v>1039</v>
      </c>
      <c r="W1165" t="s">
        <v>32</v>
      </c>
      <c r="X1165" t="s">
        <v>32</v>
      </c>
      <c r="Y1165" t="s">
        <v>13879</v>
      </c>
      <c r="Z1165" t="s">
        <v>126</v>
      </c>
      <c r="AA1165" t="s">
        <v>13880</v>
      </c>
      <c r="AB1165" t="s">
        <v>13881</v>
      </c>
      <c r="AC1165" t="s">
        <v>13882</v>
      </c>
      <c r="AD1165" t="s">
        <v>32</v>
      </c>
      <c r="AE1165" t="s">
        <v>13883</v>
      </c>
      <c r="AF1165" t="s">
        <v>46835</v>
      </c>
    </row>
    <row r="1166" spans="1:32" x14ac:dyDescent="0.2">
      <c r="A1166">
        <v>1161</v>
      </c>
      <c r="B1166" t="s">
        <v>13884</v>
      </c>
      <c r="C1166" t="s">
        <v>13885</v>
      </c>
      <c r="D1166" t="s">
        <v>13886</v>
      </c>
      <c r="E1166" t="s">
        <v>13887</v>
      </c>
      <c r="F1166" t="s">
        <v>13888</v>
      </c>
      <c r="G1166" t="s">
        <v>13889</v>
      </c>
      <c r="H1166" t="str">
        <f>"Mesd"</f>
        <v>Mesd</v>
      </c>
      <c r="I1166" t="s">
        <v>13890</v>
      </c>
      <c r="J1166" t="s">
        <v>37</v>
      </c>
      <c r="K1166">
        <v>10090</v>
      </c>
      <c r="L1166" s="3" t="str">
        <f>HYPERLINK("http://www.uniprot.org/uniprot/Q9ERE7", "Q9ERE7")</f>
        <v>Q9ERE7</v>
      </c>
      <c r="M1166" t="s">
        <v>13891</v>
      </c>
      <c r="N1166" t="str">
        <f>"Mesd"</f>
        <v>Mesd</v>
      </c>
      <c r="O1166" s="3" t="str">
        <f>HYPERLINK("http://www.informatics.jax.org/marker/MGI:1891421", "MGI:1891421")</f>
        <v>MGI:1891421</v>
      </c>
      <c r="P1166" t="s">
        <v>13892</v>
      </c>
      <c r="Q1166" t="s">
        <v>3043</v>
      </c>
      <c r="R1166" t="s">
        <v>671</v>
      </c>
      <c r="S1166" t="s">
        <v>32</v>
      </c>
      <c r="T1166" t="s">
        <v>32</v>
      </c>
      <c r="U1166" t="s">
        <v>32</v>
      </c>
      <c r="V1166" t="s">
        <v>811</v>
      </c>
      <c r="W1166" t="s">
        <v>32</v>
      </c>
      <c r="X1166" t="s">
        <v>388</v>
      </c>
      <c r="Y1166" t="s">
        <v>3733</v>
      </c>
      <c r="Z1166" t="s">
        <v>126</v>
      </c>
      <c r="AA1166" t="s">
        <v>13893</v>
      </c>
      <c r="AB1166" t="s">
        <v>13894</v>
      </c>
      <c r="AC1166" t="s">
        <v>13895</v>
      </c>
      <c r="AD1166" t="s">
        <v>32</v>
      </c>
      <c r="AE1166" t="s">
        <v>32</v>
      </c>
      <c r="AF1166" t="s">
        <v>46835</v>
      </c>
    </row>
    <row r="1167" spans="1:32" x14ac:dyDescent="0.2">
      <c r="A1167">
        <v>1162</v>
      </c>
      <c r="B1167" t="s">
        <v>13896</v>
      </c>
      <c r="C1167" t="s">
        <v>13897</v>
      </c>
      <c r="D1167" t="s">
        <v>13898</v>
      </c>
      <c r="E1167" t="s">
        <v>13899</v>
      </c>
      <c r="F1167" t="s">
        <v>13900</v>
      </c>
      <c r="G1167" t="s">
        <v>13901</v>
      </c>
      <c r="H1167" t="str">
        <f>"Lman2"</f>
        <v>Lman2</v>
      </c>
      <c r="I1167" t="s">
        <v>32</v>
      </c>
      <c r="J1167" t="s">
        <v>37</v>
      </c>
      <c r="K1167">
        <v>10090</v>
      </c>
      <c r="L1167" s="3" t="str">
        <f>HYPERLINK("http://www.uniprot.org/uniprot/Q9DBH5", "Q9DBH5")</f>
        <v>Q9DBH5</v>
      </c>
      <c r="M1167" t="s">
        <v>13902</v>
      </c>
      <c r="N1167" t="str">
        <f>"Lman2"</f>
        <v>Lman2</v>
      </c>
      <c r="O1167" s="3" t="str">
        <f>HYPERLINK("http://www.informatics.jax.org/marker/MGI:1914140", "MGI:1914140")</f>
        <v>MGI:1914140</v>
      </c>
      <c r="P1167" t="s">
        <v>13903</v>
      </c>
      <c r="Q1167" t="s">
        <v>434</v>
      </c>
      <c r="R1167" t="s">
        <v>13904</v>
      </c>
      <c r="S1167" t="s">
        <v>32</v>
      </c>
      <c r="T1167" t="s">
        <v>32</v>
      </c>
      <c r="U1167" t="s">
        <v>32</v>
      </c>
      <c r="V1167" t="s">
        <v>3948</v>
      </c>
      <c r="W1167" t="s">
        <v>1666</v>
      </c>
      <c r="X1167" t="s">
        <v>32</v>
      </c>
      <c r="Y1167" t="s">
        <v>5275</v>
      </c>
      <c r="Z1167" t="s">
        <v>32</v>
      </c>
      <c r="AA1167" t="s">
        <v>13905</v>
      </c>
      <c r="AB1167" t="s">
        <v>13906</v>
      </c>
      <c r="AC1167" t="s">
        <v>13907</v>
      </c>
      <c r="AD1167" t="s">
        <v>32</v>
      </c>
      <c r="AE1167" t="s">
        <v>13908</v>
      </c>
      <c r="AF1167" t="s">
        <v>46835</v>
      </c>
    </row>
    <row r="1168" spans="1:32" x14ac:dyDescent="0.2">
      <c r="A1168">
        <v>1163</v>
      </c>
      <c r="B1168" t="s">
        <v>13909</v>
      </c>
      <c r="C1168" t="s">
        <v>13910</v>
      </c>
      <c r="D1168" t="s">
        <v>13911</v>
      </c>
      <c r="E1168" t="s">
        <v>13912</v>
      </c>
      <c r="F1168" t="s">
        <v>13913</v>
      </c>
      <c r="G1168" t="s">
        <v>32</v>
      </c>
      <c r="H1168" t="str">
        <f>"Pacsin2"</f>
        <v>Pacsin2</v>
      </c>
      <c r="I1168" t="s">
        <v>32</v>
      </c>
      <c r="J1168" t="s">
        <v>37</v>
      </c>
      <c r="K1168">
        <v>10090</v>
      </c>
      <c r="L1168" s="3" t="str">
        <f>HYPERLINK("http://www.uniprot.org/uniprot/Q9WVE8", "Q9WVE8")</f>
        <v>Q9WVE8</v>
      </c>
      <c r="M1168" t="s">
        <v>13914</v>
      </c>
      <c r="N1168" t="str">
        <f>"Pacsin2"</f>
        <v>Pacsin2</v>
      </c>
      <c r="O1168" s="3" t="str">
        <f>HYPERLINK("http://www.informatics.jax.org/marker/MGI:1345153", "MGI:1345153")</f>
        <v>MGI:1345153</v>
      </c>
      <c r="P1168" t="s">
        <v>13915</v>
      </c>
      <c r="Q1168" t="s">
        <v>2822</v>
      </c>
      <c r="R1168" t="s">
        <v>13916</v>
      </c>
      <c r="S1168" t="s">
        <v>32</v>
      </c>
      <c r="T1168" t="s">
        <v>32</v>
      </c>
      <c r="U1168" t="s">
        <v>32</v>
      </c>
      <c r="V1168" t="s">
        <v>1606</v>
      </c>
      <c r="W1168" t="s">
        <v>584</v>
      </c>
      <c r="X1168" t="s">
        <v>32</v>
      </c>
      <c r="Y1168" t="s">
        <v>157</v>
      </c>
      <c r="Z1168" t="s">
        <v>126</v>
      </c>
      <c r="AA1168" t="s">
        <v>13917</v>
      </c>
      <c r="AB1168" t="s">
        <v>13918</v>
      </c>
      <c r="AC1168" t="s">
        <v>13919</v>
      </c>
      <c r="AD1168" t="s">
        <v>32</v>
      </c>
      <c r="AE1168" t="s">
        <v>4859</v>
      </c>
      <c r="AF1168" t="s">
        <v>46835</v>
      </c>
    </row>
    <row r="1169" spans="1:33" x14ac:dyDescent="0.2">
      <c r="A1169">
        <v>1164</v>
      </c>
      <c r="B1169" t="s">
        <v>13920</v>
      </c>
      <c r="C1169" t="s">
        <v>13921</v>
      </c>
      <c r="D1169" t="s">
        <v>13922</v>
      </c>
      <c r="E1169" t="s">
        <v>13923</v>
      </c>
      <c r="F1169" t="s">
        <v>13924</v>
      </c>
      <c r="G1169" t="s">
        <v>13925</v>
      </c>
      <c r="H1169" t="str">
        <f>"Tnpo2"</f>
        <v>Tnpo2</v>
      </c>
      <c r="I1169" t="s">
        <v>32</v>
      </c>
      <c r="J1169" t="s">
        <v>37</v>
      </c>
      <c r="K1169">
        <v>10090</v>
      </c>
      <c r="L1169" s="3" t="str">
        <f>HYPERLINK("http://www.uniprot.org/uniprot/Q99LG2", "Q99LG2")</f>
        <v>Q99LG2</v>
      </c>
      <c r="M1169" t="s">
        <v>13926</v>
      </c>
      <c r="N1169" t="str">
        <f>"Tnpo2"</f>
        <v>Tnpo2</v>
      </c>
      <c r="O1169" s="3" t="str">
        <f>HYPERLINK("http://www.informatics.jax.org/marker/MGI:2384849", "MGI:2384849")</f>
        <v>MGI:2384849</v>
      </c>
      <c r="P1169" t="s">
        <v>9884</v>
      </c>
      <c r="Q1169" t="s">
        <v>434</v>
      </c>
      <c r="R1169" t="s">
        <v>40</v>
      </c>
      <c r="S1169" t="s">
        <v>32</v>
      </c>
      <c r="T1169" t="s">
        <v>32</v>
      </c>
      <c r="U1169" t="s">
        <v>32</v>
      </c>
      <c r="V1169" t="s">
        <v>55</v>
      </c>
      <c r="W1169" t="s">
        <v>32</v>
      </c>
      <c r="X1169" t="s">
        <v>32</v>
      </c>
      <c r="Y1169" t="s">
        <v>78</v>
      </c>
      <c r="Z1169" t="s">
        <v>32</v>
      </c>
      <c r="AA1169" t="s">
        <v>13927</v>
      </c>
      <c r="AB1169" t="s">
        <v>110</v>
      </c>
      <c r="AC1169" t="s">
        <v>436</v>
      </c>
      <c r="AD1169" t="s">
        <v>32</v>
      </c>
      <c r="AE1169" t="s">
        <v>32</v>
      </c>
      <c r="AF1169" t="s">
        <v>46835</v>
      </c>
    </row>
    <row r="1170" spans="1:33" x14ac:dyDescent="0.2">
      <c r="A1170">
        <v>1165</v>
      </c>
      <c r="B1170" t="s">
        <v>13928</v>
      </c>
      <c r="C1170" t="s">
        <v>13929</v>
      </c>
      <c r="D1170" t="s">
        <v>32</v>
      </c>
      <c r="E1170" t="s">
        <v>13930</v>
      </c>
      <c r="F1170" t="s">
        <v>13931</v>
      </c>
      <c r="G1170" t="s">
        <v>13932</v>
      </c>
      <c r="H1170" t="str">
        <f>"Snrpa"</f>
        <v>Snrpa</v>
      </c>
      <c r="I1170" t="s">
        <v>13933</v>
      </c>
      <c r="J1170" t="s">
        <v>37</v>
      </c>
      <c r="K1170">
        <v>10090</v>
      </c>
      <c r="L1170" s="3" t="str">
        <f>HYPERLINK("http://www.uniprot.org/uniprot/Q62189", "Q62189")</f>
        <v>Q62189</v>
      </c>
      <c r="M1170" t="s">
        <v>13934</v>
      </c>
      <c r="N1170" t="str">
        <f>"Snrpa"</f>
        <v>Snrpa</v>
      </c>
      <c r="O1170" s="3" t="str">
        <f>HYPERLINK("http://www.informatics.jax.org/marker/MGI:1855690", "MGI:1855690")</f>
        <v>MGI:1855690</v>
      </c>
      <c r="P1170" t="s">
        <v>13935</v>
      </c>
      <c r="Q1170" t="s">
        <v>2139</v>
      </c>
      <c r="R1170" t="s">
        <v>2140</v>
      </c>
      <c r="S1170" t="s">
        <v>32</v>
      </c>
      <c r="T1170" t="s">
        <v>32</v>
      </c>
      <c r="U1170" t="s">
        <v>32</v>
      </c>
      <c r="V1170" t="s">
        <v>55</v>
      </c>
      <c r="W1170" t="s">
        <v>32</v>
      </c>
      <c r="X1170" t="s">
        <v>1129</v>
      </c>
      <c r="Y1170" t="s">
        <v>57</v>
      </c>
      <c r="Z1170" t="s">
        <v>32</v>
      </c>
      <c r="AA1170" t="s">
        <v>13936</v>
      </c>
      <c r="AB1170" t="s">
        <v>13937</v>
      </c>
      <c r="AC1170" t="s">
        <v>13938</v>
      </c>
      <c r="AD1170" t="s">
        <v>32</v>
      </c>
      <c r="AE1170" t="s">
        <v>946</v>
      </c>
      <c r="AF1170" t="s">
        <v>46835</v>
      </c>
    </row>
    <row r="1171" spans="1:33" x14ac:dyDescent="0.2">
      <c r="A1171">
        <v>1166</v>
      </c>
      <c r="B1171" t="s">
        <v>13939</v>
      </c>
      <c r="C1171" t="s">
        <v>13940</v>
      </c>
      <c r="D1171" t="s">
        <v>13941</v>
      </c>
      <c r="E1171" t="s">
        <v>13942</v>
      </c>
      <c r="F1171" t="s">
        <v>13943</v>
      </c>
      <c r="G1171" t="s">
        <v>13944</v>
      </c>
      <c r="H1171" t="str">
        <f>"Rrm1"</f>
        <v>Rrm1</v>
      </c>
      <c r="I1171" t="s">
        <v>32</v>
      </c>
      <c r="J1171" t="s">
        <v>37</v>
      </c>
      <c r="K1171">
        <v>10090</v>
      </c>
      <c r="L1171" s="3" t="str">
        <f>HYPERLINK("http://www.uniprot.org/uniprot/P07742", "P07742")</f>
        <v>P07742</v>
      </c>
      <c r="M1171" t="s">
        <v>13945</v>
      </c>
      <c r="N1171" t="str">
        <f>"Rrm1"</f>
        <v>Rrm1</v>
      </c>
      <c r="O1171" s="3" t="str">
        <f>HYPERLINK("http://www.informatics.jax.org/marker/MGI:98180", "MGI:98180")</f>
        <v>MGI:98180</v>
      </c>
      <c r="P1171" t="s">
        <v>13946</v>
      </c>
      <c r="Q1171" t="s">
        <v>13947</v>
      </c>
      <c r="R1171" t="s">
        <v>418</v>
      </c>
      <c r="S1171" t="s">
        <v>32</v>
      </c>
      <c r="T1171" t="s">
        <v>32</v>
      </c>
      <c r="U1171" t="s">
        <v>32</v>
      </c>
      <c r="V1171" t="s">
        <v>32</v>
      </c>
      <c r="W1171" t="s">
        <v>205</v>
      </c>
      <c r="X1171" t="s">
        <v>13948</v>
      </c>
      <c r="Y1171" t="s">
        <v>480</v>
      </c>
      <c r="Z1171" t="s">
        <v>32</v>
      </c>
      <c r="AA1171" t="s">
        <v>13949</v>
      </c>
      <c r="AB1171" t="s">
        <v>13950</v>
      </c>
      <c r="AC1171" t="s">
        <v>13951</v>
      </c>
      <c r="AD1171" t="s">
        <v>13952</v>
      </c>
      <c r="AE1171" t="s">
        <v>6139</v>
      </c>
      <c r="AF1171" t="s">
        <v>46835</v>
      </c>
    </row>
    <row r="1172" spans="1:33" x14ac:dyDescent="0.2">
      <c r="A1172">
        <v>1167</v>
      </c>
      <c r="B1172" t="s">
        <v>13953</v>
      </c>
      <c r="C1172" t="s">
        <v>13954</v>
      </c>
      <c r="D1172" t="s">
        <v>13955</v>
      </c>
      <c r="E1172" t="s">
        <v>13956</v>
      </c>
      <c r="F1172" t="s">
        <v>13957</v>
      </c>
      <c r="G1172" t="s">
        <v>13958</v>
      </c>
      <c r="H1172" t="str">
        <f>"Ctsa"</f>
        <v>Ctsa</v>
      </c>
      <c r="I1172" t="s">
        <v>13959</v>
      </c>
      <c r="J1172" t="s">
        <v>37</v>
      </c>
      <c r="K1172">
        <v>10090</v>
      </c>
      <c r="L1172" s="3" t="str">
        <f>HYPERLINK("http://www.uniprot.org/uniprot/P16675", "P16675")</f>
        <v>P16675</v>
      </c>
      <c r="M1172" t="s">
        <v>13960</v>
      </c>
      <c r="N1172" t="str">
        <f>"Ctsa"</f>
        <v>Ctsa</v>
      </c>
      <c r="O1172" s="3" t="str">
        <f>HYPERLINK("http://www.informatics.jax.org/marker/MGI:97748", "MGI:97748")</f>
        <v>MGI:97748</v>
      </c>
      <c r="P1172" t="s">
        <v>13961</v>
      </c>
      <c r="Q1172" t="s">
        <v>32</v>
      </c>
      <c r="R1172" t="s">
        <v>13962</v>
      </c>
      <c r="S1172" t="s">
        <v>32</v>
      </c>
      <c r="T1172" t="s">
        <v>32</v>
      </c>
      <c r="U1172" t="s">
        <v>32</v>
      </c>
      <c r="V1172" t="s">
        <v>811</v>
      </c>
      <c r="W1172" t="s">
        <v>32</v>
      </c>
      <c r="X1172" t="s">
        <v>13963</v>
      </c>
      <c r="Y1172" t="s">
        <v>5781</v>
      </c>
      <c r="Z1172" t="s">
        <v>126</v>
      </c>
      <c r="AA1172" t="s">
        <v>13964</v>
      </c>
      <c r="AB1172" t="s">
        <v>13965</v>
      </c>
      <c r="AC1172" t="s">
        <v>13966</v>
      </c>
      <c r="AD1172" t="s">
        <v>32</v>
      </c>
      <c r="AE1172" t="s">
        <v>13967</v>
      </c>
      <c r="AF1172" t="s">
        <v>46835</v>
      </c>
    </row>
    <row r="1173" spans="1:33" x14ac:dyDescent="0.2">
      <c r="A1173">
        <v>1168</v>
      </c>
      <c r="B1173" t="s">
        <v>13968</v>
      </c>
      <c r="C1173" t="s">
        <v>13969</v>
      </c>
      <c r="D1173" t="s">
        <v>32</v>
      </c>
      <c r="E1173" t="s">
        <v>13970</v>
      </c>
      <c r="F1173" t="s">
        <v>13971</v>
      </c>
      <c r="G1173" t="s">
        <v>13972</v>
      </c>
      <c r="H1173" t="str">
        <f>"Arglu1"</f>
        <v>Arglu1</v>
      </c>
      <c r="I1173" t="s">
        <v>32</v>
      </c>
      <c r="J1173" t="s">
        <v>37</v>
      </c>
      <c r="K1173">
        <v>10090</v>
      </c>
      <c r="L1173" s="3" t="str">
        <f>HYPERLINK("http://www.uniprot.org/uniprot/Q3UL36", "Q3UL36")</f>
        <v>Q3UL36</v>
      </c>
      <c r="M1173" t="s">
        <v>13973</v>
      </c>
      <c r="N1173" t="str">
        <f>"Arglu1"</f>
        <v>Arglu1</v>
      </c>
      <c r="O1173" s="3" t="str">
        <f>HYPERLINK("http://www.informatics.jax.org/marker/MGI:2442985", "MGI:2442985")</f>
        <v>MGI:2442985</v>
      </c>
      <c r="P1173" t="s">
        <v>13974</v>
      </c>
      <c r="Q1173" t="s">
        <v>32</v>
      </c>
      <c r="R1173" t="s">
        <v>32</v>
      </c>
      <c r="S1173" t="s">
        <v>41</v>
      </c>
      <c r="T1173" t="s">
        <v>32</v>
      </c>
      <c r="U1173" t="s">
        <v>32</v>
      </c>
      <c r="V1173" t="s">
        <v>32</v>
      </c>
      <c r="W1173" t="s">
        <v>32</v>
      </c>
      <c r="X1173" t="s">
        <v>32</v>
      </c>
      <c r="Y1173" t="s">
        <v>618</v>
      </c>
      <c r="Z1173" t="s">
        <v>32</v>
      </c>
      <c r="AA1173" t="s">
        <v>32</v>
      </c>
      <c r="AB1173" t="s">
        <v>5336</v>
      </c>
      <c r="AC1173" t="s">
        <v>32</v>
      </c>
      <c r="AD1173" t="s">
        <v>32</v>
      </c>
      <c r="AE1173" t="s">
        <v>32</v>
      </c>
      <c r="AF1173" t="s">
        <v>46835</v>
      </c>
    </row>
    <row r="1174" spans="1:33" x14ac:dyDescent="0.2">
      <c r="A1174">
        <v>1169</v>
      </c>
      <c r="B1174" t="s">
        <v>13975</v>
      </c>
      <c r="C1174" t="s">
        <v>13976</v>
      </c>
      <c r="D1174" t="s">
        <v>13977</v>
      </c>
      <c r="E1174" t="s">
        <v>13978</v>
      </c>
      <c r="F1174" t="s">
        <v>13979</v>
      </c>
      <c r="G1174" t="s">
        <v>13980</v>
      </c>
      <c r="H1174" t="str">
        <f>"Grb2"</f>
        <v>Grb2</v>
      </c>
      <c r="I1174" t="s">
        <v>32</v>
      </c>
      <c r="J1174" t="s">
        <v>37</v>
      </c>
      <c r="K1174">
        <v>10090</v>
      </c>
      <c r="L1174" s="3" t="str">
        <f>HYPERLINK("http://www.uniprot.org/uniprot/Q60631", "Q60631")</f>
        <v>Q60631</v>
      </c>
      <c r="M1174" t="s">
        <v>13981</v>
      </c>
      <c r="N1174" t="str">
        <f>"Grb2"</f>
        <v>Grb2</v>
      </c>
      <c r="O1174" s="3" t="str">
        <f>HYPERLINK("http://www.informatics.jax.org/marker/MGI:95805", "MGI:95805")</f>
        <v>MGI:95805</v>
      </c>
      <c r="P1174" t="s">
        <v>13982</v>
      </c>
      <c r="Q1174" t="s">
        <v>32</v>
      </c>
      <c r="R1174" t="s">
        <v>13983</v>
      </c>
      <c r="S1174" t="s">
        <v>41</v>
      </c>
      <c r="T1174" t="s">
        <v>32</v>
      </c>
      <c r="U1174" t="s">
        <v>32</v>
      </c>
      <c r="V1174" t="s">
        <v>9656</v>
      </c>
      <c r="W1174" t="s">
        <v>32</v>
      </c>
      <c r="X1174" t="s">
        <v>32</v>
      </c>
      <c r="Y1174" t="s">
        <v>157</v>
      </c>
      <c r="Z1174" t="s">
        <v>126</v>
      </c>
      <c r="AA1174" t="s">
        <v>13984</v>
      </c>
      <c r="AB1174" t="s">
        <v>13985</v>
      </c>
      <c r="AC1174" t="s">
        <v>13986</v>
      </c>
      <c r="AD1174" t="s">
        <v>32</v>
      </c>
      <c r="AE1174" t="s">
        <v>13987</v>
      </c>
      <c r="AF1174" t="s">
        <v>46835</v>
      </c>
    </row>
    <row r="1175" spans="1:33" x14ac:dyDescent="0.2">
      <c r="A1175">
        <v>1170</v>
      </c>
      <c r="B1175" t="s">
        <v>13988</v>
      </c>
      <c r="C1175" t="s">
        <v>13989</v>
      </c>
      <c r="D1175" t="s">
        <v>13990</v>
      </c>
      <c r="E1175" t="s">
        <v>13991</v>
      </c>
      <c r="F1175" t="s">
        <v>13992</v>
      </c>
      <c r="G1175" t="s">
        <v>13993</v>
      </c>
      <c r="H1175" t="str">
        <f>"Ogt"</f>
        <v>Ogt</v>
      </c>
      <c r="I1175" t="s">
        <v>32</v>
      </c>
      <c r="J1175" t="s">
        <v>37</v>
      </c>
      <c r="K1175">
        <v>10090</v>
      </c>
      <c r="L1175" s="3" t="str">
        <f>HYPERLINK("http://www.uniprot.org/uniprot/Q8CGY8", "Q8CGY8")</f>
        <v>Q8CGY8</v>
      </c>
      <c r="M1175" t="s">
        <v>13994</v>
      </c>
      <c r="N1175" t="str">
        <f>"Ogt"</f>
        <v>Ogt</v>
      </c>
      <c r="O1175" s="3" t="str">
        <f>HYPERLINK("http://www.informatics.jax.org/marker/MGI:1339639", "MGI:1339639")</f>
        <v>MGI:1339639</v>
      </c>
      <c r="P1175" t="s">
        <v>13995</v>
      </c>
      <c r="Q1175" t="s">
        <v>9465</v>
      </c>
      <c r="R1175" t="s">
        <v>13996</v>
      </c>
      <c r="S1175" t="s">
        <v>41</v>
      </c>
      <c r="T1175" t="s">
        <v>32</v>
      </c>
      <c r="U1175" t="s">
        <v>32</v>
      </c>
      <c r="V1175" t="s">
        <v>995</v>
      </c>
      <c r="W1175" t="s">
        <v>584</v>
      </c>
      <c r="X1175" t="s">
        <v>13997</v>
      </c>
      <c r="Y1175" t="s">
        <v>13998</v>
      </c>
      <c r="Z1175" t="s">
        <v>32</v>
      </c>
      <c r="AA1175" t="s">
        <v>13999</v>
      </c>
      <c r="AB1175" t="s">
        <v>14000</v>
      </c>
      <c r="AC1175" t="s">
        <v>14001</v>
      </c>
      <c r="AD1175" t="s">
        <v>3952</v>
      </c>
      <c r="AE1175" t="s">
        <v>14002</v>
      </c>
      <c r="AF1175" t="s">
        <v>46835</v>
      </c>
    </row>
    <row r="1176" spans="1:33" x14ac:dyDescent="0.2">
      <c r="A1176">
        <v>1171</v>
      </c>
      <c r="B1176" t="s">
        <v>14003</v>
      </c>
      <c r="C1176" t="s">
        <v>14004</v>
      </c>
      <c r="D1176" t="s">
        <v>14005</v>
      </c>
      <c r="E1176" t="s">
        <v>14006</v>
      </c>
      <c r="F1176" t="s">
        <v>14007</v>
      </c>
      <c r="G1176" t="s">
        <v>32</v>
      </c>
      <c r="H1176" t="str">
        <f>"Ergic1"</f>
        <v>Ergic1</v>
      </c>
      <c r="I1176" t="s">
        <v>14008</v>
      </c>
      <c r="J1176" t="s">
        <v>37</v>
      </c>
      <c r="K1176">
        <v>10090</v>
      </c>
      <c r="L1176" s="3" t="str">
        <f>HYPERLINK("http://www.uniprot.org/uniprot/Q9DC16", "Q9DC16")</f>
        <v>Q9DC16</v>
      </c>
      <c r="M1176" t="s">
        <v>14009</v>
      </c>
      <c r="N1176" t="str">
        <f>"Ergic1"</f>
        <v>Ergic1</v>
      </c>
      <c r="O1176" s="3" t="str">
        <f>HYPERLINK("http://www.informatics.jax.org/marker/MGI:1914708", "MGI:1914708")</f>
        <v>MGI:1914708</v>
      </c>
      <c r="P1176" t="s">
        <v>14010</v>
      </c>
      <c r="Q1176" t="s">
        <v>14011</v>
      </c>
      <c r="R1176" t="s">
        <v>11259</v>
      </c>
      <c r="S1176" t="s">
        <v>32</v>
      </c>
      <c r="T1176" t="s">
        <v>32</v>
      </c>
      <c r="U1176" t="s">
        <v>32</v>
      </c>
      <c r="V1176" t="s">
        <v>493</v>
      </c>
      <c r="W1176" t="s">
        <v>32</v>
      </c>
      <c r="X1176" t="s">
        <v>32</v>
      </c>
      <c r="Y1176" t="s">
        <v>3733</v>
      </c>
      <c r="Z1176" t="s">
        <v>32</v>
      </c>
      <c r="AA1176" t="s">
        <v>14012</v>
      </c>
      <c r="AB1176" t="s">
        <v>14013</v>
      </c>
      <c r="AC1176" t="s">
        <v>32</v>
      </c>
      <c r="AD1176" t="s">
        <v>32</v>
      </c>
      <c r="AE1176" t="s">
        <v>32</v>
      </c>
      <c r="AF1176" t="s">
        <v>46835</v>
      </c>
    </row>
    <row r="1177" spans="1:33" x14ac:dyDescent="0.2">
      <c r="A1177">
        <v>1172</v>
      </c>
      <c r="B1177" t="s">
        <v>14014</v>
      </c>
      <c r="C1177" t="s">
        <v>14015</v>
      </c>
      <c r="D1177" t="s">
        <v>32</v>
      </c>
      <c r="E1177" t="s">
        <v>14016</v>
      </c>
      <c r="F1177" t="s">
        <v>14017</v>
      </c>
      <c r="G1177" t="s">
        <v>14018</v>
      </c>
      <c r="H1177" t="str">
        <f>"Abcf2"</f>
        <v>Abcf2</v>
      </c>
      <c r="I1177" t="s">
        <v>32</v>
      </c>
      <c r="J1177" t="s">
        <v>37</v>
      </c>
      <c r="K1177">
        <v>10090</v>
      </c>
      <c r="L1177" s="3" t="str">
        <f>HYPERLINK("http://www.uniprot.org/uniprot/Q99LE6", "Q99LE6")</f>
        <v>Q99LE6</v>
      </c>
      <c r="M1177" t="s">
        <v>14019</v>
      </c>
      <c r="N1177" t="str">
        <f>"Abcf2"</f>
        <v>Abcf2</v>
      </c>
      <c r="O1177" s="3" t="str">
        <f>HYPERLINK("http://www.informatics.jax.org/marker/MGI:1351657", "MGI:1351657")</f>
        <v>MGI:1351657</v>
      </c>
      <c r="P1177" t="s">
        <v>14020</v>
      </c>
      <c r="Q1177" t="s">
        <v>32</v>
      </c>
      <c r="R1177" t="s">
        <v>32</v>
      </c>
      <c r="S1177" t="s">
        <v>32</v>
      </c>
      <c r="T1177" t="s">
        <v>32</v>
      </c>
      <c r="U1177" t="s">
        <v>32</v>
      </c>
      <c r="V1177" t="s">
        <v>55</v>
      </c>
      <c r="W1177" t="s">
        <v>205</v>
      </c>
      <c r="X1177" t="s">
        <v>32</v>
      </c>
      <c r="Y1177" t="s">
        <v>157</v>
      </c>
      <c r="Z1177" t="s">
        <v>32</v>
      </c>
      <c r="AA1177" t="s">
        <v>32</v>
      </c>
      <c r="AB1177" t="s">
        <v>3721</v>
      </c>
      <c r="AC1177" t="s">
        <v>12108</v>
      </c>
      <c r="AD1177" t="s">
        <v>32</v>
      </c>
      <c r="AE1177" t="s">
        <v>32</v>
      </c>
      <c r="AF1177" t="s">
        <v>46835</v>
      </c>
    </row>
    <row r="1178" spans="1:33" x14ac:dyDescent="0.2">
      <c r="A1178">
        <v>1173</v>
      </c>
      <c r="B1178" t="s">
        <v>14021</v>
      </c>
      <c r="C1178" t="s">
        <v>47143</v>
      </c>
      <c r="D1178" t="s">
        <v>32</v>
      </c>
      <c r="E1178" t="s">
        <v>46886</v>
      </c>
      <c r="F1178" t="s">
        <v>46885</v>
      </c>
      <c r="G1178" t="s">
        <v>32</v>
      </c>
      <c r="H1178" t="s">
        <v>47274</v>
      </c>
      <c r="I1178" t="s">
        <v>32</v>
      </c>
      <c r="J1178" t="s">
        <v>37</v>
      </c>
      <c r="K1178">
        <v>10090</v>
      </c>
      <c r="L1178" s="3" t="str">
        <f>HYPERLINK(CONCATENATE("https://www.uniprot.org/uniprotkb/", AG1178, "/entry"), AG1178)</f>
        <v>Q7M6Y3</v>
      </c>
      <c r="M1178" t="s">
        <v>32</v>
      </c>
      <c r="N1178" t="s">
        <v>32</v>
      </c>
      <c r="O1178" s="3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t="s">
        <v>32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t="s">
        <v>46835</v>
      </c>
      <c r="AG1178" t="s">
        <v>46885</v>
      </c>
    </row>
    <row r="1179" spans="1:33" x14ac:dyDescent="0.2">
      <c r="A1179">
        <v>1174</v>
      </c>
      <c r="B1179" t="s">
        <v>14022</v>
      </c>
      <c r="C1179" t="s">
        <v>14023</v>
      </c>
      <c r="D1179" t="s">
        <v>32</v>
      </c>
      <c r="E1179" t="s">
        <v>14024</v>
      </c>
      <c r="F1179" t="s">
        <v>14025</v>
      </c>
      <c r="G1179" t="s">
        <v>32</v>
      </c>
      <c r="H1179" t="str">
        <f>"Por"</f>
        <v>Por</v>
      </c>
      <c r="I1179" t="s">
        <v>32</v>
      </c>
      <c r="J1179" t="s">
        <v>37</v>
      </c>
      <c r="K1179">
        <v>10090</v>
      </c>
      <c r="L1179" s="3" t="str">
        <f>HYPERLINK("http://www.uniprot.org/uniprot/P37040", "P37040")</f>
        <v>P37040</v>
      </c>
      <c r="M1179" t="s">
        <v>14026</v>
      </c>
      <c r="N1179" t="str">
        <f>"Por"</f>
        <v>Por</v>
      </c>
      <c r="O1179" s="3" t="str">
        <f>HYPERLINK("http://www.informatics.jax.org/marker/MGI:97744", "MGI:97744")</f>
        <v>MGI:97744</v>
      </c>
      <c r="P1179" t="s">
        <v>14027</v>
      </c>
      <c r="Q1179" t="s">
        <v>32</v>
      </c>
      <c r="R1179" t="s">
        <v>1664</v>
      </c>
      <c r="S1179" t="s">
        <v>32</v>
      </c>
      <c r="T1179" t="s">
        <v>32</v>
      </c>
      <c r="U1179" t="s">
        <v>32</v>
      </c>
      <c r="V1179" t="s">
        <v>493</v>
      </c>
      <c r="W1179" t="s">
        <v>14028</v>
      </c>
      <c r="X1179" t="s">
        <v>600</v>
      </c>
      <c r="Y1179" t="s">
        <v>78</v>
      </c>
      <c r="Z1179" t="s">
        <v>32</v>
      </c>
      <c r="AA1179" t="s">
        <v>14029</v>
      </c>
      <c r="AB1179" t="s">
        <v>14030</v>
      </c>
      <c r="AC1179" t="s">
        <v>14031</v>
      </c>
      <c r="AD1179" t="s">
        <v>32</v>
      </c>
      <c r="AE1179" t="s">
        <v>32</v>
      </c>
      <c r="AF1179" t="s">
        <v>46835</v>
      </c>
    </row>
    <row r="1180" spans="1:33" x14ac:dyDescent="0.2">
      <c r="A1180">
        <v>1175</v>
      </c>
      <c r="B1180" t="s">
        <v>14032</v>
      </c>
      <c r="C1180" t="s">
        <v>14033</v>
      </c>
      <c r="D1180" t="s">
        <v>14034</v>
      </c>
      <c r="E1180" t="s">
        <v>14035</v>
      </c>
      <c r="F1180" t="s">
        <v>14036</v>
      </c>
      <c r="G1180" t="s">
        <v>32</v>
      </c>
      <c r="H1180" t="str">
        <f>"Rbp1"</f>
        <v>Rbp1</v>
      </c>
      <c r="I1180" t="s">
        <v>14037</v>
      </c>
      <c r="J1180" t="s">
        <v>37</v>
      </c>
      <c r="K1180">
        <v>10090</v>
      </c>
      <c r="L1180" s="3" t="str">
        <f>HYPERLINK("http://www.uniprot.org/uniprot/Q00915", "Q00915")</f>
        <v>Q00915</v>
      </c>
      <c r="M1180" t="s">
        <v>14038</v>
      </c>
      <c r="N1180" t="str">
        <f>"Rbp1"</f>
        <v>Rbp1</v>
      </c>
      <c r="O1180" s="3" t="str">
        <f>HYPERLINK("http://www.informatics.jax.org/marker/MGI:97876", "MGI:97876")</f>
        <v>MGI:97876</v>
      </c>
      <c r="P1180" t="s">
        <v>14039</v>
      </c>
      <c r="Q1180" t="s">
        <v>4425</v>
      </c>
      <c r="R1180" t="s">
        <v>14040</v>
      </c>
      <c r="S1180" t="s">
        <v>32</v>
      </c>
      <c r="T1180" t="s">
        <v>32</v>
      </c>
      <c r="U1180" t="s">
        <v>32</v>
      </c>
      <c r="V1180" t="s">
        <v>32</v>
      </c>
      <c r="W1180" t="s">
        <v>14041</v>
      </c>
      <c r="X1180" t="s">
        <v>32</v>
      </c>
      <c r="Y1180" t="s">
        <v>32</v>
      </c>
      <c r="Z1180" t="s">
        <v>32</v>
      </c>
      <c r="AA1180" t="s">
        <v>14042</v>
      </c>
      <c r="AB1180" t="s">
        <v>14043</v>
      </c>
      <c r="AC1180" t="s">
        <v>14044</v>
      </c>
      <c r="AD1180" t="s">
        <v>32</v>
      </c>
      <c r="AE1180" t="s">
        <v>14045</v>
      </c>
      <c r="AF1180" t="s">
        <v>46835</v>
      </c>
    </row>
    <row r="1181" spans="1:33" x14ac:dyDescent="0.2">
      <c r="A1181">
        <v>1176</v>
      </c>
      <c r="B1181" t="s">
        <v>14046</v>
      </c>
      <c r="C1181" t="s">
        <v>14047</v>
      </c>
      <c r="D1181" t="s">
        <v>14048</v>
      </c>
      <c r="E1181" t="s">
        <v>14049</v>
      </c>
      <c r="F1181" t="s">
        <v>14050</v>
      </c>
      <c r="G1181" t="s">
        <v>32</v>
      </c>
      <c r="H1181" t="str">
        <f>"Vta1"</f>
        <v>Vta1</v>
      </c>
      <c r="I1181" t="s">
        <v>32</v>
      </c>
      <c r="J1181" t="s">
        <v>37</v>
      </c>
      <c r="K1181">
        <v>10090</v>
      </c>
      <c r="L1181" s="3" t="str">
        <f>HYPERLINK("http://www.uniprot.org/uniprot/Q9CR26", "Q9CR26")</f>
        <v>Q9CR26</v>
      </c>
      <c r="M1181" t="s">
        <v>14051</v>
      </c>
      <c r="N1181" t="str">
        <f>"Vta1"</f>
        <v>Vta1</v>
      </c>
      <c r="O1181" s="3" t="str">
        <f>HYPERLINK("http://www.informatics.jax.org/marker/MGI:1913451", "MGI:1913451")</f>
        <v>MGI:1913451</v>
      </c>
      <c r="P1181" t="s">
        <v>14052</v>
      </c>
      <c r="Q1181" t="s">
        <v>434</v>
      </c>
      <c r="R1181" t="s">
        <v>6558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t="s">
        <v>78</v>
      </c>
      <c r="Z1181" t="s">
        <v>32</v>
      </c>
      <c r="AA1181" t="s">
        <v>14053</v>
      </c>
      <c r="AB1181" t="s">
        <v>14054</v>
      </c>
      <c r="AC1181" t="s">
        <v>9944</v>
      </c>
      <c r="AD1181" t="s">
        <v>32</v>
      </c>
      <c r="AE1181" t="s">
        <v>14055</v>
      </c>
      <c r="AF1181" t="s">
        <v>46835</v>
      </c>
    </row>
    <row r="1182" spans="1:33" x14ac:dyDescent="0.2">
      <c r="A1182">
        <v>1177</v>
      </c>
      <c r="B1182" t="s">
        <v>14056</v>
      </c>
      <c r="C1182" t="s">
        <v>14057</v>
      </c>
      <c r="D1182" t="s">
        <v>14058</v>
      </c>
      <c r="E1182" t="s">
        <v>14059</v>
      </c>
      <c r="F1182" t="s">
        <v>14060</v>
      </c>
      <c r="G1182" t="s">
        <v>14061</v>
      </c>
      <c r="H1182" t="str">
        <f>"Csnk2b"</f>
        <v>Csnk2b</v>
      </c>
      <c r="I1182" t="s">
        <v>14062</v>
      </c>
      <c r="J1182" t="s">
        <v>37</v>
      </c>
      <c r="K1182">
        <v>10090</v>
      </c>
      <c r="L1182" s="3" t="str">
        <f>HYPERLINK("http://www.uniprot.org/uniprot/P67871", "P67871")</f>
        <v>P67871</v>
      </c>
      <c r="M1182" t="s">
        <v>14063</v>
      </c>
      <c r="N1182" t="str">
        <f>"Csnk2b"</f>
        <v>Csnk2b</v>
      </c>
      <c r="O1182" s="3" t="str">
        <f>HYPERLINK("http://www.informatics.jax.org/marker/MGI:88548", "MGI:88548")</f>
        <v>MGI:88548</v>
      </c>
      <c r="P1182" t="s">
        <v>14064</v>
      </c>
      <c r="Q1182" t="s">
        <v>3043</v>
      </c>
      <c r="R1182" t="s">
        <v>32</v>
      </c>
      <c r="S1182" t="s">
        <v>32</v>
      </c>
      <c r="T1182" t="s">
        <v>32</v>
      </c>
      <c r="U1182" t="s">
        <v>32</v>
      </c>
      <c r="V1182" t="s">
        <v>32</v>
      </c>
      <c r="W1182" t="s">
        <v>42</v>
      </c>
      <c r="X1182" t="s">
        <v>32</v>
      </c>
      <c r="Y1182" t="s">
        <v>516</v>
      </c>
      <c r="Z1182" t="s">
        <v>32</v>
      </c>
      <c r="AA1182" t="s">
        <v>14065</v>
      </c>
      <c r="AB1182" t="s">
        <v>14066</v>
      </c>
      <c r="AC1182" t="s">
        <v>14067</v>
      </c>
      <c r="AD1182" t="s">
        <v>32</v>
      </c>
      <c r="AE1182" t="s">
        <v>14068</v>
      </c>
      <c r="AF1182" t="s">
        <v>46835</v>
      </c>
    </row>
    <row r="1183" spans="1:33" x14ac:dyDescent="0.2">
      <c r="A1183">
        <v>1178</v>
      </c>
      <c r="B1183" t="s">
        <v>14069</v>
      </c>
      <c r="C1183" t="s">
        <v>14070</v>
      </c>
      <c r="D1183" t="s">
        <v>14071</v>
      </c>
      <c r="E1183" t="s">
        <v>14072</v>
      </c>
      <c r="F1183" t="s">
        <v>14073</v>
      </c>
      <c r="G1183" t="s">
        <v>32</v>
      </c>
      <c r="H1183" t="str">
        <f>"Srm"</f>
        <v>Srm</v>
      </c>
      <c r="I1183" t="s">
        <v>32</v>
      </c>
      <c r="J1183" t="s">
        <v>37</v>
      </c>
      <c r="K1183">
        <v>10090</v>
      </c>
      <c r="L1183" s="3" t="str">
        <f>HYPERLINK("http://www.uniprot.org/uniprot/Q64674", "Q64674")</f>
        <v>Q64674</v>
      </c>
      <c r="M1183" t="s">
        <v>14074</v>
      </c>
      <c r="N1183" t="str">
        <f>"Srm"</f>
        <v>Srm</v>
      </c>
      <c r="O1183" s="3" t="str">
        <f>HYPERLINK("http://www.informatics.jax.org/marker/MGI:102690", "MGI:102690")</f>
        <v>MGI:102690</v>
      </c>
      <c r="P1183" t="s">
        <v>14075</v>
      </c>
      <c r="Q1183" t="s">
        <v>14076</v>
      </c>
      <c r="R1183" t="s">
        <v>32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515</v>
      </c>
      <c r="Y1183" t="s">
        <v>78</v>
      </c>
      <c r="Z1183" t="s">
        <v>32</v>
      </c>
      <c r="AA1183" t="s">
        <v>14077</v>
      </c>
      <c r="AB1183" t="s">
        <v>32</v>
      </c>
      <c r="AC1183" t="s">
        <v>14078</v>
      </c>
      <c r="AD1183" t="s">
        <v>14079</v>
      </c>
      <c r="AE1183" t="s">
        <v>12095</v>
      </c>
      <c r="AF1183" t="s">
        <v>46835</v>
      </c>
    </row>
    <row r="1184" spans="1:33" x14ac:dyDescent="0.2">
      <c r="A1184">
        <v>1179</v>
      </c>
      <c r="B1184" t="s">
        <v>14080</v>
      </c>
      <c r="C1184" t="s">
        <v>14081</v>
      </c>
      <c r="D1184" t="s">
        <v>14082</v>
      </c>
      <c r="E1184" t="s">
        <v>14083</v>
      </c>
      <c r="F1184" t="s">
        <v>14084</v>
      </c>
      <c r="G1184" t="s">
        <v>14085</v>
      </c>
      <c r="H1184" t="str">
        <f>"Ecpas"</f>
        <v>Ecpas</v>
      </c>
      <c r="I1184" t="s">
        <v>14086</v>
      </c>
      <c r="J1184" t="s">
        <v>37</v>
      </c>
      <c r="K1184">
        <v>10090</v>
      </c>
      <c r="L1184" s="3" t="str">
        <f>HYPERLINK("http://www.uniprot.org/uniprot/Q6PDI5", "Q6PDI5")</f>
        <v>Q6PDI5</v>
      </c>
      <c r="M1184" t="s">
        <v>14087</v>
      </c>
      <c r="N1184" t="str">
        <f>"Ecpas"</f>
        <v>Ecpas</v>
      </c>
      <c r="O1184" s="3" t="str">
        <f>HYPERLINK("http://www.informatics.jax.org/marker/MGI:2140220", "MGI:2140220")</f>
        <v>MGI:2140220</v>
      </c>
      <c r="P1184" t="s">
        <v>14088</v>
      </c>
      <c r="Q1184" t="s">
        <v>32</v>
      </c>
      <c r="R1184" t="s">
        <v>14089</v>
      </c>
      <c r="S1184" t="s">
        <v>41</v>
      </c>
      <c r="T1184" t="s">
        <v>32</v>
      </c>
      <c r="U1184" t="s">
        <v>32</v>
      </c>
      <c r="V1184" t="s">
        <v>55</v>
      </c>
      <c r="W1184" t="s">
        <v>32</v>
      </c>
      <c r="X1184" t="s">
        <v>32</v>
      </c>
      <c r="Y1184" t="s">
        <v>1007</v>
      </c>
      <c r="Z1184" t="s">
        <v>32</v>
      </c>
      <c r="AA1184" t="s">
        <v>14090</v>
      </c>
      <c r="AB1184" t="s">
        <v>14091</v>
      </c>
      <c r="AC1184" t="s">
        <v>14092</v>
      </c>
      <c r="AD1184" t="s">
        <v>32</v>
      </c>
      <c r="AE1184" t="s">
        <v>32</v>
      </c>
      <c r="AF1184" t="s">
        <v>46835</v>
      </c>
    </row>
    <row r="1185" spans="1:32" x14ac:dyDescent="0.2">
      <c r="A1185">
        <v>1180</v>
      </c>
      <c r="B1185" t="s">
        <v>14093</v>
      </c>
      <c r="C1185" t="s">
        <v>14094</v>
      </c>
      <c r="D1185" t="s">
        <v>14095</v>
      </c>
      <c r="E1185" t="s">
        <v>14096</v>
      </c>
      <c r="F1185" t="s">
        <v>14097</v>
      </c>
      <c r="G1185" t="s">
        <v>14098</v>
      </c>
      <c r="H1185" t="str">
        <f>"Mtdh"</f>
        <v>Mtdh</v>
      </c>
      <c r="I1185" t="s">
        <v>14099</v>
      </c>
      <c r="J1185" t="s">
        <v>37</v>
      </c>
      <c r="K1185">
        <v>10090</v>
      </c>
      <c r="L1185" s="3" t="str">
        <f>HYPERLINK("http://www.uniprot.org/uniprot/Q80WJ7", "Q80WJ7")</f>
        <v>Q80WJ7</v>
      </c>
      <c r="M1185" t="s">
        <v>14100</v>
      </c>
      <c r="N1185" t="str">
        <f>"Mtdh"</f>
        <v>Mtdh</v>
      </c>
      <c r="O1185" s="3" t="str">
        <f>HYPERLINK("http://www.informatics.jax.org/marker/MGI:1914404", "MGI:1914404")</f>
        <v>MGI:1914404</v>
      </c>
      <c r="P1185" t="s">
        <v>14101</v>
      </c>
      <c r="Q1185" t="s">
        <v>32</v>
      </c>
      <c r="R1185" t="s">
        <v>14102</v>
      </c>
      <c r="S1185" t="s">
        <v>32</v>
      </c>
      <c r="T1185" t="s">
        <v>32</v>
      </c>
      <c r="U1185" t="s">
        <v>32</v>
      </c>
      <c r="V1185" t="s">
        <v>493</v>
      </c>
      <c r="W1185" t="s">
        <v>32</v>
      </c>
      <c r="X1185" t="s">
        <v>32</v>
      </c>
      <c r="Y1185" t="s">
        <v>157</v>
      </c>
      <c r="Z1185" t="s">
        <v>32</v>
      </c>
      <c r="AA1185" t="s">
        <v>14103</v>
      </c>
      <c r="AB1185" t="s">
        <v>14104</v>
      </c>
      <c r="AC1185" t="s">
        <v>14105</v>
      </c>
      <c r="AD1185" t="s">
        <v>32</v>
      </c>
      <c r="AE1185" t="s">
        <v>32</v>
      </c>
      <c r="AF1185" t="s">
        <v>46835</v>
      </c>
    </row>
    <row r="1186" spans="1:32" x14ac:dyDescent="0.2">
      <c r="A1186">
        <v>1181</v>
      </c>
      <c r="B1186" t="s">
        <v>14106</v>
      </c>
      <c r="C1186" t="s">
        <v>14107</v>
      </c>
      <c r="D1186" t="s">
        <v>14108</v>
      </c>
      <c r="E1186" t="s">
        <v>14109</v>
      </c>
      <c r="F1186" t="s">
        <v>14110</v>
      </c>
      <c r="G1186" t="s">
        <v>14111</v>
      </c>
      <c r="H1186" t="str">
        <f>"Ist1"</f>
        <v>Ist1</v>
      </c>
      <c r="I1186" t="s">
        <v>14112</v>
      </c>
      <c r="J1186" t="s">
        <v>37</v>
      </c>
      <c r="K1186">
        <v>10090</v>
      </c>
      <c r="L1186" s="3" t="str">
        <f>HYPERLINK("http://www.uniprot.org/uniprot/Q9CX00", "Q9CX00")</f>
        <v>Q9CX00</v>
      </c>
      <c r="M1186" t="s">
        <v>14113</v>
      </c>
      <c r="N1186" t="str">
        <f>"Ist1"</f>
        <v>Ist1</v>
      </c>
      <c r="O1186" s="3" t="str">
        <f>HYPERLINK("http://www.informatics.jax.org/marker/MGI:1919205", "MGI:1919205")</f>
        <v>MGI:1919205</v>
      </c>
      <c r="P1186" t="s">
        <v>14114</v>
      </c>
      <c r="Q1186" t="s">
        <v>11508</v>
      </c>
      <c r="R1186" t="s">
        <v>14115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t="s">
        <v>618</v>
      </c>
      <c r="Z1186" t="s">
        <v>32</v>
      </c>
      <c r="AA1186" t="s">
        <v>14116</v>
      </c>
      <c r="AB1186" t="s">
        <v>14117</v>
      </c>
      <c r="AC1186" t="s">
        <v>14118</v>
      </c>
      <c r="AD1186" t="s">
        <v>32</v>
      </c>
      <c r="AE1186" t="s">
        <v>14119</v>
      </c>
      <c r="AF1186" t="s">
        <v>46835</v>
      </c>
    </row>
    <row r="1187" spans="1:32" x14ac:dyDescent="0.2">
      <c r="A1187">
        <v>1182</v>
      </c>
      <c r="B1187" t="s">
        <v>14120</v>
      </c>
      <c r="C1187" t="s">
        <v>14121</v>
      </c>
      <c r="D1187" t="s">
        <v>32</v>
      </c>
      <c r="E1187" t="s">
        <v>14122</v>
      </c>
      <c r="F1187" t="s">
        <v>14123</v>
      </c>
      <c r="G1187" t="s">
        <v>32</v>
      </c>
      <c r="H1187" t="str">
        <f>"Rab14"</f>
        <v>Rab14</v>
      </c>
      <c r="I1187" t="s">
        <v>32</v>
      </c>
      <c r="J1187" t="s">
        <v>37</v>
      </c>
      <c r="K1187">
        <v>10090</v>
      </c>
      <c r="L1187" s="3" t="str">
        <f>HYPERLINK("http://www.uniprot.org/uniprot/Q91V41", "Q91V41")</f>
        <v>Q91V41</v>
      </c>
      <c r="M1187" t="s">
        <v>14124</v>
      </c>
      <c r="N1187" t="str">
        <f>"Rab14"</f>
        <v>Rab14</v>
      </c>
      <c r="O1187" s="3" t="str">
        <f>HYPERLINK("http://www.informatics.jax.org/marker/MGI:1915615", "MGI:1915615")</f>
        <v>MGI:1915615</v>
      </c>
      <c r="P1187" t="s">
        <v>14125</v>
      </c>
      <c r="Q1187" t="s">
        <v>434</v>
      </c>
      <c r="R1187" t="s">
        <v>14126</v>
      </c>
      <c r="S1187" t="s">
        <v>32</v>
      </c>
      <c r="T1187" t="s">
        <v>32</v>
      </c>
      <c r="U1187" t="s">
        <v>32</v>
      </c>
      <c r="V1187" t="s">
        <v>32</v>
      </c>
      <c r="W1187" t="s">
        <v>261</v>
      </c>
      <c r="X1187" t="s">
        <v>32</v>
      </c>
      <c r="Y1187" t="s">
        <v>14127</v>
      </c>
      <c r="Z1187" t="s">
        <v>32</v>
      </c>
      <c r="AA1187" t="s">
        <v>14128</v>
      </c>
      <c r="AB1187" t="s">
        <v>14129</v>
      </c>
      <c r="AC1187" t="s">
        <v>14130</v>
      </c>
      <c r="AD1187" t="s">
        <v>32</v>
      </c>
      <c r="AE1187" t="s">
        <v>14131</v>
      </c>
      <c r="AF1187" t="s">
        <v>46835</v>
      </c>
    </row>
    <row r="1188" spans="1:32" x14ac:dyDescent="0.2">
      <c r="A1188">
        <v>1183</v>
      </c>
      <c r="B1188" t="s">
        <v>14132</v>
      </c>
      <c r="C1188" t="s">
        <v>14133</v>
      </c>
      <c r="D1188" t="s">
        <v>32</v>
      </c>
      <c r="E1188" t="s">
        <v>14134</v>
      </c>
      <c r="F1188" t="s">
        <v>14135</v>
      </c>
      <c r="G1188" t="s">
        <v>14136</v>
      </c>
      <c r="H1188" t="str">
        <f>"Dek"</f>
        <v>Dek</v>
      </c>
      <c r="I1188" t="s">
        <v>32</v>
      </c>
      <c r="J1188" t="s">
        <v>37</v>
      </c>
      <c r="K1188">
        <v>10090</v>
      </c>
      <c r="L1188" s="3" t="str">
        <f>HYPERLINK("http://www.uniprot.org/uniprot/Q7TNV0", "Q7TNV0")</f>
        <v>Q7TNV0</v>
      </c>
      <c r="M1188" t="s">
        <v>14137</v>
      </c>
      <c r="N1188" t="str">
        <f>"Dek"</f>
        <v>Dek</v>
      </c>
      <c r="O1188" s="3" t="str">
        <f>HYPERLINK("http://www.informatics.jax.org/marker/MGI:1926209", "MGI:1926209")</f>
        <v>MGI:1926209</v>
      </c>
      <c r="P1188" t="s">
        <v>14138</v>
      </c>
      <c r="Q1188" t="s">
        <v>32</v>
      </c>
      <c r="R1188" t="s">
        <v>2279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5712</v>
      </c>
      <c r="Y1188" t="s">
        <v>11650</v>
      </c>
      <c r="Z1188" t="s">
        <v>32</v>
      </c>
      <c r="AA1188" t="s">
        <v>14139</v>
      </c>
      <c r="AB1188" t="s">
        <v>14140</v>
      </c>
      <c r="AC1188" t="s">
        <v>14141</v>
      </c>
      <c r="AD1188" t="s">
        <v>32</v>
      </c>
      <c r="AE1188" t="s">
        <v>14142</v>
      </c>
      <c r="AF1188" t="s">
        <v>46835</v>
      </c>
    </row>
    <row r="1189" spans="1:32" x14ac:dyDescent="0.2">
      <c r="A1189">
        <v>1184</v>
      </c>
      <c r="B1189" t="s">
        <v>14143</v>
      </c>
      <c r="C1189" t="s">
        <v>14144</v>
      </c>
      <c r="D1189" t="s">
        <v>14145</v>
      </c>
      <c r="E1189" t="s">
        <v>14146</v>
      </c>
      <c r="F1189" t="s">
        <v>14147</v>
      </c>
      <c r="G1189" t="s">
        <v>14148</v>
      </c>
      <c r="H1189" t="str">
        <f>"Pgm3"</f>
        <v>Pgm3</v>
      </c>
      <c r="I1189" t="s">
        <v>14149</v>
      </c>
      <c r="J1189" t="s">
        <v>37</v>
      </c>
      <c r="K1189">
        <v>10090</v>
      </c>
      <c r="L1189" s="3" t="str">
        <f>HYPERLINK("http://www.uniprot.org/uniprot/Q9CYR6", "Q9CYR6")</f>
        <v>Q9CYR6</v>
      </c>
      <c r="M1189" t="s">
        <v>14150</v>
      </c>
      <c r="N1189" t="str">
        <f>"Pgm3"</f>
        <v>Pgm3</v>
      </c>
      <c r="O1189" s="3" t="str">
        <f>HYPERLINK("http://www.informatics.jax.org/marker/MGI:97566", "MGI:97566")</f>
        <v>MGI:97566</v>
      </c>
      <c r="P1189" t="s">
        <v>14151</v>
      </c>
      <c r="Q1189" t="s">
        <v>2170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223</v>
      </c>
      <c r="X1189" t="s">
        <v>673</v>
      </c>
      <c r="Y1189" t="s">
        <v>157</v>
      </c>
      <c r="Z1189" t="s">
        <v>126</v>
      </c>
      <c r="AA1189" t="s">
        <v>14152</v>
      </c>
      <c r="AB1189" t="s">
        <v>32</v>
      </c>
      <c r="AC1189" t="s">
        <v>14153</v>
      </c>
      <c r="AD1189" t="s">
        <v>14154</v>
      </c>
      <c r="AE1189" t="s">
        <v>13835</v>
      </c>
      <c r="AF1189" t="s">
        <v>46835</v>
      </c>
    </row>
    <row r="1190" spans="1:32" x14ac:dyDescent="0.2">
      <c r="A1190">
        <v>1185</v>
      </c>
      <c r="B1190" t="s">
        <v>14155</v>
      </c>
      <c r="C1190" t="s">
        <v>14156</v>
      </c>
      <c r="D1190" t="s">
        <v>32</v>
      </c>
      <c r="E1190" t="s">
        <v>14157</v>
      </c>
      <c r="F1190" t="s">
        <v>14158</v>
      </c>
      <c r="G1190" t="s">
        <v>32</v>
      </c>
      <c r="H1190" t="str">
        <f>"Ctsz"</f>
        <v>Ctsz</v>
      </c>
      <c r="I1190" t="s">
        <v>32</v>
      </c>
      <c r="J1190" t="s">
        <v>37</v>
      </c>
      <c r="K1190">
        <v>10090</v>
      </c>
      <c r="L1190" s="3" t="str">
        <f>HYPERLINK("http://www.uniprot.org/uniprot/Q9WUU7", "Q9WUU7")</f>
        <v>Q9WUU7</v>
      </c>
      <c r="M1190" t="s">
        <v>14159</v>
      </c>
      <c r="N1190" t="str">
        <f>"Ctsz"</f>
        <v>Ctsz</v>
      </c>
      <c r="O1190" s="3" t="str">
        <f>HYPERLINK("http://www.informatics.jax.org/marker/MGI:1891190", "MGI:1891190")</f>
        <v>MGI:1891190</v>
      </c>
      <c r="P1190" t="s">
        <v>14160</v>
      </c>
      <c r="Q1190" t="s">
        <v>32</v>
      </c>
      <c r="R1190" t="s">
        <v>13962</v>
      </c>
      <c r="S1190" t="s">
        <v>32</v>
      </c>
      <c r="T1190" t="s">
        <v>32</v>
      </c>
      <c r="U1190" t="s">
        <v>32</v>
      </c>
      <c r="V1190" t="s">
        <v>811</v>
      </c>
      <c r="W1190" t="s">
        <v>32</v>
      </c>
      <c r="X1190" t="s">
        <v>557</v>
      </c>
      <c r="Y1190" t="s">
        <v>5781</v>
      </c>
      <c r="Z1190" t="s">
        <v>32</v>
      </c>
      <c r="AA1190" t="s">
        <v>14161</v>
      </c>
      <c r="AB1190" t="s">
        <v>14162</v>
      </c>
      <c r="AC1190" t="s">
        <v>14163</v>
      </c>
      <c r="AD1190" t="s">
        <v>32</v>
      </c>
      <c r="AE1190" t="s">
        <v>14164</v>
      </c>
      <c r="AF1190" t="s">
        <v>46835</v>
      </c>
    </row>
    <row r="1191" spans="1:32" x14ac:dyDescent="0.2">
      <c r="A1191">
        <v>1186</v>
      </c>
      <c r="B1191" t="s">
        <v>14165</v>
      </c>
      <c r="C1191" t="s">
        <v>14166</v>
      </c>
      <c r="D1191" t="s">
        <v>14167</v>
      </c>
      <c r="E1191" t="s">
        <v>14168</v>
      </c>
      <c r="F1191" t="s">
        <v>14169</v>
      </c>
      <c r="G1191" t="s">
        <v>14170</v>
      </c>
      <c r="H1191" t="str">
        <f>"Psme3"</f>
        <v>Psme3</v>
      </c>
      <c r="I1191" t="s">
        <v>32</v>
      </c>
      <c r="J1191" t="s">
        <v>37</v>
      </c>
      <c r="K1191">
        <v>10090</v>
      </c>
      <c r="L1191" s="3" t="str">
        <f>HYPERLINK("http://www.uniprot.org/uniprot/P61290", "P61290")</f>
        <v>P61290</v>
      </c>
      <c r="M1191" t="s">
        <v>14171</v>
      </c>
      <c r="N1191" t="str">
        <f>"Psme3"</f>
        <v>Psme3</v>
      </c>
      <c r="O1191" s="3" t="str">
        <f>HYPERLINK("http://www.informatics.jax.org/marker/MGI:1096366", "MGI:1096366")</f>
        <v>MGI:1096366</v>
      </c>
      <c r="P1191" t="s">
        <v>14172</v>
      </c>
      <c r="Q1191" t="s">
        <v>5417</v>
      </c>
      <c r="R1191" t="s">
        <v>2586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157</v>
      </c>
      <c r="Z1191" t="s">
        <v>32</v>
      </c>
      <c r="AA1191" t="s">
        <v>14173</v>
      </c>
      <c r="AB1191" t="s">
        <v>14174</v>
      </c>
      <c r="AC1191" t="s">
        <v>14175</v>
      </c>
      <c r="AD1191" t="s">
        <v>32</v>
      </c>
      <c r="AE1191" t="s">
        <v>2774</v>
      </c>
      <c r="AF1191" t="s">
        <v>46835</v>
      </c>
    </row>
    <row r="1192" spans="1:32" x14ac:dyDescent="0.2">
      <c r="A1192">
        <v>1187</v>
      </c>
      <c r="B1192" t="s">
        <v>14176</v>
      </c>
      <c r="C1192" t="s">
        <v>14177</v>
      </c>
      <c r="D1192" t="s">
        <v>14178</v>
      </c>
      <c r="E1192" t="s">
        <v>14179</v>
      </c>
      <c r="F1192" t="s">
        <v>14180</v>
      </c>
      <c r="G1192" t="s">
        <v>14181</v>
      </c>
      <c r="H1192" t="str">
        <f>"RO60"</f>
        <v>RO60</v>
      </c>
      <c r="I1192" t="s">
        <v>32</v>
      </c>
      <c r="J1192" t="s">
        <v>37</v>
      </c>
      <c r="K1192">
        <v>10090</v>
      </c>
      <c r="L1192" s="3" t="str">
        <f>HYPERLINK("http://www.uniprot.org/uniprot/O08848", "O08848")</f>
        <v>O08848</v>
      </c>
      <c r="M1192" t="s">
        <v>14182</v>
      </c>
      <c r="N1192" t="str">
        <f>"Ro60"</f>
        <v>Ro60</v>
      </c>
      <c r="O1192" s="3" t="str">
        <f>HYPERLINK("http://www.informatics.jax.org/marker/MGI:106652", "MGI:106652")</f>
        <v>MGI:106652</v>
      </c>
      <c r="P1192" t="s">
        <v>14183</v>
      </c>
      <c r="Q1192" t="s">
        <v>475</v>
      </c>
      <c r="R1192" t="s">
        <v>418</v>
      </c>
      <c r="S1192" t="s">
        <v>32</v>
      </c>
      <c r="T1192" t="s">
        <v>32</v>
      </c>
      <c r="U1192" t="s">
        <v>32</v>
      </c>
      <c r="V1192" t="s">
        <v>55</v>
      </c>
      <c r="W1192" t="s">
        <v>8683</v>
      </c>
      <c r="X1192" t="s">
        <v>1129</v>
      </c>
      <c r="Y1192" t="s">
        <v>157</v>
      </c>
      <c r="Z1192" t="s">
        <v>32</v>
      </c>
      <c r="AA1192" t="s">
        <v>14184</v>
      </c>
      <c r="AB1192" t="s">
        <v>14185</v>
      </c>
      <c r="AC1192" t="s">
        <v>14186</v>
      </c>
      <c r="AD1192" t="s">
        <v>32</v>
      </c>
      <c r="AE1192" t="s">
        <v>32</v>
      </c>
      <c r="AF1192" t="s">
        <v>46835</v>
      </c>
    </row>
    <row r="1193" spans="1:32" x14ac:dyDescent="0.2">
      <c r="A1193">
        <v>1188</v>
      </c>
      <c r="B1193" t="s">
        <v>14187</v>
      </c>
      <c r="C1193" t="s">
        <v>14188</v>
      </c>
      <c r="D1193" t="s">
        <v>14189</v>
      </c>
      <c r="E1193" t="s">
        <v>14190</v>
      </c>
      <c r="F1193" t="s">
        <v>14191</v>
      </c>
      <c r="G1193" t="s">
        <v>32</v>
      </c>
      <c r="H1193" t="str">
        <f>"C1qbp"</f>
        <v>C1qbp</v>
      </c>
      <c r="I1193" t="s">
        <v>14192</v>
      </c>
      <c r="J1193" t="s">
        <v>37</v>
      </c>
      <c r="K1193">
        <v>10090</v>
      </c>
      <c r="L1193" s="3" t="str">
        <f>HYPERLINK("http://www.uniprot.org/uniprot/O35658", "O35658")</f>
        <v>O35658</v>
      </c>
      <c r="M1193" t="s">
        <v>14193</v>
      </c>
      <c r="N1193" t="str">
        <f>"C1qbp"</f>
        <v>C1qbp</v>
      </c>
      <c r="O1193" s="3" t="str">
        <f>HYPERLINK("http://www.informatics.jax.org/marker/MGI:1194505", "MGI:1194505")</f>
        <v>MGI:1194505</v>
      </c>
      <c r="P1193" t="s">
        <v>14194</v>
      </c>
      <c r="Q1193" t="s">
        <v>14195</v>
      </c>
      <c r="R1193" t="s">
        <v>14196</v>
      </c>
      <c r="S1193" t="s">
        <v>32</v>
      </c>
      <c r="T1193" t="s">
        <v>32</v>
      </c>
      <c r="U1193" t="s">
        <v>32</v>
      </c>
      <c r="V1193" t="s">
        <v>1039</v>
      </c>
      <c r="W1193" t="s">
        <v>32</v>
      </c>
      <c r="X1193" t="s">
        <v>32</v>
      </c>
      <c r="Y1193" t="s">
        <v>157</v>
      </c>
      <c r="Z1193" t="s">
        <v>32</v>
      </c>
      <c r="AA1193" t="s">
        <v>14197</v>
      </c>
      <c r="AB1193" t="s">
        <v>14198</v>
      </c>
      <c r="AC1193" t="s">
        <v>14199</v>
      </c>
      <c r="AD1193" t="s">
        <v>32</v>
      </c>
      <c r="AE1193" t="s">
        <v>14200</v>
      </c>
      <c r="AF1193" t="s">
        <v>46835</v>
      </c>
    </row>
    <row r="1194" spans="1:32" x14ac:dyDescent="0.2">
      <c r="A1194">
        <v>1189</v>
      </c>
      <c r="B1194" t="s">
        <v>14201</v>
      </c>
      <c r="C1194" t="s">
        <v>14202</v>
      </c>
      <c r="D1194" t="s">
        <v>14203</v>
      </c>
      <c r="E1194" t="s">
        <v>14204</v>
      </c>
      <c r="F1194" t="s">
        <v>14205</v>
      </c>
      <c r="G1194" t="s">
        <v>14206</v>
      </c>
      <c r="H1194" t="str">
        <f>"Txndc17"</f>
        <v>Txndc17</v>
      </c>
      <c r="I1194" t="s">
        <v>14207</v>
      </c>
      <c r="J1194" t="s">
        <v>37</v>
      </c>
      <c r="K1194">
        <v>10090</v>
      </c>
      <c r="L1194" s="3" t="str">
        <f>HYPERLINK("http://www.uniprot.org/uniprot/Q9CQM5", "Q9CQM5")</f>
        <v>Q9CQM5</v>
      </c>
      <c r="M1194" t="s">
        <v>14208</v>
      </c>
      <c r="N1194" t="str">
        <f>"Txndc17"</f>
        <v>Txndc17</v>
      </c>
      <c r="O1194" s="3" t="str">
        <f>HYPERLINK("http://www.informatics.jax.org/marker/MGI:1289248", "MGI:1289248")</f>
        <v>MGI:1289248</v>
      </c>
      <c r="P1194" t="s">
        <v>14209</v>
      </c>
      <c r="Q1194" t="s">
        <v>32</v>
      </c>
      <c r="R1194" t="s">
        <v>418</v>
      </c>
      <c r="S1194" t="s">
        <v>32</v>
      </c>
      <c r="T1194" t="s">
        <v>32</v>
      </c>
      <c r="U1194" t="s">
        <v>32</v>
      </c>
      <c r="V1194" t="s">
        <v>1090</v>
      </c>
      <c r="W1194" t="s">
        <v>32</v>
      </c>
      <c r="X1194" t="s">
        <v>32</v>
      </c>
      <c r="Y1194" t="s">
        <v>8737</v>
      </c>
      <c r="Z1194" t="s">
        <v>126</v>
      </c>
      <c r="AA1194" t="s">
        <v>14210</v>
      </c>
      <c r="AB1194" t="s">
        <v>1268</v>
      </c>
      <c r="AC1194" t="s">
        <v>14211</v>
      </c>
      <c r="AD1194" t="s">
        <v>32</v>
      </c>
      <c r="AE1194" t="s">
        <v>32</v>
      </c>
      <c r="AF1194" t="s">
        <v>46835</v>
      </c>
    </row>
    <row r="1195" spans="1:32" x14ac:dyDescent="0.2">
      <c r="A1195">
        <v>1190</v>
      </c>
      <c r="B1195" t="s">
        <v>14212</v>
      </c>
      <c r="C1195" t="s">
        <v>14213</v>
      </c>
      <c r="D1195" t="s">
        <v>14214</v>
      </c>
      <c r="E1195" t="s">
        <v>14215</v>
      </c>
      <c r="F1195" t="s">
        <v>14216</v>
      </c>
      <c r="G1195" t="s">
        <v>14217</v>
      </c>
      <c r="H1195" t="str">
        <f>"Ndufs6"</f>
        <v>Ndufs6</v>
      </c>
      <c r="I1195" t="s">
        <v>14218</v>
      </c>
      <c r="J1195" t="s">
        <v>37</v>
      </c>
      <c r="K1195">
        <v>10090</v>
      </c>
      <c r="L1195" s="3" t="str">
        <f>HYPERLINK("http://www.uniprot.org/uniprot/P52503", "P52503")</f>
        <v>P52503</v>
      </c>
      <c r="M1195" t="s">
        <v>14219</v>
      </c>
      <c r="N1195" t="str">
        <f>"Ndufs6"</f>
        <v>Ndufs6</v>
      </c>
      <c r="O1195" s="3" t="str">
        <f>HYPERLINK("http://www.informatics.jax.org/marker/MGI:107932", "MGI:107932")</f>
        <v>MGI:107932</v>
      </c>
      <c r="P1195" t="s">
        <v>14220</v>
      </c>
      <c r="Q1195" t="s">
        <v>6888</v>
      </c>
      <c r="R1195" t="s">
        <v>3858</v>
      </c>
      <c r="S1195" t="s">
        <v>32</v>
      </c>
      <c r="T1195" t="s">
        <v>32</v>
      </c>
      <c r="U1195" t="s">
        <v>32</v>
      </c>
      <c r="V1195" t="s">
        <v>1039</v>
      </c>
      <c r="W1195" t="s">
        <v>32</v>
      </c>
      <c r="X1195" t="s">
        <v>32</v>
      </c>
      <c r="Y1195" t="s">
        <v>78</v>
      </c>
      <c r="Z1195" t="s">
        <v>126</v>
      </c>
      <c r="AA1195" t="s">
        <v>14221</v>
      </c>
      <c r="AB1195" t="s">
        <v>14222</v>
      </c>
      <c r="AC1195" t="s">
        <v>32</v>
      </c>
      <c r="AD1195" t="s">
        <v>32</v>
      </c>
      <c r="AE1195" t="s">
        <v>10470</v>
      </c>
      <c r="AF1195" t="s">
        <v>46835</v>
      </c>
    </row>
    <row r="1196" spans="1:32" x14ac:dyDescent="0.2">
      <c r="A1196">
        <v>1191</v>
      </c>
      <c r="B1196" t="s">
        <v>14223</v>
      </c>
      <c r="C1196" t="s">
        <v>14224</v>
      </c>
      <c r="D1196" t="s">
        <v>14225</v>
      </c>
      <c r="E1196" t="s">
        <v>14226</v>
      </c>
      <c r="F1196" t="s">
        <v>14227</v>
      </c>
      <c r="G1196" t="s">
        <v>14228</v>
      </c>
      <c r="H1196" t="str">
        <f>"Maged1"</f>
        <v>Maged1</v>
      </c>
      <c r="I1196" t="s">
        <v>14229</v>
      </c>
      <c r="J1196" t="s">
        <v>37</v>
      </c>
      <c r="K1196">
        <v>10090</v>
      </c>
      <c r="L1196" s="3" t="str">
        <f>HYPERLINK("http://www.uniprot.org/uniprot/Q9QYH6", "Q9QYH6")</f>
        <v>Q9QYH6</v>
      </c>
      <c r="M1196" t="s">
        <v>14230</v>
      </c>
      <c r="N1196" t="str">
        <f>"Maged1"</f>
        <v>Maged1</v>
      </c>
      <c r="O1196" s="3" t="str">
        <f>HYPERLINK("http://www.informatics.jax.org/marker/MGI:1930187", "MGI:1930187")</f>
        <v>MGI:1930187</v>
      </c>
      <c r="P1196" t="s">
        <v>14231</v>
      </c>
      <c r="Q1196" t="s">
        <v>14232</v>
      </c>
      <c r="R1196" t="s">
        <v>276</v>
      </c>
      <c r="S1196" t="s">
        <v>32</v>
      </c>
      <c r="T1196" t="s">
        <v>32</v>
      </c>
      <c r="U1196" t="s">
        <v>32</v>
      </c>
      <c r="V1196" t="s">
        <v>55</v>
      </c>
      <c r="W1196" t="s">
        <v>32</v>
      </c>
      <c r="X1196" t="s">
        <v>3768</v>
      </c>
      <c r="Y1196" t="s">
        <v>32</v>
      </c>
      <c r="Z1196" t="s">
        <v>32</v>
      </c>
      <c r="AA1196" t="s">
        <v>14233</v>
      </c>
      <c r="AB1196" t="s">
        <v>14234</v>
      </c>
      <c r="AC1196" t="s">
        <v>14235</v>
      </c>
      <c r="AD1196" t="s">
        <v>32</v>
      </c>
      <c r="AE1196" t="s">
        <v>32</v>
      </c>
      <c r="AF1196" t="s">
        <v>46835</v>
      </c>
    </row>
    <row r="1197" spans="1:32" x14ac:dyDescent="0.2">
      <c r="A1197">
        <v>1192</v>
      </c>
      <c r="B1197" t="s">
        <v>14236</v>
      </c>
      <c r="C1197" t="s">
        <v>14237</v>
      </c>
      <c r="D1197" t="s">
        <v>14238</v>
      </c>
      <c r="E1197" t="s">
        <v>14239</v>
      </c>
      <c r="F1197" t="s">
        <v>14240</v>
      </c>
      <c r="G1197" t="s">
        <v>14241</v>
      </c>
      <c r="H1197" t="str">
        <f>"Sh3glb2"</f>
        <v>Sh3glb2</v>
      </c>
      <c r="I1197" t="s">
        <v>14242</v>
      </c>
      <c r="J1197" t="s">
        <v>37</v>
      </c>
      <c r="K1197">
        <v>10090</v>
      </c>
      <c r="L1197" s="3" t="str">
        <f>HYPERLINK("http://www.uniprot.org/uniprot/Q8R3V5", "Q8R3V5")</f>
        <v>Q8R3V5</v>
      </c>
      <c r="M1197" t="s">
        <v>14243</v>
      </c>
      <c r="N1197" t="str">
        <f>"Sh3glb2"</f>
        <v>Sh3glb2</v>
      </c>
      <c r="O1197" s="3" t="str">
        <f>HYPERLINK("http://www.informatics.jax.org/marker/MGI:2385131", "MGI:2385131")</f>
        <v>MGI:2385131</v>
      </c>
      <c r="P1197" t="s">
        <v>14244</v>
      </c>
      <c r="Q1197" t="s">
        <v>32</v>
      </c>
      <c r="R1197" t="s">
        <v>418</v>
      </c>
      <c r="S1197" t="s">
        <v>41</v>
      </c>
      <c r="T1197" t="s">
        <v>32</v>
      </c>
      <c r="U1197" t="s">
        <v>32</v>
      </c>
      <c r="V1197" t="s">
        <v>1606</v>
      </c>
      <c r="W1197" t="s">
        <v>32</v>
      </c>
      <c r="X1197" t="s">
        <v>32</v>
      </c>
      <c r="Y1197" t="s">
        <v>157</v>
      </c>
      <c r="Z1197" t="s">
        <v>32</v>
      </c>
      <c r="AA1197" t="s">
        <v>14245</v>
      </c>
      <c r="AB1197" t="s">
        <v>14246</v>
      </c>
      <c r="AC1197" t="s">
        <v>4516</v>
      </c>
      <c r="AD1197" t="s">
        <v>32</v>
      </c>
      <c r="AE1197" t="s">
        <v>14247</v>
      </c>
      <c r="AF1197" t="s">
        <v>46835</v>
      </c>
    </row>
    <row r="1198" spans="1:32" x14ac:dyDescent="0.2">
      <c r="A1198">
        <v>1193</v>
      </c>
      <c r="B1198" t="s">
        <v>14248</v>
      </c>
      <c r="C1198" t="s">
        <v>14249</v>
      </c>
      <c r="D1198" t="s">
        <v>14250</v>
      </c>
      <c r="E1198" t="s">
        <v>14251</v>
      </c>
      <c r="F1198" t="s">
        <v>14252</v>
      </c>
      <c r="G1198" t="s">
        <v>14253</v>
      </c>
      <c r="H1198" t="str">
        <f>"Lim2"</f>
        <v>Lim2</v>
      </c>
      <c r="I1198" t="s">
        <v>32</v>
      </c>
      <c r="J1198" t="s">
        <v>37</v>
      </c>
      <c r="K1198">
        <v>10090</v>
      </c>
      <c r="L1198" s="3" t="str">
        <f>HYPERLINK("http://www.uniprot.org/uniprot/P56563", "P56563")</f>
        <v>P56563</v>
      </c>
      <c r="M1198" t="s">
        <v>14254</v>
      </c>
      <c r="N1198" t="str">
        <f>"Lim2"</f>
        <v>Lim2</v>
      </c>
      <c r="O1198" s="3" t="str">
        <f>HYPERLINK("http://www.informatics.jax.org/marker/MGI:104698", "MGI:104698")</f>
        <v>MGI:104698</v>
      </c>
      <c r="P1198" t="s">
        <v>14255</v>
      </c>
      <c r="Q1198" t="s">
        <v>32</v>
      </c>
      <c r="R1198" t="s">
        <v>5989</v>
      </c>
      <c r="S1198" t="s">
        <v>32</v>
      </c>
      <c r="T1198" t="s">
        <v>32</v>
      </c>
      <c r="U1198" t="s">
        <v>829</v>
      </c>
      <c r="V1198" t="s">
        <v>493</v>
      </c>
      <c r="W1198" t="s">
        <v>32</v>
      </c>
      <c r="X1198" t="s">
        <v>56</v>
      </c>
      <c r="Y1198" t="s">
        <v>2865</v>
      </c>
      <c r="Z1198" t="s">
        <v>32</v>
      </c>
      <c r="AA1198" t="s">
        <v>14256</v>
      </c>
      <c r="AB1198" t="s">
        <v>14257</v>
      </c>
      <c r="AC1198" t="s">
        <v>59</v>
      </c>
      <c r="AD1198" t="s">
        <v>32</v>
      </c>
      <c r="AE1198" t="s">
        <v>32</v>
      </c>
      <c r="AF1198" t="s">
        <v>46835</v>
      </c>
    </row>
    <row r="1199" spans="1:32" x14ac:dyDescent="0.2">
      <c r="A1199">
        <v>1194</v>
      </c>
      <c r="B1199" t="s">
        <v>14258</v>
      </c>
      <c r="C1199" t="s">
        <v>14259</v>
      </c>
      <c r="D1199" t="s">
        <v>14260</v>
      </c>
      <c r="E1199" t="s">
        <v>14261</v>
      </c>
      <c r="F1199" t="s">
        <v>14262</v>
      </c>
      <c r="G1199" t="s">
        <v>14263</v>
      </c>
      <c r="H1199" t="str">
        <f>"Mia3"</f>
        <v>Mia3</v>
      </c>
      <c r="I1199" t="s">
        <v>32</v>
      </c>
      <c r="J1199" t="s">
        <v>37</v>
      </c>
      <c r="K1199">
        <v>10090</v>
      </c>
      <c r="L1199" s="3" t="str">
        <f>HYPERLINK("http://www.uniprot.org/uniprot/Q8BI84", "Q8BI84")</f>
        <v>Q8BI84</v>
      </c>
      <c r="M1199" t="s">
        <v>14264</v>
      </c>
      <c r="N1199" t="str">
        <f>"Mia3"</f>
        <v>Mia3</v>
      </c>
      <c r="O1199" s="3" t="str">
        <f>HYPERLINK("http://www.informatics.jax.org/marker/MGI:2443183", "MGI:2443183")</f>
        <v>MGI:2443183</v>
      </c>
      <c r="P1199" t="s">
        <v>14265</v>
      </c>
      <c r="Q1199" t="s">
        <v>14266</v>
      </c>
      <c r="R1199" t="s">
        <v>1664</v>
      </c>
      <c r="S1199" t="s">
        <v>41</v>
      </c>
      <c r="T1199" t="s">
        <v>32</v>
      </c>
      <c r="U1199" t="s">
        <v>32</v>
      </c>
      <c r="V1199" t="s">
        <v>14267</v>
      </c>
      <c r="W1199" t="s">
        <v>32</v>
      </c>
      <c r="X1199" t="s">
        <v>32</v>
      </c>
      <c r="Y1199" t="s">
        <v>14268</v>
      </c>
      <c r="Z1199" t="s">
        <v>32</v>
      </c>
      <c r="AA1199" t="s">
        <v>14269</v>
      </c>
      <c r="AB1199" t="s">
        <v>14270</v>
      </c>
      <c r="AC1199" t="s">
        <v>14271</v>
      </c>
      <c r="AD1199" t="s">
        <v>32</v>
      </c>
      <c r="AE1199" t="s">
        <v>14272</v>
      </c>
      <c r="AF1199" t="s">
        <v>46835</v>
      </c>
    </row>
    <row r="1200" spans="1:32" x14ac:dyDescent="0.2">
      <c r="A1200">
        <v>1195</v>
      </c>
      <c r="B1200" t="s">
        <v>14273</v>
      </c>
      <c r="C1200" t="s">
        <v>14274</v>
      </c>
      <c r="D1200" t="s">
        <v>32</v>
      </c>
      <c r="E1200" t="s">
        <v>14275</v>
      </c>
      <c r="F1200" t="s">
        <v>14276</v>
      </c>
      <c r="G1200" t="s">
        <v>14277</v>
      </c>
      <c r="H1200" t="str">
        <f>"Tnfaip8"</f>
        <v>Tnfaip8</v>
      </c>
      <c r="I1200" t="s">
        <v>32</v>
      </c>
      <c r="J1200" t="s">
        <v>37</v>
      </c>
      <c r="K1200">
        <v>10090</v>
      </c>
      <c r="L1200" s="3" t="str">
        <f>HYPERLINK("http://www.uniprot.org/uniprot/Q921Z5", "Q921Z5")</f>
        <v>Q921Z5</v>
      </c>
      <c r="M1200" t="s">
        <v>14278</v>
      </c>
      <c r="N1200" t="str">
        <f>"Tnfaip8"</f>
        <v>Tnfaip8</v>
      </c>
      <c r="O1200" s="3" t="str">
        <f>HYPERLINK("http://www.informatics.jax.org/marker/MGI:2147191", "MGI:2147191")</f>
        <v>MGI:2147191</v>
      </c>
      <c r="P1200" t="s">
        <v>14279</v>
      </c>
      <c r="Q1200" t="s">
        <v>541</v>
      </c>
      <c r="R1200" t="s">
        <v>418</v>
      </c>
      <c r="S1200" t="s">
        <v>41</v>
      </c>
      <c r="T1200" t="s">
        <v>32</v>
      </c>
      <c r="U1200" t="s">
        <v>32</v>
      </c>
      <c r="V1200" t="s">
        <v>290</v>
      </c>
      <c r="W1200" t="s">
        <v>32</v>
      </c>
      <c r="X1200" t="s">
        <v>32</v>
      </c>
      <c r="Y1200" t="s">
        <v>32</v>
      </c>
      <c r="Z1200" t="s">
        <v>126</v>
      </c>
      <c r="AA1200" t="s">
        <v>14280</v>
      </c>
      <c r="AB1200" t="s">
        <v>14281</v>
      </c>
      <c r="AC1200" t="s">
        <v>14282</v>
      </c>
      <c r="AD1200" t="s">
        <v>32</v>
      </c>
      <c r="AE1200" t="s">
        <v>14283</v>
      </c>
      <c r="AF1200" t="s">
        <v>46835</v>
      </c>
    </row>
    <row r="1201" spans="1:32" x14ac:dyDescent="0.2">
      <c r="A1201">
        <v>1196</v>
      </c>
      <c r="B1201" t="s">
        <v>14284</v>
      </c>
      <c r="C1201" t="s">
        <v>14285</v>
      </c>
      <c r="D1201" t="s">
        <v>14286</v>
      </c>
      <c r="E1201" t="s">
        <v>14287</v>
      </c>
      <c r="F1201" t="s">
        <v>14288</v>
      </c>
      <c r="G1201" t="s">
        <v>14289</v>
      </c>
      <c r="H1201" t="str">
        <f>"Ephx2"</f>
        <v>Ephx2</v>
      </c>
      <c r="I1201" t="s">
        <v>14290</v>
      </c>
      <c r="J1201" t="s">
        <v>37</v>
      </c>
      <c r="K1201">
        <v>10090</v>
      </c>
      <c r="L1201" s="3" t="str">
        <f>HYPERLINK("http://www.uniprot.org/uniprot/P34914", "P34914")</f>
        <v>P34914</v>
      </c>
      <c r="M1201" t="s">
        <v>14291</v>
      </c>
      <c r="N1201" t="str">
        <f>"Ephx2"</f>
        <v>Ephx2</v>
      </c>
      <c r="O1201" s="3" t="str">
        <f>HYPERLINK("http://www.informatics.jax.org/marker/MGI:99500", "MGI:99500")</f>
        <v>MGI:99500</v>
      </c>
      <c r="P1201" t="s">
        <v>14292</v>
      </c>
      <c r="Q1201" t="s">
        <v>14293</v>
      </c>
      <c r="R1201" t="s">
        <v>14294</v>
      </c>
      <c r="S1201" t="s">
        <v>41</v>
      </c>
      <c r="T1201" t="s">
        <v>32</v>
      </c>
      <c r="U1201" t="s">
        <v>32</v>
      </c>
      <c r="V1201" t="s">
        <v>32</v>
      </c>
      <c r="W1201" t="s">
        <v>223</v>
      </c>
      <c r="X1201" t="s">
        <v>14295</v>
      </c>
      <c r="Y1201" t="s">
        <v>14296</v>
      </c>
      <c r="Z1201" t="s">
        <v>126</v>
      </c>
      <c r="AA1201" t="s">
        <v>14297</v>
      </c>
      <c r="AB1201" t="s">
        <v>14298</v>
      </c>
      <c r="AC1201" t="s">
        <v>14299</v>
      </c>
      <c r="AD1201" t="s">
        <v>32</v>
      </c>
      <c r="AE1201" t="s">
        <v>14300</v>
      </c>
      <c r="AF1201" t="s">
        <v>46835</v>
      </c>
    </row>
    <row r="1202" spans="1:32" x14ac:dyDescent="0.2">
      <c r="A1202">
        <v>1197</v>
      </c>
      <c r="B1202" t="s">
        <v>14301</v>
      </c>
      <c r="C1202" t="s">
        <v>14302</v>
      </c>
      <c r="D1202" t="s">
        <v>14303</v>
      </c>
      <c r="E1202" t="s">
        <v>14304</v>
      </c>
      <c r="F1202" t="s">
        <v>14305</v>
      </c>
      <c r="G1202" t="s">
        <v>14306</v>
      </c>
      <c r="H1202" t="str">
        <f>"Elp3"</f>
        <v>Elp3</v>
      </c>
      <c r="I1202" t="s">
        <v>32</v>
      </c>
      <c r="J1202" t="s">
        <v>37</v>
      </c>
      <c r="K1202">
        <v>10090</v>
      </c>
      <c r="L1202" s="3" t="str">
        <f>HYPERLINK("http://www.uniprot.org/uniprot/Q9CZX0", "Q9CZX0")</f>
        <v>Q9CZX0</v>
      </c>
      <c r="M1202" t="s">
        <v>14307</v>
      </c>
      <c r="N1202" t="str">
        <f>"Elp3"</f>
        <v>Elp3</v>
      </c>
      <c r="O1202" s="3" t="str">
        <f>HYPERLINK("http://www.informatics.jax.org/marker/MGI:1921445", "MGI:1921445")</f>
        <v>MGI:1921445</v>
      </c>
      <c r="P1202" t="s">
        <v>14308</v>
      </c>
      <c r="Q1202" t="s">
        <v>14309</v>
      </c>
      <c r="R1202" t="s">
        <v>40</v>
      </c>
      <c r="S1202" t="s">
        <v>41</v>
      </c>
      <c r="T1202" t="s">
        <v>32</v>
      </c>
      <c r="U1202" t="s">
        <v>32</v>
      </c>
      <c r="V1202" t="s">
        <v>32</v>
      </c>
      <c r="W1202" t="s">
        <v>14310</v>
      </c>
      <c r="X1202" t="s">
        <v>14311</v>
      </c>
      <c r="Y1202" t="s">
        <v>2734</v>
      </c>
      <c r="Z1202" t="s">
        <v>32</v>
      </c>
      <c r="AA1202" t="s">
        <v>14312</v>
      </c>
      <c r="AB1202" t="s">
        <v>14313</v>
      </c>
      <c r="AC1202" t="s">
        <v>14314</v>
      </c>
      <c r="AD1202" t="s">
        <v>7480</v>
      </c>
      <c r="AE1202" t="s">
        <v>32</v>
      </c>
      <c r="AF1202" t="s">
        <v>46835</v>
      </c>
    </row>
    <row r="1203" spans="1:32" x14ac:dyDescent="0.2">
      <c r="A1203">
        <v>1198</v>
      </c>
      <c r="B1203" t="s">
        <v>14315</v>
      </c>
      <c r="C1203" t="s">
        <v>14316</v>
      </c>
      <c r="D1203" t="s">
        <v>14317</v>
      </c>
      <c r="E1203" t="s">
        <v>14318</v>
      </c>
      <c r="F1203" t="s">
        <v>14319</v>
      </c>
      <c r="G1203" t="s">
        <v>14320</v>
      </c>
      <c r="H1203" t="str">
        <f>"Dynlt1"</f>
        <v>Dynlt1</v>
      </c>
      <c r="I1203" t="s">
        <v>14321</v>
      </c>
      <c r="J1203" t="s">
        <v>37</v>
      </c>
      <c r="K1203">
        <v>10090</v>
      </c>
      <c r="L1203" s="3" t="str">
        <f>HYPERLINK("http://www.uniprot.org/uniprot/P51807", "P51807")</f>
        <v>P51807</v>
      </c>
      <c r="M1203" t="s">
        <v>14322</v>
      </c>
      <c r="N1203" t="str">
        <f>"Dynlt1"</f>
        <v>Dynlt1</v>
      </c>
      <c r="O1203" s="3" t="str">
        <f>HYPERLINK("http://www.informatics.jax.org/marker/MGI:98643", "MGI:98643")</f>
        <v>MGI:98643</v>
      </c>
      <c r="P1203" t="s">
        <v>14323</v>
      </c>
      <c r="Q1203" t="s">
        <v>14324</v>
      </c>
      <c r="R1203" t="s">
        <v>14325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830</v>
      </c>
      <c r="Y1203" t="s">
        <v>157</v>
      </c>
      <c r="Z1203" t="s">
        <v>126</v>
      </c>
      <c r="AA1203" t="s">
        <v>14326</v>
      </c>
      <c r="AB1203" t="s">
        <v>14327</v>
      </c>
      <c r="AC1203" t="s">
        <v>14328</v>
      </c>
      <c r="AD1203" t="s">
        <v>32</v>
      </c>
      <c r="AE1203" t="s">
        <v>548</v>
      </c>
      <c r="AF1203" t="s">
        <v>46835</v>
      </c>
    </row>
    <row r="1204" spans="1:32" x14ac:dyDescent="0.2">
      <c r="A1204">
        <v>1199</v>
      </c>
      <c r="B1204" t="s">
        <v>14329</v>
      </c>
      <c r="C1204" t="s">
        <v>14330</v>
      </c>
      <c r="D1204" t="s">
        <v>14331</v>
      </c>
      <c r="E1204" t="s">
        <v>14332</v>
      </c>
      <c r="F1204" t="s">
        <v>14333</v>
      </c>
      <c r="G1204" t="s">
        <v>14334</v>
      </c>
      <c r="H1204" t="str">
        <f>"Napg"</f>
        <v>Napg</v>
      </c>
      <c r="I1204" t="s">
        <v>32</v>
      </c>
      <c r="J1204" t="s">
        <v>37</v>
      </c>
      <c r="K1204">
        <v>10090</v>
      </c>
      <c r="L1204" s="3" t="str">
        <f>HYPERLINK("http://www.uniprot.org/uniprot/Q9CWZ7", "Q9CWZ7")</f>
        <v>Q9CWZ7</v>
      </c>
      <c r="M1204" t="s">
        <v>14335</v>
      </c>
      <c r="N1204" t="str">
        <f>"Napg"</f>
        <v>Napg</v>
      </c>
      <c r="O1204" s="3" t="str">
        <f>HYPERLINK("http://www.informatics.jax.org/marker/MGI:104561", "MGI:104561")</f>
        <v>MGI:104561</v>
      </c>
      <c r="P1204" t="s">
        <v>14336</v>
      </c>
      <c r="Q1204" t="s">
        <v>2916</v>
      </c>
      <c r="R1204" t="s">
        <v>13904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t="s">
        <v>618</v>
      </c>
      <c r="Z1204" t="s">
        <v>32</v>
      </c>
      <c r="AA1204" t="s">
        <v>14337</v>
      </c>
      <c r="AB1204" t="s">
        <v>14338</v>
      </c>
      <c r="AC1204" t="s">
        <v>14339</v>
      </c>
      <c r="AD1204" t="s">
        <v>32</v>
      </c>
      <c r="AE1204" t="s">
        <v>14340</v>
      </c>
      <c r="AF1204" t="s">
        <v>46835</v>
      </c>
    </row>
    <row r="1205" spans="1:32" x14ac:dyDescent="0.2">
      <c r="A1205">
        <v>1200</v>
      </c>
      <c r="B1205" t="s">
        <v>14341</v>
      </c>
      <c r="C1205" t="s">
        <v>14342</v>
      </c>
      <c r="D1205" t="s">
        <v>14343</v>
      </c>
      <c r="E1205" t="s">
        <v>14344</v>
      </c>
      <c r="F1205" t="s">
        <v>14345</v>
      </c>
      <c r="G1205" t="s">
        <v>14346</v>
      </c>
      <c r="H1205" t="str">
        <f>"Cdc5l"</f>
        <v>Cdc5l</v>
      </c>
      <c r="I1205" t="s">
        <v>14347</v>
      </c>
      <c r="J1205" t="s">
        <v>37</v>
      </c>
      <c r="K1205">
        <v>10090</v>
      </c>
      <c r="L1205" s="3" t="str">
        <f>HYPERLINK("http://www.uniprot.org/uniprot/Q6A068", "Q6A068")</f>
        <v>Q6A068</v>
      </c>
      <c r="M1205" t="s">
        <v>14348</v>
      </c>
      <c r="N1205" t="str">
        <f>"Cdc5l"</f>
        <v>Cdc5l</v>
      </c>
      <c r="O1205" s="3" t="str">
        <f>HYPERLINK("http://www.informatics.jax.org/marker/MGI:1918952", "MGI:1918952")</f>
        <v>MGI:1918952</v>
      </c>
      <c r="P1205" t="s">
        <v>14349</v>
      </c>
      <c r="Q1205" t="s">
        <v>14350</v>
      </c>
      <c r="R1205" t="s">
        <v>2219</v>
      </c>
      <c r="S1205" t="s">
        <v>32</v>
      </c>
      <c r="T1205" t="s">
        <v>32</v>
      </c>
      <c r="U1205" t="s">
        <v>32</v>
      </c>
      <c r="V1205" t="s">
        <v>137</v>
      </c>
      <c r="W1205" t="s">
        <v>32</v>
      </c>
      <c r="X1205" t="s">
        <v>14351</v>
      </c>
      <c r="Y1205" t="s">
        <v>1007</v>
      </c>
      <c r="Z1205" t="s">
        <v>32</v>
      </c>
      <c r="AA1205" t="s">
        <v>14352</v>
      </c>
      <c r="AB1205" t="s">
        <v>14353</v>
      </c>
      <c r="AC1205" t="s">
        <v>14354</v>
      </c>
      <c r="AD1205" t="s">
        <v>32</v>
      </c>
      <c r="AE1205" t="s">
        <v>946</v>
      </c>
      <c r="AF1205" t="s">
        <v>46835</v>
      </c>
    </row>
    <row r="1206" spans="1:32" x14ac:dyDescent="0.2">
      <c r="A1206">
        <v>1201</v>
      </c>
      <c r="B1206" t="s">
        <v>14355</v>
      </c>
      <c r="C1206" t="s">
        <v>14356</v>
      </c>
      <c r="D1206" t="s">
        <v>32</v>
      </c>
      <c r="E1206" t="s">
        <v>14357</v>
      </c>
      <c r="F1206" t="s">
        <v>14358</v>
      </c>
      <c r="G1206" t="s">
        <v>14359</v>
      </c>
      <c r="H1206" t="str">
        <f>"Qki"</f>
        <v>Qki</v>
      </c>
      <c r="I1206" t="s">
        <v>14360</v>
      </c>
      <c r="J1206" t="s">
        <v>37</v>
      </c>
      <c r="K1206">
        <v>10090</v>
      </c>
      <c r="L1206" s="3" t="str">
        <f>HYPERLINK("http://www.uniprot.org/uniprot/Q9QYS9", "Q9QYS9")</f>
        <v>Q9QYS9</v>
      </c>
      <c r="M1206" t="s">
        <v>14361</v>
      </c>
      <c r="N1206" t="str">
        <f>"Qk"</f>
        <v>Qk</v>
      </c>
      <c r="O1206" s="3" t="str">
        <f>HYPERLINK("http://www.informatics.jax.org/marker/MGI:97837", "MGI:97837")</f>
        <v>MGI:97837</v>
      </c>
      <c r="P1206" t="s">
        <v>14362</v>
      </c>
      <c r="Q1206" t="s">
        <v>14363</v>
      </c>
      <c r="R1206" t="s">
        <v>40</v>
      </c>
      <c r="S1206" t="s">
        <v>41</v>
      </c>
      <c r="T1206" t="s">
        <v>32</v>
      </c>
      <c r="U1206" t="s">
        <v>32</v>
      </c>
      <c r="V1206" t="s">
        <v>7861</v>
      </c>
      <c r="W1206" t="s">
        <v>32</v>
      </c>
      <c r="X1206" t="s">
        <v>617</v>
      </c>
      <c r="Y1206" t="s">
        <v>2734</v>
      </c>
      <c r="Z1206" t="s">
        <v>126</v>
      </c>
      <c r="AA1206" t="s">
        <v>14364</v>
      </c>
      <c r="AB1206" t="s">
        <v>14365</v>
      </c>
      <c r="AC1206" t="s">
        <v>14366</v>
      </c>
      <c r="AD1206" t="s">
        <v>32</v>
      </c>
      <c r="AE1206" t="s">
        <v>32</v>
      </c>
      <c r="AF1206" t="s">
        <v>46835</v>
      </c>
    </row>
    <row r="1207" spans="1:32" x14ac:dyDescent="0.2">
      <c r="A1207">
        <v>1202</v>
      </c>
      <c r="B1207" t="s">
        <v>14367</v>
      </c>
      <c r="C1207" t="s">
        <v>14368</v>
      </c>
      <c r="D1207" t="s">
        <v>14369</v>
      </c>
      <c r="E1207" t="s">
        <v>14370</v>
      </c>
      <c r="F1207" t="s">
        <v>14371</v>
      </c>
      <c r="G1207" t="s">
        <v>14372</v>
      </c>
      <c r="H1207" t="str">
        <f>"Ank3"</f>
        <v>Ank3</v>
      </c>
      <c r="I1207" t="s">
        <v>32</v>
      </c>
      <c r="J1207" t="s">
        <v>37</v>
      </c>
      <c r="K1207">
        <v>10090</v>
      </c>
      <c r="L1207" s="3" t="str">
        <f>HYPERLINK("http://www.uniprot.org/uniprot/G5E8K5", "G5E8K5")</f>
        <v>G5E8K5</v>
      </c>
      <c r="M1207" t="s">
        <v>14373</v>
      </c>
      <c r="N1207" t="str">
        <f>"Ank3"</f>
        <v>Ank3</v>
      </c>
      <c r="O1207" s="3" t="str">
        <f>HYPERLINK("http://www.informatics.jax.org/marker/MGI:88026", "MGI:88026")</f>
        <v>MGI:88026</v>
      </c>
      <c r="P1207" t="s">
        <v>14374</v>
      </c>
      <c r="Q1207" t="s">
        <v>32</v>
      </c>
      <c r="R1207" t="s">
        <v>14375</v>
      </c>
      <c r="S1207" t="s">
        <v>41</v>
      </c>
      <c r="T1207" t="s">
        <v>32</v>
      </c>
      <c r="U1207" t="s">
        <v>32</v>
      </c>
      <c r="V1207" t="s">
        <v>912</v>
      </c>
      <c r="W1207" t="s">
        <v>32</v>
      </c>
      <c r="X1207" t="s">
        <v>32</v>
      </c>
      <c r="Y1207" t="s">
        <v>618</v>
      </c>
      <c r="Z1207" t="s">
        <v>32</v>
      </c>
      <c r="AA1207" t="s">
        <v>14376</v>
      </c>
      <c r="AB1207" t="s">
        <v>14377</v>
      </c>
      <c r="AC1207" t="s">
        <v>14378</v>
      </c>
      <c r="AD1207" t="s">
        <v>32</v>
      </c>
      <c r="AE1207" t="s">
        <v>32</v>
      </c>
      <c r="AF1207" t="s">
        <v>46835</v>
      </c>
    </row>
    <row r="1208" spans="1:32" x14ac:dyDescent="0.2">
      <c r="A1208">
        <v>1203</v>
      </c>
      <c r="B1208" t="s">
        <v>14379</v>
      </c>
      <c r="C1208" t="s">
        <v>14380</v>
      </c>
      <c r="D1208" t="s">
        <v>14381</v>
      </c>
      <c r="E1208" t="s">
        <v>14382</v>
      </c>
      <c r="F1208" t="s">
        <v>14383</v>
      </c>
      <c r="G1208" t="s">
        <v>32</v>
      </c>
      <c r="H1208" t="str">
        <f>"Impa1"</f>
        <v>Impa1</v>
      </c>
      <c r="I1208" t="s">
        <v>32</v>
      </c>
      <c r="J1208" t="s">
        <v>37</v>
      </c>
      <c r="K1208">
        <v>10090</v>
      </c>
      <c r="L1208" s="3" t="str">
        <f>HYPERLINK("http://www.uniprot.org/uniprot/O55023", "O55023")</f>
        <v>O55023</v>
      </c>
      <c r="M1208" t="s">
        <v>14384</v>
      </c>
      <c r="N1208" t="str">
        <f>"Impa1"</f>
        <v>Impa1</v>
      </c>
      <c r="O1208" s="3" t="str">
        <f>HYPERLINK("http://www.informatics.jax.org/marker/MGI:1933158", "MGI:1933158")</f>
        <v>MGI:1933158</v>
      </c>
      <c r="P1208" t="s">
        <v>14385</v>
      </c>
      <c r="Q1208" t="s">
        <v>32</v>
      </c>
      <c r="R1208" t="s">
        <v>418</v>
      </c>
      <c r="S1208" t="s">
        <v>32</v>
      </c>
      <c r="T1208" t="s">
        <v>32</v>
      </c>
      <c r="U1208" t="s">
        <v>32</v>
      </c>
      <c r="V1208" t="s">
        <v>32</v>
      </c>
      <c r="W1208" t="s">
        <v>3577</v>
      </c>
      <c r="X1208" t="s">
        <v>343</v>
      </c>
      <c r="Y1208" t="s">
        <v>32</v>
      </c>
      <c r="Z1208" t="s">
        <v>126</v>
      </c>
      <c r="AA1208" t="s">
        <v>14386</v>
      </c>
      <c r="AB1208" t="s">
        <v>14387</v>
      </c>
      <c r="AC1208" t="s">
        <v>14388</v>
      </c>
      <c r="AD1208" t="s">
        <v>14389</v>
      </c>
      <c r="AE1208" t="s">
        <v>14390</v>
      </c>
      <c r="AF1208" t="s">
        <v>46835</v>
      </c>
    </row>
    <row r="1209" spans="1:32" x14ac:dyDescent="0.2">
      <c r="A1209">
        <v>1204</v>
      </c>
      <c r="B1209" t="s">
        <v>14391</v>
      </c>
      <c r="C1209" t="s">
        <v>14392</v>
      </c>
      <c r="D1209" t="s">
        <v>14393</v>
      </c>
      <c r="E1209" t="s">
        <v>14394</v>
      </c>
      <c r="F1209" t="s">
        <v>14395</v>
      </c>
      <c r="G1209" t="s">
        <v>14396</v>
      </c>
      <c r="H1209" t="str">
        <f>"Sh3glb1"</f>
        <v>Sh3glb1</v>
      </c>
      <c r="I1209" t="s">
        <v>14397</v>
      </c>
      <c r="J1209" t="s">
        <v>37</v>
      </c>
      <c r="K1209">
        <v>10090</v>
      </c>
      <c r="L1209" s="3" t="str">
        <f>HYPERLINK("http://www.uniprot.org/uniprot/Q9JK48", "Q9JK48")</f>
        <v>Q9JK48</v>
      </c>
      <c r="M1209" t="s">
        <v>14398</v>
      </c>
      <c r="N1209" t="str">
        <f>"Sh3glb1"</f>
        <v>Sh3glb1</v>
      </c>
      <c r="O1209" s="3" t="str">
        <f>HYPERLINK("http://www.informatics.jax.org/marker/MGI:1859730", "MGI:1859730")</f>
        <v>MGI:1859730</v>
      </c>
      <c r="P1209" t="s">
        <v>14399</v>
      </c>
      <c r="Q1209" t="s">
        <v>541</v>
      </c>
      <c r="R1209" t="s">
        <v>14400</v>
      </c>
      <c r="S1209" t="s">
        <v>41</v>
      </c>
      <c r="T1209" t="s">
        <v>32</v>
      </c>
      <c r="U1209" t="s">
        <v>32</v>
      </c>
      <c r="V1209" t="s">
        <v>1606</v>
      </c>
      <c r="W1209" t="s">
        <v>584</v>
      </c>
      <c r="X1209" t="s">
        <v>32</v>
      </c>
      <c r="Y1209" t="s">
        <v>157</v>
      </c>
      <c r="Z1209" t="s">
        <v>126</v>
      </c>
      <c r="AA1209" t="s">
        <v>14401</v>
      </c>
      <c r="AB1209" t="s">
        <v>14402</v>
      </c>
      <c r="AC1209" t="s">
        <v>14403</v>
      </c>
      <c r="AD1209" t="s">
        <v>32</v>
      </c>
      <c r="AE1209" t="s">
        <v>32</v>
      </c>
      <c r="AF1209" t="s">
        <v>46835</v>
      </c>
    </row>
    <row r="1210" spans="1:32" x14ac:dyDescent="0.2">
      <c r="A1210">
        <v>1205</v>
      </c>
      <c r="B1210" t="s">
        <v>14404</v>
      </c>
      <c r="C1210" t="s">
        <v>14405</v>
      </c>
      <c r="D1210" t="s">
        <v>32</v>
      </c>
      <c r="E1210" t="s">
        <v>14406</v>
      </c>
      <c r="F1210" t="s">
        <v>14407</v>
      </c>
      <c r="G1210" t="s">
        <v>14408</v>
      </c>
      <c r="H1210" t="str">
        <f>"Edc4"</f>
        <v>Edc4</v>
      </c>
      <c r="I1210" t="s">
        <v>32</v>
      </c>
      <c r="J1210" t="s">
        <v>37</v>
      </c>
      <c r="K1210">
        <v>10090</v>
      </c>
      <c r="L1210" s="3" t="str">
        <f>HYPERLINK("http://www.uniprot.org/uniprot/Q3UJB9", "Q3UJB9")</f>
        <v>Q3UJB9</v>
      </c>
      <c r="M1210" t="s">
        <v>14409</v>
      </c>
      <c r="N1210" t="str">
        <f>"Edc4"</f>
        <v>Edc4</v>
      </c>
      <c r="O1210" s="3" t="str">
        <f>HYPERLINK("http://www.informatics.jax.org/marker/MGI:2446249", "MGI:2446249")</f>
        <v>MGI:2446249</v>
      </c>
      <c r="P1210" t="s">
        <v>14410</v>
      </c>
      <c r="Q1210" t="s">
        <v>32</v>
      </c>
      <c r="R1210" t="s">
        <v>40</v>
      </c>
      <c r="S1210" t="s">
        <v>41</v>
      </c>
      <c r="T1210" t="s">
        <v>32</v>
      </c>
      <c r="U1210" t="s">
        <v>32</v>
      </c>
      <c r="V1210" t="s">
        <v>3167</v>
      </c>
      <c r="W1210" t="s">
        <v>32</v>
      </c>
      <c r="X1210" t="s">
        <v>32</v>
      </c>
      <c r="Y1210" t="s">
        <v>157</v>
      </c>
      <c r="Z1210" t="s">
        <v>32</v>
      </c>
      <c r="AA1210" t="s">
        <v>14411</v>
      </c>
      <c r="AB1210" t="s">
        <v>14412</v>
      </c>
      <c r="AC1210" t="s">
        <v>32</v>
      </c>
      <c r="AD1210" t="s">
        <v>32</v>
      </c>
      <c r="AE1210" t="s">
        <v>12225</v>
      </c>
      <c r="AF1210" t="s">
        <v>46835</v>
      </c>
    </row>
    <row r="1211" spans="1:32" x14ac:dyDescent="0.2">
      <c r="A1211">
        <v>1206</v>
      </c>
      <c r="B1211" t="s">
        <v>14413</v>
      </c>
      <c r="C1211" t="s">
        <v>14414</v>
      </c>
      <c r="D1211" t="s">
        <v>32</v>
      </c>
      <c r="E1211" t="s">
        <v>14415</v>
      </c>
      <c r="F1211" t="s">
        <v>14416</v>
      </c>
      <c r="G1211" t="s">
        <v>14417</v>
      </c>
      <c r="H1211" t="str">
        <f>"Thumpd1"</f>
        <v>Thumpd1</v>
      </c>
      <c r="I1211" t="s">
        <v>32</v>
      </c>
      <c r="J1211" t="s">
        <v>37</v>
      </c>
      <c r="K1211">
        <v>10090</v>
      </c>
      <c r="L1211" s="3" t="str">
        <f>HYPERLINK("http://www.uniprot.org/uniprot/Q99J36", "Q99J36")</f>
        <v>Q99J36</v>
      </c>
      <c r="M1211" t="s">
        <v>14418</v>
      </c>
      <c r="N1211" t="str">
        <f>"Thumpd1"</f>
        <v>Thumpd1</v>
      </c>
      <c r="O1211" s="3" t="str">
        <f>HYPERLINK("http://www.informatics.jax.org/marker/MGI:2444479", "MGI:2444479")</f>
        <v>MGI:2444479</v>
      </c>
      <c r="P1211" t="s">
        <v>157</v>
      </c>
      <c r="Q1211" t="s">
        <v>32</v>
      </c>
      <c r="R1211" t="s">
        <v>32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t="s">
        <v>157</v>
      </c>
      <c r="Z1211" t="s">
        <v>32</v>
      </c>
      <c r="AA1211" t="s">
        <v>14419</v>
      </c>
      <c r="AB1211" t="s">
        <v>32</v>
      </c>
      <c r="AC1211" t="s">
        <v>4711</v>
      </c>
      <c r="AD1211" t="s">
        <v>32</v>
      </c>
      <c r="AE1211" t="s">
        <v>32</v>
      </c>
      <c r="AF1211" t="s">
        <v>46835</v>
      </c>
    </row>
    <row r="1212" spans="1:32" x14ac:dyDescent="0.2">
      <c r="A1212">
        <v>1207</v>
      </c>
      <c r="B1212" t="s">
        <v>14420</v>
      </c>
      <c r="C1212" t="s">
        <v>14421</v>
      </c>
      <c r="D1212" t="s">
        <v>14422</v>
      </c>
      <c r="E1212" t="s">
        <v>14423</v>
      </c>
      <c r="F1212" t="s">
        <v>14424</v>
      </c>
      <c r="G1212" t="s">
        <v>14425</v>
      </c>
      <c r="H1212" t="str">
        <f>"Khdrbs3"</f>
        <v>Khdrbs3</v>
      </c>
      <c r="I1212" t="s">
        <v>14426</v>
      </c>
      <c r="J1212" t="s">
        <v>37</v>
      </c>
      <c r="K1212">
        <v>10090</v>
      </c>
      <c r="L1212" s="3" t="str">
        <f>HYPERLINK("http://www.uniprot.org/uniprot/Q9R226", "Q9R226")</f>
        <v>Q9R226</v>
      </c>
      <c r="M1212" t="s">
        <v>14427</v>
      </c>
      <c r="N1212" t="str">
        <f>"Khdrbs3"</f>
        <v>Khdrbs3</v>
      </c>
      <c r="O1212" s="3" t="str">
        <f>HYPERLINK("http://www.informatics.jax.org/marker/MGI:1313312", "MGI:1313312")</f>
        <v>MGI:1313312</v>
      </c>
      <c r="P1212" t="s">
        <v>14428</v>
      </c>
      <c r="Q1212" t="s">
        <v>14429</v>
      </c>
      <c r="R1212" t="s">
        <v>2279</v>
      </c>
      <c r="S1212" t="s">
        <v>32</v>
      </c>
      <c r="T1212" t="s">
        <v>32</v>
      </c>
      <c r="U1212" t="s">
        <v>32</v>
      </c>
      <c r="V1212" t="s">
        <v>7861</v>
      </c>
      <c r="W1212" t="s">
        <v>32</v>
      </c>
      <c r="X1212" t="s">
        <v>1282</v>
      </c>
      <c r="Y1212" t="s">
        <v>1007</v>
      </c>
      <c r="Z1212" t="s">
        <v>32</v>
      </c>
      <c r="AA1212" t="s">
        <v>14430</v>
      </c>
      <c r="AB1212" t="s">
        <v>14431</v>
      </c>
      <c r="AC1212" t="s">
        <v>14432</v>
      </c>
      <c r="AD1212" t="s">
        <v>32</v>
      </c>
      <c r="AE1212" t="s">
        <v>2882</v>
      </c>
      <c r="AF1212" t="s">
        <v>46835</v>
      </c>
    </row>
    <row r="1213" spans="1:32" x14ac:dyDescent="0.2">
      <c r="A1213">
        <v>1208</v>
      </c>
      <c r="B1213" t="s">
        <v>14433</v>
      </c>
      <c r="C1213" t="s">
        <v>14434</v>
      </c>
      <c r="D1213" t="s">
        <v>14435</v>
      </c>
      <c r="E1213" t="s">
        <v>14436</v>
      </c>
      <c r="F1213" t="s">
        <v>14437</v>
      </c>
      <c r="G1213" t="s">
        <v>14438</v>
      </c>
      <c r="H1213" t="str">
        <f>"Cope"</f>
        <v>Cope</v>
      </c>
      <c r="I1213" t="s">
        <v>14439</v>
      </c>
      <c r="J1213" t="s">
        <v>37</v>
      </c>
      <c r="K1213">
        <v>10090</v>
      </c>
      <c r="L1213" s="3" t="str">
        <f>HYPERLINK("http://www.uniprot.org/uniprot/O89079", "O89079")</f>
        <v>O89079</v>
      </c>
      <c r="M1213" t="s">
        <v>14440</v>
      </c>
      <c r="N1213" t="str">
        <f>"Cope"</f>
        <v>Cope</v>
      </c>
      <c r="O1213" s="3" t="str">
        <f>HYPERLINK("http://www.informatics.jax.org/marker/MGI:1891702", "MGI:1891702")</f>
        <v>MGI:1891702</v>
      </c>
      <c r="P1213" t="s">
        <v>14441</v>
      </c>
      <c r="Q1213" t="s">
        <v>2916</v>
      </c>
      <c r="R1213" t="s">
        <v>3166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32</v>
      </c>
      <c r="Y1213" t="s">
        <v>2836</v>
      </c>
      <c r="Z1213" t="s">
        <v>126</v>
      </c>
      <c r="AA1213" t="s">
        <v>14442</v>
      </c>
      <c r="AB1213" t="s">
        <v>14443</v>
      </c>
      <c r="AC1213" t="s">
        <v>4591</v>
      </c>
      <c r="AD1213" t="s">
        <v>32</v>
      </c>
      <c r="AE1213" t="s">
        <v>3171</v>
      </c>
      <c r="AF1213" t="s">
        <v>46835</v>
      </c>
    </row>
    <row r="1214" spans="1:32" x14ac:dyDescent="0.2">
      <c r="A1214">
        <v>1209</v>
      </c>
      <c r="B1214" t="s">
        <v>14444</v>
      </c>
      <c r="C1214" t="s">
        <v>14445</v>
      </c>
      <c r="D1214" t="s">
        <v>14446</v>
      </c>
      <c r="E1214" t="s">
        <v>14447</v>
      </c>
      <c r="F1214" t="s">
        <v>14448</v>
      </c>
      <c r="G1214" t="s">
        <v>14449</v>
      </c>
      <c r="H1214" t="str">
        <f>"Ube2v1"</f>
        <v>Ube2v1</v>
      </c>
      <c r="I1214" t="s">
        <v>14450</v>
      </c>
      <c r="J1214" t="s">
        <v>37</v>
      </c>
      <c r="K1214">
        <v>10090</v>
      </c>
      <c r="L1214" s="3" t="str">
        <f>HYPERLINK("http://www.uniprot.org/uniprot/Q9CZY3", "Q9CZY3")</f>
        <v>Q9CZY3</v>
      </c>
      <c r="M1214" t="s">
        <v>14451</v>
      </c>
      <c r="N1214" t="str">
        <f>"Ube2v1"</f>
        <v>Ube2v1</v>
      </c>
      <c r="O1214" s="3" t="str">
        <f>HYPERLINK("http://www.informatics.jax.org/marker/MGI:1913839", "MGI:1913839")</f>
        <v>MGI:1913839</v>
      </c>
      <c r="P1214" t="s">
        <v>14452</v>
      </c>
      <c r="Q1214" t="s">
        <v>1020</v>
      </c>
      <c r="R1214" t="s">
        <v>2279</v>
      </c>
      <c r="S1214" t="s">
        <v>41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t="s">
        <v>78</v>
      </c>
      <c r="Z1214" t="s">
        <v>32</v>
      </c>
      <c r="AA1214" t="s">
        <v>14453</v>
      </c>
      <c r="AB1214" t="s">
        <v>14454</v>
      </c>
      <c r="AC1214" t="s">
        <v>14455</v>
      </c>
      <c r="AD1214" t="s">
        <v>32</v>
      </c>
      <c r="AE1214" t="s">
        <v>14456</v>
      </c>
      <c r="AF1214" t="s">
        <v>46835</v>
      </c>
    </row>
    <row r="1215" spans="1:32" x14ac:dyDescent="0.2">
      <c r="A1215">
        <v>1210</v>
      </c>
      <c r="B1215" t="s">
        <v>14457</v>
      </c>
      <c r="C1215" t="s">
        <v>14458</v>
      </c>
      <c r="D1215" t="s">
        <v>14459</v>
      </c>
      <c r="E1215" t="s">
        <v>14460</v>
      </c>
      <c r="F1215" t="s">
        <v>14461</v>
      </c>
      <c r="G1215" t="s">
        <v>14462</v>
      </c>
      <c r="H1215" t="str">
        <f>"Ppp5c"</f>
        <v>Ppp5c</v>
      </c>
      <c r="I1215" t="s">
        <v>32</v>
      </c>
      <c r="J1215" t="s">
        <v>37</v>
      </c>
      <c r="K1215">
        <v>10090</v>
      </c>
      <c r="L1215" s="3" t="str">
        <f>HYPERLINK("http://www.uniprot.org/uniprot/Q60676", "Q60676")</f>
        <v>Q60676</v>
      </c>
      <c r="M1215" t="s">
        <v>14463</v>
      </c>
      <c r="N1215" t="str">
        <f>"Ppp5c"</f>
        <v>Ppp5c</v>
      </c>
      <c r="O1215" s="3" t="str">
        <f>HYPERLINK("http://www.informatics.jax.org/marker/MGI:102666", "MGI:102666")</f>
        <v>MGI:102666</v>
      </c>
      <c r="P1215" t="s">
        <v>14464</v>
      </c>
      <c r="Q1215" t="s">
        <v>32</v>
      </c>
      <c r="R1215" t="s">
        <v>276</v>
      </c>
      <c r="S1215" t="s">
        <v>32</v>
      </c>
      <c r="T1215" t="s">
        <v>32</v>
      </c>
      <c r="U1215" t="s">
        <v>32</v>
      </c>
      <c r="V1215" t="s">
        <v>995</v>
      </c>
      <c r="W1215" t="s">
        <v>9312</v>
      </c>
      <c r="X1215" t="s">
        <v>3683</v>
      </c>
      <c r="Y1215" t="s">
        <v>78</v>
      </c>
      <c r="Z1215" t="s">
        <v>32</v>
      </c>
      <c r="AA1215" t="s">
        <v>14465</v>
      </c>
      <c r="AB1215" t="s">
        <v>14466</v>
      </c>
      <c r="AC1215" t="s">
        <v>14467</v>
      </c>
      <c r="AD1215" t="s">
        <v>32</v>
      </c>
      <c r="AE1215" t="s">
        <v>14468</v>
      </c>
      <c r="AF1215" t="s">
        <v>46835</v>
      </c>
    </row>
    <row r="1216" spans="1:32" x14ac:dyDescent="0.2">
      <c r="A1216">
        <v>1211</v>
      </c>
      <c r="B1216" t="s">
        <v>14469</v>
      </c>
      <c r="C1216" t="s">
        <v>14470</v>
      </c>
      <c r="D1216" t="s">
        <v>14471</v>
      </c>
      <c r="E1216" t="s">
        <v>14472</v>
      </c>
      <c r="F1216" t="s">
        <v>14473</v>
      </c>
      <c r="G1216" t="s">
        <v>14474</v>
      </c>
      <c r="H1216" t="str">
        <f>"Apip"</f>
        <v>Apip</v>
      </c>
      <c r="I1216" t="s">
        <v>14475</v>
      </c>
      <c r="J1216" t="s">
        <v>37</v>
      </c>
      <c r="K1216">
        <v>10090</v>
      </c>
      <c r="L1216" s="3" t="str">
        <f>HYPERLINK("http://www.uniprot.org/uniprot/Q9WVQ5", "Q9WVQ5")</f>
        <v>Q9WVQ5</v>
      </c>
      <c r="M1216" t="s">
        <v>14476</v>
      </c>
      <c r="N1216" t="str">
        <f>"Apip"</f>
        <v>Apip</v>
      </c>
      <c r="O1216" s="3" t="str">
        <f>HYPERLINK("http://www.informatics.jax.org/marker/MGI:1926788", "MGI:1926788")</f>
        <v>MGI:1926788</v>
      </c>
      <c r="P1216" t="s">
        <v>14477</v>
      </c>
      <c r="Q1216" t="s">
        <v>14478</v>
      </c>
      <c r="R1216" t="s">
        <v>418</v>
      </c>
      <c r="S1216" t="s">
        <v>32</v>
      </c>
      <c r="T1216" t="s">
        <v>32</v>
      </c>
      <c r="U1216" t="s">
        <v>32</v>
      </c>
      <c r="V1216" t="s">
        <v>32</v>
      </c>
      <c r="W1216" t="s">
        <v>42</v>
      </c>
      <c r="X1216" t="s">
        <v>224</v>
      </c>
      <c r="Y1216" t="s">
        <v>32</v>
      </c>
      <c r="Z1216" t="s">
        <v>32</v>
      </c>
      <c r="AA1216" t="s">
        <v>14479</v>
      </c>
      <c r="AB1216" t="s">
        <v>2172</v>
      </c>
      <c r="AC1216" t="s">
        <v>14480</v>
      </c>
      <c r="AD1216" t="s">
        <v>14481</v>
      </c>
      <c r="AE1216" t="s">
        <v>14482</v>
      </c>
      <c r="AF1216" t="s">
        <v>46835</v>
      </c>
    </row>
    <row r="1217" spans="1:33" x14ac:dyDescent="0.2">
      <c r="A1217">
        <v>1212</v>
      </c>
      <c r="B1217" t="s">
        <v>14483</v>
      </c>
      <c r="C1217" t="s">
        <v>14484</v>
      </c>
      <c r="D1217" t="s">
        <v>14485</v>
      </c>
      <c r="E1217" t="s">
        <v>14486</v>
      </c>
      <c r="F1217" t="s">
        <v>14487</v>
      </c>
      <c r="G1217" t="s">
        <v>14488</v>
      </c>
      <c r="H1217" t="str">
        <f>"Snap47"</f>
        <v>Snap47</v>
      </c>
      <c r="I1217" t="s">
        <v>32</v>
      </c>
      <c r="J1217" t="s">
        <v>37</v>
      </c>
      <c r="K1217">
        <v>10090</v>
      </c>
      <c r="L1217" s="3" t="str">
        <f>HYPERLINK("http://www.uniprot.org/uniprot/Q8R570", "Q8R570")</f>
        <v>Q8R570</v>
      </c>
      <c r="M1217" t="s">
        <v>14489</v>
      </c>
      <c r="N1217" t="str">
        <f>"Snap47"</f>
        <v>Snap47</v>
      </c>
      <c r="O1217" s="3" t="str">
        <f>HYPERLINK("http://www.informatics.jax.org/marker/MGI:1915076", "MGI:1915076")</f>
        <v>MGI:1915076</v>
      </c>
      <c r="P1217" t="s">
        <v>14490</v>
      </c>
      <c r="Q1217" t="s">
        <v>32</v>
      </c>
      <c r="R1217" t="s">
        <v>714</v>
      </c>
      <c r="S1217" t="s">
        <v>41</v>
      </c>
      <c r="T1217" t="s">
        <v>32</v>
      </c>
      <c r="U1217" t="s">
        <v>32</v>
      </c>
      <c r="V1217" t="s">
        <v>137</v>
      </c>
      <c r="W1217" t="s">
        <v>32</v>
      </c>
      <c r="X1217" t="s">
        <v>32</v>
      </c>
      <c r="Y1217" t="s">
        <v>32</v>
      </c>
      <c r="Z1217" t="s">
        <v>32</v>
      </c>
      <c r="AA1217" t="s">
        <v>14491</v>
      </c>
      <c r="AB1217" t="s">
        <v>14492</v>
      </c>
      <c r="AC1217" t="s">
        <v>14493</v>
      </c>
      <c r="AD1217" t="s">
        <v>32</v>
      </c>
      <c r="AE1217" t="s">
        <v>32</v>
      </c>
      <c r="AF1217" t="s">
        <v>46835</v>
      </c>
    </row>
    <row r="1218" spans="1:33" x14ac:dyDescent="0.2">
      <c r="A1218">
        <v>1213</v>
      </c>
      <c r="B1218" t="s">
        <v>14494</v>
      </c>
      <c r="C1218" t="s">
        <v>14495</v>
      </c>
      <c r="D1218" t="s">
        <v>14496</v>
      </c>
      <c r="E1218" t="s">
        <v>14497</v>
      </c>
      <c r="F1218" t="s">
        <v>14498</v>
      </c>
      <c r="G1218" t="s">
        <v>14499</v>
      </c>
      <c r="H1218" t="str">
        <f>"Galnt2"</f>
        <v>Galnt2</v>
      </c>
      <c r="I1218" t="s">
        <v>32</v>
      </c>
      <c r="J1218" t="s">
        <v>37</v>
      </c>
      <c r="K1218">
        <v>10090</v>
      </c>
      <c r="L1218" s="3" t="str">
        <f>HYPERLINK("http://www.uniprot.org/uniprot/Q6PB93", "Q6PB93")</f>
        <v>Q6PB93</v>
      </c>
      <c r="M1218" t="s">
        <v>14500</v>
      </c>
      <c r="N1218" t="str">
        <f>"Galnt2"</f>
        <v>Galnt2</v>
      </c>
      <c r="O1218" s="3" t="str">
        <f>HYPERLINK("http://www.informatics.jax.org/marker/MGI:894694", "MGI:894694")</f>
        <v>MGI:894694</v>
      </c>
      <c r="P1218" t="s">
        <v>14501</v>
      </c>
      <c r="Q1218" t="s">
        <v>32</v>
      </c>
      <c r="R1218" t="s">
        <v>14502</v>
      </c>
      <c r="S1218" t="s">
        <v>41</v>
      </c>
      <c r="T1218" t="s">
        <v>32</v>
      </c>
      <c r="U1218" t="s">
        <v>32</v>
      </c>
      <c r="V1218" t="s">
        <v>1550</v>
      </c>
      <c r="W1218" t="s">
        <v>14503</v>
      </c>
      <c r="X1218" t="s">
        <v>2362</v>
      </c>
      <c r="Y1218" t="s">
        <v>2865</v>
      </c>
      <c r="Z1218" t="s">
        <v>32</v>
      </c>
      <c r="AA1218" t="s">
        <v>14504</v>
      </c>
      <c r="AB1218" t="s">
        <v>14505</v>
      </c>
      <c r="AC1218" t="s">
        <v>14506</v>
      </c>
      <c r="AD1218" t="s">
        <v>3952</v>
      </c>
      <c r="AE1218" t="s">
        <v>14507</v>
      </c>
      <c r="AF1218" t="s">
        <v>46835</v>
      </c>
    </row>
    <row r="1219" spans="1:33" x14ac:dyDescent="0.2">
      <c r="A1219">
        <v>1214</v>
      </c>
      <c r="B1219" t="s">
        <v>14508</v>
      </c>
      <c r="C1219" t="s">
        <v>47124</v>
      </c>
      <c r="D1219" t="s">
        <v>32</v>
      </c>
      <c r="E1219" t="s">
        <v>46888</v>
      </c>
      <c r="F1219" t="s">
        <v>46887</v>
      </c>
      <c r="G1219" t="s">
        <v>32</v>
      </c>
      <c r="H1219" t="s">
        <v>47255</v>
      </c>
      <c r="I1219" t="s">
        <v>32</v>
      </c>
      <c r="J1219" t="s">
        <v>37</v>
      </c>
      <c r="K1219">
        <v>10090</v>
      </c>
      <c r="L1219" s="3" t="str">
        <f>HYPERLINK(CONCATENATE("https://www.uniprot.org/uniprotkb/", AG1219, "/entry"), AG1219)</f>
        <v>Q91VA7</v>
      </c>
      <c r="M1219" t="s">
        <v>32</v>
      </c>
      <c r="N1219" t="s">
        <v>32</v>
      </c>
      <c r="O1219" s="3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32</v>
      </c>
      <c r="Y1219" t="s">
        <v>32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t="s">
        <v>46835</v>
      </c>
      <c r="AG1219" t="s">
        <v>46887</v>
      </c>
    </row>
    <row r="1220" spans="1:33" x14ac:dyDescent="0.2">
      <c r="A1220">
        <v>1215</v>
      </c>
      <c r="B1220" t="s">
        <v>14509</v>
      </c>
      <c r="C1220" t="s">
        <v>14510</v>
      </c>
      <c r="D1220" t="s">
        <v>32</v>
      </c>
      <c r="E1220" t="s">
        <v>14511</v>
      </c>
      <c r="F1220" t="s">
        <v>14512</v>
      </c>
      <c r="G1220" t="s">
        <v>14513</v>
      </c>
      <c r="H1220" t="str">
        <f>"Dnajc8"</f>
        <v>Dnajc8</v>
      </c>
      <c r="I1220" t="s">
        <v>32</v>
      </c>
      <c r="J1220" t="s">
        <v>37</v>
      </c>
      <c r="K1220">
        <v>10090</v>
      </c>
      <c r="L1220" s="3" t="str">
        <f>HYPERLINK("http://www.uniprot.org/uniprot/Q6NZB0", "Q6NZB0")</f>
        <v>Q6NZB0</v>
      </c>
      <c r="M1220" t="s">
        <v>14514</v>
      </c>
      <c r="N1220" t="str">
        <f>"Dnajc8"</f>
        <v>Dnajc8</v>
      </c>
      <c r="O1220" s="3" t="str">
        <f>HYPERLINK("http://www.informatics.jax.org/marker/MGI:1915848", "MGI:1915848")</f>
        <v>MGI:1915848</v>
      </c>
      <c r="P1220" t="s">
        <v>13463</v>
      </c>
      <c r="Q1220" t="s">
        <v>32</v>
      </c>
      <c r="R1220" t="s">
        <v>2279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388</v>
      </c>
      <c r="Y1220" t="s">
        <v>157</v>
      </c>
      <c r="Z1220" t="s">
        <v>32</v>
      </c>
      <c r="AA1220" t="s">
        <v>32</v>
      </c>
      <c r="AB1220" t="s">
        <v>14515</v>
      </c>
      <c r="AC1220" t="s">
        <v>14516</v>
      </c>
      <c r="AD1220" t="s">
        <v>32</v>
      </c>
      <c r="AE1220" t="s">
        <v>946</v>
      </c>
      <c r="AF1220" t="s">
        <v>46835</v>
      </c>
    </row>
    <row r="1221" spans="1:33" x14ac:dyDescent="0.2">
      <c r="A1221">
        <v>1216</v>
      </c>
      <c r="B1221" t="s">
        <v>14517</v>
      </c>
      <c r="C1221" t="s">
        <v>14518</v>
      </c>
      <c r="D1221" t="s">
        <v>14519</v>
      </c>
      <c r="E1221" t="s">
        <v>14520</v>
      </c>
      <c r="F1221" t="s">
        <v>14521</v>
      </c>
      <c r="G1221" t="s">
        <v>14522</v>
      </c>
      <c r="H1221" t="str">
        <f>"Rae1"</f>
        <v>Rae1</v>
      </c>
      <c r="I1221" t="s">
        <v>14523</v>
      </c>
      <c r="J1221" t="s">
        <v>37</v>
      </c>
      <c r="K1221">
        <v>10090</v>
      </c>
      <c r="L1221" s="3" t="str">
        <f>HYPERLINK("http://www.uniprot.org/uniprot/Q8C570", "Q8C570")</f>
        <v>Q8C570</v>
      </c>
      <c r="M1221" t="s">
        <v>14524</v>
      </c>
      <c r="N1221" t="str">
        <f>"Rae1"</f>
        <v>Rae1</v>
      </c>
      <c r="O1221" s="3" t="str">
        <f>HYPERLINK("http://www.informatics.jax.org/marker/MGI:1913929", "MGI:1913929")</f>
        <v>MGI:1913929</v>
      </c>
      <c r="P1221" t="s">
        <v>14525</v>
      </c>
      <c r="Q1221" t="s">
        <v>827</v>
      </c>
      <c r="R1221" t="s">
        <v>324</v>
      </c>
      <c r="S1221" t="s">
        <v>32</v>
      </c>
      <c r="T1221" t="s">
        <v>32</v>
      </c>
      <c r="U1221" t="s">
        <v>32</v>
      </c>
      <c r="V1221" t="s">
        <v>1910</v>
      </c>
      <c r="W1221" t="s">
        <v>32</v>
      </c>
      <c r="X1221" t="s">
        <v>32</v>
      </c>
      <c r="Y1221" t="s">
        <v>618</v>
      </c>
      <c r="Z1221" t="s">
        <v>126</v>
      </c>
      <c r="AA1221" t="s">
        <v>14526</v>
      </c>
      <c r="AB1221" t="s">
        <v>14527</v>
      </c>
      <c r="AC1221" t="s">
        <v>14528</v>
      </c>
      <c r="AD1221" t="s">
        <v>32</v>
      </c>
      <c r="AE1221" t="s">
        <v>4686</v>
      </c>
      <c r="AF1221" t="s">
        <v>46835</v>
      </c>
    </row>
    <row r="1222" spans="1:33" x14ac:dyDescent="0.2">
      <c r="A1222">
        <v>1217</v>
      </c>
      <c r="B1222" t="s">
        <v>14529</v>
      </c>
      <c r="C1222" t="s">
        <v>14530</v>
      </c>
      <c r="D1222" t="s">
        <v>14531</v>
      </c>
      <c r="E1222" t="s">
        <v>14532</v>
      </c>
      <c r="F1222" t="s">
        <v>14533</v>
      </c>
      <c r="G1222" t="s">
        <v>32</v>
      </c>
      <c r="H1222" t="str">
        <f>"Gclm"</f>
        <v>Gclm</v>
      </c>
      <c r="I1222" t="s">
        <v>14534</v>
      </c>
      <c r="J1222" t="s">
        <v>37</v>
      </c>
      <c r="K1222">
        <v>10090</v>
      </c>
      <c r="L1222" s="3" t="str">
        <f>HYPERLINK("http://www.uniprot.org/uniprot/O09172", "O09172")</f>
        <v>O09172</v>
      </c>
      <c r="M1222" t="s">
        <v>14535</v>
      </c>
      <c r="N1222" t="str">
        <f>"Gclm"</f>
        <v>Gclm</v>
      </c>
      <c r="O1222" s="3" t="str">
        <f>HYPERLINK("http://www.informatics.jax.org/marker/MGI:104995", "MGI:104995")</f>
        <v>MGI:104995</v>
      </c>
      <c r="P1222" t="s">
        <v>14536</v>
      </c>
      <c r="Q1222" t="s">
        <v>1265</v>
      </c>
      <c r="R1222" t="s">
        <v>32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32</v>
      </c>
      <c r="Y1222" t="s">
        <v>157</v>
      </c>
      <c r="Z1222" t="s">
        <v>32</v>
      </c>
      <c r="AA1222" t="s">
        <v>14537</v>
      </c>
      <c r="AB1222" t="s">
        <v>14538</v>
      </c>
      <c r="AC1222" t="s">
        <v>14539</v>
      </c>
      <c r="AD1222" t="s">
        <v>14540</v>
      </c>
      <c r="AE1222" t="s">
        <v>1271</v>
      </c>
      <c r="AF1222" t="s">
        <v>46835</v>
      </c>
    </row>
    <row r="1223" spans="1:33" x14ac:dyDescent="0.2">
      <c r="A1223">
        <v>1218</v>
      </c>
      <c r="B1223" t="s">
        <v>14541</v>
      </c>
      <c r="C1223" t="s">
        <v>14542</v>
      </c>
      <c r="D1223" t="s">
        <v>14543</v>
      </c>
      <c r="E1223" t="s">
        <v>14544</v>
      </c>
      <c r="F1223" t="s">
        <v>14545</v>
      </c>
      <c r="G1223" t="s">
        <v>14546</v>
      </c>
      <c r="H1223" t="str">
        <f>"Coro1b"</f>
        <v>Coro1b</v>
      </c>
      <c r="I1223" t="s">
        <v>32</v>
      </c>
      <c r="J1223" t="s">
        <v>37</v>
      </c>
      <c r="K1223">
        <v>10090</v>
      </c>
      <c r="L1223" s="3" t="str">
        <f>HYPERLINK("http://www.uniprot.org/uniprot/Q9WUM3", "Q9WUM3")</f>
        <v>Q9WUM3</v>
      </c>
      <c r="M1223" t="s">
        <v>14547</v>
      </c>
      <c r="N1223" t="str">
        <f>"Coro1b"</f>
        <v>Coro1b</v>
      </c>
      <c r="O1223" s="3" t="str">
        <f>HYPERLINK("http://www.informatics.jax.org/marker/MGI:1345963", "MGI:1345963")</f>
        <v>MGI:1345963</v>
      </c>
      <c r="P1223" t="s">
        <v>14548</v>
      </c>
      <c r="Q1223" t="s">
        <v>32</v>
      </c>
      <c r="R1223" t="s">
        <v>186</v>
      </c>
      <c r="S1223" t="s">
        <v>32</v>
      </c>
      <c r="T1223" t="s">
        <v>32</v>
      </c>
      <c r="U1223" t="s">
        <v>32</v>
      </c>
      <c r="V1223" t="s">
        <v>3167</v>
      </c>
      <c r="W1223" t="s">
        <v>32</v>
      </c>
      <c r="X1223" t="s">
        <v>405</v>
      </c>
      <c r="Y1223" t="s">
        <v>618</v>
      </c>
      <c r="Z1223" t="s">
        <v>32</v>
      </c>
      <c r="AA1223" t="s">
        <v>14549</v>
      </c>
      <c r="AB1223" t="s">
        <v>14550</v>
      </c>
      <c r="AC1223" t="s">
        <v>14551</v>
      </c>
      <c r="AD1223" t="s">
        <v>32</v>
      </c>
      <c r="AE1223" t="s">
        <v>32</v>
      </c>
      <c r="AF1223" t="s">
        <v>46835</v>
      </c>
    </row>
    <row r="1224" spans="1:33" x14ac:dyDescent="0.2">
      <c r="A1224">
        <v>1219</v>
      </c>
      <c r="B1224" t="s">
        <v>14552</v>
      </c>
      <c r="C1224" t="s">
        <v>14553</v>
      </c>
      <c r="D1224" t="s">
        <v>14554</v>
      </c>
      <c r="E1224" t="s">
        <v>14555</v>
      </c>
      <c r="F1224" t="s">
        <v>14556</v>
      </c>
      <c r="G1224" t="s">
        <v>14557</v>
      </c>
      <c r="H1224" t="str">
        <f>"Czib"</f>
        <v>Czib</v>
      </c>
      <c r="I1224" t="s">
        <v>32</v>
      </c>
      <c r="J1224" t="s">
        <v>37</v>
      </c>
      <c r="K1224">
        <v>10090</v>
      </c>
      <c r="L1224" s="3" t="str">
        <f>HYPERLINK("http://www.uniprot.org/uniprot/Q8BHG2", "Q8BHG2")</f>
        <v>Q8BHG2</v>
      </c>
      <c r="M1224" t="s">
        <v>14558</v>
      </c>
      <c r="N1224" t="str">
        <f>"Czib"</f>
        <v>Czib</v>
      </c>
      <c r="O1224" s="3" t="str">
        <f>HYPERLINK("http://www.informatics.jax.org/marker/MGI:1921348", "MGI:1921348")</f>
        <v>MGI:1921348</v>
      </c>
      <c r="P1224" t="s">
        <v>14559</v>
      </c>
      <c r="Q1224" t="s">
        <v>32</v>
      </c>
      <c r="R1224" t="s">
        <v>32</v>
      </c>
      <c r="S1224" t="s">
        <v>41</v>
      </c>
      <c r="T1224" t="s">
        <v>32</v>
      </c>
      <c r="U1224" t="s">
        <v>32</v>
      </c>
      <c r="V1224" t="s">
        <v>32</v>
      </c>
      <c r="W1224" t="s">
        <v>42</v>
      </c>
      <c r="X1224" t="s">
        <v>32</v>
      </c>
      <c r="Y1224" t="s">
        <v>618</v>
      </c>
      <c r="Z1224" t="s">
        <v>32</v>
      </c>
      <c r="AA1224" t="s">
        <v>32</v>
      </c>
      <c r="AB1224" t="s">
        <v>32</v>
      </c>
      <c r="AC1224" t="s">
        <v>14560</v>
      </c>
      <c r="AD1224" t="s">
        <v>32</v>
      </c>
      <c r="AE1224" t="s">
        <v>32</v>
      </c>
      <c r="AF1224" t="s">
        <v>46835</v>
      </c>
    </row>
    <row r="1225" spans="1:33" x14ac:dyDescent="0.2">
      <c r="A1225">
        <v>1220</v>
      </c>
      <c r="B1225" t="s">
        <v>14561</v>
      </c>
      <c r="C1225" t="s">
        <v>14562</v>
      </c>
      <c r="D1225" t="s">
        <v>32</v>
      </c>
      <c r="E1225" t="s">
        <v>14563</v>
      </c>
      <c r="F1225" t="s">
        <v>14564</v>
      </c>
      <c r="G1225" t="s">
        <v>14565</v>
      </c>
      <c r="H1225" t="str">
        <f>"Acadl"</f>
        <v>Acadl</v>
      </c>
      <c r="I1225" t="s">
        <v>32</v>
      </c>
      <c r="J1225" t="s">
        <v>37</v>
      </c>
      <c r="K1225">
        <v>10090</v>
      </c>
      <c r="L1225" s="3" t="str">
        <f>HYPERLINK("http://www.uniprot.org/uniprot/P51174", "P51174")</f>
        <v>P51174</v>
      </c>
      <c r="M1225" t="s">
        <v>14566</v>
      </c>
      <c r="N1225" t="str">
        <f>"Acadl"</f>
        <v>Acadl</v>
      </c>
      <c r="O1225" s="3" t="str">
        <f>HYPERLINK("http://www.informatics.jax.org/marker/MGI:87866", "MGI:87866")</f>
        <v>MGI:87866</v>
      </c>
      <c r="P1225" t="s">
        <v>8314</v>
      </c>
      <c r="Q1225" t="s">
        <v>6214</v>
      </c>
      <c r="R1225" t="s">
        <v>1038</v>
      </c>
      <c r="S1225" t="s">
        <v>32</v>
      </c>
      <c r="T1225" t="s">
        <v>32</v>
      </c>
      <c r="U1225" t="s">
        <v>32</v>
      </c>
      <c r="V1225" t="s">
        <v>1039</v>
      </c>
      <c r="W1225" t="s">
        <v>4600</v>
      </c>
      <c r="X1225" t="s">
        <v>600</v>
      </c>
      <c r="Y1225" t="s">
        <v>157</v>
      </c>
      <c r="Z1225" t="s">
        <v>32</v>
      </c>
      <c r="AA1225" t="s">
        <v>14567</v>
      </c>
      <c r="AB1225" t="s">
        <v>14568</v>
      </c>
      <c r="AC1225" t="s">
        <v>14569</v>
      </c>
      <c r="AD1225" t="s">
        <v>8318</v>
      </c>
      <c r="AE1225" t="s">
        <v>14570</v>
      </c>
      <c r="AF1225" t="s">
        <v>46835</v>
      </c>
    </row>
    <row r="1226" spans="1:33" x14ac:dyDescent="0.2">
      <c r="A1226">
        <v>1221</v>
      </c>
      <c r="B1226" t="s">
        <v>14571</v>
      </c>
      <c r="C1226" t="s">
        <v>14572</v>
      </c>
      <c r="D1226" t="s">
        <v>14573</v>
      </c>
      <c r="E1226" t="s">
        <v>14574</v>
      </c>
      <c r="F1226" t="s">
        <v>14575</v>
      </c>
      <c r="G1226" t="s">
        <v>14576</v>
      </c>
      <c r="H1226" t="str">
        <f>"Cstb"</f>
        <v>Cstb</v>
      </c>
      <c r="I1226" t="s">
        <v>14577</v>
      </c>
      <c r="J1226" t="s">
        <v>37</v>
      </c>
      <c r="K1226">
        <v>10090</v>
      </c>
      <c r="L1226" s="3" t="str">
        <f>HYPERLINK("http://www.uniprot.org/uniprot/Q62426", "Q62426")</f>
        <v>Q62426</v>
      </c>
      <c r="M1226" t="s">
        <v>14578</v>
      </c>
      <c r="N1226" t="str">
        <f>"Cstb"</f>
        <v>Cstb</v>
      </c>
      <c r="O1226" s="3" t="str">
        <f>HYPERLINK("http://www.informatics.jax.org/marker/MGI:109514", "MGI:109514")</f>
        <v>MGI:109514</v>
      </c>
      <c r="P1226" t="s">
        <v>14579</v>
      </c>
      <c r="Q1226" t="s">
        <v>32</v>
      </c>
      <c r="R1226" t="s">
        <v>418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14580</v>
      </c>
      <c r="Y1226" t="s">
        <v>78</v>
      </c>
      <c r="Z1226" t="s">
        <v>32</v>
      </c>
      <c r="AA1226" t="s">
        <v>14581</v>
      </c>
      <c r="AB1226" t="s">
        <v>14582</v>
      </c>
      <c r="AC1226" t="s">
        <v>14583</v>
      </c>
      <c r="AD1226" t="s">
        <v>32</v>
      </c>
      <c r="AE1226" t="s">
        <v>548</v>
      </c>
      <c r="AF1226" t="s">
        <v>46835</v>
      </c>
    </row>
    <row r="1227" spans="1:33" x14ac:dyDescent="0.2">
      <c r="A1227">
        <v>1222</v>
      </c>
      <c r="B1227" t="s">
        <v>14584</v>
      </c>
      <c r="C1227" t="s">
        <v>14585</v>
      </c>
      <c r="D1227" t="s">
        <v>14586</v>
      </c>
      <c r="E1227" t="s">
        <v>14587</v>
      </c>
      <c r="F1227" t="s">
        <v>14588</v>
      </c>
      <c r="G1227" t="s">
        <v>14589</v>
      </c>
      <c r="H1227" t="str">
        <f>"Sbds"</f>
        <v>Sbds</v>
      </c>
      <c r="I1227" t="s">
        <v>32</v>
      </c>
      <c r="J1227" t="s">
        <v>37</v>
      </c>
      <c r="K1227">
        <v>10090</v>
      </c>
      <c r="L1227" s="3" t="str">
        <f>HYPERLINK("http://www.uniprot.org/uniprot/P70122", "P70122")</f>
        <v>P70122</v>
      </c>
      <c r="M1227" t="s">
        <v>14590</v>
      </c>
      <c r="N1227" t="str">
        <f>"Sbds"</f>
        <v>Sbds</v>
      </c>
      <c r="O1227" s="3" t="str">
        <f>HYPERLINK("http://www.informatics.jax.org/marker/MGI:1913961", "MGI:1913961")</f>
        <v>MGI:1913961</v>
      </c>
      <c r="P1227" t="s">
        <v>14591</v>
      </c>
      <c r="Q1227" t="s">
        <v>6400</v>
      </c>
      <c r="R1227" t="s">
        <v>324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 t="s">
        <v>157</v>
      </c>
      <c r="Z1227" t="s">
        <v>32</v>
      </c>
      <c r="AA1227" t="s">
        <v>14592</v>
      </c>
      <c r="AB1227" t="s">
        <v>14593</v>
      </c>
      <c r="AC1227" t="s">
        <v>14594</v>
      </c>
      <c r="AD1227" t="s">
        <v>32</v>
      </c>
      <c r="AE1227" t="s">
        <v>32</v>
      </c>
      <c r="AF1227" t="s">
        <v>46835</v>
      </c>
    </row>
    <row r="1228" spans="1:33" x14ac:dyDescent="0.2">
      <c r="A1228">
        <v>1223</v>
      </c>
      <c r="B1228" t="s">
        <v>14595</v>
      </c>
      <c r="C1228" t="s">
        <v>14596</v>
      </c>
      <c r="D1228" t="s">
        <v>14597</v>
      </c>
      <c r="E1228" t="s">
        <v>14598</v>
      </c>
      <c r="F1228" t="s">
        <v>14599</v>
      </c>
      <c r="G1228" t="s">
        <v>14600</v>
      </c>
      <c r="H1228" t="str">
        <f>"Clint1"</f>
        <v>Clint1</v>
      </c>
      <c r="I1228" t="s">
        <v>14601</v>
      </c>
      <c r="J1228" t="s">
        <v>37</v>
      </c>
      <c r="K1228">
        <v>10090</v>
      </c>
      <c r="L1228" s="3" t="str">
        <f>HYPERLINK("http://www.uniprot.org/uniprot/Q99KN9", "Q99KN9")</f>
        <v>Q99KN9</v>
      </c>
      <c r="M1228" t="s">
        <v>14602</v>
      </c>
      <c r="N1228" t="str">
        <f>"Clint1"</f>
        <v>Clint1</v>
      </c>
      <c r="O1228" s="3" t="str">
        <f>HYPERLINK("http://www.informatics.jax.org/marker/MGI:2144243", "MGI:2144243")</f>
        <v>MGI:2144243</v>
      </c>
      <c r="P1228" t="s">
        <v>14603</v>
      </c>
      <c r="Q1228" t="s">
        <v>2822</v>
      </c>
      <c r="R1228" t="s">
        <v>14604</v>
      </c>
      <c r="S1228" t="s">
        <v>41</v>
      </c>
      <c r="T1228" t="s">
        <v>32</v>
      </c>
      <c r="U1228" t="s">
        <v>32</v>
      </c>
      <c r="V1228" t="s">
        <v>32</v>
      </c>
      <c r="W1228" t="s">
        <v>584</v>
      </c>
      <c r="X1228" t="s">
        <v>32</v>
      </c>
      <c r="Y1228" t="s">
        <v>618</v>
      </c>
      <c r="Z1228" t="s">
        <v>32</v>
      </c>
      <c r="AA1228" t="s">
        <v>14605</v>
      </c>
      <c r="AB1228" t="s">
        <v>14606</v>
      </c>
      <c r="AC1228" t="s">
        <v>14607</v>
      </c>
      <c r="AD1228" t="s">
        <v>32</v>
      </c>
      <c r="AE1228" t="s">
        <v>10968</v>
      </c>
      <c r="AF1228" t="s">
        <v>46835</v>
      </c>
    </row>
    <row r="1229" spans="1:33" x14ac:dyDescent="0.2">
      <c r="A1229">
        <v>1224</v>
      </c>
      <c r="B1229" t="s">
        <v>14608</v>
      </c>
      <c r="C1229" t="s">
        <v>14609</v>
      </c>
      <c r="D1229" t="s">
        <v>32</v>
      </c>
      <c r="E1229" t="s">
        <v>14610</v>
      </c>
      <c r="F1229" t="s">
        <v>14611</v>
      </c>
      <c r="G1229" t="s">
        <v>14612</v>
      </c>
      <c r="H1229" t="str">
        <f>"Comt"</f>
        <v>Comt</v>
      </c>
      <c r="I1229" t="s">
        <v>14613</v>
      </c>
      <c r="J1229" t="s">
        <v>37</v>
      </c>
      <c r="K1229">
        <v>10090</v>
      </c>
      <c r="L1229" s="3" t="str">
        <f>HYPERLINK("http://www.uniprot.org/uniprot/O88587", "O88587")</f>
        <v>O88587</v>
      </c>
      <c r="M1229" t="s">
        <v>14614</v>
      </c>
      <c r="N1229" t="str">
        <f>"Comt"</f>
        <v>Comt</v>
      </c>
      <c r="O1229" s="3" t="str">
        <f>HYPERLINK("http://www.informatics.jax.org/marker/MGI:88470", "MGI:88470")</f>
        <v>MGI:88470</v>
      </c>
      <c r="P1229" t="s">
        <v>14615</v>
      </c>
      <c r="Q1229" t="s">
        <v>14616</v>
      </c>
      <c r="R1229" t="s">
        <v>222</v>
      </c>
      <c r="S1229" t="s">
        <v>477</v>
      </c>
      <c r="T1229" t="s">
        <v>32</v>
      </c>
      <c r="U1229" t="s">
        <v>32</v>
      </c>
      <c r="V1229" t="s">
        <v>1550</v>
      </c>
      <c r="W1229" t="s">
        <v>14617</v>
      </c>
      <c r="X1229" t="s">
        <v>1706</v>
      </c>
      <c r="Y1229" t="s">
        <v>618</v>
      </c>
      <c r="Z1229" t="s">
        <v>126</v>
      </c>
      <c r="AA1229" t="s">
        <v>14618</v>
      </c>
      <c r="AB1229" t="s">
        <v>14619</v>
      </c>
      <c r="AC1229" t="s">
        <v>14620</v>
      </c>
      <c r="AD1229" t="s">
        <v>32</v>
      </c>
      <c r="AE1229" t="s">
        <v>14621</v>
      </c>
      <c r="AF1229" t="s">
        <v>46835</v>
      </c>
    </row>
    <row r="1230" spans="1:33" x14ac:dyDescent="0.2">
      <c r="A1230">
        <v>1225</v>
      </c>
      <c r="B1230" t="s">
        <v>14622</v>
      </c>
      <c r="C1230" t="s">
        <v>14623</v>
      </c>
      <c r="D1230" t="s">
        <v>14624</v>
      </c>
      <c r="E1230" t="s">
        <v>14625</v>
      </c>
      <c r="F1230" t="s">
        <v>14626</v>
      </c>
      <c r="G1230" t="s">
        <v>14627</v>
      </c>
      <c r="H1230" t="str">
        <f>"Nae1"</f>
        <v>Nae1</v>
      </c>
      <c r="I1230" t="s">
        <v>14628</v>
      </c>
      <c r="J1230" t="s">
        <v>37</v>
      </c>
      <c r="K1230">
        <v>10090</v>
      </c>
      <c r="L1230" s="3" t="str">
        <f>HYPERLINK("http://www.uniprot.org/uniprot/Q8VBW6", "Q8VBW6")</f>
        <v>Q8VBW6</v>
      </c>
      <c r="M1230" t="s">
        <v>14629</v>
      </c>
      <c r="N1230" t="str">
        <f>"Nae1"</f>
        <v>Nae1</v>
      </c>
      <c r="O1230" s="3" t="str">
        <f>HYPERLINK("http://www.informatics.jax.org/marker/MGI:2384561", "MGI:2384561")</f>
        <v>MGI:2384561</v>
      </c>
      <c r="P1230" t="s">
        <v>14630</v>
      </c>
      <c r="Q1230" t="s">
        <v>14631</v>
      </c>
      <c r="R1230" t="s">
        <v>2474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32</v>
      </c>
      <c r="Y1230" t="s">
        <v>4102</v>
      </c>
      <c r="Z1230" t="s">
        <v>32</v>
      </c>
      <c r="AA1230" t="s">
        <v>14632</v>
      </c>
      <c r="AB1230" t="s">
        <v>14633</v>
      </c>
      <c r="AC1230" t="s">
        <v>14634</v>
      </c>
      <c r="AD1230" t="s">
        <v>6231</v>
      </c>
      <c r="AE1230" t="s">
        <v>14635</v>
      </c>
      <c r="AF1230" t="s">
        <v>46835</v>
      </c>
    </row>
    <row r="1231" spans="1:33" x14ac:dyDescent="0.2">
      <c r="A1231">
        <v>1226</v>
      </c>
      <c r="B1231" t="s">
        <v>14636</v>
      </c>
      <c r="C1231" t="s">
        <v>14637</v>
      </c>
      <c r="D1231" t="s">
        <v>14638</v>
      </c>
      <c r="E1231" t="s">
        <v>14639</v>
      </c>
      <c r="F1231" t="s">
        <v>14640</v>
      </c>
      <c r="G1231" t="s">
        <v>14641</v>
      </c>
      <c r="H1231" t="str">
        <f>"Pzp"</f>
        <v>Pzp</v>
      </c>
      <c r="I1231" t="s">
        <v>14642</v>
      </c>
      <c r="J1231" t="s">
        <v>37</v>
      </c>
      <c r="K1231">
        <v>10090</v>
      </c>
      <c r="L1231" s="3" t="str">
        <f>HYPERLINK("http://www.uniprot.org/uniprot/Q61838", "Q61838")</f>
        <v>Q61838</v>
      </c>
      <c r="M1231" t="s">
        <v>14643</v>
      </c>
      <c r="N1231" t="str">
        <f>"Pzp"</f>
        <v>Pzp</v>
      </c>
      <c r="O1231" s="3" t="str">
        <f>HYPERLINK("http://www.informatics.jax.org/marker/MGI:87854", "MGI:87854")</f>
        <v>MGI:87854</v>
      </c>
      <c r="P1231" t="s">
        <v>14644</v>
      </c>
      <c r="Q1231" t="s">
        <v>32</v>
      </c>
      <c r="R1231" t="s">
        <v>630</v>
      </c>
      <c r="S1231" t="s">
        <v>32</v>
      </c>
      <c r="T1231" t="s">
        <v>32</v>
      </c>
      <c r="U1231" t="s">
        <v>32</v>
      </c>
      <c r="V1231" t="s">
        <v>14645</v>
      </c>
      <c r="W1231" t="s">
        <v>32</v>
      </c>
      <c r="X1231" t="s">
        <v>2661</v>
      </c>
      <c r="Y1231" t="s">
        <v>14646</v>
      </c>
      <c r="Z1231" t="s">
        <v>32</v>
      </c>
      <c r="AA1231" t="s">
        <v>14647</v>
      </c>
      <c r="AB1231" t="s">
        <v>14648</v>
      </c>
      <c r="AC1231" t="s">
        <v>14649</v>
      </c>
      <c r="AD1231" t="s">
        <v>32</v>
      </c>
      <c r="AE1231" t="s">
        <v>32</v>
      </c>
      <c r="AF1231" t="s">
        <v>46835</v>
      </c>
    </row>
    <row r="1232" spans="1:33" x14ac:dyDescent="0.2">
      <c r="A1232">
        <v>1227</v>
      </c>
      <c r="B1232" t="s">
        <v>14650</v>
      </c>
      <c r="C1232" t="s">
        <v>14651</v>
      </c>
      <c r="D1232" t="s">
        <v>14652</v>
      </c>
      <c r="E1232" t="s">
        <v>14653</v>
      </c>
      <c r="F1232" t="s">
        <v>14654</v>
      </c>
      <c r="G1232" t="s">
        <v>14655</v>
      </c>
      <c r="H1232" t="str">
        <f>"Syne2"</f>
        <v>Syne2</v>
      </c>
      <c r="I1232" t="s">
        <v>32</v>
      </c>
      <c r="J1232" t="s">
        <v>37</v>
      </c>
      <c r="K1232">
        <v>10090</v>
      </c>
      <c r="L1232" s="3" t="str">
        <f>HYPERLINK("http://www.uniprot.org/uniprot/Q6ZWQ0", "Q6ZWQ0")</f>
        <v>Q6ZWQ0</v>
      </c>
      <c r="M1232" t="s">
        <v>14656</v>
      </c>
      <c r="N1232" t="str">
        <f>"Syne2"</f>
        <v>Syne2</v>
      </c>
      <c r="O1232" s="3" t="str">
        <f>HYPERLINK("http://www.informatics.jax.org/marker/MGI:2449316", "MGI:2449316")</f>
        <v>MGI:2449316</v>
      </c>
      <c r="P1232" t="s">
        <v>14657</v>
      </c>
      <c r="Q1232" t="s">
        <v>32</v>
      </c>
      <c r="R1232" t="s">
        <v>14658</v>
      </c>
      <c r="S1232" t="s">
        <v>41</v>
      </c>
      <c r="T1232" t="s">
        <v>32</v>
      </c>
      <c r="U1232" t="s">
        <v>32</v>
      </c>
      <c r="V1232" t="s">
        <v>14659</v>
      </c>
      <c r="W1232" t="s">
        <v>32</v>
      </c>
      <c r="X1232" t="s">
        <v>405</v>
      </c>
      <c r="Y1232" t="s">
        <v>2080</v>
      </c>
      <c r="Z1232" t="s">
        <v>32</v>
      </c>
      <c r="AA1232" t="s">
        <v>14660</v>
      </c>
      <c r="AB1232" t="s">
        <v>14661</v>
      </c>
      <c r="AC1232" t="s">
        <v>14662</v>
      </c>
      <c r="AD1232" t="s">
        <v>32</v>
      </c>
      <c r="AE1232" t="s">
        <v>32</v>
      </c>
      <c r="AF1232" t="s">
        <v>46835</v>
      </c>
    </row>
    <row r="1233" spans="1:32" x14ac:dyDescent="0.2">
      <c r="A1233">
        <v>1228</v>
      </c>
      <c r="B1233" t="s">
        <v>14663</v>
      </c>
      <c r="C1233" t="s">
        <v>14664</v>
      </c>
      <c r="D1233" t="s">
        <v>14665</v>
      </c>
      <c r="E1233" t="s">
        <v>14666</v>
      </c>
      <c r="F1233" t="s">
        <v>14667</v>
      </c>
      <c r="G1233" t="s">
        <v>14668</v>
      </c>
      <c r="H1233" t="str">
        <f>"Ppa2"</f>
        <v>Ppa2</v>
      </c>
      <c r="I1233" t="s">
        <v>32</v>
      </c>
      <c r="J1233" t="s">
        <v>37</v>
      </c>
      <c r="K1233">
        <v>10090</v>
      </c>
      <c r="L1233" s="3" t="str">
        <f>HYPERLINK("http://www.uniprot.org/uniprot/Q91VM9", "Q91VM9")</f>
        <v>Q91VM9</v>
      </c>
      <c r="M1233" t="s">
        <v>14669</v>
      </c>
      <c r="N1233" t="str">
        <f>"Ppa2"</f>
        <v>Ppa2</v>
      </c>
      <c r="O1233" s="3" t="str">
        <f>HYPERLINK("http://www.informatics.jax.org/marker/MGI:1922026", "MGI:1922026")</f>
        <v>MGI:1922026</v>
      </c>
      <c r="P1233" t="s">
        <v>14670</v>
      </c>
      <c r="Q1233" t="s">
        <v>32</v>
      </c>
      <c r="R1233" t="s">
        <v>1038</v>
      </c>
      <c r="S1233" t="s">
        <v>41</v>
      </c>
      <c r="T1233" t="s">
        <v>32</v>
      </c>
      <c r="U1233" t="s">
        <v>32</v>
      </c>
      <c r="V1233" t="s">
        <v>1039</v>
      </c>
      <c r="W1233" t="s">
        <v>223</v>
      </c>
      <c r="X1233" t="s">
        <v>343</v>
      </c>
      <c r="Y1233" t="s">
        <v>78</v>
      </c>
      <c r="Z1233" t="s">
        <v>32</v>
      </c>
      <c r="AA1233" t="s">
        <v>14671</v>
      </c>
      <c r="AB1233" t="s">
        <v>5676</v>
      </c>
      <c r="AC1233" t="s">
        <v>14672</v>
      </c>
      <c r="AD1233" t="s">
        <v>32</v>
      </c>
      <c r="AE1233" t="s">
        <v>14673</v>
      </c>
      <c r="AF1233" t="s">
        <v>46835</v>
      </c>
    </row>
    <row r="1234" spans="1:32" x14ac:dyDescent="0.2">
      <c r="A1234">
        <v>1229</v>
      </c>
      <c r="B1234" t="s">
        <v>14674</v>
      </c>
      <c r="C1234" t="s">
        <v>14675</v>
      </c>
      <c r="D1234" t="s">
        <v>14676</v>
      </c>
      <c r="E1234" t="s">
        <v>14677</v>
      </c>
      <c r="F1234" t="s">
        <v>14678</v>
      </c>
      <c r="G1234" t="s">
        <v>14679</v>
      </c>
      <c r="H1234" t="str">
        <f>"Acaca"</f>
        <v>Acaca</v>
      </c>
      <c r="I1234" t="s">
        <v>32</v>
      </c>
      <c r="J1234" t="s">
        <v>37</v>
      </c>
      <c r="K1234">
        <v>10090</v>
      </c>
      <c r="L1234" s="3" t="str">
        <f>HYPERLINK("http://www.uniprot.org/uniprot/Q5SWU9", "Q5SWU9")</f>
        <v>Q5SWU9</v>
      </c>
      <c r="M1234" t="s">
        <v>14680</v>
      </c>
      <c r="N1234" t="str">
        <f>"Acaca"</f>
        <v>Acaca</v>
      </c>
      <c r="O1234" s="3" t="str">
        <f>HYPERLINK("http://www.informatics.jax.org/marker/MGI:108451", "MGI:108451")</f>
        <v>MGI:108451</v>
      </c>
      <c r="P1234" t="s">
        <v>14681</v>
      </c>
      <c r="Q1234" t="s">
        <v>1249</v>
      </c>
      <c r="R1234" t="s">
        <v>418</v>
      </c>
      <c r="S1234" t="s">
        <v>10616</v>
      </c>
      <c r="T1234" t="s">
        <v>32</v>
      </c>
      <c r="U1234" t="s">
        <v>32</v>
      </c>
      <c r="V1234" t="s">
        <v>32</v>
      </c>
      <c r="W1234" t="s">
        <v>14682</v>
      </c>
      <c r="X1234" t="s">
        <v>14683</v>
      </c>
      <c r="Y1234" t="s">
        <v>157</v>
      </c>
      <c r="Z1234" t="s">
        <v>32</v>
      </c>
      <c r="AA1234" t="s">
        <v>14684</v>
      </c>
      <c r="AB1234" t="s">
        <v>14685</v>
      </c>
      <c r="AC1234" t="s">
        <v>14686</v>
      </c>
      <c r="AD1234" t="s">
        <v>14687</v>
      </c>
      <c r="AE1234" t="s">
        <v>14688</v>
      </c>
      <c r="AF1234" t="s">
        <v>46835</v>
      </c>
    </row>
    <row r="1235" spans="1:32" x14ac:dyDescent="0.2">
      <c r="A1235">
        <v>1230</v>
      </c>
      <c r="B1235" t="s">
        <v>14689</v>
      </c>
      <c r="C1235" t="s">
        <v>14690</v>
      </c>
      <c r="D1235" t="s">
        <v>14691</v>
      </c>
      <c r="E1235" t="s">
        <v>14692</v>
      </c>
      <c r="F1235" t="s">
        <v>14693</v>
      </c>
      <c r="G1235" t="s">
        <v>14694</v>
      </c>
      <c r="H1235" t="str">
        <f>"Ube2k"</f>
        <v>Ube2k</v>
      </c>
      <c r="I1235" t="s">
        <v>14695</v>
      </c>
      <c r="J1235" t="s">
        <v>37</v>
      </c>
      <c r="K1235">
        <v>10090</v>
      </c>
      <c r="L1235" s="3" t="str">
        <f>HYPERLINK("http://www.uniprot.org/uniprot/P61087", "P61087")</f>
        <v>P61087</v>
      </c>
      <c r="M1235" t="s">
        <v>14696</v>
      </c>
      <c r="N1235" t="str">
        <f>"Ube2k"</f>
        <v>Ube2k</v>
      </c>
      <c r="O1235" s="3" t="str">
        <f>HYPERLINK("http://www.informatics.jax.org/marker/MGI:1858216", "MGI:1858216")</f>
        <v>MGI:1858216</v>
      </c>
      <c r="P1235" t="s">
        <v>14697</v>
      </c>
      <c r="Q1235" t="s">
        <v>1020</v>
      </c>
      <c r="R1235" t="s">
        <v>418</v>
      </c>
      <c r="S1235" t="s">
        <v>32</v>
      </c>
      <c r="T1235" t="s">
        <v>32</v>
      </c>
      <c r="U1235" t="s">
        <v>32</v>
      </c>
      <c r="V1235" t="s">
        <v>32</v>
      </c>
      <c r="W1235" t="s">
        <v>205</v>
      </c>
      <c r="X1235" t="s">
        <v>515</v>
      </c>
      <c r="Y1235" t="s">
        <v>516</v>
      </c>
      <c r="Z1235" t="s">
        <v>32</v>
      </c>
      <c r="AA1235" t="s">
        <v>14698</v>
      </c>
      <c r="AB1235" t="s">
        <v>14699</v>
      </c>
      <c r="AC1235" t="s">
        <v>14700</v>
      </c>
      <c r="AD1235" t="s">
        <v>1027</v>
      </c>
      <c r="AE1235" t="s">
        <v>1028</v>
      </c>
      <c r="AF1235" t="s">
        <v>46835</v>
      </c>
    </row>
    <row r="1236" spans="1:32" x14ac:dyDescent="0.2">
      <c r="A1236">
        <v>1231</v>
      </c>
      <c r="B1236" t="s">
        <v>14701</v>
      </c>
      <c r="C1236" t="s">
        <v>14702</v>
      </c>
      <c r="D1236" t="s">
        <v>14703</v>
      </c>
      <c r="E1236" t="s">
        <v>14704</v>
      </c>
      <c r="F1236" t="s">
        <v>14705</v>
      </c>
      <c r="G1236" t="s">
        <v>14706</v>
      </c>
      <c r="H1236" t="str">
        <f>"Fhl1"</f>
        <v>Fhl1</v>
      </c>
      <c r="I1236" t="s">
        <v>32</v>
      </c>
      <c r="J1236" t="s">
        <v>37</v>
      </c>
      <c r="K1236">
        <v>10090</v>
      </c>
      <c r="L1236" s="3" t="str">
        <f>HYPERLINK("http://www.uniprot.org/uniprot/P97447", "P97447")</f>
        <v>P97447</v>
      </c>
      <c r="M1236" t="s">
        <v>14707</v>
      </c>
      <c r="N1236" t="str">
        <f>"Fhl1"</f>
        <v>Fhl1</v>
      </c>
      <c r="O1236" s="3" t="str">
        <f>HYPERLINK("http://www.informatics.jax.org/marker/MGI:1298387", "MGI:1298387")</f>
        <v>MGI:1298387</v>
      </c>
      <c r="P1236" t="s">
        <v>14708</v>
      </c>
      <c r="Q1236" t="s">
        <v>687</v>
      </c>
      <c r="R1236" t="s">
        <v>40</v>
      </c>
      <c r="S1236" t="s">
        <v>41</v>
      </c>
      <c r="T1236" t="s">
        <v>32</v>
      </c>
      <c r="U1236" t="s">
        <v>32</v>
      </c>
      <c r="V1236" t="s">
        <v>8056</v>
      </c>
      <c r="W1236" t="s">
        <v>42</v>
      </c>
      <c r="X1236" t="s">
        <v>2029</v>
      </c>
      <c r="Y1236" t="s">
        <v>461</v>
      </c>
      <c r="Z1236" t="s">
        <v>126</v>
      </c>
      <c r="AA1236" t="s">
        <v>14709</v>
      </c>
      <c r="AB1236" t="s">
        <v>8034</v>
      </c>
      <c r="AC1236" t="s">
        <v>14710</v>
      </c>
      <c r="AD1236" t="s">
        <v>32</v>
      </c>
      <c r="AE1236" t="s">
        <v>32</v>
      </c>
      <c r="AF1236" t="s">
        <v>46835</v>
      </c>
    </row>
    <row r="1237" spans="1:32" x14ac:dyDescent="0.2">
      <c r="A1237">
        <v>1232</v>
      </c>
      <c r="B1237" t="s">
        <v>14711</v>
      </c>
      <c r="C1237" t="s">
        <v>14712</v>
      </c>
      <c r="D1237" t="s">
        <v>14713</v>
      </c>
      <c r="E1237" t="s">
        <v>14714</v>
      </c>
      <c r="F1237" t="s">
        <v>14715</v>
      </c>
      <c r="G1237" t="s">
        <v>14716</v>
      </c>
      <c r="H1237" t="str">
        <f>"Cmas"</f>
        <v>Cmas</v>
      </c>
      <c r="I1237" t="s">
        <v>32</v>
      </c>
      <c r="J1237" t="s">
        <v>37</v>
      </c>
      <c r="K1237">
        <v>10090</v>
      </c>
      <c r="L1237" s="3" t="str">
        <f>HYPERLINK("http://www.uniprot.org/uniprot/Q99KK2", "Q99KK2")</f>
        <v>Q99KK2</v>
      </c>
      <c r="M1237" t="s">
        <v>14717</v>
      </c>
      <c r="N1237" t="str">
        <f>"Cmas"</f>
        <v>Cmas</v>
      </c>
      <c r="O1237" s="3" t="str">
        <f>HYPERLINK("http://www.informatics.jax.org/marker/MGI:1337124", "MGI:1337124")</f>
        <v>MGI:1337124</v>
      </c>
      <c r="P1237" t="s">
        <v>14718</v>
      </c>
      <c r="Q1237" t="s">
        <v>32</v>
      </c>
      <c r="R1237" t="s">
        <v>2279</v>
      </c>
      <c r="S1237" t="s">
        <v>41</v>
      </c>
      <c r="T1237" t="s">
        <v>32</v>
      </c>
      <c r="U1237" t="s">
        <v>32</v>
      </c>
      <c r="V1237" t="s">
        <v>32</v>
      </c>
      <c r="W1237" t="s">
        <v>32</v>
      </c>
      <c r="X1237" t="s">
        <v>7489</v>
      </c>
      <c r="Y1237" t="s">
        <v>57</v>
      </c>
      <c r="Z1237" t="s">
        <v>126</v>
      </c>
      <c r="AA1237" t="s">
        <v>14719</v>
      </c>
      <c r="AB1237" t="s">
        <v>3606</v>
      </c>
      <c r="AC1237" t="s">
        <v>14720</v>
      </c>
      <c r="AD1237" t="s">
        <v>14721</v>
      </c>
      <c r="AE1237" t="s">
        <v>2175</v>
      </c>
      <c r="AF1237" t="s">
        <v>46835</v>
      </c>
    </row>
    <row r="1238" spans="1:32" x14ac:dyDescent="0.2">
      <c r="A1238">
        <v>1233</v>
      </c>
      <c r="B1238" t="s">
        <v>14722</v>
      </c>
      <c r="C1238" t="s">
        <v>14723</v>
      </c>
      <c r="D1238" t="s">
        <v>32</v>
      </c>
      <c r="E1238" t="s">
        <v>14724</v>
      </c>
      <c r="F1238" t="s">
        <v>14725</v>
      </c>
      <c r="G1238" t="s">
        <v>14726</v>
      </c>
      <c r="H1238" t="str">
        <f>"Ccdc25"</f>
        <v>Ccdc25</v>
      </c>
      <c r="I1238" t="s">
        <v>32</v>
      </c>
      <c r="J1238" t="s">
        <v>37</v>
      </c>
      <c r="K1238">
        <v>10090</v>
      </c>
      <c r="L1238" s="3" t="str">
        <f>HYPERLINK("http://www.uniprot.org/uniprot/Q78PG9", "Q78PG9")</f>
        <v>Q78PG9</v>
      </c>
      <c r="M1238" t="s">
        <v>14727</v>
      </c>
      <c r="N1238" t="str">
        <f>"Ccdc25"</f>
        <v>Ccdc25</v>
      </c>
      <c r="O1238" s="3" t="str">
        <f>HYPERLINK("http://www.informatics.jax.org/marker/MGI:1914429", "MGI:1914429")</f>
        <v>MGI:1914429</v>
      </c>
      <c r="P1238" t="s">
        <v>14728</v>
      </c>
      <c r="Q1238" t="s">
        <v>32</v>
      </c>
      <c r="R1238" t="s">
        <v>2474</v>
      </c>
      <c r="S1238" t="s">
        <v>32</v>
      </c>
      <c r="T1238" t="s">
        <v>32</v>
      </c>
      <c r="U1238" t="s">
        <v>32</v>
      </c>
      <c r="V1238" t="s">
        <v>6500</v>
      </c>
      <c r="W1238" t="s">
        <v>32</v>
      </c>
      <c r="X1238" t="s">
        <v>247</v>
      </c>
      <c r="Y1238" t="s">
        <v>157</v>
      </c>
      <c r="Z1238" t="s">
        <v>32</v>
      </c>
      <c r="AA1238" t="s">
        <v>14729</v>
      </c>
      <c r="AB1238" t="s">
        <v>14730</v>
      </c>
      <c r="AC1238" t="s">
        <v>13572</v>
      </c>
      <c r="AD1238" t="s">
        <v>32</v>
      </c>
      <c r="AE1238" t="s">
        <v>32</v>
      </c>
      <c r="AF1238" t="s">
        <v>46835</v>
      </c>
    </row>
    <row r="1239" spans="1:32" x14ac:dyDescent="0.2">
      <c r="A1239">
        <v>1234</v>
      </c>
      <c r="B1239" t="s">
        <v>14731</v>
      </c>
      <c r="C1239" t="s">
        <v>14732</v>
      </c>
      <c r="D1239" t="s">
        <v>14733</v>
      </c>
      <c r="E1239" t="s">
        <v>14734</v>
      </c>
      <c r="F1239" t="s">
        <v>14735</v>
      </c>
      <c r="G1239" t="s">
        <v>14736</v>
      </c>
      <c r="H1239" t="str">
        <f>"U2af1"</f>
        <v>U2af1</v>
      </c>
      <c r="I1239" t="s">
        <v>32</v>
      </c>
      <c r="J1239" t="s">
        <v>37</v>
      </c>
      <c r="K1239">
        <v>10090</v>
      </c>
      <c r="L1239" s="3" t="str">
        <f>HYPERLINK("http://www.uniprot.org/uniprot/Q9D883", "Q9D883")</f>
        <v>Q9D883</v>
      </c>
      <c r="M1239" t="s">
        <v>14737</v>
      </c>
      <c r="N1239" t="str">
        <f>"U2af1"</f>
        <v>U2af1</v>
      </c>
      <c r="O1239" s="3" t="str">
        <f>HYPERLINK("http://www.informatics.jax.org/marker/MGI:98884", "MGI:98884")</f>
        <v>MGI:98884</v>
      </c>
      <c r="P1239" t="s">
        <v>14738</v>
      </c>
      <c r="Q1239" t="s">
        <v>2139</v>
      </c>
      <c r="R1239" t="s">
        <v>2140</v>
      </c>
      <c r="S1239" t="s">
        <v>32</v>
      </c>
      <c r="T1239" t="s">
        <v>32</v>
      </c>
      <c r="U1239" t="s">
        <v>32</v>
      </c>
      <c r="V1239" t="s">
        <v>3791</v>
      </c>
      <c r="W1239" t="s">
        <v>42</v>
      </c>
      <c r="X1239" t="s">
        <v>1282</v>
      </c>
      <c r="Y1239" t="s">
        <v>97</v>
      </c>
      <c r="Z1239" t="s">
        <v>32</v>
      </c>
      <c r="AA1239" t="s">
        <v>8104</v>
      </c>
      <c r="AB1239" t="s">
        <v>14739</v>
      </c>
      <c r="AC1239" t="s">
        <v>14740</v>
      </c>
      <c r="AD1239" t="s">
        <v>32</v>
      </c>
      <c r="AE1239" t="s">
        <v>9525</v>
      </c>
      <c r="AF1239" t="s">
        <v>46835</v>
      </c>
    </row>
    <row r="1240" spans="1:32" x14ac:dyDescent="0.2">
      <c r="A1240">
        <v>1235</v>
      </c>
      <c r="B1240" t="s">
        <v>14741</v>
      </c>
      <c r="C1240" t="s">
        <v>14742</v>
      </c>
      <c r="D1240" t="s">
        <v>14743</v>
      </c>
      <c r="E1240" t="s">
        <v>14744</v>
      </c>
      <c r="F1240" t="s">
        <v>14745</v>
      </c>
      <c r="G1240" t="s">
        <v>14746</v>
      </c>
      <c r="H1240" t="str">
        <f>"Snx12"</f>
        <v>Snx12</v>
      </c>
      <c r="I1240" t="s">
        <v>32</v>
      </c>
      <c r="J1240" t="s">
        <v>37</v>
      </c>
      <c r="K1240">
        <v>10090</v>
      </c>
      <c r="L1240" s="3" t="str">
        <f>HYPERLINK("http://www.uniprot.org/uniprot/O70493", "O70493")</f>
        <v>O70493</v>
      </c>
      <c r="M1240" t="s">
        <v>14747</v>
      </c>
      <c r="N1240" t="str">
        <f>"Snx12"</f>
        <v>Snx12</v>
      </c>
      <c r="O1240" s="3" t="str">
        <f>HYPERLINK("http://www.informatics.jax.org/marker/MGI:1919331", "MGI:1919331")</f>
        <v>MGI:1919331</v>
      </c>
      <c r="P1240" t="s">
        <v>14748</v>
      </c>
      <c r="Q1240" t="s">
        <v>434</v>
      </c>
      <c r="R1240" t="s">
        <v>5989</v>
      </c>
      <c r="S1240" t="s">
        <v>32</v>
      </c>
      <c r="T1240" t="s">
        <v>32</v>
      </c>
      <c r="U1240" t="s">
        <v>32</v>
      </c>
      <c r="V1240" t="s">
        <v>32</v>
      </c>
      <c r="W1240" t="s">
        <v>584</v>
      </c>
      <c r="X1240" t="s">
        <v>32</v>
      </c>
      <c r="Y1240" t="s">
        <v>157</v>
      </c>
      <c r="Z1240" t="s">
        <v>32</v>
      </c>
      <c r="AA1240" t="s">
        <v>14749</v>
      </c>
      <c r="AB1240" t="s">
        <v>14750</v>
      </c>
      <c r="AC1240" t="s">
        <v>14751</v>
      </c>
      <c r="AD1240" t="s">
        <v>32</v>
      </c>
      <c r="AE1240" t="s">
        <v>32</v>
      </c>
      <c r="AF1240" t="s">
        <v>46835</v>
      </c>
    </row>
    <row r="1241" spans="1:32" x14ac:dyDescent="0.2">
      <c r="A1241">
        <v>1236</v>
      </c>
      <c r="B1241" t="s">
        <v>14752</v>
      </c>
      <c r="C1241" t="s">
        <v>14753</v>
      </c>
      <c r="D1241" t="s">
        <v>14754</v>
      </c>
      <c r="E1241" t="s">
        <v>14755</v>
      </c>
      <c r="F1241" t="s">
        <v>14756</v>
      </c>
      <c r="G1241" t="s">
        <v>32</v>
      </c>
      <c r="H1241" t="str">
        <f>"Isyna1"</f>
        <v>Isyna1</v>
      </c>
      <c r="I1241" t="s">
        <v>14757</v>
      </c>
      <c r="J1241" t="s">
        <v>37</v>
      </c>
      <c r="K1241">
        <v>10090</v>
      </c>
      <c r="L1241" s="3" t="str">
        <f>HYPERLINK("http://www.uniprot.org/uniprot/Q9JHU9", "Q9JHU9")</f>
        <v>Q9JHU9</v>
      </c>
      <c r="M1241" t="s">
        <v>14758</v>
      </c>
      <c r="N1241" t="str">
        <f>"Isyna1"</f>
        <v>Isyna1</v>
      </c>
      <c r="O1241" s="3" t="str">
        <f>HYPERLINK("http://www.informatics.jax.org/marker/MGI:1919030", "MGI:1919030")</f>
        <v>MGI:1919030</v>
      </c>
      <c r="P1241" t="s">
        <v>14759</v>
      </c>
      <c r="Q1241" t="s">
        <v>14760</v>
      </c>
      <c r="R1241" t="s">
        <v>418</v>
      </c>
      <c r="S1241" t="s">
        <v>32</v>
      </c>
      <c r="T1241" t="s">
        <v>32</v>
      </c>
      <c r="U1241" t="s">
        <v>32</v>
      </c>
      <c r="V1241" t="s">
        <v>32</v>
      </c>
      <c r="W1241" t="s">
        <v>325</v>
      </c>
      <c r="X1241" t="s">
        <v>673</v>
      </c>
      <c r="Y1241" t="s">
        <v>618</v>
      </c>
      <c r="Z1241" t="s">
        <v>32</v>
      </c>
      <c r="AA1241" t="s">
        <v>14761</v>
      </c>
      <c r="AB1241" t="s">
        <v>2172</v>
      </c>
      <c r="AC1241" t="s">
        <v>14762</v>
      </c>
      <c r="AD1241" t="s">
        <v>14763</v>
      </c>
      <c r="AE1241" t="s">
        <v>14390</v>
      </c>
      <c r="AF1241" t="s">
        <v>46835</v>
      </c>
    </row>
    <row r="1242" spans="1:32" x14ac:dyDescent="0.2">
      <c r="A1242">
        <v>1237</v>
      </c>
      <c r="B1242" t="s">
        <v>14764</v>
      </c>
      <c r="C1242" t="s">
        <v>14765</v>
      </c>
      <c r="D1242" t="s">
        <v>32</v>
      </c>
      <c r="E1242" t="s">
        <v>14766</v>
      </c>
      <c r="F1242" t="s">
        <v>14767</v>
      </c>
      <c r="G1242" t="s">
        <v>14768</v>
      </c>
      <c r="H1242" t="str">
        <f>"Dip2b"</f>
        <v>Dip2b</v>
      </c>
      <c r="I1242" t="s">
        <v>14769</v>
      </c>
      <c r="J1242" t="s">
        <v>37</v>
      </c>
      <c r="K1242">
        <v>10090</v>
      </c>
      <c r="L1242" s="3" t="str">
        <f>HYPERLINK("http://www.uniprot.org/uniprot/Q3UH60", "Q3UH60")</f>
        <v>Q3UH60</v>
      </c>
      <c r="M1242" t="s">
        <v>14770</v>
      </c>
      <c r="N1242" t="str">
        <f>"Dip2b"</f>
        <v>Dip2b</v>
      </c>
      <c r="O1242" s="3" t="str">
        <f>HYPERLINK("http://www.informatics.jax.org/marker/MGI:2145977", "MGI:2145977")</f>
        <v>MGI:2145977</v>
      </c>
      <c r="P1242" t="s">
        <v>14771</v>
      </c>
      <c r="Q1242" t="s">
        <v>1429</v>
      </c>
      <c r="R1242" t="s">
        <v>3262</v>
      </c>
      <c r="S1242" t="s">
        <v>41</v>
      </c>
      <c r="T1242" t="s">
        <v>32</v>
      </c>
      <c r="U1242" t="s">
        <v>32</v>
      </c>
      <c r="V1242" t="s">
        <v>32</v>
      </c>
      <c r="W1242" t="s">
        <v>32</v>
      </c>
      <c r="X1242" t="s">
        <v>32</v>
      </c>
      <c r="Y1242" t="s">
        <v>618</v>
      </c>
      <c r="Z1242" t="s">
        <v>32</v>
      </c>
      <c r="AA1242" t="s">
        <v>14772</v>
      </c>
      <c r="AB1242" t="s">
        <v>14773</v>
      </c>
      <c r="AC1242" t="s">
        <v>14774</v>
      </c>
      <c r="AD1242" t="s">
        <v>32</v>
      </c>
      <c r="AE1242" t="s">
        <v>32</v>
      </c>
      <c r="AF1242" t="s">
        <v>46835</v>
      </c>
    </row>
    <row r="1243" spans="1:32" x14ac:dyDescent="0.2">
      <c r="A1243">
        <v>1238</v>
      </c>
      <c r="B1243" t="s">
        <v>14775</v>
      </c>
      <c r="C1243" t="s">
        <v>14776</v>
      </c>
      <c r="D1243" t="s">
        <v>14777</v>
      </c>
      <c r="E1243" t="s">
        <v>14778</v>
      </c>
      <c r="F1243" t="s">
        <v>14779</v>
      </c>
      <c r="G1243" t="s">
        <v>14780</v>
      </c>
      <c r="H1243" t="str">
        <f>"Akr7a2"</f>
        <v>Akr7a2</v>
      </c>
      <c r="I1243" t="s">
        <v>32</v>
      </c>
      <c r="J1243" t="s">
        <v>37</v>
      </c>
      <c r="K1243">
        <v>10090</v>
      </c>
      <c r="L1243" s="3" t="str">
        <f>HYPERLINK("http://www.uniprot.org/uniprot/Q8CG76", "Q8CG76")</f>
        <v>Q8CG76</v>
      </c>
      <c r="M1243" t="s">
        <v>14781</v>
      </c>
      <c r="N1243" t="str">
        <f>"Akr7a5"</f>
        <v>Akr7a5</v>
      </c>
      <c r="O1243" s="3" t="str">
        <f>HYPERLINK("http://www.informatics.jax.org/marker/MGI:107796", "MGI:107796")</f>
        <v>MGI:107796</v>
      </c>
      <c r="P1243" t="s">
        <v>14782</v>
      </c>
      <c r="Q1243" t="s">
        <v>598</v>
      </c>
      <c r="R1243" t="s">
        <v>8179</v>
      </c>
      <c r="S1243" t="s">
        <v>32</v>
      </c>
      <c r="T1243" t="s">
        <v>32</v>
      </c>
      <c r="U1243" t="s">
        <v>32</v>
      </c>
      <c r="V1243" t="s">
        <v>32</v>
      </c>
      <c r="W1243" t="s">
        <v>3204</v>
      </c>
      <c r="X1243" t="s">
        <v>600</v>
      </c>
      <c r="Y1243" t="s">
        <v>157</v>
      </c>
      <c r="Z1243" t="s">
        <v>126</v>
      </c>
      <c r="AA1243" t="s">
        <v>14783</v>
      </c>
      <c r="AB1243" t="s">
        <v>14784</v>
      </c>
      <c r="AC1243" t="s">
        <v>14785</v>
      </c>
      <c r="AD1243" t="s">
        <v>32</v>
      </c>
      <c r="AE1243" t="s">
        <v>14786</v>
      </c>
      <c r="AF1243" t="s">
        <v>46835</v>
      </c>
    </row>
    <row r="1244" spans="1:32" x14ac:dyDescent="0.2">
      <c r="A1244">
        <v>1239</v>
      </c>
      <c r="B1244" t="s">
        <v>14787</v>
      </c>
      <c r="C1244" t="s">
        <v>14788</v>
      </c>
      <c r="D1244" t="s">
        <v>14789</v>
      </c>
      <c r="E1244" t="s">
        <v>14790</v>
      </c>
      <c r="F1244" t="s">
        <v>14791</v>
      </c>
      <c r="G1244" t="s">
        <v>14792</v>
      </c>
      <c r="H1244" t="str">
        <f>"Cherp"</f>
        <v>Cherp</v>
      </c>
      <c r="I1244" t="s">
        <v>32</v>
      </c>
      <c r="J1244" t="s">
        <v>37</v>
      </c>
      <c r="K1244">
        <v>10090</v>
      </c>
      <c r="L1244" s="3" t="str">
        <f>HYPERLINK("http://www.uniprot.org/uniprot/Q8CGZ0", "Q8CGZ0")</f>
        <v>Q8CGZ0</v>
      </c>
      <c r="M1244" t="s">
        <v>14793</v>
      </c>
      <c r="N1244" t="str">
        <f>"Cherp"</f>
        <v>Cherp</v>
      </c>
      <c r="O1244" s="3" t="str">
        <f>HYPERLINK("http://www.informatics.jax.org/marker/MGI:106417", "MGI:106417")</f>
        <v>MGI:106417</v>
      </c>
      <c r="P1244" t="s">
        <v>14794</v>
      </c>
      <c r="Q1244" t="s">
        <v>32</v>
      </c>
      <c r="R1244" t="s">
        <v>874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 t="s">
        <v>516</v>
      </c>
      <c r="Z1244" t="s">
        <v>32</v>
      </c>
      <c r="AA1244" t="s">
        <v>14795</v>
      </c>
      <c r="AB1244" t="s">
        <v>14796</v>
      </c>
      <c r="AC1244" t="s">
        <v>14797</v>
      </c>
      <c r="AD1244" t="s">
        <v>32</v>
      </c>
      <c r="AE1244" t="s">
        <v>946</v>
      </c>
      <c r="AF1244" t="s">
        <v>46835</v>
      </c>
    </row>
    <row r="1245" spans="1:32" x14ac:dyDescent="0.2">
      <c r="A1245">
        <v>1240</v>
      </c>
      <c r="B1245" t="s">
        <v>14798</v>
      </c>
      <c r="C1245" t="s">
        <v>14799</v>
      </c>
      <c r="D1245" t="s">
        <v>14800</v>
      </c>
      <c r="E1245" t="s">
        <v>14801</v>
      </c>
      <c r="F1245" t="s">
        <v>14802</v>
      </c>
      <c r="G1245" t="s">
        <v>14803</v>
      </c>
      <c r="H1245" t="str">
        <f>"Hprt1"</f>
        <v>Hprt1</v>
      </c>
      <c r="I1245" t="s">
        <v>14804</v>
      </c>
      <c r="J1245" t="s">
        <v>37</v>
      </c>
      <c r="K1245">
        <v>10090</v>
      </c>
      <c r="L1245" s="3" t="str">
        <f>HYPERLINK("http://www.uniprot.org/uniprot/P00493", "P00493")</f>
        <v>P00493</v>
      </c>
      <c r="M1245" t="s">
        <v>14805</v>
      </c>
      <c r="N1245" t="str">
        <f>"Hprt"</f>
        <v>Hprt</v>
      </c>
      <c r="O1245" s="3" t="str">
        <f>HYPERLINK("http://www.informatics.jax.org/marker/MGI:96217", "MGI:96217")</f>
        <v>MGI:96217</v>
      </c>
      <c r="P1245" t="s">
        <v>14806</v>
      </c>
      <c r="Q1245" t="s">
        <v>2361</v>
      </c>
      <c r="R1245" t="s">
        <v>418</v>
      </c>
      <c r="S1245" t="s">
        <v>32</v>
      </c>
      <c r="T1245" t="s">
        <v>32</v>
      </c>
      <c r="U1245" t="s">
        <v>32</v>
      </c>
      <c r="V1245" t="s">
        <v>32</v>
      </c>
      <c r="W1245" t="s">
        <v>14807</v>
      </c>
      <c r="X1245" t="s">
        <v>2362</v>
      </c>
      <c r="Y1245" t="s">
        <v>516</v>
      </c>
      <c r="Z1245" t="s">
        <v>32</v>
      </c>
      <c r="AA1245" t="s">
        <v>14808</v>
      </c>
      <c r="AB1245" t="s">
        <v>2206</v>
      </c>
      <c r="AC1245" t="s">
        <v>14809</v>
      </c>
      <c r="AD1245" t="s">
        <v>14810</v>
      </c>
      <c r="AE1245" t="s">
        <v>14811</v>
      </c>
      <c r="AF1245" t="s">
        <v>46835</v>
      </c>
    </row>
    <row r="1246" spans="1:32" x14ac:dyDescent="0.2">
      <c r="A1246">
        <v>1241</v>
      </c>
      <c r="B1246" t="s">
        <v>14812</v>
      </c>
      <c r="C1246" t="s">
        <v>14813</v>
      </c>
      <c r="D1246" t="s">
        <v>14814</v>
      </c>
      <c r="E1246" t="s">
        <v>14815</v>
      </c>
      <c r="F1246" t="s">
        <v>14816</v>
      </c>
      <c r="G1246" t="s">
        <v>14817</v>
      </c>
      <c r="H1246" t="str">
        <f>"Decr1"</f>
        <v>Decr1</v>
      </c>
      <c r="I1246" t="s">
        <v>32</v>
      </c>
      <c r="J1246" t="s">
        <v>37</v>
      </c>
      <c r="K1246">
        <v>10090</v>
      </c>
      <c r="L1246" s="3" t="str">
        <f>HYPERLINK("http://www.uniprot.org/uniprot/Q9CQ62", "Q9CQ62")</f>
        <v>Q9CQ62</v>
      </c>
      <c r="M1246" t="s">
        <v>14818</v>
      </c>
      <c r="N1246" t="str">
        <f>"Decr1"</f>
        <v>Decr1</v>
      </c>
      <c r="O1246" s="3" t="str">
        <f>HYPERLINK("http://www.informatics.jax.org/marker/MGI:1914710", "MGI:1914710")</f>
        <v>MGI:1914710</v>
      </c>
      <c r="P1246" t="s">
        <v>14819</v>
      </c>
      <c r="Q1246" t="s">
        <v>6214</v>
      </c>
      <c r="R1246" t="s">
        <v>1038</v>
      </c>
      <c r="S1246" t="s">
        <v>32</v>
      </c>
      <c r="T1246" t="s">
        <v>32</v>
      </c>
      <c r="U1246" t="s">
        <v>32</v>
      </c>
      <c r="V1246" t="s">
        <v>1039</v>
      </c>
      <c r="W1246" t="s">
        <v>3204</v>
      </c>
      <c r="X1246" t="s">
        <v>600</v>
      </c>
      <c r="Y1246" t="s">
        <v>157</v>
      </c>
      <c r="Z1246" t="s">
        <v>32</v>
      </c>
      <c r="AA1246" t="s">
        <v>14820</v>
      </c>
      <c r="AB1246" t="s">
        <v>14821</v>
      </c>
      <c r="AC1246" t="s">
        <v>14822</v>
      </c>
      <c r="AD1246" t="s">
        <v>32</v>
      </c>
      <c r="AE1246" t="s">
        <v>9723</v>
      </c>
      <c r="AF1246" t="s">
        <v>46835</v>
      </c>
    </row>
    <row r="1247" spans="1:32" x14ac:dyDescent="0.2">
      <c r="A1247">
        <v>1242</v>
      </c>
      <c r="B1247" t="s">
        <v>14823</v>
      </c>
      <c r="C1247" t="s">
        <v>14824</v>
      </c>
      <c r="D1247" t="s">
        <v>14825</v>
      </c>
      <c r="E1247" t="s">
        <v>14826</v>
      </c>
      <c r="F1247" t="s">
        <v>14827</v>
      </c>
      <c r="G1247" t="s">
        <v>14828</v>
      </c>
      <c r="H1247" t="str">
        <f>"Mapre3"</f>
        <v>Mapre3</v>
      </c>
      <c r="I1247" t="s">
        <v>32</v>
      </c>
      <c r="J1247" t="s">
        <v>37</v>
      </c>
      <c r="K1247">
        <v>10090</v>
      </c>
      <c r="L1247" s="3" t="str">
        <f>HYPERLINK("http://www.uniprot.org/uniprot/Q6PER3", "Q6PER3")</f>
        <v>Q6PER3</v>
      </c>
      <c r="M1247" t="s">
        <v>14829</v>
      </c>
      <c r="N1247" t="str">
        <f>"Mapre3"</f>
        <v>Mapre3</v>
      </c>
      <c r="O1247" s="3" t="str">
        <f>HYPERLINK("http://www.informatics.jax.org/marker/MGI:2140967", "MGI:2140967")</f>
        <v>MGI:2140967</v>
      </c>
      <c r="P1247" t="s">
        <v>14830</v>
      </c>
      <c r="Q1247" t="s">
        <v>2968</v>
      </c>
      <c r="R1247" t="s">
        <v>341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32</v>
      </c>
      <c r="Y1247" t="s">
        <v>618</v>
      </c>
      <c r="Z1247" t="s">
        <v>32</v>
      </c>
      <c r="AA1247" t="s">
        <v>14831</v>
      </c>
      <c r="AB1247" t="s">
        <v>14832</v>
      </c>
      <c r="AC1247" t="s">
        <v>14833</v>
      </c>
      <c r="AD1247" t="s">
        <v>32</v>
      </c>
      <c r="AE1247" t="s">
        <v>32</v>
      </c>
      <c r="AF1247" t="s">
        <v>46835</v>
      </c>
    </row>
    <row r="1248" spans="1:32" x14ac:dyDescent="0.2">
      <c r="A1248">
        <v>1243</v>
      </c>
      <c r="B1248" t="s">
        <v>14834</v>
      </c>
      <c r="C1248" t="s">
        <v>14835</v>
      </c>
      <c r="D1248" t="s">
        <v>14836</v>
      </c>
      <c r="E1248" t="s">
        <v>14837</v>
      </c>
      <c r="F1248" t="s">
        <v>14838</v>
      </c>
      <c r="G1248" t="s">
        <v>14839</v>
      </c>
      <c r="H1248" t="str">
        <f>"Tfrc"</f>
        <v>Tfrc</v>
      </c>
      <c r="I1248" t="s">
        <v>14840</v>
      </c>
      <c r="J1248" t="s">
        <v>37</v>
      </c>
      <c r="K1248">
        <v>10090</v>
      </c>
      <c r="L1248" s="3" t="str">
        <f>HYPERLINK("http://www.uniprot.org/uniprot/Q62351", "Q62351")</f>
        <v>Q62351</v>
      </c>
      <c r="M1248" t="s">
        <v>14841</v>
      </c>
      <c r="N1248" t="str">
        <f>"Tfrc"</f>
        <v>Tfrc</v>
      </c>
      <c r="O1248" s="3" t="str">
        <f>HYPERLINK("http://www.informatics.jax.org/marker/MGI:98822", "MGI:98822")</f>
        <v>MGI:98822</v>
      </c>
      <c r="P1248" t="s">
        <v>14842</v>
      </c>
      <c r="Q1248" t="s">
        <v>2822</v>
      </c>
      <c r="R1248" t="s">
        <v>2474</v>
      </c>
      <c r="S1248" t="s">
        <v>32</v>
      </c>
      <c r="T1248" t="s">
        <v>32</v>
      </c>
      <c r="U1248" t="s">
        <v>32</v>
      </c>
      <c r="V1248" t="s">
        <v>1550</v>
      </c>
      <c r="W1248" t="s">
        <v>32</v>
      </c>
      <c r="X1248" t="s">
        <v>6983</v>
      </c>
      <c r="Y1248" t="s">
        <v>10952</v>
      </c>
      <c r="Z1248" t="s">
        <v>32</v>
      </c>
      <c r="AA1248" t="s">
        <v>14843</v>
      </c>
      <c r="AB1248" t="s">
        <v>14844</v>
      </c>
      <c r="AC1248" t="s">
        <v>14845</v>
      </c>
      <c r="AD1248" t="s">
        <v>32</v>
      </c>
      <c r="AE1248" t="s">
        <v>14846</v>
      </c>
      <c r="AF1248" t="s">
        <v>46835</v>
      </c>
    </row>
    <row r="1249" spans="1:32" x14ac:dyDescent="0.2">
      <c r="A1249">
        <v>1244</v>
      </c>
      <c r="B1249" t="s">
        <v>14847</v>
      </c>
      <c r="C1249" t="s">
        <v>14848</v>
      </c>
      <c r="D1249" t="s">
        <v>14849</v>
      </c>
      <c r="E1249" t="s">
        <v>14850</v>
      </c>
      <c r="F1249" t="s">
        <v>14851</v>
      </c>
      <c r="G1249" t="s">
        <v>32</v>
      </c>
      <c r="H1249" t="str">
        <f>"Sipa1l3"</f>
        <v>Sipa1l3</v>
      </c>
      <c r="I1249" t="s">
        <v>14852</v>
      </c>
      <c r="J1249" t="s">
        <v>37</v>
      </c>
      <c r="K1249">
        <v>10090</v>
      </c>
      <c r="L1249" s="3" t="str">
        <f>HYPERLINK("http://www.uniprot.org/uniprot/G3X9J0", "G3X9J0")</f>
        <v>G3X9J0</v>
      </c>
      <c r="M1249" t="s">
        <v>14853</v>
      </c>
      <c r="N1249" t="str">
        <f>"Sipa1l3"</f>
        <v>Sipa1l3</v>
      </c>
      <c r="O1249" s="3" t="str">
        <f>HYPERLINK("http://www.informatics.jax.org/marker/MGI:1921456", "MGI:1921456")</f>
        <v>MGI:1921456</v>
      </c>
      <c r="P1249" t="s">
        <v>14854</v>
      </c>
      <c r="Q1249" t="s">
        <v>32</v>
      </c>
      <c r="R1249" t="s">
        <v>2474</v>
      </c>
      <c r="S1249" t="s">
        <v>32</v>
      </c>
      <c r="T1249" t="s">
        <v>32</v>
      </c>
      <c r="U1249" t="s">
        <v>32</v>
      </c>
      <c r="V1249" t="s">
        <v>290</v>
      </c>
      <c r="W1249" t="s">
        <v>32</v>
      </c>
      <c r="X1249" t="s">
        <v>715</v>
      </c>
      <c r="Y1249" t="s">
        <v>157</v>
      </c>
      <c r="Z1249" t="s">
        <v>32</v>
      </c>
      <c r="AA1249" t="s">
        <v>14855</v>
      </c>
      <c r="AB1249" t="s">
        <v>14856</v>
      </c>
      <c r="AC1249" t="s">
        <v>14857</v>
      </c>
      <c r="AD1249" t="s">
        <v>32</v>
      </c>
      <c r="AE1249" t="s">
        <v>32</v>
      </c>
      <c r="AF1249" t="s">
        <v>46835</v>
      </c>
    </row>
    <row r="1250" spans="1:32" x14ac:dyDescent="0.2">
      <c r="A1250">
        <v>1245</v>
      </c>
      <c r="B1250" t="s">
        <v>14858</v>
      </c>
      <c r="C1250" t="s">
        <v>14859</v>
      </c>
      <c r="D1250" t="s">
        <v>14860</v>
      </c>
      <c r="E1250" t="s">
        <v>14861</v>
      </c>
      <c r="F1250" t="s">
        <v>14862</v>
      </c>
      <c r="G1250" t="s">
        <v>14863</v>
      </c>
      <c r="H1250" t="str">
        <f>"Vit"</f>
        <v>Vit</v>
      </c>
      <c r="I1250" t="s">
        <v>14864</v>
      </c>
      <c r="J1250" t="s">
        <v>37</v>
      </c>
      <c r="K1250">
        <v>10090</v>
      </c>
      <c r="L1250" s="3" t="str">
        <f>HYPERLINK("http://www.uniprot.org/uniprot/Q8VHI5", "Q8VHI5")</f>
        <v>Q8VHI5</v>
      </c>
      <c r="M1250" t="s">
        <v>14865</v>
      </c>
      <c r="N1250" t="str">
        <f>"Vit"</f>
        <v>Vit</v>
      </c>
      <c r="O1250" s="3" t="str">
        <f>HYPERLINK("http://www.informatics.jax.org/marker/MGI:1921449", "MGI:1921449")</f>
        <v>MGI:1921449</v>
      </c>
      <c r="P1250" t="s">
        <v>14866</v>
      </c>
      <c r="Q1250" t="s">
        <v>1429</v>
      </c>
      <c r="R1250" t="s">
        <v>5586</v>
      </c>
      <c r="S1250" t="s">
        <v>41</v>
      </c>
      <c r="T1250" t="s">
        <v>32</v>
      </c>
      <c r="U1250" t="s">
        <v>32</v>
      </c>
      <c r="V1250" t="s">
        <v>478</v>
      </c>
      <c r="W1250" t="s">
        <v>32</v>
      </c>
      <c r="X1250" t="s">
        <v>32</v>
      </c>
      <c r="Y1250" t="s">
        <v>5275</v>
      </c>
      <c r="Z1250" t="s">
        <v>32</v>
      </c>
      <c r="AA1250" t="s">
        <v>14867</v>
      </c>
      <c r="AB1250" t="s">
        <v>14868</v>
      </c>
      <c r="AC1250" t="s">
        <v>14869</v>
      </c>
      <c r="AD1250" t="s">
        <v>32</v>
      </c>
      <c r="AE1250" t="s">
        <v>32</v>
      </c>
      <c r="AF1250" t="s">
        <v>46835</v>
      </c>
    </row>
    <row r="1251" spans="1:32" x14ac:dyDescent="0.2">
      <c r="A1251">
        <v>1246</v>
      </c>
      <c r="B1251" t="s">
        <v>14870</v>
      </c>
      <c r="C1251" t="s">
        <v>14871</v>
      </c>
      <c r="D1251" t="s">
        <v>32</v>
      </c>
      <c r="E1251" t="s">
        <v>14872</v>
      </c>
      <c r="F1251" t="s">
        <v>14873</v>
      </c>
      <c r="G1251" t="s">
        <v>14874</v>
      </c>
      <c r="H1251" t="str">
        <f>"Col4a1"</f>
        <v>Col4a1</v>
      </c>
      <c r="I1251" t="s">
        <v>32</v>
      </c>
      <c r="J1251" t="s">
        <v>37</v>
      </c>
      <c r="K1251">
        <v>10090</v>
      </c>
      <c r="L1251" s="3" t="str">
        <f>HYPERLINK("http://www.uniprot.org/uniprot/P02463", "P02463")</f>
        <v>P02463</v>
      </c>
      <c r="M1251" t="s">
        <v>14875</v>
      </c>
      <c r="N1251" t="str">
        <f>"Col4a1"</f>
        <v>Col4a1</v>
      </c>
      <c r="O1251" s="3" t="str">
        <f>HYPERLINK("http://www.informatics.jax.org/marker/MGI:88454", "MGI:88454")</f>
        <v>MGI:88454</v>
      </c>
      <c r="P1251" t="s">
        <v>14876</v>
      </c>
      <c r="Q1251" t="s">
        <v>4227</v>
      </c>
      <c r="R1251" t="s">
        <v>2785</v>
      </c>
      <c r="S1251" t="s">
        <v>32</v>
      </c>
      <c r="T1251" t="s">
        <v>32</v>
      </c>
      <c r="U1251" t="s">
        <v>32</v>
      </c>
      <c r="V1251" t="s">
        <v>8152</v>
      </c>
      <c r="W1251" t="s">
        <v>32</v>
      </c>
      <c r="X1251" t="s">
        <v>32</v>
      </c>
      <c r="Y1251" t="s">
        <v>14877</v>
      </c>
      <c r="Z1251" t="s">
        <v>32</v>
      </c>
      <c r="AA1251" t="s">
        <v>14878</v>
      </c>
      <c r="AB1251" t="s">
        <v>12339</v>
      </c>
      <c r="AC1251" t="s">
        <v>14879</v>
      </c>
      <c r="AD1251" t="s">
        <v>32</v>
      </c>
      <c r="AE1251" t="s">
        <v>12341</v>
      </c>
      <c r="AF1251" t="s">
        <v>46835</v>
      </c>
    </row>
    <row r="1252" spans="1:32" x14ac:dyDescent="0.2">
      <c r="A1252">
        <v>1247</v>
      </c>
      <c r="B1252" t="s">
        <v>14880</v>
      </c>
      <c r="C1252" t="s">
        <v>14881</v>
      </c>
      <c r="D1252" t="s">
        <v>14882</v>
      </c>
      <c r="E1252" t="s">
        <v>14883</v>
      </c>
      <c r="F1252" t="s">
        <v>14884</v>
      </c>
      <c r="G1252" t="s">
        <v>14885</v>
      </c>
      <c r="H1252" t="str">
        <f>"Bub3"</f>
        <v>Bub3</v>
      </c>
      <c r="I1252" t="s">
        <v>32</v>
      </c>
      <c r="J1252" t="s">
        <v>37</v>
      </c>
      <c r="K1252">
        <v>10090</v>
      </c>
      <c r="L1252" s="3" t="str">
        <f>HYPERLINK("http://www.uniprot.org/uniprot/Q9WVA3", "Q9WVA3")</f>
        <v>Q9WVA3</v>
      </c>
      <c r="M1252" t="s">
        <v>14886</v>
      </c>
      <c r="N1252" t="str">
        <f>"Bub3"</f>
        <v>Bub3</v>
      </c>
      <c r="O1252" s="3" t="str">
        <f>HYPERLINK("http://www.informatics.jax.org/marker/MGI:1343463", "MGI:1343463")</f>
        <v>MGI:1343463</v>
      </c>
      <c r="P1252" t="s">
        <v>14887</v>
      </c>
      <c r="Q1252" t="s">
        <v>14888</v>
      </c>
      <c r="R1252" t="s">
        <v>11307</v>
      </c>
      <c r="S1252" t="s">
        <v>32</v>
      </c>
      <c r="T1252" t="s">
        <v>32</v>
      </c>
      <c r="U1252" t="s">
        <v>32</v>
      </c>
      <c r="V1252" t="s">
        <v>1910</v>
      </c>
      <c r="W1252" t="s">
        <v>32</v>
      </c>
      <c r="X1252" t="s">
        <v>32</v>
      </c>
      <c r="Y1252" t="s">
        <v>448</v>
      </c>
      <c r="Z1252" t="s">
        <v>32</v>
      </c>
      <c r="AA1252" t="s">
        <v>14889</v>
      </c>
      <c r="AB1252" t="s">
        <v>14890</v>
      </c>
      <c r="AC1252" t="s">
        <v>14891</v>
      </c>
      <c r="AD1252" t="s">
        <v>32</v>
      </c>
      <c r="AE1252" t="s">
        <v>14892</v>
      </c>
      <c r="AF1252" t="s">
        <v>46835</v>
      </c>
    </row>
    <row r="1253" spans="1:32" x14ac:dyDescent="0.2">
      <c r="A1253">
        <v>1248</v>
      </c>
      <c r="B1253" t="s">
        <v>14893</v>
      </c>
      <c r="C1253" t="s">
        <v>14894</v>
      </c>
      <c r="D1253" t="s">
        <v>14895</v>
      </c>
      <c r="E1253" t="s">
        <v>14896</v>
      </c>
      <c r="F1253" t="s">
        <v>14897</v>
      </c>
      <c r="G1253" t="s">
        <v>14898</v>
      </c>
      <c r="H1253" t="str">
        <f>"Pcyox1"</f>
        <v>Pcyox1</v>
      </c>
      <c r="I1253" t="s">
        <v>32</v>
      </c>
      <c r="J1253" t="s">
        <v>37</v>
      </c>
      <c r="K1253">
        <v>10090</v>
      </c>
      <c r="L1253" s="3" t="str">
        <f>HYPERLINK("http://www.uniprot.org/uniprot/Q9CQF9", "Q9CQF9")</f>
        <v>Q9CQF9</v>
      </c>
      <c r="M1253" t="s">
        <v>14899</v>
      </c>
      <c r="N1253" t="str">
        <f>"Pcyox1"</f>
        <v>Pcyox1</v>
      </c>
      <c r="O1253" s="3" t="str">
        <f>HYPERLINK("http://www.informatics.jax.org/marker/MGI:1914131", "MGI:1914131")</f>
        <v>MGI:1914131</v>
      </c>
      <c r="P1253" t="s">
        <v>14900</v>
      </c>
      <c r="Q1253" t="s">
        <v>32</v>
      </c>
      <c r="R1253" t="s">
        <v>13962</v>
      </c>
      <c r="S1253" t="s">
        <v>32</v>
      </c>
      <c r="T1253" t="s">
        <v>32</v>
      </c>
      <c r="U1253" t="s">
        <v>32</v>
      </c>
      <c r="V1253" t="s">
        <v>811</v>
      </c>
      <c r="W1253" t="s">
        <v>4600</v>
      </c>
      <c r="X1253" t="s">
        <v>600</v>
      </c>
      <c r="Y1253" t="s">
        <v>3733</v>
      </c>
      <c r="Z1253" t="s">
        <v>32</v>
      </c>
      <c r="AA1253" t="s">
        <v>14901</v>
      </c>
      <c r="AB1253" t="s">
        <v>14902</v>
      </c>
      <c r="AC1253" t="s">
        <v>14903</v>
      </c>
      <c r="AD1253" t="s">
        <v>32</v>
      </c>
      <c r="AE1253" t="s">
        <v>32</v>
      </c>
      <c r="AF1253" t="s">
        <v>46835</v>
      </c>
    </row>
    <row r="1254" spans="1:32" x14ac:dyDescent="0.2">
      <c r="A1254">
        <v>1249</v>
      </c>
      <c r="B1254" t="s">
        <v>14904</v>
      </c>
      <c r="C1254" t="s">
        <v>14905</v>
      </c>
      <c r="D1254" t="s">
        <v>14906</v>
      </c>
      <c r="E1254" t="s">
        <v>14907</v>
      </c>
      <c r="F1254" t="s">
        <v>14908</v>
      </c>
      <c r="G1254" t="s">
        <v>14909</v>
      </c>
      <c r="H1254" t="str">
        <f>"Atp5if1"</f>
        <v>Atp5if1</v>
      </c>
      <c r="I1254" t="s">
        <v>32</v>
      </c>
      <c r="J1254" t="s">
        <v>37</v>
      </c>
      <c r="K1254">
        <v>10090</v>
      </c>
      <c r="L1254" s="3" t="str">
        <f>HYPERLINK("http://www.uniprot.org/uniprot/O35143", "O35143")</f>
        <v>O35143</v>
      </c>
      <c r="M1254" t="s">
        <v>14910</v>
      </c>
      <c r="N1254" t="str">
        <f>"Atpif1"</f>
        <v>Atpif1</v>
      </c>
      <c r="O1254" s="3" t="str">
        <f>HYPERLINK("http://www.informatics.jax.org/marker/MGI:1196457", "MGI:1196457")</f>
        <v>MGI:1196457</v>
      </c>
      <c r="P1254" t="s">
        <v>14911</v>
      </c>
      <c r="Q1254" t="s">
        <v>32</v>
      </c>
      <c r="R1254" t="s">
        <v>1038</v>
      </c>
      <c r="S1254" t="s">
        <v>32</v>
      </c>
      <c r="T1254" t="s">
        <v>32</v>
      </c>
      <c r="U1254" t="s">
        <v>32</v>
      </c>
      <c r="V1254" t="s">
        <v>14912</v>
      </c>
      <c r="W1254" t="s">
        <v>32</v>
      </c>
      <c r="X1254" t="s">
        <v>32</v>
      </c>
      <c r="Y1254" t="s">
        <v>618</v>
      </c>
      <c r="Z1254" t="s">
        <v>32</v>
      </c>
      <c r="AA1254" t="s">
        <v>14913</v>
      </c>
      <c r="AB1254" t="s">
        <v>14914</v>
      </c>
      <c r="AC1254" t="s">
        <v>14915</v>
      </c>
      <c r="AD1254" t="s">
        <v>32</v>
      </c>
      <c r="AE1254" t="s">
        <v>32</v>
      </c>
      <c r="AF1254" t="s">
        <v>46835</v>
      </c>
    </row>
    <row r="1255" spans="1:32" x14ac:dyDescent="0.2">
      <c r="A1255">
        <v>1250</v>
      </c>
      <c r="B1255" t="s">
        <v>14916</v>
      </c>
      <c r="C1255" t="s">
        <v>14917</v>
      </c>
      <c r="D1255" t="s">
        <v>32</v>
      </c>
      <c r="E1255" t="s">
        <v>14918</v>
      </c>
      <c r="F1255" t="s">
        <v>14919</v>
      </c>
      <c r="G1255" t="s">
        <v>14920</v>
      </c>
      <c r="H1255" t="str">
        <f>"Smco3"</f>
        <v>Smco3</v>
      </c>
      <c r="I1255" t="s">
        <v>32</v>
      </c>
      <c r="J1255" t="s">
        <v>37</v>
      </c>
      <c r="K1255">
        <v>10090</v>
      </c>
      <c r="L1255" s="3" t="str">
        <f>HYPERLINK("http://www.uniprot.org/uniprot/Q8BQM7", "Q8BQM7")</f>
        <v>Q8BQM7</v>
      </c>
      <c r="M1255" t="s">
        <v>14921</v>
      </c>
      <c r="N1255" t="str">
        <f>"Smco3"</f>
        <v>Smco3</v>
      </c>
      <c r="O1255" s="3" t="str">
        <f>HYPERLINK("http://www.informatics.jax.org/marker/MGI:2443451", "MGI:2443451")</f>
        <v>MGI:2443451</v>
      </c>
      <c r="P1255" t="s">
        <v>14922</v>
      </c>
      <c r="Q1255" t="s">
        <v>32</v>
      </c>
      <c r="R1255" t="s">
        <v>5989</v>
      </c>
      <c r="S1255" t="s">
        <v>32</v>
      </c>
      <c r="T1255" t="s">
        <v>32</v>
      </c>
      <c r="U1255" t="s">
        <v>32</v>
      </c>
      <c r="V1255" t="s">
        <v>6500</v>
      </c>
      <c r="W1255" t="s">
        <v>32</v>
      </c>
      <c r="X1255" t="s">
        <v>32</v>
      </c>
      <c r="Y1255" t="s">
        <v>32</v>
      </c>
      <c r="Z1255" t="s">
        <v>32</v>
      </c>
      <c r="AA1255" t="s">
        <v>32</v>
      </c>
      <c r="AB1255" t="s">
        <v>14923</v>
      </c>
      <c r="AC1255" t="s">
        <v>32</v>
      </c>
      <c r="AD1255" t="s">
        <v>32</v>
      </c>
      <c r="AE1255" t="s">
        <v>32</v>
      </c>
      <c r="AF1255" t="s">
        <v>46835</v>
      </c>
    </row>
    <row r="1256" spans="1:32" x14ac:dyDescent="0.2">
      <c r="A1256">
        <v>1251</v>
      </c>
      <c r="B1256" t="s">
        <v>14924</v>
      </c>
      <c r="C1256" t="s">
        <v>14925</v>
      </c>
      <c r="D1256" t="s">
        <v>14926</v>
      </c>
      <c r="E1256" t="s">
        <v>14927</v>
      </c>
      <c r="F1256" t="s">
        <v>14928</v>
      </c>
      <c r="G1256" t="s">
        <v>14929</v>
      </c>
      <c r="H1256" t="str">
        <f>"Ddx46"</f>
        <v>Ddx46</v>
      </c>
      <c r="I1256" t="s">
        <v>14930</v>
      </c>
      <c r="J1256" t="s">
        <v>37</v>
      </c>
      <c r="K1256">
        <v>10090</v>
      </c>
      <c r="L1256" s="3" t="str">
        <f>HYPERLINK("http://www.uniprot.org/uniprot/Q569Z5", "Q569Z5")</f>
        <v>Q569Z5</v>
      </c>
      <c r="M1256" t="s">
        <v>14931</v>
      </c>
      <c r="N1256" t="str">
        <f>"Ddx46"</f>
        <v>Ddx46</v>
      </c>
      <c r="O1256" s="3" t="str">
        <f>HYPERLINK("http://www.informatics.jax.org/marker/MGI:1920895", "MGI:1920895")</f>
        <v>MGI:1920895</v>
      </c>
      <c r="P1256" t="s">
        <v>14932</v>
      </c>
      <c r="Q1256" t="s">
        <v>2139</v>
      </c>
      <c r="R1256" t="s">
        <v>13520</v>
      </c>
      <c r="S1256" t="s">
        <v>41</v>
      </c>
      <c r="T1256" t="s">
        <v>32</v>
      </c>
      <c r="U1256" t="s">
        <v>32</v>
      </c>
      <c r="V1256" t="s">
        <v>290</v>
      </c>
      <c r="W1256" t="s">
        <v>205</v>
      </c>
      <c r="X1256" t="s">
        <v>5050</v>
      </c>
      <c r="Y1256" t="s">
        <v>2547</v>
      </c>
      <c r="Z1256" t="s">
        <v>32</v>
      </c>
      <c r="AA1256" t="s">
        <v>8104</v>
      </c>
      <c r="AB1256" t="s">
        <v>14933</v>
      </c>
      <c r="AC1256" t="s">
        <v>5185</v>
      </c>
      <c r="AD1256" t="s">
        <v>32</v>
      </c>
      <c r="AE1256" t="s">
        <v>946</v>
      </c>
      <c r="AF1256" t="s">
        <v>46835</v>
      </c>
    </row>
    <row r="1257" spans="1:32" x14ac:dyDescent="0.2">
      <c r="A1257">
        <v>1252</v>
      </c>
      <c r="B1257" t="s">
        <v>14934</v>
      </c>
      <c r="C1257" t="s">
        <v>14935</v>
      </c>
      <c r="D1257" t="s">
        <v>32</v>
      </c>
      <c r="E1257" t="s">
        <v>14936</v>
      </c>
      <c r="F1257" t="s">
        <v>14937</v>
      </c>
      <c r="G1257" t="s">
        <v>32</v>
      </c>
      <c r="H1257" t="str">
        <f>"Osbpl11"</f>
        <v>Osbpl11</v>
      </c>
      <c r="I1257" t="s">
        <v>32</v>
      </c>
      <c r="J1257" t="s">
        <v>37</v>
      </c>
      <c r="K1257">
        <v>10090</v>
      </c>
      <c r="L1257" s="3" t="str">
        <f>HYPERLINK("http://www.uniprot.org/uniprot/Q8CI95", "Q8CI95")</f>
        <v>Q8CI95</v>
      </c>
      <c r="M1257" t="s">
        <v>14938</v>
      </c>
      <c r="N1257" t="str">
        <f>"Osbpl11"</f>
        <v>Osbpl11</v>
      </c>
      <c r="O1257" s="3" t="str">
        <f>HYPERLINK("http://www.informatics.jax.org/marker/MGI:2146553", "MGI:2146553")</f>
        <v>MGI:2146553</v>
      </c>
      <c r="P1257" t="s">
        <v>14939</v>
      </c>
      <c r="Q1257" t="s">
        <v>582</v>
      </c>
      <c r="R1257" t="s">
        <v>6982</v>
      </c>
      <c r="S1257" t="s">
        <v>32</v>
      </c>
      <c r="T1257" t="s">
        <v>32</v>
      </c>
      <c r="U1257" t="s">
        <v>32</v>
      </c>
      <c r="V1257" t="s">
        <v>32</v>
      </c>
      <c r="W1257" t="s">
        <v>584</v>
      </c>
      <c r="X1257" t="s">
        <v>32</v>
      </c>
      <c r="Y1257" t="s">
        <v>157</v>
      </c>
      <c r="Z1257" t="s">
        <v>32</v>
      </c>
      <c r="AA1257" t="s">
        <v>14940</v>
      </c>
      <c r="AB1257" t="s">
        <v>14941</v>
      </c>
      <c r="AC1257" t="s">
        <v>14942</v>
      </c>
      <c r="AD1257" t="s">
        <v>32</v>
      </c>
      <c r="AE1257" t="s">
        <v>4969</v>
      </c>
      <c r="AF1257" t="s">
        <v>46835</v>
      </c>
    </row>
    <row r="1258" spans="1:32" x14ac:dyDescent="0.2">
      <c r="A1258">
        <v>1253</v>
      </c>
      <c r="B1258" t="s">
        <v>14943</v>
      </c>
      <c r="C1258" t="s">
        <v>14944</v>
      </c>
      <c r="D1258" t="s">
        <v>14945</v>
      </c>
      <c r="E1258" t="s">
        <v>14946</v>
      </c>
      <c r="F1258" t="s">
        <v>14947</v>
      </c>
      <c r="G1258" t="s">
        <v>14948</v>
      </c>
      <c r="H1258" t="str">
        <f>"Ensa"</f>
        <v>Ensa</v>
      </c>
      <c r="I1258" t="s">
        <v>32</v>
      </c>
      <c r="J1258" t="s">
        <v>37</v>
      </c>
      <c r="K1258">
        <v>10090</v>
      </c>
      <c r="L1258" s="3" t="str">
        <f>HYPERLINK("http://www.uniprot.org/uniprot/P60840", "P60840")</f>
        <v>P60840</v>
      </c>
      <c r="M1258" t="s">
        <v>14949</v>
      </c>
      <c r="N1258" t="str">
        <f>"Ensa"</f>
        <v>Ensa</v>
      </c>
      <c r="O1258" s="3" t="str">
        <f>HYPERLINK("http://www.informatics.jax.org/marker/MGI:1891189", "MGI:1891189")</f>
        <v>MGI:1891189</v>
      </c>
      <c r="P1258" t="s">
        <v>14950</v>
      </c>
      <c r="Q1258" t="s">
        <v>2968</v>
      </c>
      <c r="R1258" t="s">
        <v>418</v>
      </c>
      <c r="S1258" t="s">
        <v>41</v>
      </c>
      <c r="T1258" t="s">
        <v>32</v>
      </c>
      <c r="U1258" t="s">
        <v>32</v>
      </c>
      <c r="V1258" t="s">
        <v>32</v>
      </c>
      <c r="W1258" t="s">
        <v>32</v>
      </c>
      <c r="X1258" t="s">
        <v>14951</v>
      </c>
      <c r="Y1258" t="s">
        <v>157</v>
      </c>
      <c r="Z1258" t="s">
        <v>32</v>
      </c>
      <c r="AA1258" t="s">
        <v>14952</v>
      </c>
      <c r="AB1258" t="s">
        <v>2172</v>
      </c>
      <c r="AC1258" t="s">
        <v>14953</v>
      </c>
      <c r="AD1258" t="s">
        <v>32</v>
      </c>
      <c r="AE1258" t="s">
        <v>32</v>
      </c>
      <c r="AF1258" t="s">
        <v>46835</v>
      </c>
    </row>
    <row r="1259" spans="1:32" x14ac:dyDescent="0.2">
      <c r="A1259">
        <v>1254</v>
      </c>
      <c r="B1259" t="s">
        <v>14954</v>
      </c>
      <c r="C1259" t="s">
        <v>14955</v>
      </c>
      <c r="D1259" t="s">
        <v>32</v>
      </c>
      <c r="E1259" t="s">
        <v>14956</v>
      </c>
      <c r="F1259" t="s">
        <v>14957</v>
      </c>
      <c r="G1259" t="s">
        <v>14958</v>
      </c>
      <c r="H1259" t="str">
        <f>"Magoh"</f>
        <v>Magoh</v>
      </c>
      <c r="I1259" t="s">
        <v>32</v>
      </c>
      <c r="J1259" t="s">
        <v>37</v>
      </c>
      <c r="K1259">
        <v>10090</v>
      </c>
      <c r="L1259" s="3" t="str">
        <f>HYPERLINK("http://www.uniprot.org/uniprot/P61327", "P61327")</f>
        <v>P61327</v>
      </c>
      <c r="M1259" t="s">
        <v>14959</v>
      </c>
      <c r="N1259" t="str">
        <f>"Magoh"</f>
        <v>Magoh</v>
      </c>
      <c r="O1259" s="3" t="str">
        <f>HYPERLINK("http://www.informatics.jax.org/marker/MGI:1330312", "MGI:1330312")</f>
        <v>MGI:1330312</v>
      </c>
      <c r="P1259" t="s">
        <v>14960</v>
      </c>
      <c r="Q1259" t="s">
        <v>13389</v>
      </c>
      <c r="R1259" t="s">
        <v>2219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1282</v>
      </c>
      <c r="Y1259" t="s">
        <v>78</v>
      </c>
      <c r="Z1259" t="s">
        <v>32</v>
      </c>
      <c r="AA1259" t="s">
        <v>14961</v>
      </c>
      <c r="AB1259" t="s">
        <v>14962</v>
      </c>
      <c r="AC1259" t="s">
        <v>4711</v>
      </c>
      <c r="AD1259" t="s">
        <v>32</v>
      </c>
      <c r="AE1259" t="s">
        <v>13392</v>
      </c>
      <c r="AF1259" t="s">
        <v>46835</v>
      </c>
    </row>
    <row r="1260" spans="1:32" x14ac:dyDescent="0.2">
      <c r="A1260">
        <v>1255</v>
      </c>
      <c r="B1260" t="s">
        <v>14963</v>
      </c>
      <c r="C1260" t="s">
        <v>14964</v>
      </c>
      <c r="D1260" t="s">
        <v>14965</v>
      </c>
      <c r="E1260" t="s">
        <v>14966</v>
      </c>
      <c r="F1260" t="s">
        <v>14967</v>
      </c>
      <c r="G1260" t="s">
        <v>14968</v>
      </c>
      <c r="H1260" t="str">
        <f>"Tpm3"</f>
        <v>Tpm3</v>
      </c>
      <c r="I1260" t="s">
        <v>14969</v>
      </c>
      <c r="J1260" t="s">
        <v>37</v>
      </c>
      <c r="K1260">
        <v>10090</v>
      </c>
      <c r="L1260" s="3" t="str">
        <f>HYPERLINK("http://www.uniprot.org/uniprot/P21107", "P21107")</f>
        <v>P21107</v>
      </c>
      <c r="M1260" t="s">
        <v>14970</v>
      </c>
      <c r="N1260" t="str">
        <f>"Tpm3"</f>
        <v>Tpm3</v>
      </c>
      <c r="O1260" s="3" t="str">
        <f>HYPERLINK("http://www.informatics.jax.org/marker/MGI:1890149", "MGI:1890149")</f>
        <v>MGI:1890149</v>
      </c>
      <c r="P1260" t="s">
        <v>14971</v>
      </c>
      <c r="Q1260" t="s">
        <v>32</v>
      </c>
      <c r="R1260" t="s">
        <v>186</v>
      </c>
      <c r="S1260" t="s">
        <v>41</v>
      </c>
      <c r="T1260" t="s">
        <v>32</v>
      </c>
      <c r="U1260" t="s">
        <v>32</v>
      </c>
      <c r="V1260" t="s">
        <v>290</v>
      </c>
      <c r="W1260" t="s">
        <v>32</v>
      </c>
      <c r="X1260" t="s">
        <v>9286</v>
      </c>
      <c r="Y1260" t="s">
        <v>157</v>
      </c>
      <c r="Z1260" t="s">
        <v>32</v>
      </c>
      <c r="AA1260" t="s">
        <v>9287</v>
      </c>
      <c r="AB1260" t="s">
        <v>14972</v>
      </c>
      <c r="AC1260" t="s">
        <v>2119</v>
      </c>
      <c r="AD1260" t="s">
        <v>32</v>
      </c>
      <c r="AE1260" t="s">
        <v>9290</v>
      </c>
      <c r="AF1260" t="s">
        <v>46835</v>
      </c>
    </row>
    <row r="1261" spans="1:32" x14ac:dyDescent="0.2">
      <c r="A1261">
        <v>1256</v>
      </c>
      <c r="B1261" t="s">
        <v>14973</v>
      </c>
      <c r="C1261" t="s">
        <v>14974</v>
      </c>
      <c r="D1261" t="s">
        <v>14975</v>
      </c>
      <c r="E1261" t="s">
        <v>14976</v>
      </c>
      <c r="F1261" t="s">
        <v>14977</v>
      </c>
      <c r="G1261" t="s">
        <v>14978</v>
      </c>
      <c r="H1261" t="str">
        <f>"Psme4"</f>
        <v>Psme4</v>
      </c>
      <c r="I1261" t="s">
        <v>14979</v>
      </c>
      <c r="J1261" t="s">
        <v>37</v>
      </c>
      <c r="K1261">
        <v>10090</v>
      </c>
      <c r="L1261" s="3" t="str">
        <f>HYPERLINK("http://www.uniprot.org/uniprot/Q5SSW2", "Q5SSW2")</f>
        <v>Q5SSW2</v>
      </c>
      <c r="M1261" t="s">
        <v>14980</v>
      </c>
      <c r="N1261" t="str">
        <f>"Psme4"</f>
        <v>Psme4</v>
      </c>
      <c r="O1261" s="3" t="str">
        <f>HYPERLINK("http://www.informatics.jax.org/marker/MGI:2143994", "MGI:2143994")</f>
        <v>MGI:2143994</v>
      </c>
      <c r="P1261" t="s">
        <v>14981</v>
      </c>
      <c r="Q1261" t="s">
        <v>14982</v>
      </c>
      <c r="R1261" t="s">
        <v>2586</v>
      </c>
      <c r="S1261" t="s">
        <v>41</v>
      </c>
      <c r="T1261" t="s">
        <v>32</v>
      </c>
      <c r="U1261" t="s">
        <v>32</v>
      </c>
      <c r="V1261" t="s">
        <v>55</v>
      </c>
      <c r="W1261" t="s">
        <v>32</v>
      </c>
      <c r="X1261" t="s">
        <v>2029</v>
      </c>
      <c r="Y1261" t="s">
        <v>618</v>
      </c>
      <c r="Z1261" t="s">
        <v>32</v>
      </c>
      <c r="AA1261" t="s">
        <v>14983</v>
      </c>
      <c r="AB1261" t="s">
        <v>14984</v>
      </c>
      <c r="AC1261" t="s">
        <v>14985</v>
      </c>
      <c r="AD1261" t="s">
        <v>32</v>
      </c>
      <c r="AE1261" t="s">
        <v>14986</v>
      </c>
      <c r="AF1261" t="s">
        <v>46835</v>
      </c>
    </row>
    <row r="1262" spans="1:32" x14ac:dyDescent="0.2">
      <c r="A1262">
        <v>1257</v>
      </c>
      <c r="B1262" t="s">
        <v>14987</v>
      </c>
      <c r="C1262" t="s">
        <v>14988</v>
      </c>
      <c r="D1262" t="s">
        <v>14989</v>
      </c>
      <c r="E1262" t="s">
        <v>14990</v>
      </c>
      <c r="F1262" t="s">
        <v>14991</v>
      </c>
      <c r="G1262" t="s">
        <v>14992</v>
      </c>
      <c r="H1262" t="str">
        <f>"Adsl"</f>
        <v>Adsl</v>
      </c>
      <c r="I1262" t="s">
        <v>14993</v>
      </c>
      <c r="J1262" t="s">
        <v>37</v>
      </c>
      <c r="K1262">
        <v>10090</v>
      </c>
      <c r="L1262" s="3" t="str">
        <f>HYPERLINK("http://www.uniprot.org/uniprot/P54822", "P54822")</f>
        <v>P54822</v>
      </c>
      <c r="M1262" t="s">
        <v>14994</v>
      </c>
      <c r="N1262" t="str">
        <f>"Adsl"</f>
        <v>Adsl</v>
      </c>
      <c r="O1262" s="3" t="str">
        <f>HYPERLINK("http://www.informatics.jax.org/marker/MGI:103202", "MGI:103202")</f>
        <v>MGI:103202</v>
      </c>
      <c r="P1262" t="s">
        <v>14995</v>
      </c>
      <c r="Q1262" t="s">
        <v>2203</v>
      </c>
      <c r="R1262" t="s">
        <v>32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224</v>
      </c>
      <c r="Y1262" t="s">
        <v>461</v>
      </c>
      <c r="Z1262" t="s">
        <v>32</v>
      </c>
      <c r="AA1262" t="s">
        <v>14996</v>
      </c>
      <c r="AB1262" t="s">
        <v>14997</v>
      </c>
      <c r="AC1262" t="s">
        <v>14998</v>
      </c>
      <c r="AD1262" t="s">
        <v>14999</v>
      </c>
      <c r="AE1262" t="s">
        <v>2209</v>
      </c>
      <c r="AF1262" t="s">
        <v>46835</v>
      </c>
    </row>
    <row r="1263" spans="1:32" x14ac:dyDescent="0.2">
      <c r="A1263">
        <v>1258</v>
      </c>
      <c r="B1263" t="s">
        <v>15000</v>
      </c>
      <c r="C1263" t="s">
        <v>15001</v>
      </c>
      <c r="D1263" t="s">
        <v>15002</v>
      </c>
      <c r="E1263" t="s">
        <v>15003</v>
      </c>
      <c r="F1263" t="s">
        <v>15004</v>
      </c>
      <c r="G1263" t="s">
        <v>32</v>
      </c>
      <c r="H1263" t="str">
        <f>"Hexb"</f>
        <v>Hexb</v>
      </c>
      <c r="I1263" t="s">
        <v>32</v>
      </c>
      <c r="J1263" t="s">
        <v>37</v>
      </c>
      <c r="K1263">
        <v>10090</v>
      </c>
      <c r="L1263" s="3" t="str">
        <f>HYPERLINK("http://www.uniprot.org/uniprot/P20060", "P20060")</f>
        <v>P20060</v>
      </c>
      <c r="M1263" t="s">
        <v>15005</v>
      </c>
      <c r="N1263" t="str">
        <f>"Hexb"</f>
        <v>Hexb</v>
      </c>
      <c r="O1263" s="3" t="str">
        <f>HYPERLINK("http://www.informatics.jax.org/marker/MGI:96074", "MGI:96074")</f>
        <v>MGI:96074</v>
      </c>
      <c r="P1263" t="s">
        <v>15006</v>
      </c>
      <c r="Q1263" t="s">
        <v>598</v>
      </c>
      <c r="R1263" t="s">
        <v>15007</v>
      </c>
      <c r="S1263" t="s">
        <v>32</v>
      </c>
      <c r="T1263" t="s">
        <v>32</v>
      </c>
      <c r="U1263" t="s">
        <v>32</v>
      </c>
      <c r="V1263" t="s">
        <v>811</v>
      </c>
      <c r="W1263" t="s">
        <v>32</v>
      </c>
      <c r="X1263" t="s">
        <v>4316</v>
      </c>
      <c r="Y1263" t="s">
        <v>5275</v>
      </c>
      <c r="Z1263" t="s">
        <v>32</v>
      </c>
      <c r="AA1263" t="s">
        <v>15008</v>
      </c>
      <c r="AB1263" t="s">
        <v>15009</v>
      </c>
      <c r="AC1263" t="s">
        <v>15010</v>
      </c>
      <c r="AD1263" t="s">
        <v>32</v>
      </c>
      <c r="AE1263" t="s">
        <v>15011</v>
      </c>
      <c r="AF1263" t="s">
        <v>46835</v>
      </c>
    </row>
    <row r="1264" spans="1:32" x14ac:dyDescent="0.2">
      <c r="A1264">
        <v>1259</v>
      </c>
      <c r="B1264" t="s">
        <v>15012</v>
      </c>
      <c r="C1264" t="s">
        <v>15013</v>
      </c>
      <c r="D1264" t="s">
        <v>15014</v>
      </c>
      <c r="E1264" t="s">
        <v>15015</v>
      </c>
      <c r="F1264" t="s">
        <v>15016</v>
      </c>
      <c r="G1264" t="s">
        <v>15017</v>
      </c>
      <c r="H1264" t="str">
        <f>"Gabarap"</f>
        <v>Gabarap</v>
      </c>
      <c r="I1264" t="s">
        <v>32</v>
      </c>
      <c r="J1264" t="s">
        <v>37</v>
      </c>
      <c r="K1264">
        <v>10090</v>
      </c>
      <c r="L1264" s="3" t="str">
        <f>HYPERLINK("http://www.uniprot.org/uniprot/Q9DCD6", "Q9DCD6")</f>
        <v>Q9DCD6</v>
      </c>
      <c r="M1264" t="s">
        <v>15018</v>
      </c>
      <c r="N1264" t="str">
        <f>"Gabarap"</f>
        <v>Gabarap</v>
      </c>
      <c r="O1264" s="3" t="str">
        <f>HYPERLINK("http://www.informatics.jax.org/marker/MGI:1861742", "MGI:1861742")</f>
        <v>MGI:1861742</v>
      </c>
      <c r="P1264" t="s">
        <v>15019</v>
      </c>
      <c r="Q1264" t="s">
        <v>15020</v>
      </c>
      <c r="R1264" t="s">
        <v>15021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32</v>
      </c>
      <c r="Y1264" t="s">
        <v>15022</v>
      </c>
      <c r="Z1264" t="s">
        <v>126</v>
      </c>
      <c r="AA1264" t="s">
        <v>15023</v>
      </c>
      <c r="AB1264" t="s">
        <v>15024</v>
      </c>
      <c r="AC1264" t="s">
        <v>15025</v>
      </c>
      <c r="AD1264" t="s">
        <v>32</v>
      </c>
      <c r="AE1264" t="s">
        <v>15026</v>
      </c>
      <c r="AF1264" t="s">
        <v>46835</v>
      </c>
    </row>
    <row r="1265" spans="1:32" x14ac:dyDescent="0.2">
      <c r="A1265">
        <v>1260</v>
      </c>
      <c r="B1265" t="s">
        <v>15027</v>
      </c>
      <c r="C1265" t="s">
        <v>15028</v>
      </c>
      <c r="D1265" t="s">
        <v>15029</v>
      </c>
      <c r="E1265" t="s">
        <v>15030</v>
      </c>
      <c r="F1265" t="s">
        <v>15031</v>
      </c>
      <c r="G1265" t="s">
        <v>32</v>
      </c>
      <c r="H1265" t="str">
        <f>"Mpi"</f>
        <v>Mpi</v>
      </c>
      <c r="I1265" t="s">
        <v>15032</v>
      </c>
      <c r="J1265" t="s">
        <v>37</v>
      </c>
      <c r="K1265">
        <v>10090</v>
      </c>
      <c r="L1265" s="3" t="str">
        <f>HYPERLINK("http://www.uniprot.org/uniprot/Q924M7", "Q924M7")</f>
        <v>Q924M7</v>
      </c>
      <c r="M1265" t="s">
        <v>15033</v>
      </c>
      <c r="N1265" t="str">
        <f>"Mpi"</f>
        <v>Mpi</v>
      </c>
      <c r="O1265" s="3" t="str">
        <f>HYPERLINK("http://www.informatics.jax.org/marker/MGI:97075", "MGI:97075")</f>
        <v>MGI:97075</v>
      </c>
      <c r="P1265" t="s">
        <v>15034</v>
      </c>
      <c r="Q1265" t="s">
        <v>32</v>
      </c>
      <c r="R1265" t="s">
        <v>418</v>
      </c>
      <c r="S1265" t="s">
        <v>32</v>
      </c>
      <c r="T1265" t="s">
        <v>32</v>
      </c>
      <c r="U1265" t="s">
        <v>32</v>
      </c>
      <c r="V1265" t="s">
        <v>32</v>
      </c>
      <c r="W1265" t="s">
        <v>42</v>
      </c>
      <c r="X1265" t="s">
        <v>673</v>
      </c>
      <c r="Y1265" t="s">
        <v>157</v>
      </c>
      <c r="Z1265" t="s">
        <v>32</v>
      </c>
      <c r="AA1265" t="s">
        <v>15035</v>
      </c>
      <c r="AB1265" t="s">
        <v>1268</v>
      </c>
      <c r="AC1265" t="s">
        <v>15036</v>
      </c>
      <c r="AD1265" t="s">
        <v>15037</v>
      </c>
      <c r="AE1265" t="s">
        <v>15038</v>
      </c>
      <c r="AF1265" t="s">
        <v>46835</v>
      </c>
    </row>
    <row r="1266" spans="1:32" x14ac:dyDescent="0.2">
      <c r="A1266">
        <v>1261</v>
      </c>
      <c r="B1266" t="s">
        <v>15039</v>
      </c>
      <c r="C1266" t="s">
        <v>15040</v>
      </c>
      <c r="D1266" t="s">
        <v>15041</v>
      </c>
      <c r="E1266" t="s">
        <v>15042</v>
      </c>
      <c r="F1266" t="s">
        <v>15043</v>
      </c>
      <c r="G1266" t="s">
        <v>32</v>
      </c>
      <c r="H1266" t="str">
        <f>"Ddt"</f>
        <v>Ddt</v>
      </c>
      <c r="I1266" t="s">
        <v>32</v>
      </c>
      <c r="J1266" t="s">
        <v>37</v>
      </c>
      <c r="K1266">
        <v>10090</v>
      </c>
      <c r="L1266" s="3" t="str">
        <f>HYPERLINK("http://www.uniprot.org/uniprot/O35215", "O35215")</f>
        <v>O35215</v>
      </c>
      <c r="M1266" t="s">
        <v>15044</v>
      </c>
      <c r="N1266" t="str">
        <f>"Ddt"</f>
        <v>Ddt</v>
      </c>
      <c r="O1266" s="3" t="str">
        <f>HYPERLINK("http://www.informatics.jax.org/marker/MGI:1298381", "MGI:1298381")</f>
        <v>MGI:1298381</v>
      </c>
      <c r="P1266" t="s">
        <v>15045</v>
      </c>
      <c r="Q1266" t="s">
        <v>15046</v>
      </c>
      <c r="R1266" t="s">
        <v>418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224</v>
      </c>
      <c r="Y1266" t="s">
        <v>157</v>
      </c>
      <c r="Z1266" t="s">
        <v>126</v>
      </c>
      <c r="AA1266" t="s">
        <v>15047</v>
      </c>
      <c r="AB1266" t="s">
        <v>15048</v>
      </c>
      <c r="AC1266" t="s">
        <v>15049</v>
      </c>
      <c r="AD1266" t="s">
        <v>32</v>
      </c>
      <c r="AE1266" t="s">
        <v>32</v>
      </c>
      <c r="AF1266" t="s">
        <v>46835</v>
      </c>
    </row>
    <row r="1267" spans="1:32" x14ac:dyDescent="0.2">
      <c r="A1267">
        <v>1262</v>
      </c>
      <c r="B1267" t="s">
        <v>15050</v>
      </c>
      <c r="C1267" t="s">
        <v>15051</v>
      </c>
      <c r="D1267" t="s">
        <v>15052</v>
      </c>
      <c r="E1267" t="s">
        <v>15053</v>
      </c>
      <c r="F1267" t="s">
        <v>15054</v>
      </c>
      <c r="G1267" t="s">
        <v>15055</v>
      </c>
      <c r="H1267" t="str">
        <f>"Map1lc3b"</f>
        <v>Map1lc3b</v>
      </c>
      <c r="I1267" t="s">
        <v>15056</v>
      </c>
      <c r="J1267" t="s">
        <v>37</v>
      </c>
      <c r="K1267">
        <v>10090</v>
      </c>
      <c r="L1267" s="3" t="str">
        <f>HYPERLINK("http://www.uniprot.org/uniprot/Q9CQV6", "Q9CQV6")</f>
        <v>Q9CQV6</v>
      </c>
      <c r="M1267" t="s">
        <v>15057</v>
      </c>
      <c r="N1267" t="str">
        <f>"Map1lc3b"</f>
        <v>Map1lc3b</v>
      </c>
      <c r="O1267" s="3" t="str">
        <f>HYPERLINK("http://www.informatics.jax.org/marker/MGI:1914693", "MGI:1914693")</f>
        <v>MGI:1914693</v>
      </c>
      <c r="P1267" t="s">
        <v>15058</v>
      </c>
      <c r="Q1267" t="s">
        <v>15059</v>
      </c>
      <c r="R1267" t="s">
        <v>15060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32</v>
      </c>
      <c r="Y1267" t="s">
        <v>1621</v>
      </c>
      <c r="Z1267" t="s">
        <v>126</v>
      </c>
      <c r="AA1267" t="s">
        <v>15061</v>
      </c>
      <c r="AB1267" t="s">
        <v>15062</v>
      </c>
      <c r="AC1267" t="s">
        <v>15063</v>
      </c>
      <c r="AD1267" t="s">
        <v>32</v>
      </c>
      <c r="AE1267" t="s">
        <v>15064</v>
      </c>
      <c r="AF1267" t="s">
        <v>46835</v>
      </c>
    </row>
    <row r="1268" spans="1:32" x14ac:dyDescent="0.2">
      <c r="A1268">
        <v>1263</v>
      </c>
      <c r="B1268" t="s">
        <v>15065</v>
      </c>
      <c r="C1268" t="s">
        <v>15066</v>
      </c>
      <c r="D1268" t="s">
        <v>15067</v>
      </c>
      <c r="E1268" t="s">
        <v>15068</v>
      </c>
      <c r="F1268" t="s">
        <v>15069</v>
      </c>
      <c r="G1268" t="s">
        <v>15070</v>
      </c>
      <c r="H1268" t="str">
        <f>"Prrc2a"</f>
        <v>Prrc2a</v>
      </c>
      <c r="I1268" t="s">
        <v>15071</v>
      </c>
      <c r="J1268" t="s">
        <v>37</v>
      </c>
      <c r="K1268">
        <v>10090</v>
      </c>
      <c r="L1268" s="3" t="str">
        <f>HYPERLINK("http://www.uniprot.org/uniprot/Q7TSC1", "Q7TSC1")</f>
        <v>Q7TSC1</v>
      </c>
      <c r="M1268" t="s">
        <v>15072</v>
      </c>
      <c r="N1268" t="str">
        <f>"Prrc2a"</f>
        <v>Prrc2a</v>
      </c>
      <c r="O1268" s="3" t="str">
        <f>HYPERLINK("http://www.informatics.jax.org/marker/MGI:1915467", "MGI:1915467")</f>
        <v>MGI:1915467</v>
      </c>
      <c r="P1268" t="s">
        <v>15073</v>
      </c>
      <c r="Q1268" t="s">
        <v>32</v>
      </c>
      <c r="R1268" t="s">
        <v>40</v>
      </c>
      <c r="S1268" t="s">
        <v>32</v>
      </c>
      <c r="T1268" t="s">
        <v>32</v>
      </c>
      <c r="U1268" t="s">
        <v>32</v>
      </c>
      <c r="V1268" t="s">
        <v>55</v>
      </c>
      <c r="W1268" t="s">
        <v>32</v>
      </c>
      <c r="X1268" t="s">
        <v>32</v>
      </c>
      <c r="Y1268" t="s">
        <v>97</v>
      </c>
      <c r="Z1268" t="s">
        <v>32</v>
      </c>
      <c r="AA1268" t="s">
        <v>15074</v>
      </c>
      <c r="AB1268" t="s">
        <v>2689</v>
      </c>
      <c r="AC1268" t="s">
        <v>32</v>
      </c>
      <c r="AD1268" t="s">
        <v>32</v>
      </c>
      <c r="AE1268" t="s">
        <v>32</v>
      </c>
      <c r="AF1268" t="s">
        <v>46835</v>
      </c>
    </row>
    <row r="1269" spans="1:32" x14ac:dyDescent="0.2">
      <c r="A1269">
        <v>1264</v>
      </c>
      <c r="B1269" t="s">
        <v>15075</v>
      </c>
      <c r="C1269" t="s">
        <v>15076</v>
      </c>
      <c r="D1269" t="s">
        <v>15077</v>
      </c>
      <c r="E1269" t="s">
        <v>15078</v>
      </c>
      <c r="F1269" t="s">
        <v>15079</v>
      </c>
      <c r="G1269" t="s">
        <v>15080</v>
      </c>
      <c r="H1269" t="str">
        <f>"Lsm14a"</f>
        <v>Lsm14a</v>
      </c>
      <c r="I1269" t="s">
        <v>15081</v>
      </c>
      <c r="J1269" t="s">
        <v>37</v>
      </c>
      <c r="K1269">
        <v>10090</v>
      </c>
      <c r="L1269" s="3" t="str">
        <f>HYPERLINK("http://www.uniprot.org/uniprot/Q8K2F8", "Q8K2F8")</f>
        <v>Q8K2F8</v>
      </c>
      <c r="M1269" t="s">
        <v>15082</v>
      </c>
      <c r="N1269" t="str">
        <f>"Lsm14a"</f>
        <v>Lsm14a</v>
      </c>
      <c r="O1269" s="3" t="str">
        <f>HYPERLINK("http://www.informatics.jax.org/marker/MGI:1914320", "MGI:1914320")</f>
        <v>MGI:1914320</v>
      </c>
      <c r="P1269" t="s">
        <v>15083</v>
      </c>
      <c r="Q1269" t="s">
        <v>1680</v>
      </c>
      <c r="R1269" t="s">
        <v>186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15084</v>
      </c>
      <c r="Y1269" t="s">
        <v>97</v>
      </c>
      <c r="Z1269" t="s">
        <v>32</v>
      </c>
      <c r="AA1269" t="s">
        <v>15085</v>
      </c>
      <c r="AB1269" t="s">
        <v>15086</v>
      </c>
      <c r="AC1269" t="s">
        <v>15087</v>
      </c>
      <c r="AD1269" t="s">
        <v>32</v>
      </c>
      <c r="AE1269" t="s">
        <v>32</v>
      </c>
      <c r="AF1269" t="s">
        <v>46835</v>
      </c>
    </row>
    <row r="1270" spans="1:32" x14ac:dyDescent="0.2">
      <c r="A1270">
        <v>1265</v>
      </c>
      <c r="B1270" t="s">
        <v>15088</v>
      </c>
      <c r="C1270" t="s">
        <v>15089</v>
      </c>
      <c r="D1270" t="s">
        <v>15090</v>
      </c>
      <c r="E1270" t="s">
        <v>15091</v>
      </c>
      <c r="F1270" t="s">
        <v>15092</v>
      </c>
      <c r="G1270" t="s">
        <v>15093</v>
      </c>
      <c r="H1270" t="str">
        <f>"Dnajb11"</f>
        <v>Dnajb11</v>
      </c>
      <c r="I1270" t="s">
        <v>32</v>
      </c>
      <c r="J1270" t="s">
        <v>37</v>
      </c>
      <c r="K1270">
        <v>10090</v>
      </c>
      <c r="L1270" s="3" t="str">
        <f>HYPERLINK("http://www.uniprot.org/uniprot/Q99KV1", "Q99KV1")</f>
        <v>Q99KV1</v>
      </c>
      <c r="M1270" t="s">
        <v>15094</v>
      </c>
      <c r="N1270" t="str">
        <f>"Dnajb11"</f>
        <v>Dnajb11</v>
      </c>
      <c r="O1270" s="3" t="str">
        <f>HYPERLINK("http://www.informatics.jax.org/marker/MGI:1915088", "MGI:1915088")</f>
        <v>MGI:1915088</v>
      </c>
      <c r="P1270" t="s">
        <v>15095</v>
      </c>
      <c r="Q1270" t="s">
        <v>32</v>
      </c>
      <c r="R1270" t="s">
        <v>671</v>
      </c>
      <c r="S1270" t="s">
        <v>32</v>
      </c>
      <c r="T1270" t="s">
        <v>32</v>
      </c>
      <c r="U1270" t="s">
        <v>32</v>
      </c>
      <c r="V1270" t="s">
        <v>811</v>
      </c>
      <c r="W1270" t="s">
        <v>32</v>
      </c>
      <c r="X1270" t="s">
        <v>388</v>
      </c>
      <c r="Y1270" t="s">
        <v>2865</v>
      </c>
      <c r="Z1270" t="s">
        <v>32</v>
      </c>
      <c r="AA1270" t="s">
        <v>15096</v>
      </c>
      <c r="AB1270" t="s">
        <v>15097</v>
      </c>
      <c r="AC1270" t="s">
        <v>15098</v>
      </c>
      <c r="AD1270" t="s">
        <v>32</v>
      </c>
      <c r="AE1270" t="s">
        <v>32</v>
      </c>
      <c r="AF1270" t="s">
        <v>46835</v>
      </c>
    </row>
    <row r="1271" spans="1:32" x14ac:dyDescent="0.2">
      <c r="A1271">
        <v>1266</v>
      </c>
      <c r="B1271" t="s">
        <v>15099</v>
      </c>
      <c r="C1271" t="s">
        <v>15100</v>
      </c>
      <c r="D1271" t="s">
        <v>15101</v>
      </c>
      <c r="E1271" t="s">
        <v>15102</v>
      </c>
      <c r="F1271" t="s">
        <v>15103</v>
      </c>
      <c r="G1271" t="s">
        <v>15104</v>
      </c>
      <c r="H1271" t="str">
        <f>"Pfas"</f>
        <v>Pfas</v>
      </c>
      <c r="I1271" t="s">
        <v>15105</v>
      </c>
      <c r="J1271" t="s">
        <v>37</v>
      </c>
      <c r="K1271">
        <v>10090</v>
      </c>
      <c r="L1271" s="3" t="str">
        <f>HYPERLINK("http://www.uniprot.org/uniprot/Q5SUR0", "Q5SUR0")</f>
        <v>Q5SUR0</v>
      </c>
      <c r="M1271" t="s">
        <v>15106</v>
      </c>
      <c r="N1271" t="str">
        <f>"Pfas"</f>
        <v>Pfas</v>
      </c>
      <c r="O1271" s="3" t="str">
        <f>HYPERLINK("http://www.informatics.jax.org/marker/MGI:2684864", "MGI:2684864")</f>
        <v>MGI:2684864</v>
      </c>
      <c r="P1271" t="s">
        <v>15107</v>
      </c>
      <c r="Q1271" t="s">
        <v>2203</v>
      </c>
      <c r="R1271" t="s">
        <v>418</v>
      </c>
      <c r="S1271" t="s">
        <v>32</v>
      </c>
      <c r="T1271" t="s">
        <v>32</v>
      </c>
      <c r="U1271" t="s">
        <v>32</v>
      </c>
      <c r="V1271" t="s">
        <v>7957</v>
      </c>
      <c r="W1271" t="s">
        <v>1266</v>
      </c>
      <c r="X1271" t="s">
        <v>1022</v>
      </c>
      <c r="Y1271" t="s">
        <v>618</v>
      </c>
      <c r="Z1271" t="s">
        <v>32</v>
      </c>
      <c r="AA1271" t="s">
        <v>15108</v>
      </c>
      <c r="AB1271" t="s">
        <v>2172</v>
      </c>
      <c r="AC1271" t="s">
        <v>15109</v>
      </c>
      <c r="AD1271" t="s">
        <v>15110</v>
      </c>
      <c r="AE1271" t="s">
        <v>2209</v>
      </c>
      <c r="AF1271" t="s">
        <v>46835</v>
      </c>
    </row>
    <row r="1272" spans="1:32" x14ac:dyDescent="0.2">
      <c r="A1272">
        <v>1267</v>
      </c>
      <c r="B1272" t="s">
        <v>15111</v>
      </c>
      <c r="C1272" t="s">
        <v>15112</v>
      </c>
      <c r="D1272" t="s">
        <v>15113</v>
      </c>
      <c r="E1272" t="s">
        <v>15114</v>
      </c>
      <c r="F1272" t="s">
        <v>15115</v>
      </c>
      <c r="G1272" t="s">
        <v>15116</v>
      </c>
      <c r="H1272" t="str">
        <f>"Dnmt1"</f>
        <v>Dnmt1</v>
      </c>
      <c r="I1272" t="s">
        <v>15117</v>
      </c>
      <c r="J1272" t="s">
        <v>37</v>
      </c>
      <c r="K1272">
        <v>10090</v>
      </c>
      <c r="L1272" s="3" t="str">
        <f>HYPERLINK("http://www.uniprot.org/uniprot/P13864", "P13864")</f>
        <v>P13864</v>
      </c>
      <c r="M1272" t="s">
        <v>15118</v>
      </c>
      <c r="N1272" t="str">
        <f>"Dnmt1"</f>
        <v>Dnmt1</v>
      </c>
      <c r="O1272" s="3" t="str">
        <f>HYPERLINK("http://www.informatics.jax.org/marker/MGI:94912", "MGI:94912")</f>
        <v>MGI:94912</v>
      </c>
      <c r="P1272" t="s">
        <v>15119</v>
      </c>
      <c r="Q1272" t="s">
        <v>4152</v>
      </c>
      <c r="R1272" t="s">
        <v>40</v>
      </c>
      <c r="S1272" t="s">
        <v>41</v>
      </c>
      <c r="T1272" t="s">
        <v>32</v>
      </c>
      <c r="U1272" t="s">
        <v>32</v>
      </c>
      <c r="V1272" t="s">
        <v>3791</v>
      </c>
      <c r="W1272" t="s">
        <v>15120</v>
      </c>
      <c r="X1272" t="s">
        <v>15121</v>
      </c>
      <c r="Y1272" t="s">
        <v>207</v>
      </c>
      <c r="Z1272" t="s">
        <v>126</v>
      </c>
      <c r="AA1272" t="s">
        <v>15122</v>
      </c>
      <c r="AB1272" t="s">
        <v>15123</v>
      </c>
      <c r="AC1272" t="s">
        <v>15124</v>
      </c>
      <c r="AD1272" t="s">
        <v>32</v>
      </c>
      <c r="AE1272" t="s">
        <v>15125</v>
      </c>
      <c r="AF1272" t="s">
        <v>46835</v>
      </c>
    </row>
    <row r="1273" spans="1:32" x14ac:dyDescent="0.2">
      <c r="A1273">
        <v>1268</v>
      </c>
      <c r="B1273" t="s">
        <v>15126</v>
      </c>
      <c r="C1273" t="s">
        <v>15127</v>
      </c>
      <c r="D1273" t="s">
        <v>15128</v>
      </c>
      <c r="E1273" t="s">
        <v>15129</v>
      </c>
      <c r="F1273" t="s">
        <v>15130</v>
      </c>
      <c r="G1273" t="s">
        <v>15131</v>
      </c>
      <c r="H1273" t="str">
        <f>"Naxd"</f>
        <v>Naxd</v>
      </c>
      <c r="I1273" t="s">
        <v>15132</v>
      </c>
      <c r="J1273" t="s">
        <v>37</v>
      </c>
      <c r="K1273">
        <v>10090</v>
      </c>
      <c r="L1273" s="3" t="str">
        <f>HYPERLINK("http://www.uniprot.org/uniprot/Q9CZ42", "Q9CZ42")</f>
        <v>Q9CZ42</v>
      </c>
      <c r="M1273" t="s">
        <v>15133</v>
      </c>
      <c r="N1273" t="str">
        <f>"Naxd"</f>
        <v>Naxd</v>
      </c>
      <c r="O1273" s="3" t="str">
        <f>HYPERLINK("http://www.informatics.jax.org/marker/MGI:1913353", "MGI:1913353")</f>
        <v>MGI:1913353</v>
      </c>
      <c r="P1273" t="s">
        <v>15134</v>
      </c>
      <c r="Q1273" t="s">
        <v>32</v>
      </c>
      <c r="R1273" t="s">
        <v>1038</v>
      </c>
      <c r="S1273" t="s">
        <v>41</v>
      </c>
      <c r="T1273" t="s">
        <v>32</v>
      </c>
      <c r="U1273" t="s">
        <v>32</v>
      </c>
      <c r="V1273" t="s">
        <v>1039</v>
      </c>
      <c r="W1273" t="s">
        <v>15135</v>
      </c>
      <c r="X1273" t="s">
        <v>224</v>
      </c>
      <c r="Y1273" t="s">
        <v>157</v>
      </c>
      <c r="Z1273" t="s">
        <v>32</v>
      </c>
      <c r="AA1273" t="s">
        <v>15136</v>
      </c>
      <c r="AB1273" t="s">
        <v>3721</v>
      </c>
      <c r="AC1273" t="s">
        <v>15137</v>
      </c>
      <c r="AD1273" t="s">
        <v>32</v>
      </c>
      <c r="AE1273" t="s">
        <v>9142</v>
      </c>
      <c r="AF1273" t="s">
        <v>46835</v>
      </c>
    </row>
    <row r="1274" spans="1:32" x14ac:dyDescent="0.2">
      <c r="A1274">
        <v>1269</v>
      </c>
      <c r="B1274" t="s">
        <v>15138</v>
      </c>
      <c r="C1274" t="s">
        <v>15139</v>
      </c>
      <c r="D1274" t="s">
        <v>15140</v>
      </c>
      <c r="E1274" t="s">
        <v>15141</v>
      </c>
      <c r="F1274" t="s">
        <v>15142</v>
      </c>
      <c r="G1274" t="s">
        <v>15143</v>
      </c>
      <c r="H1274" t="str">
        <f>"Ogfr"</f>
        <v>Ogfr</v>
      </c>
      <c r="I1274" t="s">
        <v>32</v>
      </c>
      <c r="J1274" t="s">
        <v>37</v>
      </c>
      <c r="K1274">
        <v>10090</v>
      </c>
      <c r="L1274" s="3" t="str">
        <f>HYPERLINK("http://www.uniprot.org/uniprot/Q99PG2", "Q99PG2")</f>
        <v>Q99PG2</v>
      </c>
      <c r="M1274" t="s">
        <v>15144</v>
      </c>
      <c r="N1274" t="str">
        <f>"Ogfr"</f>
        <v>Ogfr</v>
      </c>
      <c r="O1274" s="3" t="str">
        <f>HYPERLINK("http://www.informatics.jax.org/marker/MGI:1919325", "MGI:1919325")</f>
        <v>MGI:1919325</v>
      </c>
      <c r="P1274" t="s">
        <v>15145</v>
      </c>
      <c r="Q1274" t="s">
        <v>15146</v>
      </c>
      <c r="R1274" t="s">
        <v>40</v>
      </c>
      <c r="S1274" t="s">
        <v>41</v>
      </c>
      <c r="T1274" t="s">
        <v>32</v>
      </c>
      <c r="U1274" t="s">
        <v>32</v>
      </c>
      <c r="V1274" t="s">
        <v>55</v>
      </c>
      <c r="W1274" t="s">
        <v>32</v>
      </c>
      <c r="X1274" t="s">
        <v>6983</v>
      </c>
      <c r="Y1274" t="s">
        <v>157</v>
      </c>
      <c r="Z1274" t="s">
        <v>32</v>
      </c>
      <c r="AA1274" t="s">
        <v>32</v>
      </c>
      <c r="AB1274" t="s">
        <v>15147</v>
      </c>
      <c r="AC1274" t="s">
        <v>15148</v>
      </c>
      <c r="AD1274" t="s">
        <v>32</v>
      </c>
      <c r="AE1274" t="s">
        <v>32</v>
      </c>
      <c r="AF1274" t="s">
        <v>46835</v>
      </c>
    </row>
    <row r="1275" spans="1:32" x14ac:dyDescent="0.2">
      <c r="A1275">
        <v>1270</v>
      </c>
      <c r="B1275" t="s">
        <v>15149</v>
      </c>
      <c r="C1275" t="s">
        <v>15150</v>
      </c>
      <c r="D1275" t="s">
        <v>15151</v>
      </c>
      <c r="E1275" t="s">
        <v>15152</v>
      </c>
      <c r="F1275" t="s">
        <v>15153</v>
      </c>
      <c r="G1275" t="s">
        <v>15154</v>
      </c>
      <c r="H1275" t="str">
        <f>"Phf5a"</f>
        <v>Phf5a</v>
      </c>
      <c r="I1275" t="s">
        <v>32</v>
      </c>
      <c r="J1275" t="s">
        <v>37</v>
      </c>
      <c r="K1275">
        <v>10090</v>
      </c>
      <c r="L1275" s="3" t="str">
        <f>HYPERLINK("http://www.uniprot.org/uniprot/P83870", "P83870")</f>
        <v>P83870</v>
      </c>
      <c r="M1275" t="s">
        <v>15155</v>
      </c>
      <c r="N1275" t="str">
        <f>"Phf5a"</f>
        <v>Phf5a</v>
      </c>
      <c r="O1275" s="3" t="str">
        <f>HYPERLINK("http://www.informatics.jax.org/marker/MGI:2156864", "MGI:2156864")</f>
        <v>MGI:2156864</v>
      </c>
      <c r="P1275" t="s">
        <v>15156</v>
      </c>
      <c r="Q1275" t="s">
        <v>1348</v>
      </c>
      <c r="R1275" t="s">
        <v>2140</v>
      </c>
      <c r="S1275" t="s">
        <v>32</v>
      </c>
      <c r="T1275" t="s">
        <v>32</v>
      </c>
      <c r="U1275" t="s">
        <v>32</v>
      </c>
      <c r="V1275" t="s">
        <v>32</v>
      </c>
      <c r="W1275" t="s">
        <v>42</v>
      </c>
      <c r="X1275" t="s">
        <v>14351</v>
      </c>
      <c r="Y1275" t="s">
        <v>157</v>
      </c>
      <c r="Z1275" t="s">
        <v>32</v>
      </c>
      <c r="AA1275" t="s">
        <v>15157</v>
      </c>
      <c r="AB1275" t="s">
        <v>15158</v>
      </c>
      <c r="AC1275" t="s">
        <v>15159</v>
      </c>
      <c r="AD1275" t="s">
        <v>32</v>
      </c>
      <c r="AE1275" t="s">
        <v>946</v>
      </c>
      <c r="AF1275" t="s">
        <v>46835</v>
      </c>
    </row>
    <row r="1276" spans="1:32" x14ac:dyDescent="0.2">
      <c r="A1276">
        <v>1271</v>
      </c>
      <c r="B1276" t="s">
        <v>15160</v>
      </c>
      <c r="C1276" t="s">
        <v>15161</v>
      </c>
      <c r="D1276" t="s">
        <v>15162</v>
      </c>
      <c r="E1276" t="s">
        <v>15163</v>
      </c>
      <c r="F1276" t="s">
        <v>15164</v>
      </c>
      <c r="G1276" t="s">
        <v>15165</v>
      </c>
      <c r="H1276" t="str">
        <f>"Sap18"</f>
        <v>Sap18</v>
      </c>
      <c r="I1276" t="s">
        <v>32</v>
      </c>
      <c r="J1276" t="s">
        <v>37</v>
      </c>
      <c r="K1276">
        <v>10090</v>
      </c>
      <c r="L1276" s="3" t="str">
        <f>HYPERLINK("http://www.uniprot.org/uniprot/O55128", "O55128")</f>
        <v>O55128</v>
      </c>
      <c r="M1276" t="s">
        <v>15166</v>
      </c>
      <c r="N1276" t="str">
        <f>"Sap18"</f>
        <v>Sap18</v>
      </c>
      <c r="O1276" s="3" t="str">
        <f>HYPERLINK("http://www.informatics.jax.org/marker/MGI:1277978", "MGI:1277978")</f>
        <v>MGI:1277978</v>
      </c>
      <c r="P1276" t="s">
        <v>15167</v>
      </c>
      <c r="Q1276" t="s">
        <v>1348</v>
      </c>
      <c r="R1276" t="s">
        <v>40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5195</v>
      </c>
      <c r="Y1276" t="s">
        <v>461</v>
      </c>
      <c r="Z1276" t="s">
        <v>126</v>
      </c>
      <c r="AA1276" t="s">
        <v>15168</v>
      </c>
      <c r="AB1276" t="s">
        <v>15169</v>
      </c>
      <c r="AC1276" t="s">
        <v>7414</v>
      </c>
      <c r="AD1276" t="s">
        <v>32</v>
      </c>
      <c r="AE1276" t="s">
        <v>15170</v>
      </c>
      <c r="AF1276" t="s">
        <v>46835</v>
      </c>
    </row>
    <row r="1277" spans="1:32" x14ac:dyDescent="0.2">
      <c r="A1277">
        <v>1272</v>
      </c>
      <c r="B1277" t="s">
        <v>15171</v>
      </c>
      <c r="C1277" t="s">
        <v>15172</v>
      </c>
      <c r="D1277" t="s">
        <v>15173</v>
      </c>
      <c r="E1277" t="s">
        <v>15174</v>
      </c>
      <c r="F1277" t="s">
        <v>15175</v>
      </c>
      <c r="G1277" t="s">
        <v>15176</v>
      </c>
      <c r="H1277" t="str">
        <f>"Qdpr"</f>
        <v>Qdpr</v>
      </c>
      <c r="I1277" t="s">
        <v>15177</v>
      </c>
      <c r="J1277" t="s">
        <v>37</v>
      </c>
      <c r="K1277">
        <v>10090</v>
      </c>
      <c r="L1277" s="3" t="str">
        <f>HYPERLINK("http://www.uniprot.org/uniprot/Q8BVI4", "Q8BVI4")</f>
        <v>Q8BVI4</v>
      </c>
      <c r="M1277" t="s">
        <v>15178</v>
      </c>
      <c r="N1277" t="str">
        <f>"Qdpr"</f>
        <v>Qdpr</v>
      </c>
      <c r="O1277" s="3" t="str">
        <f>HYPERLINK("http://www.informatics.jax.org/marker/MGI:97836", "MGI:97836")</f>
        <v>MGI:97836</v>
      </c>
      <c r="P1277" t="s">
        <v>15179</v>
      </c>
      <c r="Q1277" t="s">
        <v>15180</v>
      </c>
      <c r="R1277" t="s">
        <v>32</v>
      </c>
      <c r="S1277" t="s">
        <v>32</v>
      </c>
      <c r="T1277" t="s">
        <v>32</v>
      </c>
      <c r="U1277" t="s">
        <v>32</v>
      </c>
      <c r="V1277" t="s">
        <v>32</v>
      </c>
      <c r="W1277" t="s">
        <v>3204</v>
      </c>
      <c r="X1277" t="s">
        <v>600</v>
      </c>
      <c r="Y1277" t="s">
        <v>32</v>
      </c>
      <c r="Z1277" t="s">
        <v>32</v>
      </c>
      <c r="AA1277" t="s">
        <v>15181</v>
      </c>
      <c r="AB1277" t="s">
        <v>15182</v>
      </c>
      <c r="AC1277" t="s">
        <v>15183</v>
      </c>
      <c r="AD1277" t="s">
        <v>32</v>
      </c>
      <c r="AE1277" t="s">
        <v>13672</v>
      </c>
      <c r="AF1277" t="s">
        <v>46835</v>
      </c>
    </row>
    <row r="1278" spans="1:32" x14ac:dyDescent="0.2">
      <c r="A1278">
        <v>1273</v>
      </c>
      <c r="B1278" t="s">
        <v>15184</v>
      </c>
      <c r="C1278" t="s">
        <v>15185</v>
      </c>
      <c r="D1278" t="s">
        <v>15186</v>
      </c>
      <c r="E1278" t="s">
        <v>15187</v>
      </c>
      <c r="F1278" t="s">
        <v>15188</v>
      </c>
      <c r="G1278" t="s">
        <v>15189</v>
      </c>
      <c r="H1278" t="str">
        <f>"Tom1"</f>
        <v>Tom1</v>
      </c>
      <c r="I1278" t="s">
        <v>32</v>
      </c>
      <c r="J1278" t="s">
        <v>37</v>
      </c>
      <c r="K1278">
        <v>10090</v>
      </c>
      <c r="L1278" s="3" t="str">
        <f>HYPERLINK("http://www.uniprot.org/uniprot/O88746", "O88746")</f>
        <v>O88746</v>
      </c>
      <c r="M1278" t="s">
        <v>15190</v>
      </c>
      <c r="N1278" t="str">
        <f>"Tom1"</f>
        <v>Tom1</v>
      </c>
      <c r="O1278" s="3" t="str">
        <f>HYPERLINK("http://www.informatics.jax.org/marker/MGI:1338026", "MGI:1338026")</f>
        <v>MGI:1338026</v>
      </c>
      <c r="P1278" t="s">
        <v>15191</v>
      </c>
      <c r="Q1278" t="s">
        <v>434</v>
      </c>
      <c r="R1278" t="s">
        <v>6558</v>
      </c>
      <c r="S1278" t="s">
        <v>41</v>
      </c>
      <c r="T1278" t="s">
        <v>32</v>
      </c>
      <c r="U1278" t="s">
        <v>32</v>
      </c>
      <c r="V1278" t="s">
        <v>32</v>
      </c>
      <c r="W1278" t="s">
        <v>32</v>
      </c>
      <c r="X1278" t="s">
        <v>32</v>
      </c>
      <c r="Y1278" t="s">
        <v>516</v>
      </c>
      <c r="Z1278" t="s">
        <v>32</v>
      </c>
      <c r="AA1278" t="s">
        <v>15192</v>
      </c>
      <c r="AB1278" t="s">
        <v>15193</v>
      </c>
      <c r="AC1278" t="s">
        <v>15194</v>
      </c>
      <c r="AD1278" t="s">
        <v>32</v>
      </c>
      <c r="AE1278" t="s">
        <v>548</v>
      </c>
      <c r="AF1278" t="s">
        <v>46835</v>
      </c>
    </row>
    <row r="1279" spans="1:32" x14ac:dyDescent="0.2">
      <c r="A1279">
        <v>1274</v>
      </c>
      <c r="B1279" t="s">
        <v>15195</v>
      </c>
      <c r="C1279" t="s">
        <v>15196</v>
      </c>
      <c r="D1279" t="s">
        <v>15197</v>
      </c>
      <c r="E1279" t="s">
        <v>15198</v>
      </c>
      <c r="F1279" t="s">
        <v>15199</v>
      </c>
      <c r="G1279" t="s">
        <v>15200</v>
      </c>
      <c r="H1279" t="str">
        <f>"Gnb2"</f>
        <v>Gnb2</v>
      </c>
      <c r="I1279" t="s">
        <v>32</v>
      </c>
      <c r="J1279" t="s">
        <v>37</v>
      </c>
      <c r="K1279">
        <v>10090</v>
      </c>
      <c r="L1279" s="3" t="str">
        <f>HYPERLINK("http://www.uniprot.org/uniprot/P62880", "P62880")</f>
        <v>P62880</v>
      </c>
      <c r="M1279" t="s">
        <v>15201</v>
      </c>
      <c r="N1279" t="str">
        <f>"Gnb2"</f>
        <v>Gnb2</v>
      </c>
      <c r="O1279" s="3" t="str">
        <f>HYPERLINK("http://www.informatics.jax.org/marker/MGI:95784", "MGI:95784")</f>
        <v>MGI:95784</v>
      </c>
      <c r="P1279" t="s">
        <v>15202</v>
      </c>
      <c r="Q1279" t="s">
        <v>32</v>
      </c>
      <c r="R1279" t="s">
        <v>222</v>
      </c>
      <c r="S1279" t="s">
        <v>32</v>
      </c>
      <c r="T1279" t="s">
        <v>32</v>
      </c>
      <c r="U1279" t="s">
        <v>32</v>
      </c>
      <c r="V1279" t="s">
        <v>1910</v>
      </c>
      <c r="W1279" t="s">
        <v>32</v>
      </c>
      <c r="X1279" t="s">
        <v>10391</v>
      </c>
      <c r="Y1279" t="s">
        <v>157</v>
      </c>
      <c r="Z1279" t="s">
        <v>32</v>
      </c>
      <c r="AA1279" t="s">
        <v>15203</v>
      </c>
      <c r="AB1279" t="s">
        <v>15204</v>
      </c>
      <c r="AC1279" t="s">
        <v>15205</v>
      </c>
      <c r="AD1279" t="s">
        <v>32</v>
      </c>
      <c r="AE1279" t="s">
        <v>11972</v>
      </c>
      <c r="AF1279" t="s">
        <v>46835</v>
      </c>
    </row>
    <row r="1280" spans="1:32" x14ac:dyDescent="0.2">
      <c r="A1280">
        <v>1275</v>
      </c>
      <c r="B1280" t="s">
        <v>15206</v>
      </c>
      <c r="C1280" t="s">
        <v>15207</v>
      </c>
      <c r="D1280" t="s">
        <v>15208</v>
      </c>
      <c r="E1280" t="s">
        <v>15209</v>
      </c>
      <c r="F1280" t="s">
        <v>15210</v>
      </c>
      <c r="G1280" t="s">
        <v>15211</v>
      </c>
      <c r="H1280" t="str">
        <f>"Aspscr1"</f>
        <v>Aspscr1</v>
      </c>
      <c r="I1280" t="s">
        <v>15212</v>
      </c>
      <c r="J1280" t="s">
        <v>37</v>
      </c>
      <c r="K1280">
        <v>10090</v>
      </c>
      <c r="L1280" s="3" t="str">
        <f>HYPERLINK("http://www.uniprot.org/uniprot/Q8VBT9", "Q8VBT9")</f>
        <v>Q8VBT9</v>
      </c>
      <c r="M1280" t="s">
        <v>15213</v>
      </c>
      <c r="N1280" t="str">
        <f>"Aspscr1"</f>
        <v>Aspscr1</v>
      </c>
      <c r="O1280" s="3" t="str">
        <f>HYPERLINK("http://www.informatics.jax.org/marker/MGI:1916188", "MGI:1916188")</f>
        <v>MGI:1916188</v>
      </c>
      <c r="P1280" t="s">
        <v>15214</v>
      </c>
      <c r="Q1280" t="s">
        <v>32</v>
      </c>
      <c r="R1280" t="s">
        <v>5943</v>
      </c>
      <c r="S1280" t="s">
        <v>41</v>
      </c>
      <c r="T1280" t="s">
        <v>32</v>
      </c>
      <c r="U1280" t="s">
        <v>32</v>
      </c>
      <c r="V1280" t="s">
        <v>32</v>
      </c>
      <c r="W1280" t="s">
        <v>32</v>
      </c>
      <c r="X1280" t="s">
        <v>32</v>
      </c>
      <c r="Y1280" t="s">
        <v>157</v>
      </c>
      <c r="Z1280" t="s">
        <v>126</v>
      </c>
      <c r="AA1280" t="s">
        <v>15215</v>
      </c>
      <c r="AB1280" t="s">
        <v>15216</v>
      </c>
      <c r="AC1280" t="s">
        <v>32</v>
      </c>
      <c r="AD1280" t="s">
        <v>32</v>
      </c>
      <c r="AE1280" t="s">
        <v>32</v>
      </c>
      <c r="AF1280" t="s">
        <v>46835</v>
      </c>
    </row>
    <row r="1281" spans="1:33" x14ac:dyDescent="0.2">
      <c r="A1281">
        <v>1276</v>
      </c>
      <c r="B1281" t="s">
        <v>15217</v>
      </c>
      <c r="C1281" t="s">
        <v>47115</v>
      </c>
      <c r="D1281" t="s">
        <v>32</v>
      </c>
      <c r="E1281" t="s">
        <v>46890</v>
      </c>
      <c r="F1281" t="s">
        <v>46889</v>
      </c>
      <c r="G1281" t="s">
        <v>32</v>
      </c>
      <c r="H1281" t="s">
        <v>47246</v>
      </c>
      <c r="I1281" t="s">
        <v>32</v>
      </c>
      <c r="J1281" t="s">
        <v>37</v>
      </c>
      <c r="K1281">
        <v>10090</v>
      </c>
      <c r="L1281" s="3" t="str">
        <f>HYPERLINK(CONCATENATE("https://www.uniprot.org/uniprotkb/", AG1281, "/entry"), AG1281)</f>
        <v>Q9D0T1</v>
      </c>
      <c r="M1281" t="s">
        <v>32</v>
      </c>
      <c r="N1281" t="s">
        <v>32</v>
      </c>
      <c r="O1281" s="3" t="s">
        <v>32</v>
      </c>
      <c r="P1281" t="s">
        <v>32</v>
      </c>
      <c r="Q1281" t="s">
        <v>32</v>
      </c>
      <c r="R1281" t="s">
        <v>32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32</v>
      </c>
      <c r="Y1281" t="s">
        <v>32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t="s">
        <v>46835</v>
      </c>
      <c r="AG1281" t="s">
        <v>46889</v>
      </c>
    </row>
    <row r="1282" spans="1:33" x14ac:dyDescent="0.2">
      <c r="A1282">
        <v>1277</v>
      </c>
      <c r="B1282" t="s">
        <v>15218</v>
      </c>
      <c r="C1282" t="s">
        <v>15219</v>
      </c>
      <c r="D1282" t="s">
        <v>15220</v>
      </c>
      <c r="E1282" t="s">
        <v>15221</v>
      </c>
      <c r="F1282" t="s">
        <v>15222</v>
      </c>
      <c r="G1282" t="s">
        <v>32</v>
      </c>
      <c r="H1282" t="str">
        <f>"Eif2b2"</f>
        <v>Eif2b2</v>
      </c>
      <c r="I1282" t="s">
        <v>32</v>
      </c>
      <c r="J1282" t="s">
        <v>37</v>
      </c>
      <c r="K1282">
        <v>10090</v>
      </c>
      <c r="L1282" s="3" t="str">
        <f>HYPERLINK("http://www.uniprot.org/uniprot/Q99LD9", "Q99LD9")</f>
        <v>Q99LD9</v>
      </c>
      <c r="M1282" t="s">
        <v>15223</v>
      </c>
      <c r="N1282" t="str">
        <f>"Eif2b2"</f>
        <v>Eif2b2</v>
      </c>
      <c r="O1282" s="3" t="str">
        <f>HYPERLINK("http://www.informatics.jax.org/marker/MGI:2145118", "MGI:2145118")</f>
        <v>MGI:2145118</v>
      </c>
      <c r="P1282" t="s">
        <v>15224</v>
      </c>
      <c r="Q1282" t="s">
        <v>260</v>
      </c>
      <c r="R1282" t="s">
        <v>32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2675</v>
      </c>
      <c r="Y1282" t="s">
        <v>32</v>
      </c>
      <c r="Z1282" t="s">
        <v>32</v>
      </c>
      <c r="AA1282" t="s">
        <v>15225</v>
      </c>
      <c r="AB1282" t="s">
        <v>15226</v>
      </c>
      <c r="AC1282" t="s">
        <v>15227</v>
      </c>
      <c r="AD1282" t="s">
        <v>32</v>
      </c>
      <c r="AE1282" t="s">
        <v>15228</v>
      </c>
      <c r="AF1282" t="s">
        <v>46835</v>
      </c>
    </row>
    <row r="1283" spans="1:33" x14ac:dyDescent="0.2">
      <c r="A1283">
        <v>1278</v>
      </c>
      <c r="B1283" t="s">
        <v>15229</v>
      </c>
      <c r="C1283" t="s">
        <v>15230</v>
      </c>
      <c r="D1283" t="s">
        <v>32</v>
      </c>
      <c r="E1283" t="s">
        <v>15231</v>
      </c>
      <c r="F1283" t="s">
        <v>15232</v>
      </c>
      <c r="G1283" t="s">
        <v>15233</v>
      </c>
      <c r="H1283" t="str">
        <f>"Rala"</f>
        <v>Rala</v>
      </c>
      <c r="I1283" t="s">
        <v>15234</v>
      </c>
      <c r="J1283" t="s">
        <v>37</v>
      </c>
      <c r="K1283">
        <v>10090</v>
      </c>
      <c r="L1283" s="3" t="str">
        <f>HYPERLINK("http://www.uniprot.org/uniprot/P63321", "P63321")</f>
        <v>P63321</v>
      </c>
      <c r="M1283" t="s">
        <v>15235</v>
      </c>
      <c r="N1283" t="str">
        <f>"Rala"</f>
        <v>Rala</v>
      </c>
      <c r="O1283" s="3" t="str">
        <f>HYPERLINK("http://www.informatics.jax.org/marker/MGI:1927243", "MGI:1927243")</f>
        <v>MGI:1927243</v>
      </c>
      <c r="P1283" t="s">
        <v>15236</v>
      </c>
      <c r="Q1283" t="s">
        <v>15237</v>
      </c>
      <c r="R1283" t="s">
        <v>6368</v>
      </c>
      <c r="S1283" t="s">
        <v>32</v>
      </c>
      <c r="T1283" t="s">
        <v>32</v>
      </c>
      <c r="U1283" t="s">
        <v>32</v>
      </c>
      <c r="V1283" t="s">
        <v>32</v>
      </c>
      <c r="W1283" t="s">
        <v>261</v>
      </c>
      <c r="X1283" t="s">
        <v>343</v>
      </c>
      <c r="Y1283" t="s">
        <v>3745</v>
      </c>
      <c r="Z1283" t="s">
        <v>32</v>
      </c>
      <c r="AA1283" t="s">
        <v>15238</v>
      </c>
      <c r="AB1283" t="s">
        <v>15239</v>
      </c>
      <c r="AC1283" t="s">
        <v>15240</v>
      </c>
      <c r="AD1283" t="s">
        <v>32</v>
      </c>
      <c r="AE1283" t="s">
        <v>32</v>
      </c>
      <c r="AF1283" t="s">
        <v>46835</v>
      </c>
    </row>
    <row r="1284" spans="1:33" x14ac:dyDescent="0.2">
      <c r="A1284">
        <v>1279</v>
      </c>
      <c r="B1284" t="s">
        <v>15241</v>
      </c>
      <c r="C1284" t="s">
        <v>15242</v>
      </c>
      <c r="D1284" t="s">
        <v>15243</v>
      </c>
      <c r="E1284" t="s">
        <v>15244</v>
      </c>
      <c r="F1284" t="s">
        <v>15245</v>
      </c>
      <c r="G1284" t="s">
        <v>15246</v>
      </c>
      <c r="H1284" t="str">
        <f>"Slc7a5"</f>
        <v>Slc7a5</v>
      </c>
      <c r="I1284" t="s">
        <v>15247</v>
      </c>
      <c r="J1284" t="s">
        <v>37</v>
      </c>
      <c r="K1284">
        <v>10090</v>
      </c>
      <c r="L1284" s="3" t="str">
        <f>HYPERLINK("http://www.uniprot.org/uniprot/Q9Z127", "Q9Z127")</f>
        <v>Q9Z127</v>
      </c>
      <c r="M1284" t="s">
        <v>15248</v>
      </c>
      <c r="N1284" t="str">
        <f>"Slc7a5"</f>
        <v>Slc7a5</v>
      </c>
      <c r="O1284" s="3" t="str">
        <f>HYPERLINK("http://www.informatics.jax.org/marker/MGI:1298205", "MGI:1298205")</f>
        <v>MGI:1298205</v>
      </c>
      <c r="P1284" t="s">
        <v>15249</v>
      </c>
      <c r="Q1284" t="s">
        <v>1548</v>
      </c>
      <c r="R1284" t="s">
        <v>15250</v>
      </c>
      <c r="S1284" t="s">
        <v>32</v>
      </c>
      <c r="T1284" t="s">
        <v>32</v>
      </c>
      <c r="U1284" t="s">
        <v>32</v>
      </c>
      <c r="V1284" t="s">
        <v>493</v>
      </c>
      <c r="W1284" t="s">
        <v>32</v>
      </c>
      <c r="X1284" t="s">
        <v>32</v>
      </c>
      <c r="Y1284" t="s">
        <v>2080</v>
      </c>
      <c r="Z1284" t="s">
        <v>32</v>
      </c>
      <c r="AA1284" t="s">
        <v>15251</v>
      </c>
      <c r="AB1284" t="s">
        <v>15252</v>
      </c>
      <c r="AC1284" t="s">
        <v>15253</v>
      </c>
      <c r="AD1284" t="s">
        <v>32</v>
      </c>
      <c r="AE1284" t="s">
        <v>1555</v>
      </c>
      <c r="AF1284" t="s">
        <v>46835</v>
      </c>
    </row>
    <row r="1285" spans="1:33" x14ac:dyDescent="0.2">
      <c r="A1285">
        <v>1280</v>
      </c>
      <c r="B1285" t="s">
        <v>15254</v>
      </c>
      <c r="C1285" t="s">
        <v>15255</v>
      </c>
      <c r="D1285" t="s">
        <v>32</v>
      </c>
      <c r="E1285" t="s">
        <v>15256</v>
      </c>
      <c r="F1285" t="s">
        <v>15257</v>
      </c>
      <c r="G1285" t="s">
        <v>15258</v>
      </c>
      <c r="H1285" t="str">
        <f>"Arf1"</f>
        <v>Arf1</v>
      </c>
      <c r="I1285" t="s">
        <v>32</v>
      </c>
      <c r="J1285" t="s">
        <v>37</v>
      </c>
      <c r="K1285">
        <v>10090</v>
      </c>
      <c r="L1285" s="3" t="str">
        <f>HYPERLINK("http://www.uniprot.org/uniprot/P84078", "P84078")</f>
        <v>P84078</v>
      </c>
      <c r="M1285" t="s">
        <v>15259</v>
      </c>
      <c r="N1285" t="str">
        <f>"Arf1"</f>
        <v>Arf1</v>
      </c>
      <c r="O1285" s="3" t="str">
        <f>HYPERLINK("http://www.informatics.jax.org/marker/MGI:99431", "MGI:99431")</f>
        <v>MGI:99431</v>
      </c>
      <c r="P1285" t="s">
        <v>15260</v>
      </c>
      <c r="Q1285" t="s">
        <v>2916</v>
      </c>
      <c r="R1285" t="s">
        <v>15261</v>
      </c>
      <c r="S1285" t="s">
        <v>32</v>
      </c>
      <c r="T1285" t="s">
        <v>32</v>
      </c>
      <c r="U1285" t="s">
        <v>32</v>
      </c>
      <c r="V1285" t="s">
        <v>32</v>
      </c>
      <c r="W1285" t="s">
        <v>261</v>
      </c>
      <c r="X1285" t="s">
        <v>343</v>
      </c>
      <c r="Y1285" t="s">
        <v>15262</v>
      </c>
      <c r="Z1285" t="s">
        <v>126</v>
      </c>
      <c r="AA1285" t="s">
        <v>15263</v>
      </c>
      <c r="AB1285" t="s">
        <v>15264</v>
      </c>
      <c r="AC1285" t="s">
        <v>15265</v>
      </c>
      <c r="AD1285" t="s">
        <v>32</v>
      </c>
      <c r="AE1285" t="s">
        <v>15266</v>
      </c>
      <c r="AF1285" t="s">
        <v>46835</v>
      </c>
    </row>
    <row r="1286" spans="1:33" x14ac:dyDescent="0.2">
      <c r="A1286">
        <v>1281</v>
      </c>
      <c r="B1286" t="s">
        <v>15267</v>
      </c>
      <c r="C1286" t="s">
        <v>15268</v>
      </c>
      <c r="D1286" t="s">
        <v>32</v>
      </c>
      <c r="E1286" t="s">
        <v>15269</v>
      </c>
      <c r="F1286" t="s">
        <v>15270</v>
      </c>
      <c r="G1286" t="s">
        <v>32</v>
      </c>
      <c r="H1286" t="str">
        <f>"Stam"</f>
        <v>Stam</v>
      </c>
      <c r="I1286" t="s">
        <v>15271</v>
      </c>
      <c r="J1286" t="s">
        <v>37</v>
      </c>
      <c r="K1286">
        <v>10090</v>
      </c>
      <c r="L1286" s="3" t="str">
        <f>HYPERLINK("http://www.uniprot.org/uniprot/P70297", "P70297")</f>
        <v>P70297</v>
      </c>
      <c r="M1286" t="s">
        <v>15272</v>
      </c>
      <c r="N1286" t="str">
        <f>"Stam"</f>
        <v>Stam</v>
      </c>
      <c r="O1286" s="3" t="str">
        <f>HYPERLINK("http://www.informatics.jax.org/marker/MGI:1329014", "MGI:1329014")</f>
        <v>MGI:1329014</v>
      </c>
      <c r="P1286" t="s">
        <v>15273</v>
      </c>
      <c r="Q1286" t="s">
        <v>434</v>
      </c>
      <c r="R1286" t="s">
        <v>6558</v>
      </c>
      <c r="S1286" t="s">
        <v>32</v>
      </c>
      <c r="T1286" t="s">
        <v>32</v>
      </c>
      <c r="U1286" t="s">
        <v>32</v>
      </c>
      <c r="V1286" t="s">
        <v>10640</v>
      </c>
      <c r="W1286" t="s">
        <v>32</v>
      </c>
      <c r="X1286" t="s">
        <v>32</v>
      </c>
      <c r="Y1286" t="s">
        <v>1007</v>
      </c>
      <c r="Z1286" t="s">
        <v>32</v>
      </c>
      <c r="AA1286" t="s">
        <v>15274</v>
      </c>
      <c r="AB1286" t="s">
        <v>15275</v>
      </c>
      <c r="AC1286" t="s">
        <v>15276</v>
      </c>
      <c r="AD1286" t="s">
        <v>32</v>
      </c>
      <c r="AE1286" t="s">
        <v>15277</v>
      </c>
      <c r="AF1286" t="s">
        <v>46835</v>
      </c>
    </row>
    <row r="1287" spans="1:33" x14ac:dyDescent="0.2">
      <c r="A1287">
        <v>1282</v>
      </c>
      <c r="B1287" t="s">
        <v>15278</v>
      </c>
      <c r="C1287" t="s">
        <v>15279</v>
      </c>
      <c r="D1287" t="s">
        <v>15280</v>
      </c>
      <c r="E1287" t="s">
        <v>15281</v>
      </c>
      <c r="F1287" t="s">
        <v>15282</v>
      </c>
      <c r="G1287" t="s">
        <v>15283</v>
      </c>
      <c r="H1287" t="str">
        <f>"Prpf40a"</f>
        <v>Prpf40a</v>
      </c>
      <c r="I1287" t="s">
        <v>15284</v>
      </c>
      <c r="J1287" t="s">
        <v>37</v>
      </c>
      <c r="K1287">
        <v>10090</v>
      </c>
      <c r="L1287" s="3" t="str">
        <f>HYPERLINK("http://www.uniprot.org/uniprot/Q9R1C7", "Q9R1C7")</f>
        <v>Q9R1C7</v>
      </c>
      <c r="M1287" t="s">
        <v>15285</v>
      </c>
      <c r="N1287" t="str">
        <f>"Prpf40a"</f>
        <v>Prpf40a</v>
      </c>
      <c r="O1287" s="3" t="str">
        <f>HYPERLINK("http://www.informatics.jax.org/marker/MGI:1860512", "MGI:1860512")</f>
        <v>MGI:1860512</v>
      </c>
      <c r="P1287" t="s">
        <v>15286</v>
      </c>
      <c r="Q1287" t="s">
        <v>2139</v>
      </c>
      <c r="R1287" t="s">
        <v>2279</v>
      </c>
      <c r="S1287" t="s">
        <v>41</v>
      </c>
      <c r="T1287" t="s">
        <v>32</v>
      </c>
      <c r="U1287" t="s">
        <v>32</v>
      </c>
      <c r="V1287" t="s">
        <v>55</v>
      </c>
      <c r="W1287" t="s">
        <v>32</v>
      </c>
      <c r="X1287" t="s">
        <v>32</v>
      </c>
      <c r="Y1287" t="s">
        <v>207</v>
      </c>
      <c r="Z1287" t="s">
        <v>32</v>
      </c>
      <c r="AA1287" t="s">
        <v>15287</v>
      </c>
      <c r="AB1287" t="s">
        <v>15288</v>
      </c>
      <c r="AC1287" t="s">
        <v>15289</v>
      </c>
      <c r="AD1287" t="s">
        <v>32</v>
      </c>
      <c r="AE1287" t="s">
        <v>946</v>
      </c>
      <c r="AF1287" t="s">
        <v>46835</v>
      </c>
    </row>
    <row r="1288" spans="1:33" x14ac:dyDescent="0.2">
      <c r="A1288">
        <v>1283</v>
      </c>
      <c r="B1288" t="s">
        <v>15290</v>
      </c>
      <c r="C1288" t="s">
        <v>15291</v>
      </c>
      <c r="D1288" t="s">
        <v>15292</v>
      </c>
      <c r="E1288" t="s">
        <v>15293</v>
      </c>
      <c r="F1288" t="s">
        <v>15294</v>
      </c>
      <c r="G1288" t="s">
        <v>32</v>
      </c>
      <c r="H1288" t="str">
        <f>"Ptpa"</f>
        <v>Ptpa</v>
      </c>
      <c r="I1288" t="s">
        <v>15295</v>
      </c>
      <c r="J1288" t="s">
        <v>37</v>
      </c>
      <c r="K1288">
        <v>10090</v>
      </c>
      <c r="L1288" s="3" t="str">
        <f>HYPERLINK("http://www.uniprot.org/uniprot/P58389", "P58389")</f>
        <v>P58389</v>
      </c>
      <c r="M1288" t="s">
        <v>15296</v>
      </c>
      <c r="N1288" t="str">
        <f>"Ptpa"</f>
        <v>Ptpa</v>
      </c>
      <c r="O1288" s="3" t="str">
        <f>HYPERLINK("http://www.informatics.jax.org/marker/MGI:1346006", "MGI:1346006")</f>
        <v>MGI:1346006</v>
      </c>
      <c r="P1288" t="s">
        <v>15297</v>
      </c>
      <c r="Q1288" t="s">
        <v>32</v>
      </c>
      <c r="R1288" t="s">
        <v>40</v>
      </c>
      <c r="S1288" t="s">
        <v>32</v>
      </c>
      <c r="T1288" t="s">
        <v>32</v>
      </c>
      <c r="U1288" t="s">
        <v>32</v>
      </c>
      <c r="V1288" t="s">
        <v>32</v>
      </c>
      <c r="W1288" t="s">
        <v>205</v>
      </c>
      <c r="X1288" t="s">
        <v>543</v>
      </c>
      <c r="Y1288" t="s">
        <v>78</v>
      </c>
      <c r="Z1288" t="s">
        <v>32</v>
      </c>
      <c r="AA1288" t="s">
        <v>15298</v>
      </c>
      <c r="AB1288" t="s">
        <v>15299</v>
      </c>
      <c r="AC1288" t="s">
        <v>15300</v>
      </c>
      <c r="AD1288" t="s">
        <v>32</v>
      </c>
      <c r="AE1288" t="s">
        <v>32</v>
      </c>
      <c r="AF1288" t="s">
        <v>46835</v>
      </c>
    </row>
    <row r="1289" spans="1:33" x14ac:dyDescent="0.2">
      <c r="A1289">
        <v>1284</v>
      </c>
      <c r="B1289" t="s">
        <v>15301</v>
      </c>
      <c r="C1289" t="s">
        <v>15302</v>
      </c>
      <c r="D1289" t="s">
        <v>15303</v>
      </c>
      <c r="E1289" t="s">
        <v>15304</v>
      </c>
      <c r="F1289" t="s">
        <v>15305</v>
      </c>
      <c r="G1289" t="s">
        <v>15306</v>
      </c>
      <c r="H1289" t="str">
        <f>"Tpd52l2"</f>
        <v>Tpd52l2</v>
      </c>
      <c r="I1289" t="s">
        <v>32</v>
      </c>
      <c r="J1289" t="s">
        <v>37</v>
      </c>
      <c r="K1289">
        <v>10090</v>
      </c>
      <c r="L1289" s="3" t="str">
        <f>HYPERLINK("http://www.uniprot.org/uniprot/Q9CYZ2", "Q9CYZ2")</f>
        <v>Q9CYZ2</v>
      </c>
      <c r="M1289" t="s">
        <v>15307</v>
      </c>
      <c r="N1289" t="str">
        <f>"Tpd52l2"</f>
        <v>Tpd52l2</v>
      </c>
      <c r="O1289" s="3" t="str">
        <f>HYPERLINK("http://www.informatics.jax.org/marker/MGI:1913564", "MGI:1913564")</f>
        <v>MGI:1913564</v>
      </c>
      <c r="P1289" t="s">
        <v>15308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290</v>
      </c>
      <c r="W1289" t="s">
        <v>32</v>
      </c>
      <c r="X1289" t="s">
        <v>32</v>
      </c>
      <c r="Y1289" t="s">
        <v>157</v>
      </c>
      <c r="Z1289" t="s">
        <v>32</v>
      </c>
      <c r="AA1289" t="s">
        <v>32</v>
      </c>
      <c r="AB1289" t="s">
        <v>15309</v>
      </c>
      <c r="AC1289" t="s">
        <v>15310</v>
      </c>
      <c r="AD1289" t="s">
        <v>32</v>
      </c>
      <c r="AE1289" t="s">
        <v>32</v>
      </c>
      <c r="AF1289" t="s">
        <v>46835</v>
      </c>
    </row>
    <row r="1290" spans="1:33" x14ac:dyDescent="0.2">
      <c r="A1290">
        <v>1285</v>
      </c>
      <c r="B1290" t="s">
        <v>15311</v>
      </c>
      <c r="C1290" t="s">
        <v>15312</v>
      </c>
      <c r="D1290" t="s">
        <v>15313</v>
      </c>
      <c r="E1290" t="s">
        <v>15314</v>
      </c>
      <c r="F1290" t="s">
        <v>15315</v>
      </c>
      <c r="G1290" t="s">
        <v>15316</v>
      </c>
      <c r="H1290" t="str">
        <f>"Map7"</f>
        <v>Map7</v>
      </c>
      <c r="I1290" t="s">
        <v>15317</v>
      </c>
      <c r="J1290" t="s">
        <v>37</v>
      </c>
      <c r="K1290">
        <v>10090</v>
      </c>
      <c r="L1290" s="3" t="str">
        <f>HYPERLINK("http://www.uniprot.org/uniprot/O88735", "O88735")</f>
        <v>O88735</v>
      </c>
      <c r="M1290" t="s">
        <v>15318</v>
      </c>
      <c r="N1290" t="str">
        <f>"Map7"</f>
        <v>Map7</v>
      </c>
      <c r="O1290" s="3" t="str">
        <f>HYPERLINK("http://www.informatics.jax.org/marker/MGI:1328328", "MGI:1328328")</f>
        <v>MGI:1328328</v>
      </c>
      <c r="P1290" t="s">
        <v>15319</v>
      </c>
      <c r="Q1290" t="s">
        <v>32</v>
      </c>
      <c r="R1290" t="s">
        <v>15320</v>
      </c>
      <c r="S1290" t="s">
        <v>41</v>
      </c>
      <c r="T1290" t="s">
        <v>32</v>
      </c>
      <c r="U1290" t="s">
        <v>32</v>
      </c>
      <c r="V1290" t="s">
        <v>290</v>
      </c>
      <c r="W1290" t="s">
        <v>32</v>
      </c>
      <c r="X1290" t="s">
        <v>32</v>
      </c>
      <c r="Y1290" t="s">
        <v>516</v>
      </c>
      <c r="Z1290" t="s">
        <v>32</v>
      </c>
      <c r="AA1290" t="s">
        <v>15321</v>
      </c>
      <c r="AB1290" t="s">
        <v>15322</v>
      </c>
      <c r="AC1290" t="s">
        <v>15323</v>
      </c>
      <c r="AD1290" t="s">
        <v>32</v>
      </c>
      <c r="AE1290" t="s">
        <v>32</v>
      </c>
      <c r="AF1290" t="s">
        <v>46835</v>
      </c>
    </row>
    <row r="1291" spans="1:33" x14ac:dyDescent="0.2">
      <c r="A1291">
        <v>1286</v>
      </c>
      <c r="B1291" t="s">
        <v>15324</v>
      </c>
      <c r="C1291" t="s">
        <v>15325</v>
      </c>
      <c r="D1291" t="s">
        <v>32</v>
      </c>
      <c r="E1291" t="s">
        <v>15326</v>
      </c>
      <c r="F1291" t="s">
        <v>15327</v>
      </c>
      <c r="G1291" t="s">
        <v>15328</v>
      </c>
      <c r="H1291" t="str">
        <f>"Arl2"</f>
        <v>Arl2</v>
      </c>
      <c r="I1291" t="s">
        <v>32</v>
      </c>
      <c r="J1291" t="s">
        <v>37</v>
      </c>
      <c r="K1291">
        <v>10090</v>
      </c>
      <c r="L1291" s="3" t="str">
        <f>HYPERLINK("http://www.uniprot.org/uniprot/Q9D0J4", "Q9D0J4")</f>
        <v>Q9D0J4</v>
      </c>
      <c r="M1291" t="s">
        <v>15329</v>
      </c>
      <c r="N1291" t="str">
        <f>"Arl2"</f>
        <v>Arl2</v>
      </c>
      <c r="O1291" s="3" t="str">
        <f>HYPERLINK("http://www.informatics.jax.org/marker/MGI:1928393", "MGI:1928393")</f>
        <v>MGI:1928393</v>
      </c>
      <c r="P1291" t="s">
        <v>15330</v>
      </c>
      <c r="Q1291" t="s">
        <v>9824</v>
      </c>
      <c r="R1291" t="s">
        <v>15331</v>
      </c>
      <c r="S1291" t="s">
        <v>32</v>
      </c>
      <c r="T1291" t="s">
        <v>32</v>
      </c>
      <c r="U1291" t="s">
        <v>32</v>
      </c>
      <c r="V1291" t="s">
        <v>32</v>
      </c>
      <c r="W1291" t="s">
        <v>261</v>
      </c>
      <c r="X1291" t="s">
        <v>32</v>
      </c>
      <c r="Y1291" t="s">
        <v>2944</v>
      </c>
      <c r="Z1291" t="s">
        <v>126</v>
      </c>
      <c r="AA1291" t="s">
        <v>15332</v>
      </c>
      <c r="AB1291" t="s">
        <v>15333</v>
      </c>
      <c r="AC1291" t="s">
        <v>15334</v>
      </c>
      <c r="AD1291" t="s">
        <v>32</v>
      </c>
      <c r="AE1291" t="s">
        <v>15335</v>
      </c>
      <c r="AF1291" t="s">
        <v>46835</v>
      </c>
    </row>
    <row r="1292" spans="1:33" x14ac:dyDescent="0.2">
      <c r="A1292">
        <v>1287</v>
      </c>
      <c r="B1292" t="s">
        <v>15336</v>
      </c>
      <c r="C1292" t="s">
        <v>15337</v>
      </c>
      <c r="D1292" t="s">
        <v>15338</v>
      </c>
      <c r="E1292" t="s">
        <v>15339</v>
      </c>
      <c r="F1292" t="s">
        <v>15340</v>
      </c>
      <c r="G1292" t="s">
        <v>32</v>
      </c>
      <c r="H1292" t="str">
        <f>"Tbce"</f>
        <v>Tbce</v>
      </c>
      <c r="I1292" t="s">
        <v>32</v>
      </c>
      <c r="J1292" t="s">
        <v>37</v>
      </c>
      <c r="K1292">
        <v>10090</v>
      </c>
      <c r="L1292" s="3" t="str">
        <f>HYPERLINK("http://www.uniprot.org/uniprot/Q8CIV8", "Q8CIV8")</f>
        <v>Q8CIV8</v>
      </c>
      <c r="M1292" t="s">
        <v>15341</v>
      </c>
      <c r="N1292" t="str">
        <f>"Tbce"</f>
        <v>Tbce</v>
      </c>
      <c r="O1292" s="3" t="str">
        <f>HYPERLINK("http://www.informatics.jax.org/marker/MGI:1917680", "MGI:1917680")</f>
        <v>MGI:1917680</v>
      </c>
      <c r="P1292" t="s">
        <v>15342</v>
      </c>
      <c r="Q1292" t="s">
        <v>32</v>
      </c>
      <c r="R1292" t="s">
        <v>186</v>
      </c>
      <c r="S1292" t="s">
        <v>32</v>
      </c>
      <c r="T1292" t="s">
        <v>32</v>
      </c>
      <c r="U1292" t="s">
        <v>32</v>
      </c>
      <c r="V1292" t="s">
        <v>2701</v>
      </c>
      <c r="W1292" t="s">
        <v>32</v>
      </c>
      <c r="X1292" t="s">
        <v>388</v>
      </c>
      <c r="Y1292" t="s">
        <v>157</v>
      </c>
      <c r="Z1292" t="s">
        <v>126</v>
      </c>
      <c r="AA1292" t="s">
        <v>15343</v>
      </c>
      <c r="AB1292" t="s">
        <v>15344</v>
      </c>
      <c r="AC1292" t="s">
        <v>15345</v>
      </c>
      <c r="AD1292" t="s">
        <v>32</v>
      </c>
      <c r="AE1292" t="s">
        <v>32</v>
      </c>
      <c r="AF1292" t="s">
        <v>46835</v>
      </c>
    </row>
    <row r="1293" spans="1:33" x14ac:dyDescent="0.2">
      <c r="A1293">
        <v>1288</v>
      </c>
      <c r="B1293" t="s">
        <v>15346</v>
      </c>
      <c r="C1293" t="s">
        <v>15347</v>
      </c>
      <c r="D1293" t="s">
        <v>15348</v>
      </c>
      <c r="E1293" t="s">
        <v>15349</v>
      </c>
      <c r="F1293" t="s">
        <v>15350</v>
      </c>
      <c r="G1293" t="s">
        <v>15351</v>
      </c>
      <c r="H1293" t="str">
        <f>"Nup98"</f>
        <v>Nup98</v>
      </c>
      <c r="I1293" t="s">
        <v>32</v>
      </c>
      <c r="J1293" t="s">
        <v>37</v>
      </c>
      <c r="K1293">
        <v>10090</v>
      </c>
      <c r="L1293" s="3" t="str">
        <f>HYPERLINK("http://www.uniprot.org/uniprot/Q6PFD9", "Q6PFD9")</f>
        <v>Q6PFD9</v>
      </c>
      <c r="M1293" t="s">
        <v>15352</v>
      </c>
      <c r="N1293" t="str">
        <f>"Nup98"</f>
        <v>Nup98</v>
      </c>
      <c r="O1293" s="3" t="str">
        <f>HYPERLINK("http://www.informatics.jax.org/marker/MGI:109404", "MGI:109404")</f>
        <v>MGI:109404</v>
      </c>
      <c r="P1293" t="s">
        <v>15353</v>
      </c>
      <c r="Q1293" t="s">
        <v>6423</v>
      </c>
      <c r="R1293" t="s">
        <v>8238</v>
      </c>
      <c r="S1293" t="s">
        <v>32</v>
      </c>
      <c r="T1293" t="s">
        <v>32</v>
      </c>
      <c r="U1293" t="s">
        <v>32</v>
      </c>
      <c r="V1293" t="s">
        <v>55</v>
      </c>
      <c r="W1293" t="s">
        <v>32</v>
      </c>
      <c r="X1293" t="s">
        <v>4493</v>
      </c>
      <c r="Y1293" t="s">
        <v>15354</v>
      </c>
      <c r="Z1293" t="s">
        <v>126</v>
      </c>
      <c r="AA1293" t="s">
        <v>15355</v>
      </c>
      <c r="AB1293" t="s">
        <v>15356</v>
      </c>
      <c r="AC1293" t="s">
        <v>15357</v>
      </c>
      <c r="AD1293" t="s">
        <v>32</v>
      </c>
      <c r="AE1293" t="s">
        <v>15358</v>
      </c>
      <c r="AF1293" t="s">
        <v>46835</v>
      </c>
    </row>
    <row r="1294" spans="1:33" x14ac:dyDescent="0.2">
      <c r="A1294">
        <v>1289</v>
      </c>
      <c r="B1294" t="s">
        <v>15359</v>
      </c>
      <c r="C1294" t="s">
        <v>15360</v>
      </c>
      <c r="D1294" t="s">
        <v>15361</v>
      </c>
      <c r="E1294" t="s">
        <v>15362</v>
      </c>
      <c r="F1294" t="s">
        <v>15363</v>
      </c>
      <c r="G1294" t="s">
        <v>32</v>
      </c>
      <c r="H1294" t="str">
        <f>"Fis1"</f>
        <v>Fis1</v>
      </c>
      <c r="I1294" t="s">
        <v>15364</v>
      </c>
      <c r="J1294" t="s">
        <v>37</v>
      </c>
      <c r="K1294">
        <v>10090</v>
      </c>
      <c r="L1294" s="3" t="str">
        <f>HYPERLINK("http://www.uniprot.org/uniprot/Q9CQ92", "Q9CQ92")</f>
        <v>Q9CQ92</v>
      </c>
      <c r="M1294" t="s">
        <v>15365</v>
      </c>
      <c r="N1294" t="str">
        <f>"Fis1"</f>
        <v>Fis1</v>
      </c>
      <c r="O1294" s="3" t="str">
        <f>HYPERLINK("http://www.informatics.jax.org/marker/MGI:1913687", "MGI:1913687")</f>
        <v>MGI:1913687</v>
      </c>
      <c r="P1294" t="s">
        <v>15366</v>
      </c>
      <c r="Q1294" t="s">
        <v>541</v>
      </c>
      <c r="R1294" t="s">
        <v>15367</v>
      </c>
      <c r="S1294" t="s">
        <v>32</v>
      </c>
      <c r="T1294" t="s">
        <v>32</v>
      </c>
      <c r="U1294" t="s">
        <v>32</v>
      </c>
      <c r="V1294" t="s">
        <v>15368</v>
      </c>
      <c r="W1294" t="s">
        <v>32</v>
      </c>
      <c r="X1294" t="s">
        <v>32</v>
      </c>
      <c r="Y1294" t="s">
        <v>1023</v>
      </c>
      <c r="Z1294" t="s">
        <v>126</v>
      </c>
      <c r="AA1294" t="s">
        <v>15369</v>
      </c>
      <c r="AB1294" t="s">
        <v>15370</v>
      </c>
      <c r="AC1294" t="s">
        <v>15371</v>
      </c>
      <c r="AD1294" t="s">
        <v>32</v>
      </c>
      <c r="AE1294" t="s">
        <v>15372</v>
      </c>
      <c r="AF1294" t="s">
        <v>46835</v>
      </c>
    </row>
    <row r="1295" spans="1:33" x14ac:dyDescent="0.2">
      <c r="A1295">
        <v>1290</v>
      </c>
      <c r="B1295" t="s">
        <v>15373</v>
      </c>
      <c r="C1295" t="s">
        <v>15374</v>
      </c>
      <c r="D1295" t="s">
        <v>15375</v>
      </c>
      <c r="E1295" t="s">
        <v>15376</v>
      </c>
      <c r="F1295" t="s">
        <v>15377</v>
      </c>
      <c r="G1295" t="s">
        <v>15378</v>
      </c>
      <c r="H1295" t="str">
        <f>"Agfg1"</f>
        <v>Agfg1</v>
      </c>
      <c r="I1295" t="s">
        <v>15379</v>
      </c>
      <c r="J1295" t="s">
        <v>37</v>
      </c>
      <c r="K1295">
        <v>10090</v>
      </c>
      <c r="L1295" s="3" t="str">
        <f>HYPERLINK("http://www.uniprot.org/uniprot/Q8K2K6", "Q8K2K6")</f>
        <v>Q8K2K6</v>
      </c>
      <c r="M1295" t="s">
        <v>15380</v>
      </c>
      <c r="N1295" t="str">
        <f>"Agfg1"</f>
        <v>Agfg1</v>
      </c>
      <c r="O1295" s="3" t="str">
        <f>HYPERLINK("http://www.informatics.jax.org/marker/MGI:1333754", "MGI:1333754")</f>
        <v>MGI:1333754</v>
      </c>
      <c r="P1295" t="s">
        <v>15381</v>
      </c>
      <c r="Q1295" t="s">
        <v>15382</v>
      </c>
      <c r="R1295" t="s">
        <v>15383</v>
      </c>
      <c r="S1295" t="s">
        <v>41</v>
      </c>
      <c r="T1295" t="s">
        <v>32</v>
      </c>
      <c r="U1295" t="s">
        <v>32</v>
      </c>
      <c r="V1295" t="s">
        <v>3791</v>
      </c>
      <c r="W1295" t="s">
        <v>42</v>
      </c>
      <c r="X1295" t="s">
        <v>3912</v>
      </c>
      <c r="Y1295" t="s">
        <v>4720</v>
      </c>
      <c r="Z1295" t="s">
        <v>32</v>
      </c>
      <c r="AA1295" t="s">
        <v>15384</v>
      </c>
      <c r="AB1295" t="s">
        <v>15385</v>
      </c>
      <c r="AC1295" t="s">
        <v>15386</v>
      </c>
      <c r="AD1295" t="s">
        <v>32</v>
      </c>
      <c r="AE1295" t="s">
        <v>4859</v>
      </c>
      <c r="AF1295" t="s">
        <v>46835</v>
      </c>
    </row>
    <row r="1296" spans="1:33" x14ac:dyDescent="0.2">
      <c r="A1296">
        <v>1291</v>
      </c>
      <c r="B1296" t="s">
        <v>15387</v>
      </c>
      <c r="C1296" t="s">
        <v>15388</v>
      </c>
      <c r="D1296" t="s">
        <v>15389</v>
      </c>
      <c r="E1296" t="s">
        <v>15390</v>
      </c>
      <c r="F1296" t="s">
        <v>15391</v>
      </c>
      <c r="G1296" t="s">
        <v>32</v>
      </c>
      <c r="H1296" t="str">
        <f>"Mtarc2"</f>
        <v>Mtarc2</v>
      </c>
      <c r="I1296" t="s">
        <v>15392</v>
      </c>
      <c r="J1296" t="s">
        <v>37</v>
      </c>
      <c r="K1296">
        <v>10090</v>
      </c>
      <c r="L1296" s="3" t="str">
        <f>HYPERLINK("http://www.uniprot.org/uniprot/Q922Q1", "Q922Q1")</f>
        <v>Q922Q1</v>
      </c>
      <c r="M1296" t="s">
        <v>15393</v>
      </c>
      <c r="N1296" t="str">
        <f>"Mtarc2"</f>
        <v>Mtarc2</v>
      </c>
      <c r="O1296" s="3" t="str">
        <f>HYPERLINK("http://www.informatics.jax.org/marker/MGI:1914497", "MGI:1914497")</f>
        <v>MGI:1914497</v>
      </c>
      <c r="P1296" t="s">
        <v>15394</v>
      </c>
      <c r="Q1296" t="s">
        <v>32</v>
      </c>
      <c r="R1296" t="s">
        <v>15367</v>
      </c>
      <c r="S1296" t="s">
        <v>32</v>
      </c>
      <c r="T1296" t="s">
        <v>32</v>
      </c>
      <c r="U1296" t="s">
        <v>32</v>
      </c>
      <c r="V1296" t="s">
        <v>1039</v>
      </c>
      <c r="W1296" t="s">
        <v>15395</v>
      </c>
      <c r="X1296" t="s">
        <v>600</v>
      </c>
      <c r="Y1296" t="s">
        <v>461</v>
      </c>
      <c r="Z1296" t="s">
        <v>32</v>
      </c>
      <c r="AA1296" t="s">
        <v>15396</v>
      </c>
      <c r="AB1296" t="s">
        <v>15397</v>
      </c>
      <c r="AC1296" t="s">
        <v>15398</v>
      </c>
      <c r="AD1296" t="s">
        <v>32</v>
      </c>
      <c r="AE1296" t="s">
        <v>15399</v>
      </c>
      <c r="AF1296" t="s">
        <v>46835</v>
      </c>
    </row>
    <row r="1297" spans="1:32" x14ac:dyDescent="0.2">
      <c r="A1297">
        <v>1292</v>
      </c>
      <c r="B1297" t="s">
        <v>15400</v>
      </c>
      <c r="C1297" t="s">
        <v>15401</v>
      </c>
      <c r="D1297" t="s">
        <v>15402</v>
      </c>
      <c r="E1297" t="s">
        <v>15403</v>
      </c>
      <c r="F1297" t="s">
        <v>15404</v>
      </c>
      <c r="G1297" t="s">
        <v>15405</v>
      </c>
      <c r="H1297" t="str">
        <f>"Gnl1"</f>
        <v>Gnl1</v>
      </c>
      <c r="I1297" t="s">
        <v>15406</v>
      </c>
      <c r="J1297" t="s">
        <v>37</v>
      </c>
      <c r="K1297">
        <v>10090</v>
      </c>
      <c r="L1297" s="3" t="str">
        <f>HYPERLINK("http://www.uniprot.org/uniprot/P36916", "P36916")</f>
        <v>P36916</v>
      </c>
      <c r="M1297" t="s">
        <v>15407</v>
      </c>
      <c r="N1297" t="str">
        <f>"Gnl1"</f>
        <v>Gnl1</v>
      </c>
      <c r="O1297" s="3" t="str">
        <f>HYPERLINK("http://www.informatics.jax.org/marker/MGI:95764", "MGI:95764")</f>
        <v>MGI:95764</v>
      </c>
      <c r="P1297" t="s">
        <v>15408</v>
      </c>
      <c r="Q1297" t="s">
        <v>32</v>
      </c>
      <c r="R1297" t="s">
        <v>32</v>
      </c>
      <c r="S1297" t="s">
        <v>41</v>
      </c>
      <c r="T1297" t="s">
        <v>32</v>
      </c>
      <c r="U1297" t="s">
        <v>32</v>
      </c>
      <c r="V1297" t="s">
        <v>32</v>
      </c>
      <c r="W1297" t="s">
        <v>261</v>
      </c>
      <c r="X1297" t="s">
        <v>32</v>
      </c>
      <c r="Y1297" t="s">
        <v>618</v>
      </c>
      <c r="Z1297" t="s">
        <v>32</v>
      </c>
      <c r="AA1297" t="s">
        <v>15409</v>
      </c>
      <c r="AB1297" t="s">
        <v>32</v>
      </c>
      <c r="AC1297" t="s">
        <v>15410</v>
      </c>
      <c r="AD1297" t="s">
        <v>32</v>
      </c>
      <c r="AE1297" t="s">
        <v>32</v>
      </c>
      <c r="AF1297" t="s">
        <v>46835</v>
      </c>
    </row>
    <row r="1298" spans="1:32" x14ac:dyDescent="0.2">
      <c r="A1298">
        <v>1293</v>
      </c>
      <c r="B1298" t="s">
        <v>15411</v>
      </c>
      <c r="C1298" t="s">
        <v>15412</v>
      </c>
      <c r="D1298" t="s">
        <v>15413</v>
      </c>
      <c r="E1298" t="s">
        <v>15414</v>
      </c>
      <c r="F1298" t="s">
        <v>15415</v>
      </c>
      <c r="G1298" t="s">
        <v>15416</v>
      </c>
      <c r="H1298" t="str">
        <f>"Selenbp1"</f>
        <v>Selenbp1</v>
      </c>
      <c r="I1298" t="s">
        <v>15417</v>
      </c>
      <c r="J1298" t="s">
        <v>37</v>
      </c>
      <c r="K1298">
        <v>10090</v>
      </c>
      <c r="L1298" s="3" t="str">
        <f>HYPERLINK("http://www.uniprot.org/uniprot/P17563", "P17563")</f>
        <v>P17563</v>
      </c>
      <c r="M1298" t="s">
        <v>15418</v>
      </c>
      <c r="N1298" t="str">
        <f>"Selenbp1"</f>
        <v>Selenbp1</v>
      </c>
      <c r="O1298" s="3" t="str">
        <f>HYPERLINK("http://www.informatics.jax.org/marker/MGI:96825", "MGI:96825")</f>
        <v>MGI:96825</v>
      </c>
      <c r="P1298" t="s">
        <v>15419</v>
      </c>
      <c r="Q1298" t="s">
        <v>434</v>
      </c>
      <c r="R1298" t="s">
        <v>5943</v>
      </c>
      <c r="S1298" t="s">
        <v>32</v>
      </c>
      <c r="T1298" t="s">
        <v>32</v>
      </c>
      <c r="U1298" t="s">
        <v>32</v>
      </c>
      <c r="V1298" t="s">
        <v>32</v>
      </c>
      <c r="W1298" t="s">
        <v>15420</v>
      </c>
      <c r="X1298" t="s">
        <v>600</v>
      </c>
      <c r="Y1298" t="s">
        <v>157</v>
      </c>
      <c r="Z1298" t="s">
        <v>32</v>
      </c>
      <c r="AA1298" t="s">
        <v>15421</v>
      </c>
      <c r="AB1298" t="s">
        <v>15422</v>
      </c>
      <c r="AC1298" t="s">
        <v>15423</v>
      </c>
      <c r="AD1298" t="s">
        <v>15424</v>
      </c>
      <c r="AE1298" t="s">
        <v>32</v>
      </c>
      <c r="AF1298" t="s">
        <v>46835</v>
      </c>
    </row>
    <row r="1299" spans="1:32" x14ac:dyDescent="0.2">
      <c r="A1299">
        <v>1294</v>
      </c>
      <c r="B1299" t="s">
        <v>15425</v>
      </c>
      <c r="C1299" t="s">
        <v>15426</v>
      </c>
      <c r="D1299" t="s">
        <v>32</v>
      </c>
      <c r="E1299" t="s">
        <v>15427</v>
      </c>
      <c r="F1299" t="s">
        <v>15428</v>
      </c>
      <c r="G1299" t="s">
        <v>15429</v>
      </c>
      <c r="H1299" t="str">
        <f>"Arf5"</f>
        <v>Arf5</v>
      </c>
      <c r="I1299" t="s">
        <v>32</v>
      </c>
      <c r="J1299" t="s">
        <v>37</v>
      </c>
      <c r="K1299">
        <v>10090</v>
      </c>
      <c r="L1299" s="3" t="str">
        <f>HYPERLINK("http://www.uniprot.org/uniprot/P84084", "P84084")</f>
        <v>P84084</v>
      </c>
      <c r="M1299" t="s">
        <v>15430</v>
      </c>
      <c r="N1299" t="str">
        <f>"Arf5"</f>
        <v>Arf5</v>
      </c>
      <c r="O1299" s="3" t="str">
        <f>HYPERLINK("http://www.informatics.jax.org/marker/MGI:99434", "MGI:99434")</f>
        <v>MGI:99434</v>
      </c>
      <c r="P1299" t="s">
        <v>15431</v>
      </c>
      <c r="Q1299" t="s">
        <v>2916</v>
      </c>
      <c r="R1299" t="s">
        <v>7998</v>
      </c>
      <c r="S1299" t="s">
        <v>32</v>
      </c>
      <c r="T1299" t="s">
        <v>32</v>
      </c>
      <c r="U1299" t="s">
        <v>32</v>
      </c>
      <c r="V1299" t="s">
        <v>32</v>
      </c>
      <c r="W1299" t="s">
        <v>261</v>
      </c>
      <c r="X1299" t="s">
        <v>32</v>
      </c>
      <c r="Y1299" t="s">
        <v>15432</v>
      </c>
      <c r="Z1299" t="s">
        <v>32</v>
      </c>
      <c r="AA1299" t="s">
        <v>15433</v>
      </c>
      <c r="AB1299" t="s">
        <v>15434</v>
      </c>
      <c r="AC1299" t="s">
        <v>15410</v>
      </c>
      <c r="AD1299" t="s">
        <v>32</v>
      </c>
      <c r="AE1299" t="s">
        <v>3171</v>
      </c>
      <c r="AF1299" t="s">
        <v>46835</v>
      </c>
    </row>
    <row r="1300" spans="1:32" x14ac:dyDescent="0.2">
      <c r="A1300">
        <v>1295</v>
      </c>
      <c r="B1300" t="s">
        <v>15435</v>
      </c>
      <c r="C1300" t="s">
        <v>15436</v>
      </c>
      <c r="D1300" t="s">
        <v>15437</v>
      </c>
      <c r="E1300" t="s">
        <v>15438</v>
      </c>
      <c r="F1300" t="s">
        <v>15439</v>
      </c>
      <c r="G1300" t="s">
        <v>15440</v>
      </c>
      <c r="H1300" t="str">
        <f>"Zwint"</f>
        <v>Zwint</v>
      </c>
      <c r="I1300" t="s">
        <v>15441</v>
      </c>
      <c r="J1300" t="s">
        <v>37</v>
      </c>
      <c r="K1300">
        <v>10090</v>
      </c>
      <c r="L1300" s="3" t="str">
        <f>HYPERLINK("http://www.uniprot.org/uniprot/Q9CQU5", "Q9CQU5")</f>
        <v>Q9CQU5</v>
      </c>
      <c r="M1300" t="s">
        <v>15442</v>
      </c>
      <c r="N1300" t="str">
        <f>"Zwint"</f>
        <v>Zwint</v>
      </c>
      <c r="O1300" s="3" t="str">
        <f>HYPERLINK("http://www.informatics.jax.org/marker/MGI:1289227", "MGI:1289227")</f>
        <v>MGI:1289227</v>
      </c>
      <c r="P1300" t="s">
        <v>15443</v>
      </c>
      <c r="Q1300" t="s">
        <v>2968</v>
      </c>
      <c r="R1300" t="s">
        <v>11307</v>
      </c>
      <c r="S1300" t="s">
        <v>32</v>
      </c>
      <c r="T1300" t="s">
        <v>32</v>
      </c>
      <c r="U1300" t="s">
        <v>32</v>
      </c>
      <c r="V1300" t="s">
        <v>290</v>
      </c>
      <c r="W1300" t="s">
        <v>32</v>
      </c>
      <c r="X1300" t="s">
        <v>32</v>
      </c>
      <c r="Y1300" t="s">
        <v>618</v>
      </c>
      <c r="Z1300" t="s">
        <v>32</v>
      </c>
      <c r="AA1300" t="s">
        <v>15444</v>
      </c>
      <c r="AB1300" t="s">
        <v>15445</v>
      </c>
      <c r="AC1300" t="s">
        <v>15446</v>
      </c>
      <c r="AD1300" t="s">
        <v>32</v>
      </c>
      <c r="AE1300" t="s">
        <v>5015</v>
      </c>
      <c r="AF1300" t="s">
        <v>46835</v>
      </c>
    </row>
    <row r="1301" spans="1:32" x14ac:dyDescent="0.2">
      <c r="A1301">
        <v>1296</v>
      </c>
      <c r="B1301" t="s">
        <v>15447</v>
      </c>
      <c r="C1301" t="s">
        <v>15448</v>
      </c>
      <c r="D1301" t="s">
        <v>15449</v>
      </c>
      <c r="E1301" t="s">
        <v>15450</v>
      </c>
      <c r="F1301" t="s">
        <v>15451</v>
      </c>
      <c r="G1301" t="s">
        <v>15452</v>
      </c>
      <c r="H1301" t="str">
        <f>"Selenof"</f>
        <v>Selenof</v>
      </c>
      <c r="I1301" t="s">
        <v>32</v>
      </c>
      <c r="J1301" t="s">
        <v>37</v>
      </c>
      <c r="K1301">
        <v>10090</v>
      </c>
      <c r="L1301" s="3" t="str">
        <f>HYPERLINK("http://www.uniprot.org/uniprot/Q9ERR7", "Q9ERR7")</f>
        <v>Q9ERR7</v>
      </c>
      <c r="M1301" t="s">
        <v>15453</v>
      </c>
      <c r="N1301" t="str">
        <f>"Selenof"</f>
        <v>Selenof</v>
      </c>
      <c r="O1301" s="3" t="str">
        <f>HYPERLINK("http://www.informatics.jax.org/marker/MGI:1927947", "MGI:1927947")</f>
        <v>MGI:1927947</v>
      </c>
      <c r="P1301" t="s">
        <v>15454</v>
      </c>
      <c r="Q1301" t="s">
        <v>32</v>
      </c>
      <c r="R1301" t="s">
        <v>671</v>
      </c>
      <c r="S1301" t="s">
        <v>8573</v>
      </c>
      <c r="T1301" t="s">
        <v>32</v>
      </c>
      <c r="U1301" t="s">
        <v>32</v>
      </c>
      <c r="V1301" t="s">
        <v>811</v>
      </c>
      <c r="W1301" t="s">
        <v>32</v>
      </c>
      <c r="X1301" t="s">
        <v>32</v>
      </c>
      <c r="Y1301" t="s">
        <v>32</v>
      </c>
      <c r="Z1301" t="s">
        <v>32</v>
      </c>
      <c r="AA1301" t="s">
        <v>15455</v>
      </c>
      <c r="AB1301" t="s">
        <v>15456</v>
      </c>
      <c r="AC1301" t="s">
        <v>15457</v>
      </c>
      <c r="AD1301" t="s">
        <v>32</v>
      </c>
      <c r="AE1301" t="s">
        <v>32</v>
      </c>
      <c r="AF1301" t="s">
        <v>46835</v>
      </c>
    </row>
    <row r="1302" spans="1:32" x14ac:dyDescent="0.2">
      <c r="A1302">
        <v>1297</v>
      </c>
      <c r="B1302" t="s">
        <v>15458</v>
      </c>
      <c r="C1302" t="s">
        <v>15459</v>
      </c>
      <c r="D1302" t="s">
        <v>15460</v>
      </c>
      <c r="E1302" t="s">
        <v>15461</v>
      </c>
      <c r="F1302" t="s">
        <v>15462</v>
      </c>
      <c r="G1302" t="s">
        <v>15463</v>
      </c>
      <c r="H1302" t="str">
        <f>"Acat2"</f>
        <v>Acat2</v>
      </c>
      <c r="I1302" t="s">
        <v>32</v>
      </c>
      <c r="J1302" t="s">
        <v>37</v>
      </c>
      <c r="K1302">
        <v>10090</v>
      </c>
      <c r="L1302" s="3" t="str">
        <f>HYPERLINK("http://www.uniprot.org/uniprot/Q8CAY6", "Q8CAY6")</f>
        <v>Q8CAY6</v>
      </c>
      <c r="M1302" t="s">
        <v>15464</v>
      </c>
      <c r="N1302" t="str">
        <f>"Acat2"</f>
        <v>Acat2</v>
      </c>
      <c r="O1302" s="3" t="str">
        <f>HYPERLINK("http://www.informatics.jax.org/marker/MGI:87871", "MGI:87871")</f>
        <v>MGI:87871</v>
      </c>
      <c r="P1302" t="s">
        <v>15465</v>
      </c>
      <c r="Q1302" t="s">
        <v>32</v>
      </c>
      <c r="R1302" t="s">
        <v>418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7304</v>
      </c>
      <c r="Y1302" t="s">
        <v>78</v>
      </c>
      <c r="Z1302" t="s">
        <v>32</v>
      </c>
      <c r="AA1302" t="s">
        <v>15466</v>
      </c>
      <c r="AB1302" t="s">
        <v>3903</v>
      </c>
      <c r="AC1302" t="s">
        <v>15467</v>
      </c>
      <c r="AD1302" t="s">
        <v>15468</v>
      </c>
      <c r="AE1302" t="s">
        <v>5365</v>
      </c>
      <c r="AF1302" t="s">
        <v>46835</v>
      </c>
    </row>
    <row r="1303" spans="1:32" x14ac:dyDescent="0.2">
      <c r="A1303">
        <v>1298</v>
      </c>
      <c r="B1303" t="s">
        <v>15469</v>
      </c>
      <c r="C1303" t="s">
        <v>15470</v>
      </c>
      <c r="D1303" t="s">
        <v>15471</v>
      </c>
      <c r="E1303" t="s">
        <v>15472</v>
      </c>
      <c r="F1303" t="s">
        <v>15473</v>
      </c>
      <c r="G1303" t="s">
        <v>15474</v>
      </c>
      <c r="H1303" t="str">
        <f>"Ttll12"</f>
        <v>Ttll12</v>
      </c>
      <c r="I1303" t="s">
        <v>32</v>
      </c>
      <c r="J1303" t="s">
        <v>37</v>
      </c>
      <c r="K1303">
        <v>10090</v>
      </c>
      <c r="L1303" s="3" t="str">
        <f>HYPERLINK("http://www.uniprot.org/uniprot/Q3UDE2", "Q3UDE2")</f>
        <v>Q3UDE2</v>
      </c>
      <c r="M1303" t="s">
        <v>15475</v>
      </c>
      <c r="N1303" t="str">
        <f>"Ttll12"</f>
        <v>Ttll12</v>
      </c>
      <c r="O1303" s="3" t="str">
        <f>HYPERLINK("http://www.informatics.jax.org/marker/MGI:3039573", "MGI:3039573")</f>
        <v>MGI:3039573</v>
      </c>
      <c r="P1303" t="s">
        <v>15476</v>
      </c>
      <c r="Q1303" t="s">
        <v>5475</v>
      </c>
      <c r="R1303" t="s">
        <v>324</v>
      </c>
      <c r="S1303" t="s">
        <v>32</v>
      </c>
      <c r="T1303" t="s">
        <v>32</v>
      </c>
      <c r="U1303" t="s">
        <v>32</v>
      </c>
      <c r="V1303" t="s">
        <v>32</v>
      </c>
      <c r="W1303" t="s">
        <v>205</v>
      </c>
      <c r="X1303" t="s">
        <v>32</v>
      </c>
      <c r="Y1303" t="s">
        <v>32</v>
      </c>
      <c r="Z1303" t="s">
        <v>32</v>
      </c>
      <c r="AA1303" t="s">
        <v>15477</v>
      </c>
      <c r="AB1303" t="s">
        <v>15478</v>
      </c>
      <c r="AC1303" t="s">
        <v>15479</v>
      </c>
      <c r="AD1303" t="s">
        <v>32</v>
      </c>
      <c r="AE1303" t="s">
        <v>15480</v>
      </c>
      <c r="AF1303" t="s">
        <v>46835</v>
      </c>
    </row>
    <row r="1304" spans="1:32" x14ac:dyDescent="0.2">
      <c r="A1304">
        <v>1299</v>
      </c>
      <c r="B1304" t="s">
        <v>15481</v>
      </c>
      <c r="C1304" t="s">
        <v>15482</v>
      </c>
      <c r="D1304" t="s">
        <v>32</v>
      </c>
      <c r="E1304" t="s">
        <v>15483</v>
      </c>
      <c r="F1304" t="s">
        <v>15484</v>
      </c>
      <c r="G1304" t="s">
        <v>15485</v>
      </c>
      <c r="H1304" t="str">
        <f>"Upp1"</f>
        <v>Upp1</v>
      </c>
      <c r="I1304" t="s">
        <v>15486</v>
      </c>
      <c r="J1304" t="s">
        <v>37</v>
      </c>
      <c r="K1304">
        <v>10090</v>
      </c>
      <c r="L1304" s="3" t="str">
        <f>HYPERLINK("http://www.uniprot.org/uniprot/P52624", "P52624")</f>
        <v>P52624</v>
      </c>
      <c r="M1304" t="s">
        <v>15487</v>
      </c>
      <c r="N1304" t="str">
        <f>"Upp1"</f>
        <v>Upp1</v>
      </c>
      <c r="O1304" s="3" t="str">
        <f>HYPERLINK("http://www.informatics.jax.org/marker/MGI:1097668", "MGI:1097668")</f>
        <v>MGI:1097668</v>
      </c>
      <c r="P1304" t="s">
        <v>2362</v>
      </c>
      <c r="Q1304" t="s">
        <v>32</v>
      </c>
      <c r="R1304" t="s">
        <v>32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2362</v>
      </c>
      <c r="Y1304" t="s">
        <v>32</v>
      </c>
      <c r="Z1304" t="s">
        <v>32</v>
      </c>
      <c r="AA1304" t="s">
        <v>15488</v>
      </c>
      <c r="AB1304" t="s">
        <v>4202</v>
      </c>
      <c r="AC1304" t="s">
        <v>15489</v>
      </c>
      <c r="AD1304" t="s">
        <v>15490</v>
      </c>
      <c r="AE1304" t="s">
        <v>15491</v>
      </c>
      <c r="AF1304" t="s">
        <v>46835</v>
      </c>
    </row>
    <row r="1305" spans="1:32" x14ac:dyDescent="0.2">
      <c r="A1305">
        <v>1300</v>
      </c>
      <c r="B1305" t="s">
        <v>15492</v>
      </c>
      <c r="C1305" t="s">
        <v>15493</v>
      </c>
      <c r="D1305" t="s">
        <v>15494</v>
      </c>
      <c r="E1305" t="s">
        <v>15495</v>
      </c>
      <c r="F1305" t="s">
        <v>15496</v>
      </c>
      <c r="G1305" t="s">
        <v>32</v>
      </c>
      <c r="H1305" t="str">
        <f>"Ubtf"</f>
        <v>Ubtf</v>
      </c>
      <c r="I1305" t="s">
        <v>15497</v>
      </c>
      <c r="J1305" t="s">
        <v>37</v>
      </c>
      <c r="K1305">
        <v>10090</v>
      </c>
      <c r="L1305" s="3" t="str">
        <f>HYPERLINK("http://www.uniprot.org/uniprot/P25976", "P25976")</f>
        <v>P25976</v>
      </c>
      <c r="M1305" t="s">
        <v>15498</v>
      </c>
      <c r="N1305" t="str">
        <f>"Ubtf"</f>
        <v>Ubtf</v>
      </c>
      <c r="O1305" s="3" t="str">
        <f>HYPERLINK("http://www.informatics.jax.org/marker/MGI:98512", "MGI:98512")</f>
        <v>MGI:98512</v>
      </c>
      <c r="P1305" t="s">
        <v>15499</v>
      </c>
      <c r="Q1305" t="s">
        <v>4152</v>
      </c>
      <c r="R1305" t="s">
        <v>2279</v>
      </c>
      <c r="S1305" t="s">
        <v>41</v>
      </c>
      <c r="T1305" t="s">
        <v>32</v>
      </c>
      <c r="U1305" t="s">
        <v>32</v>
      </c>
      <c r="V1305" t="s">
        <v>55</v>
      </c>
      <c r="W1305" t="s">
        <v>32</v>
      </c>
      <c r="X1305" t="s">
        <v>2350</v>
      </c>
      <c r="Y1305" t="s">
        <v>157</v>
      </c>
      <c r="Z1305" t="s">
        <v>126</v>
      </c>
      <c r="AA1305" t="s">
        <v>15500</v>
      </c>
      <c r="AB1305" t="s">
        <v>15501</v>
      </c>
      <c r="AC1305" t="s">
        <v>15502</v>
      </c>
      <c r="AD1305" t="s">
        <v>32</v>
      </c>
      <c r="AE1305" t="s">
        <v>15503</v>
      </c>
      <c r="AF1305" t="s">
        <v>46835</v>
      </c>
    </row>
    <row r="1306" spans="1:32" x14ac:dyDescent="0.2">
      <c r="A1306">
        <v>1301</v>
      </c>
      <c r="B1306" t="s">
        <v>15504</v>
      </c>
      <c r="C1306" t="s">
        <v>15505</v>
      </c>
      <c r="D1306" t="s">
        <v>15506</v>
      </c>
      <c r="E1306" t="s">
        <v>15507</v>
      </c>
      <c r="F1306" t="s">
        <v>15508</v>
      </c>
      <c r="G1306" t="s">
        <v>15509</v>
      </c>
      <c r="H1306" t="str">
        <f>"Eef1a2"</f>
        <v>Eef1a2</v>
      </c>
      <c r="I1306" t="s">
        <v>15510</v>
      </c>
      <c r="J1306" t="s">
        <v>37</v>
      </c>
      <c r="K1306">
        <v>10090</v>
      </c>
      <c r="L1306" s="3" t="str">
        <f>HYPERLINK("http://www.uniprot.org/uniprot/P62631", "P62631")</f>
        <v>P62631</v>
      </c>
      <c r="M1306" t="s">
        <v>15511</v>
      </c>
      <c r="N1306" t="str">
        <f>"Eef1a2"</f>
        <v>Eef1a2</v>
      </c>
      <c r="O1306" s="3" t="str">
        <f>HYPERLINK("http://www.informatics.jax.org/marker/MGI:1096317", "MGI:1096317")</f>
        <v>MGI:1096317</v>
      </c>
      <c r="P1306" t="s">
        <v>15512</v>
      </c>
      <c r="Q1306" t="s">
        <v>260</v>
      </c>
      <c r="R1306" t="s">
        <v>2279</v>
      </c>
      <c r="S1306" t="s">
        <v>32</v>
      </c>
      <c r="T1306" t="s">
        <v>32</v>
      </c>
      <c r="U1306" t="s">
        <v>32</v>
      </c>
      <c r="V1306" t="s">
        <v>32</v>
      </c>
      <c r="W1306" t="s">
        <v>261</v>
      </c>
      <c r="X1306" t="s">
        <v>262</v>
      </c>
      <c r="Y1306" t="s">
        <v>97</v>
      </c>
      <c r="Z1306" t="s">
        <v>32</v>
      </c>
      <c r="AA1306" t="s">
        <v>15513</v>
      </c>
      <c r="AB1306" t="s">
        <v>15514</v>
      </c>
      <c r="AC1306" t="s">
        <v>15515</v>
      </c>
      <c r="AD1306" t="s">
        <v>32</v>
      </c>
      <c r="AE1306" t="s">
        <v>32</v>
      </c>
      <c r="AF1306" t="s">
        <v>46835</v>
      </c>
    </row>
    <row r="1307" spans="1:32" x14ac:dyDescent="0.2">
      <c r="A1307">
        <v>1302</v>
      </c>
      <c r="B1307" t="s">
        <v>15516</v>
      </c>
      <c r="C1307" t="s">
        <v>15517</v>
      </c>
      <c r="D1307" t="s">
        <v>15518</v>
      </c>
      <c r="E1307" t="s">
        <v>15519</v>
      </c>
      <c r="F1307" t="s">
        <v>15520</v>
      </c>
      <c r="G1307" t="s">
        <v>32</v>
      </c>
      <c r="H1307" t="str">
        <f>"Eif6"</f>
        <v>Eif6</v>
      </c>
      <c r="I1307" t="s">
        <v>15521</v>
      </c>
      <c r="J1307" t="s">
        <v>37</v>
      </c>
      <c r="K1307">
        <v>10090</v>
      </c>
      <c r="L1307" s="3" t="str">
        <f>HYPERLINK("http://www.uniprot.org/uniprot/O55135", "O55135")</f>
        <v>O55135</v>
      </c>
      <c r="M1307" t="s">
        <v>15522</v>
      </c>
      <c r="N1307" t="str">
        <f>"Eif6"</f>
        <v>Eif6</v>
      </c>
      <c r="O1307" s="3" t="str">
        <f>HYPERLINK("http://www.informatics.jax.org/marker/MGI:1196288", "MGI:1196288")</f>
        <v>MGI:1196288</v>
      </c>
      <c r="P1307" t="s">
        <v>15523</v>
      </c>
      <c r="Q1307" t="s">
        <v>15524</v>
      </c>
      <c r="R1307" t="s">
        <v>40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2675</v>
      </c>
      <c r="Y1307" t="s">
        <v>2836</v>
      </c>
      <c r="Z1307" t="s">
        <v>32</v>
      </c>
      <c r="AA1307" t="s">
        <v>15525</v>
      </c>
      <c r="AB1307" t="s">
        <v>15526</v>
      </c>
      <c r="AC1307" t="s">
        <v>15527</v>
      </c>
      <c r="AD1307" t="s">
        <v>32</v>
      </c>
      <c r="AE1307" t="s">
        <v>32</v>
      </c>
      <c r="AF1307" t="s">
        <v>46835</v>
      </c>
    </row>
    <row r="1308" spans="1:32" x14ac:dyDescent="0.2">
      <c r="A1308">
        <v>1303</v>
      </c>
      <c r="B1308" t="s">
        <v>15528</v>
      </c>
      <c r="C1308" t="s">
        <v>15529</v>
      </c>
      <c r="D1308" t="s">
        <v>15530</v>
      </c>
      <c r="E1308" t="s">
        <v>15531</v>
      </c>
      <c r="F1308" t="s">
        <v>15532</v>
      </c>
      <c r="G1308" t="s">
        <v>15533</v>
      </c>
      <c r="H1308" t="str">
        <f>"Efhd2"</f>
        <v>Efhd2</v>
      </c>
      <c r="I1308" t="s">
        <v>15534</v>
      </c>
      <c r="J1308" t="s">
        <v>37</v>
      </c>
      <c r="K1308">
        <v>10090</v>
      </c>
      <c r="L1308" s="3" t="str">
        <f>HYPERLINK("http://www.uniprot.org/uniprot/Q9D8Y0", "Q9D8Y0")</f>
        <v>Q9D8Y0</v>
      </c>
      <c r="M1308" t="s">
        <v>15535</v>
      </c>
      <c r="N1308" t="str">
        <f>"Efhd2"</f>
        <v>Efhd2</v>
      </c>
      <c r="O1308" s="3" t="str">
        <f>HYPERLINK("http://www.informatics.jax.org/marker/MGI:106504", "MGI:106504")</f>
        <v>MGI:106504</v>
      </c>
      <c r="P1308" t="s">
        <v>15536</v>
      </c>
      <c r="Q1308" t="s">
        <v>32</v>
      </c>
      <c r="R1308" t="s">
        <v>5989</v>
      </c>
      <c r="S1308" t="s">
        <v>32</v>
      </c>
      <c r="T1308" t="s">
        <v>32</v>
      </c>
      <c r="U1308" t="s">
        <v>32</v>
      </c>
      <c r="V1308" t="s">
        <v>55</v>
      </c>
      <c r="W1308" t="s">
        <v>188</v>
      </c>
      <c r="X1308" t="s">
        <v>32</v>
      </c>
      <c r="Y1308" t="s">
        <v>157</v>
      </c>
      <c r="Z1308" t="s">
        <v>32</v>
      </c>
      <c r="AA1308" t="s">
        <v>32</v>
      </c>
      <c r="AB1308" t="s">
        <v>15537</v>
      </c>
      <c r="AC1308" t="s">
        <v>4723</v>
      </c>
      <c r="AD1308" t="s">
        <v>32</v>
      </c>
      <c r="AE1308" t="s">
        <v>15538</v>
      </c>
      <c r="AF1308" t="s">
        <v>46835</v>
      </c>
    </row>
    <row r="1309" spans="1:32" x14ac:dyDescent="0.2">
      <c r="A1309">
        <v>1304</v>
      </c>
      <c r="B1309" t="s">
        <v>15539</v>
      </c>
      <c r="C1309" t="s">
        <v>15540</v>
      </c>
      <c r="D1309" t="s">
        <v>32</v>
      </c>
      <c r="E1309" t="s">
        <v>15541</v>
      </c>
      <c r="F1309" t="s">
        <v>15542</v>
      </c>
      <c r="G1309" t="s">
        <v>15543</v>
      </c>
      <c r="H1309" t="str">
        <f>"Cltb"</f>
        <v>Cltb</v>
      </c>
      <c r="I1309" t="s">
        <v>32</v>
      </c>
      <c r="J1309" t="s">
        <v>37</v>
      </c>
      <c r="K1309">
        <v>10090</v>
      </c>
      <c r="L1309" s="3" t="str">
        <f>HYPERLINK("http://www.uniprot.org/uniprot/Q6IRU5", "Q6IRU5")</f>
        <v>Q6IRU5</v>
      </c>
      <c r="M1309" t="s">
        <v>15544</v>
      </c>
      <c r="N1309" t="str">
        <f>"Cltb"</f>
        <v>Cltb</v>
      </c>
      <c r="O1309" s="3" t="str">
        <f>HYPERLINK("http://www.informatics.jax.org/marker/MGI:1921575", "MGI:1921575")</f>
        <v>MGI:1921575</v>
      </c>
      <c r="P1309" t="s">
        <v>15545</v>
      </c>
      <c r="Q1309" t="s">
        <v>32</v>
      </c>
      <c r="R1309" t="s">
        <v>15546</v>
      </c>
      <c r="S1309" t="s">
        <v>41</v>
      </c>
      <c r="T1309" t="s">
        <v>32</v>
      </c>
      <c r="U1309" t="s">
        <v>32</v>
      </c>
      <c r="V1309" t="s">
        <v>32</v>
      </c>
      <c r="W1309" t="s">
        <v>1380</v>
      </c>
      <c r="X1309" t="s">
        <v>32</v>
      </c>
      <c r="Y1309" t="s">
        <v>480</v>
      </c>
      <c r="Z1309" t="s">
        <v>32</v>
      </c>
      <c r="AA1309" t="s">
        <v>15547</v>
      </c>
      <c r="AB1309" t="s">
        <v>15548</v>
      </c>
      <c r="AC1309" t="s">
        <v>15549</v>
      </c>
      <c r="AD1309" t="s">
        <v>32</v>
      </c>
      <c r="AE1309" t="s">
        <v>15550</v>
      </c>
      <c r="AF1309" t="s">
        <v>46835</v>
      </c>
    </row>
    <row r="1310" spans="1:32" x14ac:dyDescent="0.2">
      <c r="A1310">
        <v>1305</v>
      </c>
      <c r="B1310" t="s">
        <v>15551</v>
      </c>
      <c r="C1310" t="s">
        <v>15552</v>
      </c>
      <c r="D1310" t="s">
        <v>15553</v>
      </c>
      <c r="E1310" t="s">
        <v>15554</v>
      </c>
      <c r="F1310" t="s">
        <v>15555</v>
      </c>
      <c r="G1310" t="s">
        <v>32</v>
      </c>
      <c r="H1310" t="str">
        <f>"Ubl4a"</f>
        <v>Ubl4a</v>
      </c>
      <c r="I1310" t="s">
        <v>32</v>
      </c>
      <c r="J1310" t="s">
        <v>37</v>
      </c>
      <c r="K1310">
        <v>10090</v>
      </c>
      <c r="L1310" s="3" t="str">
        <f>HYPERLINK("http://www.uniprot.org/uniprot/P21126", "P21126")</f>
        <v>P21126</v>
      </c>
      <c r="M1310" t="s">
        <v>15556</v>
      </c>
      <c r="N1310" t="str">
        <f>"Ubl4a"</f>
        <v>Ubl4a</v>
      </c>
      <c r="O1310" s="3" t="str">
        <f>HYPERLINK("http://www.informatics.jax.org/marker/MGI:95049", "MGI:95049")</f>
        <v>MGI:95049</v>
      </c>
      <c r="P1310" t="s">
        <v>15557</v>
      </c>
      <c r="Q1310" t="s">
        <v>4425</v>
      </c>
      <c r="R1310" t="s">
        <v>40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t="s">
        <v>1007</v>
      </c>
      <c r="Z1310" t="s">
        <v>32</v>
      </c>
      <c r="AA1310" t="s">
        <v>15558</v>
      </c>
      <c r="AB1310" t="s">
        <v>15559</v>
      </c>
      <c r="AC1310" t="s">
        <v>5313</v>
      </c>
      <c r="AD1310" t="s">
        <v>32</v>
      </c>
      <c r="AE1310" t="s">
        <v>32</v>
      </c>
      <c r="AF1310" t="s">
        <v>46835</v>
      </c>
    </row>
    <row r="1311" spans="1:32" x14ac:dyDescent="0.2">
      <c r="A1311">
        <v>1306</v>
      </c>
      <c r="B1311" t="s">
        <v>15560</v>
      </c>
      <c r="C1311" t="s">
        <v>15561</v>
      </c>
      <c r="D1311" t="s">
        <v>15562</v>
      </c>
      <c r="E1311" t="s">
        <v>15563</v>
      </c>
      <c r="F1311" t="s">
        <v>15564</v>
      </c>
      <c r="G1311" t="s">
        <v>15565</v>
      </c>
      <c r="H1311" t="str">
        <f>"Mri1"</f>
        <v>Mri1</v>
      </c>
      <c r="I1311" t="s">
        <v>32</v>
      </c>
      <c r="J1311" t="s">
        <v>37</v>
      </c>
      <c r="K1311">
        <v>10090</v>
      </c>
      <c r="L1311" s="3" t="str">
        <f>HYPERLINK("http://www.uniprot.org/uniprot/Q9CQT1", "Q9CQT1")</f>
        <v>Q9CQT1</v>
      </c>
      <c r="M1311" t="s">
        <v>15566</v>
      </c>
      <c r="N1311" t="str">
        <f>"Mri1"</f>
        <v>Mri1</v>
      </c>
      <c r="O1311" s="3" t="str">
        <f>HYPERLINK("http://www.informatics.jax.org/marker/MGI:1915123", "MGI:1915123")</f>
        <v>MGI:1915123</v>
      </c>
      <c r="P1311" t="s">
        <v>15567</v>
      </c>
      <c r="Q1311" t="s">
        <v>12281</v>
      </c>
      <c r="R1311" t="s">
        <v>40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673</v>
      </c>
      <c r="Y1311" t="s">
        <v>97</v>
      </c>
      <c r="Z1311" t="s">
        <v>32</v>
      </c>
      <c r="AA1311" t="s">
        <v>15568</v>
      </c>
      <c r="AB1311" t="s">
        <v>15569</v>
      </c>
      <c r="AC1311" t="s">
        <v>15570</v>
      </c>
      <c r="AD1311" t="s">
        <v>15571</v>
      </c>
      <c r="AE1311" t="s">
        <v>4205</v>
      </c>
      <c r="AF1311" t="s">
        <v>46835</v>
      </c>
    </row>
    <row r="1312" spans="1:32" x14ac:dyDescent="0.2">
      <c r="A1312">
        <v>1307</v>
      </c>
      <c r="B1312" t="s">
        <v>15572</v>
      </c>
      <c r="C1312" t="s">
        <v>15573</v>
      </c>
      <c r="D1312" t="s">
        <v>15574</v>
      </c>
      <c r="E1312" t="s">
        <v>15575</v>
      </c>
      <c r="F1312" t="s">
        <v>15576</v>
      </c>
      <c r="G1312" t="s">
        <v>32</v>
      </c>
      <c r="H1312" t="str">
        <f>"Atp5pf"</f>
        <v>Atp5pf</v>
      </c>
      <c r="I1312" t="s">
        <v>15577</v>
      </c>
      <c r="J1312" t="s">
        <v>37</v>
      </c>
      <c r="K1312">
        <v>10090</v>
      </c>
      <c r="L1312" s="3" t="str">
        <f>HYPERLINK("http://www.uniprot.org/uniprot/P97450", "P97450")</f>
        <v>P97450</v>
      </c>
      <c r="M1312" t="s">
        <v>15578</v>
      </c>
      <c r="N1312" t="str">
        <f>"Atp5j"</f>
        <v>Atp5j</v>
      </c>
      <c r="O1312" s="3" t="str">
        <f>HYPERLINK("http://www.informatics.jax.org/marker/MGI:107777", "MGI:107777")</f>
        <v>MGI:107777</v>
      </c>
      <c r="P1312" t="s">
        <v>15579</v>
      </c>
      <c r="Q1312" t="s">
        <v>4257</v>
      </c>
      <c r="R1312" t="s">
        <v>4258</v>
      </c>
      <c r="S1312" t="s">
        <v>32</v>
      </c>
      <c r="T1312" t="s">
        <v>32</v>
      </c>
      <c r="U1312" t="s">
        <v>32</v>
      </c>
      <c r="V1312" t="s">
        <v>1039</v>
      </c>
      <c r="W1312" t="s">
        <v>32</v>
      </c>
      <c r="X1312" t="s">
        <v>32</v>
      </c>
      <c r="Y1312" t="s">
        <v>157</v>
      </c>
      <c r="Z1312" t="s">
        <v>32</v>
      </c>
      <c r="AA1312" t="s">
        <v>15580</v>
      </c>
      <c r="AB1312" t="s">
        <v>15581</v>
      </c>
      <c r="AC1312" t="s">
        <v>6652</v>
      </c>
      <c r="AD1312" t="s">
        <v>32</v>
      </c>
      <c r="AE1312" t="s">
        <v>1147</v>
      </c>
      <c r="AF1312" t="s">
        <v>46835</v>
      </c>
    </row>
    <row r="1313" spans="1:33" x14ac:dyDescent="0.2">
      <c r="A1313">
        <v>1308</v>
      </c>
      <c r="B1313" t="s">
        <v>15582</v>
      </c>
      <c r="C1313" t="s">
        <v>15583</v>
      </c>
      <c r="D1313" t="s">
        <v>15584</v>
      </c>
      <c r="E1313" t="s">
        <v>15585</v>
      </c>
      <c r="F1313" t="s">
        <v>15586</v>
      </c>
      <c r="G1313" t="s">
        <v>32</v>
      </c>
      <c r="H1313" t="str">
        <f>"Uba6"</f>
        <v>Uba6</v>
      </c>
      <c r="I1313" t="s">
        <v>15587</v>
      </c>
      <c r="J1313" t="s">
        <v>37</v>
      </c>
      <c r="K1313">
        <v>10090</v>
      </c>
      <c r="L1313" s="3" t="str">
        <f>HYPERLINK("http://www.uniprot.org/uniprot/Q8C7R4", "Q8C7R4")</f>
        <v>Q8C7R4</v>
      </c>
      <c r="M1313" t="s">
        <v>15588</v>
      </c>
      <c r="N1313" t="str">
        <f>"Uba6"</f>
        <v>Uba6</v>
      </c>
      <c r="O1313" s="3" t="str">
        <f>HYPERLINK("http://www.informatics.jax.org/marker/MGI:1913894", "MGI:1913894")</f>
        <v>MGI:1913894</v>
      </c>
      <c r="P1313" t="s">
        <v>15589</v>
      </c>
      <c r="Q1313" t="s">
        <v>1020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205</v>
      </c>
      <c r="X1313" t="s">
        <v>1022</v>
      </c>
      <c r="Y1313" t="s">
        <v>157</v>
      </c>
      <c r="Z1313" t="s">
        <v>32</v>
      </c>
      <c r="AA1313" t="s">
        <v>15590</v>
      </c>
      <c r="AB1313" t="s">
        <v>110</v>
      </c>
      <c r="AC1313" t="s">
        <v>15591</v>
      </c>
      <c r="AD1313" t="s">
        <v>1027</v>
      </c>
      <c r="AE1313" t="s">
        <v>1028</v>
      </c>
      <c r="AF1313" t="s">
        <v>46835</v>
      </c>
    </row>
    <row r="1314" spans="1:33" x14ac:dyDescent="0.2">
      <c r="A1314">
        <v>1309</v>
      </c>
      <c r="B1314" t="s">
        <v>15592</v>
      </c>
      <c r="C1314" t="s">
        <v>15593</v>
      </c>
      <c r="D1314" t="s">
        <v>15594</v>
      </c>
      <c r="E1314" t="s">
        <v>15595</v>
      </c>
      <c r="F1314" t="s">
        <v>15596</v>
      </c>
      <c r="G1314" t="s">
        <v>15597</v>
      </c>
      <c r="H1314" t="str">
        <f>"Hsd17b12"</f>
        <v>Hsd17b12</v>
      </c>
      <c r="I1314" t="s">
        <v>15598</v>
      </c>
      <c r="J1314" t="s">
        <v>37</v>
      </c>
      <c r="K1314">
        <v>10090</v>
      </c>
      <c r="L1314" s="3" t="str">
        <f>HYPERLINK("http://www.uniprot.org/uniprot/O70503", "O70503")</f>
        <v>O70503</v>
      </c>
      <c r="M1314" t="s">
        <v>15599</v>
      </c>
      <c r="N1314" t="str">
        <f>"Hsd17b12"</f>
        <v>Hsd17b12</v>
      </c>
      <c r="O1314" s="3" t="str">
        <f>HYPERLINK("http://www.informatics.jax.org/marker/MGI:1926967", "MGI:1926967")</f>
        <v>MGI:1926967</v>
      </c>
      <c r="P1314" t="s">
        <v>15600</v>
      </c>
      <c r="Q1314" t="s">
        <v>15601</v>
      </c>
      <c r="R1314" t="s">
        <v>1664</v>
      </c>
      <c r="S1314" t="s">
        <v>41</v>
      </c>
      <c r="T1314" t="s">
        <v>32</v>
      </c>
      <c r="U1314" t="s">
        <v>32</v>
      </c>
      <c r="V1314" t="s">
        <v>493</v>
      </c>
      <c r="W1314" t="s">
        <v>3204</v>
      </c>
      <c r="X1314" t="s">
        <v>600</v>
      </c>
      <c r="Y1314" t="s">
        <v>32</v>
      </c>
      <c r="Z1314" t="s">
        <v>32</v>
      </c>
      <c r="AA1314" t="s">
        <v>15602</v>
      </c>
      <c r="AB1314" t="s">
        <v>15603</v>
      </c>
      <c r="AC1314" t="s">
        <v>15604</v>
      </c>
      <c r="AD1314" t="s">
        <v>15605</v>
      </c>
      <c r="AE1314" t="s">
        <v>15606</v>
      </c>
      <c r="AF1314" t="s">
        <v>46835</v>
      </c>
    </row>
    <row r="1315" spans="1:33" x14ac:dyDescent="0.2">
      <c r="A1315">
        <v>1310</v>
      </c>
      <c r="B1315" t="s">
        <v>15607</v>
      </c>
      <c r="C1315" t="s">
        <v>15608</v>
      </c>
      <c r="D1315" t="s">
        <v>15609</v>
      </c>
      <c r="E1315" t="s">
        <v>15610</v>
      </c>
      <c r="F1315" t="s">
        <v>15611</v>
      </c>
      <c r="G1315" t="s">
        <v>15612</v>
      </c>
      <c r="H1315" t="str">
        <f>"Cox6b1"</f>
        <v>Cox6b1</v>
      </c>
      <c r="I1315" t="s">
        <v>15613</v>
      </c>
      <c r="J1315" t="s">
        <v>37</v>
      </c>
      <c r="K1315">
        <v>10090</v>
      </c>
      <c r="L1315" s="3" t="str">
        <f>HYPERLINK("http://www.uniprot.org/uniprot/P56391", "P56391")</f>
        <v>P56391</v>
      </c>
      <c r="M1315" t="s">
        <v>15614</v>
      </c>
      <c r="N1315" t="str">
        <f>"Cox6b1"</f>
        <v>Cox6b1</v>
      </c>
      <c r="O1315" s="3" t="str">
        <f>HYPERLINK("http://www.informatics.jax.org/marker/MGI:107460", "MGI:107460")</f>
        <v>MGI:107460</v>
      </c>
      <c r="P1315" t="s">
        <v>15615</v>
      </c>
      <c r="Q1315" t="s">
        <v>32</v>
      </c>
      <c r="R1315" t="s">
        <v>3858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t="s">
        <v>8737</v>
      </c>
      <c r="Z1315" t="s">
        <v>126</v>
      </c>
      <c r="AA1315" t="s">
        <v>15616</v>
      </c>
      <c r="AB1315" t="s">
        <v>15617</v>
      </c>
      <c r="AC1315" t="s">
        <v>32</v>
      </c>
      <c r="AD1315" t="s">
        <v>3862</v>
      </c>
      <c r="AE1315" t="s">
        <v>3863</v>
      </c>
      <c r="AF1315" t="s">
        <v>46835</v>
      </c>
    </row>
    <row r="1316" spans="1:33" x14ac:dyDescent="0.2">
      <c r="A1316">
        <v>1311</v>
      </c>
      <c r="B1316" t="s">
        <v>15618</v>
      </c>
      <c r="C1316" t="s">
        <v>15619</v>
      </c>
      <c r="D1316" t="s">
        <v>15620</v>
      </c>
      <c r="E1316" t="s">
        <v>15621</v>
      </c>
      <c r="F1316" t="s">
        <v>15622</v>
      </c>
      <c r="G1316" t="s">
        <v>15623</v>
      </c>
      <c r="H1316" t="str">
        <f>"Dnajc5"</f>
        <v>Dnajc5</v>
      </c>
      <c r="I1316" t="s">
        <v>32</v>
      </c>
      <c r="J1316" t="s">
        <v>37</v>
      </c>
      <c r="K1316">
        <v>10090</v>
      </c>
      <c r="L1316" s="3" t="str">
        <f>HYPERLINK("http://www.uniprot.org/uniprot/P60904", "P60904")</f>
        <v>P60904</v>
      </c>
      <c r="M1316" t="s">
        <v>15624</v>
      </c>
      <c r="N1316" t="str">
        <f>"Dnajc5"</f>
        <v>Dnajc5</v>
      </c>
      <c r="O1316" s="3" t="str">
        <f>HYPERLINK("http://www.informatics.jax.org/marker/MGI:892995", "MGI:892995")</f>
        <v>MGI:892995</v>
      </c>
      <c r="P1316" t="s">
        <v>15625</v>
      </c>
      <c r="Q1316" t="s">
        <v>32</v>
      </c>
      <c r="R1316" t="s">
        <v>15626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388</v>
      </c>
      <c r="Y1316" t="s">
        <v>3079</v>
      </c>
      <c r="Z1316" t="s">
        <v>126</v>
      </c>
      <c r="AA1316" t="s">
        <v>15627</v>
      </c>
      <c r="AB1316" t="s">
        <v>15628</v>
      </c>
      <c r="AC1316" t="s">
        <v>15629</v>
      </c>
      <c r="AD1316" t="s">
        <v>32</v>
      </c>
      <c r="AE1316" t="s">
        <v>15630</v>
      </c>
      <c r="AF1316" t="s">
        <v>46835</v>
      </c>
    </row>
    <row r="1317" spans="1:33" x14ac:dyDescent="0.2">
      <c r="A1317">
        <v>1312</v>
      </c>
      <c r="B1317" t="s">
        <v>15631</v>
      </c>
      <c r="C1317" t="s">
        <v>47122</v>
      </c>
      <c r="D1317" t="s">
        <v>32</v>
      </c>
      <c r="E1317" t="s">
        <v>46892</v>
      </c>
      <c r="F1317" t="s">
        <v>46891</v>
      </c>
      <c r="G1317" t="s">
        <v>32</v>
      </c>
      <c r="H1317" t="s">
        <v>47253</v>
      </c>
      <c r="I1317" t="s">
        <v>32</v>
      </c>
      <c r="J1317" t="s">
        <v>37</v>
      </c>
      <c r="K1317">
        <v>10090</v>
      </c>
      <c r="L1317" s="3" t="str">
        <f>HYPERLINK(CONCATENATE("https://www.uniprot.org/uniprotkb/", AG1317, "/entry"), AG1317)</f>
        <v>Q91YR1</v>
      </c>
      <c r="M1317" t="s">
        <v>32</v>
      </c>
      <c r="N1317" t="s">
        <v>32</v>
      </c>
      <c r="O1317" s="3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t="s">
        <v>32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t="s">
        <v>46835</v>
      </c>
      <c r="AG1317" t="s">
        <v>46891</v>
      </c>
    </row>
    <row r="1318" spans="1:33" x14ac:dyDescent="0.2">
      <c r="A1318">
        <v>1313</v>
      </c>
      <c r="B1318" t="s">
        <v>15632</v>
      </c>
      <c r="C1318" t="s">
        <v>15633</v>
      </c>
      <c r="D1318" t="s">
        <v>32</v>
      </c>
      <c r="E1318" t="s">
        <v>15634</v>
      </c>
      <c r="F1318" t="s">
        <v>15635</v>
      </c>
      <c r="G1318" t="s">
        <v>15636</v>
      </c>
      <c r="H1318" t="str">
        <f>"Nomo1"</f>
        <v>Nomo1</v>
      </c>
      <c r="I1318" t="s">
        <v>32</v>
      </c>
      <c r="J1318" t="s">
        <v>37</v>
      </c>
      <c r="K1318">
        <v>10090</v>
      </c>
      <c r="L1318" s="3" t="str">
        <f>HYPERLINK("http://www.uniprot.org/uniprot/Q6GQT9", "Q6GQT9")</f>
        <v>Q6GQT9</v>
      </c>
      <c r="M1318" t="s">
        <v>15637</v>
      </c>
      <c r="N1318" t="str">
        <f>"Nomo1"</f>
        <v>Nomo1</v>
      </c>
      <c r="O1318" s="3" t="str">
        <f>HYPERLINK("http://www.informatics.jax.org/marker/MGI:2385850", "MGI:2385850")</f>
        <v>MGI:2385850</v>
      </c>
      <c r="P1318" t="s">
        <v>15638</v>
      </c>
      <c r="Q1318" t="s">
        <v>32</v>
      </c>
      <c r="R1318" t="s">
        <v>1664</v>
      </c>
      <c r="S1318" t="s">
        <v>32</v>
      </c>
      <c r="T1318" t="s">
        <v>32</v>
      </c>
      <c r="U1318" t="s">
        <v>32</v>
      </c>
      <c r="V1318" t="s">
        <v>15639</v>
      </c>
      <c r="W1318" t="s">
        <v>32</v>
      </c>
      <c r="X1318" t="s">
        <v>32</v>
      </c>
      <c r="Y1318" t="s">
        <v>4720</v>
      </c>
      <c r="Z1318" t="s">
        <v>32</v>
      </c>
      <c r="AA1318" t="s">
        <v>32</v>
      </c>
      <c r="AB1318" t="s">
        <v>15640</v>
      </c>
      <c r="AC1318" t="s">
        <v>15641</v>
      </c>
      <c r="AD1318" t="s">
        <v>32</v>
      </c>
      <c r="AE1318" t="s">
        <v>32</v>
      </c>
      <c r="AF1318" t="s">
        <v>46835</v>
      </c>
    </row>
    <row r="1319" spans="1:33" x14ac:dyDescent="0.2">
      <c r="A1319">
        <v>1314</v>
      </c>
      <c r="B1319" t="s">
        <v>15642</v>
      </c>
      <c r="C1319" t="s">
        <v>15643</v>
      </c>
      <c r="D1319" t="s">
        <v>15644</v>
      </c>
      <c r="E1319" t="s">
        <v>15645</v>
      </c>
      <c r="F1319" t="s">
        <v>15646</v>
      </c>
      <c r="G1319" t="s">
        <v>15647</v>
      </c>
      <c r="H1319" t="str">
        <f>"Aifm1"</f>
        <v>Aifm1</v>
      </c>
      <c r="I1319" t="s">
        <v>15648</v>
      </c>
      <c r="J1319" t="s">
        <v>37</v>
      </c>
      <c r="K1319">
        <v>10090</v>
      </c>
      <c r="L1319" s="3" t="str">
        <f>HYPERLINK("http://www.uniprot.org/uniprot/Q9Z0X1", "Q9Z0X1")</f>
        <v>Q9Z0X1</v>
      </c>
      <c r="M1319" t="s">
        <v>15649</v>
      </c>
      <c r="N1319" t="str">
        <f>"Aifm1"</f>
        <v>Aifm1</v>
      </c>
      <c r="O1319" s="3" t="str">
        <f>HYPERLINK("http://www.informatics.jax.org/marker/MGI:1349419", "MGI:1349419")</f>
        <v>MGI:1349419</v>
      </c>
      <c r="P1319" t="s">
        <v>15650</v>
      </c>
      <c r="Q1319" t="s">
        <v>541</v>
      </c>
      <c r="R1319" t="s">
        <v>15651</v>
      </c>
      <c r="S1319" t="s">
        <v>41</v>
      </c>
      <c r="T1319" t="s">
        <v>32</v>
      </c>
      <c r="U1319" t="s">
        <v>32</v>
      </c>
      <c r="V1319" t="s">
        <v>1039</v>
      </c>
      <c r="W1319" t="s">
        <v>7933</v>
      </c>
      <c r="X1319" t="s">
        <v>15652</v>
      </c>
      <c r="Y1319" t="s">
        <v>516</v>
      </c>
      <c r="Z1319" t="s">
        <v>126</v>
      </c>
      <c r="AA1319" t="s">
        <v>15653</v>
      </c>
      <c r="AB1319" t="s">
        <v>15654</v>
      </c>
      <c r="AC1319" t="s">
        <v>15655</v>
      </c>
      <c r="AD1319" t="s">
        <v>32</v>
      </c>
      <c r="AE1319" t="s">
        <v>32</v>
      </c>
      <c r="AF1319" t="s">
        <v>46835</v>
      </c>
    </row>
    <row r="1320" spans="1:33" x14ac:dyDescent="0.2">
      <c r="A1320">
        <v>1315</v>
      </c>
      <c r="B1320" t="s">
        <v>15656</v>
      </c>
      <c r="C1320" t="s">
        <v>15657</v>
      </c>
      <c r="D1320" t="s">
        <v>15658</v>
      </c>
      <c r="E1320" t="s">
        <v>15659</v>
      </c>
      <c r="F1320" t="s">
        <v>15660</v>
      </c>
      <c r="G1320" t="s">
        <v>15661</v>
      </c>
      <c r="H1320" t="str">
        <f>"Smarcc2"</f>
        <v>Smarcc2</v>
      </c>
      <c r="I1320" t="s">
        <v>15662</v>
      </c>
      <c r="J1320" t="s">
        <v>37</v>
      </c>
      <c r="K1320">
        <v>10090</v>
      </c>
      <c r="L1320" s="3" t="str">
        <f>HYPERLINK("http://www.uniprot.org/uniprot/Q6PDG5", "Q6PDG5")</f>
        <v>Q6PDG5</v>
      </c>
      <c r="M1320" t="s">
        <v>15663</v>
      </c>
      <c r="N1320" t="str">
        <f>"Smarcc2"</f>
        <v>Smarcc2</v>
      </c>
      <c r="O1320" s="3" t="str">
        <f>HYPERLINK("http://www.informatics.jax.org/marker/MGI:1915344", "MGI:1915344")</f>
        <v>MGI:1915344</v>
      </c>
      <c r="P1320" t="s">
        <v>15664</v>
      </c>
      <c r="Q1320" t="s">
        <v>9987</v>
      </c>
      <c r="R1320" t="s">
        <v>2279</v>
      </c>
      <c r="S1320" t="s">
        <v>41</v>
      </c>
      <c r="T1320" t="s">
        <v>32</v>
      </c>
      <c r="U1320" t="s">
        <v>32</v>
      </c>
      <c r="V1320" t="s">
        <v>290</v>
      </c>
      <c r="W1320" t="s">
        <v>32</v>
      </c>
      <c r="X1320" t="s">
        <v>9988</v>
      </c>
      <c r="Y1320" t="s">
        <v>448</v>
      </c>
      <c r="Z1320" t="s">
        <v>32</v>
      </c>
      <c r="AA1320" t="s">
        <v>15665</v>
      </c>
      <c r="AB1320" t="s">
        <v>15666</v>
      </c>
      <c r="AC1320" t="s">
        <v>15667</v>
      </c>
      <c r="AD1320" t="s">
        <v>32</v>
      </c>
      <c r="AE1320" t="s">
        <v>9992</v>
      </c>
      <c r="AF1320" t="s">
        <v>46835</v>
      </c>
    </row>
    <row r="1321" spans="1:33" x14ac:dyDescent="0.2">
      <c r="A1321">
        <v>1316</v>
      </c>
      <c r="B1321" t="s">
        <v>15668</v>
      </c>
      <c r="C1321" t="s">
        <v>15669</v>
      </c>
      <c r="D1321" t="s">
        <v>32</v>
      </c>
      <c r="E1321" t="s">
        <v>15670</v>
      </c>
      <c r="F1321" t="s">
        <v>15671</v>
      </c>
      <c r="G1321" t="s">
        <v>15672</v>
      </c>
      <c r="H1321" t="str">
        <f>"Tnpo3"</f>
        <v>Tnpo3</v>
      </c>
      <c r="I1321" t="s">
        <v>32</v>
      </c>
      <c r="J1321" t="s">
        <v>37</v>
      </c>
      <c r="K1321">
        <v>10090</v>
      </c>
      <c r="L1321" s="3" t="str">
        <f>HYPERLINK("http://www.uniprot.org/uniprot/Q6P2B1", "Q6P2B1")</f>
        <v>Q6P2B1</v>
      </c>
      <c r="M1321" t="s">
        <v>15673</v>
      </c>
      <c r="N1321" t="str">
        <f>"Tnpo3"</f>
        <v>Tnpo3</v>
      </c>
      <c r="O1321" s="3" t="str">
        <f>HYPERLINK("http://www.informatics.jax.org/marker/MGI:1196412", "MGI:1196412")</f>
        <v>MGI:1196412</v>
      </c>
      <c r="P1321" t="s">
        <v>13721</v>
      </c>
      <c r="Q1321" t="s">
        <v>434</v>
      </c>
      <c r="R1321" t="s">
        <v>40</v>
      </c>
      <c r="S1321" t="s">
        <v>41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t="s">
        <v>157</v>
      </c>
      <c r="Z1321" t="s">
        <v>32</v>
      </c>
      <c r="AA1321" t="s">
        <v>11486</v>
      </c>
      <c r="AB1321" t="s">
        <v>15674</v>
      </c>
      <c r="AC1321" t="s">
        <v>15675</v>
      </c>
      <c r="AD1321" t="s">
        <v>32</v>
      </c>
      <c r="AE1321" t="s">
        <v>32</v>
      </c>
      <c r="AF1321" t="s">
        <v>46835</v>
      </c>
    </row>
    <row r="1322" spans="1:33" x14ac:dyDescent="0.2">
      <c r="A1322">
        <v>1317</v>
      </c>
      <c r="B1322" t="s">
        <v>15676</v>
      </c>
      <c r="C1322" t="s">
        <v>15677</v>
      </c>
      <c r="D1322" t="s">
        <v>15678</v>
      </c>
      <c r="E1322" t="s">
        <v>15679</v>
      </c>
      <c r="F1322" t="s">
        <v>15680</v>
      </c>
      <c r="G1322" t="s">
        <v>32</v>
      </c>
      <c r="H1322" t="str">
        <f>"Sf3a3"</f>
        <v>Sf3a3</v>
      </c>
      <c r="I1322" t="s">
        <v>15681</v>
      </c>
      <c r="J1322" t="s">
        <v>37</v>
      </c>
      <c r="K1322">
        <v>10090</v>
      </c>
      <c r="L1322" s="3" t="str">
        <f>HYPERLINK("http://www.uniprot.org/uniprot/Q9D554", "Q9D554")</f>
        <v>Q9D554</v>
      </c>
      <c r="M1322" t="s">
        <v>15682</v>
      </c>
      <c r="N1322" t="str">
        <f>"Sf3a3"</f>
        <v>Sf3a3</v>
      </c>
      <c r="O1322" s="3" t="str">
        <f>HYPERLINK("http://www.informatics.jax.org/marker/MGI:1922312", "MGI:1922312")</f>
        <v>MGI:1922312</v>
      </c>
      <c r="P1322" t="s">
        <v>15683</v>
      </c>
      <c r="Q1322" t="s">
        <v>2139</v>
      </c>
      <c r="R1322" t="s">
        <v>2140</v>
      </c>
      <c r="S1322" t="s">
        <v>32</v>
      </c>
      <c r="T1322" t="s">
        <v>32</v>
      </c>
      <c r="U1322" t="s">
        <v>32</v>
      </c>
      <c r="V1322" t="s">
        <v>446</v>
      </c>
      <c r="W1322" t="s">
        <v>42</v>
      </c>
      <c r="X1322" t="s">
        <v>32</v>
      </c>
      <c r="Y1322" t="s">
        <v>157</v>
      </c>
      <c r="Z1322" t="s">
        <v>32</v>
      </c>
      <c r="AA1322" t="s">
        <v>15684</v>
      </c>
      <c r="AB1322" t="s">
        <v>15685</v>
      </c>
      <c r="AC1322" t="s">
        <v>15686</v>
      </c>
      <c r="AD1322" t="s">
        <v>32</v>
      </c>
      <c r="AE1322" t="s">
        <v>946</v>
      </c>
      <c r="AF1322" t="s">
        <v>46835</v>
      </c>
    </row>
    <row r="1323" spans="1:33" x14ac:dyDescent="0.2">
      <c r="A1323">
        <v>1318</v>
      </c>
      <c r="B1323" t="s">
        <v>15687</v>
      </c>
      <c r="C1323" t="s">
        <v>15688</v>
      </c>
      <c r="D1323" t="s">
        <v>15689</v>
      </c>
      <c r="E1323" t="s">
        <v>15690</v>
      </c>
      <c r="F1323" t="s">
        <v>15691</v>
      </c>
      <c r="G1323" t="s">
        <v>15692</v>
      </c>
      <c r="H1323" t="str">
        <f>"Trap1"</f>
        <v>Trap1</v>
      </c>
      <c r="I1323" t="s">
        <v>15693</v>
      </c>
      <c r="J1323" t="s">
        <v>37</v>
      </c>
      <c r="K1323">
        <v>10090</v>
      </c>
      <c r="L1323" s="3" t="str">
        <f>HYPERLINK("http://www.uniprot.org/uniprot/Q9CQN1", "Q9CQN1")</f>
        <v>Q9CQN1</v>
      </c>
      <c r="M1323" t="s">
        <v>15694</v>
      </c>
      <c r="N1323" t="str">
        <f>"Trap1"</f>
        <v>Trap1</v>
      </c>
      <c r="O1323" s="3" t="str">
        <f>HYPERLINK("http://www.informatics.jax.org/marker/MGI:1915265", "MGI:1915265")</f>
        <v>MGI:1915265</v>
      </c>
      <c r="P1323" t="s">
        <v>15695</v>
      </c>
      <c r="Q1323" t="s">
        <v>32</v>
      </c>
      <c r="R1323" t="s">
        <v>3858</v>
      </c>
      <c r="S1323" t="s">
        <v>32</v>
      </c>
      <c r="T1323" t="s">
        <v>32</v>
      </c>
      <c r="U1323" t="s">
        <v>32</v>
      </c>
      <c r="V1323" t="s">
        <v>1039</v>
      </c>
      <c r="W1323" t="s">
        <v>205</v>
      </c>
      <c r="X1323" t="s">
        <v>388</v>
      </c>
      <c r="Y1323" t="s">
        <v>157</v>
      </c>
      <c r="Z1323" t="s">
        <v>32</v>
      </c>
      <c r="AA1323" t="s">
        <v>15696</v>
      </c>
      <c r="AB1323" t="s">
        <v>15697</v>
      </c>
      <c r="AC1323" t="s">
        <v>15698</v>
      </c>
      <c r="AD1323" t="s">
        <v>32</v>
      </c>
      <c r="AE1323" t="s">
        <v>32</v>
      </c>
      <c r="AF1323" t="s">
        <v>46835</v>
      </c>
    </row>
    <row r="1324" spans="1:33" x14ac:dyDescent="0.2">
      <c r="A1324">
        <v>1319</v>
      </c>
      <c r="B1324" t="s">
        <v>15699</v>
      </c>
      <c r="C1324" t="s">
        <v>15700</v>
      </c>
      <c r="D1324" t="s">
        <v>15701</v>
      </c>
      <c r="E1324" t="s">
        <v>15702</v>
      </c>
      <c r="F1324" t="s">
        <v>15703</v>
      </c>
      <c r="G1324" t="s">
        <v>32</v>
      </c>
      <c r="H1324" t="str">
        <f>"Ndufb11"</f>
        <v>Ndufb11</v>
      </c>
      <c r="I1324" t="s">
        <v>15704</v>
      </c>
      <c r="J1324" t="s">
        <v>37</v>
      </c>
      <c r="K1324">
        <v>10090</v>
      </c>
      <c r="L1324" s="3" t="str">
        <f>HYPERLINK("http://www.uniprot.org/uniprot/O09111", "O09111")</f>
        <v>O09111</v>
      </c>
      <c r="M1324" t="s">
        <v>15705</v>
      </c>
      <c r="N1324" t="str">
        <f>"Ndufb11"</f>
        <v>Ndufb11</v>
      </c>
      <c r="O1324" s="3" t="str">
        <f>HYPERLINK("http://www.informatics.jax.org/marker/MGI:1349919", "MGI:1349919")</f>
        <v>MGI:1349919</v>
      </c>
      <c r="P1324" t="s">
        <v>12490</v>
      </c>
      <c r="Q1324" t="s">
        <v>6888</v>
      </c>
      <c r="R1324" t="s">
        <v>3858</v>
      </c>
      <c r="S1324" t="s">
        <v>32</v>
      </c>
      <c r="T1324" t="s">
        <v>32</v>
      </c>
      <c r="U1324" t="s">
        <v>32</v>
      </c>
      <c r="V1324" t="s">
        <v>3859</v>
      </c>
      <c r="W1324" t="s">
        <v>32</v>
      </c>
      <c r="X1324" t="s">
        <v>32</v>
      </c>
      <c r="Y1324" t="s">
        <v>32</v>
      </c>
      <c r="Z1324" t="s">
        <v>126</v>
      </c>
      <c r="AA1324" t="s">
        <v>12491</v>
      </c>
      <c r="AB1324" t="s">
        <v>14222</v>
      </c>
      <c r="AC1324" t="s">
        <v>32</v>
      </c>
      <c r="AD1324" t="s">
        <v>32</v>
      </c>
      <c r="AE1324" t="s">
        <v>10470</v>
      </c>
      <c r="AF1324" t="s">
        <v>46835</v>
      </c>
    </row>
    <row r="1325" spans="1:33" x14ac:dyDescent="0.2">
      <c r="A1325">
        <v>1320</v>
      </c>
      <c r="B1325" t="s">
        <v>15706</v>
      </c>
      <c r="C1325" t="s">
        <v>15707</v>
      </c>
      <c r="D1325" t="s">
        <v>32</v>
      </c>
      <c r="E1325" t="s">
        <v>15708</v>
      </c>
      <c r="F1325" t="s">
        <v>15709</v>
      </c>
      <c r="G1325" t="s">
        <v>15710</v>
      </c>
      <c r="H1325" t="str">
        <f>"Washc2"</f>
        <v>Washc2</v>
      </c>
      <c r="I1325" t="s">
        <v>32</v>
      </c>
      <c r="J1325" t="s">
        <v>37</v>
      </c>
      <c r="K1325">
        <v>10090</v>
      </c>
      <c r="L1325" s="3" t="str">
        <f>HYPERLINK("http://www.uniprot.org/uniprot/Q6PGL7", "Q6PGL7")</f>
        <v>Q6PGL7</v>
      </c>
      <c r="M1325" t="s">
        <v>15711</v>
      </c>
      <c r="N1325" t="str">
        <f>"Washc2"</f>
        <v>Washc2</v>
      </c>
      <c r="O1325" s="3" t="str">
        <f>HYPERLINK("http://www.informatics.jax.org/marker/MGI:106463", "MGI:106463")</f>
        <v>MGI:106463</v>
      </c>
      <c r="P1325" t="s">
        <v>15712</v>
      </c>
      <c r="Q1325" t="s">
        <v>434</v>
      </c>
      <c r="R1325" t="s">
        <v>11564</v>
      </c>
      <c r="S1325" t="s">
        <v>41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t="s">
        <v>618</v>
      </c>
      <c r="Z1325" t="s">
        <v>32</v>
      </c>
      <c r="AA1325" t="s">
        <v>15713</v>
      </c>
      <c r="AB1325" t="s">
        <v>15714</v>
      </c>
      <c r="AC1325" t="s">
        <v>15715</v>
      </c>
      <c r="AD1325" t="s">
        <v>32</v>
      </c>
      <c r="AE1325" t="s">
        <v>32</v>
      </c>
      <c r="AF1325" t="s">
        <v>46835</v>
      </c>
    </row>
    <row r="1326" spans="1:33" x14ac:dyDescent="0.2">
      <c r="A1326">
        <v>1321</v>
      </c>
      <c r="B1326" t="s">
        <v>15716</v>
      </c>
      <c r="C1326" t="s">
        <v>15717</v>
      </c>
      <c r="D1326" t="s">
        <v>15718</v>
      </c>
      <c r="E1326" t="s">
        <v>15719</v>
      </c>
      <c r="F1326" t="s">
        <v>15720</v>
      </c>
      <c r="G1326" t="s">
        <v>32</v>
      </c>
      <c r="H1326" t="str">
        <f>"Dpysl5"</f>
        <v>Dpysl5</v>
      </c>
      <c r="I1326" t="s">
        <v>15721</v>
      </c>
      <c r="J1326" t="s">
        <v>37</v>
      </c>
      <c r="K1326">
        <v>10090</v>
      </c>
      <c r="L1326" s="3" t="str">
        <f>HYPERLINK("http://www.uniprot.org/uniprot/Q9EQF6", "Q9EQF6")</f>
        <v>Q9EQF6</v>
      </c>
      <c r="M1326" t="s">
        <v>15722</v>
      </c>
      <c r="N1326" t="str">
        <f>"Dpysl5"</f>
        <v>Dpysl5</v>
      </c>
      <c r="O1326" s="3" t="str">
        <f>HYPERLINK("http://www.informatics.jax.org/marker/MGI:1929772", "MGI:1929772")</f>
        <v>MGI:1929772</v>
      </c>
      <c r="P1326" t="s">
        <v>2733</v>
      </c>
      <c r="Q1326" t="s">
        <v>32</v>
      </c>
      <c r="R1326" t="s">
        <v>418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 t="s">
        <v>2734</v>
      </c>
      <c r="Z1326" t="s">
        <v>32</v>
      </c>
      <c r="AA1326" t="s">
        <v>15723</v>
      </c>
      <c r="AB1326" t="s">
        <v>15724</v>
      </c>
      <c r="AC1326" t="s">
        <v>15725</v>
      </c>
      <c r="AD1326" t="s">
        <v>32</v>
      </c>
      <c r="AE1326" t="s">
        <v>9213</v>
      </c>
      <c r="AF1326" t="s">
        <v>46835</v>
      </c>
    </row>
    <row r="1327" spans="1:33" x14ac:dyDescent="0.2">
      <c r="A1327">
        <v>1322</v>
      </c>
      <c r="B1327" t="s">
        <v>15726</v>
      </c>
      <c r="C1327" t="s">
        <v>15727</v>
      </c>
      <c r="D1327" t="s">
        <v>15728</v>
      </c>
      <c r="E1327" t="s">
        <v>15729</v>
      </c>
      <c r="F1327" t="s">
        <v>15730</v>
      </c>
      <c r="G1327" t="s">
        <v>15731</v>
      </c>
      <c r="H1327" t="str">
        <f>"Cast"</f>
        <v>Cast</v>
      </c>
      <c r="I1327" t="s">
        <v>32</v>
      </c>
      <c r="J1327" t="s">
        <v>37</v>
      </c>
      <c r="K1327">
        <v>10090</v>
      </c>
      <c r="L1327" s="3" t="str">
        <f>HYPERLINK("http://www.uniprot.org/uniprot/P51125", "P51125")</f>
        <v>P51125</v>
      </c>
      <c r="M1327" t="s">
        <v>15732</v>
      </c>
      <c r="N1327" t="str">
        <f>"Cast"</f>
        <v>Cast</v>
      </c>
      <c r="O1327" s="3" t="str">
        <f>HYPERLINK("http://www.informatics.jax.org/marker/MGI:1098236", "MGI:1098236")</f>
        <v>MGI:1098236</v>
      </c>
      <c r="P1327" t="s">
        <v>15733</v>
      </c>
      <c r="Q1327" t="s">
        <v>32</v>
      </c>
      <c r="R1327" t="s">
        <v>32</v>
      </c>
      <c r="S1327" t="s">
        <v>41</v>
      </c>
      <c r="T1327" t="s">
        <v>32</v>
      </c>
      <c r="U1327" t="s">
        <v>32</v>
      </c>
      <c r="V1327" t="s">
        <v>55</v>
      </c>
      <c r="W1327" t="s">
        <v>32</v>
      </c>
      <c r="X1327" t="s">
        <v>14580</v>
      </c>
      <c r="Y1327" t="s">
        <v>516</v>
      </c>
      <c r="Z1327" t="s">
        <v>32</v>
      </c>
      <c r="AA1327" t="s">
        <v>15734</v>
      </c>
      <c r="AB1327" t="s">
        <v>15735</v>
      </c>
      <c r="AC1327" t="s">
        <v>15736</v>
      </c>
      <c r="AD1327" t="s">
        <v>32</v>
      </c>
      <c r="AE1327" t="s">
        <v>561</v>
      </c>
      <c r="AF1327" t="s">
        <v>46835</v>
      </c>
    </row>
    <row r="1328" spans="1:33" x14ac:dyDescent="0.2">
      <c r="A1328">
        <v>1323</v>
      </c>
      <c r="B1328" t="s">
        <v>15737</v>
      </c>
      <c r="C1328" t="s">
        <v>15738</v>
      </c>
      <c r="D1328" t="s">
        <v>15739</v>
      </c>
      <c r="E1328" t="s">
        <v>15740</v>
      </c>
      <c r="F1328" t="s">
        <v>15741</v>
      </c>
      <c r="G1328" t="s">
        <v>15742</v>
      </c>
      <c r="H1328" t="str">
        <f>"Sumo2"</f>
        <v>Sumo2</v>
      </c>
      <c r="I1328" t="s">
        <v>32</v>
      </c>
      <c r="J1328" t="s">
        <v>37</v>
      </c>
      <c r="K1328">
        <v>10090</v>
      </c>
      <c r="L1328" s="3" t="str">
        <f>HYPERLINK("http://www.uniprot.org/uniprot/P61957", "P61957")</f>
        <v>P61957</v>
      </c>
      <c r="M1328" t="s">
        <v>15743</v>
      </c>
      <c r="N1328" t="str">
        <f>"Sumo2"</f>
        <v>Sumo2</v>
      </c>
      <c r="O1328" s="3" t="str">
        <f>HYPERLINK("http://www.informatics.jax.org/marker/MGI:2158813", "MGI:2158813")</f>
        <v>MGI:2158813</v>
      </c>
      <c r="P1328" t="s">
        <v>15744</v>
      </c>
      <c r="Q1328" t="s">
        <v>1020</v>
      </c>
      <c r="R1328" t="s">
        <v>2279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t="s">
        <v>461</v>
      </c>
      <c r="Z1328" t="s">
        <v>126</v>
      </c>
      <c r="AA1328" t="s">
        <v>15745</v>
      </c>
      <c r="AB1328" t="s">
        <v>15746</v>
      </c>
      <c r="AC1328" t="s">
        <v>15747</v>
      </c>
      <c r="AD1328" t="s">
        <v>32</v>
      </c>
      <c r="AE1328" t="s">
        <v>15748</v>
      </c>
      <c r="AF1328" t="s">
        <v>46835</v>
      </c>
    </row>
    <row r="1329" spans="1:32" x14ac:dyDescent="0.2">
      <c r="A1329">
        <v>1324</v>
      </c>
      <c r="B1329" t="s">
        <v>15749</v>
      </c>
      <c r="C1329" t="s">
        <v>15750</v>
      </c>
      <c r="D1329" t="s">
        <v>15751</v>
      </c>
      <c r="E1329" t="s">
        <v>15752</v>
      </c>
      <c r="F1329" t="s">
        <v>15753</v>
      </c>
      <c r="G1329" t="s">
        <v>15754</v>
      </c>
      <c r="H1329" t="str">
        <f>"Blvra"</f>
        <v>Blvra</v>
      </c>
      <c r="I1329" t="s">
        <v>32</v>
      </c>
      <c r="J1329" t="s">
        <v>37</v>
      </c>
      <c r="K1329">
        <v>10090</v>
      </c>
      <c r="L1329" s="3" t="str">
        <f>HYPERLINK("http://www.uniprot.org/uniprot/Q9CY64", "Q9CY64")</f>
        <v>Q9CY64</v>
      </c>
      <c r="M1329" t="s">
        <v>15755</v>
      </c>
      <c r="N1329" t="str">
        <f>"Blvra"</f>
        <v>Blvra</v>
      </c>
      <c r="O1329" s="3" t="str">
        <f>HYPERLINK("http://www.informatics.jax.org/marker/MGI:88170", "MGI:88170")</f>
        <v>MGI:88170</v>
      </c>
      <c r="P1329" t="s">
        <v>15756</v>
      </c>
      <c r="Q1329" t="s">
        <v>32</v>
      </c>
      <c r="R1329" t="s">
        <v>418</v>
      </c>
      <c r="S1329" t="s">
        <v>32</v>
      </c>
      <c r="T1329" t="s">
        <v>32</v>
      </c>
      <c r="U1329" t="s">
        <v>32</v>
      </c>
      <c r="V1329" t="s">
        <v>32</v>
      </c>
      <c r="W1329" t="s">
        <v>15757</v>
      </c>
      <c r="X1329" t="s">
        <v>600</v>
      </c>
      <c r="Y1329" t="s">
        <v>157</v>
      </c>
      <c r="Z1329" t="s">
        <v>32</v>
      </c>
      <c r="AA1329" t="s">
        <v>15758</v>
      </c>
      <c r="AB1329" t="s">
        <v>1268</v>
      </c>
      <c r="AC1329" t="s">
        <v>15759</v>
      </c>
      <c r="AD1329" t="s">
        <v>15760</v>
      </c>
      <c r="AE1329" t="s">
        <v>15761</v>
      </c>
      <c r="AF1329" t="s">
        <v>46835</v>
      </c>
    </row>
    <row r="1330" spans="1:32" x14ac:dyDescent="0.2">
      <c r="A1330">
        <v>1325</v>
      </c>
      <c r="B1330" t="s">
        <v>15762</v>
      </c>
      <c r="C1330" t="s">
        <v>15763</v>
      </c>
      <c r="D1330" t="s">
        <v>15764</v>
      </c>
      <c r="E1330" t="s">
        <v>15765</v>
      </c>
      <c r="F1330" t="s">
        <v>15766</v>
      </c>
      <c r="G1330" t="s">
        <v>15767</v>
      </c>
      <c r="H1330" t="str">
        <f>"Fbl"</f>
        <v>Fbl</v>
      </c>
      <c r="I1330" t="s">
        <v>32</v>
      </c>
      <c r="J1330" t="s">
        <v>37</v>
      </c>
      <c r="K1330">
        <v>10090</v>
      </c>
      <c r="L1330" s="3" t="str">
        <f>HYPERLINK("http://www.uniprot.org/uniprot/P35550", "P35550")</f>
        <v>P35550</v>
      </c>
      <c r="M1330" t="s">
        <v>15768</v>
      </c>
      <c r="N1330" t="str">
        <f>"Fbl"</f>
        <v>Fbl</v>
      </c>
      <c r="O1330" s="3" t="str">
        <f>HYPERLINK("http://www.informatics.jax.org/marker/MGI:95486", "MGI:95486")</f>
        <v>MGI:95486</v>
      </c>
      <c r="P1330" t="s">
        <v>15769</v>
      </c>
      <c r="Q1330" t="s">
        <v>15770</v>
      </c>
      <c r="R1330" t="s">
        <v>2279</v>
      </c>
      <c r="S1330" t="s">
        <v>32</v>
      </c>
      <c r="T1330" t="s">
        <v>32</v>
      </c>
      <c r="U1330" t="s">
        <v>32</v>
      </c>
      <c r="V1330" t="s">
        <v>32</v>
      </c>
      <c r="W1330" t="s">
        <v>1705</v>
      </c>
      <c r="X1330" t="s">
        <v>15771</v>
      </c>
      <c r="Y1330" t="s">
        <v>207</v>
      </c>
      <c r="Z1330" t="s">
        <v>32</v>
      </c>
      <c r="AA1330" t="s">
        <v>15772</v>
      </c>
      <c r="AB1330" t="s">
        <v>15773</v>
      </c>
      <c r="AC1330" t="s">
        <v>15774</v>
      </c>
      <c r="AD1330" t="s">
        <v>32</v>
      </c>
      <c r="AE1330" t="s">
        <v>960</v>
      </c>
      <c r="AF1330" t="s">
        <v>46835</v>
      </c>
    </row>
    <row r="1331" spans="1:32" x14ac:dyDescent="0.2">
      <c r="A1331">
        <v>1326</v>
      </c>
      <c r="B1331" t="s">
        <v>15775</v>
      </c>
      <c r="C1331" t="s">
        <v>15776</v>
      </c>
      <c r="D1331" t="s">
        <v>15777</v>
      </c>
      <c r="E1331" t="s">
        <v>15778</v>
      </c>
      <c r="F1331" t="s">
        <v>15779</v>
      </c>
      <c r="G1331" t="s">
        <v>15780</v>
      </c>
      <c r="H1331" t="str">
        <f>"Aldh6a1"</f>
        <v>Aldh6a1</v>
      </c>
      <c r="I1331" t="s">
        <v>32</v>
      </c>
      <c r="J1331" t="s">
        <v>37</v>
      </c>
      <c r="K1331">
        <v>10090</v>
      </c>
      <c r="L1331" s="3" t="str">
        <f>HYPERLINK("http://www.uniprot.org/uniprot/Q9EQ20", "Q9EQ20")</f>
        <v>Q9EQ20</v>
      </c>
      <c r="M1331" t="s">
        <v>15781</v>
      </c>
      <c r="N1331" t="str">
        <f>"Aldh6a1"</f>
        <v>Aldh6a1</v>
      </c>
      <c r="O1331" s="3" t="str">
        <f>HYPERLINK("http://www.informatics.jax.org/marker/MGI:1915077", "MGI:1915077")</f>
        <v>MGI:1915077</v>
      </c>
      <c r="P1331" t="s">
        <v>15782</v>
      </c>
      <c r="Q1331" t="s">
        <v>32</v>
      </c>
      <c r="R1331" t="s">
        <v>1038</v>
      </c>
      <c r="S1331" t="s">
        <v>32</v>
      </c>
      <c r="T1331" t="s">
        <v>32</v>
      </c>
      <c r="U1331" t="s">
        <v>32</v>
      </c>
      <c r="V1331" t="s">
        <v>1039</v>
      </c>
      <c r="W1331" t="s">
        <v>325</v>
      </c>
      <c r="X1331" t="s">
        <v>600</v>
      </c>
      <c r="Y1331" t="s">
        <v>157</v>
      </c>
      <c r="Z1331" t="s">
        <v>32</v>
      </c>
      <c r="AA1331" t="s">
        <v>15783</v>
      </c>
      <c r="AB1331" t="s">
        <v>15784</v>
      </c>
      <c r="AC1331" t="s">
        <v>15785</v>
      </c>
      <c r="AD1331" t="s">
        <v>32</v>
      </c>
      <c r="AE1331" t="s">
        <v>8652</v>
      </c>
      <c r="AF1331" t="s">
        <v>46835</v>
      </c>
    </row>
    <row r="1332" spans="1:32" x14ac:dyDescent="0.2">
      <c r="A1332">
        <v>1327</v>
      </c>
      <c r="B1332" t="s">
        <v>15786</v>
      </c>
      <c r="C1332" t="s">
        <v>15787</v>
      </c>
      <c r="D1332" t="s">
        <v>15788</v>
      </c>
      <c r="E1332" t="s">
        <v>15789</v>
      </c>
      <c r="F1332" t="s">
        <v>15790</v>
      </c>
      <c r="G1332" t="s">
        <v>32</v>
      </c>
      <c r="H1332" t="str">
        <f>"Eny2"</f>
        <v>Eny2</v>
      </c>
      <c r="I1332" t="s">
        <v>32</v>
      </c>
      <c r="J1332" t="s">
        <v>37</v>
      </c>
      <c r="K1332">
        <v>10090</v>
      </c>
      <c r="L1332" s="3" t="str">
        <f>HYPERLINK("http://www.uniprot.org/uniprot/Q9JIX0", "Q9JIX0")</f>
        <v>Q9JIX0</v>
      </c>
      <c r="M1332" t="s">
        <v>15791</v>
      </c>
      <c r="N1332" t="str">
        <f>"Eny2"</f>
        <v>Eny2</v>
      </c>
      <c r="O1332" s="3" t="str">
        <f>HYPERLINK("http://www.informatics.jax.org/marker/MGI:1919286", "MGI:1919286")</f>
        <v>MGI:1919286</v>
      </c>
      <c r="P1332" t="s">
        <v>15792</v>
      </c>
      <c r="Q1332" t="s">
        <v>15793</v>
      </c>
      <c r="R1332" t="s">
        <v>2279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15794</v>
      </c>
      <c r="Y1332" t="s">
        <v>7792</v>
      </c>
      <c r="Z1332" t="s">
        <v>32</v>
      </c>
      <c r="AA1332" t="s">
        <v>15795</v>
      </c>
      <c r="AB1332" t="s">
        <v>15796</v>
      </c>
      <c r="AC1332" t="s">
        <v>15797</v>
      </c>
      <c r="AD1332" t="s">
        <v>32</v>
      </c>
      <c r="AE1332" t="s">
        <v>32</v>
      </c>
      <c r="AF1332" t="s">
        <v>46835</v>
      </c>
    </row>
    <row r="1333" spans="1:32" x14ac:dyDescent="0.2">
      <c r="A1333">
        <v>1328</v>
      </c>
      <c r="B1333" t="s">
        <v>15798</v>
      </c>
      <c r="C1333" t="s">
        <v>15799</v>
      </c>
      <c r="D1333" t="s">
        <v>15800</v>
      </c>
      <c r="E1333" t="s">
        <v>15801</v>
      </c>
      <c r="F1333" t="s">
        <v>15802</v>
      </c>
      <c r="G1333" t="s">
        <v>15803</v>
      </c>
      <c r="H1333" t="str">
        <f>"Lonp1"</f>
        <v>Lonp1</v>
      </c>
      <c r="I1333" t="s">
        <v>15804</v>
      </c>
      <c r="J1333" t="s">
        <v>37</v>
      </c>
      <c r="K1333">
        <v>10090</v>
      </c>
      <c r="L1333" s="3" t="str">
        <f>HYPERLINK("http://www.uniprot.org/uniprot/Q8CGK3", "Q8CGK3")</f>
        <v>Q8CGK3</v>
      </c>
      <c r="M1333" t="s">
        <v>15805</v>
      </c>
      <c r="N1333" t="str">
        <f>"Lonp1"</f>
        <v>Lonp1</v>
      </c>
      <c r="O1333" s="3" t="str">
        <f>HYPERLINK("http://www.informatics.jax.org/marker/MGI:1921392", "MGI:1921392")</f>
        <v>MGI:1921392</v>
      </c>
      <c r="P1333" t="s">
        <v>15806</v>
      </c>
      <c r="Q1333" t="s">
        <v>32</v>
      </c>
      <c r="R1333" t="s">
        <v>1038</v>
      </c>
      <c r="S1333" t="s">
        <v>32</v>
      </c>
      <c r="T1333" t="s">
        <v>32</v>
      </c>
      <c r="U1333" t="s">
        <v>32</v>
      </c>
      <c r="V1333" t="s">
        <v>1039</v>
      </c>
      <c r="W1333" t="s">
        <v>205</v>
      </c>
      <c r="X1333" t="s">
        <v>15807</v>
      </c>
      <c r="Y1333" t="s">
        <v>32</v>
      </c>
      <c r="Z1333" t="s">
        <v>32</v>
      </c>
      <c r="AA1333" t="s">
        <v>15808</v>
      </c>
      <c r="AB1333" t="s">
        <v>15809</v>
      </c>
      <c r="AC1333" t="s">
        <v>15810</v>
      </c>
      <c r="AD1333" t="s">
        <v>32</v>
      </c>
      <c r="AE1333" t="s">
        <v>32</v>
      </c>
      <c r="AF1333" t="s">
        <v>46835</v>
      </c>
    </row>
    <row r="1334" spans="1:32" x14ac:dyDescent="0.2">
      <c r="A1334">
        <v>1329</v>
      </c>
      <c r="B1334" t="s">
        <v>15811</v>
      </c>
      <c r="C1334" t="s">
        <v>15812</v>
      </c>
      <c r="D1334" t="s">
        <v>15813</v>
      </c>
      <c r="E1334" t="s">
        <v>15814</v>
      </c>
      <c r="F1334" t="s">
        <v>15815</v>
      </c>
      <c r="G1334" t="s">
        <v>15816</v>
      </c>
      <c r="H1334" t="str">
        <f>"Cst3"</f>
        <v>Cst3</v>
      </c>
      <c r="I1334" t="s">
        <v>32</v>
      </c>
      <c r="J1334" t="s">
        <v>37</v>
      </c>
      <c r="K1334">
        <v>10090</v>
      </c>
      <c r="L1334" s="3" t="str">
        <f>HYPERLINK("http://www.uniprot.org/uniprot/P21460", "P21460")</f>
        <v>P21460</v>
      </c>
      <c r="M1334" t="s">
        <v>15817</v>
      </c>
      <c r="N1334" t="str">
        <f>"Cst3"</f>
        <v>Cst3</v>
      </c>
      <c r="O1334" s="3" t="str">
        <f>HYPERLINK("http://www.informatics.jax.org/marker/MGI:102519", "MGI:102519")</f>
        <v>MGI:102519</v>
      </c>
      <c r="P1334" t="s">
        <v>15818</v>
      </c>
      <c r="Q1334" t="s">
        <v>32</v>
      </c>
      <c r="R1334" t="s">
        <v>630</v>
      </c>
      <c r="S1334" t="s">
        <v>32</v>
      </c>
      <c r="T1334" t="s">
        <v>32</v>
      </c>
      <c r="U1334" t="s">
        <v>32</v>
      </c>
      <c r="V1334" t="s">
        <v>811</v>
      </c>
      <c r="W1334" t="s">
        <v>32</v>
      </c>
      <c r="X1334" t="s">
        <v>14580</v>
      </c>
      <c r="Y1334" t="s">
        <v>494</v>
      </c>
      <c r="Z1334" t="s">
        <v>32</v>
      </c>
      <c r="AA1334" t="s">
        <v>15819</v>
      </c>
      <c r="AB1334" t="s">
        <v>15820</v>
      </c>
      <c r="AC1334" t="s">
        <v>15821</v>
      </c>
      <c r="AD1334" t="s">
        <v>32</v>
      </c>
      <c r="AE1334" t="s">
        <v>15822</v>
      </c>
      <c r="AF1334" t="s">
        <v>46835</v>
      </c>
    </row>
    <row r="1335" spans="1:32" x14ac:dyDescent="0.2">
      <c r="A1335">
        <v>1330</v>
      </c>
      <c r="B1335" t="s">
        <v>15823</v>
      </c>
      <c r="C1335" t="s">
        <v>15824</v>
      </c>
      <c r="D1335" t="s">
        <v>32</v>
      </c>
      <c r="E1335" t="s">
        <v>15825</v>
      </c>
      <c r="F1335" t="s">
        <v>15826</v>
      </c>
      <c r="G1335" t="s">
        <v>32</v>
      </c>
      <c r="H1335" t="str">
        <f>"Dkk3"</f>
        <v>Dkk3</v>
      </c>
      <c r="I1335" t="s">
        <v>32</v>
      </c>
      <c r="J1335" t="s">
        <v>37</v>
      </c>
      <c r="K1335">
        <v>10090</v>
      </c>
      <c r="L1335" s="3" t="str">
        <f>HYPERLINK("http://www.uniprot.org/uniprot/Q9QUN9", "Q9QUN9")</f>
        <v>Q9QUN9</v>
      </c>
      <c r="M1335" t="s">
        <v>15827</v>
      </c>
      <c r="N1335" t="str">
        <f>"Dkk3"</f>
        <v>Dkk3</v>
      </c>
      <c r="O1335" s="3" t="str">
        <f>HYPERLINK("http://www.informatics.jax.org/marker/MGI:1354952", "MGI:1354952")</f>
        <v>MGI:1354952</v>
      </c>
      <c r="P1335" t="s">
        <v>15828</v>
      </c>
      <c r="Q1335" t="s">
        <v>3043</v>
      </c>
      <c r="R1335" t="s">
        <v>630</v>
      </c>
      <c r="S1335" t="s">
        <v>32</v>
      </c>
      <c r="T1335" t="s">
        <v>32</v>
      </c>
      <c r="U1335" t="s">
        <v>32</v>
      </c>
      <c r="V1335" t="s">
        <v>5956</v>
      </c>
      <c r="W1335" t="s">
        <v>32</v>
      </c>
      <c r="X1335" t="s">
        <v>2029</v>
      </c>
      <c r="Y1335" t="s">
        <v>5275</v>
      </c>
      <c r="Z1335" t="s">
        <v>32</v>
      </c>
      <c r="AA1335" t="s">
        <v>15829</v>
      </c>
      <c r="AB1335" t="s">
        <v>15830</v>
      </c>
      <c r="AC1335" t="s">
        <v>15831</v>
      </c>
      <c r="AD1335" t="s">
        <v>32</v>
      </c>
      <c r="AE1335" t="s">
        <v>32</v>
      </c>
      <c r="AF1335" t="s">
        <v>46835</v>
      </c>
    </row>
    <row r="1336" spans="1:32" x14ac:dyDescent="0.2">
      <c r="A1336">
        <v>1331</v>
      </c>
      <c r="B1336" t="s">
        <v>15832</v>
      </c>
      <c r="C1336" t="s">
        <v>15833</v>
      </c>
      <c r="D1336" t="s">
        <v>15834</v>
      </c>
      <c r="E1336" t="s">
        <v>15835</v>
      </c>
      <c r="F1336" t="s">
        <v>15836</v>
      </c>
      <c r="G1336" t="s">
        <v>15837</v>
      </c>
      <c r="H1336" t="str">
        <f>"Lypla2"</f>
        <v>Lypla2</v>
      </c>
      <c r="I1336" t="s">
        <v>32</v>
      </c>
      <c r="J1336" t="s">
        <v>37</v>
      </c>
      <c r="K1336">
        <v>10090</v>
      </c>
      <c r="L1336" s="3" t="str">
        <f>HYPERLINK("http://www.uniprot.org/uniprot/Q9WTL7", "Q9WTL7")</f>
        <v>Q9WTL7</v>
      </c>
      <c r="M1336" t="s">
        <v>15838</v>
      </c>
      <c r="N1336" t="str">
        <f>"Lypla2"</f>
        <v>Lypla2</v>
      </c>
      <c r="O1336" s="3" t="str">
        <f>HYPERLINK("http://www.informatics.jax.org/marker/MGI:1347000", "MGI:1347000")</f>
        <v>MGI:1347000</v>
      </c>
      <c r="P1336" t="s">
        <v>15839</v>
      </c>
      <c r="Q1336" t="s">
        <v>6214</v>
      </c>
      <c r="R1336" t="s">
        <v>418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343</v>
      </c>
      <c r="Y1336" t="s">
        <v>15840</v>
      </c>
      <c r="Z1336" t="s">
        <v>32</v>
      </c>
      <c r="AA1336" t="s">
        <v>15841</v>
      </c>
      <c r="AB1336" t="s">
        <v>15842</v>
      </c>
      <c r="AC1336" t="s">
        <v>15843</v>
      </c>
      <c r="AD1336" t="s">
        <v>32</v>
      </c>
      <c r="AE1336" t="s">
        <v>15844</v>
      </c>
      <c r="AF1336" t="s">
        <v>46835</v>
      </c>
    </row>
    <row r="1337" spans="1:32" x14ac:dyDescent="0.2">
      <c r="A1337">
        <v>1332</v>
      </c>
      <c r="B1337" t="s">
        <v>15845</v>
      </c>
      <c r="C1337" t="s">
        <v>15846</v>
      </c>
      <c r="D1337" t="s">
        <v>32</v>
      </c>
      <c r="E1337" t="s">
        <v>15847</v>
      </c>
      <c r="F1337" t="s">
        <v>15848</v>
      </c>
      <c r="G1337" t="s">
        <v>15849</v>
      </c>
      <c r="H1337" t="str">
        <f>"Sdk2"</f>
        <v>Sdk2</v>
      </c>
      <c r="I1337" t="s">
        <v>32</v>
      </c>
      <c r="J1337" t="s">
        <v>37</v>
      </c>
      <c r="K1337">
        <v>10090</v>
      </c>
      <c r="L1337" s="3" t="str">
        <f>HYPERLINK("http://www.uniprot.org/uniprot/Q6V4S5", "Q6V4S5")</f>
        <v>Q6V4S5</v>
      </c>
      <c r="M1337" t="s">
        <v>15850</v>
      </c>
      <c r="N1337" t="str">
        <f>"Sdk2"</f>
        <v>Sdk2</v>
      </c>
      <c r="O1337" s="3" t="str">
        <f>HYPERLINK("http://www.informatics.jax.org/marker/MGI:2443847", "MGI:2443847")</f>
        <v>MGI:2443847</v>
      </c>
      <c r="P1337" t="s">
        <v>15851</v>
      </c>
      <c r="Q1337" t="s">
        <v>2784</v>
      </c>
      <c r="R1337" t="s">
        <v>6252</v>
      </c>
      <c r="S1337" t="s">
        <v>41</v>
      </c>
      <c r="T1337" t="s">
        <v>32</v>
      </c>
      <c r="U1337" t="s">
        <v>32</v>
      </c>
      <c r="V1337" t="s">
        <v>2864</v>
      </c>
      <c r="W1337" t="s">
        <v>32</v>
      </c>
      <c r="X1337" t="s">
        <v>32</v>
      </c>
      <c r="Y1337" t="s">
        <v>5275</v>
      </c>
      <c r="Z1337" t="s">
        <v>126</v>
      </c>
      <c r="AA1337" t="s">
        <v>15852</v>
      </c>
      <c r="AB1337" t="s">
        <v>15853</v>
      </c>
      <c r="AC1337" t="s">
        <v>32</v>
      </c>
      <c r="AD1337" t="s">
        <v>32</v>
      </c>
      <c r="AE1337" t="s">
        <v>15854</v>
      </c>
      <c r="AF1337" t="s">
        <v>46835</v>
      </c>
    </row>
    <row r="1338" spans="1:32" x14ac:dyDescent="0.2">
      <c r="A1338">
        <v>1333</v>
      </c>
      <c r="B1338" t="s">
        <v>15855</v>
      </c>
      <c r="C1338" t="s">
        <v>15856</v>
      </c>
      <c r="D1338" t="s">
        <v>32</v>
      </c>
      <c r="E1338" t="s">
        <v>15857</v>
      </c>
      <c r="F1338" t="s">
        <v>15858</v>
      </c>
      <c r="G1338" t="s">
        <v>32</v>
      </c>
      <c r="H1338" t="str">
        <f>"Klc2"</f>
        <v>Klc2</v>
      </c>
      <c r="I1338" t="s">
        <v>32</v>
      </c>
      <c r="J1338" t="s">
        <v>37</v>
      </c>
      <c r="K1338">
        <v>10090</v>
      </c>
      <c r="L1338" s="3" t="str">
        <f>HYPERLINK("http://www.uniprot.org/uniprot/O88448", "O88448")</f>
        <v>O88448</v>
      </c>
      <c r="M1338" t="s">
        <v>15859</v>
      </c>
      <c r="N1338" t="str">
        <f>"Klc2"</f>
        <v>Klc2</v>
      </c>
      <c r="O1338" s="3" t="str">
        <f>HYPERLINK("http://www.informatics.jax.org/marker/MGI:107953", "MGI:107953")</f>
        <v>MGI:107953</v>
      </c>
      <c r="P1338" t="s">
        <v>15860</v>
      </c>
      <c r="Q1338" t="s">
        <v>32</v>
      </c>
      <c r="R1338" t="s">
        <v>6290</v>
      </c>
      <c r="S1338" t="s">
        <v>32</v>
      </c>
      <c r="T1338" t="s">
        <v>32</v>
      </c>
      <c r="U1338" t="s">
        <v>32</v>
      </c>
      <c r="V1338" t="s">
        <v>4559</v>
      </c>
      <c r="W1338" t="s">
        <v>32</v>
      </c>
      <c r="X1338" t="s">
        <v>830</v>
      </c>
      <c r="Y1338" t="s">
        <v>618</v>
      </c>
      <c r="Z1338" t="s">
        <v>126</v>
      </c>
      <c r="AA1338" t="s">
        <v>15861</v>
      </c>
      <c r="AB1338" t="s">
        <v>15862</v>
      </c>
      <c r="AC1338" t="s">
        <v>5235</v>
      </c>
      <c r="AD1338" t="s">
        <v>32</v>
      </c>
      <c r="AE1338" t="s">
        <v>6294</v>
      </c>
      <c r="AF1338" t="s">
        <v>46835</v>
      </c>
    </row>
    <row r="1339" spans="1:32" x14ac:dyDescent="0.2">
      <c r="A1339">
        <v>1334</v>
      </c>
      <c r="B1339" t="s">
        <v>15863</v>
      </c>
      <c r="C1339" t="s">
        <v>15864</v>
      </c>
      <c r="D1339" t="s">
        <v>15865</v>
      </c>
      <c r="E1339" t="s">
        <v>15866</v>
      </c>
      <c r="F1339" t="s">
        <v>15867</v>
      </c>
      <c r="G1339" t="s">
        <v>15868</v>
      </c>
      <c r="H1339" t="str">
        <f>"Ipo9"</f>
        <v>Ipo9</v>
      </c>
      <c r="I1339" t="s">
        <v>32</v>
      </c>
      <c r="J1339" t="s">
        <v>37</v>
      </c>
      <c r="K1339">
        <v>10090</v>
      </c>
      <c r="L1339" s="3" t="str">
        <f>HYPERLINK("http://www.uniprot.org/uniprot/Q91YE6", "Q91YE6")</f>
        <v>Q91YE6</v>
      </c>
      <c r="M1339" t="s">
        <v>15869</v>
      </c>
      <c r="N1339" t="str">
        <f>"Ipo9"</f>
        <v>Ipo9</v>
      </c>
      <c r="O1339" s="3" t="str">
        <f>HYPERLINK("http://www.informatics.jax.org/marker/MGI:1918944", "MGI:1918944")</f>
        <v>MGI:1918944</v>
      </c>
      <c r="P1339" t="s">
        <v>15870</v>
      </c>
      <c r="Q1339" t="s">
        <v>434</v>
      </c>
      <c r="R1339" t="s">
        <v>40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388</v>
      </c>
      <c r="Y1339" t="s">
        <v>78</v>
      </c>
      <c r="Z1339" t="s">
        <v>32</v>
      </c>
      <c r="AA1339" t="s">
        <v>15871</v>
      </c>
      <c r="AB1339" t="s">
        <v>15872</v>
      </c>
      <c r="AC1339" t="s">
        <v>15873</v>
      </c>
      <c r="AD1339" t="s">
        <v>32</v>
      </c>
      <c r="AE1339" t="s">
        <v>32</v>
      </c>
      <c r="AF1339" t="s">
        <v>46835</v>
      </c>
    </row>
    <row r="1340" spans="1:32" x14ac:dyDescent="0.2">
      <c r="A1340">
        <v>1335</v>
      </c>
      <c r="B1340" t="s">
        <v>15874</v>
      </c>
      <c r="C1340" t="s">
        <v>15875</v>
      </c>
      <c r="D1340" t="s">
        <v>15876</v>
      </c>
      <c r="E1340" t="s">
        <v>15877</v>
      </c>
      <c r="F1340" t="s">
        <v>15878</v>
      </c>
      <c r="G1340" t="s">
        <v>32</v>
      </c>
      <c r="H1340" t="str">
        <f>"Sec11a"</f>
        <v>Sec11a</v>
      </c>
      <c r="I1340" t="s">
        <v>15879</v>
      </c>
      <c r="J1340" t="s">
        <v>37</v>
      </c>
      <c r="K1340">
        <v>10090</v>
      </c>
      <c r="L1340" s="3" t="str">
        <f>HYPERLINK("http://www.uniprot.org/uniprot/Q9R0P6", "Q9R0P6")</f>
        <v>Q9R0P6</v>
      </c>
      <c r="M1340" t="s">
        <v>15880</v>
      </c>
      <c r="N1340" t="str">
        <f>"Sec11a"</f>
        <v>Sec11a</v>
      </c>
      <c r="O1340" s="3" t="str">
        <f>HYPERLINK("http://www.informatics.jax.org/marker/MGI:1929464", "MGI:1929464")</f>
        <v>MGI:1929464</v>
      </c>
      <c r="P1340" t="s">
        <v>15881</v>
      </c>
      <c r="Q1340" t="s">
        <v>32</v>
      </c>
      <c r="R1340" t="s">
        <v>1664</v>
      </c>
      <c r="S1340" t="s">
        <v>32</v>
      </c>
      <c r="T1340" t="s">
        <v>32</v>
      </c>
      <c r="U1340" t="s">
        <v>32</v>
      </c>
      <c r="V1340" t="s">
        <v>1550</v>
      </c>
      <c r="W1340" t="s">
        <v>32</v>
      </c>
      <c r="X1340" t="s">
        <v>13667</v>
      </c>
      <c r="Y1340" t="s">
        <v>32</v>
      </c>
      <c r="Z1340" t="s">
        <v>32</v>
      </c>
      <c r="AA1340" t="s">
        <v>15882</v>
      </c>
      <c r="AB1340" t="s">
        <v>15883</v>
      </c>
      <c r="AC1340" t="s">
        <v>15884</v>
      </c>
      <c r="AD1340" t="s">
        <v>32</v>
      </c>
      <c r="AE1340" t="s">
        <v>12787</v>
      </c>
      <c r="AF1340" t="s">
        <v>46835</v>
      </c>
    </row>
    <row r="1341" spans="1:32" x14ac:dyDescent="0.2">
      <c r="A1341">
        <v>1336</v>
      </c>
      <c r="B1341" t="s">
        <v>15885</v>
      </c>
      <c r="C1341" t="s">
        <v>15886</v>
      </c>
      <c r="D1341" t="s">
        <v>15887</v>
      </c>
      <c r="E1341" t="s">
        <v>15888</v>
      </c>
      <c r="F1341" t="s">
        <v>15889</v>
      </c>
      <c r="G1341" t="s">
        <v>32</v>
      </c>
      <c r="H1341" t="str">
        <f>"Atp5f1d"</f>
        <v>Atp5f1d</v>
      </c>
      <c r="I1341" t="s">
        <v>15890</v>
      </c>
      <c r="J1341" t="s">
        <v>37</v>
      </c>
      <c r="K1341">
        <v>10090</v>
      </c>
      <c r="L1341" s="3" t="str">
        <f>HYPERLINK("http://www.uniprot.org/uniprot/Q9D3D9", "Q9D3D9")</f>
        <v>Q9D3D9</v>
      </c>
      <c r="M1341" t="s">
        <v>15891</v>
      </c>
      <c r="N1341" t="str">
        <f>"Atp5d"</f>
        <v>Atp5d</v>
      </c>
      <c r="O1341" s="3" t="str">
        <f>HYPERLINK("http://www.informatics.jax.org/marker/MGI:1913293", "MGI:1913293")</f>
        <v>MGI:1913293</v>
      </c>
      <c r="P1341" t="s">
        <v>15892</v>
      </c>
      <c r="Q1341" t="s">
        <v>1142</v>
      </c>
      <c r="R1341" t="s">
        <v>1505</v>
      </c>
      <c r="S1341" t="s">
        <v>32</v>
      </c>
      <c r="T1341" t="s">
        <v>32</v>
      </c>
      <c r="U1341" t="s">
        <v>32</v>
      </c>
      <c r="V1341" t="s">
        <v>1039</v>
      </c>
      <c r="W1341" t="s">
        <v>32</v>
      </c>
      <c r="X1341" t="s">
        <v>32</v>
      </c>
      <c r="Y1341" t="s">
        <v>78</v>
      </c>
      <c r="Z1341" t="s">
        <v>32</v>
      </c>
      <c r="AA1341" t="s">
        <v>15893</v>
      </c>
      <c r="AB1341" t="s">
        <v>15894</v>
      </c>
      <c r="AC1341" t="s">
        <v>15895</v>
      </c>
      <c r="AD1341" t="s">
        <v>32</v>
      </c>
      <c r="AE1341" t="s">
        <v>1147</v>
      </c>
      <c r="AF1341" t="s">
        <v>46835</v>
      </c>
    </row>
    <row r="1342" spans="1:32" x14ac:dyDescent="0.2">
      <c r="A1342">
        <v>1337</v>
      </c>
      <c r="B1342" t="s">
        <v>15896</v>
      </c>
      <c r="C1342" t="s">
        <v>15897</v>
      </c>
      <c r="D1342" t="s">
        <v>15898</v>
      </c>
      <c r="E1342" t="s">
        <v>15899</v>
      </c>
      <c r="F1342" t="s">
        <v>15900</v>
      </c>
      <c r="G1342" t="s">
        <v>15901</v>
      </c>
      <c r="H1342" t="str">
        <f>"Bag5"</f>
        <v>Bag5</v>
      </c>
      <c r="I1342" t="s">
        <v>32</v>
      </c>
      <c r="J1342" t="s">
        <v>37</v>
      </c>
      <c r="K1342">
        <v>10090</v>
      </c>
      <c r="L1342" s="3" t="str">
        <f>HYPERLINK("http://www.uniprot.org/uniprot/Q8CI32", "Q8CI32")</f>
        <v>Q8CI32</v>
      </c>
      <c r="M1342" t="s">
        <v>15902</v>
      </c>
      <c r="N1342" t="str">
        <f>"Bag5"</f>
        <v>Bag5</v>
      </c>
      <c r="O1342" s="3" t="str">
        <f>HYPERLINK("http://www.informatics.jax.org/marker/MGI:1917619", "MGI:1917619")</f>
        <v>MGI:1917619</v>
      </c>
      <c r="P1342" t="s">
        <v>15903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 t="s">
        <v>55</v>
      </c>
      <c r="W1342" t="s">
        <v>32</v>
      </c>
      <c r="X1342" t="s">
        <v>388</v>
      </c>
      <c r="Y1342" t="s">
        <v>32</v>
      </c>
      <c r="Z1342" t="s">
        <v>126</v>
      </c>
      <c r="AA1342" t="s">
        <v>15904</v>
      </c>
      <c r="AB1342" t="s">
        <v>15905</v>
      </c>
      <c r="AC1342" t="s">
        <v>15906</v>
      </c>
      <c r="AD1342" t="s">
        <v>32</v>
      </c>
      <c r="AE1342" t="s">
        <v>1445</v>
      </c>
      <c r="AF1342" t="s">
        <v>46835</v>
      </c>
    </row>
    <row r="1343" spans="1:32" x14ac:dyDescent="0.2">
      <c r="A1343">
        <v>1338</v>
      </c>
      <c r="B1343" t="s">
        <v>15907</v>
      </c>
      <c r="C1343" t="s">
        <v>15908</v>
      </c>
      <c r="D1343" t="s">
        <v>32</v>
      </c>
      <c r="E1343" t="s">
        <v>15909</v>
      </c>
      <c r="F1343" t="s">
        <v>15910</v>
      </c>
      <c r="G1343" t="s">
        <v>15911</v>
      </c>
      <c r="H1343" t="str">
        <f>"Wdr82"</f>
        <v>Wdr82</v>
      </c>
      <c r="I1343" t="s">
        <v>32</v>
      </c>
      <c r="J1343" t="s">
        <v>37</v>
      </c>
      <c r="K1343">
        <v>10090</v>
      </c>
      <c r="L1343" s="3" t="str">
        <f>HYPERLINK("http://www.uniprot.org/uniprot/Q8BFQ4", "Q8BFQ4")</f>
        <v>Q8BFQ4</v>
      </c>
      <c r="M1343" t="s">
        <v>15912</v>
      </c>
      <c r="N1343" t="str">
        <f>"Wdr82"</f>
        <v>Wdr82</v>
      </c>
      <c r="O1343" s="3" t="str">
        <f>HYPERLINK("http://www.informatics.jax.org/marker/MGI:1924555", "MGI:1924555")</f>
        <v>MGI:1924555</v>
      </c>
      <c r="P1343" t="s">
        <v>15913</v>
      </c>
      <c r="Q1343" t="s">
        <v>15914</v>
      </c>
      <c r="R1343" t="s">
        <v>1939</v>
      </c>
      <c r="S1343" t="s">
        <v>32</v>
      </c>
      <c r="T1343" t="s">
        <v>32</v>
      </c>
      <c r="U1343" t="s">
        <v>32</v>
      </c>
      <c r="V1343" t="s">
        <v>1910</v>
      </c>
      <c r="W1343" t="s">
        <v>32</v>
      </c>
      <c r="X1343" t="s">
        <v>32</v>
      </c>
      <c r="Y1343" t="s">
        <v>32</v>
      </c>
      <c r="Z1343" t="s">
        <v>32</v>
      </c>
      <c r="AA1343" t="s">
        <v>15915</v>
      </c>
      <c r="AB1343" t="s">
        <v>15916</v>
      </c>
      <c r="AC1343" t="s">
        <v>15917</v>
      </c>
      <c r="AD1343" t="s">
        <v>32</v>
      </c>
      <c r="AE1343" t="s">
        <v>32</v>
      </c>
      <c r="AF1343" t="s">
        <v>46835</v>
      </c>
    </row>
    <row r="1344" spans="1:32" x14ac:dyDescent="0.2">
      <c r="A1344">
        <v>1339</v>
      </c>
      <c r="B1344" t="s">
        <v>15918</v>
      </c>
      <c r="C1344" t="s">
        <v>15919</v>
      </c>
      <c r="D1344" t="s">
        <v>15920</v>
      </c>
      <c r="E1344" t="s">
        <v>15921</v>
      </c>
      <c r="F1344" t="s">
        <v>15922</v>
      </c>
      <c r="G1344" t="s">
        <v>32</v>
      </c>
      <c r="H1344" t="str">
        <f>"Ndufv1"</f>
        <v>Ndufv1</v>
      </c>
      <c r="I1344" t="s">
        <v>32</v>
      </c>
      <c r="J1344" t="s">
        <v>37</v>
      </c>
      <c r="K1344">
        <v>10090</v>
      </c>
      <c r="L1344" s="3" t="str">
        <f>HYPERLINK("http://www.uniprot.org/uniprot/Q91YT0", "Q91YT0")</f>
        <v>Q91YT0</v>
      </c>
      <c r="M1344" t="s">
        <v>15923</v>
      </c>
      <c r="N1344" t="str">
        <f>"Ndufv1"</f>
        <v>Ndufv1</v>
      </c>
      <c r="O1344" s="3" t="str">
        <f>HYPERLINK("http://www.informatics.jax.org/marker/MGI:107851", "MGI:107851")</f>
        <v>MGI:107851</v>
      </c>
      <c r="P1344" t="s">
        <v>15924</v>
      </c>
      <c r="Q1344" t="s">
        <v>6888</v>
      </c>
      <c r="R1344" t="s">
        <v>3858</v>
      </c>
      <c r="S1344" t="s">
        <v>32</v>
      </c>
      <c r="T1344" t="s">
        <v>32</v>
      </c>
      <c r="U1344" t="s">
        <v>32</v>
      </c>
      <c r="V1344" t="s">
        <v>1039</v>
      </c>
      <c r="W1344" t="s">
        <v>15925</v>
      </c>
      <c r="X1344" t="s">
        <v>10466</v>
      </c>
      <c r="Y1344" t="s">
        <v>57</v>
      </c>
      <c r="Z1344" t="s">
        <v>126</v>
      </c>
      <c r="AA1344" t="s">
        <v>15926</v>
      </c>
      <c r="AB1344" t="s">
        <v>15927</v>
      </c>
      <c r="AC1344" t="s">
        <v>15928</v>
      </c>
      <c r="AD1344" t="s">
        <v>32</v>
      </c>
      <c r="AE1344" t="s">
        <v>10470</v>
      </c>
      <c r="AF1344" t="s">
        <v>46835</v>
      </c>
    </row>
    <row r="1345" spans="1:33" x14ac:dyDescent="0.2">
      <c r="A1345">
        <v>1340</v>
      </c>
      <c r="B1345" t="s">
        <v>15929</v>
      </c>
      <c r="C1345" t="s">
        <v>47212</v>
      </c>
      <c r="D1345" t="s">
        <v>32</v>
      </c>
      <c r="E1345" t="s">
        <v>46894</v>
      </c>
      <c r="F1345" t="s">
        <v>46893</v>
      </c>
      <c r="G1345" t="s">
        <v>32</v>
      </c>
      <c r="H1345" t="s">
        <v>47345</v>
      </c>
      <c r="I1345" t="s">
        <v>32</v>
      </c>
      <c r="J1345" t="s">
        <v>37</v>
      </c>
      <c r="K1345">
        <v>10090</v>
      </c>
      <c r="L1345" s="3" t="str">
        <f>HYPERLINK(CONCATENATE("https://www.uniprot.org/uniprotkb/", AG1345, "/entry"), AG1345)</f>
        <v>B9EJX2</v>
      </c>
      <c r="M1345" t="s">
        <v>32</v>
      </c>
      <c r="N1345" t="s">
        <v>32</v>
      </c>
      <c r="O1345" s="3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t="s">
        <v>32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t="s">
        <v>46835</v>
      </c>
      <c r="AG1345" t="s">
        <v>46893</v>
      </c>
    </row>
    <row r="1346" spans="1:33" x14ac:dyDescent="0.2">
      <c r="A1346">
        <v>1341</v>
      </c>
      <c r="B1346" t="s">
        <v>15930</v>
      </c>
      <c r="C1346" t="s">
        <v>15931</v>
      </c>
      <c r="D1346" t="s">
        <v>15932</v>
      </c>
      <c r="E1346" t="s">
        <v>15933</v>
      </c>
      <c r="F1346" t="s">
        <v>15934</v>
      </c>
      <c r="G1346" t="s">
        <v>15935</v>
      </c>
      <c r="H1346" t="str">
        <f>"Grpel1"</f>
        <v>Grpel1</v>
      </c>
      <c r="I1346" t="s">
        <v>32</v>
      </c>
      <c r="J1346" t="s">
        <v>37</v>
      </c>
      <c r="K1346">
        <v>10090</v>
      </c>
      <c r="L1346" s="3" t="str">
        <f>HYPERLINK("http://www.uniprot.org/uniprot/Q99LP6", "Q99LP6")</f>
        <v>Q99LP6</v>
      </c>
      <c r="M1346" t="s">
        <v>15936</v>
      </c>
      <c r="N1346" t="str">
        <f>"Grpel1"</f>
        <v>Grpel1</v>
      </c>
      <c r="O1346" s="3" t="str">
        <f>HYPERLINK("http://www.informatics.jax.org/marker/MGI:1334417", "MGI:1334417")</f>
        <v>MGI:1334417</v>
      </c>
      <c r="P1346" t="s">
        <v>15937</v>
      </c>
      <c r="Q1346" t="s">
        <v>32</v>
      </c>
      <c r="R1346" t="s">
        <v>1038</v>
      </c>
      <c r="S1346" t="s">
        <v>32</v>
      </c>
      <c r="T1346" t="s">
        <v>32</v>
      </c>
      <c r="U1346" t="s">
        <v>32</v>
      </c>
      <c r="V1346" t="s">
        <v>1039</v>
      </c>
      <c r="W1346" t="s">
        <v>32</v>
      </c>
      <c r="X1346" t="s">
        <v>388</v>
      </c>
      <c r="Y1346" t="s">
        <v>78</v>
      </c>
      <c r="Z1346" t="s">
        <v>32</v>
      </c>
      <c r="AA1346" t="s">
        <v>15938</v>
      </c>
      <c r="AB1346" t="s">
        <v>15939</v>
      </c>
      <c r="AC1346" t="s">
        <v>15940</v>
      </c>
      <c r="AD1346" t="s">
        <v>32</v>
      </c>
      <c r="AE1346" t="s">
        <v>32</v>
      </c>
      <c r="AF1346" t="s">
        <v>46835</v>
      </c>
    </row>
    <row r="1347" spans="1:33" x14ac:dyDescent="0.2">
      <c r="A1347">
        <v>1342</v>
      </c>
      <c r="B1347" t="s">
        <v>15941</v>
      </c>
      <c r="C1347" t="s">
        <v>15942</v>
      </c>
      <c r="D1347" t="s">
        <v>15943</v>
      </c>
      <c r="E1347" t="s">
        <v>15944</v>
      </c>
      <c r="F1347" t="s">
        <v>15945</v>
      </c>
      <c r="G1347" t="s">
        <v>15946</v>
      </c>
      <c r="H1347" t="str">
        <f>"Dync1i2"</f>
        <v>Dync1i2</v>
      </c>
      <c r="I1347" t="s">
        <v>15947</v>
      </c>
      <c r="J1347" t="s">
        <v>37</v>
      </c>
      <c r="K1347">
        <v>10090</v>
      </c>
      <c r="L1347" s="3" t="str">
        <f>HYPERLINK("http://www.uniprot.org/uniprot/O88487", "O88487")</f>
        <v>O88487</v>
      </c>
      <c r="M1347" t="s">
        <v>15948</v>
      </c>
      <c r="N1347" t="str">
        <f>"Dync1i2"</f>
        <v>Dync1i2</v>
      </c>
      <c r="O1347" s="3" t="str">
        <f>HYPERLINK("http://www.informatics.jax.org/marker/MGI:107750", "MGI:107750")</f>
        <v>MGI:107750</v>
      </c>
      <c r="P1347" t="s">
        <v>15949</v>
      </c>
      <c r="Q1347" t="s">
        <v>4425</v>
      </c>
      <c r="R1347" t="s">
        <v>828</v>
      </c>
      <c r="S1347" t="s">
        <v>32</v>
      </c>
      <c r="T1347" t="s">
        <v>32</v>
      </c>
      <c r="U1347" t="s">
        <v>32</v>
      </c>
      <c r="V1347" t="s">
        <v>1910</v>
      </c>
      <c r="W1347" t="s">
        <v>32</v>
      </c>
      <c r="X1347" t="s">
        <v>830</v>
      </c>
      <c r="Y1347" t="s">
        <v>157</v>
      </c>
      <c r="Z1347" t="s">
        <v>32</v>
      </c>
      <c r="AA1347" t="s">
        <v>15950</v>
      </c>
      <c r="AB1347" t="s">
        <v>15951</v>
      </c>
      <c r="AC1347" t="s">
        <v>15952</v>
      </c>
      <c r="AD1347" t="s">
        <v>32</v>
      </c>
      <c r="AE1347" t="s">
        <v>15953</v>
      </c>
      <c r="AF1347" t="s">
        <v>46835</v>
      </c>
    </row>
    <row r="1348" spans="1:33" x14ac:dyDescent="0.2">
      <c r="A1348">
        <v>1343</v>
      </c>
      <c r="B1348" t="s">
        <v>15954</v>
      </c>
      <c r="C1348" t="s">
        <v>15955</v>
      </c>
      <c r="D1348" t="s">
        <v>15956</v>
      </c>
      <c r="E1348" t="s">
        <v>15957</v>
      </c>
      <c r="F1348" t="s">
        <v>15958</v>
      </c>
      <c r="G1348" t="s">
        <v>15959</v>
      </c>
      <c r="H1348" t="str">
        <f>"Crocc"</f>
        <v>Crocc</v>
      </c>
      <c r="I1348" t="s">
        <v>32</v>
      </c>
      <c r="J1348" t="s">
        <v>37</v>
      </c>
      <c r="K1348">
        <v>10090</v>
      </c>
      <c r="L1348" s="3" t="str">
        <f>HYPERLINK("http://www.uniprot.org/uniprot/Q8CJ40", "Q8CJ40")</f>
        <v>Q8CJ40</v>
      </c>
      <c r="M1348" t="s">
        <v>15960</v>
      </c>
      <c r="N1348" t="str">
        <f>"Crocc"</f>
        <v>Crocc</v>
      </c>
      <c r="O1348" s="3" t="str">
        <f>HYPERLINK("http://www.informatics.jax.org/marker/MGI:3529431", "MGI:3529431")</f>
        <v>MGI:3529431</v>
      </c>
      <c r="P1348" t="s">
        <v>15961</v>
      </c>
      <c r="Q1348" t="s">
        <v>15962</v>
      </c>
      <c r="R1348" t="s">
        <v>1223</v>
      </c>
      <c r="S1348" t="s">
        <v>41</v>
      </c>
      <c r="T1348" t="s">
        <v>32</v>
      </c>
      <c r="U1348" t="s">
        <v>32</v>
      </c>
      <c r="V1348" t="s">
        <v>290</v>
      </c>
      <c r="W1348" t="s">
        <v>32</v>
      </c>
      <c r="X1348" t="s">
        <v>32</v>
      </c>
      <c r="Y1348" t="s">
        <v>618</v>
      </c>
      <c r="Z1348" t="s">
        <v>32</v>
      </c>
      <c r="AA1348" t="s">
        <v>15963</v>
      </c>
      <c r="AB1348" t="s">
        <v>15964</v>
      </c>
      <c r="AC1348" t="s">
        <v>15965</v>
      </c>
      <c r="AD1348" t="s">
        <v>32</v>
      </c>
      <c r="AE1348" t="s">
        <v>32</v>
      </c>
      <c r="AF1348" t="s">
        <v>46835</v>
      </c>
    </row>
    <row r="1349" spans="1:33" x14ac:dyDescent="0.2">
      <c r="A1349">
        <v>1344</v>
      </c>
      <c r="B1349" t="s">
        <v>15966</v>
      </c>
      <c r="C1349" t="s">
        <v>15967</v>
      </c>
      <c r="D1349" t="s">
        <v>15968</v>
      </c>
      <c r="E1349" t="s">
        <v>15969</v>
      </c>
      <c r="F1349" t="s">
        <v>15970</v>
      </c>
      <c r="G1349" t="s">
        <v>15971</v>
      </c>
      <c r="H1349" t="str">
        <f>"Tsnax"</f>
        <v>Tsnax</v>
      </c>
      <c r="I1349" t="s">
        <v>15972</v>
      </c>
      <c r="J1349" t="s">
        <v>37</v>
      </c>
      <c r="K1349">
        <v>10090</v>
      </c>
      <c r="L1349" s="3" t="str">
        <f>HYPERLINK("http://www.uniprot.org/uniprot/Q9QZE7", "Q9QZE7")</f>
        <v>Q9QZE7</v>
      </c>
      <c r="M1349" t="s">
        <v>15973</v>
      </c>
      <c r="N1349" t="str">
        <f>"Tsnax"</f>
        <v>Tsnax</v>
      </c>
      <c r="O1349" s="3" t="str">
        <f>HYPERLINK("http://www.informatics.jax.org/marker/MGI:1855672", "MGI:1855672")</f>
        <v>MGI:1855672</v>
      </c>
      <c r="P1349" t="s">
        <v>15974</v>
      </c>
      <c r="Q1349" t="s">
        <v>615</v>
      </c>
      <c r="R1349" t="s">
        <v>9392</v>
      </c>
      <c r="S1349" t="s">
        <v>32</v>
      </c>
      <c r="T1349" t="s">
        <v>32</v>
      </c>
      <c r="U1349" t="s">
        <v>32</v>
      </c>
      <c r="V1349" t="s">
        <v>32</v>
      </c>
      <c r="W1349" t="s">
        <v>223</v>
      </c>
      <c r="X1349" t="s">
        <v>3912</v>
      </c>
      <c r="Y1349" t="s">
        <v>7792</v>
      </c>
      <c r="Z1349" t="s">
        <v>32</v>
      </c>
      <c r="AA1349" t="s">
        <v>15975</v>
      </c>
      <c r="AB1349" t="s">
        <v>15976</v>
      </c>
      <c r="AC1349" t="s">
        <v>15977</v>
      </c>
      <c r="AD1349" t="s">
        <v>32</v>
      </c>
      <c r="AE1349" t="s">
        <v>9610</v>
      </c>
      <c r="AF1349" t="s">
        <v>46835</v>
      </c>
    </row>
    <row r="1350" spans="1:33" x14ac:dyDescent="0.2">
      <c r="A1350">
        <v>1345</v>
      </c>
      <c r="B1350" t="s">
        <v>15978</v>
      </c>
      <c r="C1350" t="s">
        <v>15979</v>
      </c>
      <c r="D1350" t="s">
        <v>15980</v>
      </c>
      <c r="E1350" t="s">
        <v>15981</v>
      </c>
      <c r="F1350" t="s">
        <v>15982</v>
      </c>
      <c r="G1350" t="s">
        <v>15983</v>
      </c>
      <c r="H1350" t="str">
        <f>"Npc2"</f>
        <v>Npc2</v>
      </c>
      <c r="I1350" t="s">
        <v>32</v>
      </c>
      <c r="J1350" t="s">
        <v>37</v>
      </c>
      <c r="K1350">
        <v>10090</v>
      </c>
      <c r="L1350" s="3" t="str">
        <f>HYPERLINK("http://www.uniprot.org/uniprot/Q9Z0J0", "Q9Z0J0")</f>
        <v>Q9Z0J0</v>
      </c>
      <c r="M1350" t="s">
        <v>15984</v>
      </c>
      <c r="N1350" t="str">
        <f>"Npc2"</f>
        <v>Npc2</v>
      </c>
      <c r="O1350" s="3" t="str">
        <f>HYPERLINK("http://www.informatics.jax.org/marker/MGI:1915213", "MGI:1915213")</f>
        <v>MGI:1915213</v>
      </c>
      <c r="P1350" t="s">
        <v>15985</v>
      </c>
      <c r="Q1350" t="s">
        <v>4164</v>
      </c>
      <c r="R1350" t="s">
        <v>15986</v>
      </c>
      <c r="S1350" t="s">
        <v>32</v>
      </c>
      <c r="T1350" t="s">
        <v>32</v>
      </c>
      <c r="U1350" t="s">
        <v>32</v>
      </c>
      <c r="V1350" t="s">
        <v>811</v>
      </c>
      <c r="W1350" t="s">
        <v>32</v>
      </c>
      <c r="X1350" t="s">
        <v>32</v>
      </c>
      <c r="Y1350" t="s">
        <v>1066</v>
      </c>
      <c r="Z1350" t="s">
        <v>32</v>
      </c>
      <c r="AA1350" t="s">
        <v>15987</v>
      </c>
      <c r="AB1350" t="s">
        <v>15988</v>
      </c>
      <c r="AC1350" t="s">
        <v>15989</v>
      </c>
      <c r="AD1350" t="s">
        <v>32</v>
      </c>
      <c r="AE1350" t="s">
        <v>15990</v>
      </c>
      <c r="AF1350" t="s">
        <v>46835</v>
      </c>
    </row>
    <row r="1351" spans="1:33" x14ac:dyDescent="0.2">
      <c r="A1351">
        <v>1346</v>
      </c>
      <c r="B1351" t="s">
        <v>15991</v>
      </c>
      <c r="C1351" t="s">
        <v>15992</v>
      </c>
      <c r="D1351" t="s">
        <v>32</v>
      </c>
      <c r="E1351" t="s">
        <v>15993</v>
      </c>
      <c r="F1351" t="s">
        <v>15994</v>
      </c>
      <c r="G1351" t="s">
        <v>15995</v>
      </c>
      <c r="H1351" t="str">
        <f>"Hmox2"</f>
        <v>Hmox2</v>
      </c>
      <c r="I1351" t="s">
        <v>32</v>
      </c>
      <c r="J1351" t="s">
        <v>37</v>
      </c>
      <c r="K1351">
        <v>10090</v>
      </c>
      <c r="L1351" s="3" t="str">
        <f>HYPERLINK("http://www.uniprot.org/uniprot/O70252", "O70252")</f>
        <v>O70252</v>
      </c>
      <c r="M1351" t="s">
        <v>15996</v>
      </c>
      <c r="N1351" t="str">
        <f>"Hmox2"</f>
        <v>Hmox2</v>
      </c>
      <c r="O1351" s="3" t="str">
        <f>HYPERLINK("http://www.informatics.jax.org/marker/MGI:109373", "MGI:109373")</f>
        <v>MGI:109373</v>
      </c>
      <c r="P1351" t="s">
        <v>15997</v>
      </c>
      <c r="Q1351" t="s">
        <v>32</v>
      </c>
      <c r="R1351" t="s">
        <v>15998</v>
      </c>
      <c r="S1351" t="s">
        <v>32</v>
      </c>
      <c r="T1351" t="s">
        <v>32</v>
      </c>
      <c r="U1351" t="s">
        <v>32</v>
      </c>
      <c r="V1351" t="s">
        <v>1620</v>
      </c>
      <c r="W1351" t="s">
        <v>6053</v>
      </c>
      <c r="X1351" t="s">
        <v>600</v>
      </c>
      <c r="Y1351" t="s">
        <v>157</v>
      </c>
      <c r="Z1351" t="s">
        <v>32</v>
      </c>
      <c r="AA1351" t="s">
        <v>15999</v>
      </c>
      <c r="AB1351" t="s">
        <v>16000</v>
      </c>
      <c r="AC1351" t="s">
        <v>16001</v>
      </c>
      <c r="AD1351" t="s">
        <v>32</v>
      </c>
      <c r="AE1351" t="s">
        <v>16002</v>
      </c>
      <c r="AF1351" t="s">
        <v>46835</v>
      </c>
    </row>
    <row r="1352" spans="1:33" x14ac:dyDescent="0.2">
      <c r="A1352">
        <v>1347</v>
      </c>
      <c r="B1352" t="s">
        <v>16003</v>
      </c>
      <c r="C1352" t="s">
        <v>16004</v>
      </c>
      <c r="D1352" t="s">
        <v>32</v>
      </c>
      <c r="E1352" t="s">
        <v>16005</v>
      </c>
      <c r="F1352" t="s">
        <v>16006</v>
      </c>
      <c r="G1352" t="s">
        <v>16007</v>
      </c>
      <c r="H1352" t="str">
        <f>"Lztfl1"</f>
        <v>Lztfl1</v>
      </c>
      <c r="I1352" t="s">
        <v>32</v>
      </c>
      <c r="J1352" t="s">
        <v>37</v>
      </c>
      <c r="K1352">
        <v>10090</v>
      </c>
      <c r="L1352" s="3" t="str">
        <f>HYPERLINK("http://www.uniprot.org/uniprot/Q9JHQ5", "Q9JHQ5")</f>
        <v>Q9JHQ5</v>
      </c>
      <c r="M1352" t="s">
        <v>16008</v>
      </c>
      <c r="N1352" t="str">
        <f>"Lztfl1"</f>
        <v>Lztfl1</v>
      </c>
      <c r="O1352" s="3" t="str">
        <f>HYPERLINK("http://www.informatics.jax.org/marker/MGI:1934860", "MGI:1934860")</f>
        <v>MGI:1934860</v>
      </c>
      <c r="P1352" t="s">
        <v>16009</v>
      </c>
      <c r="Q1352" t="s">
        <v>32</v>
      </c>
      <c r="R1352" t="s">
        <v>418</v>
      </c>
      <c r="S1352" t="s">
        <v>32</v>
      </c>
      <c r="T1352" t="s">
        <v>32</v>
      </c>
      <c r="U1352" t="s">
        <v>32</v>
      </c>
      <c r="V1352" t="s">
        <v>290</v>
      </c>
      <c r="W1352" t="s">
        <v>32</v>
      </c>
      <c r="X1352" t="s">
        <v>32</v>
      </c>
      <c r="Y1352" t="s">
        <v>32</v>
      </c>
      <c r="Z1352" t="s">
        <v>32</v>
      </c>
      <c r="AA1352" t="s">
        <v>16010</v>
      </c>
      <c r="AB1352" t="s">
        <v>16011</v>
      </c>
      <c r="AC1352" t="s">
        <v>16012</v>
      </c>
      <c r="AD1352" t="s">
        <v>32</v>
      </c>
      <c r="AE1352" t="s">
        <v>16013</v>
      </c>
      <c r="AF1352" t="s">
        <v>46835</v>
      </c>
    </row>
    <row r="1353" spans="1:33" x14ac:dyDescent="0.2">
      <c r="A1353">
        <v>1348</v>
      </c>
      <c r="B1353" t="s">
        <v>16014</v>
      </c>
      <c r="C1353" t="s">
        <v>16015</v>
      </c>
      <c r="D1353" t="s">
        <v>32</v>
      </c>
      <c r="E1353" t="s">
        <v>16016</v>
      </c>
      <c r="F1353" t="s">
        <v>16017</v>
      </c>
      <c r="G1353" t="s">
        <v>16018</v>
      </c>
      <c r="H1353" t="str">
        <f>"Hnrnpul1"</f>
        <v>Hnrnpul1</v>
      </c>
      <c r="I1353" t="s">
        <v>16019</v>
      </c>
      <c r="J1353" t="s">
        <v>37</v>
      </c>
      <c r="K1353">
        <v>10090</v>
      </c>
      <c r="L1353" s="3" t="str">
        <f>HYPERLINK("http://www.uniprot.org/uniprot/Q8VDM6", "Q8VDM6")</f>
        <v>Q8VDM6</v>
      </c>
      <c r="M1353" t="s">
        <v>16020</v>
      </c>
      <c r="N1353" t="str">
        <f>"Hnrnpul1"</f>
        <v>Hnrnpul1</v>
      </c>
      <c r="O1353" s="3" t="str">
        <f>HYPERLINK("http://www.informatics.jax.org/marker/MGI:2443517", "MGI:2443517")</f>
        <v>MGI:2443517</v>
      </c>
      <c r="P1353" t="s">
        <v>16021</v>
      </c>
      <c r="Q1353" t="s">
        <v>4152</v>
      </c>
      <c r="R1353" t="s">
        <v>2279</v>
      </c>
      <c r="S1353" t="s">
        <v>41</v>
      </c>
      <c r="T1353" t="s">
        <v>32</v>
      </c>
      <c r="U1353" t="s">
        <v>32</v>
      </c>
      <c r="V1353" t="s">
        <v>55</v>
      </c>
      <c r="W1353" t="s">
        <v>32</v>
      </c>
      <c r="X1353" t="s">
        <v>16022</v>
      </c>
      <c r="Y1353" t="s">
        <v>2192</v>
      </c>
      <c r="Z1353" t="s">
        <v>32</v>
      </c>
      <c r="AA1353" t="s">
        <v>16023</v>
      </c>
      <c r="AB1353" t="s">
        <v>3005</v>
      </c>
      <c r="AC1353" t="s">
        <v>16024</v>
      </c>
      <c r="AD1353" t="s">
        <v>32</v>
      </c>
      <c r="AE1353" t="s">
        <v>946</v>
      </c>
      <c r="AF1353" t="s">
        <v>46835</v>
      </c>
    </row>
    <row r="1354" spans="1:33" x14ac:dyDescent="0.2">
      <c r="A1354">
        <v>1349</v>
      </c>
      <c r="B1354" t="s">
        <v>16025</v>
      </c>
      <c r="C1354" t="s">
        <v>47219</v>
      </c>
      <c r="D1354" t="s">
        <v>32</v>
      </c>
      <c r="E1354" t="s">
        <v>46896</v>
      </c>
      <c r="F1354" t="s">
        <v>46895</v>
      </c>
      <c r="G1354" t="s">
        <v>32</v>
      </c>
      <c r="H1354" t="s">
        <v>47352</v>
      </c>
      <c r="I1354" t="s">
        <v>32</v>
      </c>
      <c r="J1354" t="s">
        <v>37</v>
      </c>
      <c r="K1354">
        <v>10090</v>
      </c>
      <c r="L1354" s="3" t="str">
        <f>HYPERLINK(CONCATENATE("https://www.uniprot.org/uniprotkb/", AG1354, "/entry"), AG1354)</f>
        <v>B1AUN2</v>
      </c>
      <c r="M1354" t="s">
        <v>32</v>
      </c>
      <c r="N1354" t="s">
        <v>32</v>
      </c>
      <c r="O1354" s="3" t="s">
        <v>32</v>
      </c>
      <c r="P1354" t="s">
        <v>32</v>
      </c>
      <c r="Q1354" t="s">
        <v>32</v>
      </c>
      <c r="R1354" t="s">
        <v>32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32</v>
      </c>
      <c r="Y1354" t="s">
        <v>32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t="s">
        <v>46835</v>
      </c>
      <c r="AG1354" t="s">
        <v>46895</v>
      </c>
    </row>
    <row r="1355" spans="1:33" x14ac:dyDescent="0.2">
      <c r="A1355">
        <v>1350</v>
      </c>
      <c r="B1355" t="s">
        <v>16026</v>
      </c>
      <c r="C1355" t="s">
        <v>16027</v>
      </c>
      <c r="D1355" t="s">
        <v>16028</v>
      </c>
      <c r="E1355" t="s">
        <v>16029</v>
      </c>
      <c r="F1355" t="s">
        <v>16030</v>
      </c>
      <c r="G1355" t="s">
        <v>16031</v>
      </c>
      <c r="H1355" t="str">
        <f>"Cnpy2"</f>
        <v>Cnpy2</v>
      </c>
      <c r="I1355" t="s">
        <v>16032</v>
      </c>
      <c r="J1355" t="s">
        <v>37</v>
      </c>
      <c r="K1355">
        <v>10090</v>
      </c>
      <c r="L1355" s="3" t="str">
        <f>HYPERLINK("http://www.uniprot.org/uniprot/Q9QXT0", "Q9QXT0")</f>
        <v>Q9QXT0</v>
      </c>
      <c r="M1355" t="s">
        <v>16033</v>
      </c>
      <c r="N1355" t="str">
        <f>"Cnpy2"</f>
        <v>Cnpy2</v>
      </c>
      <c r="O1355" s="3" t="str">
        <f>HYPERLINK("http://www.informatics.jax.org/marker/MGI:1928477", "MGI:1928477")</f>
        <v>MGI:1928477</v>
      </c>
      <c r="P1355" t="s">
        <v>16034</v>
      </c>
      <c r="Q1355" t="s">
        <v>32</v>
      </c>
      <c r="R1355" t="s">
        <v>671</v>
      </c>
      <c r="S1355" t="s">
        <v>32</v>
      </c>
      <c r="T1355" t="s">
        <v>32</v>
      </c>
      <c r="U1355" t="s">
        <v>32</v>
      </c>
      <c r="V1355" t="s">
        <v>811</v>
      </c>
      <c r="W1355" t="s">
        <v>32</v>
      </c>
      <c r="X1355" t="s">
        <v>32</v>
      </c>
      <c r="Y1355" t="s">
        <v>2080</v>
      </c>
      <c r="Z1355" t="s">
        <v>32</v>
      </c>
      <c r="AA1355" t="s">
        <v>16035</v>
      </c>
      <c r="AB1355" t="s">
        <v>16036</v>
      </c>
      <c r="AC1355" t="s">
        <v>32</v>
      </c>
      <c r="AD1355" t="s">
        <v>32</v>
      </c>
      <c r="AE1355" t="s">
        <v>32</v>
      </c>
      <c r="AF1355" t="s">
        <v>46835</v>
      </c>
    </row>
    <row r="1356" spans="1:33" x14ac:dyDescent="0.2">
      <c r="A1356">
        <v>1351</v>
      </c>
      <c r="B1356" t="s">
        <v>16037</v>
      </c>
      <c r="C1356" t="s">
        <v>16038</v>
      </c>
      <c r="D1356" t="s">
        <v>16039</v>
      </c>
      <c r="E1356" t="s">
        <v>16040</v>
      </c>
      <c r="F1356" t="s">
        <v>16041</v>
      </c>
      <c r="G1356" t="s">
        <v>16042</v>
      </c>
      <c r="H1356" t="str">
        <f>"Flot2"</f>
        <v>Flot2</v>
      </c>
      <c r="I1356" t="s">
        <v>16043</v>
      </c>
      <c r="J1356" t="s">
        <v>37</v>
      </c>
      <c r="K1356">
        <v>10090</v>
      </c>
      <c r="L1356" s="3" t="str">
        <f>HYPERLINK("http://www.uniprot.org/uniprot/Q60634", "Q60634")</f>
        <v>Q60634</v>
      </c>
      <c r="M1356" t="s">
        <v>16044</v>
      </c>
      <c r="N1356" t="str">
        <f>"Flot2"</f>
        <v>Flot2</v>
      </c>
      <c r="O1356" s="3" t="str">
        <f>HYPERLINK("http://www.informatics.jax.org/marker/MGI:103309", "MGI:103309")</f>
        <v>MGI:103309</v>
      </c>
      <c r="P1356" t="s">
        <v>16045</v>
      </c>
      <c r="Q1356" t="s">
        <v>2784</v>
      </c>
      <c r="R1356" t="s">
        <v>11564</v>
      </c>
      <c r="S1356" t="s">
        <v>41</v>
      </c>
      <c r="T1356" t="s">
        <v>32</v>
      </c>
      <c r="U1356" t="s">
        <v>32</v>
      </c>
      <c r="V1356" t="s">
        <v>32</v>
      </c>
      <c r="W1356" t="s">
        <v>32</v>
      </c>
      <c r="X1356" t="s">
        <v>32</v>
      </c>
      <c r="Y1356" t="s">
        <v>16046</v>
      </c>
      <c r="Z1356" t="s">
        <v>126</v>
      </c>
      <c r="AA1356" t="s">
        <v>16047</v>
      </c>
      <c r="AB1356" t="s">
        <v>16048</v>
      </c>
      <c r="AC1356" t="s">
        <v>11567</v>
      </c>
      <c r="AD1356" t="s">
        <v>32</v>
      </c>
      <c r="AE1356" t="s">
        <v>16049</v>
      </c>
      <c r="AF1356" t="s">
        <v>46835</v>
      </c>
    </row>
    <row r="1357" spans="1:33" x14ac:dyDescent="0.2">
      <c r="A1357">
        <v>1352</v>
      </c>
      <c r="B1357" t="s">
        <v>16050</v>
      </c>
      <c r="C1357" t="s">
        <v>16051</v>
      </c>
      <c r="D1357" t="s">
        <v>16052</v>
      </c>
      <c r="E1357" t="s">
        <v>16053</v>
      </c>
      <c r="F1357" t="s">
        <v>16054</v>
      </c>
      <c r="G1357" t="s">
        <v>16055</v>
      </c>
      <c r="H1357" t="str">
        <f>"Usp7"</f>
        <v>Usp7</v>
      </c>
      <c r="I1357" t="s">
        <v>16056</v>
      </c>
      <c r="J1357" t="s">
        <v>37</v>
      </c>
      <c r="K1357">
        <v>10090</v>
      </c>
      <c r="L1357" s="3" t="str">
        <f>HYPERLINK("http://www.uniprot.org/uniprot/Q6A4J8", "Q6A4J8")</f>
        <v>Q6A4J8</v>
      </c>
      <c r="M1357" t="s">
        <v>16057</v>
      </c>
      <c r="N1357" t="str">
        <f>"Usp7"</f>
        <v>Usp7</v>
      </c>
      <c r="O1357" s="3" t="str">
        <f>HYPERLINK("http://www.informatics.jax.org/marker/MGI:2182061", "MGI:2182061")</f>
        <v>MGI:2182061</v>
      </c>
      <c r="P1357" t="s">
        <v>16058</v>
      </c>
      <c r="Q1357" t="s">
        <v>2930</v>
      </c>
      <c r="R1357" t="s">
        <v>8375</v>
      </c>
      <c r="S1357" t="s">
        <v>41</v>
      </c>
      <c r="T1357" t="s">
        <v>32</v>
      </c>
      <c r="U1357" t="s">
        <v>32</v>
      </c>
      <c r="V1357" t="s">
        <v>32</v>
      </c>
      <c r="W1357" t="s">
        <v>32</v>
      </c>
      <c r="X1357" t="s">
        <v>16059</v>
      </c>
      <c r="Y1357" t="s">
        <v>516</v>
      </c>
      <c r="Z1357" t="s">
        <v>32</v>
      </c>
      <c r="AA1357" t="s">
        <v>16060</v>
      </c>
      <c r="AB1357" t="s">
        <v>16061</v>
      </c>
      <c r="AC1357" t="s">
        <v>16062</v>
      </c>
      <c r="AD1357" t="s">
        <v>32</v>
      </c>
      <c r="AE1357" t="s">
        <v>16063</v>
      </c>
      <c r="AF1357" t="s">
        <v>46835</v>
      </c>
    </row>
    <row r="1358" spans="1:33" x14ac:dyDescent="0.2">
      <c r="A1358">
        <v>1353</v>
      </c>
      <c r="B1358" t="s">
        <v>16064</v>
      </c>
      <c r="C1358" t="s">
        <v>16065</v>
      </c>
      <c r="D1358" t="s">
        <v>16066</v>
      </c>
      <c r="E1358" t="s">
        <v>16067</v>
      </c>
      <c r="F1358" t="s">
        <v>16068</v>
      </c>
      <c r="G1358" t="s">
        <v>32</v>
      </c>
      <c r="H1358" t="str">
        <f>"Strn3"</f>
        <v>Strn3</v>
      </c>
      <c r="I1358" t="s">
        <v>16069</v>
      </c>
      <c r="J1358" t="s">
        <v>37</v>
      </c>
      <c r="K1358">
        <v>10090</v>
      </c>
      <c r="L1358" s="3" t="str">
        <f>HYPERLINK("http://www.uniprot.org/uniprot/Q9ERG2", "Q9ERG2")</f>
        <v>Q9ERG2</v>
      </c>
      <c r="M1358" t="s">
        <v>16070</v>
      </c>
      <c r="N1358" t="str">
        <f>"Strn3"</f>
        <v>Strn3</v>
      </c>
      <c r="O1358" s="3" t="str">
        <f>HYPERLINK("http://www.informatics.jax.org/marker/MGI:2151064", "MGI:2151064")</f>
        <v>MGI:2151064</v>
      </c>
      <c r="P1358" t="s">
        <v>16071</v>
      </c>
      <c r="Q1358" t="s">
        <v>32</v>
      </c>
      <c r="R1358" t="s">
        <v>714</v>
      </c>
      <c r="S1358" t="s">
        <v>32</v>
      </c>
      <c r="T1358" t="s">
        <v>32</v>
      </c>
      <c r="U1358" t="s">
        <v>32</v>
      </c>
      <c r="V1358" t="s">
        <v>3167</v>
      </c>
      <c r="W1358" t="s">
        <v>32</v>
      </c>
      <c r="X1358" t="s">
        <v>1926</v>
      </c>
      <c r="Y1358" t="s">
        <v>157</v>
      </c>
      <c r="Z1358" t="s">
        <v>32</v>
      </c>
      <c r="AA1358" t="s">
        <v>16072</v>
      </c>
      <c r="AB1358" t="s">
        <v>16073</v>
      </c>
      <c r="AC1358" t="s">
        <v>16074</v>
      </c>
      <c r="AD1358" t="s">
        <v>32</v>
      </c>
      <c r="AE1358" t="s">
        <v>32</v>
      </c>
      <c r="AF1358" t="s">
        <v>46835</v>
      </c>
    </row>
    <row r="1359" spans="1:33" x14ac:dyDescent="0.2">
      <c r="A1359">
        <v>1354</v>
      </c>
      <c r="B1359" t="s">
        <v>16075</v>
      </c>
      <c r="C1359" t="s">
        <v>16076</v>
      </c>
      <c r="D1359" t="s">
        <v>16077</v>
      </c>
      <c r="E1359" t="s">
        <v>16078</v>
      </c>
      <c r="F1359" t="s">
        <v>16079</v>
      </c>
      <c r="G1359" t="s">
        <v>16080</v>
      </c>
      <c r="H1359" t="str">
        <f>"Efl1"</f>
        <v>Efl1</v>
      </c>
      <c r="I1359" t="s">
        <v>16081</v>
      </c>
      <c r="J1359" t="s">
        <v>37</v>
      </c>
      <c r="K1359">
        <v>10090</v>
      </c>
      <c r="L1359" s="3" t="str">
        <f>HYPERLINK("http://www.uniprot.org/uniprot/Q8C0D5", "Q8C0D5")</f>
        <v>Q8C0D5</v>
      </c>
      <c r="M1359" t="s">
        <v>16082</v>
      </c>
      <c r="N1359" t="str">
        <f>"Efl1"</f>
        <v>Efl1</v>
      </c>
      <c r="O1359" s="3" t="str">
        <f>HYPERLINK("http://www.informatics.jax.org/marker/MGI:2141969", "MGI:2141969")</f>
        <v>MGI:2141969</v>
      </c>
      <c r="P1359" t="s">
        <v>16083</v>
      </c>
      <c r="Q1359" t="s">
        <v>15524</v>
      </c>
      <c r="R1359" t="s">
        <v>32</v>
      </c>
      <c r="S1359" t="s">
        <v>32</v>
      </c>
      <c r="T1359" t="s">
        <v>32</v>
      </c>
      <c r="U1359" t="s">
        <v>32</v>
      </c>
      <c r="V1359" t="s">
        <v>32</v>
      </c>
      <c r="W1359" t="s">
        <v>261</v>
      </c>
      <c r="X1359" t="s">
        <v>262</v>
      </c>
      <c r="Y1359" t="s">
        <v>78</v>
      </c>
      <c r="Z1359" t="s">
        <v>32</v>
      </c>
      <c r="AA1359" t="s">
        <v>16084</v>
      </c>
      <c r="AB1359" t="s">
        <v>16085</v>
      </c>
      <c r="AC1359" t="s">
        <v>16086</v>
      </c>
      <c r="AD1359" t="s">
        <v>32</v>
      </c>
      <c r="AE1359" t="s">
        <v>32</v>
      </c>
      <c r="AF1359" t="s">
        <v>46835</v>
      </c>
    </row>
    <row r="1360" spans="1:33" x14ac:dyDescent="0.2">
      <c r="A1360">
        <v>1355</v>
      </c>
      <c r="B1360" t="s">
        <v>16087</v>
      </c>
      <c r="C1360" t="s">
        <v>16088</v>
      </c>
      <c r="D1360" t="s">
        <v>16089</v>
      </c>
      <c r="E1360" t="s">
        <v>16090</v>
      </c>
      <c r="F1360" t="s">
        <v>16091</v>
      </c>
      <c r="G1360" t="s">
        <v>32</v>
      </c>
      <c r="H1360" t="str">
        <f>"Gstm2"</f>
        <v>Gstm2</v>
      </c>
      <c r="I1360" t="s">
        <v>32</v>
      </c>
      <c r="J1360" t="s">
        <v>37</v>
      </c>
      <c r="K1360">
        <v>10090</v>
      </c>
      <c r="L1360" s="3" t="str">
        <f>HYPERLINK("http://www.uniprot.org/uniprot/P15626", "P15626")</f>
        <v>P15626</v>
      </c>
      <c r="M1360" t="s">
        <v>16092</v>
      </c>
      <c r="N1360" t="str">
        <f>"Gstm2"</f>
        <v>Gstm2</v>
      </c>
      <c r="O1360" s="3" t="str">
        <f>HYPERLINK("http://www.informatics.jax.org/marker/MGI:95861", "MGI:95861")</f>
        <v>MGI:95861</v>
      </c>
      <c r="P1360" t="s">
        <v>3117</v>
      </c>
      <c r="Q1360" t="s">
        <v>598</v>
      </c>
      <c r="R1360" t="s">
        <v>418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515</v>
      </c>
      <c r="Y1360" t="s">
        <v>618</v>
      </c>
      <c r="Z1360" t="s">
        <v>32</v>
      </c>
      <c r="AA1360" t="s">
        <v>16093</v>
      </c>
      <c r="AB1360" t="s">
        <v>16094</v>
      </c>
      <c r="AC1360" t="s">
        <v>6713</v>
      </c>
      <c r="AD1360" t="s">
        <v>32</v>
      </c>
      <c r="AE1360" t="s">
        <v>16095</v>
      </c>
      <c r="AF1360" t="s">
        <v>46835</v>
      </c>
    </row>
    <row r="1361" spans="1:33" x14ac:dyDescent="0.2">
      <c r="A1361">
        <v>1356</v>
      </c>
      <c r="B1361" t="s">
        <v>16096</v>
      </c>
      <c r="C1361" t="s">
        <v>16097</v>
      </c>
      <c r="D1361" t="s">
        <v>16098</v>
      </c>
      <c r="E1361" t="s">
        <v>16099</v>
      </c>
      <c r="F1361" t="s">
        <v>16100</v>
      </c>
      <c r="G1361" t="s">
        <v>16101</v>
      </c>
      <c r="H1361" t="str">
        <f>"Crmp1"</f>
        <v>Crmp1</v>
      </c>
      <c r="I1361" t="s">
        <v>16102</v>
      </c>
      <c r="J1361" t="s">
        <v>37</v>
      </c>
      <c r="K1361">
        <v>10090</v>
      </c>
      <c r="L1361" s="3" t="str">
        <f>HYPERLINK("http://www.uniprot.org/uniprot/P97427", "P97427")</f>
        <v>P97427</v>
      </c>
      <c r="M1361" t="s">
        <v>16103</v>
      </c>
      <c r="N1361" t="str">
        <f>"Crmp1"</f>
        <v>Crmp1</v>
      </c>
      <c r="O1361" s="3" t="str">
        <f>HYPERLINK("http://www.informatics.jax.org/marker/MGI:107793", "MGI:107793")</f>
        <v>MGI:107793</v>
      </c>
      <c r="P1361" t="s">
        <v>16104</v>
      </c>
      <c r="Q1361" t="s">
        <v>32</v>
      </c>
      <c r="R1361" t="s">
        <v>1210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t="s">
        <v>1843</v>
      </c>
      <c r="Z1361" t="s">
        <v>126</v>
      </c>
      <c r="AA1361" t="s">
        <v>16105</v>
      </c>
      <c r="AB1361" t="s">
        <v>16106</v>
      </c>
      <c r="AC1361" t="s">
        <v>16107</v>
      </c>
      <c r="AD1361" t="s">
        <v>32</v>
      </c>
      <c r="AE1361" t="s">
        <v>9213</v>
      </c>
      <c r="AF1361" t="s">
        <v>46835</v>
      </c>
    </row>
    <row r="1362" spans="1:33" x14ac:dyDescent="0.2">
      <c r="A1362">
        <v>1357</v>
      </c>
      <c r="B1362" t="s">
        <v>16108</v>
      </c>
      <c r="C1362" t="s">
        <v>47206</v>
      </c>
      <c r="D1362" t="s">
        <v>32</v>
      </c>
      <c r="E1362" t="s">
        <v>46898</v>
      </c>
      <c r="F1362" t="s">
        <v>46897</v>
      </c>
      <c r="G1362" t="s">
        <v>32</v>
      </c>
      <c r="H1362" t="s">
        <v>47338</v>
      </c>
      <c r="I1362" t="s">
        <v>32</v>
      </c>
      <c r="J1362" t="s">
        <v>37</v>
      </c>
      <c r="K1362">
        <v>10090</v>
      </c>
      <c r="L1362" s="3" t="str">
        <f>HYPERLINK(CONCATENATE("https://www.uniprot.org/uniprotkb/", AG1362, "/entry"), AG1362)</f>
        <v>E9PV24</v>
      </c>
      <c r="M1362" t="s">
        <v>32</v>
      </c>
      <c r="N1362" t="s">
        <v>32</v>
      </c>
      <c r="O1362" s="3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32</v>
      </c>
      <c r="Y1362" t="s">
        <v>32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t="s">
        <v>46835</v>
      </c>
      <c r="AG1362" t="s">
        <v>46897</v>
      </c>
    </row>
    <row r="1363" spans="1:33" x14ac:dyDescent="0.2">
      <c r="A1363">
        <v>1358</v>
      </c>
      <c r="B1363" t="s">
        <v>16109</v>
      </c>
      <c r="C1363" t="s">
        <v>16110</v>
      </c>
      <c r="D1363" t="s">
        <v>32</v>
      </c>
      <c r="E1363" t="s">
        <v>16111</v>
      </c>
      <c r="F1363" t="s">
        <v>16112</v>
      </c>
      <c r="G1363" t="s">
        <v>32</v>
      </c>
      <c r="H1363" t="str">
        <f>"Hnrnph1"</f>
        <v>Hnrnph1</v>
      </c>
      <c r="I1363" t="s">
        <v>16113</v>
      </c>
      <c r="J1363" t="s">
        <v>37</v>
      </c>
      <c r="K1363">
        <v>10090</v>
      </c>
      <c r="L1363" s="3" t="str">
        <f>HYPERLINK("http://www.uniprot.org/uniprot/O35737", "O35737")</f>
        <v>O35737</v>
      </c>
      <c r="M1363" t="s">
        <v>16114</v>
      </c>
      <c r="N1363" t="str">
        <f>"Hnrnph1"</f>
        <v>Hnrnph1</v>
      </c>
      <c r="O1363" s="3" t="str">
        <f>HYPERLINK("http://www.informatics.jax.org/marker/MGI:1891925", "MGI:1891925")</f>
        <v>MGI:1891925</v>
      </c>
      <c r="P1363" t="s">
        <v>16115</v>
      </c>
      <c r="Q1363" t="s">
        <v>2139</v>
      </c>
      <c r="R1363" t="s">
        <v>2140</v>
      </c>
      <c r="S1363" t="s">
        <v>32</v>
      </c>
      <c r="T1363" t="s">
        <v>32</v>
      </c>
      <c r="U1363" t="s">
        <v>32</v>
      </c>
      <c r="V1363" t="s">
        <v>55</v>
      </c>
      <c r="W1363" t="s">
        <v>32</v>
      </c>
      <c r="X1363" t="s">
        <v>1129</v>
      </c>
      <c r="Y1363" t="s">
        <v>207</v>
      </c>
      <c r="Z1363" t="s">
        <v>32</v>
      </c>
      <c r="AA1363" t="s">
        <v>16116</v>
      </c>
      <c r="AB1363" t="s">
        <v>16117</v>
      </c>
      <c r="AC1363" t="s">
        <v>16118</v>
      </c>
      <c r="AD1363" t="s">
        <v>32</v>
      </c>
      <c r="AE1363" t="s">
        <v>946</v>
      </c>
      <c r="AF1363" t="s">
        <v>46835</v>
      </c>
    </row>
    <row r="1364" spans="1:33" x14ac:dyDescent="0.2">
      <c r="A1364">
        <v>1359</v>
      </c>
      <c r="B1364" t="s">
        <v>16119</v>
      </c>
      <c r="C1364" t="s">
        <v>16120</v>
      </c>
      <c r="D1364" t="s">
        <v>16121</v>
      </c>
      <c r="E1364" t="s">
        <v>16122</v>
      </c>
      <c r="F1364" t="s">
        <v>16123</v>
      </c>
      <c r="G1364" t="s">
        <v>16124</v>
      </c>
      <c r="H1364" t="str">
        <f>"Actr1a"</f>
        <v>Actr1a</v>
      </c>
      <c r="I1364" t="s">
        <v>16125</v>
      </c>
      <c r="J1364" t="s">
        <v>37</v>
      </c>
      <c r="K1364">
        <v>10090</v>
      </c>
      <c r="L1364" s="3" t="str">
        <f>HYPERLINK("http://www.uniprot.org/uniprot/P61164", "P61164")</f>
        <v>P61164</v>
      </c>
      <c r="M1364" t="s">
        <v>16126</v>
      </c>
      <c r="N1364" t="str">
        <f>"Actr1a"</f>
        <v>Actr1a</v>
      </c>
      <c r="O1364" s="3" t="str">
        <f>HYPERLINK("http://www.informatics.jax.org/marker/MGI:1858964", "MGI:1858964")</f>
        <v>MGI:1858964</v>
      </c>
      <c r="P1364" t="s">
        <v>16127</v>
      </c>
      <c r="Q1364" t="s">
        <v>32</v>
      </c>
      <c r="R1364" t="s">
        <v>186</v>
      </c>
      <c r="S1364" t="s">
        <v>32</v>
      </c>
      <c r="T1364" t="s">
        <v>32</v>
      </c>
      <c r="U1364" t="s">
        <v>32</v>
      </c>
      <c r="V1364" t="s">
        <v>32</v>
      </c>
      <c r="W1364" t="s">
        <v>205</v>
      </c>
      <c r="X1364" t="s">
        <v>32</v>
      </c>
      <c r="Y1364" t="s">
        <v>78</v>
      </c>
      <c r="Z1364" t="s">
        <v>32</v>
      </c>
      <c r="AA1364" t="s">
        <v>32</v>
      </c>
      <c r="AB1364" t="s">
        <v>16128</v>
      </c>
      <c r="AC1364" t="s">
        <v>12108</v>
      </c>
      <c r="AD1364" t="s">
        <v>32</v>
      </c>
      <c r="AE1364" t="s">
        <v>5864</v>
      </c>
      <c r="AF1364" t="s">
        <v>46835</v>
      </c>
    </row>
    <row r="1365" spans="1:33" x14ac:dyDescent="0.2">
      <c r="A1365">
        <v>1360</v>
      </c>
      <c r="B1365" t="s">
        <v>16129</v>
      </c>
      <c r="C1365" t="s">
        <v>16130</v>
      </c>
      <c r="D1365" t="s">
        <v>16131</v>
      </c>
      <c r="E1365" t="s">
        <v>16132</v>
      </c>
      <c r="F1365" t="s">
        <v>16133</v>
      </c>
      <c r="G1365" t="s">
        <v>32</v>
      </c>
      <c r="H1365" t="str">
        <f>"Psmb3"</f>
        <v>Psmb3</v>
      </c>
      <c r="I1365" t="s">
        <v>32</v>
      </c>
      <c r="J1365" t="s">
        <v>37</v>
      </c>
      <c r="K1365">
        <v>10090</v>
      </c>
      <c r="L1365" s="3" t="str">
        <f>HYPERLINK("http://www.uniprot.org/uniprot/Q9R1P1", "Q9R1P1")</f>
        <v>Q9R1P1</v>
      </c>
      <c r="M1365" t="s">
        <v>16134</v>
      </c>
      <c r="N1365" t="str">
        <f>"Psmb3"</f>
        <v>Psmb3</v>
      </c>
      <c r="O1365" s="3" t="str">
        <f>HYPERLINK("http://www.informatics.jax.org/marker/MGI:1347014", "MGI:1347014")</f>
        <v>MGI:1347014</v>
      </c>
      <c r="P1365" t="s">
        <v>7513</v>
      </c>
      <c r="Q1365" t="s">
        <v>32</v>
      </c>
      <c r="R1365" t="s">
        <v>2586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32</v>
      </c>
      <c r="Y1365" t="s">
        <v>78</v>
      </c>
      <c r="Z1365" t="s">
        <v>126</v>
      </c>
      <c r="AA1365" t="s">
        <v>16135</v>
      </c>
      <c r="AB1365" t="s">
        <v>6750</v>
      </c>
      <c r="AC1365" t="s">
        <v>16136</v>
      </c>
      <c r="AD1365" t="s">
        <v>32</v>
      </c>
      <c r="AE1365" t="s">
        <v>2774</v>
      </c>
      <c r="AF1365" t="s">
        <v>46835</v>
      </c>
    </row>
    <row r="1366" spans="1:33" x14ac:dyDescent="0.2">
      <c r="A1366">
        <v>1361</v>
      </c>
      <c r="B1366" t="s">
        <v>16137</v>
      </c>
      <c r="C1366" t="s">
        <v>16138</v>
      </c>
      <c r="D1366" t="s">
        <v>32</v>
      </c>
      <c r="E1366" t="s">
        <v>16139</v>
      </c>
      <c r="F1366" t="s">
        <v>16140</v>
      </c>
      <c r="G1366" t="s">
        <v>16141</v>
      </c>
      <c r="H1366" t="str">
        <f>"Dhfr"</f>
        <v>Dhfr</v>
      </c>
      <c r="I1366" t="s">
        <v>32</v>
      </c>
      <c r="J1366" t="s">
        <v>37</v>
      </c>
      <c r="K1366">
        <v>10090</v>
      </c>
      <c r="L1366" s="3" t="str">
        <f>HYPERLINK("http://www.uniprot.org/uniprot/P00375", "P00375")</f>
        <v>P00375</v>
      </c>
      <c r="M1366" t="s">
        <v>16142</v>
      </c>
      <c r="N1366" t="str">
        <f>"Dhfr"</f>
        <v>Dhfr</v>
      </c>
      <c r="O1366" s="3" t="str">
        <f>HYPERLINK("http://www.informatics.jax.org/marker/MGI:94890", "MGI:94890")</f>
        <v>MGI:94890</v>
      </c>
      <c r="P1366" t="s">
        <v>16143</v>
      </c>
      <c r="Q1366" t="s">
        <v>16144</v>
      </c>
      <c r="R1366" t="s">
        <v>1842</v>
      </c>
      <c r="S1366" t="s">
        <v>32</v>
      </c>
      <c r="T1366" t="s">
        <v>32</v>
      </c>
      <c r="U1366" t="s">
        <v>32</v>
      </c>
      <c r="V1366" t="s">
        <v>32</v>
      </c>
      <c r="W1366" t="s">
        <v>3204</v>
      </c>
      <c r="X1366" t="s">
        <v>9477</v>
      </c>
      <c r="Y1366" t="s">
        <v>78</v>
      </c>
      <c r="Z1366" t="s">
        <v>126</v>
      </c>
      <c r="AA1366" t="s">
        <v>16145</v>
      </c>
      <c r="AB1366" t="s">
        <v>16146</v>
      </c>
      <c r="AC1366" t="s">
        <v>16147</v>
      </c>
      <c r="AD1366" t="s">
        <v>16148</v>
      </c>
      <c r="AE1366" t="s">
        <v>7202</v>
      </c>
      <c r="AF1366" t="s">
        <v>46835</v>
      </c>
    </row>
    <row r="1367" spans="1:33" x14ac:dyDescent="0.2">
      <c r="A1367">
        <v>1362</v>
      </c>
      <c r="B1367" t="s">
        <v>16149</v>
      </c>
      <c r="C1367" t="s">
        <v>16150</v>
      </c>
      <c r="D1367" t="s">
        <v>16151</v>
      </c>
      <c r="E1367" t="s">
        <v>16152</v>
      </c>
      <c r="F1367" t="s">
        <v>16153</v>
      </c>
      <c r="G1367" t="s">
        <v>16154</v>
      </c>
      <c r="H1367" t="str">
        <f>"Rbm17"</f>
        <v>Rbm17</v>
      </c>
      <c r="I1367" t="s">
        <v>16155</v>
      </c>
      <c r="J1367" t="s">
        <v>37</v>
      </c>
      <c r="K1367">
        <v>10090</v>
      </c>
      <c r="L1367" s="3" t="str">
        <f>HYPERLINK("http://www.uniprot.org/uniprot/Q8JZX4", "Q8JZX4")</f>
        <v>Q8JZX4</v>
      </c>
      <c r="M1367" t="s">
        <v>16156</v>
      </c>
      <c r="N1367" t="str">
        <f>"Rbm17"</f>
        <v>Rbm17</v>
      </c>
      <c r="O1367" s="3" t="str">
        <f>HYPERLINK("http://www.informatics.jax.org/marker/MGI:1924188", "MGI:1924188")</f>
        <v>MGI:1924188</v>
      </c>
      <c r="P1367" t="s">
        <v>16157</v>
      </c>
      <c r="Q1367" t="s">
        <v>2139</v>
      </c>
      <c r="R1367" t="s">
        <v>2140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1282</v>
      </c>
      <c r="Y1367" t="s">
        <v>516</v>
      </c>
      <c r="Z1367" t="s">
        <v>32</v>
      </c>
      <c r="AA1367" t="s">
        <v>16158</v>
      </c>
      <c r="AB1367" t="s">
        <v>16159</v>
      </c>
      <c r="AC1367" t="s">
        <v>4711</v>
      </c>
      <c r="AD1367" t="s">
        <v>32</v>
      </c>
      <c r="AE1367" t="s">
        <v>946</v>
      </c>
      <c r="AF1367" t="s">
        <v>46835</v>
      </c>
    </row>
    <row r="1368" spans="1:33" x14ac:dyDescent="0.2">
      <c r="A1368">
        <v>1363</v>
      </c>
      <c r="B1368" t="s">
        <v>16160</v>
      </c>
      <c r="C1368" t="s">
        <v>16161</v>
      </c>
      <c r="D1368" t="s">
        <v>32</v>
      </c>
      <c r="E1368" t="s">
        <v>16162</v>
      </c>
      <c r="F1368" t="s">
        <v>16163</v>
      </c>
      <c r="G1368" t="s">
        <v>16164</v>
      </c>
      <c r="H1368" t="str">
        <f>"Lmna"</f>
        <v>Lmna</v>
      </c>
      <c r="I1368" t="s">
        <v>16165</v>
      </c>
      <c r="J1368" t="s">
        <v>37</v>
      </c>
      <c r="K1368">
        <v>10090</v>
      </c>
      <c r="L1368" s="3" t="str">
        <f>HYPERLINK("http://www.uniprot.org/uniprot/P48678", "P48678")</f>
        <v>P48678</v>
      </c>
      <c r="M1368" t="s">
        <v>16166</v>
      </c>
      <c r="N1368" t="str">
        <f>"Lmna"</f>
        <v>Lmna</v>
      </c>
      <c r="O1368" s="3" t="str">
        <f>HYPERLINK("http://www.informatics.jax.org/marker/MGI:96794", "MGI:96794")</f>
        <v>MGI:96794</v>
      </c>
      <c r="P1368" t="s">
        <v>16167</v>
      </c>
      <c r="Q1368" t="s">
        <v>32</v>
      </c>
      <c r="R1368" t="s">
        <v>1768</v>
      </c>
      <c r="S1368" t="s">
        <v>41</v>
      </c>
      <c r="T1368" t="s">
        <v>32</v>
      </c>
      <c r="U1368" t="s">
        <v>32</v>
      </c>
      <c r="V1368" t="s">
        <v>290</v>
      </c>
      <c r="W1368" t="s">
        <v>32</v>
      </c>
      <c r="X1368" t="s">
        <v>32</v>
      </c>
      <c r="Y1368" t="s">
        <v>5990</v>
      </c>
      <c r="Z1368" t="s">
        <v>126</v>
      </c>
      <c r="AA1368" t="s">
        <v>16168</v>
      </c>
      <c r="AB1368" t="s">
        <v>16169</v>
      </c>
      <c r="AC1368" t="s">
        <v>16170</v>
      </c>
      <c r="AD1368" t="s">
        <v>32</v>
      </c>
      <c r="AE1368" t="s">
        <v>16171</v>
      </c>
      <c r="AF1368" t="s">
        <v>46835</v>
      </c>
    </row>
    <row r="1369" spans="1:33" x14ac:dyDescent="0.2">
      <c r="A1369">
        <v>1364</v>
      </c>
      <c r="B1369" t="s">
        <v>16172</v>
      </c>
      <c r="C1369" t="s">
        <v>16173</v>
      </c>
      <c r="D1369" t="s">
        <v>16174</v>
      </c>
      <c r="E1369" t="s">
        <v>16175</v>
      </c>
      <c r="F1369" t="s">
        <v>16176</v>
      </c>
      <c r="G1369" t="s">
        <v>16177</v>
      </c>
      <c r="H1369" t="str">
        <f>"Ptbp2"</f>
        <v>Ptbp2</v>
      </c>
      <c r="I1369" t="s">
        <v>16178</v>
      </c>
      <c r="J1369" t="s">
        <v>37</v>
      </c>
      <c r="K1369">
        <v>10090</v>
      </c>
      <c r="L1369" s="3" t="str">
        <f>HYPERLINK("http://www.uniprot.org/uniprot/Q91Z31", "Q91Z31")</f>
        <v>Q91Z31</v>
      </c>
      <c r="M1369" t="s">
        <v>16179</v>
      </c>
      <c r="N1369" t="str">
        <f>"Ptbp2"</f>
        <v>Ptbp2</v>
      </c>
      <c r="O1369" s="3" t="str">
        <f>HYPERLINK("http://www.informatics.jax.org/marker/MGI:1860489", "MGI:1860489")</f>
        <v>MGI:1860489</v>
      </c>
      <c r="P1369" t="s">
        <v>16180</v>
      </c>
      <c r="Q1369" t="s">
        <v>2139</v>
      </c>
      <c r="R1369" t="s">
        <v>2279</v>
      </c>
      <c r="S1369" t="s">
        <v>41</v>
      </c>
      <c r="T1369" t="s">
        <v>32</v>
      </c>
      <c r="U1369" t="s">
        <v>32</v>
      </c>
      <c r="V1369" t="s">
        <v>55</v>
      </c>
      <c r="W1369" t="s">
        <v>32</v>
      </c>
      <c r="X1369" t="s">
        <v>1282</v>
      </c>
      <c r="Y1369" t="s">
        <v>157</v>
      </c>
      <c r="Z1369" t="s">
        <v>32</v>
      </c>
      <c r="AA1369" t="s">
        <v>16181</v>
      </c>
      <c r="AB1369" t="s">
        <v>16182</v>
      </c>
      <c r="AC1369" t="s">
        <v>4168</v>
      </c>
      <c r="AD1369" t="s">
        <v>32</v>
      </c>
      <c r="AE1369" t="s">
        <v>32</v>
      </c>
      <c r="AF1369" t="s">
        <v>46835</v>
      </c>
    </row>
    <row r="1370" spans="1:33" x14ac:dyDescent="0.2">
      <c r="A1370">
        <v>1365</v>
      </c>
      <c r="B1370" t="s">
        <v>16183</v>
      </c>
      <c r="C1370" t="s">
        <v>16184</v>
      </c>
      <c r="D1370" t="s">
        <v>16185</v>
      </c>
      <c r="E1370" t="s">
        <v>16186</v>
      </c>
      <c r="F1370" t="s">
        <v>16187</v>
      </c>
      <c r="G1370" t="s">
        <v>16188</v>
      </c>
      <c r="H1370" t="str">
        <f>"Dhrs1"</f>
        <v>Dhrs1</v>
      </c>
      <c r="I1370" t="s">
        <v>16189</v>
      </c>
      <c r="J1370" t="s">
        <v>37</v>
      </c>
      <c r="K1370">
        <v>10090</v>
      </c>
      <c r="L1370" s="3" t="str">
        <f>HYPERLINK("http://www.uniprot.org/uniprot/Q99L04", "Q99L04")</f>
        <v>Q99L04</v>
      </c>
      <c r="M1370" t="s">
        <v>16190</v>
      </c>
      <c r="N1370" t="str">
        <f>"Dhrs1"</f>
        <v>Dhrs1</v>
      </c>
      <c r="O1370" s="3" t="str">
        <f>HYPERLINK("http://www.informatics.jax.org/marker/MGI:1196314", "MGI:1196314")</f>
        <v>MGI:1196314</v>
      </c>
      <c r="P1370" t="s">
        <v>16191</v>
      </c>
      <c r="Q1370" t="s">
        <v>32</v>
      </c>
      <c r="R1370" t="s">
        <v>671</v>
      </c>
      <c r="S1370" t="s">
        <v>32</v>
      </c>
      <c r="T1370" t="s">
        <v>32</v>
      </c>
      <c r="U1370" t="s">
        <v>32</v>
      </c>
      <c r="V1370" t="s">
        <v>32</v>
      </c>
      <c r="W1370" t="s">
        <v>325</v>
      </c>
      <c r="X1370" t="s">
        <v>600</v>
      </c>
      <c r="Y1370" t="s">
        <v>175</v>
      </c>
      <c r="Z1370" t="s">
        <v>32</v>
      </c>
      <c r="AA1370" t="s">
        <v>32</v>
      </c>
      <c r="AB1370" t="s">
        <v>16192</v>
      </c>
      <c r="AC1370" t="s">
        <v>16193</v>
      </c>
      <c r="AD1370" t="s">
        <v>32</v>
      </c>
      <c r="AE1370" t="s">
        <v>32</v>
      </c>
      <c r="AF1370" t="s">
        <v>46835</v>
      </c>
    </row>
    <row r="1371" spans="1:33" x14ac:dyDescent="0.2">
      <c r="A1371">
        <v>1366</v>
      </c>
      <c r="B1371" t="s">
        <v>16194</v>
      </c>
      <c r="C1371" t="s">
        <v>16195</v>
      </c>
      <c r="D1371" t="s">
        <v>16196</v>
      </c>
      <c r="E1371" t="s">
        <v>16197</v>
      </c>
      <c r="F1371" t="s">
        <v>16198</v>
      </c>
      <c r="G1371" t="s">
        <v>16199</v>
      </c>
      <c r="H1371" t="str">
        <f>"Ndufb8"</f>
        <v>Ndufb8</v>
      </c>
      <c r="I1371" t="s">
        <v>32</v>
      </c>
      <c r="J1371" t="s">
        <v>37</v>
      </c>
      <c r="K1371">
        <v>10090</v>
      </c>
      <c r="L1371" s="3" t="str">
        <f>HYPERLINK("http://www.uniprot.org/uniprot/Q9D6J5", "Q9D6J5")</f>
        <v>Q9D6J5</v>
      </c>
      <c r="M1371" t="s">
        <v>16200</v>
      </c>
      <c r="N1371" t="str">
        <f>"Ndufb8"</f>
        <v>Ndufb8</v>
      </c>
      <c r="O1371" s="3" t="str">
        <f>HYPERLINK("http://www.informatics.jax.org/marker/MGI:1914514", "MGI:1914514")</f>
        <v>MGI:1914514</v>
      </c>
      <c r="P1371" t="s">
        <v>12490</v>
      </c>
      <c r="Q1371" t="s">
        <v>6888</v>
      </c>
      <c r="R1371" t="s">
        <v>3858</v>
      </c>
      <c r="S1371" t="s">
        <v>32</v>
      </c>
      <c r="T1371" t="s">
        <v>32</v>
      </c>
      <c r="U1371" t="s">
        <v>32</v>
      </c>
      <c r="V1371" t="s">
        <v>3859</v>
      </c>
      <c r="W1371" t="s">
        <v>32</v>
      </c>
      <c r="X1371" t="s">
        <v>32</v>
      </c>
      <c r="Y1371" t="s">
        <v>32</v>
      </c>
      <c r="Z1371" t="s">
        <v>126</v>
      </c>
      <c r="AA1371" t="s">
        <v>10890</v>
      </c>
      <c r="AB1371" t="s">
        <v>16201</v>
      </c>
      <c r="AC1371" t="s">
        <v>32</v>
      </c>
      <c r="AD1371" t="s">
        <v>32</v>
      </c>
      <c r="AE1371" t="s">
        <v>16202</v>
      </c>
      <c r="AF1371" t="s">
        <v>46835</v>
      </c>
    </row>
    <row r="1372" spans="1:33" x14ac:dyDescent="0.2">
      <c r="A1372">
        <v>1367</v>
      </c>
      <c r="B1372" t="s">
        <v>16203</v>
      </c>
      <c r="C1372" t="s">
        <v>16204</v>
      </c>
      <c r="D1372" t="s">
        <v>16205</v>
      </c>
      <c r="E1372" t="s">
        <v>16206</v>
      </c>
      <c r="F1372" t="s">
        <v>16207</v>
      </c>
      <c r="G1372" t="s">
        <v>16208</v>
      </c>
      <c r="H1372" t="str">
        <f>"Ash2l"</f>
        <v>Ash2l</v>
      </c>
      <c r="I1372" t="s">
        <v>32</v>
      </c>
      <c r="J1372" t="s">
        <v>37</v>
      </c>
      <c r="K1372">
        <v>10090</v>
      </c>
      <c r="L1372" s="3" t="str">
        <f>HYPERLINK("http://www.uniprot.org/uniprot/Q91X20", "Q91X20")</f>
        <v>Q91X20</v>
      </c>
      <c r="M1372" t="s">
        <v>16209</v>
      </c>
      <c r="N1372" t="str">
        <f>"Ash2l"</f>
        <v>Ash2l</v>
      </c>
      <c r="O1372" s="3" t="str">
        <f>HYPERLINK("http://www.informatics.jax.org/marker/MGI:1344416", "MGI:1344416")</f>
        <v>MGI:1344416</v>
      </c>
      <c r="P1372" t="s">
        <v>16210</v>
      </c>
      <c r="Q1372" t="s">
        <v>4152</v>
      </c>
      <c r="R1372" t="s">
        <v>2279</v>
      </c>
      <c r="S1372" t="s">
        <v>32</v>
      </c>
      <c r="T1372" t="s">
        <v>32</v>
      </c>
      <c r="U1372" t="s">
        <v>32</v>
      </c>
      <c r="V1372" t="s">
        <v>446</v>
      </c>
      <c r="W1372" t="s">
        <v>42</v>
      </c>
      <c r="X1372" t="s">
        <v>5712</v>
      </c>
      <c r="Y1372" t="s">
        <v>2734</v>
      </c>
      <c r="Z1372" t="s">
        <v>32</v>
      </c>
      <c r="AA1372" t="s">
        <v>16211</v>
      </c>
      <c r="AB1372" t="s">
        <v>16212</v>
      </c>
      <c r="AC1372" t="s">
        <v>16213</v>
      </c>
      <c r="AD1372" t="s">
        <v>32</v>
      </c>
      <c r="AE1372" t="s">
        <v>16214</v>
      </c>
      <c r="AF1372" t="s">
        <v>46835</v>
      </c>
    </row>
    <row r="1373" spans="1:33" x14ac:dyDescent="0.2">
      <c r="A1373">
        <v>1368</v>
      </c>
      <c r="B1373" t="s">
        <v>16215</v>
      </c>
      <c r="C1373" t="s">
        <v>16216</v>
      </c>
      <c r="D1373" t="s">
        <v>16217</v>
      </c>
      <c r="E1373" t="s">
        <v>16218</v>
      </c>
      <c r="F1373" t="s">
        <v>16219</v>
      </c>
      <c r="G1373" t="s">
        <v>16220</v>
      </c>
      <c r="H1373" t="str">
        <f>"Ilk"</f>
        <v>Ilk</v>
      </c>
      <c r="I1373" t="s">
        <v>32</v>
      </c>
      <c r="J1373" t="s">
        <v>37</v>
      </c>
      <c r="K1373">
        <v>10090</v>
      </c>
      <c r="L1373" s="3" t="str">
        <f>HYPERLINK("http://www.uniprot.org/uniprot/O55222", "O55222")</f>
        <v>O55222</v>
      </c>
      <c r="M1373" t="s">
        <v>16221</v>
      </c>
      <c r="N1373" t="str">
        <f>"Ilk"</f>
        <v>Ilk</v>
      </c>
      <c r="O1373" s="3" t="str">
        <f>HYPERLINK("http://www.informatics.jax.org/marker/MGI:1195267", "MGI:1195267")</f>
        <v>MGI:1195267</v>
      </c>
      <c r="P1373" t="s">
        <v>16222</v>
      </c>
      <c r="Q1373" t="s">
        <v>32</v>
      </c>
      <c r="R1373" t="s">
        <v>16223</v>
      </c>
      <c r="S1373" t="s">
        <v>32</v>
      </c>
      <c r="T1373" t="s">
        <v>32</v>
      </c>
      <c r="U1373" t="s">
        <v>32</v>
      </c>
      <c r="V1373" t="s">
        <v>912</v>
      </c>
      <c r="W1373" t="s">
        <v>205</v>
      </c>
      <c r="X1373" t="s">
        <v>5419</v>
      </c>
      <c r="Y1373" t="s">
        <v>157</v>
      </c>
      <c r="Z1373" t="s">
        <v>32</v>
      </c>
      <c r="AA1373" t="s">
        <v>16224</v>
      </c>
      <c r="AB1373" t="s">
        <v>16225</v>
      </c>
      <c r="AC1373" t="s">
        <v>16226</v>
      </c>
      <c r="AD1373" t="s">
        <v>32</v>
      </c>
      <c r="AE1373" t="s">
        <v>16227</v>
      </c>
      <c r="AF1373" t="s">
        <v>46835</v>
      </c>
    </row>
    <row r="1374" spans="1:33" x14ac:dyDescent="0.2">
      <c r="A1374">
        <v>1369</v>
      </c>
      <c r="B1374" t="s">
        <v>16228</v>
      </c>
      <c r="C1374" t="s">
        <v>16229</v>
      </c>
      <c r="D1374" t="s">
        <v>16230</v>
      </c>
      <c r="E1374" t="s">
        <v>16231</v>
      </c>
      <c r="F1374" t="s">
        <v>16232</v>
      </c>
      <c r="G1374" t="s">
        <v>16233</v>
      </c>
      <c r="H1374" t="str">
        <f>"Obp1a"</f>
        <v>Obp1a</v>
      </c>
      <c r="I1374" t="s">
        <v>32</v>
      </c>
      <c r="J1374" t="s">
        <v>37</v>
      </c>
      <c r="K1374">
        <v>10090</v>
      </c>
      <c r="L1374" s="3" t="str">
        <f>HYPERLINK("http://www.uniprot.org/uniprot/Q9D3H2", "Q9D3H2")</f>
        <v>Q9D3H2</v>
      </c>
      <c r="M1374" t="s">
        <v>16234</v>
      </c>
      <c r="N1374" t="str">
        <f>"Obp1a"</f>
        <v>Obp1a</v>
      </c>
      <c r="O1374" s="3" t="str">
        <f>HYPERLINK("http://www.informatics.jax.org/marker/MGI:1277949", "MGI:1277949")</f>
        <v>MGI:1277949</v>
      </c>
      <c r="P1374" t="s">
        <v>16235</v>
      </c>
      <c r="Q1374" t="s">
        <v>16236</v>
      </c>
      <c r="R1374" t="s">
        <v>630</v>
      </c>
      <c r="S1374" t="s">
        <v>32</v>
      </c>
      <c r="T1374" t="s">
        <v>32</v>
      </c>
      <c r="U1374" t="s">
        <v>32</v>
      </c>
      <c r="V1374" t="s">
        <v>811</v>
      </c>
      <c r="W1374" t="s">
        <v>32</v>
      </c>
      <c r="X1374" t="s">
        <v>32</v>
      </c>
      <c r="Y1374" t="s">
        <v>494</v>
      </c>
      <c r="Z1374" t="s">
        <v>32</v>
      </c>
      <c r="AA1374" t="s">
        <v>16237</v>
      </c>
      <c r="AB1374" t="s">
        <v>9349</v>
      </c>
      <c r="AC1374" t="s">
        <v>16238</v>
      </c>
      <c r="AD1374" t="s">
        <v>32</v>
      </c>
      <c r="AE1374" t="s">
        <v>32</v>
      </c>
      <c r="AF1374" t="s">
        <v>46835</v>
      </c>
    </row>
    <row r="1375" spans="1:33" x14ac:dyDescent="0.2">
      <c r="A1375">
        <v>1370</v>
      </c>
      <c r="B1375" t="s">
        <v>16239</v>
      </c>
      <c r="C1375" t="s">
        <v>16240</v>
      </c>
      <c r="D1375" t="s">
        <v>16241</v>
      </c>
      <c r="E1375" t="s">
        <v>16242</v>
      </c>
      <c r="F1375" t="s">
        <v>16243</v>
      </c>
      <c r="G1375" t="s">
        <v>32</v>
      </c>
      <c r="H1375" t="str">
        <f>"Snw1"</f>
        <v>Snw1</v>
      </c>
      <c r="I1375" t="s">
        <v>16244</v>
      </c>
      <c r="J1375" t="s">
        <v>37</v>
      </c>
      <c r="K1375">
        <v>10090</v>
      </c>
      <c r="L1375" s="3" t="str">
        <f>HYPERLINK("http://www.uniprot.org/uniprot/Q9CSN1", "Q9CSN1")</f>
        <v>Q9CSN1</v>
      </c>
      <c r="M1375" t="s">
        <v>16245</v>
      </c>
      <c r="N1375" t="str">
        <f>"Snw1"</f>
        <v>Snw1</v>
      </c>
      <c r="O1375" s="3" t="str">
        <f>HYPERLINK("http://www.informatics.jax.org/marker/MGI:1913604", "MGI:1913604")</f>
        <v>MGI:1913604</v>
      </c>
      <c r="P1375" t="s">
        <v>16246</v>
      </c>
      <c r="Q1375" t="s">
        <v>1348</v>
      </c>
      <c r="R1375" t="s">
        <v>2140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t="s">
        <v>516</v>
      </c>
      <c r="Z1375" t="s">
        <v>32</v>
      </c>
      <c r="AA1375" t="s">
        <v>16247</v>
      </c>
      <c r="AB1375" t="s">
        <v>16248</v>
      </c>
      <c r="AC1375" t="s">
        <v>16249</v>
      </c>
      <c r="AD1375" t="s">
        <v>32</v>
      </c>
      <c r="AE1375" t="s">
        <v>16250</v>
      </c>
      <c r="AF1375" t="s">
        <v>46835</v>
      </c>
    </row>
    <row r="1376" spans="1:33" x14ac:dyDescent="0.2">
      <c r="A1376">
        <v>1371</v>
      </c>
      <c r="B1376" t="s">
        <v>16251</v>
      </c>
      <c r="C1376" t="s">
        <v>16252</v>
      </c>
      <c r="D1376" t="s">
        <v>16253</v>
      </c>
      <c r="E1376" t="s">
        <v>16254</v>
      </c>
      <c r="F1376" t="s">
        <v>16255</v>
      </c>
      <c r="G1376" t="s">
        <v>32</v>
      </c>
      <c r="H1376" t="str">
        <f>"Sh3gl1"</f>
        <v>Sh3gl1</v>
      </c>
      <c r="I1376" t="s">
        <v>16256</v>
      </c>
      <c r="J1376" t="s">
        <v>37</v>
      </c>
      <c r="K1376">
        <v>10090</v>
      </c>
      <c r="L1376" s="3" t="str">
        <f>HYPERLINK("http://www.uniprot.org/uniprot/Q62419", "Q62419")</f>
        <v>Q62419</v>
      </c>
      <c r="M1376" t="s">
        <v>16257</v>
      </c>
      <c r="N1376" t="str">
        <f>"Sh3gl1"</f>
        <v>Sh3gl1</v>
      </c>
      <c r="O1376" s="3" t="str">
        <f>HYPERLINK("http://www.informatics.jax.org/marker/MGI:700010", "MGI:700010")</f>
        <v>MGI:700010</v>
      </c>
      <c r="P1376" t="s">
        <v>16258</v>
      </c>
      <c r="Q1376" t="s">
        <v>2822</v>
      </c>
      <c r="R1376" t="s">
        <v>16259</v>
      </c>
      <c r="S1376" t="s">
        <v>32</v>
      </c>
      <c r="T1376" t="s">
        <v>32</v>
      </c>
      <c r="U1376" t="s">
        <v>32</v>
      </c>
      <c r="V1376" t="s">
        <v>1606</v>
      </c>
      <c r="W1376" t="s">
        <v>584</v>
      </c>
      <c r="X1376" t="s">
        <v>32</v>
      </c>
      <c r="Y1376" t="s">
        <v>618</v>
      </c>
      <c r="Z1376" t="s">
        <v>32</v>
      </c>
      <c r="AA1376" t="s">
        <v>16260</v>
      </c>
      <c r="AB1376" t="s">
        <v>16261</v>
      </c>
      <c r="AC1376" t="s">
        <v>16262</v>
      </c>
      <c r="AD1376" t="s">
        <v>32</v>
      </c>
      <c r="AE1376" t="s">
        <v>16263</v>
      </c>
      <c r="AF1376" t="s">
        <v>46835</v>
      </c>
    </row>
    <row r="1377" spans="1:33" x14ac:dyDescent="0.2">
      <c r="A1377">
        <v>1372</v>
      </c>
      <c r="B1377" t="s">
        <v>16264</v>
      </c>
      <c r="C1377" t="s">
        <v>16265</v>
      </c>
      <c r="D1377" t="s">
        <v>16266</v>
      </c>
      <c r="E1377" t="s">
        <v>16267</v>
      </c>
      <c r="F1377" t="s">
        <v>16268</v>
      </c>
      <c r="G1377" t="s">
        <v>16269</v>
      </c>
      <c r="H1377" t="str">
        <f>"Kif2a"</f>
        <v>Kif2a</v>
      </c>
      <c r="I1377" t="s">
        <v>16270</v>
      </c>
      <c r="J1377" t="s">
        <v>37</v>
      </c>
      <c r="K1377">
        <v>10090</v>
      </c>
      <c r="L1377" s="3" t="str">
        <f>HYPERLINK("http://www.uniprot.org/uniprot/P28740", "P28740")</f>
        <v>P28740</v>
      </c>
      <c r="M1377" t="s">
        <v>16271</v>
      </c>
      <c r="N1377" t="str">
        <f>"Kif2a"</f>
        <v>Kif2a</v>
      </c>
      <c r="O1377" s="3" t="str">
        <f>HYPERLINK("http://www.informatics.jax.org/marker/MGI:108390", "MGI:108390")</f>
        <v>MGI:108390</v>
      </c>
      <c r="P1377" t="s">
        <v>16272</v>
      </c>
      <c r="Q1377" t="s">
        <v>16273</v>
      </c>
      <c r="R1377" t="s">
        <v>16274</v>
      </c>
      <c r="S1377" t="s">
        <v>41</v>
      </c>
      <c r="T1377" t="s">
        <v>32</v>
      </c>
      <c r="U1377" t="s">
        <v>32</v>
      </c>
      <c r="V1377" t="s">
        <v>290</v>
      </c>
      <c r="W1377" t="s">
        <v>205</v>
      </c>
      <c r="X1377" t="s">
        <v>16275</v>
      </c>
      <c r="Y1377" t="s">
        <v>157</v>
      </c>
      <c r="Z1377" t="s">
        <v>32</v>
      </c>
      <c r="AA1377" t="s">
        <v>16276</v>
      </c>
      <c r="AB1377" t="s">
        <v>16277</v>
      </c>
      <c r="AC1377" t="s">
        <v>16278</v>
      </c>
      <c r="AD1377" t="s">
        <v>32</v>
      </c>
      <c r="AE1377" t="s">
        <v>16279</v>
      </c>
      <c r="AF1377" t="s">
        <v>46835</v>
      </c>
    </row>
    <row r="1378" spans="1:33" x14ac:dyDescent="0.2">
      <c r="A1378">
        <v>1373</v>
      </c>
      <c r="B1378" t="s">
        <v>16280</v>
      </c>
      <c r="C1378" t="s">
        <v>16281</v>
      </c>
      <c r="D1378" t="s">
        <v>16282</v>
      </c>
      <c r="E1378" t="s">
        <v>16283</v>
      </c>
      <c r="F1378" t="s">
        <v>16284</v>
      </c>
      <c r="G1378" t="s">
        <v>32</v>
      </c>
      <c r="H1378" t="str">
        <f>"Pmpcb"</f>
        <v>Pmpcb</v>
      </c>
      <c r="I1378" t="s">
        <v>32</v>
      </c>
      <c r="J1378" t="s">
        <v>37</v>
      </c>
      <c r="K1378">
        <v>10090</v>
      </c>
      <c r="L1378" s="3" t="str">
        <f>HYPERLINK("http://www.uniprot.org/uniprot/Q9CXT8", "Q9CXT8")</f>
        <v>Q9CXT8</v>
      </c>
      <c r="M1378" t="s">
        <v>16285</v>
      </c>
      <c r="N1378" t="str">
        <f>"Pmpcb"</f>
        <v>Pmpcb</v>
      </c>
      <c r="O1378" s="3" t="str">
        <f>HYPERLINK("http://www.informatics.jax.org/marker/MGI:1920328", "MGI:1920328")</f>
        <v>MGI:1920328</v>
      </c>
      <c r="P1378" t="s">
        <v>16286</v>
      </c>
      <c r="Q1378" t="s">
        <v>32</v>
      </c>
      <c r="R1378" t="s">
        <v>1038</v>
      </c>
      <c r="S1378" t="s">
        <v>32</v>
      </c>
      <c r="T1378" t="s">
        <v>32</v>
      </c>
      <c r="U1378" t="s">
        <v>32</v>
      </c>
      <c r="V1378" t="s">
        <v>1039</v>
      </c>
      <c r="W1378" t="s">
        <v>42</v>
      </c>
      <c r="X1378" t="s">
        <v>4882</v>
      </c>
      <c r="Y1378" t="s">
        <v>32</v>
      </c>
      <c r="Z1378" t="s">
        <v>32</v>
      </c>
      <c r="AA1378" t="s">
        <v>12811</v>
      </c>
      <c r="AB1378" t="s">
        <v>16287</v>
      </c>
      <c r="AC1378" t="s">
        <v>12812</v>
      </c>
      <c r="AD1378" t="s">
        <v>32</v>
      </c>
      <c r="AE1378" t="s">
        <v>8564</v>
      </c>
      <c r="AF1378" t="s">
        <v>46835</v>
      </c>
    </row>
    <row r="1379" spans="1:33" x14ac:dyDescent="0.2">
      <c r="A1379">
        <v>1374</v>
      </c>
      <c r="B1379" t="s">
        <v>16288</v>
      </c>
      <c r="C1379" t="s">
        <v>16289</v>
      </c>
      <c r="D1379" t="s">
        <v>16290</v>
      </c>
      <c r="E1379" t="s">
        <v>16291</v>
      </c>
      <c r="F1379" t="s">
        <v>16292</v>
      </c>
      <c r="G1379" t="s">
        <v>16293</v>
      </c>
      <c r="H1379" t="str">
        <f>"Birc7"</f>
        <v>Birc7</v>
      </c>
      <c r="I1379" t="s">
        <v>16294</v>
      </c>
      <c r="J1379" t="s">
        <v>37</v>
      </c>
      <c r="K1379">
        <v>10090</v>
      </c>
      <c r="L1379" s="3" t="str">
        <f>HYPERLINK("http://www.uniprot.org/uniprot/A2AWP0", "A2AWP0")</f>
        <v>A2AWP0</v>
      </c>
      <c r="M1379" t="s">
        <v>16295</v>
      </c>
      <c r="N1379" t="str">
        <f>"Birc7"</f>
        <v>Birc7</v>
      </c>
      <c r="O1379" s="3" t="str">
        <f>HYPERLINK("http://www.informatics.jax.org/marker/MGI:2676458", "MGI:2676458")</f>
        <v>MGI:2676458</v>
      </c>
      <c r="P1379" t="s">
        <v>16296</v>
      </c>
      <c r="Q1379" t="s">
        <v>16297</v>
      </c>
      <c r="R1379" t="s">
        <v>9392</v>
      </c>
      <c r="S1379" t="s">
        <v>32</v>
      </c>
      <c r="T1379" t="s">
        <v>32</v>
      </c>
      <c r="U1379" t="s">
        <v>32</v>
      </c>
      <c r="V1379" t="s">
        <v>446</v>
      </c>
      <c r="W1379" t="s">
        <v>42</v>
      </c>
      <c r="X1379" t="s">
        <v>16298</v>
      </c>
      <c r="Y1379" t="s">
        <v>5599</v>
      </c>
      <c r="Z1379" t="s">
        <v>32</v>
      </c>
      <c r="AA1379" t="s">
        <v>16299</v>
      </c>
      <c r="AB1379" t="s">
        <v>16300</v>
      </c>
      <c r="AC1379" t="s">
        <v>16301</v>
      </c>
      <c r="AD1379" t="s">
        <v>32</v>
      </c>
      <c r="AE1379" t="s">
        <v>32</v>
      </c>
      <c r="AF1379" t="s">
        <v>46835</v>
      </c>
    </row>
    <row r="1380" spans="1:33" x14ac:dyDescent="0.2">
      <c r="A1380">
        <v>1375</v>
      </c>
      <c r="B1380" t="s">
        <v>16302</v>
      </c>
      <c r="C1380" t="s">
        <v>16303</v>
      </c>
      <c r="D1380" t="s">
        <v>16304</v>
      </c>
      <c r="E1380" t="s">
        <v>16305</v>
      </c>
      <c r="F1380" t="s">
        <v>16306</v>
      </c>
      <c r="G1380" t="s">
        <v>16307</v>
      </c>
      <c r="H1380" t="str">
        <f>"Rida"</f>
        <v>Rida</v>
      </c>
      <c r="I1380" t="s">
        <v>32</v>
      </c>
      <c r="J1380" t="s">
        <v>37</v>
      </c>
      <c r="K1380">
        <v>10090</v>
      </c>
      <c r="L1380" s="3" t="str">
        <f>HYPERLINK("http://www.uniprot.org/uniprot/P52760", "P52760")</f>
        <v>P52760</v>
      </c>
      <c r="M1380" t="s">
        <v>16308</v>
      </c>
      <c r="N1380" t="str">
        <f>"Rida"</f>
        <v>Rida</v>
      </c>
      <c r="O1380" s="3" t="str">
        <f>HYPERLINK("http://www.informatics.jax.org/marker/MGI:1095401", "MGI:1095401")</f>
        <v>MGI:1095401</v>
      </c>
      <c r="P1380" t="s">
        <v>16309</v>
      </c>
      <c r="Q1380" t="s">
        <v>598</v>
      </c>
      <c r="R1380" t="s">
        <v>16310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16311</v>
      </c>
      <c r="Y1380" t="s">
        <v>78</v>
      </c>
      <c r="Z1380" t="s">
        <v>32</v>
      </c>
      <c r="AA1380" t="s">
        <v>16312</v>
      </c>
      <c r="AB1380" t="s">
        <v>16313</v>
      </c>
      <c r="AC1380" t="s">
        <v>16314</v>
      </c>
      <c r="AD1380" t="s">
        <v>32</v>
      </c>
      <c r="AE1380" t="s">
        <v>16315</v>
      </c>
      <c r="AF1380" t="s">
        <v>46835</v>
      </c>
    </row>
    <row r="1381" spans="1:33" x14ac:dyDescent="0.2">
      <c r="A1381">
        <v>1376</v>
      </c>
      <c r="B1381" t="s">
        <v>16316</v>
      </c>
      <c r="C1381" t="s">
        <v>16317</v>
      </c>
      <c r="D1381" t="s">
        <v>32</v>
      </c>
      <c r="E1381" t="s">
        <v>16318</v>
      </c>
      <c r="F1381" t="s">
        <v>16319</v>
      </c>
      <c r="G1381" t="s">
        <v>16320</v>
      </c>
      <c r="H1381" t="str">
        <f>"Prkaca"</f>
        <v>Prkaca</v>
      </c>
      <c r="I1381" t="s">
        <v>16321</v>
      </c>
      <c r="J1381" t="s">
        <v>37</v>
      </c>
      <c r="K1381">
        <v>10090</v>
      </c>
      <c r="L1381" s="3" t="str">
        <f>HYPERLINK("http://www.uniprot.org/uniprot/P05132", "P05132")</f>
        <v>P05132</v>
      </c>
      <c r="M1381" t="s">
        <v>16322</v>
      </c>
      <c r="N1381" t="str">
        <f>"Prkaca"</f>
        <v>Prkaca</v>
      </c>
      <c r="O1381" s="3" t="str">
        <f>HYPERLINK("http://www.informatics.jax.org/marker/MGI:97592", "MGI:97592")</f>
        <v>MGI:97592</v>
      </c>
      <c r="P1381" t="s">
        <v>16323</v>
      </c>
      <c r="Q1381" t="s">
        <v>32</v>
      </c>
      <c r="R1381" t="s">
        <v>16324</v>
      </c>
      <c r="S1381" t="s">
        <v>41</v>
      </c>
      <c r="T1381" t="s">
        <v>32</v>
      </c>
      <c r="U1381" t="s">
        <v>32</v>
      </c>
      <c r="V1381" t="s">
        <v>32</v>
      </c>
      <c r="W1381" t="s">
        <v>16325</v>
      </c>
      <c r="X1381" t="s">
        <v>5419</v>
      </c>
      <c r="Y1381" t="s">
        <v>5562</v>
      </c>
      <c r="Z1381" t="s">
        <v>126</v>
      </c>
      <c r="AA1381" t="s">
        <v>16326</v>
      </c>
      <c r="AB1381" t="s">
        <v>16327</v>
      </c>
      <c r="AC1381" t="s">
        <v>16328</v>
      </c>
      <c r="AD1381" t="s">
        <v>32</v>
      </c>
      <c r="AE1381" t="s">
        <v>16329</v>
      </c>
      <c r="AF1381" t="s">
        <v>46835</v>
      </c>
    </row>
    <row r="1382" spans="1:33" x14ac:dyDescent="0.2">
      <c r="A1382">
        <v>1377</v>
      </c>
      <c r="B1382" t="s">
        <v>16330</v>
      </c>
      <c r="C1382" t="s">
        <v>16331</v>
      </c>
      <c r="D1382" t="s">
        <v>32</v>
      </c>
      <c r="E1382" t="s">
        <v>16332</v>
      </c>
      <c r="F1382" t="s">
        <v>16333</v>
      </c>
      <c r="G1382" t="s">
        <v>16334</v>
      </c>
      <c r="H1382" t="str">
        <f>"Pygb"</f>
        <v>Pygb</v>
      </c>
      <c r="I1382" t="s">
        <v>32</v>
      </c>
      <c r="J1382" t="s">
        <v>37</v>
      </c>
      <c r="K1382">
        <v>10090</v>
      </c>
      <c r="L1382" s="3" t="str">
        <f>HYPERLINK("http://www.uniprot.org/uniprot/Q8CI94", "Q8CI94")</f>
        <v>Q8CI94</v>
      </c>
      <c r="M1382" t="s">
        <v>16335</v>
      </c>
      <c r="N1382" t="str">
        <f>"Pygb"</f>
        <v>Pygb</v>
      </c>
      <c r="O1382" s="3" t="str">
        <f>HYPERLINK("http://www.informatics.jax.org/marker/MGI:97828", "MGI:97828")</f>
        <v>MGI:97828</v>
      </c>
      <c r="P1382" t="s">
        <v>16336</v>
      </c>
      <c r="Q1382" t="s">
        <v>1718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3373</v>
      </c>
      <c r="X1382" t="s">
        <v>1720</v>
      </c>
      <c r="Y1382" t="s">
        <v>157</v>
      </c>
      <c r="Z1382" t="s">
        <v>32</v>
      </c>
      <c r="AA1382" t="s">
        <v>16337</v>
      </c>
      <c r="AB1382" t="s">
        <v>16338</v>
      </c>
      <c r="AC1382" t="s">
        <v>16339</v>
      </c>
      <c r="AD1382" t="s">
        <v>32</v>
      </c>
      <c r="AE1382" t="s">
        <v>548</v>
      </c>
      <c r="AF1382" t="s">
        <v>46835</v>
      </c>
    </row>
    <row r="1383" spans="1:33" x14ac:dyDescent="0.2">
      <c r="A1383">
        <v>1378</v>
      </c>
      <c r="B1383" t="s">
        <v>16340</v>
      </c>
      <c r="C1383" t="s">
        <v>16341</v>
      </c>
      <c r="D1383" t="s">
        <v>32</v>
      </c>
      <c r="E1383" t="s">
        <v>16342</v>
      </c>
      <c r="F1383" t="s">
        <v>16343</v>
      </c>
      <c r="G1383" t="s">
        <v>16344</v>
      </c>
      <c r="H1383" t="str">
        <f>"Kng1"</f>
        <v>Kng1</v>
      </c>
      <c r="I1383" t="s">
        <v>16345</v>
      </c>
      <c r="J1383" t="s">
        <v>37</v>
      </c>
      <c r="K1383">
        <v>10090</v>
      </c>
      <c r="L1383" s="3" t="str">
        <f>HYPERLINK("http://www.uniprot.org/uniprot/O08677", "O08677")</f>
        <v>O08677</v>
      </c>
      <c r="M1383" t="s">
        <v>16346</v>
      </c>
      <c r="N1383" t="str">
        <f>"Kng1"</f>
        <v>Kng1</v>
      </c>
      <c r="O1383" s="3" t="str">
        <f>HYPERLINK("http://www.informatics.jax.org/marker/MGI:1097705", "MGI:1097705")</f>
        <v>MGI:1097705</v>
      </c>
      <c r="P1383" t="s">
        <v>16347</v>
      </c>
      <c r="Q1383" t="s">
        <v>16348</v>
      </c>
      <c r="R1383" t="s">
        <v>630</v>
      </c>
      <c r="S1383" t="s">
        <v>41</v>
      </c>
      <c r="T1383" t="s">
        <v>32</v>
      </c>
      <c r="U1383" t="s">
        <v>32</v>
      </c>
      <c r="V1383" t="s">
        <v>478</v>
      </c>
      <c r="W1383" t="s">
        <v>32</v>
      </c>
      <c r="X1383" t="s">
        <v>16349</v>
      </c>
      <c r="Y1383" t="s">
        <v>2865</v>
      </c>
      <c r="Z1383" t="s">
        <v>32</v>
      </c>
      <c r="AA1383" t="s">
        <v>16350</v>
      </c>
      <c r="AB1383" t="s">
        <v>16351</v>
      </c>
      <c r="AC1383" t="s">
        <v>16352</v>
      </c>
      <c r="AD1383" t="s">
        <v>32</v>
      </c>
      <c r="AE1383" t="s">
        <v>32</v>
      </c>
      <c r="AF1383" t="s">
        <v>46835</v>
      </c>
    </row>
    <row r="1384" spans="1:33" x14ac:dyDescent="0.2">
      <c r="A1384">
        <v>1379</v>
      </c>
      <c r="B1384" t="s">
        <v>16353</v>
      </c>
      <c r="C1384" t="s">
        <v>16354</v>
      </c>
      <c r="D1384" t="s">
        <v>16355</v>
      </c>
      <c r="E1384" t="s">
        <v>16356</v>
      </c>
      <c r="F1384" t="s">
        <v>16357</v>
      </c>
      <c r="G1384" t="s">
        <v>16358</v>
      </c>
      <c r="H1384" t="str">
        <f>"Rbbp7"</f>
        <v>Rbbp7</v>
      </c>
      <c r="I1384" t="s">
        <v>16359</v>
      </c>
      <c r="J1384" t="s">
        <v>37</v>
      </c>
      <c r="K1384">
        <v>10090</v>
      </c>
      <c r="L1384" s="3" t="str">
        <f>HYPERLINK("http://www.uniprot.org/uniprot/Q60973", "Q60973")</f>
        <v>Q60973</v>
      </c>
      <c r="M1384" t="s">
        <v>16360</v>
      </c>
      <c r="N1384" t="str">
        <f>"Rbbp7"</f>
        <v>Rbbp7</v>
      </c>
      <c r="O1384" s="3" t="str">
        <f>HYPERLINK("http://www.informatics.jax.org/marker/MGI:1194910", "MGI:1194910")</f>
        <v>MGI:1194910</v>
      </c>
      <c r="P1384" t="s">
        <v>16361</v>
      </c>
      <c r="Q1384" t="s">
        <v>16362</v>
      </c>
      <c r="R1384" t="s">
        <v>2279</v>
      </c>
      <c r="S1384" t="s">
        <v>32</v>
      </c>
      <c r="T1384" t="s">
        <v>32</v>
      </c>
      <c r="U1384" t="s">
        <v>32</v>
      </c>
      <c r="V1384" t="s">
        <v>1910</v>
      </c>
      <c r="W1384" t="s">
        <v>32</v>
      </c>
      <c r="X1384" t="s">
        <v>16363</v>
      </c>
      <c r="Y1384" t="s">
        <v>516</v>
      </c>
      <c r="Z1384" t="s">
        <v>32</v>
      </c>
      <c r="AA1384" t="s">
        <v>16364</v>
      </c>
      <c r="AB1384" t="s">
        <v>16365</v>
      </c>
      <c r="AC1384" t="s">
        <v>16366</v>
      </c>
      <c r="AD1384" t="s">
        <v>32</v>
      </c>
      <c r="AE1384" t="s">
        <v>16367</v>
      </c>
      <c r="AF1384" t="s">
        <v>46835</v>
      </c>
    </row>
    <row r="1385" spans="1:33" x14ac:dyDescent="0.2">
      <c r="A1385">
        <v>1380</v>
      </c>
      <c r="B1385" t="s">
        <v>16368</v>
      </c>
      <c r="C1385" t="s">
        <v>47214</v>
      </c>
      <c r="D1385" t="s">
        <v>32</v>
      </c>
      <c r="E1385" t="s">
        <v>46900</v>
      </c>
      <c r="F1385" t="s">
        <v>46899</v>
      </c>
      <c r="G1385" t="s">
        <v>32</v>
      </c>
      <c r="H1385" t="s">
        <v>47347</v>
      </c>
      <c r="I1385" t="s">
        <v>32</v>
      </c>
      <c r="J1385" t="s">
        <v>37</v>
      </c>
      <c r="K1385">
        <v>10090</v>
      </c>
      <c r="L1385" s="3" t="str">
        <f>HYPERLINK(CONCATENATE("https://www.uniprot.org/uniprotkb/", AG1385, "/entry"), AG1385)</f>
        <v>B9EJ54</v>
      </c>
      <c r="M1385" t="s">
        <v>32</v>
      </c>
      <c r="N1385" t="s">
        <v>32</v>
      </c>
      <c r="O1385" s="3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t="s">
        <v>32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t="s">
        <v>46835</v>
      </c>
      <c r="AG1385" t="s">
        <v>46899</v>
      </c>
    </row>
    <row r="1386" spans="1:33" x14ac:dyDescent="0.2">
      <c r="A1386">
        <v>1381</v>
      </c>
      <c r="B1386" t="s">
        <v>16369</v>
      </c>
      <c r="C1386" t="s">
        <v>16370</v>
      </c>
      <c r="D1386" t="s">
        <v>16371</v>
      </c>
      <c r="E1386" t="s">
        <v>16372</v>
      </c>
      <c r="F1386" t="s">
        <v>16373</v>
      </c>
      <c r="G1386" t="s">
        <v>16374</v>
      </c>
      <c r="H1386" t="str">
        <f>"Cops8"</f>
        <v>Cops8</v>
      </c>
      <c r="I1386" t="s">
        <v>16375</v>
      </c>
      <c r="J1386" t="s">
        <v>37</v>
      </c>
      <c r="K1386">
        <v>10090</v>
      </c>
      <c r="L1386" s="3" t="str">
        <f>HYPERLINK("http://www.uniprot.org/uniprot/Q8VBV7", "Q8VBV7")</f>
        <v>Q8VBV7</v>
      </c>
      <c r="M1386" t="s">
        <v>16376</v>
      </c>
      <c r="N1386" t="str">
        <f>"Cops8"</f>
        <v>Cops8</v>
      </c>
      <c r="O1386" s="3" t="str">
        <f>HYPERLINK("http://www.informatics.jax.org/marker/MGI:1915363", "MGI:1915363")</f>
        <v>MGI:1915363</v>
      </c>
      <c r="P1386" t="s">
        <v>16377</v>
      </c>
      <c r="Q1386" t="s">
        <v>32</v>
      </c>
      <c r="R1386" t="s">
        <v>7411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618</v>
      </c>
      <c r="Z1386" t="s">
        <v>32</v>
      </c>
      <c r="AA1386" t="s">
        <v>16378</v>
      </c>
      <c r="AB1386" t="s">
        <v>13274</v>
      </c>
      <c r="AC1386" t="s">
        <v>32</v>
      </c>
      <c r="AD1386" t="s">
        <v>32</v>
      </c>
      <c r="AE1386" t="s">
        <v>10543</v>
      </c>
      <c r="AF1386" t="s">
        <v>46835</v>
      </c>
    </row>
    <row r="1387" spans="1:33" x14ac:dyDescent="0.2">
      <c r="A1387">
        <v>1382</v>
      </c>
      <c r="B1387" t="s">
        <v>16379</v>
      </c>
      <c r="C1387" t="s">
        <v>16380</v>
      </c>
      <c r="D1387" t="s">
        <v>16381</v>
      </c>
      <c r="E1387" t="s">
        <v>16382</v>
      </c>
      <c r="F1387" t="s">
        <v>16383</v>
      </c>
      <c r="G1387" t="s">
        <v>16384</v>
      </c>
      <c r="H1387" t="str">
        <f>"Ubqln2"</f>
        <v>Ubqln2</v>
      </c>
      <c r="I1387" t="s">
        <v>16385</v>
      </c>
      <c r="J1387" t="s">
        <v>37</v>
      </c>
      <c r="K1387">
        <v>10090</v>
      </c>
      <c r="L1387" s="3" t="str">
        <f>HYPERLINK("http://www.uniprot.org/uniprot/Q9QZM0", "Q9QZM0")</f>
        <v>Q9QZM0</v>
      </c>
      <c r="M1387" t="s">
        <v>16386</v>
      </c>
      <c r="N1387" t="str">
        <f>"Ubqln2"</f>
        <v>Ubqln2</v>
      </c>
      <c r="O1387" s="3" t="str">
        <f>HYPERLINK("http://www.informatics.jax.org/marker/MGI:1860283", "MGI:1860283")</f>
        <v>MGI:1860283</v>
      </c>
      <c r="P1387" t="s">
        <v>16387</v>
      </c>
      <c r="Q1387" t="s">
        <v>11661</v>
      </c>
      <c r="R1387" t="s">
        <v>6514</v>
      </c>
      <c r="S1387" t="s">
        <v>32</v>
      </c>
      <c r="T1387" t="s">
        <v>32</v>
      </c>
      <c r="U1387" t="s">
        <v>32</v>
      </c>
      <c r="V1387" t="s">
        <v>55</v>
      </c>
      <c r="W1387" t="s">
        <v>32</v>
      </c>
      <c r="X1387" t="s">
        <v>32</v>
      </c>
      <c r="Y1387" t="s">
        <v>157</v>
      </c>
      <c r="Z1387" t="s">
        <v>32</v>
      </c>
      <c r="AA1387" t="s">
        <v>16388</v>
      </c>
      <c r="AB1387" t="s">
        <v>16389</v>
      </c>
      <c r="AC1387" t="s">
        <v>16390</v>
      </c>
      <c r="AD1387" t="s">
        <v>32</v>
      </c>
      <c r="AE1387" t="s">
        <v>16391</v>
      </c>
      <c r="AF1387" t="s">
        <v>46835</v>
      </c>
    </row>
    <row r="1388" spans="1:33" x14ac:dyDescent="0.2">
      <c r="A1388">
        <v>1383</v>
      </c>
      <c r="B1388" t="s">
        <v>16392</v>
      </c>
      <c r="C1388" t="s">
        <v>16393</v>
      </c>
      <c r="D1388" t="s">
        <v>16394</v>
      </c>
      <c r="E1388" t="s">
        <v>16395</v>
      </c>
      <c r="F1388" t="s">
        <v>16396</v>
      </c>
      <c r="G1388" t="s">
        <v>16397</v>
      </c>
      <c r="H1388" t="str">
        <f>"Actl6a"</f>
        <v>Actl6a</v>
      </c>
      <c r="I1388" t="s">
        <v>16398</v>
      </c>
      <c r="J1388" t="s">
        <v>37</v>
      </c>
      <c r="K1388">
        <v>10090</v>
      </c>
      <c r="L1388" s="3" t="str">
        <f>HYPERLINK("http://www.uniprot.org/uniprot/Q9Z2N8", "Q9Z2N8")</f>
        <v>Q9Z2N8</v>
      </c>
      <c r="M1388" t="s">
        <v>16399</v>
      </c>
      <c r="N1388" t="str">
        <f>"Actl6a"</f>
        <v>Actl6a</v>
      </c>
      <c r="O1388" s="3" t="str">
        <f>HYPERLINK("http://www.informatics.jax.org/marker/MGI:1861453", "MGI:1861453")</f>
        <v>MGI:1861453</v>
      </c>
      <c r="P1388" t="s">
        <v>16400</v>
      </c>
      <c r="Q1388" t="s">
        <v>16401</v>
      </c>
      <c r="R1388" t="s">
        <v>2279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15794</v>
      </c>
      <c r="Y1388" t="s">
        <v>516</v>
      </c>
      <c r="Z1388" t="s">
        <v>32</v>
      </c>
      <c r="AA1388" t="s">
        <v>16402</v>
      </c>
      <c r="AB1388" t="s">
        <v>16403</v>
      </c>
      <c r="AC1388" t="s">
        <v>16404</v>
      </c>
      <c r="AD1388" t="s">
        <v>32</v>
      </c>
      <c r="AE1388" t="s">
        <v>16405</v>
      </c>
      <c r="AF1388" t="s">
        <v>46835</v>
      </c>
    </row>
    <row r="1389" spans="1:33" x14ac:dyDescent="0.2">
      <c r="A1389">
        <v>1384</v>
      </c>
      <c r="B1389" t="s">
        <v>16406</v>
      </c>
      <c r="C1389" t="s">
        <v>16407</v>
      </c>
      <c r="D1389" t="s">
        <v>16408</v>
      </c>
      <c r="E1389" t="s">
        <v>16409</v>
      </c>
      <c r="F1389" t="s">
        <v>16410</v>
      </c>
      <c r="G1389" t="s">
        <v>16411</v>
      </c>
      <c r="H1389" t="str">
        <f>"Polr2a"</f>
        <v>Polr2a</v>
      </c>
      <c r="I1389" t="s">
        <v>16412</v>
      </c>
      <c r="J1389" t="s">
        <v>37</v>
      </c>
      <c r="K1389">
        <v>10090</v>
      </c>
      <c r="L1389" s="3" t="str">
        <f>HYPERLINK("http://www.uniprot.org/uniprot/P08775", "P08775")</f>
        <v>P08775</v>
      </c>
      <c r="M1389" t="s">
        <v>16413</v>
      </c>
      <c r="N1389" t="str">
        <f>"Polr2a"</f>
        <v>Polr2a</v>
      </c>
      <c r="O1389" s="3" t="str">
        <f>HYPERLINK("http://www.informatics.jax.org/marker/MGI:98086", "MGI:98086")</f>
        <v>MGI:98086</v>
      </c>
      <c r="P1389" t="s">
        <v>16414</v>
      </c>
      <c r="Q1389" t="s">
        <v>16415</v>
      </c>
      <c r="R1389" t="s">
        <v>16416</v>
      </c>
      <c r="S1389" t="s">
        <v>32</v>
      </c>
      <c r="T1389" t="s">
        <v>32</v>
      </c>
      <c r="U1389" t="s">
        <v>32</v>
      </c>
      <c r="V1389" t="s">
        <v>55</v>
      </c>
      <c r="W1389" t="s">
        <v>16417</v>
      </c>
      <c r="X1389" t="s">
        <v>16418</v>
      </c>
      <c r="Y1389" t="s">
        <v>277</v>
      </c>
      <c r="Z1389" t="s">
        <v>32</v>
      </c>
      <c r="AA1389" t="s">
        <v>16419</v>
      </c>
      <c r="AB1389" t="s">
        <v>16420</v>
      </c>
      <c r="AC1389" t="s">
        <v>16421</v>
      </c>
      <c r="AD1389" t="s">
        <v>32</v>
      </c>
      <c r="AE1389" t="s">
        <v>16422</v>
      </c>
      <c r="AF1389" t="s">
        <v>46835</v>
      </c>
    </row>
    <row r="1390" spans="1:33" x14ac:dyDescent="0.2">
      <c r="A1390">
        <v>1385</v>
      </c>
      <c r="B1390" t="s">
        <v>16423</v>
      </c>
      <c r="C1390" t="s">
        <v>16424</v>
      </c>
      <c r="D1390" t="s">
        <v>16425</v>
      </c>
      <c r="E1390" t="s">
        <v>16426</v>
      </c>
      <c r="F1390" t="s">
        <v>16427</v>
      </c>
      <c r="G1390" t="s">
        <v>16428</v>
      </c>
      <c r="H1390" t="str">
        <f>"Fnta"</f>
        <v>Fnta</v>
      </c>
      <c r="I1390" t="s">
        <v>32</v>
      </c>
      <c r="J1390" t="s">
        <v>37</v>
      </c>
      <c r="K1390">
        <v>10090</v>
      </c>
      <c r="L1390" s="3" t="str">
        <f>HYPERLINK("http://www.uniprot.org/uniprot/Q61239", "Q61239")</f>
        <v>Q61239</v>
      </c>
      <c r="M1390" t="s">
        <v>16429</v>
      </c>
      <c r="N1390" t="str">
        <f>"Fnta"</f>
        <v>Fnta</v>
      </c>
      <c r="O1390" s="3" t="str">
        <f>HYPERLINK("http://www.informatics.jax.org/marker/MGI:104683", "MGI:104683")</f>
        <v>MGI:104683</v>
      </c>
      <c r="P1390" t="s">
        <v>16430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55</v>
      </c>
      <c r="W1390" t="s">
        <v>16431</v>
      </c>
      <c r="X1390" t="s">
        <v>16432</v>
      </c>
      <c r="Y1390" t="s">
        <v>157</v>
      </c>
      <c r="Z1390" t="s">
        <v>32</v>
      </c>
      <c r="AA1390" t="s">
        <v>16433</v>
      </c>
      <c r="AB1390" t="s">
        <v>16434</v>
      </c>
      <c r="AC1390" t="s">
        <v>16435</v>
      </c>
      <c r="AD1390" t="s">
        <v>32</v>
      </c>
      <c r="AE1390" t="s">
        <v>16436</v>
      </c>
      <c r="AF1390" t="s">
        <v>46835</v>
      </c>
    </row>
    <row r="1391" spans="1:33" x14ac:dyDescent="0.2">
      <c r="A1391">
        <v>1386</v>
      </c>
      <c r="B1391" t="s">
        <v>16437</v>
      </c>
      <c r="C1391" t="s">
        <v>16438</v>
      </c>
      <c r="D1391" t="s">
        <v>32</v>
      </c>
      <c r="E1391" t="s">
        <v>16439</v>
      </c>
      <c r="F1391" t="s">
        <v>16440</v>
      </c>
      <c r="G1391" t="s">
        <v>16441</v>
      </c>
      <c r="H1391" t="str">
        <f>"Fgb"</f>
        <v>Fgb</v>
      </c>
      <c r="I1391" t="s">
        <v>32</v>
      </c>
      <c r="J1391" t="s">
        <v>37</v>
      </c>
      <c r="K1391">
        <v>10090</v>
      </c>
      <c r="L1391" s="3" t="str">
        <f>HYPERLINK("http://www.uniprot.org/uniprot/Q8K0E8", "Q8K0E8")</f>
        <v>Q8K0E8</v>
      </c>
      <c r="M1391" t="s">
        <v>16442</v>
      </c>
      <c r="N1391" t="str">
        <f>"Fgb"</f>
        <v>Fgb</v>
      </c>
      <c r="O1391" s="3" t="str">
        <f>HYPERLINK("http://www.informatics.jax.org/marker/MGI:99501", "MGI:99501")</f>
        <v>MGI:99501</v>
      </c>
      <c r="P1391" t="s">
        <v>16443</v>
      </c>
      <c r="Q1391" t="s">
        <v>16444</v>
      </c>
      <c r="R1391" t="s">
        <v>630</v>
      </c>
      <c r="S1391" t="s">
        <v>32</v>
      </c>
      <c r="T1391" t="s">
        <v>32</v>
      </c>
      <c r="U1391" t="s">
        <v>32</v>
      </c>
      <c r="V1391" t="s">
        <v>5956</v>
      </c>
      <c r="W1391" t="s">
        <v>32</v>
      </c>
      <c r="X1391" t="s">
        <v>32</v>
      </c>
      <c r="Y1391" t="s">
        <v>5275</v>
      </c>
      <c r="Z1391" t="s">
        <v>32</v>
      </c>
      <c r="AA1391" t="s">
        <v>16445</v>
      </c>
      <c r="AB1391" t="s">
        <v>16446</v>
      </c>
      <c r="AC1391" t="s">
        <v>16447</v>
      </c>
      <c r="AD1391" t="s">
        <v>32</v>
      </c>
      <c r="AE1391" t="s">
        <v>16448</v>
      </c>
      <c r="AF1391" t="s">
        <v>46835</v>
      </c>
    </row>
    <row r="1392" spans="1:33" x14ac:dyDescent="0.2">
      <c r="A1392">
        <v>1387</v>
      </c>
      <c r="B1392" t="s">
        <v>16449</v>
      </c>
      <c r="C1392" t="s">
        <v>16450</v>
      </c>
      <c r="D1392" t="s">
        <v>16451</v>
      </c>
      <c r="E1392" t="s">
        <v>16452</v>
      </c>
      <c r="F1392" t="s">
        <v>16453</v>
      </c>
      <c r="G1392" t="s">
        <v>16454</v>
      </c>
      <c r="H1392" t="str">
        <f>"Prpf6"</f>
        <v>Prpf6</v>
      </c>
      <c r="I1392" t="s">
        <v>32</v>
      </c>
      <c r="J1392" t="s">
        <v>37</v>
      </c>
      <c r="K1392">
        <v>10090</v>
      </c>
      <c r="L1392" s="3" t="str">
        <f>HYPERLINK("http://www.uniprot.org/uniprot/Q91YR7", "Q91YR7")</f>
        <v>Q91YR7</v>
      </c>
      <c r="M1392" t="s">
        <v>16455</v>
      </c>
      <c r="N1392" t="str">
        <f>"Prpf6"</f>
        <v>Prpf6</v>
      </c>
      <c r="O1392" s="3" t="str">
        <f>HYPERLINK("http://www.informatics.jax.org/marker/MGI:1922946", "MGI:1922946")</f>
        <v>MGI:1922946</v>
      </c>
      <c r="P1392" t="s">
        <v>16456</v>
      </c>
      <c r="Q1392" t="s">
        <v>2139</v>
      </c>
      <c r="R1392" t="s">
        <v>2140</v>
      </c>
      <c r="S1392" t="s">
        <v>41</v>
      </c>
      <c r="T1392" t="s">
        <v>32</v>
      </c>
      <c r="U1392" t="s">
        <v>32</v>
      </c>
      <c r="V1392" t="s">
        <v>55</v>
      </c>
      <c r="W1392" t="s">
        <v>32</v>
      </c>
      <c r="X1392" t="s">
        <v>32</v>
      </c>
      <c r="Y1392" t="s">
        <v>618</v>
      </c>
      <c r="Z1392" t="s">
        <v>126</v>
      </c>
      <c r="AA1392" t="s">
        <v>16457</v>
      </c>
      <c r="AB1392" t="s">
        <v>16458</v>
      </c>
      <c r="AC1392" t="s">
        <v>16459</v>
      </c>
      <c r="AD1392" t="s">
        <v>32</v>
      </c>
      <c r="AE1392" t="s">
        <v>7167</v>
      </c>
      <c r="AF1392" t="s">
        <v>46835</v>
      </c>
    </row>
    <row r="1393" spans="1:33" x14ac:dyDescent="0.2">
      <c r="A1393">
        <v>1388</v>
      </c>
      <c r="B1393" t="s">
        <v>16460</v>
      </c>
      <c r="C1393" t="s">
        <v>16461</v>
      </c>
      <c r="D1393" t="s">
        <v>16462</v>
      </c>
      <c r="E1393" t="s">
        <v>16463</v>
      </c>
      <c r="F1393" t="s">
        <v>16464</v>
      </c>
      <c r="G1393" t="s">
        <v>16465</v>
      </c>
      <c r="H1393" t="str">
        <f>"Snrnp40"</f>
        <v>Snrnp40</v>
      </c>
      <c r="I1393" t="s">
        <v>16466</v>
      </c>
      <c r="J1393" t="s">
        <v>37</v>
      </c>
      <c r="K1393">
        <v>10090</v>
      </c>
      <c r="L1393" s="3" t="str">
        <f>HYPERLINK("http://www.uniprot.org/uniprot/Q6PE01", "Q6PE01")</f>
        <v>Q6PE01</v>
      </c>
      <c r="M1393" t="s">
        <v>16467</v>
      </c>
      <c r="N1393" t="str">
        <f>"Snrnp40"</f>
        <v>Snrnp40</v>
      </c>
      <c r="O1393" s="3" t="str">
        <f>HYPERLINK("http://www.informatics.jax.org/marker/MGI:1913835", "MGI:1913835")</f>
        <v>MGI:1913835</v>
      </c>
      <c r="P1393" t="s">
        <v>16468</v>
      </c>
      <c r="Q1393" t="s">
        <v>2139</v>
      </c>
      <c r="R1393" t="s">
        <v>2140</v>
      </c>
      <c r="S1393" t="s">
        <v>32</v>
      </c>
      <c r="T1393" t="s">
        <v>32</v>
      </c>
      <c r="U1393" t="s">
        <v>32</v>
      </c>
      <c r="V1393" t="s">
        <v>1910</v>
      </c>
      <c r="W1393" t="s">
        <v>32</v>
      </c>
      <c r="X1393" t="s">
        <v>32</v>
      </c>
      <c r="Y1393" t="s">
        <v>10927</v>
      </c>
      <c r="Z1393" t="s">
        <v>32</v>
      </c>
      <c r="AA1393" t="s">
        <v>16469</v>
      </c>
      <c r="AB1393" t="s">
        <v>16470</v>
      </c>
      <c r="AC1393" t="s">
        <v>32</v>
      </c>
      <c r="AD1393" t="s">
        <v>32</v>
      </c>
      <c r="AE1393" t="s">
        <v>7167</v>
      </c>
      <c r="AF1393" t="s">
        <v>46835</v>
      </c>
    </row>
    <row r="1394" spans="1:33" x14ac:dyDescent="0.2">
      <c r="A1394">
        <v>1389</v>
      </c>
      <c r="B1394" t="s">
        <v>16471</v>
      </c>
      <c r="C1394" t="s">
        <v>16472</v>
      </c>
      <c r="D1394" t="s">
        <v>32</v>
      </c>
      <c r="E1394" t="s">
        <v>16473</v>
      </c>
      <c r="F1394" t="s">
        <v>16474</v>
      </c>
      <c r="G1394" t="s">
        <v>16475</v>
      </c>
      <c r="H1394" t="str">
        <f>"Plxnb2"</f>
        <v>Plxnb2</v>
      </c>
      <c r="I1394" t="s">
        <v>32</v>
      </c>
      <c r="J1394" t="s">
        <v>37</v>
      </c>
      <c r="K1394">
        <v>10090</v>
      </c>
      <c r="L1394" s="3" t="str">
        <f>HYPERLINK("http://www.uniprot.org/uniprot/B2RXS4", "B2RXS4")</f>
        <v>B2RXS4</v>
      </c>
      <c r="M1394" t="s">
        <v>16476</v>
      </c>
      <c r="N1394" t="str">
        <f>"Plxnb2"</f>
        <v>Plxnb2</v>
      </c>
      <c r="O1394" s="3" t="str">
        <f>HYPERLINK("http://www.informatics.jax.org/marker/MGI:2154239", "MGI:2154239")</f>
        <v>MGI:2154239</v>
      </c>
      <c r="P1394" t="s">
        <v>16477</v>
      </c>
      <c r="Q1394" t="s">
        <v>32</v>
      </c>
      <c r="R1394" t="s">
        <v>2474</v>
      </c>
      <c r="S1394" t="s">
        <v>32</v>
      </c>
      <c r="T1394" t="s">
        <v>32</v>
      </c>
      <c r="U1394" t="s">
        <v>32</v>
      </c>
      <c r="V1394" t="s">
        <v>1665</v>
      </c>
      <c r="W1394" t="s">
        <v>32</v>
      </c>
      <c r="X1394" t="s">
        <v>9014</v>
      </c>
      <c r="Y1394" t="s">
        <v>2865</v>
      </c>
      <c r="Z1394" t="s">
        <v>126</v>
      </c>
      <c r="AA1394" t="s">
        <v>16478</v>
      </c>
      <c r="AB1394" t="s">
        <v>16479</v>
      </c>
      <c r="AC1394" t="s">
        <v>16480</v>
      </c>
      <c r="AD1394" t="s">
        <v>32</v>
      </c>
      <c r="AE1394" t="s">
        <v>32</v>
      </c>
      <c r="AF1394" t="s">
        <v>46835</v>
      </c>
    </row>
    <row r="1395" spans="1:33" x14ac:dyDescent="0.2">
      <c r="A1395">
        <v>1390</v>
      </c>
      <c r="B1395" t="s">
        <v>16481</v>
      </c>
      <c r="C1395" t="s">
        <v>16482</v>
      </c>
      <c r="D1395" t="s">
        <v>16483</v>
      </c>
      <c r="E1395" t="s">
        <v>16484</v>
      </c>
      <c r="F1395" t="s">
        <v>16485</v>
      </c>
      <c r="G1395" t="s">
        <v>16486</v>
      </c>
      <c r="H1395" t="str">
        <f>"Srsf2"</f>
        <v>Srsf2</v>
      </c>
      <c r="I1395" t="s">
        <v>16487</v>
      </c>
      <c r="J1395" t="s">
        <v>37</v>
      </c>
      <c r="K1395">
        <v>10090</v>
      </c>
      <c r="L1395" s="3" t="str">
        <f>HYPERLINK("http://www.uniprot.org/uniprot/Q62093", "Q62093")</f>
        <v>Q62093</v>
      </c>
      <c r="M1395" t="s">
        <v>16488</v>
      </c>
      <c r="N1395" t="str">
        <f>"Srsf2"</f>
        <v>Srsf2</v>
      </c>
      <c r="O1395" s="3" t="str">
        <f>HYPERLINK("http://www.informatics.jax.org/marker/MGI:98284", "MGI:98284")</f>
        <v>MGI:98284</v>
      </c>
      <c r="P1395" t="s">
        <v>16489</v>
      </c>
      <c r="Q1395" t="s">
        <v>2139</v>
      </c>
      <c r="R1395" t="s">
        <v>2279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1282</v>
      </c>
      <c r="Y1395" t="s">
        <v>157</v>
      </c>
      <c r="Z1395" t="s">
        <v>32</v>
      </c>
      <c r="AA1395" t="s">
        <v>16490</v>
      </c>
      <c r="AB1395" t="s">
        <v>16491</v>
      </c>
      <c r="AC1395" t="s">
        <v>16492</v>
      </c>
      <c r="AD1395" t="s">
        <v>32</v>
      </c>
      <c r="AE1395" t="s">
        <v>8698</v>
      </c>
      <c r="AF1395" t="s">
        <v>46835</v>
      </c>
    </row>
    <row r="1396" spans="1:33" x14ac:dyDescent="0.2">
      <c r="A1396">
        <v>1391</v>
      </c>
      <c r="B1396" t="s">
        <v>16493</v>
      </c>
      <c r="C1396" t="s">
        <v>16494</v>
      </c>
      <c r="D1396" t="s">
        <v>16495</v>
      </c>
      <c r="E1396" t="s">
        <v>16496</v>
      </c>
      <c r="F1396" t="s">
        <v>16497</v>
      </c>
      <c r="G1396" t="s">
        <v>16498</v>
      </c>
      <c r="H1396" t="str">
        <f>"Ppih"</f>
        <v>Ppih</v>
      </c>
      <c r="I1396" t="s">
        <v>32</v>
      </c>
      <c r="J1396" t="s">
        <v>37</v>
      </c>
      <c r="K1396">
        <v>10090</v>
      </c>
      <c r="L1396" s="3" t="str">
        <f>HYPERLINK("http://www.uniprot.org/uniprot/Q9D868", "Q9D868")</f>
        <v>Q9D868</v>
      </c>
      <c r="M1396" t="s">
        <v>16499</v>
      </c>
      <c r="N1396" t="str">
        <f>"Ppih"</f>
        <v>Ppih</v>
      </c>
      <c r="O1396" s="3" t="str">
        <f>HYPERLINK("http://www.informatics.jax.org/marker/MGI:106499", "MGI:106499")</f>
        <v>MGI:106499</v>
      </c>
      <c r="P1396" t="s">
        <v>16500</v>
      </c>
      <c r="Q1396" t="s">
        <v>2139</v>
      </c>
      <c r="R1396" t="s">
        <v>2219</v>
      </c>
      <c r="S1396" t="s">
        <v>41</v>
      </c>
      <c r="T1396" t="s">
        <v>32</v>
      </c>
      <c r="U1396" t="s">
        <v>32</v>
      </c>
      <c r="V1396" t="s">
        <v>32</v>
      </c>
      <c r="W1396" t="s">
        <v>32</v>
      </c>
      <c r="X1396" t="s">
        <v>1805</v>
      </c>
      <c r="Y1396" t="s">
        <v>78</v>
      </c>
      <c r="Z1396" t="s">
        <v>32</v>
      </c>
      <c r="AA1396" t="s">
        <v>16501</v>
      </c>
      <c r="AB1396" t="s">
        <v>16502</v>
      </c>
      <c r="AC1396" t="s">
        <v>16503</v>
      </c>
      <c r="AD1396" t="s">
        <v>32</v>
      </c>
      <c r="AE1396" t="s">
        <v>946</v>
      </c>
      <c r="AF1396" t="s">
        <v>46835</v>
      </c>
    </row>
    <row r="1397" spans="1:33" x14ac:dyDescent="0.2">
      <c r="A1397">
        <v>1392</v>
      </c>
      <c r="B1397" t="s">
        <v>16504</v>
      </c>
      <c r="C1397" t="s">
        <v>16505</v>
      </c>
      <c r="D1397" t="s">
        <v>16506</v>
      </c>
      <c r="E1397" t="s">
        <v>16507</v>
      </c>
      <c r="F1397" t="s">
        <v>16508</v>
      </c>
      <c r="G1397" t="s">
        <v>32</v>
      </c>
      <c r="H1397" t="str">
        <f>"Uqcrq"</f>
        <v>Uqcrq</v>
      </c>
      <c r="I1397" t="s">
        <v>32</v>
      </c>
      <c r="J1397" t="s">
        <v>37</v>
      </c>
      <c r="K1397">
        <v>10090</v>
      </c>
      <c r="L1397" s="3" t="str">
        <f>HYPERLINK("http://www.uniprot.org/uniprot/Q9CQ69", "Q9CQ69")</f>
        <v>Q9CQ69</v>
      </c>
      <c r="M1397" t="s">
        <v>16509</v>
      </c>
      <c r="N1397" t="str">
        <f>"Uqcrq"</f>
        <v>Uqcrq</v>
      </c>
      <c r="O1397" s="3" t="str">
        <f>HYPERLINK("http://www.informatics.jax.org/marker/MGI:107807", "MGI:107807")</f>
        <v>MGI:107807</v>
      </c>
      <c r="P1397" t="s">
        <v>9776</v>
      </c>
      <c r="Q1397" t="s">
        <v>6888</v>
      </c>
      <c r="R1397" t="s">
        <v>3858</v>
      </c>
      <c r="S1397" t="s">
        <v>32</v>
      </c>
      <c r="T1397" t="s">
        <v>32</v>
      </c>
      <c r="U1397" t="s">
        <v>32</v>
      </c>
      <c r="V1397" t="s">
        <v>493</v>
      </c>
      <c r="W1397" t="s">
        <v>32</v>
      </c>
      <c r="X1397" t="s">
        <v>32</v>
      </c>
      <c r="Y1397" t="s">
        <v>157</v>
      </c>
      <c r="Z1397" t="s">
        <v>126</v>
      </c>
      <c r="AA1397" t="s">
        <v>16510</v>
      </c>
      <c r="AB1397" t="s">
        <v>13077</v>
      </c>
      <c r="AC1397" t="s">
        <v>32</v>
      </c>
      <c r="AD1397" t="s">
        <v>32</v>
      </c>
      <c r="AE1397" t="s">
        <v>4604</v>
      </c>
      <c r="AF1397" t="s">
        <v>46835</v>
      </c>
    </row>
    <row r="1398" spans="1:33" x14ac:dyDescent="0.2">
      <c r="A1398">
        <v>1393</v>
      </c>
      <c r="B1398" t="s">
        <v>16511</v>
      </c>
      <c r="C1398" t="s">
        <v>16512</v>
      </c>
      <c r="D1398" t="s">
        <v>16513</v>
      </c>
      <c r="E1398" t="s">
        <v>16514</v>
      </c>
      <c r="F1398" t="s">
        <v>16515</v>
      </c>
      <c r="G1398" t="s">
        <v>16516</v>
      </c>
      <c r="H1398" t="str">
        <f>"Cp"</f>
        <v>Cp</v>
      </c>
      <c r="I1398" t="s">
        <v>32</v>
      </c>
      <c r="J1398" t="s">
        <v>37</v>
      </c>
      <c r="K1398">
        <v>10090</v>
      </c>
      <c r="L1398" s="3" t="str">
        <f>HYPERLINK("http://www.uniprot.org/uniprot/Q61147", "Q61147")</f>
        <v>Q61147</v>
      </c>
      <c r="M1398" t="s">
        <v>16517</v>
      </c>
      <c r="N1398" t="str">
        <f>"Cp"</f>
        <v>Cp</v>
      </c>
      <c r="O1398" s="3" t="str">
        <f>HYPERLINK("http://www.informatics.jax.org/marker/MGI:88476", "MGI:88476")</f>
        <v>MGI:88476</v>
      </c>
      <c r="P1398" t="s">
        <v>16518</v>
      </c>
      <c r="Q1398" t="s">
        <v>10586</v>
      </c>
      <c r="R1398" t="s">
        <v>630</v>
      </c>
      <c r="S1398" t="s">
        <v>32</v>
      </c>
      <c r="T1398" t="s">
        <v>32</v>
      </c>
      <c r="U1398" t="s">
        <v>32</v>
      </c>
      <c r="V1398" t="s">
        <v>478</v>
      </c>
      <c r="W1398" t="s">
        <v>11627</v>
      </c>
      <c r="X1398" t="s">
        <v>600</v>
      </c>
      <c r="Y1398" t="s">
        <v>5275</v>
      </c>
      <c r="Z1398" t="s">
        <v>32</v>
      </c>
      <c r="AA1398" t="s">
        <v>16519</v>
      </c>
      <c r="AB1398" t="s">
        <v>16520</v>
      </c>
      <c r="AC1398" t="s">
        <v>16521</v>
      </c>
      <c r="AD1398" t="s">
        <v>32</v>
      </c>
      <c r="AE1398" t="s">
        <v>16522</v>
      </c>
      <c r="AF1398" t="s">
        <v>46835</v>
      </c>
    </row>
    <row r="1399" spans="1:33" x14ac:dyDescent="0.2">
      <c r="A1399">
        <v>1394</v>
      </c>
      <c r="B1399" t="s">
        <v>16523</v>
      </c>
      <c r="C1399" t="s">
        <v>16524</v>
      </c>
      <c r="D1399" t="s">
        <v>16525</v>
      </c>
      <c r="E1399" t="s">
        <v>16526</v>
      </c>
      <c r="F1399" t="s">
        <v>16527</v>
      </c>
      <c r="G1399" t="s">
        <v>16528</v>
      </c>
      <c r="H1399" t="str">
        <f>"Cmpk1"</f>
        <v>Cmpk1</v>
      </c>
      <c r="I1399" t="s">
        <v>16529</v>
      </c>
      <c r="J1399" t="s">
        <v>37</v>
      </c>
      <c r="K1399">
        <v>10090</v>
      </c>
      <c r="L1399" s="3" t="str">
        <f>HYPERLINK("http://www.uniprot.org/uniprot/Q9DBP5", "Q9DBP5")</f>
        <v>Q9DBP5</v>
      </c>
      <c r="M1399" t="s">
        <v>16530</v>
      </c>
      <c r="N1399" t="str">
        <f>"Cmpk1"</f>
        <v>Cmpk1</v>
      </c>
      <c r="O1399" s="3" t="str">
        <f>HYPERLINK("http://www.informatics.jax.org/marker/MGI:1913838", "MGI:1913838")</f>
        <v>MGI:1913838</v>
      </c>
      <c r="P1399" t="s">
        <v>16531</v>
      </c>
      <c r="Q1399" t="s">
        <v>6845</v>
      </c>
      <c r="R1399" t="s">
        <v>40</v>
      </c>
      <c r="S1399" t="s">
        <v>32</v>
      </c>
      <c r="T1399" t="s">
        <v>32</v>
      </c>
      <c r="U1399" t="s">
        <v>32</v>
      </c>
      <c r="V1399" t="s">
        <v>32</v>
      </c>
      <c r="W1399" t="s">
        <v>205</v>
      </c>
      <c r="X1399" t="s">
        <v>419</v>
      </c>
      <c r="Y1399" t="s">
        <v>516</v>
      </c>
      <c r="Z1399" t="s">
        <v>32</v>
      </c>
      <c r="AA1399" t="s">
        <v>16532</v>
      </c>
      <c r="AB1399" t="s">
        <v>13285</v>
      </c>
      <c r="AC1399" t="s">
        <v>16533</v>
      </c>
      <c r="AD1399" t="s">
        <v>32</v>
      </c>
      <c r="AE1399" t="s">
        <v>6139</v>
      </c>
      <c r="AF1399" t="s">
        <v>46835</v>
      </c>
    </row>
    <row r="1400" spans="1:33" x14ac:dyDescent="0.2">
      <c r="A1400">
        <v>1395</v>
      </c>
      <c r="B1400" t="s">
        <v>16534</v>
      </c>
      <c r="C1400" t="s">
        <v>16535</v>
      </c>
      <c r="D1400" t="s">
        <v>16536</v>
      </c>
      <c r="E1400" t="s">
        <v>16537</v>
      </c>
      <c r="F1400" t="s">
        <v>16538</v>
      </c>
      <c r="G1400" t="s">
        <v>16539</v>
      </c>
      <c r="H1400" t="str">
        <f>"Pycr3"</f>
        <v>Pycr3</v>
      </c>
      <c r="I1400" t="s">
        <v>16540</v>
      </c>
      <c r="J1400" t="s">
        <v>37</v>
      </c>
      <c r="K1400">
        <v>10090</v>
      </c>
      <c r="L1400" s="3" t="str">
        <f>HYPERLINK("http://www.uniprot.org/uniprot/Q9DCC4", "Q9DCC4")</f>
        <v>Q9DCC4</v>
      </c>
      <c r="M1400" t="s">
        <v>16541</v>
      </c>
      <c r="N1400" t="str">
        <f>"Pycrl"</f>
        <v>Pycrl</v>
      </c>
      <c r="O1400" s="3" t="str">
        <f>HYPERLINK("http://www.informatics.jax.org/marker/MGI:1913444", "MGI:1913444")</f>
        <v>MGI:1913444</v>
      </c>
      <c r="P1400" t="s">
        <v>16542</v>
      </c>
      <c r="Q1400" t="s">
        <v>12064</v>
      </c>
      <c r="R1400" t="s">
        <v>418</v>
      </c>
      <c r="S1400" t="s">
        <v>32</v>
      </c>
      <c r="T1400" t="s">
        <v>32</v>
      </c>
      <c r="U1400" t="s">
        <v>32</v>
      </c>
      <c r="V1400" t="s">
        <v>32</v>
      </c>
      <c r="W1400" t="s">
        <v>3204</v>
      </c>
      <c r="X1400" t="s">
        <v>600</v>
      </c>
      <c r="Y1400" t="s">
        <v>78</v>
      </c>
      <c r="Z1400" t="s">
        <v>32</v>
      </c>
      <c r="AA1400" t="s">
        <v>16543</v>
      </c>
      <c r="AB1400" t="s">
        <v>16544</v>
      </c>
      <c r="AC1400" t="s">
        <v>16545</v>
      </c>
      <c r="AD1400" t="s">
        <v>16546</v>
      </c>
      <c r="AE1400" t="s">
        <v>8763</v>
      </c>
      <c r="AF1400" t="s">
        <v>46835</v>
      </c>
    </row>
    <row r="1401" spans="1:33" x14ac:dyDescent="0.2">
      <c r="A1401">
        <v>1396</v>
      </c>
      <c r="B1401" t="s">
        <v>16547</v>
      </c>
      <c r="C1401" t="s">
        <v>16548</v>
      </c>
      <c r="D1401" t="s">
        <v>16549</v>
      </c>
      <c r="E1401" t="s">
        <v>16550</v>
      </c>
      <c r="F1401" t="s">
        <v>16551</v>
      </c>
      <c r="G1401" t="s">
        <v>16552</v>
      </c>
      <c r="H1401" t="str">
        <f>"Sarnp"</f>
        <v>Sarnp</v>
      </c>
      <c r="I1401" t="s">
        <v>16553</v>
      </c>
      <c r="J1401" t="s">
        <v>37</v>
      </c>
      <c r="K1401">
        <v>10090</v>
      </c>
      <c r="L1401" s="3" t="str">
        <f>HYPERLINK("http://www.uniprot.org/uniprot/Q9D1J3", "Q9D1J3")</f>
        <v>Q9D1J3</v>
      </c>
      <c r="M1401" t="s">
        <v>16554</v>
      </c>
      <c r="N1401" t="str">
        <f>"Sarnp"</f>
        <v>Sarnp</v>
      </c>
      <c r="O1401" s="3" t="str">
        <f>HYPERLINK("http://www.informatics.jax.org/marker/MGI:1913368", "MGI:1913368")</f>
        <v>MGI:1913368</v>
      </c>
      <c r="P1401" t="s">
        <v>16555</v>
      </c>
      <c r="Q1401" t="s">
        <v>16556</v>
      </c>
      <c r="R1401" t="s">
        <v>2279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956</v>
      </c>
      <c r="Y1401" t="s">
        <v>157</v>
      </c>
      <c r="Z1401" t="s">
        <v>32</v>
      </c>
      <c r="AA1401" t="s">
        <v>16557</v>
      </c>
      <c r="AB1401" t="s">
        <v>16558</v>
      </c>
      <c r="AC1401" t="s">
        <v>16559</v>
      </c>
      <c r="AD1401" t="s">
        <v>32</v>
      </c>
      <c r="AE1401" t="s">
        <v>16560</v>
      </c>
      <c r="AF1401" t="s">
        <v>46835</v>
      </c>
    </row>
    <row r="1402" spans="1:33" x14ac:dyDescent="0.2">
      <c r="A1402">
        <v>1397</v>
      </c>
      <c r="B1402" t="s">
        <v>16561</v>
      </c>
      <c r="C1402" t="s">
        <v>16562</v>
      </c>
      <c r="D1402" t="s">
        <v>32</v>
      </c>
      <c r="E1402" t="s">
        <v>16563</v>
      </c>
      <c r="F1402" t="s">
        <v>16564</v>
      </c>
      <c r="G1402" t="s">
        <v>16565</v>
      </c>
      <c r="H1402" t="str">
        <f>"Srprb"</f>
        <v>Srprb</v>
      </c>
      <c r="I1402" t="s">
        <v>32</v>
      </c>
      <c r="J1402" t="s">
        <v>37</v>
      </c>
      <c r="K1402">
        <v>10090</v>
      </c>
      <c r="L1402" s="3" t="str">
        <f>HYPERLINK("http://www.uniprot.org/uniprot/P47758", "P47758")</f>
        <v>P47758</v>
      </c>
      <c r="M1402" t="s">
        <v>16566</v>
      </c>
      <c r="N1402" t="str">
        <f>"Srprb"</f>
        <v>Srprb</v>
      </c>
      <c r="O1402" s="3" t="str">
        <f>HYPERLINK("http://www.informatics.jax.org/marker/MGI:102964", "MGI:102964")</f>
        <v>MGI:102964</v>
      </c>
      <c r="P1402" t="s">
        <v>16567</v>
      </c>
      <c r="Q1402" t="s">
        <v>32</v>
      </c>
      <c r="R1402" t="s">
        <v>1664</v>
      </c>
      <c r="S1402" t="s">
        <v>32</v>
      </c>
      <c r="T1402" t="s">
        <v>32</v>
      </c>
      <c r="U1402" t="s">
        <v>32</v>
      </c>
      <c r="V1402" t="s">
        <v>493</v>
      </c>
      <c r="W1402" t="s">
        <v>261</v>
      </c>
      <c r="X1402" t="s">
        <v>6983</v>
      </c>
      <c r="Y1402" t="s">
        <v>618</v>
      </c>
      <c r="Z1402" t="s">
        <v>126</v>
      </c>
      <c r="AA1402" t="s">
        <v>16568</v>
      </c>
      <c r="AB1402" t="s">
        <v>16569</v>
      </c>
      <c r="AC1402" t="s">
        <v>16570</v>
      </c>
      <c r="AD1402" t="s">
        <v>32</v>
      </c>
      <c r="AE1402" t="s">
        <v>32</v>
      </c>
      <c r="AF1402" t="s">
        <v>46835</v>
      </c>
    </row>
    <row r="1403" spans="1:33" x14ac:dyDescent="0.2">
      <c r="A1403">
        <v>1398</v>
      </c>
      <c r="B1403" t="s">
        <v>16571</v>
      </c>
      <c r="C1403" t="s">
        <v>47222</v>
      </c>
      <c r="D1403" t="s">
        <v>32</v>
      </c>
      <c r="E1403" t="s">
        <v>46902</v>
      </c>
      <c r="F1403" t="s">
        <v>46901</v>
      </c>
      <c r="G1403" t="s">
        <v>32</v>
      </c>
      <c r="H1403" t="s">
        <v>47355</v>
      </c>
      <c r="I1403" t="s">
        <v>32</v>
      </c>
      <c r="J1403" t="s">
        <v>37</v>
      </c>
      <c r="K1403">
        <v>10090</v>
      </c>
      <c r="L1403" s="3" t="str">
        <f>HYPERLINK(CONCATENATE("https://www.uniprot.org/uniprotkb/", AG1403, "/entry"), AG1403)</f>
        <v>A2AJ72</v>
      </c>
      <c r="M1403" t="s">
        <v>32</v>
      </c>
      <c r="N1403" t="s">
        <v>32</v>
      </c>
      <c r="O1403" s="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t="s">
        <v>32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t="s">
        <v>46835</v>
      </c>
      <c r="AG1403" t="s">
        <v>46901</v>
      </c>
    </row>
    <row r="1404" spans="1:33" x14ac:dyDescent="0.2">
      <c r="A1404">
        <v>1399</v>
      </c>
      <c r="B1404" t="s">
        <v>16572</v>
      </c>
      <c r="C1404" t="s">
        <v>16573</v>
      </c>
      <c r="D1404" t="s">
        <v>16574</v>
      </c>
      <c r="E1404" t="s">
        <v>16575</v>
      </c>
      <c r="F1404" t="s">
        <v>16576</v>
      </c>
      <c r="G1404" t="s">
        <v>16577</v>
      </c>
      <c r="H1404" t="str">
        <f>"Pals2"</f>
        <v>Pals2</v>
      </c>
      <c r="I1404" t="s">
        <v>32</v>
      </c>
      <c r="J1404" t="s">
        <v>37</v>
      </c>
      <c r="K1404">
        <v>10090</v>
      </c>
      <c r="L1404" s="3" t="str">
        <f>HYPERLINK("http://www.uniprot.org/uniprot/Q9JLB0", "Q9JLB0")</f>
        <v>Q9JLB0</v>
      </c>
      <c r="M1404" t="s">
        <v>16578</v>
      </c>
      <c r="N1404" t="str">
        <f>"Pals2"</f>
        <v>Pals2</v>
      </c>
      <c r="O1404" s="3" t="str">
        <f>HYPERLINK("http://www.informatics.jax.org/marker/MGI:1927340", "MGI:1927340")</f>
        <v>MGI:1927340</v>
      </c>
      <c r="P1404" t="s">
        <v>16579</v>
      </c>
      <c r="Q1404" t="s">
        <v>32</v>
      </c>
      <c r="R1404" t="s">
        <v>5989</v>
      </c>
      <c r="S1404" t="s">
        <v>41</v>
      </c>
      <c r="T1404" t="s">
        <v>32</v>
      </c>
      <c r="U1404" t="s">
        <v>32</v>
      </c>
      <c r="V1404" t="s">
        <v>187</v>
      </c>
      <c r="W1404" t="s">
        <v>32</v>
      </c>
      <c r="X1404" t="s">
        <v>32</v>
      </c>
      <c r="Y1404" t="s">
        <v>618</v>
      </c>
      <c r="Z1404" t="s">
        <v>32</v>
      </c>
      <c r="AA1404" t="s">
        <v>32</v>
      </c>
      <c r="AB1404" t="s">
        <v>9904</v>
      </c>
      <c r="AC1404" t="s">
        <v>16580</v>
      </c>
      <c r="AD1404" t="s">
        <v>32</v>
      </c>
      <c r="AE1404" t="s">
        <v>32</v>
      </c>
      <c r="AF1404" t="s">
        <v>46835</v>
      </c>
    </row>
    <row r="1405" spans="1:33" x14ac:dyDescent="0.2">
      <c r="A1405">
        <v>1400</v>
      </c>
      <c r="B1405" t="s">
        <v>16581</v>
      </c>
      <c r="C1405" t="s">
        <v>16582</v>
      </c>
      <c r="D1405" t="s">
        <v>32</v>
      </c>
      <c r="E1405" t="s">
        <v>16583</v>
      </c>
      <c r="F1405" t="s">
        <v>16584</v>
      </c>
      <c r="G1405" t="s">
        <v>16585</v>
      </c>
      <c r="H1405" t="str">
        <f>"Myef2"</f>
        <v>Myef2</v>
      </c>
      <c r="I1405" t="s">
        <v>16586</v>
      </c>
      <c r="J1405" t="s">
        <v>37</v>
      </c>
      <c r="K1405">
        <v>10090</v>
      </c>
      <c r="L1405" s="3" t="str">
        <f>HYPERLINK("http://www.uniprot.org/uniprot/Q8C854", "Q8C854")</f>
        <v>Q8C854</v>
      </c>
      <c r="M1405" t="s">
        <v>16587</v>
      </c>
      <c r="N1405" t="str">
        <f>"Myef2"</f>
        <v>Myef2</v>
      </c>
      <c r="O1405" s="3" t="str">
        <f>HYPERLINK("http://www.informatics.jax.org/marker/MGI:104592", "MGI:104592")</f>
        <v>MGI:104592</v>
      </c>
      <c r="P1405" t="s">
        <v>16588</v>
      </c>
      <c r="Q1405" t="s">
        <v>16415</v>
      </c>
      <c r="R1405" t="s">
        <v>2279</v>
      </c>
      <c r="S1405" t="s">
        <v>41</v>
      </c>
      <c r="T1405" t="s">
        <v>32</v>
      </c>
      <c r="U1405" t="s">
        <v>32</v>
      </c>
      <c r="V1405" t="s">
        <v>55</v>
      </c>
      <c r="W1405" t="s">
        <v>32</v>
      </c>
      <c r="X1405" t="s">
        <v>5759</v>
      </c>
      <c r="Y1405" t="s">
        <v>2192</v>
      </c>
      <c r="Z1405" t="s">
        <v>32</v>
      </c>
      <c r="AA1405" t="s">
        <v>16589</v>
      </c>
      <c r="AB1405" t="s">
        <v>16590</v>
      </c>
      <c r="AC1405" t="s">
        <v>16591</v>
      </c>
      <c r="AD1405" t="s">
        <v>32</v>
      </c>
      <c r="AE1405" t="s">
        <v>32</v>
      </c>
      <c r="AF1405" t="s">
        <v>46835</v>
      </c>
    </row>
    <row r="1406" spans="1:33" x14ac:dyDescent="0.2">
      <c r="A1406">
        <v>1401</v>
      </c>
      <c r="B1406" t="s">
        <v>16592</v>
      </c>
      <c r="C1406" t="s">
        <v>16593</v>
      </c>
      <c r="D1406" t="s">
        <v>16594</v>
      </c>
      <c r="E1406" t="s">
        <v>16595</v>
      </c>
      <c r="F1406" t="s">
        <v>16596</v>
      </c>
      <c r="G1406" t="s">
        <v>16597</v>
      </c>
      <c r="H1406" t="str">
        <f>"Pabpn1"</f>
        <v>Pabpn1</v>
      </c>
      <c r="I1406" t="s">
        <v>16598</v>
      </c>
      <c r="J1406" t="s">
        <v>37</v>
      </c>
      <c r="K1406">
        <v>10090</v>
      </c>
      <c r="L1406" s="3" t="str">
        <f>HYPERLINK("http://www.uniprot.org/uniprot/Q8CCS6", "Q8CCS6")</f>
        <v>Q8CCS6</v>
      </c>
      <c r="M1406" t="s">
        <v>16599</v>
      </c>
      <c r="N1406" t="str">
        <f>"Pabpn1"</f>
        <v>Pabpn1</v>
      </c>
      <c r="O1406" s="3" t="str">
        <f>HYPERLINK("http://www.informatics.jax.org/marker/MGI:1859158", "MGI:1859158")</f>
        <v>MGI:1859158</v>
      </c>
      <c r="P1406" t="s">
        <v>16600</v>
      </c>
      <c r="Q1406" t="s">
        <v>16601</v>
      </c>
      <c r="R1406" t="s">
        <v>40</v>
      </c>
      <c r="S1406" t="s">
        <v>41</v>
      </c>
      <c r="T1406" t="s">
        <v>32</v>
      </c>
      <c r="U1406" t="s">
        <v>32</v>
      </c>
      <c r="V1406" t="s">
        <v>290</v>
      </c>
      <c r="W1406" t="s">
        <v>32</v>
      </c>
      <c r="X1406" t="s">
        <v>1282</v>
      </c>
      <c r="Y1406" t="s">
        <v>97</v>
      </c>
      <c r="Z1406" t="s">
        <v>32</v>
      </c>
      <c r="AA1406" t="s">
        <v>16602</v>
      </c>
      <c r="AB1406" t="s">
        <v>16603</v>
      </c>
      <c r="AC1406" t="s">
        <v>16604</v>
      </c>
      <c r="AD1406" t="s">
        <v>32</v>
      </c>
      <c r="AE1406" t="s">
        <v>13215</v>
      </c>
      <c r="AF1406" t="s">
        <v>46835</v>
      </c>
    </row>
    <row r="1407" spans="1:33" x14ac:dyDescent="0.2">
      <c r="A1407">
        <v>1402</v>
      </c>
      <c r="B1407" t="s">
        <v>16605</v>
      </c>
      <c r="C1407" t="s">
        <v>16606</v>
      </c>
      <c r="D1407" t="s">
        <v>16607</v>
      </c>
      <c r="E1407" t="s">
        <v>16608</v>
      </c>
      <c r="F1407" t="s">
        <v>16609</v>
      </c>
      <c r="G1407" t="s">
        <v>16610</v>
      </c>
      <c r="H1407" t="str">
        <f>"Cisd2"</f>
        <v>Cisd2</v>
      </c>
      <c r="I1407" t="s">
        <v>16611</v>
      </c>
      <c r="J1407" t="s">
        <v>37</v>
      </c>
      <c r="K1407">
        <v>10090</v>
      </c>
      <c r="L1407" s="3" t="str">
        <f>HYPERLINK("http://www.uniprot.org/uniprot/Q9CQB5", "Q9CQB5")</f>
        <v>Q9CQB5</v>
      </c>
      <c r="M1407" t="s">
        <v>16612</v>
      </c>
      <c r="N1407" t="str">
        <f>"Cisd2"</f>
        <v>Cisd2</v>
      </c>
      <c r="O1407" s="3" t="str">
        <f>HYPERLINK("http://www.informatics.jax.org/marker/MGI:1914256", "MGI:1914256")</f>
        <v>MGI:1914256</v>
      </c>
      <c r="P1407" t="s">
        <v>16613</v>
      </c>
      <c r="Q1407" t="s">
        <v>11661</v>
      </c>
      <c r="R1407" t="s">
        <v>10615</v>
      </c>
      <c r="S1407" t="s">
        <v>32</v>
      </c>
      <c r="T1407" t="s">
        <v>32</v>
      </c>
      <c r="U1407" t="s">
        <v>32</v>
      </c>
      <c r="V1407" t="s">
        <v>493</v>
      </c>
      <c r="W1407" t="s">
        <v>4783</v>
      </c>
      <c r="X1407" t="s">
        <v>32</v>
      </c>
      <c r="Y1407" t="s">
        <v>32</v>
      </c>
      <c r="Z1407" t="s">
        <v>32</v>
      </c>
      <c r="AA1407" t="s">
        <v>16614</v>
      </c>
      <c r="AB1407" t="s">
        <v>16615</v>
      </c>
      <c r="AC1407" t="s">
        <v>16616</v>
      </c>
      <c r="AD1407" t="s">
        <v>32</v>
      </c>
      <c r="AE1407" t="s">
        <v>32</v>
      </c>
      <c r="AF1407" t="s">
        <v>46835</v>
      </c>
    </row>
    <row r="1408" spans="1:33" x14ac:dyDescent="0.2">
      <c r="A1408">
        <v>1403</v>
      </c>
      <c r="B1408" t="s">
        <v>16617</v>
      </c>
      <c r="C1408" t="s">
        <v>16618</v>
      </c>
      <c r="D1408" t="s">
        <v>32</v>
      </c>
      <c r="E1408" t="s">
        <v>16619</v>
      </c>
      <c r="F1408" t="s">
        <v>16620</v>
      </c>
      <c r="G1408" t="s">
        <v>16621</v>
      </c>
      <c r="H1408" t="str">
        <f>"Cpsf6"</f>
        <v>Cpsf6</v>
      </c>
      <c r="I1408" t="s">
        <v>32</v>
      </c>
      <c r="J1408" t="s">
        <v>37</v>
      </c>
      <c r="K1408">
        <v>10090</v>
      </c>
      <c r="L1408" s="3" t="str">
        <f>HYPERLINK("http://www.uniprot.org/uniprot/Q6NVF9", "Q6NVF9")</f>
        <v>Q6NVF9</v>
      </c>
      <c r="M1408" t="s">
        <v>16622</v>
      </c>
      <c r="N1408" t="str">
        <f>"Cpsf6"</f>
        <v>Cpsf6</v>
      </c>
      <c r="O1408" s="3" t="str">
        <f>HYPERLINK("http://www.informatics.jax.org/marker/MGI:1913948", "MGI:1913948")</f>
        <v>MGI:1913948</v>
      </c>
      <c r="P1408" t="s">
        <v>16623</v>
      </c>
      <c r="Q1408" t="s">
        <v>16601</v>
      </c>
      <c r="R1408" t="s">
        <v>40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1282</v>
      </c>
      <c r="Y1408" t="s">
        <v>2734</v>
      </c>
      <c r="Z1408" t="s">
        <v>32</v>
      </c>
      <c r="AA1408" t="s">
        <v>16624</v>
      </c>
      <c r="AB1408" t="s">
        <v>16625</v>
      </c>
      <c r="AC1408" t="s">
        <v>16626</v>
      </c>
      <c r="AD1408" t="s">
        <v>32</v>
      </c>
      <c r="AE1408" t="s">
        <v>13215</v>
      </c>
      <c r="AF1408" t="s">
        <v>46835</v>
      </c>
    </row>
    <row r="1409" spans="1:32" x14ac:dyDescent="0.2">
      <c r="A1409">
        <v>1404</v>
      </c>
      <c r="B1409" t="s">
        <v>16627</v>
      </c>
      <c r="C1409" t="s">
        <v>16628</v>
      </c>
      <c r="D1409" t="s">
        <v>16629</v>
      </c>
      <c r="E1409" t="s">
        <v>16630</v>
      </c>
      <c r="F1409" t="s">
        <v>16631</v>
      </c>
      <c r="G1409" t="s">
        <v>16632</v>
      </c>
      <c r="H1409" t="str">
        <f>"Zranb2"</f>
        <v>Zranb2</v>
      </c>
      <c r="I1409" t="s">
        <v>16633</v>
      </c>
      <c r="J1409" t="s">
        <v>37</v>
      </c>
      <c r="K1409">
        <v>10090</v>
      </c>
      <c r="L1409" s="3" t="str">
        <f>HYPERLINK("http://www.uniprot.org/uniprot/Q9R020", "Q9R020")</f>
        <v>Q9R020</v>
      </c>
      <c r="M1409" t="s">
        <v>16634</v>
      </c>
      <c r="N1409" t="str">
        <f>"Zranb2"</f>
        <v>Zranb2</v>
      </c>
      <c r="O1409" s="3" t="str">
        <f>HYPERLINK("http://www.informatics.jax.org/marker/MGI:1858211", "MGI:1858211")</f>
        <v>MGI:1858211</v>
      </c>
      <c r="P1409" t="s">
        <v>16635</v>
      </c>
      <c r="Q1409" t="s">
        <v>2139</v>
      </c>
      <c r="R1409" t="s">
        <v>2279</v>
      </c>
      <c r="S1409" t="s">
        <v>41</v>
      </c>
      <c r="T1409" t="s">
        <v>32</v>
      </c>
      <c r="U1409" t="s">
        <v>32</v>
      </c>
      <c r="V1409" t="s">
        <v>3791</v>
      </c>
      <c r="W1409" t="s">
        <v>42</v>
      </c>
      <c r="X1409" t="s">
        <v>1282</v>
      </c>
      <c r="Y1409" t="s">
        <v>157</v>
      </c>
      <c r="Z1409" t="s">
        <v>32</v>
      </c>
      <c r="AA1409" t="s">
        <v>16469</v>
      </c>
      <c r="AB1409" t="s">
        <v>7318</v>
      </c>
      <c r="AC1409" t="s">
        <v>16636</v>
      </c>
      <c r="AD1409" t="s">
        <v>32</v>
      </c>
      <c r="AE1409" t="s">
        <v>32</v>
      </c>
      <c r="AF1409" t="s">
        <v>46835</v>
      </c>
    </row>
    <row r="1410" spans="1:32" x14ac:dyDescent="0.2">
      <c r="A1410">
        <v>1405</v>
      </c>
      <c r="B1410" t="s">
        <v>16637</v>
      </c>
      <c r="C1410" t="s">
        <v>16638</v>
      </c>
      <c r="D1410" t="s">
        <v>16639</v>
      </c>
      <c r="E1410" t="s">
        <v>16640</v>
      </c>
      <c r="F1410" t="s">
        <v>16641</v>
      </c>
      <c r="G1410" t="s">
        <v>16642</v>
      </c>
      <c r="H1410" t="str">
        <f>"Csnk1a1"</f>
        <v>Csnk1a1</v>
      </c>
      <c r="I1410" t="s">
        <v>32</v>
      </c>
      <c r="J1410" t="s">
        <v>37</v>
      </c>
      <c r="K1410">
        <v>10090</v>
      </c>
      <c r="L1410" s="3" t="str">
        <f>HYPERLINK("http://www.uniprot.org/uniprot/Q8BK63", "Q8BK63")</f>
        <v>Q8BK63</v>
      </c>
      <c r="M1410" t="s">
        <v>16643</v>
      </c>
      <c r="N1410" t="str">
        <f>"Csnk1a1"</f>
        <v>Csnk1a1</v>
      </c>
      <c r="O1410" s="3" t="str">
        <f>HYPERLINK("http://www.informatics.jax.org/marker/MGI:1934950", "MGI:1934950")</f>
        <v>MGI:1934950</v>
      </c>
      <c r="P1410" t="s">
        <v>16644</v>
      </c>
      <c r="Q1410" t="s">
        <v>16645</v>
      </c>
      <c r="R1410" t="s">
        <v>16646</v>
      </c>
      <c r="S1410" t="s">
        <v>41</v>
      </c>
      <c r="T1410" t="s">
        <v>32</v>
      </c>
      <c r="U1410" t="s">
        <v>32</v>
      </c>
      <c r="V1410" t="s">
        <v>32</v>
      </c>
      <c r="W1410" t="s">
        <v>205</v>
      </c>
      <c r="X1410" t="s">
        <v>5419</v>
      </c>
      <c r="Y1410" t="s">
        <v>157</v>
      </c>
      <c r="Z1410" t="s">
        <v>32</v>
      </c>
      <c r="AA1410" t="s">
        <v>16647</v>
      </c>
      <c r="AB1410" t="s">
        <v>16648</v>
      </c>
      <c r="AC1410" t="s">
        <v>16649</v>
      </c>
      <c r="AD1410" t="s">
        <v>32</v>
      </c>
      <c r="AE1410" t="s">
        <v>16650</v>
      </c>
      <c r="AF1410" t="s">
        <v>46835</v>
      </c>
    </row>
    <row r="1411" spans="1:32" x14ac:dyDescent="0.2">
      <c r="A1411">
        <v>1406</v>
      </c>
      <c r="B1411" t="s">
        <v>16651</v>
      </c>
      <c r="C1411" t="s">
        <v>16652</v>
      </c>
      <c r="D1411" t="s">
        <v>16653</v>
      </c>
      <c r="E1411" t="s">
        <v>16654</v>
      </c>
      <c r="F1411" t="s">
        <v>16655</v>
      </c>
      <c r="G1411" t="s">
        <v>16656</v>
      </c>
      <c r="H1411" t="str">
        <f>"Uchl5"</f>
        <v>Uchl5</v>
      </c>
      <c r="I1411" t="s">
        <v>16657</v>
      </c>
      <c r="J1411" t="s">
        <v>37</v>
      </c>
      <c r="K1411">
        <v>10090</v>
      </c>
      <c r="L1411" s="3" t="str">
        <f>HYPERLINK("http://www.uniprot.org/uniprot/Q9WUP7", "Q9WUP7")</f>
        <v>Q9WUP7</v>
      </c>
      <c r="M1411" t="s">
        <v>16658</v>
      </c>
      <c r="N1411" t="str">
        <f>"Uchl5"</f>
        <v>Uchl5</v>
      </c>
      <c r="O1411" s="3" t="str">
        <f>HYPERLINK("http://www.informatics.jax.org/marker/MGI:1914848", "MGI:1914848")</f>
        <v>MGI:1914848</v>
      </c>
      <c r="P1411" t="s">
        <v>16659</v>
      </c>
      <c r="Q1411" t="s">
        <v>16660</v>
      </c>
      <c r="R1411" t="s">
        <v>2586</v>
      </c>
      <c r="S1411" t="s">
        <v>41</v>
      </c>
      <c r="T1411" t="s">
        <v>32</v>
      </c>
      <c r="U1411" t="s">
        <v>32</v>
      </c>
      <c r="V1411" t="s">
        <v>32</v>
      </c>
      <c r="W1411" t="s">
        <v>32</v>
      </c>
      <c r="X1411" t="s">
        <v>557</v>
      </c>
      <c r="Y1411" t="s">
        <v>78</v>
      </c>
      <c r="Z1411" t="s">
        <v>126</v>
      </c>
      <c r="AA1411" t="s">
        <v>16661</v>
      </c>
      <c r="AB1411" t="s">
        <v>16662</v>
      </c>
      <c r="AC1411" t="s">
        <v>12800</v>
      </c>
      <c r="AD1411" t="s">
        <v>32</v>
      </c>
      <c r="AE1411" t="s">
        <v>1898</v>
      </c>
      <c r="AF1411" t="s">
        <v>46835</v>
      </c>
    </row>
    <row r="1412" spans="1:32" x14ac:dyDescent="0.2">
      <c r="A1412">
        <v>1407</v>
      </c>
      <c r="B1412" t="s">
        <v>16663</v>
      </c>
      <c r="C1412" t="s">
        <v>16664</v>
      </c>
      <c r="D1412" t="s">
        <v>16665</v>
      </c>
      <c r="E1412" t="s">
        <v>16666</v>
      </c>
      <c r="F1412" t="s">
        <v>16667</v>
      </c>
      <c r="G1412" t="s">
        <v>16668</v>
      </c>
      <c r="H1412" t="str">
        <f>"Acadvl"</f>
        <v>Acadvl</v>
      </c>
      <c r="I1412" t="s">
        <v>32</v>
      </c>
      <c r="J1412" t="s">
        <v>37</v>
      </c>
      <c r="K1412">
        <v>10090</v>
      </c>
      <c r="L1412" s="3" t="str">
        <f>HYPERLINK("http://www.uniprot.org/uniprot/P50544", "P50544")</f>
        <v>P50544</v>
      </c>
      <c r="M1412" t="s">
        <v>16669</v>
      </c>
      <c r="N1412" t="str">
        <f>"Acadvl"</f>
        <v>Acadvl</v>
      </c>
      <c r="O1412" s="3" t="str">
        <f>HYPERLINK("http://www.informatics.jax.org/marker/MGI:895149", "MGI:895149")</f>
        <v>MGI:895149</v>
      </c>
      <c r="P1412" t="s">
        <v>16670</v>
      </c>
      <c r="Q1412" t="s">
        <v>6214</v>
      </c>
      <c r="R1412" t="s">
        <v>3858</v>
      </c>
      <c r="S1412" t="s">
        <v>32</v>
      </c>
      <c r="T1412" t="s">
        <v>32</v>
      </c>
      <c r="U1412" t="s">
        <v>32</v>
      </c>
      <c r="V1412" t="s">
        <v>1039</v>
      </c>
      <c r="W1412" t="s">
        <v>4600</v>
      </c>
      <c r="X1412" t="s">
        <v>600</v>
      </c>
      <c r="Y1412" t="s">
        <v>648</v>
      </c>
      <c r="Z1412" t="s">
        <v>32</v>
      </c>
      <c r="AA1412" t="s">
        <v>16671</v>
      </c>
      <c r="AB1412" t="s">
        <v>16672</v>
      </c>
      <c r="AC1412" t="s">
        <v>16673</v>
      </c>
      <c r="AD1412" t="s">
        <v>8318</v>
      </c>
      <c r="AE1412" t="s">
        <v>16674</v>
      </c>
      <c r="AF1412" t="s">
        <v>46835</v>
      </c>
    </row>
    <row r="1413" spans="1:32" x14ac:dyDescent="0.2">
      <c r="A1413">
        <v>1408</v>
      </c>
      <c r="B1413" t="s">
        <v>16675</v>
      </c>
      <c r="C1413" t="s">
        <v>16676</v>
      </c>
      <c r="D1413" t="s">
        <v>16677</v>
      </c>
      <c r="E1413" t="s">
        <v>16678</v>
      </c>
      <c r="F1413" t="s">
        <v>16679</v>
      </c>
      <c r="G1413" t="s">
        <v>16680</v>
      </c>
      <c r="H1413" t="str">
        <f>"Drg2"</f>
        <v>Drg2</v>
      </c>
      <c r="I1413" t="s">
        <v>32</v>
      </c>
      <c r="J1413" t="s">
        <v>37</v>
      </c>
      <c r="K1413">
        <v>10090</v>
      </c>
      <c r="L1413" s="3" t="str">
        <f>HYPERLINK("http://www.uniprot.org/uniprot/Q9QXB9", "Q9QXB9")</f>
        <v>Q9QXB9</v>
      </c>
      <c r="M1413" t="s">
        <v>16681</v>
      </c>
      <c r="N1413" t="str">
        <f>"Drg2"</f>
        <v>Drg2</v>
      </c>
      <c r="O1413" s="3" t="str">
        <f>HYPERLINK("http://www.informatics.jax.org/marker/MGI:1342307", "MGI:1342307")</f>
        <v>MGI:1342307</v>
      </c>
      <c r="P1413" t="s">
        <v>16682</v>
      </c>
      <c r="Q1413" t="s">
        <v>32</v>
      </c>
      <c r="R1413" t="s">
        <v>40</v>
      </c>
      <c r="S1413" t="s">
        <v>32</v>
      </c>
      <c r="T1413" t="s">
        <v>32</v>
      </c>
      <c r="U1413" t="s">
        <v>32</v>
      </c>
      <c r="V1413" t="s">
        <v>32</v>
      </c>
      <c r="W1413" t="s">
        <v>342</v>
      </c>
      <c r="X1413" t="s">
        <v>343</v>
      </c>
      <c r="Y1413" t="s">
        <v>16683</v>
      </c>
      <c r="Z1413" t="s">
        <v>32</v>
      </c>
      <c r="AA1413" t="s">
        <v>1405</v>
      </c>
      <c r="AB1413" t="s">
        <v>16684</v>
      </c>
      <c r="AC1413" t="s">
        <v>16685</v>
      </c>
      <c r="AD1413" t="s">
        <v>32</v>
      </c>
      <c r="AE1413" t="s">
        <v>32</v>
      </c>
      <c r="AF1413" t="s">
        <v>46835</v>
      </c>
    </row>
    <row r="1414" spans="1:32" x14ac:dyDescent="0.2">
      <c r="A1414">
        <v>1409</v>
      </c>
      <c r="B1414" t="s">
        <v>16686</v>
      </c>
      <c r="C1414" t="s">
        <v>16687</v>
      </c>
      <c r="D1414" t="s">
        <v>16688</v>
      </c>
      <c r="E1414" t="s">
        <v>16689</v>
      </c>
      <c r="F1414" t="s">
        <v>16690</v>
      </c>
      <c r="G1414" t="s">
        <v>16691</v>
      </c>
      <c r="H1414" t="str">
        <f>"Nudt2"</f>
        <v>Nudt2</v>
      </c>
      <c r="I1414" t="s">
        <v>16692</v>
      </c>
      <c r="J1414" t="s">
        <v>37</v>
      </c>
      <c r="K1414">
        <v>10090</v>
      </c>
      <c r="L1414" s="3" t="str">
        <f>HYPERLINK("http://www.uniprot.org/uniprot/P56380", "P56380")</f>
        <v>P56380</v>
      </c>
      <c r="M1414" t="s">
        <v>16693</v>
      </c>
      <c r="N1414" t="str">
        <f>"Nudt2"</f>
        <v>Nudt2</v>
      </c>
      <c r="O1414" s="3" t="str">
        <f>HYPERLINK("http://www.informatics.jax.org/marker/MGI:1913651", "MGI:1913651")</f>
        <v>MGI:1913651</v>
      </c>
      <c r="P1414" t="s">
        <v>16694</v>
      </c>
      <c r="Q1414" t="s">
        <v>32</v>
      </c>
      <c r="R1414" t="s">
        <v>32</v>
      </c>
      <c r="S1414" t="s">
        <v>32</v>
      </c>
      <c r="T1414" t="s">
        <v>32</v>
      </c>
      <c r="U1414" t="s">
        <v>32</v>
      </c>
      <c r="V1414" t="s">
        <v>32</v>
      </c>
      <c r="W1414" t="s">
        <v>261</v>
      </c>
      <c r="X1414" t="s">
        <v>343</v>
      </c>
      <c r="Y1414" t="s">
        <v>78</v>
      </c>
      <c r="Z1414" t="s">
        <v>32</v>
      </c>
      <c r="AA1414" t="s">
        <v>16695</v>
      </c>
      <c r="AB1414" t="s">
        <v>3721</v>
      </c>
      <c r="AC1414" t="s">
        <v>16696</v>
      </c>
      <c r="AD1414" t="s">
        <v>32</v>
      </c>
      <c r="AE1414" t="s">
        <v>10408</v>
      </c>
      <c r="AF1414" t="s">
        <v>46835</v>
      </c>
    </row>
    <row r="1415" spans="1:32" x14ac:dyDescent="0.2">
      <c r="A1415">
        <v>1410</v>
      </c>
      <c r="B1415" t="s">
        <v>16697</v>
      </c>
      <c r="C1415" t="s">
        <v>16698</v>
      </c>
      <c r="D1415" t="s">
        <v>16699</v>
      </c>
      <c r="E1415" t="s">
        <v>16700</v>
      </c>
      <c r="F1415" t="s">
        <v>16701</v>
      </c>
      <c r="G1415" t="s">
        <v>16702</v>
      </c>
      <c r="H1415" t="str">
        <f>"Hypk"</f>
        <v>Hypk</v>
      </c>
      <c r="I1415" t="s">
        <v>32</v>
      </c>
      <c r="J1415" t="s">
        <v>37</v>
      </c>
      <c r="K1415">
        <v>10090</v>
      </c>
      <c r="L1415" s="3" t="str">
        <f>HYPERLINK("http://www.uniprot.org/uniprot/Q9CR41", "Q9CR41")</f>
        <v>Q9CR41</v>
      </c>
      <c r="M1415" t="s">
        <v>16703</v>
      </c>
      <c r="N1415" t="str">
        <f>"Hypk"</f>
        <v>Hypk</v>
      </c>
      <c r="O1415" s="3" t="str">
        <f>HYPERLINK("http://www.informatics.jax.org/marker/MGI:1914943", "MGI:1914943")</f>
        <v>MGI:1914943</v>
      </c>
      <c r="P1415" t="s">
        <v>16704</v>
      </c>
      <c r="Q1415" t="s">
        <v>32</v>
      </c>
      <c r="R1415" t="s">
        <v>40</v>
      </c>
      <c r="S1415" t="s">
        <v>41</v>
      </c>
      <c r="T1415" t="s">
        <v>32</v>
      </c>
      <c r="U1415" t="s">
        <v>32</v>
      </c>
      <c r="V1415" t="s">
        <v>290</v>
      </c>
      <c r="W1415" t="s">
        <v>32</v>
      </c>
      <c r="X1415" t="s">
        <v>32</v>
      </c>
      <c r="Y1415" t="s">
        <v>618</v>
      </c>
      <c r="Z1415" t="s">
        <v>32</v>
      </c>
      <c r="AA1415" t="s">
        <v>16705</v>
      </c>
      <c r="AB1415" t="s">
        <v>16706</v>
      </c>
      <c r="AC1415" t="s">
        <v>16707</v>
      </c>
      <c r="AD1415" t="s">
        <v>32</v>
      </c>
      <c r="AE1415" t="s">
        <v>32</v>
      </c>
      <c r="AF1415" t="s">
        <v>46835</v>
      </c>
    </row>
    <row r="1416" spans="1:32" x14ac:dyDescent="0.2">
      <c r="A1416">
        <v>1411</v>
      </c>
      <c r="B1416" t="s">
        <v>16708</v>
      </c>
      <c r="C1416" t="s">
        <v>16709</v>
      </c>
      <c r="D1416" t="s">
        <v>32</v>
      </c>
      <c r="E1416" t="s">
        <v>16710</v>
      </c>
      <c r="F1416" t="s">
        <v>16711</v>
      </c>
      <c r="G1416" t="s">
        <v>16712</v>
      </c>
      <c r="H1416" t="str">
        <f>"Ttc27"</f>
        <v>Ttc27</v>
      </c>
      <c r="I1416" t="s">
        <v>32</v>
      </c>
      <c r="J1416" t="s">
        <v>37</v>
      </c>
      <c r="K1416">
        <v>10090</v>
      </c>
      <c r="L1416" s="3" t="str">
        <f>HYPERLINK("http://www.uniprot.org/uniprot/Q8CD92", "Q8CD92")</f>
        <v>Q8CD92</v>
      </c>
      <c r="M1416" t="s">
        <v>16713</v>
      </c>
      <c r="N1416" t="str">
        <f>"Ttc27"</f>
        <v>Ttc27</v>
      </c>
      <c r="O1416" s="3" t="str">
        <f>HYPERLINK("http://www.informatics.jax.org/marker/MGI:1921446", "MGI:1921446")</f>
        <v>MGI:1921446</v>
      </c>
      <c r="P1416" t="s">
        <v>16714</v>
      </c>
      <c r="Q1416" t="s">
        <v>32</v>
      </c>
      <c r="R1416" t="s">
        <v>32</v>
      </c>
      <c r="S1416" t="s">
        <v>41</v>
      </c>
      <c r="T1416" t="s">
        <v>32</v>
      </c>
      <c r="U1416" t="s">
        <v>32</v>
      </c>
      <c r="V1416" t="s">
        <v>995</v>
      </c>
      <c r="W1416" t="s">
        <v>32</v>
      </c>
      <c r="X1416" t="s">
        <v>32</v>
      </c>
      <c r="Y1416" t="s">
        <v>32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t="s">
        <v>46835</v>
      </c>
    </row>
    <row r="1417" spans="1:32" x14ac:dyDescent="0.2">
      <c r="A1417">
        <v>1412</v>
      </c>
      <c r="B1417" t="s">
        <v>16715</v>
      </c>
      <c r="C1417" t="s">
        <v>16716</v>
      </c>
      <c r="D1417" t="s">
        <v>16717</v>
      </c>
      <c r="E1417" t="s">
        <v>16718</v>
      </c>
      <c r="F1417" t="s">
        <v>16719</v>
      </c>
      <c r="G1417" t="s">
        <v>16720</v>
      </c>
      <c r="H1417" t="str">
        <f>"H3c2"</f>
        <v>H3c2</v>
      </c>
      <c r="I1417" t="s">
        <v>32</v>
      </c>
      <c r="J1417" t="s">
        <v>37</v>
      </c>
      <c r="K1417">
        <v>10090</v>
      </c>
      <c r="L1417" s="3" t="str">
        <f>HYPERLINK("http://www.uniprot.org/uniprot/P84228", "P84228")</f>
        <v>P84228</v>
      </c>
      <c r="M1417" t="s">
        <v>16721</v>
      </c>
      <c r="N1417" t="str">
        <f>"H3c13"</f>
        <v>H3c13</v>
      </c>
      <c r="O1417" s="3" t="str">
        <f>HYPERLINK("http://www.informatics.jax.org/marker/MGI:2448351", "MGI:2448351")</f>
        <v>MGI:2448351</v>
      </c>
      <c r="P1417" t="s">
        <v>16722</v>
      </c>
      <c r="Q1417" t="s">
        <v>32</v>
      </c>
      <c r="R1417" t="s">
        <v>246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247</v>
      </c>
      <c r="Y1417" t="s">
        <v>16723</v>
      </c>
      <c r="Z1417" t="s">
        <v>126</v>
      </c>
      <c r="AA1417" t="s">
        <v>16724</v>
      </c>
      <c r="AB1417" t="s">
        <v>16725</v>
      </c>
      <c r="AC1417" t="s">
        <v>16726</v>
      </c>
      <c r="AD1417" t="s">
        <v>32</v>
      </c>
      <c r="AE1417" t="s">
        <v>16727</v>
      </c>
      <c r="AF1417" t="s">
        <v>46835</v>
      </c>
    </row>
    <row r="1418" spans="1:32" x14ac:dyDescent="0.2">
      <c r="A1418">
        <v>1413</v>
      </c>
      <c r="B1418" t="s">
        <v>16728</v>
      </c>
      <c r="C1418" t="s">
        <v>16729</v>
      </c>
      <c r="D1418" t="s">
        <v>16730</v>
      </c>
      <c r="E1418" t="s">
        <v>16731</v>
      </c>
      <c r="F1418" t="s">
        <v>16732</v>
      </c>
      <c r="G1418" t="s">
        <v>32</v>
      </c>
      <c r="H1418" t="str">
        <f>"Tsg101"</f>
        <v>Tsg101</v>
      </c>
      <c r="I1418" t="s">
        <v>32</v>
      </c>
      <c r="J1418" t="s">
        <v>37</v>
      </c>
      <c r="K1418">
        <v>10090</v>
      </c>
      <c r="L1418" s="3" t="str">
        <f>HYPERLINK("http://www.uniprot.org/uniprot/Q61187", "Q61187")</f>
        <v>Q61187</v>
      </c>
      <c r="M1418" t="s">
        <v>16733</v>
      </c>
      <c r="N1418" t="str">
        <f>"Tsg101"</f>
        <v>Tsg101</v>
      </c>
      <c r="O1418" s="3" t="str">
        <f>HYPERLINK("http://www.informatics.jax.org/marker/MGI:106581", "MGI:106581")</f>
        <v>MGI:106581</v>
      </c>
      <c r="P1418" t="s">
        <v>16734</v>
      </c>
      <c r="Q1418" t="s">
        <v>16735</v>
      </c>
      <c r="R1418" t="s">
        <v>16736</v>
      </c>
      <c r="S1418" t="s">
        <v>32</v>
      </c>
      <c r="T1418" t="s">
        <v>32</v>
      </c>
      <c r="U1418" t="s">
        <v>32</v>
      </c>
      <c r="V1418" t="s">
        <v>290</v>
      </c>
      <c r="W1418" t="s">
        <v>32</v>
      </c>
      <c r="X1418" t="s">
        <v>32</v>
      </c>
      <c r="Y1418" t="s">
        <v>1023</v>
      </c>
      <c r="Z1418" t="s">
        <v>32</v>
      </c>
      <c r="AA1418" t="s">
        <v>16737</v>
      </c>
      <c r="AB1418" t="s">
        <v>16738</v>
      </c>
      <c r="AC1418" t="s">
        <v>16739</v>
      </c>
      <c r="AD1418" t="s">
        <v>32</v>
      </c>
      <c r="AE1418" t="s">
        <v>14055</v>
      </c>
      <c r="AF1418" t="s">
        <v>46835</v>
      </c>
    </row>
    <row r="1419" spans="1:32" x14ac:dyDescent="0.2">
      <c r="A1419">
        <v>1414</v>
      </c>
      <c r="B1419" t="s">
        <v>16740</v>
      </c>
      <c r="C1419" t="s">
        <v>16741</v>
      </c>
      <c r="D1419" t="s">
        <v>16742</v>
      </c>
      <c r="E1419" t="s">
        <v>16743</v>
      </c>
      <c r="F1419" t="s">
        <v>16744</v>
      </c>
      <c r="G1419" t="s">
        <v>16745</v>
      </c>
      <c r="H1419" t="str">
        <f>"Kifbp"</f>
        <v>Kifbp</v>
      </c>
      <c r="I1419" t="s">
        <v>32</v>
      </c>
      <c r="J1419" t="s">
        <v>37</v>
      </c>
      <c r="K1419">
        <v>10090</v>
      </c>
      <c r="L1419" s="3" t="str">
        <f>HYPERLINK("http://www.uniprot.org/uniprot/Q6ZPU9", "Q6ZPU9")</f>
        <v>Q6ZPU9</v>
      </c>
      <c r="M1419" t="s">
        <v>16746</v>
      </c>
      <c r="N1419" t="str">
        <f>"Kifbp"</f>
        <v>Kifbp</v>
      </c>
      <c r="O1419" s="3" t="str">
        <f>HYPERLINK("http://www.informatics.jax.org/marker/MGI:1919570", "MGI:1919570")</f>
        <v>MGI:1919570</v>
      </c>
      <c r="P1419" t="s">
        <v>16747</v>
      </c>
      <c r="Q1419" t="s">
        <v>2027</v>
      </c>
      <c r="R1419" t="s">
        <v>186</v>
      </c>
      <c r="S1419" t="s">
        <v>41</v>
      </c>
      <c r="T1419" t="s">
        <v>32</v>
      </c>
      <c r="U1419" t="s">
        <v>32</v>
      </c>
      <c r="V1419" t="s">
        <v>32</v>
      </c>
      <c r="W1419" t="s">
        <v>32</v>
      </c>
      <c r="X1419" t="s">
        <v>2029</v>
      </c>
      <c r="Y1419" t="s">
        <v>618</v>
      </c>
      <c r="Z1419" t="s">
        <v>32</v>
      </c>
      <c r="AA1419" t="s">
        <v>16748</v>
      </c>
      <c r="AB1419" t="s">
        <v>16749</v>
      </c>
      <c r="AC1419" t="s">
        <v>5235</v>
      </c>
      <c r="AD1419" t="s">
        <v>32</v>
      </c>
      <c r="AE1419" t="s">
        <v>32</v>
      </c>
      <c r="AF1419" t="s">
        <v>46835</v>
      </c>
    </row>
    <row r="1420" spans="1:32" x14ac:dyDescent="0.2">
      <c r="A1420">
        <v>1415</v>
      </c>
      <c r="B1420" t="s">
        <v>16750</v>
      </c>
      <c r="C1420" t="s">
        <v>16751</v>
      </c>
      <c r="D1420" t="s">
        <v>16752</v>
      </c>
      <c r="E1420" t="s">
        <v>16753</v>
      </c>
      <c r="F1420" t="s">
        <v>16754</v>
      </c>
      <c r="G1420" t="s">
        <v>16755</v>
      </c>
      <c r="H1420" t="str">
        <f>"Srsf6"</f>
        <v>Srsf6</v>
      </c>
      <c r="I1420" t="s">
        <v>16756</v>
      </c>
      <c r="J1420" t="s">
        <v>37</v>
      </c>
      <c r="K1420">
        <v>10090</v>
      </c>
      <c r="L1420" s="3" t="str">
        <f>HYPERLINK("http://www.uniprot.org/uniprot/Q3TWW8", "Q3TWW8")</f>
        <v>Q3TWW8</v>
      </c>
      <c r="M1420" t="s">
        <v>16757</v>
      </c>
      <c r="N1420" t="str">
        <f>"Srsf6"</f>
        <v>Srsf6</v>
      </c>
      <c r="O1420" s="3" t="str">
        <f>HYPERLINK("http://www.informatics.jax.org/marker/MGI:1915246", "MGI:1915246")</f>
        <v>MGI:1915246</v>
      </c>
      <c r="P1420" t="s">
        <v>16758</v>
      </c>
      <c r="Q1420" t="s">
        <v>2139</v>
      </c>
      <c r="R1420" t="s">
        <v>2279</v>
      </c>
      <c r="S1420" t="s">
        <v>32</v>
      </c>
      <c r="T1420" t="s">
        <v>32</v>
      </c>
      <c r="U1420" t="s">
        <v>32</v>
      </c>
      <c r="V1420" t="s">
        <v>55</v>
      </c>
      <c r="W1420" t="s">
        <v>32</v>
      </c>
      <c r="X1420" t="s">
        <v>9766</v>
      </c>
      <c r="Y1420" t="s">
        <v>516</v>
      </c>
      <c r="Z1420" t="s">
        <v>32</v>
      </c>
      <c r="AA1420" t="s">
        <v>16759</v>
      </c>
      <c r="AB1420" t="s">
        <v>16760</v>
      </c>
      <c r="AC1420" t="s">
        <v>16761</v>
      </c>
      <c r="AD1420" t="s">
        <v>32</v>
      </c>
      <c r="AE1420" t="s">
        <v>32</v>
      </c>
      <c r="AF1420" t="s">
        <v>46835</v>
      </c>
    </row>
    <row r="1421" spans="1:32" x14ac:dyDescent="0.2">
      <c r="A1421">
        <v>1416</v>
      </c>
      <c r="B1421" t="s">
        <v>16762</v>
      </c>
      <c r="C1421" t="s">
        <v>16763</v>
      </c>
      <c r="D1421" t="s">
        <v>32</v>
      </c>
      <c r="E1421" t="s">
        <v>16764</v>
      </c>
      <c r="F1421" t="s">
        <v>16765</v>
      </c>
      <c r="G1421" t="s">
        <v>16766</v>
      </c>
      <c r="H1421" t="str">
        <f>"Selenow"</f>
        <v>Selenow</v>
      </c>
      <c r="I1421" t="s">
        <v>32</v>
      </c>
      <c r="J1421" t="s">
        <v>37</v>
      </c>
      <c r="K1421">
        <v>10090</v>
      </c>
      <c r="L1421" s="3" t="str">
        <f>HYPERLINK("http://www.uniprot.org/uniprot/P63300", "P63300")</f>
        <v>P63300</v>
      </c>
      <c r="M1421" t="s">
        <v>16767</v>
      </c>
      <c r="N1421" t="str">
        <f>"Selenow"</f>
        <v>Selenow</v>
      </c>
      <c r="O1421" s="3" t="str">
        <f>HYPERLINK("http://www.informatics.jax.org/marker/MGI:1100878", "MGI:1100878")</f>
        <v>MGI:1100878</v>
      </c>
      <c r="P1421" t="s">
        <v>16768</v>
      </c>
      <c r="Q1421" t="s">
        <v>32</v>
      </c>
      <c r="R1421" t="s">
        <v>418</v>
      </c>
      <c r="S1421" t="s">
        <v>8573</v>
      </c>
      <c r="T1421" t="s">
        <v>32</v>
      </c>
      <c r="U1421" t="s">
        <v>32</v>
      </c>
      <c r="V1421" t="s">
        <v>1090</v>
      </c>
      <c r="W1421" t="s">
        <v>32</v>
      </c>
      <c r="X1421" t="s">
        <v>16769</v>
      </c>
      <c r="Y1421" t="s">
        <v>16770</v>
      </c>
      <c r="Z1421" t="s">
        <v>126</v>
      </c>
      <c r="AA1421" t="s">
        <v>16771</v>
      </c>
      <c r="AB1421" t="s">
        <v>4024</v>
      </c>
      <c r="AC1421" t="s">
        <v>16772</v>
      </c>
      <c r="AD1421" t="s">
        <v>32</v>
      </c>
      <c r="AE1421" t="s">
        <v>32</v>
      </c>
      <c r="AF1421" t="s">
        <v>46835</v>
      </c>
    </row>
    <row r="1422" spans="1:32" x14ac:dyDescent="0.2">
      <c r="A1422">
        <v>1417</v>
      </c>
      <c r="B1422" t="s">
        <v>16773</v>
      </c>
      <c r="C1422" t="s">
        <v>16774</v>
      </c>
      <c r="D1422" t="s">
        <v>16775</v>
      </c>
      <c r="E1422" t="s">
        <v>16776</v>
      </c>
      <c r="F1422" t="s">
        <v>16777</v>
      </c>
      <c r="G1422" t="s">
        <v>32</v>
      </c>
      <c r="H1422" t="str">
        <f>"Ndufa7"</f>
        <v>Ndufa7</v>
      </c>
      <c r="I1422" t="s">
        <v>32</v>
      </c>
      <c r="J1422" t="s">
        <v>37</v>
      </c>
      <c r="K1422">
        <v>10090</v>
      </c>
      <c r="L1422" s="3" t="str">
        <f>HYPERLINK("http://www.uniprot.org/uniprot/Q9Z1P6", "Q9Z1P6")</f>
        <v>Q9Z1P6</v>
      </c>
      <c r="M1422" t="s">
        <v>16778</v>
      </c>
      <c r="N1422" t="str">
        <f>"Ndufa7"</f>
        <v>Ndufa7</v>
      </c>
      <c r="O1422" s="3" t="str">
        <f>HYPERLINK("http://www.informatics.jax.org/marker/MGI:1913666", "MGI:1913666")</f>
        <v>MGI:1913666</v>
      </c>
      <c r="P1422" t="s">
        <v>16779</v>
      </c>
      <c r="Q1422" t="s">
        <v>6888</v>
      </c>
      <c r="R1422" t="s">
        <v>3858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32</v>
      </c>
      <c r="Y1422" t="s">
        <v>157</v>
      </c>
      <c r="Z1422" t="s">
        <v>126</v>
      </c>
      <c r="AA1422" t="s">
        <v>16780</v>
      </c>
      <c r="AB1422" t="s">
        <v>16781</v>
      </c>
      <c r="AC1422" t="s">
        <v>1010</v>
      </c>
      <c r="AD1422" t="s">
        <v>32</v>
      </c>
      <c r="AE1422" t="s">
        <v>10470</v>
      </c>
      <c r="AF1422" t="s">
        <v>46835</v>
      </c>
    </row>
    <row r="1423" spans="1:32" x14ac:dyDescent="0.2">
      <c r="A1423">
        <v>1418</v>
      </c>
      <c r="B1423" t="s">
        <v>16782</v>
      </c>
      <c r="C1423" t="s">
        <v>16783</v>
      </c>
      <c r="D1423" t="s">
        <v>16784</v>
      </c>
      <c r="E1423" t="s">
        <v>16785</v>
      </c>
      <c r="F1423" t="s">
        <v>16786</v>
      </c>
      <c r="G1423" t="s">
        <v>16787</v>
      </c>
      <c r="H1423" t="str">
        <f>"Tcof1"</f>
        <v>Tcof1</v>
      </c>
      <c r="I1423" t="s">
        <v>32</v>
      </c>
      <c r="J1423" t="s">
        <v>37</v>
      </c>
      <c r="K1423">
        <v>10090</v>
      </c>
      <c r="L1423" s="3" t="str">
        <f>HYPERLINK("http://www.uniprot.org/uniprot/O08784", "O08784")</f>
        <v>O08784</v>
      </c>
      <c r="M1423" t="s">
        <v>16788</v>
      </c>
      <c r="N1423" t="str">
        <f>"Tcof1"</f>
        <v>Tcof1</v>
      </c>
      <c r="O1423" s="3" t="str">
        <f>HYPERLINK("http://www.informatics.jax.org/marker/MGI:892003", "MGI:892003")</f>
        <v>MGI:892003</v>
      </c>
      <c r="P1423" t="s">
        <v>16789</v>
      </c>
      <c r="Q1423" t="s">
        <v>32</v>
      </c>
      <c r="R1423" t="s">
        <v>2279</v>
      </c>
      <c r="S1423" t="s">
        <v>32</v>
      </c>
      <c r="T1423" t="s">
        <v>32</v>
      </c>
      <c r="U1423" t="s">
        <v>32</v>
      </c>
      <c r="V1423" t="s">
        <v>55</v>
      </c>
      <c r="W1423" t="s">
        <v>32</v>
      </c>
      <c r="X1423" t="s">
        <v>32</v>
      </c>
      <c r="Y1423" t="s">
        <v>516</v>
      </c>
      <c r="Z1423" t="s">
        <v>32</v>
      </c>
      <c r="AA1423" t="s">
        <v>16790</v>
      </c>
      <c r="AB1423" t="s">
        <v>16791</v>
      </c>
      <c r="AC1423" t="s">
        <v>16792</v>
      </c>
      <c r="AD1423" t="s">
        <v>32</v>
      </c>
      <c r="AE1423" t="s">
        <v>32</v>
      </c>
      <c r="AF1423" t="s">
        <v>46835</v>
      </c>
    </row>
    <row r="1424" spans="1:32" x14ac:dyDescent="0.2">
      <c r="A1424">
        <v>1419</v>
      </c>
      <c r="B1424" t="s">
        <v>16793</v>
      </c>
      <c r="C1424" t="s">
        <v>16794</v>
      </c>
      <c r="D1424" t="s">
        <v>16795</v>
      </c>
      <c r="E1424" t="s">
        <v>16796</v>
      </c>
      <c r="F1424" t="s">
        <v>16797</v>
      </c>
      <c r="G1424" t="s">
        <v>16798</v>
      </c>
      <c r="H1424" t="str">
        <f>"Csk"</f>
        <v>Csk</v>
      </c>
      <c r="I1424" t="s">
        <v>32</v>
      </c>
      <c r="J1424" t="s">
        <v>37</v>
      </c>
      <c r="K1424">
        <v>10090</v>
      </c>
      <c r="L1424" s="3" t="str">
        <f>HYPERLINK("http://www.uniprot.org/uniprot/P41241", "P41241")</f>
        <v>P41241</v>
      </c>
      <c r="M1424" t="s">
        <v>16799</v>
      </c>
      <c r="N1424" t="str">
        <f>"Csk"</f>
        <v>Csk</v>
      </c>
      <c r="O1424" s="3" t="str">
        <f>HYPERLINK("http://www.informatics.jax.org/marker/MGI:88537", "MGI:88537")</f>
        <v>MGI:88537</v>
      </c>
      <c r="P1424" t="s">
        <v>16800</v>
      </c>
      <c r="Q1424" t="s">
        <v>16801</v>
      </c>
      <c r="R1424" t="s">
        <v>222</v>
      </c>
      <c r="S1424" t="s">
        <v>32</v>
      </c>
      <c r="T1424" t="s">
        <v>32</v>
      </c>
      <c r="U1424" t="s">
        <v>32</v>
      </c>
      <c r="V1424" t="s">
        <v>16802</v>
      </c>
      <c r="W1424" t="s">
        <v>4352</v>
      </c>
      <c r="X1424" t="s">
        <v>16803</v>
      </c>
      <c r="Y1424" t="s">
        <v>157</v>
      </c>
      <c r="Z1424" t="s">
        <v>126</v>
      </c>
      <c r="AA1424" t="s">
        <v>16804</v>
      </c>
      <c r="AB1424" t="s">
        <v>16805</v>
      </c>
      <c r="AC1424" t="s">
        <v>16806</v>
      </c>
      <c r="AD1424" t="s">
        <v>32</v>
      </c>
      <c r="AE1424" t="s">
        <v>16807</v>
      </c>
      <c r="AF1424" t="s">
        <v>46835</v>
      </c>
    </row>
    <row r="1425" spans="1:33" x14ac:dyDescent="0.2">
      <c r="A1425">
        <v>1420</v>
      </c>
      <c r="B1425" t="s">
        <v>16808</v>
      </c>
      <c r="C1425" t="s">
        <v>16809</v>
      </c>
      <c r="D1425" t="s">
        <v>16810</v>
      </c>
      <c r="E1425" t="s">
        <v>16811</v>
      </c>
      <c r="F1425" t="s">
        <v>16812</v>
      </c>
      <c r="G1425" t="s">
        <v>16813</v>
      </c>
      <c r="H1425" t="str">
        <f>"Dtymk"</f>
        <v>Dtymk</v>
      </c>
      <c r="I1425" t="s">
        <v>16814</v>
      </c>
      <c r="J1425" t="s">
        <v>37</v>
      </c>
      <c r="K1425">
        <v>10090</v>
      </c>
      <c r="L1425" s="3" t="str">
        <f>HYPERLINK("http://www.uniprot.org/uniprot/P97930", "P97930")</f>
        <v>P97930</v>
      </c>
      <c r="M1425" t="s">
        <v>16815</v>
      </c>
      <c r="N1425" t="str">
        <f>"Dtymk"</f>
        <v>Dtymk</v>
      </c>
      <c r="O1425" s="3" t="str">
        <f>HYPERLINK("http://www.informatics.jax.org/marker/MGI:108396", "MGI:108396")</f>
        <v>MGI:108396</v>
      </c>
      <c r="P1425" t="s">
        <v>16816</v>
      </c>
      <c r="Q1425" t="s">
        <v>16817</v>
      </c>
      <c r="R1425" t="s">
        <v>32</v>
      </c>
      <c r="S1425" t="s">
        <v>41</v>
      </c>
      <c r="T1425" t="s">
        <v>32</v>
      </c>
      <c r="U1425" t="s">
        <v>32</v>
      </c>
      <c r="V1425" t="s">
        <v>32</v>
      </c>
      <c r="W1425" t="s">
        <v>205</v>
      </c>
      <c r="X1425" t="s">
        <v>419</v>
      </c>
      <c r="Y1425" t="s">
        <v>78</v>
      </c>
      <c r="Z1425" t="s">
        <v>32</v>
      </c>
      <c r="AA1425" t="s">
        <v>16818</v>
      </c>
      <c r="AB1425" t="s">
        <v>16819</v>
      </c>
      <c r="AC1425" t="s">
        <v>16820</v>
      </c>
      <c r="AD1425" t="s">
        <v>16821</v>
      </c>
      <c r="AE1425" t="s">
        <v>6139</v>
      </c>
      <c r="AF1425" t="s">
        <v>46835</v>
      </c>
    </row>
    <row r="1426" spans="1:33" x14ac:dyDescent="0.2">
      <c r="A1426">
        <v>1421</v>
      </c>
      <c r="B1426" t="s">
        <v>16822</v>
      </c>
      <c r="C1426" t="s">
        <v>16823</v>
      </c>
      <c r="D1426" t="s">
        <v>16824</v>
      </c>
      <c r="E1426" t="s">
        <v>16825</v>
      </c>
      <c r="F1426" t="s">
        <v>16826</v>
      </c>
      <c r="G1426" t="s">
        <v>32</v>
      </c>
      <c r="H1426" t="str">
        <f>"Dusp3"</f>
        <v>Dusp3</v>
      </c>
      <c r="I1426" t="s">
        <v>32</v>
      </c>
      <c r="J1426" t="s">
        <v>37</v>
      </c>
      <c r="K1426">
        <v>10090</v>
      </c>
      <c r="L1426" s="3" t="str">
        <f>HYPERLINK("http://www.uniprot.org/uniprot/Q9D7X3", "Q9D7X3")</f>
        <v>Q9D7X3</v>
      </c>
      <c r="M1426" t="s">
        <v>16827</v>
      </c>
      <c r="N1426" t="str">
        <f>"Dusp3"</f>
        <v>Dusp3</v>
      </c>
      <c r="O1426" s="3" t="str">
        <f>HYPERLINK("http://www.informatics.jax.org/marker/MGI:1919599", "MGI:1919599")</f>
        <v>MGI:1919599</v>
      </c>
      <c r="P1426" t="s">
        <v>16828</v>
      </c>
      <c r="Q1426" t="s">
        <v>32</v>
      </c>
      <c r="R1426" t="s">
        <v>2279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3683</v>
      </c>
      <c r="Y1426" t="s">
        <v>32</v>
      </c>
      <c r="Z1426" t="s">
        <v>32</v>
      </c>
      <c r="AA1426" t="s">
        <v>16829</v>
      </c>
      <c r="AB1426" t="s">
        <v>16830</v>
      </c>
      <c r="AC1426" t="s">
        <v>16831</v>
      </c>
      <c r="AD1426" t="s">
        <v>32</v>
      </c>
      <c r="AE1426" t="s">
        <v>16832</v>
      </c>
      <c r="AF1426" t="s">
        <v>46835</v>
      </c>
    </row>
    <row r="1427" spans="1:33" x14ac:dyDescent="0.2">
      <c r="A1427">
        <v>1422</v>
      </c>
      <c r="B1427" t="s">
        <v>16833</v>
      </c>
      <c r="C1427" t="s">
        <v>16834</v>
      </c>
      <c r="D1427" t="s">
        <v>16835</v>
      </c>
      <c r="E1427" t="s">
        <v>16836</v>
      </c>
      <c r="F1427" t="s">
        <v>16837</v>
      </c>
      <c r="G1427" t="s">
        <v>16838</v>
      </c>
      <c r="H1427" t="str">
        <f>"Hm13"</f>
        <v>Hm13</v>
      </c>
      <c r="I1427" t="s">
        <v>16839</v>
      </c>
      <c r="J1427" t="s">
        <v>37</v>
      </c>
      <c r="K1427">
        <v>10090</v>
      </c>
      <c r="L1427" s="3" t="str">
        <f>HYPERLINK("http://www.uniprot.org/uniprot/Q9D8V0", "Q9D8V0")</f>
        <v>Q9D8V0</v>
      </c>
      <c r="M1427" t="s">
        <v>16840</v>
      </c>
      <c r="N1427" t="str">
        <f>"H13"</f>
        <v>H13</v>
      </c>
      <c r="O1427" s="3" t="str">
        <f>HYPERLINK("http://www.informatics.jax.org/marker/MGI:95886", "MGI:95886")</f>
        <v>MGI:95886</v>
      </c>
      <c r="P1427" t="s">
        <v>16841</v>
      </c>
      <c r="Q1427" t="s">
        <v>32</v>
      </c>
      <c r="R1427" t="s">
        <v>1308</v>
      </c>
      <c r="S1427" t="s">
        <v>41</v>
      </c>
      <c r="T1427" t="s">
        <v>32</v>
      </c>
      <c r="U1427" t="s">
        <v>32</v>
      </c>
      <c r="V1427" t="s">
        <v>493</v>
      </c>
      <c r="W1427" t="s">
        <v>32</v>
      </c>
      <c r="X1427" t="s">
        <v>13667</v>
      </c>
      <c r="Y1427" t="s">
        <v>4720</v>
      </c>
      <c r="Z1427" t="s">
        <v>126</v>
      </c>
      <c r="AA1427" t="s">
        <v>16842</v>
      </c>
      <c r="AB1427" t="s">
        <v>16843</v>
      </c>
      <c r="AC1427" t="s">
        <v>16844</v>
      </c>
      <c r="AD1427" t="s">
        <v>32</v>
      </c>
      <c r="AE1427" t="s">
        <v>16845</v>
      </c>
      <c r="AF1427" t="s">
        <v>46835</v>
      </c>
    </row>
    <row r="1428" spans="1:33" x14ac:dyDescent="0.2">
      <c r="A1428">
        <v>1423</v>
      </c>
      <c r="B1428" t="s">
        <v>16846</v>
      </c>
      <c r="C1428" t="s">
        <v>16847</v>
      </c>
      <c r="D1428" t="s">
        <v>16848</v>
      </c>
      <c r="E1428" t="s">
        <v>16849</v>
      </c>
      <c r="F1428" t="s">
        <v>16850</v>
      </c>
      <c r="G1428" t="s">
        <v>16851</v>
      </c>
      <c r="H1428" t="str">
        <f>"Lypla1"</f>
        <v>Lypla1</v>
      </c>
      <c r="I1428" t="s">
        <v>16852</v>
      </c>
      <c r="J1428" t="s">
        <v>37</v>
      </c>
      <c r="K1428">
        <v>10090</v>
      </c>
      <c r="L1428" s="3" t="str">
        <f>HYPERLINK("http://www.uniprot.org/uniprot/P97823", "P97823")</f>
        <v>P97823</v>
      </c>
      <c r="M1428" t="s">
        <v>16853</v>
      </c>
      <c r="N1428" t="str">
        <f>"Lypla1"</f>
        <v>Lypla1</v>
      </c>
      <c r="O1428" s="3" t="str">
        <f>HYPERLINK("http://www.informatics.jax.org/marker/MGI:1344588", "MGI:1344588")</f>
        <v>MGI:1344588</v>
      </c>
      <c r="P1428" t="s">
        <v>16854</v>
      </c>
      <c r="Q1428" t="s">
        <v>6214</v>
      </c>
      <c r="R1428" t="s">
        <v>16855</v>
      </c>
      <c r="S1428" t="s">
        <v>41</v>
      </c>
      <c r="T1428" t="s">
        <v>32</v>
      </c>
      <c r="U1428" t="s">
        <v>32</v>
      </c>
      <c r="V1428" t="s">
        <v>32</v>
      </c>
      <c r="W1428" t="s">
        <v>32</v>
      </c>
      <c r="X1428" t="s">
        <v>343</v>
      </c>
      <c r="Y1428" t="s">
        <v>78</v>
      </c>
      <c r="Z1428" t="s">
        <v>32</v>
      </c>
      <c r="AA1428" t="s">
        <v>16856</v>
      </c>
      <c r="AB1428" t="s">
        <v>16857</v>
      </c>
      <c r="AC1428" t="s">
        <v>16858</v>
      </c>
      <c r="AD1428" t="s">
        <v>32</v>
      </c>
      <c r="AE1428" t="s">
        <v>16859</v>
      </c>
      <c r="AF1428" t="s">
        <v>46835</v>
      </c>
    </row>
    <row r="1429" spans="1:33" x14ac:dyDescent="0.2">
      <c r="A1429">
        <v>1424</v>
      </c>
      <c r="B1429" t="s">
        <v>16860</v>
      </c>
      <c r="C1429" t="s">
        <v>16861</v>
      </c>
      <c r="D1429" t="s">
        <v>16862</v>
      </c>
      <c r="E1429" t="s">
        <v>16863</v>
      </c>
      <c r="F1429" t="s">
        <v>16864</v>
      </c>
      <c r="G1429" t="s">
        <v>16865</v>
      </c>
      <c r="H1429" t="str">
        <f>"Vps26a"</f>
        <v>Vps26a</v>
      </c>
      <c r="I1429" t="s">
        <v>16866</v>
      </c>
      <c r="J1429" t="s">
        <v>37</v>
      </c>
      <c r="K1429">
        <v>10090</v>
      </c>
      <c r="L1429" s="3" t="str">
        <f>HYPERLINK("http://www.uniprot.org/uniprot/P40336", "P40336")</f>
        <v>P40336</v>
      </c>
      <c r="M1429" t="s">
        <v>16867</v>
      </c>
      <c r="N1429" t="str">
        <f>"Vps26a"</f>
        <v>Vps26a</v>
      </c>
      <c r="O1429" s="3" t="str">
        <f>HYPERLINK("http://www.informatics.jax.org/marker/MGI:1353654", "MGI:1353654")</f>
        <v>MGI:1353654</v>
      </c>
      <c r="P1429" t="s">
        <v>16868</v>
      </c>
      <c r="Q1429" t="s">
        <v>434</v>
      </c>
      <c r="R1429" t="s">
        <v>6558</v>
      </c>
      <c r="S1429" t="s">
        <v>41</v>
      </c>
      <c r="T1429" t="s">
        <v>32</v>
      </c>
      <c r="U1429" t="s">
        <v>32</v>
      </c>
      <c r="V1429" t="s">
        <v>32</v>
      </c>
      <c r="W1429" t="s">
        <v>32</v>
      </c>
      <c r="X1429" t="s">
        <v>32</v>
      </c>
      <c r="Y1429" t="s">
        <v>618</v>
      </c>
      <c r="Z1429" t="s">
        <v>126</v>
      </c>
      <c r="AA1429" t="s">
        <v>16869</v>
      </c>
      <c r="AB1429" t="s">
        <v>16870</v>
      </c>
      <c r="AC1429" t="s">
        <v>32</v>
      </c>
      <c r="AD1429" t="s">
        <v>32</v>
      </c>
      <c r="AE1429" t="s">
        <v>6561</v>
      </c>
      <c r="AF1429" t="s">
        <v>46835</v>
      </c>
    </row>
    <row r="1430" spans="1:33" x14ac:dyDescent="0.2">
      <c r="A1430">
        <v>1425</v>
      </c>
      <c r="B1430" t="s">
        <v>16871</v>
      </c>
      <c r="C1430" t="s">
        <v>16872</v>
      </c>
      <c r="D1430" t="s">
        <v>16873</v>
      </c>
      <c r="E1430" t="s">
        <v>16874</v>
      </c>
      <c r="F1430" t="s">
        <v>16875</v>
      </c>
      <c r="G1430" t="s">
        <v>16876</v>
      </c>
      <c r="H1430" t="str">
        <f>"Ubr2"</f>
        <v>Ubr2</v>
      </c>
      <c r="I1430" t="s">
        <v>16877</v>
      </c>
      <c r="J1430" t="s">
        <v>37</v>
      </c>
      <c r="K1430">
        <v>10090</v>
      </c>
      <c r="L1430" s="3" t="str">
        <f>HYPERLINK("http://www.uniprot.org/uniprot/Q6WKZ8", "Q6WKZ8")</f>
        <v>Q6WKZ8</v>
      </c>
      <c r="M1430" t="s">
        <v>16878</v>
      </c>
      <c r="N1430" t="str">
        <f>"Ubr2"</f>
        <v>Ubr2</v>
      </c>
      <c r="O1430" s="3" t="str">
        <f>HYPERLINK("http://www.informatics.jax.org/marker/MGI:1861099", "MGI:1861099")</f>
        <v>MGI:1861099</v>
      </c>
      <c r="P1430" t="s">
        <v>16879</v>
      </c>
      <c r="Q1430" t="s">
        <v>1020</v>
      </c>
      <c r="R1430" t="s">
        <v>1939</v>
      </c>
      <c r="S1430" t="s">
        <v>41</v>
      </c>
      <c r="T1430" t="s">
        <v>32</v>
      </c>
      <c r="U1430" t="s">
        <v>32</v>
      </c>
      <c r="V1430" t="s">
        <v>11171</v>
      </c>
      <c r="W1430" t="s">
        <v>42</v>
      </c>
      <c r="X1430" t="s">
        <v>515</v>
      </c>
      <c r="Y1430" t="s">
        <v>78</v>
      </c>
      <c r="Z1430" t="s">
        <v>32</v>
      </c>
      <c r="AA1430" t="s">
        <v>16880</v>
      </c>
      <c r="AB1430" t="s">
        <v>16881</v>
      </c>
      <c r="AC1430" t="s">
        <v>16882</v>
      </c>
      <c r="AD1430" t="s">
        <v>1027</v>
      </c>
      <c r="AE1430" t="s">
        <v>4220</v>
      </c>
      <c r="AF1430" t="s">
        <v>46835</v>
      </c>
    </row>
    <row r="1431" spans="1:33" x14ac:dyDescent="0.2">
      <c r="A1431">
        <v>1426</v>
      </c>
      <c r="B1431" t="s">
        <v>16883</v>
      </c>
      <c r="C1431" t="s">
        <v>16884</v>
      </c>
      <c r="D1431" t="s">
        <v>16885</v>
      </c>
      <c r="E1431" t="s">
        <v>16886</v>
      </c>
      <c r="F1431" t="s">
        <v>16887</v>
      </c>
      <c r="G1431" t="s">
        <v>16888</v>
      </c>
      <c r="H1431" t="str">
        <f>"Trip12"</f>
        <v>Trip12</v>
      </c>
      <c r="I1431" t="s">
        <v>32</v>
      </c>
      <c r="J1431" t="s">
        <v>37</v>
      </c>
      <c r="K1431">
        <v>10090</v>
      </c>
      <c r="L1431" s="3" t="str">
        <f>HYPERLINK("http://www.uniprot.org/uniprot/G5E870", "G5E870")</f>
        <v>G5E870</v>
      </c>
      <c r="M1431" t="s">
        <v>16889</v>
      </c>
      <c r="N1431" t="str">
        <f>"Trip12"</f>
        <v>Trip12</v>
      </c>
      <c r="O1431" s="3" t="str">
        <f>HYPERLINK("http://www.informatics.jax.org/marker/MGI:1309481", "MGI:1309481")</f>
        <v>MGI:1309481</v>
      </c>
      <c r="P1431" t="s">
        <v>16890</v>
      </c>
      <c r="Q1431" t="s">
        <v>3400</v>
      </c>
      <c r="R1431" t="s">
        <v>2279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515</v>
      </c>
      <c r="Y1431" t="s">
        <v>157</v>
      </c>
      <c r="Z1431" t="s">
        <v>32</v>
      </c>
      <c r="AA1431" t="s">
        <v>16891</v>
      </c>
      <c r="AB1431" t="s">
        <v>16892</v>
      </c>
      <c r="AC1431" t="s">
        <v>16893</v>
      </c>
      <c r="AD1431" t="s">
        <v>1027</v>
      </c>
      <c r="AE1431" t="s">
        <v>4220</v>
      </c>
      <c r="AF1431" t="s">
        <v>46835</v>
      </c>
    </row>
    <row r="1432" spans="1:33" x14ac:dyDescent="0.2">
      <c r="A1432">
        <v>1427</v>
      </c>
      <c r="B1432" t="s">
        <v>16894</v>
      </c>
      <c r="C1432" t="s">
        <v>16895</v>
      </c>
      <c r="D1432" t="s">
        <v>16896</v>
      </c>
      <c r="E1432" t="s">
        <v>16897</v>
      </c>
      <c r="F1432" t="s">
        <v>16898</v>
      </c>
      <c r="G1432" t="s">
        <v>16899</v>
      </c>
      <c r="H1432" t="str">
        <f>"Tmpo"</f>
        <v>Tmpo</v>
      </c>
      <c r="I1432" t="s">
        <v>16900</v>
      </c>
      <c r="J1432" t="s">
        <v>37</v>
      </c>
      <c r="K1432">
        <v>10090</v>
      </c>
      <c r="L1432" s="3" t="str">
        <f>HYPERLINK("http://www.uniprot.org/uniprot/Q61033", "Q61033")</f>
        <v>Q61033</v>
      </c>
      <c r="M1432" t="s">
        <v>16901</v>
      </c>
      <c r="N1432" t="str">
        <f>"Tmpo"</f>
        <v>Tmpo</v>
      </c>
      <c r="O1432" s="3" t="str">
        <f>HYPERLINK("http://www.informatics.jax.org/marker/MGI:106920", "MGI:106920")</f>
        <v>MGI:106920</v>
      </c>
      <c r="P1432" t="s">
        <v>16902</v>
      </c>
      <c r="Q1432" t="s">
        <v>32</v>
      </c>
      <c r="R1432" t="s">
        <v>1939</v>
      </c>
      <c r="S1432" t="s">
        <v>41</v>
      </c>
      <c r="T1432" t="s">
        <v>32</v>
      </c>
      <c r="U1432" t="s">
        <v>32</v>
      </c>
      <c r="V1432" t="s">
        <v>290</v>
      </c>
      <c r="W1432" t="s">
        <v>32</v>
      </c>
      <c r="X1432" t="s">
        <v>247</v>
      </c>
      <c r="Y1432" t="s">
        <v>97</v>
      </c>
      <c r="Z1432" t="s">
        <v>126</v>
      </c>
      <c r="AA1432" t="s">
        <v>9733</v>
      </c>
      <c r="AB1432" t="s">
        <v>16903</v>
      </c>
      <c r="AC1432" t="s">
        <v>16904</v>
      </c>
      <c r="AD1432" t="s">
        <v>32</v>
      </c>
      <c r="AE1432" t="s">
        <v>32</v>
      </c>
      <c r="AF1432" t="s">
        <v>46835</v>
      </c>
    </row>
    <row r="1433" spans="1:33" x14ac:dyDescent="0.2">
      <c r="A1433">
        <v>1428</v>
      </c>
      <c r="B1433" t="s">
        <v>16905</v>
      </c>
      <c r="C1433" t="s">
        <v>47171</v>
      </c>
      <c r="D1433" t="s">
        <v>32</v>
      </c>
      <c r="E1433" t="s">
        <v>46904</v>
      </c>
      <c r="F1433" t="s">
        <v>46903</v>
      </c>
      <c r="G1433" t="s">
        <v>32</v>
      </c>
      <c r="H1433" t="s">
        <v>47302</v>
      </c>
      <c r="I1433" t="s">
        <v>32</v>
      </c>
      <c r="J1433" t="s">
        <v>37</v>
      </c>
      <c r="K1433">
        <v>10090</v>
      </c>
      <c r="L1433" s="3" t="str">
        <f>HYPERLINK(CONCATENATE("https://www.uniprot.org/uniprotkb/", AG1433, "/entry"), AG1433)</f>
        <v>G3X972</v>
      </c>
      <c r="M1433" t="s">
        <v>32</v>
      </c>
      <c r="N1433" t="s">
        <v>32</v>
      </c>
      <c r="O1433" s="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32</v>
      </c>
      <c r="Y1433" t="s">
        <v>32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t="s">
        <v>46835</v>
      </c>
      <c r="AG1433" t="s">
        <v>46903</v>
      </c>
    </row>
    <row r="1434" spans="1:33" x14ac:dyDescent="0.2">
      <c r="A1434">
        <v>1429</v>
      </c>
      <c r="B1434" t="s">
        <v>16906</v>
      </c>
      <c r="C1434" t="s">
        <v>16907</v>
      </c>
      <c r="D1434" t="s">
        <v>16908</v>
      </c>
      <c r="E1434" t="s">
        <v>16909</v>
      </c>
      <c r="F1434" t="s">
        <v>16910</v>
      </c>
      <c r="G1434" t="s">
        <v>16911</v>
      </c>
      <c r="H1434" t="str">
        <f>"Map2k2"</f>
        <v>Map2k2</v>
      </c>
      <c r="I1434" t="s">
        <v>16912</v>
      </c>
      <c r="J1434" t="s">
        <v>37</v>
      </c>
      <c r="K1434">
        <v>10090</v>
      </c>
      <c r="L1434" s="3" t="str">
        <f>HYPERLINK("http://www.uniprot.org/uniprot/Q63932", "Q63932")</f>
        <v>Q63932</v>
      </c>
      <c r="M1434" t="s">
        <v>16913</v>
      </c>
      <c r="N1434" t="str">
        <f>"Map2k2"</f>
        <v>Map2k2</v>
      </c>
      <c r="O1434" s="3" t="str">
        <f>HYPERLINK("http://www.informatics.jax.org/marker/MGI:1346867", "MGI:1346867")</f>
        <v>MGI:1346867</v>
      </c>
      <c r="P1434" t="s">
        <v>16914</v>
      </c>
      <c r="Q1434" t="s">
        <v>32</v>
      </c>
      <c r="R1434" t="s">
        <v>714</v>
      </c>
      <c r="S1434" t="s">
        <v>32</v>
      </c>
      <c r="T1434" t="s">
        <v>32</v>
      </c>
      <c r="U1434" t="s">
        <v>32</v>
      </c>
      <c r="V1434" t="s">
        <v>32</v>
      </c>
      <c r="W1434" t="s">
        <v>1266</v>
      </c>
      <c r="X1434" t="s">
        <v>16915</v>
      </c>
      <c r="Y1434" t="s">
        <v>157</v>
      </c>
      <c r="Z1434" t="s">
        <v>126</v>
      </c>
      <c r="AA1434" t="s">
        <v>16916</v>
      </c>
      <c r="AB1434" t="s">
        <v>16917</v>
      </c>
      <c r="AC1434" t="s">
        <v>16918</v>
      </c>
      <c r="AD1434" t="s">
        <v>32</v>
      </c>
      <c r="AE1434" t="s">
        <v>16919</v>
      </c>
      <c r="AF1434" t="s">
        <v>46835</v>
      </c>
    </row>
    <row r="1435" spans="1:33" x14ac:dyDescent="0.2">
      <c r="A1435">
        <v>1430</v>
      </c>
      <c r="B1435" t="s">
        <v>16920</v>
      </c>
      <c r="C1435" t="s">
        <v>16921</v>
      </c>
      <c r="D1435" t="s">
        <v>16922</v>
      </c>
      <c r="E1435" t="s">
        <v>16923</v>
      </c>
      <c r="F1435" t="s">
        <v>16924</v>
      </c>
      <c r="G1435" t="s">
        <v>32</v>
      </c>
      <c r="H1435" t="str">
        <f>"Ap1m1"</f>
        <v>Ap1m1</v>
      </c>
      <c r="I1435" t="s">
        <v>16925</v>
      </c>
      <c r="J1435" t="s">
        <v>37</v>
      </c>
      <c r="K1435">
        <v>10090</v>
      </c>
      <c r="L1435" s="3" t="str">
        <f>HYPERLINK("http://www.uniprot.org/uniprot/P35585", "P35585")</f>
        <v>P35585</v>
      </c>
      <c r="M1435" t="s">
        <v>16926</v>
      </c>
      <c r="N1435" t="str">
        <f>"Ap1m1"</f>
        <v>Ap1m1</v>
      </c>
      <c r="O1435" s="3" t="str">
        <f>HYPERLINK("http://www.informatics.jax.org/marker/MGI:102776", "MGI:102776")</f>
        <v>MGI:102776</v>
      </c>
      <c r="P1435" t="s">
        <v>16927</v>
      </c>
      <c r="Q1435" t="s">
        <v>434</v>
      </c>
      <c r="R1435" t="s">
        <v>9099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32</v>
      </c>
      <c r="Y1435" t="s">
        <v>157</v>
      </c>
      <c r="Z1435" t="s">
        <v>126</v>
      </c>
      <c r="AA1435" t="s">
        <v>16928</v>
      </c>
      <c r="AB1435" t="s">
        <v>16929</v>
      </c>
      <c r="AC1435" t="s">
        <v>16930</v>
      </c>
      <c r="AD1435" t="s">
        <v>32</v>
      </c>
      <c r="AE1435" t="s">
        <v>16931</v>
      </c>
      <c r="AF1435" t="s">
        <v>46835</v>
      </c>
    </row>
    <row r="1436" spans="1:33" x14ac:dyDescent="0.2">
      <c r="A1436">
        <v>1431</v>
      </c>
      <c r="B1436" t="s">
        <v>16932</v>
      </c>
      <c r="C1436" t="s">
        <v>16933</v>
      </c>
      <c r="D1436" t="s">
        <v>16934</v>
      </c>
      <c r="E1436" t="s">
        <v>16935</v>
      </c>
      <c r="F1436" t="s">
        <v>16936</v>
      </c>
      <c r="G1436" t="s">
        <v>32</v>
      </c>
      <c r="H1436" t="str">
        <f>"Nedd8"</f>
        <v>Nedd8</v>
      </c>
      <c r="I1436" t="s">
        <v>16937</v>
      </c>
      <c r="J1436" t="s">
        <v>37</v>
      </c>
      <c r="K1436">
        <v>10090</v>
      </c>
      <c r="L1436" s="3" t="str">
        <f>HYPERLINK("http://www.uniprot.org/uniprot/P29595", "P29595")</f>
        <v>P29595</v>
      </c>
      <c r="M1436" t="s">
        <v>16938</v>
      </c>
      <c r="N1436" t="str">
        <f>"Nedd8"</f>
        <v>Nedd8</v>
      </c>
      <c r="O1436" s="3" t="str">
        <f>HYPERLINK("http://www.informatics.jax.org/marker/MGI:97301", "MGI:97301")</f>
        <v>MGI:97301</v>
      </c>
      <c r="P1436" t="s">
        <v>16939</v>
      </c>
      <c r="Q1436" t="s">
        <v>1020</v>
      </c>
      <c r="R1436" t="s">
        <v>2279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32</v>
      </c>
      <c r="Y1436" t="s">
        <v>16940</v>
      </c>
      <c r="Z1436" t="s">
        <v>32</v>
      </c>
      <c r="AA1436" t="s">
        <v>16941</v>
      </c>
      <c r="AB1436" t="s">
        <v>4884</v>
      </c>
      <c r="AC1436" t="s">
        <v>16942</v>
      </c>
      <c r="AD1436" t="s">
        <v>32</v>
      </c>
      <c r="AE1436" t="s">
        <v>16943</v>
      </c>
      <c r="AF1436" t="s">
        <v>46835</v>
      </c>
    </row>
    <row r="1437" spans="1:33" x14ac:dyDescent="0.2">
      <c r="A1437">
        <v>1432</v>
      </c>
      <c r="B1437" t="s">
        <v>16944</v>
      </c>
      <c r="C1437" t="s">
        <v>16945</v>
      </c>
      <c r="D1437" t="s">
        <v>16946</v>
      </c>
      <c r="E1437" t="s">
        <v>16947</v>
      </c>
      <c r="F1437" t="s">
        <v>16948</v>
      </c>
      <c r="G1437" t="s">
        <v>16949</v>
      </c>
      <c r="H1437" t="str">
        <f>"Ssr1"</f>
        <v>Ssr1</v>
      </c>
      <c r="I1437" t="s">
        <v>32</v>
      </c>
      <c r="J1437" t="s">
        <v>37</v>
      </c>
      <c r="K1437">
        <v>10090</v>
      </c>
      <c r="L1437" s="3" t="str">
        <f>HYPERLINK("http://www.uniprot.org/uniprot/Q9CY50", "Q9CY50")</f>
        <v>Q9CY50</v>
      </c>
      <c r="M1437" t="s">
        <v>16950</v>
      </c>
      <c r="N1437" t="str">
        <f>"Ssr1"</f>
        <v>Ssr1</v>
      </c>
      <c r="O1437" s="3" t="str">
        <f>HYPERLINK("http://www.informatics.jax.org/marker/MGI:105082", "MGI:105082")</f>
        <v>MGI:105082</v>
      </c>
      <c r="P1437" t="s">
        <v>16951</v>
      </c>
      <c r="Q1437" t="s">
        <v>32</v>
      </c>
      <c r="R1437" t="s">
        <v>1664</v>
      </c>
      <c r="S1437" t="s">
        <v>32</v>
      </c>
      <c r="T1437" t="s">
        <v>32</v>
      </c>
      <c r="U1437" t="s">
        <v>32</v>
      </c>
      <c r="V1437" t="s">
        <v>3948</v>
      </c>
      <c r="W1437" t="s">
        <v>1380</v>
      </c>
      <c r="X1437" t="s">
        <v>32</v>
      </c>
      <c r="Y1437" t="s">
        <v>4720</v>
      </c>
      <c r="Z1437" t="s">
        <v>32</v>
      </c>
      <c r="AA1437" t="s">
        <v>32</v>
      </c>
      <c r="AB1437" t="s">
        <v>16952</v>
      </c>
      <c r="AC1437" t="s">
        <v>32</v>
      </c>
      <c r="AD1437" t="s">
        <v>32</v>
      </c>
      <c r="AE1437" t="s">
        <v>32</v>
      </c>
      <c r="AF1437" t="s">
        <v>46835</v>
      </c>
    </row>
    <row r="1438" spans="1:33" x14ac:dyDescent="0.2">
      <c r="A1438">
        <v>1433</v>
      </c>
      <c r="B1438" t="s">
        <v>16953</v>
      </c>
      <c r="C1438" t="s">
        <v>16954</v>
      </c>
      <c r="D1438" t="s">
        <v>16955</v>
      </c>
      <c r="E1438" t="s">
        <v>16956</v>
      </c>
      <c r="F1438" t="s">
        <v>16957</v>
      </c>
      <c r="G1438" t="s">
        <v>16958</v>
      </c>
      <c r="H1438" t="str">
        <f>"Itsn1"</f>
        <v>Itsn1</v>
      </c>
      <c r="I1438" t="s">
        <v>16959</v>
      </c>
      <c r="J1438" t="s">
        <v>37</v>
      </c>
      <c r="K1438">
        <v>10090</v>
      </c>
      <c r="L1438" s="3" t="str">
        <f>HYPERLINK("http://www.uniprot.org/uniprot/Q9Z0R4", "Q9Z0R4")</f>
        <v>Q9Z0R4</v>
      </c>
      <c r="M1438" t="s">
        <v>16960</v>
      </c>
      <c r="N1438" t="str">
        <f>"Itsn1"</f>
        <v>Itsn1</v>
      </c>
      <c r="O1438" s="3" t="str">
        <f>HYPERLINK("http://www.informatics.jax.org/marker/MGI:1338069", "MGI:1338069")</f>
        <v>MGI:1338069</v>
      </c>
      <c r="P1438" t="s">
        <v>16961</v>
      </c>
      <c r="Q1438" t="s">
        <v>16962</v>
      </c>
      <c r="R1438" t="s">
        <v>16963</v>
      </c>
      <c r="S1438" t="s">
        <v>41</v>
      </c>
      <c r="T1438" t="s">
        <v>32</v>
      </c>
      <c r="U1438" t="s">
        <v>32</v>
      </c>
      <c r="V1438" t="s">
        <v>404</v>
      </c>
      <c r="W1438" t="s">
        <v>188</v>
      </c>
      <c r="X1438" t="s">
        <v>32</v>
      </c>
      <c r="Y1438" t="s">
        <v>618</v>
      </c>
      <c r="Z1438" t="s">
        <v>126</v>
      </c>
      <c r="AA1438" t="s">
        <v>16964</v>
      </c>
      <c r="AB1438" t="s">
        <v>16965</v>
      </c>
      <c r="AC1438" t="s">
        <v>16966</v>
      </c>
      <c r="AD1438" t="s">
        <v>32</v>
      </c>
      <c r="AE1438" t="s">
        <v>16967</v>
      </c>
      <c r="AF1438" t="s">
        <v>46835</v>
      </c>
    </row>
    <row r="1439" spans="1:33" x14ac:dyDescent="0.2">
      <c r="A1439">
        <v>1434</v>
      </c>
      <c r="B1439" t="s">
        <v>16968</v>
      </c>
      <c r="C1439" t="s">
        <v>16969</v>
      </c>
      <c r="D1439" t="s">
        <v>16970</v>
      </c>
      <c r="E1439" t="s">
        <v>16971</v>
      </c>
      <c r="F1439" t="s">
        <v>16972</v>
      </c>
      <c r="G1439" t="s">
        <v>16973</v>
      </c>
      <c r="H1439" t="str">
        <f>"Mtor"</f>
        <v>Mtor</v>
      </c>
      <c r="I1439" t="s">
        <v>16974</v>
      </c>
      <c r="J1439" t="s">
        <v>37</v>
      </c>
      <c r="K1439">
        <v>10090</v>
      </c>
      <c r="L1439" s="3" t="str">
        <f>HYPERLINK("http://www.uniprot.org/uniprot/Q9JLN9", "Q9JLN9")</f>
        <v>Q9JLN9</v>
      </c>
      <c r="M1439" t="s">
        <v>16975</v>
      </c>
      <c r="N1439" t="str">
        <f>"Mtor"</f>
        <v>Mtor</v>
      </c>
      <c r="O1439" s="3" t="str">
        <f>HYPERLINK("http://www.informatics.jax.org/marker/MGI:1928394", "MGI:1928394")</f>
        <v>MGI:1928394</v>
      </c>
      <c r="P1439" t="s">
        <v>16976</v>
      </c>
      <c r="Q1439" t="s">
        <v>9465</v>
      </c>
      <c r="R1439" t="s">
        <v>16977</v>
      </c>
      <c r="S1439" t="s">
        <v>41</v>
      </c>
      <c r="T1439" t="s">
        <v>32</v>
      </c>
      <c r="U1439" t="s">
        <v>32</v>
      </c>
      <c r="V1439" t="s">
        <v>995</v>
      </c>
      <c r="W1439" t="s">
        <v>205</v>
      </c>
      <c r="X1439" t="s">
        <v>5419</v>
      </c>
      <c r="Y1439" t="s">
        <v>157</v>
      </c>
      <c r="Z1439" t="s">
        <v>32</v>
      </c>
      <c r="AA1439" t="s">
        <v>16978</v>
      </c>
      <c r="AB1439" t="s">
        <v>16979</v>
      </c>
      <c r="AC1439" t="s">
        <v>16980</v>
      </c>
      <c r="AD1439" t="s">
        <v>32</v>
      </c>
      <c r="AE1439" t="s">
        <v>16981</v>
      </c>
      <c r="AF1439" t="s">
        <v>46835</v>
      </c>
    </row>
    <row r="1440" spans="1:33" x14ac:dyDescent="0.2">
      <c r="A1440">
        <v>1435</v>
      </c>
      <c r="B1440" t="s">
        <v>16982</v>
      </c>
      <c r="C1440" t="s">
        <v>16983</v>
      </c>
      <c r="D1440" t="s">
        <v>16984</v>
      </c>
      <c r="E1440" t="s">
        <v>16985</v>
      </c>
      <c r="F1440" t="s">
        <v>16986</v>
      </c>
      <c r="G1440" t="s">
        <v>32</v>
      </c>
      <c r="H1440" t="str">
        <f>"Mtrex"</f>
        <v>Mtrex</v>
      </c>
      <c r="I1440" t="s">
        <v>16987</v>
      </c>
      <c r="J1440" t="s">
        <v>37</v>
      </c>
      <c r="K1440">
        <v>10090</v>
      </c>
      <c r="L1440" s="3" t="str">
        <f>HYPERLINK("http://www.uniprot.org/uniprot/Q9CZU3", "Q9CZU3")</f>
        <v>Q9CZU3</v>
      </c>
      <c r="M1440" t="s">
        <v>16988</v>
      </c>
      <c r="N1440" t="str">
        <f>"Mtrex"</f>
        <v>Mtrex</v>
      </c>
      <c r="O1440" s="3" t="str">
        <f>HYPERLINK("http://www.informatics.jax.org/marker/MGI:1919448", "MGI:1919448")</f>
        <v>MGI:1919448</v>
      </c>
      <c r="P1440" t="s">
        <v>16989</v>
      </c>
      <c r="Q1440" t="s">
        <v>16990</v>
      </c>
      <c r="R1440" t="s">
        <v>2140</v>
      </c>
      <c r="S1440" t="s">
        <v>32</v>
      </c>
      <c r="T1440" t="s">
        <v>32</v>
      </c>
      <c r="U1440" t="s">
        <v>32</v>
      </c>
      <c r="V1440" t="s">
        <v>32</v>
      </c>
      <c r="W1440" t="s">
        <v>205</v>
      </c>
      <c r="X1440" t="s">
        <v>16991</v>
      </c>
      <c r="Y1440" t="s">
        <v>516</v>
      </c>
      <c r="Z1440" t="s">
        <v>32</v>
      </c>
      <c r="AA1440" t="s">
        <v>16992</v>
      </c>
      <c r="AB1440" t="s">
        <v>16993</v>
      </c>
      <c r="AC1440" t="s">
        <v>5185</v>
      </c>
      <c r="AD1440" t="s">
        <v>32</v>
      </c>
      <c r="AE1440" t="s">
        <v>960</v>
      </c>
      <c r="AF1440" t="s">
        <v>46835</v>
      </c>
    </row>
    <row r="1441" spans="1:33" x14ac:dyDescent="0.2">
      <c r="A1441">
        <v>1436</v>
      </c>
      <c r="B1441" t="s">
        <v>16994</v>
      </c>
      <c r="C1441" t="s">
        <v>16995</v>
      </c>
      <c r="D1441" t="s">
        <v>16996</v>
      </c>
      <c r="E1441" t="s">
        <v>16997</v>
      </c>
      <c r="F1441" t="s">
        <v>16998</v>
      </c>
      <c r="G1441" t="s">
        <v>16999</v>
      </c>
      <c r="H1441" t="str">
        <f>"Zbtb8os"</f>
        <v>Zbtb8os</v>
      </c>
      <c r="I1441" t="s">
        <v>17000</v>
      </c>
      <c r="J1441" t="s">
        <v>37</v>
      </c>
      <c r="K1441">
        <v>10090</v>
      </c>
      <c r="L1441" s="3" t="str">
        <f>HYPERLINK("http://www.uniprot.org/uniprot/Q505B7", "Q505B7")</f>
        <v>Q505B7</v>
      </c>
      <c r="M1441" t="s">
        <v>17001</v>
      </c>
      <c r="N1441" t="str">
        <f>"Zbtb8os"</f>
        <v>Zbtb8os</v>
      </c>
      <c r="O1441" s="3" t="str">
        <f>HYPERLINK("http://www.informatics.jax.org/marker/MGI:1914356", "MGI:1914356")</f>
        <v>MGI:1914356</v>
      </c>
      <c r="P1441" t="s">
        <v>17002</v>
      </c>
      <c r="Q1441" t="s">
        <v>4386</v>
      </c>
      <c r="R1441" t="s">
        <v>32</v>
      </c>
      <c r="S1441" t="s">
        <v>41</v>
      </c>
      <c r="T1441" t="s">
        <v>32</v>
      </c>
      <c r="U1441" t="s">
        <v>32</v>
      </c>
      <c r="V1441" t="s">
        <v>32</v>
      </c>
      <c r="W1441" t="s">
        <v>188</v>
      </c>
      <c r="X1441" t="s">
        <v>32</v>
      </c>
      <c r="Y1441" t="s">
        <v>78</v>
      </c>
      <c r="Z1441" t="s">
        <v>32</v>
      </c>
      <c r="AA1441" t="s">
        <v>17003</v>
      </c>
      <c r="AB1441" t="s">
        <v>17004</v>
      </c>
      <c r="AC1441" t="s">
        <v>4525</v>
      </c>
      <c r="AD1441" t="s">
        <v>32</v>
      </c>
      <c r="AE1441" t="s">
        <v>32</v>
      </c>
      <c r="AF1441" t="s">
        <v>46835</v>
      </c>
    </row>
    <row r="1442" spans="1:33" x14ac:dyDescent="0.2">
      <c r="A1442">
        <v>1437</v>
      </c>
      <c r="B1442" t="s">
        <v>17005</v>
      </c>
      <c r="C1442" t="s">
        <v>17006</v>
      </c>
      <c r="D1442" t="s">
        <v>32</v>
      </c>
      <c r="E1442" t="s">
        <v>17007</v>
      </c>
      <c r="F1442" t="s">
        <v>17008</v>
      </c>
      <c r="G1442" t="s">
        <v>17009</v>
      </c>
      <c r="H1442" t="str">
        <f>"Gamt"</f>
        <v>Gamt</v>
      </c>
      <c r="I1442" t="s">
        <v>32</v>
      </c>
      <c r="J1442" t="s">
        <v>37</v>
      </c>
      <c r="K1442">
        <v>10090</v>
      </c>
      <c r="L1442" s="3" t="str">
        <f>HYPERLINK("http://www.uniprot.org/uniprot/O35969", "O35969")</f>
        <v>O35969</v>
      </c>
      <c r="M1442" t="s">
        <v>17010</v>
      </c>
      <c r="N1442" t="str">
        <f>"Gamt"</f>
        <v>Gamt</v>
      </c>
      <c r="O1442" s="3" t="str">
        <f>HYPERLINK("http://www.informatics.jax.org/marker/MGI:1098221", "MGI:1098221")</f>
        <v>MGI:1098221</v>
      </c>
      <c r="P1442" t="s">
        <v>17011</v>
      </c>
      <c r="Q1442" t="s">
        <v>32</v>
      </c>
      <c r="R1442" t="s">
        <v>3262</v>
      </c>
      <c r="S1442" t="s">
        <v>41</v>
      </c>
      <c r="T1442" t="s">
        <v>32</v>
      </c>
      <c r="U1442" t="s">
        <v>32</v>
      </c>
      <c r="V1442" t="s">
        <v>32</v>
      </c>
      <c r="W1442" t="s">
        <v>1705</v>
      </c>
      <c r="X1442" t="s">
        <v>1706</v>
      </c>
      <c r="Y1442" t="s">
        <v>157</v>
      </c>
      <c r="Z1442" t="s">
        <v>32</v>
      </c>
      <c r="AA1442" t="s">
        <v>17012</v>
      </c>
      <c r="AB1442" t="s">
        <v>17013</v>
      </c>
      <c r="AC1442" t="s">
        <v>17014</v>
      </c>
      <c r="AD1442" t="s">
        <v>17015</v>
      </c>
      <c r="AE1442" t="s">
        <v>17016</v>
      </c>
      <c r="AF1442" t="s">
        <v>46835</v>
      </c>
    </row>
    <row r="1443" spans="1:33" x14ac:dyDescent="0.2">
      <c r="A1443">
        <v>1438</v>
      </c>
      <c r="B1443" t="s">
        <v>17017</v>
      </c>
      <c r="C1443" t="s">
        <v>17018</v>
      </c>
      <c r="D1443" t="s">
        <v>32</v>
      </c>
      <c r="E1443" t="s">
        <v>17019</v>
      </c>
      <c r="F1443" t="s">
        <v>17020</v>
      </c>
      <c r="G1443" t="s">
        <v>17021</v>
      </c>
      <c r="H1443" t="str">
        <f>"Msto1"</f>
        <v>Msto1</v>
      </c>
      <c r="I1443" t="s">
        <v>32</v>
      </c>
      <c r="J1443" t="s">
        <v>37</v>
      </c>
      <c r="K1443">
        <v>10090</v>
      </c>
      <c r="L1443" s="3" t="str">
        <f>HYPERLINK("http://www.uniprot.org/uniprot/Q2YDW2", "Q2YDW2")</f>
        <v>Q2YDW2</v>
      </c>
      <c r="M1443" t="s">
        <v>17022</v>
      </c>
      <c r="N1443" t="str">
        <f>"Msto1"</f>
        <v>Msto1</v>
      </c>
      <c r="O1443" s="3" t="str">
        <f>HYPERLINK("http://www.informatics.jax.org/marker/MGI:2385175", "MGI:2385175")</f>
        <v>MGI:2385175</v>
      </c>
      <c r="P1443" t="s">
        <v>17023</v>
      </c>
      <c r="Q1443" t="s">
        <v>32</v>
      </c>
      <c r="R1443" t="s">
        <v>9642</v>
      </c>
      <c r="S1443" t="s">
        <v>41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t="s">
        <v>618</v>
      </c>
      <c r="Z1443" t="s">
        <v>32</v>
      </c>
      <c r="AA1443" t="s">
        <v>17024</v>
      </c>
      <c r="AB1443" t="s">
        <v>17025</v>
      </c>
      <c r="AC1443" t="s">
        <v>32</v>
      </c>
      <c r="AD1443" t="s">
        <v>32</v>
      </c>
      <c r="AE1443" t="s">
        <v>32</v>
      </c>
      <c r="AF1443" t="s">
        <v>46835</v>
      </c>
    </row>
    <row r="1444" spans="1:33" x14ac:dyDescent="0.2">
      <c r="A1444">
        <v>1439</v>
      </c>
      <c r="B1444" t="s">
        <v>17026</v>
      </c>
      <c r="C1444" t="s">
        <v>17027</v>
      </c>
      <c r="D1444" t="s">
        <v>17028</v>
      </c>
      <c r="E1444" t="s">
        <v>17029</v>
      </c>
      <c r="F1444" t="s">
        <v>17030</v>
      </c>
      <c r="G1444" t="s">
        <v>17031</v>
      </c>
      <c r="H1444" t="str">
        <f>"Nsf"</f>
        <v>Nsf</v>
      </c>
      <c r="I1444" t="s">
        <v>17032</v>
      </c>
      <c r="J1444" t="s">
        <v>37</v>
      </c>
      <c r="K1444">
        <v>10090</v>
      </c>
      <c r="L1444" s="3" t="str">
        <f>HYPERLINK("http://www.uniprot.org/uniprot/P46460", "P46460")</f>
        <v>P46460</v>
      </c>
      <c r="M1444" t="s">
        <v>17033</v>
      </c>
      <c r="N1444" t="str">
        <f>"Nsf"</f>
        <v>Nsf</v>
      </c>
      <c r="O1444" s="3" t="str">
        <f>HYPERLINK("http://www.informatics.jax.org/marker/MGI:104560", "MGI:104560")</f>
        <v>MGI:104560</v>
      </c>
      <c r="P1444" t="s">
        <v>17034</v>
      </c>
      <c r="Q1444" t="s">
        <v>434</v>
      </c>
      <c r="R1444" t="s">
        <v>418</v>
      </c>
      <c r="S1444" t="s">
        <v>32</v>
      </c>
      <c r="T1444" t="s">
        <v>32</v>
      </c>
      <c r="U1444" t="s">
        <v>32</v>
      </c>
      <c r="V1444" t="s">
        <v>55</v>
      </c>
      <c r="W1444" t="s">
        <v>1266</v>
      </c>
      <c r="X1444" t="s">
        <v>343</v>
      </c>
      <c r="Y1444" t="s">
        <v>157</v>
      </c>
      <c r="Z1444" t="s">
        <v>32</v>
      </c>
      <c r="AA1444" t="s">
        <v>17035</v>
      </c>
      <c r="AB1444" t="s">
        <v>17036</v>
      </c>
      <c r="AC1444" t="s">
        <v>17037</v>
      </c>
      <c r="AD1444" t="s">
        <v>32</v>
      </c>
      <c r="AE1444" t="s">
        <v>17038</v>
      </c>
      <c r="AF1444" t="s">
        <v>46835</v>
      </c>
    </row>
    <row r="1445" spans="1:33" x14ac:dyDescent="0.2">
      <c r="A1445">
        <v>1440</v>
      </c>
      <c r="B1445" t="s">
        <v>17039</v>
      </c>
      <c r="C1445" t="s">
        <v>17040</v>
      </c>
      <c r="D1445" t="s">
        <v>17041</v>
      </c>
      <c r="E1445" t="s">
        <v>17042</v>
      </c>
      <c r="F1445" t="s">
        <v>17043</v>
      </c>
      <c r="G1445" t="s">
        <v>17044</v>
      </c>
      <c r="H1445" t="str">
        <f>"Sart3"</f>
        <v>Sart3</v>
      </c>
      <c r="I1445" t="s">
        <v>32</v>
      </c>
      <c r="J1445" t="s">
        <v>37</v>
      </c>
      <c r="K1445">
        <v>10090</v>
      </c>
      <c r="L1445" s="3" t="str">
        <f>HYPERLINK("http://www.uniprot.org/uniprot/Q9JLI8", "Q9JLI8")</f>
        <v>Q9JLI8</v>
      </c>
      <c r="M1445" t="s">
        <v>17045</v>
      </c>
      <c r="N1445" t="str">
        <f>"Sart3"</f>
        <v>Sart3</v>
      </c>
      <c r="O1445" s="3" t="str">
        <f>HYPERLINK("http://www.informatics.jax.org/marker/MGI:1858230", "MGI:1858230")</f>
        <v>MGI:1858230</v>
      </c>
      <c r="P1445" t="s">
        <v>17046</v>
      </c>
      <c r="Q1445" t="s">
        <v>2139</v>
      </c>
      <c r="R1445" t="s">
        <v>40</v>
      </c>
      <c r="S1445" t="s">
        <v>41</v>
      </c>
      <c r="T1445" t="s">
        <v>32</v>
      </c>
      <c r="U1445" t="s">
        <v>32</v>
      </c>
      <c r="V1445" t="s">
        <v>137</v>
      </c>
      <c r="W1445" t="s">
        <v>32</v>
      </c>
      <c r="X1445" t="s">
        <v>1282</v>
      </c>
      <c r="Y1445" t="s">
        <v>97</v>
      </c>
      <c r="Z1445" t="s">
        <v>32</v>
      </c>
      <c r="AA1445" t="s">
        <v>17047</v>
      </c>
      <c r="AB1445" t="s">
        <v>17048</v>
      </c>
      <c r="AC1445" t="s">
        <v>17049</v>
      </c>
      <c r="AD1445" t="s">
        <v>32</v>
      </c>
      <c r="AE1445" t="s">
        <v>32</v>
      </c>
      <c r="AF1445" t="s">
        <v>46835</v>
      </c>
    </row>
    <row r="1446" spans="1:33" x14ac:dyDescent="0.2">
      <c r="A1446">
        <v>1441</v>
      </c>
      <c r="B1446" t="s">
        <v>17050</v>
      </c>
      <c r="C1446" t="s">
        <v>47107</v>
      </c>
      <c r="D1446" t="s">
        <v>32</v>
      </c>
      <c r="E1446" t="s">
        <v>46906</v>
      </c>
      <c r="F1446" t="s">
        <v>46905</v>
      </c>
      <c r="G1446" t="s">
        <v>32</v>
      </c>
      <c r="H1446" t="s">
        <v>47238</v>
      </c>
      <c r="I1446" t="s">
        <v>32</v>
      </c>
      <c r="J1446" t="s">
        <v>37</v>
      </c>
      <c r="K1446">
        <v>10090</v>
      </c>
      <c r="L1446" s="3" t="str">
        <f>HYPERLINK(CONCATENATE("https://www.uniprot.org/uniprotkb/", AG1446, "/entry"), AG1446)</f>
        <v>Q9ESN9</v>
      </c>
      <c r="M1446" t="s">
        <v>32</v>
      </c>
      <c r="N1446" t="s">
        <v>32</v>
      </c>
      <c r="O1446" s="3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32</v>
      </c>
      <c r="Y1446" t="s">
        <v>32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t="s">
        <v>46835</v>
      </c>
      <c r="AG1446" t="s">
        <v>46905</v>
      </c>
    </row>
    <row r="1447" spans="1:33" x14ac:dyDescent="0.2">
      <c r="A1447">
        <v>1442</v>
      </c>
      <c r="B1447" t="s">
        <v>17051</v>
      </c>
      <c r="C1447" t="s">
        <v>17052</v>
      </c>
      <c r="D1447" t="s">
        <v>17053</v>
      </c>
      <c r="E1447" t="s">
        <v>17054</v>
      </c>
      <c r="F1447" t="s">
        <v>17055</v>
      </c>
      <c r="G1447" t="s">
        <v>17056</v>
      </c>
      <c r="H1447" t="str">
        <f>"Larp4b"</f>
        <v>Larp4b</v>
      </c>
      <c r="I1447" t="s">
        <v>17057</v>
      </c>
      <c r="J1447" t="s">
        <v>37</v>
      </c>
      <c r="K1447">
        <v>10090</v>
      </c>
      <c r="L1447" s="3" t="str">
        <f>HYPERLINK("http://www.uniprot.org/uniprot/Q6A0A2", "Q6A0A2")</f>
        <v>Q6A0A2</v>
      </c>
      <c r="M1447" t="s">
        <v>17058</v>
      </c>
      <c r="N1447" t="str">
        <f>"Larp4b"</f>
        <v>Larp4b</v>
      </c>
      <c r="O1447" s="3" t="str">
        <f>HYPERLINK("http://www.informatics.jax.org/marker/MGI:106330", "MGI:106330")</f>
        <v>MGI:106330</v>
      </c>
      <c r="P1447" t="s">
        <v>17059</v>
      </c>
      <c r="Q1447" t="s">
        <v>1680</v>
      </c>
      <c r="R1447" t="s">
        <v>418</v>
      </c>
      <c r="S1447" t="s">
        <v>41</v>
      </c>
      <c r="T1447" t="s">
        <v>32</v>
      </c>
      <c r="U1447" t="s">
        <v>32</v>
      </c>
      <c r="V1447" t="s">
        <v>32</v>
      </c>
      <c r="W1447" t="s">
        <v>32</v>
      </c>
      <c r="X1447" t="s">
        <v>1282</v>
      </c>
      <c r="Y1447" t="s">
        <v>97</v>
      </c>
      <c r="Z1447" t="s">
        <v>32</v>
      </c>
      <c r="AA1447" t="s">
        <v>17060</v>
      </c>
      <c r="AB1447" t="s">
        <v>17061</v>
      </c>
      <c r="AC1447" t="s">
        <v>17062</v>
      </c>
      <c r="AD1447" t="s">
        <v>32</v>
      </c>
      <c r="AE1447" t="s">
        <v>32</v>
      </c>
      <c r="AF1447" t="s">
        <v>46835</v>
      </c>
    </row>
    <row r="1448" spans="1:33" x14ac:dyDescent="0.2">
      <c r="A1448">
        <v>1443</v>
      </c>
      <c r="B1448" t="s">
        <v>17063</v>
      </c>
      <c r="C1448" t="s">
        <v>17064</v>
      </c>
      <c r="D1448" t="s">
        <v>17065</v>
      </c>
      <c r="E1448" t="s">
        <v>17066</v>
      </c>
      <c r="F1448" t="s">
        <v>17067</v>
      </c>
      <c r="G1448" t="s">
        <v>17068</v>
      </c>
      <c r="H1448" t="str">
        <f>"Ddx42"</f>
        <v>Ddx42</v>
      </c>
      <c r="I1448" t="s">
        <v>32</v>
      </c>
      <c r="J1448" t="s">
        <v>37</v>
      </c>
      <c r="K1448">
        <v>10090</v>
      </c>
      <c r="L1448" s="3" t="str">
        <f>HYPERLINK("http://www.uniprot.org/uniprot/Q810A7", "Q810A7")</f>
        <v>Q810A7</v>
      </c>
      <c r="M1448" t="s">
        <v>17069</v>
      </c>
      <c r="N1448" t="str">
        <f>"Ddx42"</f>
        <v>Ddx42</v>
      </c>
      <c r="O1448" s="3" t="str">
        <f>HYPERLINK("http://www.informatics.jax.org/marker/MGI:1919297", "MGI:1919297")</f>
        <v>MGI:1919297</v>
      </c>
      <c r="P1448" t="s">
        <v>17070</v>
      </c>
      <c r="Q1448" t="s">
        <v>32</v>
      </c>
      <c r="R1448" t="s">
        <v>40</v>
      </c>
      <c r="S1448" t="s">
        <v>41</v>
      </c>
      <c r="T1448" t="s">
        <v>32</v>
      </c>
      <c r="U1448" t="s">
        <v>32</v>
      </c>
      <c r="V1448" t="s">
        <v>290</v>
      </c>
      <c r="W1448" t="s">
        <v>205</v>
      </c>
      <c r="X1448" t="s">
        <v>5050</v>
      </c>
      <c r="Y1448" t="s">
        <v>207</v>
      </c>
      <c r="Z1448" t="s">
        <v>32</v>
      </c>
      <c r="AA1448" t="s">
        <v>17071</v>
      </c>
      <c r="AB1448" t="s">
        <v>17072</v>
      </c>
      <c r="AC1448" t="s">
        <v>5185</v>
      </c>
      <c r="AD1448" t="s">
        <v>32</v>
      </c>
      <c r="AE1448" t="s">
        <v>7167</v>
      </c>
      <c r="AF1448" t="s">
        <v>46835</v>
      </c>
    </row>
    <row r="1449" spans="1:33" x14ac:dyDescent="0.2">
      <c r="A1449">
        <v>1444</v>
      </c>
      <c r="B1449" t="s">
        <v>17073</v>
      </c>
      <c r="C1449" t="s">
        <v>17074</v>
      </c>
      <c r="D1449" t="s">
        <v>17075</v>
      </c>
      <c r="E1449" t="s">
        <v>17076</v>
      </c>
      <c r="F1449" t="s">
        <v>17077</v>
      </c>
      <c r="G1449" t="s">
        <v>32</v>
      </c>
      <c r="H1449" t="str">
        <f>"Clu"</f>
        <v>Clu</v>
      </c>
      <c r="I1449" t="s">
        <v>32</v>
      </c>
      <c r="J1449" t="s">
        <v>37</v>
      </c>
      <c r="K1449">
        <v>10090</v>
      </c>
      <c r="L1449" s="3" t="str">
        <f>HYPERLINK("http://www.uniprot.org/uniprot/Q06890", "Q06890")</f>
        <v>Q06890</v>
      </c>
      <c r="M1449" t="s">
        <v>17078</v>
      </c>
      <c r="N1449" t="str">
        <f>"Clu"</f>
        <v>Clu</v>
      </c>
      <c r="O1449" s="3" t="str">
        <f>HYPERLINK("http://www.informatics.jax.org/marker/MGI:88423", "MGI:88423")</f>
        <v>MGI:88423</v>
      </c>
      <c r="P1449" t="s">
        <v>17079</v>
      </c>
      <c r="Q1449" t="s">
        <v>32</v>
      </c>
      <c r="R1449" t="s">
        <v>17080</v>
      </c>
      <c r="S1449" t="s">
        <v>32</v>
      </c>
      <c r="T1449" t="s">
        <v>32</v>
      </c>
      <c r="U1449" t="s">
        <v>32</v>
      </c>
      <c r="V1449" t="s">
        <v>811</v>
      </c>
      <c r="W1449" t="s">
        <v>32</v>
      </c>
      <c r="X1449" t="s">
        <v>388</v>
      </c>
      <c r="Y1449" t="s">
        <v>17081</v>
      </c>
      <c r="Z1449" t="s">
        <v>32</v>
      </c>
      <c r="AA1449" t="s">
        <v>17082</v>
      </c>
      <c r="AB1449" t="s">
        <v>17083</v>
      </c>
      <c r="AC1449" t="s">
        <v>17084</v>
      </c>
      <c r="AD1449" t="s">
        <v>32</v>
      </c>
      <c r="AE1449" t="s">
        <v>17085</v>
      </c>
      <c r="AF1449" t="s">
        <v>46835</v>
      </c>
    </row>
    <row r="1450" spans="1:33" x14ac:dyDescent="0.2">
      <c r="A1450">
        <v>1445</v>
      </c>
      <c r="B1450" t="s">
        <v>17086</v>
      </c>
      <c r="C1450" t="s">
        <v>17087</v>
      </c>
      <c r="D1450" t="s">
        <v>17088</v>
      </c>
      <c r="E1450" t="s">
        <v>17089</v>
      </c>
      <c r="F1450" t="s">
        <v>17090</v>
      </c>
      <c r="G1450" t="s">
        <v>17091</v>
      </c>
      <c r="H1450" t="str">
        <f>"Fkbp8"</f>
        <v>Fkbp8</v>
      </c>
      <c r="I1450" t="s">
        <v>17092</v>
      </c>
      <c r="J1450" t="s">
        <v>37</v>
      </c>
      <c r="K1450">
        <v>10090</v>
      </c>
      <c r="L1450" s="3" t="str">
        <f>HYPERLINK("http://www.uniprot.org/uniprot/O35465", "O35465")</f>
        <v>O35465</v>
      </c>
      <c r="M1450" t="s">
        <v>17093</v>
      </c>
      <c r="N1450" t="str">
        <f>"Fkbp8"</f>
        <v>Fkbp8</v>
      </c>
      <c r="O1450" s="3" t="str">
        <f>HYPERLINK("http://www.informatics.jax.org/marker/MGI:1341070", "MGI:1341070")</f>
        <v>MGI:1341070</v>
      </c>
      <c r="P1450" t="s">
        <v>17094</v>
      </c>
      <c r="Q1450" t="s">
        <v>541</v>
      </c>
      <c r="R1450" t="s">
        <v>6354</v>
      </c>
      <c r="S1450" t="s">
        <v>41</v>
      </c>
      <c r="T1450" t="s">
        <v>32</v>
      </c>
      <c r="U1450" t="s">
        <v>32</v>
      </c>
      <c r="V1450" t="s">
        <v>11059</v>
      </c>
      <c r="W1450" t="s">
        <v>1380</v>
      </c>
      <c r="X1450" t="s">
        <v>543</v>
      </c>
      <c r="Y1450" t="s">
        <v>1007</v>
      </c>
      <c r="Z1450" t="s">
        <v>32</v>
      </c>
      <c r="AA1450" t="s">
        <v>17095</v>
      </c>
      <c r="AB1450" t="s">
        <v>17096</v>
      </c>
      <c r="AC1450" t="s">
        <v>17097</v>
      </c>
      <c r="AD1450" t="s">
        <v>32</v>
      </c>
      <c r="AE1450" t="s">
        <v>6333</v>
      </c>
      <c r="AF1450" t="s">
        <v>46835</v>
      </c>
    </row>
    <row r="1451" spans="1:33" x14ac:dyDescent="0.2">
      <c r="A1451">
        <v>1446</v>
      </c>
      <c r="B1451" t="s">
        <v>17098</v>
      </c>
      <c r="C1451" t="s">
        <v>17099</v>
      </c>
      <c r="D1451" t="s">
        <v>32</v>
      </c>
      <c r="E1451" t="s">
        <v>17100</v>
      </c>
      <c r="F1451" t="s">
        <v>17101</v>
      </c>
      <c r="G1451" t="s">
        <v>17102</v>
      </c>
      <c r="H1451" t="str">
        <f>"Hdhd2"</f>
        <v>Hdhd2</v>
      </c>
      <c r="I1451" t="s">
        <v>32</v>
      </c>
      <c r="J1451" t="s">
        <v>37</v>
      </c>
      <c r="K1451">
        <v>10090</v>
      </c>
      <c r="L1451" s="3" t="str">
        <f>HYPERLINK("http://www.uniprot.org/uniprot/Q3UGR5", "Q3UGR5")</f>
        <v>Q3UGR5</v>
      </c>
      <c r="M1451" t="s">
        <v>17103</v>
      </c>
      <c r="N1451" t="str">
        <f>"Hdhd2"</f>
        <v>Hdhd2</v>
      </c>
      <c r="O1451" s="3" t="str">
        <f>HYPERLINK("http://www.informatics.jax.org/marker/MGI:1924237", "MGI:1924237")</f>
        <v>MGI:1924237</v>
      </c>
      <c r="P1451" t="s">
        <v>17104</v>
      </c>
      <c r="Q1451" t="s">
        <v>32</v>
      </c>
      <c r="R1451" t="s">
        <v>32</v>
      </c>
      <c r="S1451" t="s">
        <v>41</v>
      </c>
      <c r="T1451" t="s">
        <v>32</v>
      </c>
      <c r="U1451" t="s">
        <v>32</v>
      </c>
      <c r="V1451" t="s">
        <v>290</v>
      </c>
      <c r="W1451" t="s">
        <v>223</v>
      </c>
      <c r="X1451" t="s">
        <v>32</v>
      </c>
      <c r="Y1451" t="s">
        <v>32</v>
      </c>
      <c r="Z1451" t="s">
        <v>126</v>
      </c>
      <c r="AA1451" t="s">
        <v>17105</v>
      </c>
      <c r="AB1451" t="s">
        <v>32</v>
      </c>
      <c r="AC1451" t="s">
        <v>17106</v>
      </c>
      <c r="AD1451" t="s">
        <v>32</v>
      </c>
      <c r="AE1451" t="s">
        <v>32</v>
      </c>
      <c r="AF1451" t="s">
        <v>46835</v>
      </c>
    </row>
    <row r="1452" spans="1:33" x14ac:dyDescent="0.2">
      <c r="A1452">
        <v>1447</v>
      </c>
      <c r="B1452" t="s">
        <v>17107</v>
      </c>
      <c r="C1452" t="s">
        <v>17108</v>
      </c>
      <c r="D1452" t="s">
        <v>17109</v>
      </c>
      <c r="E1452" t="s">
        <v>17110</v>
      </c>
      <c r="F1452" t="s">
        <v>17111</v>
      </c>
      <c r="G1452" t="s">
        <v>32</v>
      </c>
      <c r="H1452" t="str">
        <f>"Ppm1f"</f>
        <v>Ppm1f</v>
      </c>
      <c r="I1452" t="s">
        <v>32</v>
      </c>
      <c r="J1452" t="s">
        <v>37</v>
      </c>
      <c r="K1452">
        <v>10090</v>
      </c>
      <c r="L1452" s="3" t="str">
        <f>HYPERLINK("http://www.uniprot.org/uniprot/Q8CGA0", "Q8CGA0")</f>
        <v>Q8CGA0</v>
      </c>
      <c r="M1452" t="s">
        <v>17112</v>
      </c>
      <c r="N1452" t="str">
        <f>"Ppm1f"</f>
        <v>Ppm1f</v>
      </c>
      <c r="O1452" s="3" t="str">
        <f>HYPERLINK("http://www.informatics.jax.org/marker/MGI:1918464", "MGI:1918464")</f>
        <v>MGI:1918464</v>
      </c>
      <c r="P1452" t="s">
        <v>17113</v>
      </c>
      <c r="Q1452" t="s">
        <v>541</v>
      </c>
      <c r="R1452" t="s">
        <v>32</v>
      </c>
      <c r="S1452" t="s">
        <v>32</v>
      </c>
      <c r="T1452" t="s">
        <v>32</v>
      </c>
      <c r="U1452" t="s">
        <v>32</v>
      </c>
      <c r="V1452" t="s">
        <v>32</v>
      </c>
      <c r="W1452" t="s">
        <v>9312</v>
      </c>
      <c r="X1452" t="s">
        <v>3683</v>
      </c>
      <c r="Y1452" t="s">
        <v>618</v>
      </c>
      <c r="Z1452" t="s">
        <v>32</v>
      </c>
      <c r="AA1452" t="s">
        <v>17114</v>
      </c>
      <c r="AB1452" t="s">
        <v>17115</v>
      </c>
      <c r="AC1452" t="s">
        <v>17116</v>
      </c>
      <c r="AD1452" t="s">
        <v>32</v>
      </c>
      <c r="AE1452" t="s">
        <v>32</v>
      </c>
      <c r="AF1452" t="s">
        <v>46835</v>
      </c>
    </row>
    <row r="1453" spans="1:33" x14ac:dyDescent="0.2">
      <c r="A1453">
        <v>1448</v>
      </c>
      <c r="B1453" t="s">
        <v>17117</v>
      </c>
      <c r="C1453" t="s">
        <v>17118</v>
      </c>
      <c r="D1453" t="s">
        <v>17119</v>
      </c>
      <c r="E1453" t="s">
        <v>17120</v>
      </c>
      <c r="F1453" t="s">
        <v>17121</v>
      </c>
      <c r="G1453" t="s">
        <v>17122</v>
      </c>
      <c r="H1453" t="str">
        <f>"Nudt5"</f>
        <v>Nudt5</v>
      </c>
      <c r="I1453" t="s">
        <v>32</v>
      </c>
      <c r="J1453" t="s">
        <v>37</v>
      </c>
      <c r="K1453">
        <v>10090</v>
      </c>
      <c r="L1453" s="3" t="str">
        <f>HYPERLINK("http://www.uniprot.org/uniprot/Q9JKX6", "Q9JKX6")</f>
        <v>Q9JKX6</v>
      </c>
      <c r="M1453" t="s">
        <v>17123</v>
      </c>
      <c r="N1453" t="str">
        <f>"Nudt5"</f>
        <v>Nudt5</v>
      </c>
      <c r="O1453" s="3" t="str">
        <f>HYPERLINK("http://www.informatics.jax.org/marker/MGI:1858232", "MGI:1858232")</f>
        <v>MGI:1858232</v>
      </c>
      <c r="P1453" t="s">
        <v>17124</v>
      </c>
      <c r="Q1453" t="s">
        <v>32</v>
      </c>
      <c r="R1453" t="s">
        <v>2279</v>
      </c>
      <c r="S1453" t="s">
        <v>32</v>
      </c>
      <c r="T1453" t="s">
        <v>32</v>
      </c>
      <c r="U1453" t="s">
        <v>32</v>
      </c>
      <c r="V1453" t="s">
        <v>32</v>
      </c>
      <c r="W1453" t="s">
        <v>223</v>
      </c>
      <c r="X1453" t="s">
        <v>17125</v>
      </c>
      <c r="Y1453" t="s">
        <v>516</v>
      </c>
      <c r="Z1453" t="s">
        <v>32</v>
      </c>
      <c r="AA1453" t="s">
        <v>17126</v>
      </c>
      <c r="AB1453" t="s">
        <v>3606</v>
      </c>
      <c r="AC1453" t="s">
        <v>17127</v>
      </c>
      <c r="AD1453" t="s">
        <v>32</v>
      </c>
      <c r="AE1453" t="s">
        <v>17128</v>
      </c>
      <c r="AF1453" t="s">
        <v>46835</v>
      </c>
    </row>
    <row r="1454" spans="1:33" x14ac:dyDescent="0.2">
      <c r="A1454">
        <v>1449</v>
      </c>
      <c r="B1454" t="s">
        <v>17129</v>
      </c>
      <c r="C1454" t="s">
        <v>17130</v>
      </c>
      <c r="D1454" t="s">
        <v>32</v>
      </c>
      <c r="E1454" t="s">
        <v>17131</v>
      </c>
      <c r="F1454" t="s">
        <v>17132</v>
      </c>
      <c r="G1454" t="s">
        <v>17133</v>
      </c>
      <c r="H1454" t="str">
        <f>"Hdgfl2"</f>
        <v>Hdgfl2</v>
      </c>
      <c r="I1454" t="s">
        <v>17134</v>
      </c>
      <c r="J1454" t="s">
        <v>37</v>
      </c>
      <c r="K1454">
        <v>10090</v>
      </c>
      <c r="L1454" s="3" t="str">
        <f>HYPERLINK("http://www.uniprot.org/uniprot/Q3UMU9", "Q3UMU9")</f>
        <v>Q3UMU9</v>
      </c>
      <c r="M1454" t="s">
        <v>17135</v>
      </c>
      <c r="N1454" t="str">
        <f>"Hdgfl2"</f>
        <v>Hdgfl2</v>
      </c>
      <c r="O1454" s="3" t="str">
        <f>HYPERLINK("http://www.informatics.jax.org/marker/MGI:1194492", "MGI:1194492")</f>
        <v>MGI:1194492</v>
      </c>
      <c r="P1454" t="s">
        <v>17136</v>
      </c>
      <c r="Q1454" t="s">
        <v>17137</v>
      </c>
      <c r="R1454" t="s">
        <v>40</v>
      </c>
      <c r="S1454" t="s">
        <v>41</v>
      </c>
      <c r="T1454" t="s">
        <v>32</v>
      </c>
      <c r="U1454" t="s">
        <v>32</v>
      </c>
      <c r="V1454" t="s">
        <v>290</v>
      </c>
      <c r="W1454" t="s">
        <v>32</v>
      </c>
      <c r="X1454" t="s">
        <v>32</v>
      </c>
      <c r="Y1454" t="s">
        <v>1007</v>
      </c>
      <c r="Z1454" t="s">
        <v>32</v>
      </c>
      <c r="AA1454" t="s">
        <v>17138</v>
      </c>
      <c r="AB1454" t="s">
        <v>110</v>
      </c>
      <c r="AC1454" t="s">
        <v>17139</v>
      </c>
      <c r="AD1454" t="s">
        <v>32</v>
      </c>
      <c r="AE1454" t="s">
        <v>32</v>
      </c>
      <c r="AF1454" t="s">
        <v>46835</v>
      </c>
    </row>
    <row r="1455" spans="1:33" x14ac:dyDescent="0.2">
      <c r="A1455">
        <v>1450</v>
      </c>
      <c r="B1455" t="s">
        <v>17140</v>
      </c>
      <c r="C1455" t="s">
        <v>17141</v>
      </c>
      <c r="D1455" t="s">
        <v>17142</v>
      </c>
      <c r="E1455" t="s">
        <v>17143</v>
      </c>
      <c r="F1455" t="s">
        <v>17144</v>
      </c>
      <c r="G1455" t="s">
        <v>17145</v>
      </c>
      <c r="H1455" t="str">
        <f>"Dock5"</f>
        <v>Dock5</v>
      </c>
      <c r="I1455" t="s">
        <v>32</v>
      </c>
      <c r="J1455" t="s">
        <v>37</v>
      </c>
      <c r="K1455">
        <v>10090</v>
      </c>
      <c r="L1455" s="3" t="str">
        <f>HYPERLINK("http://www.uniprot.org/uniprot/B2RY04", "B2RY04")</f>
        <v>B2RY04</v>
      </c>
      <c r="M1455" t="s">
        <v>17146</v>
      </c>
      <c r="N1455" t="str">
        <f>"Dock5"</f>
        <v>Dock5</v>
      </c>
      <c r="O1455" s="3" t="str">
        <f>HYPERLINK("http://www.informatics.jax.org/marker/MGI:2652871", "MGI:2652871")</f>
        <v>MGI:2652871</v>
      </c>
      <c r="P1455" t="s">
        <v>17147</v>
      </c>
      <c r="Q1455" t="s">
        <v>32</v>
      </c>
      <c r="R1455" t="s">
        <v>222</v>
      </c>
      <c r="S1455" t="s">
        <v>32</v>
      </c>
      <c r="T1455" t="s">
        <v>32</v>
      </c>
      <c r="U1455" t="s">
        <v>616</v>
      </c>
      <c r="V1455" t="s">
        <v>10640</v>
      </c>
      <c r="W1455" t="s">
        <v>32</v>
      </c>
      <c r="X1455" t="s">
        <v>5011</v>
      </c>
      <c r="Y1455" t="s">
        <v>157</v>
      </c>
      <c r="Z1455" t="s">
        <v>32</v>
      </c>
      <c r="AA1455" t="s">
        <v>17148</v>
      </c>
      <c r="AB1455" t="s">
        <v>4024</v>
      </c>
      <c r="AC1455" t="s">
        <v>17149</v>
      </c>
      <c r="AD1455" t="s">
        <v>32</v>
      </c>
      <c r="AE1455" t="s">
        <v>17150</v>
      </c>
      <c r="AF1455" t="s">
        <v>46835</v>
      </c>
    </row>
    <row r="1456" spans="1:33" x14ac:dyDescent="0.2">
      <c r="A1456">
        <v>1451</v>
      </c>
      <c r="B1456" t="s">
        <v>17151</v>
      </c>
      <c r="C1456" t="s">
        <v>17152</v>
      </c>
      <c r="D1456" t="s">
        <v>17153</v>
      </c>
      <c r="E1456" t="s">
        <v>17154</v>
      </c>
      <c r="F1456" t="s">
        <v>17155</v>
      </c>
      <c r="G1456" t="s">
        <v>17156</v>
      </c>
      <c r="H1456" t="str">
        <f>"Mocs2"</f>
        <v>Mocs2</v>
      </c>
      <c r="I1456" t="s">
        <v>32</v>
      </c>
      <c r="J1456" t="s">
        <v>37</v>
      </c>
      <c r="K1456">
        <v>10090</v>
      </c>
      <c r="L1456" s="3" t="str">
        <f>HYPERLINK("http://www.uniprot.org/uniprot/Q9Z223", "Q9Z223")</f>
        <v>Q9Z223</v>
      </c>
      <c r="M1456" t="s">
        <v>17157</v>
      </c>
      <c r="N1456" t="str">
        <f>"Mocs2"</f>
        <v>Mocs2</v>
      </c>
      <c r="O1456" s="3" t="str">
        <f>HYPERLINK("http://www.informatics.jax.org/marker/MGI:1336894", "MGI:1336894")</f>
        <v>MGI:1336894</v>
      </c>
      <c r="P1456" t="s">
        <v>17158</v>
      </c>
      <c r="Q1456" t="s">
        <v>17159</v>
      </c>
      <c r="R1456" t="s">
        <v>418</v>
      </c>
      <c r="S1456" t="s">
        <v>41</v>
      </c>
      <c r="T1456" t="s">
        <v>32</v>
      </c>
      <c r="U1456" t="s">
        <v>32</v>
      </c>
      <c r="V1456" t="s">
        <v>32</v>
      </c>
      <c r="W1456" t="s">
        <v>32</v>
      </c>
      <c r="X1456" t="s">
        <v>515</v>
      </c>
      <c r="Y1456" t="s">
        <v>618</v>
      </c>
      <c r="Z1456" t="s">
        <v>32</v>
      </c>
      <c r="AA1456" t="s">
        <v>17160</v>
      </c>
      <c r="AB1456" t="s">
        <v>17161</v>
      </c>
      <c r="AC1456" t="s">
        <v>17162</v>
      </c>
      <c r="AD1456" t="s">
        <v>17163</v>
      </c>
      <c r="AE1456" t="s">
        <v>32</v>
      </c>
      <c r="AF1456" t="s">
        <v>46835</v>
      </c>
    </row>
    <row r="1457" spans="1:32" x14ac:dyDescent="0.2">
      <c r="A1457">
        <v>1452</v>
      </c>
      <c r="B1457" t="s">
        <v>17164</v>
      </c>
      <c r="C1457" t="s">
        <v>17165</v>
      </c>
      <c r="D1457" t="s">
        <v>17166</v>
      </c>
      <c r="E1457" t="s">
        <v>17167</v>
      </c>
      <c r="F1457" t="s">
        <v>17168</v>
      </c>
      <c r="G1457" t="s">
        <v>17169</v>
      </c>
      <c r="H1457" t="str">
        <f>"Birc6"</f>
        <v>Birc6</v>
      </c>
      <c r="I1457" t="s">
        <v>17170</v>
      </c>
      <c r="J1457" t="s">
        <v>37</v>
      </c>
      <c r="K1457">
        <v>10090</v>
      </c>
      <c r="L1457" s="3" t="str">
        <f>HYPERLINK("http://www.uniprot.org/uniprot/O88738", "O88738")</f>
        <v>O88738</v>
      </c>
      <c r="M1457" t="s">
        <v>17171</v>
      </c>
      <c r="N1457" t="str">
        <f>"Birc6"</f>
        <v>Birc6</v>
      </c>
      <c r="O1457" s="3" t="str">
        <f>HYPERLINK("http://www.informatics.jax.org/marker/MGI:1276108", "MGI:1276108")</f>
        <v>MGI:1276108</v>
      </c>
      <c r="P1457" t="s">
        <v>17172</v>
      </c>
      <c r="Q1457" t="s">
        <v>17173</v>
      </c>
      <c r="R1457" t="s">
        <v>17174</v>
      </c>
      <c r="S1457" t="s">
        <v>41</v>
      </c>
      <c r="T1457" t="s">
        <v>32</v>
      </c>
      <c r="U1457" t="s">
        <v>32</v>
      </c>
      <c r="V1457" t="s">
        <v>32</v>
      </c>
      <c r="W1457" t="s">
        <v>32</v>
      </c>
      <c r="X1457" t="s">
        <v>16298</v>
      </c>
      <c r="Y1457" t="s">
        <v>2836</v>
      </c>
      <c r="Z1457" t="s">
        <v>32</v>
      </c>
      <c r="AA1457" t="s">
        <v>17175</v>
      </c>
      <c r="AB1457" t="s">
        <v>17176</v>
      </c>
      <c r="AC1457" t="s">
        <v>17177</v>
      </c>
      <c r="AD1457" t="s">
        <v>32</v>
      </c>
      <c r="AE1457" t="s">
        <v>32</v>
      </c>
      <c r="AF1457" t="s">
        <v>46835</v>
      </c>
    </row>
    <row r="1458" spans="1:32" x14ac:dyDescent="0.2">
      <c r="A1458">
        <v>1453</v>
      </c>
      <c r="B1458" t="s">
        <v>17178</v>
      </c>
      <c r="C1458" t="s">
        <v>17179</v>
      </c>
      <c r="D1458" t="s">
        <v>32</v>
      </c>
      <c r="E1458" t="s">
        <v>17180</v>
      </c>
      <c r="F1458" t="s">
        <v>17181</v>
      </c>
      <c r="G1458" t="s">
        <v>17182</v>
      </c>
      <c r="H1458" t="str">
        <f>"Ahsa2"</f>
        <v>Ahsa2</v>
      </c>
      <c r="I1458" t="s">
        <v>32</v>
      </c>
      <c r="J1458" t="s">
        <v>37</v>
      </c>
      <c r="K1458">
        <v>10090</v>
      </c>
      <c r="L1458" s="3" t="str">
        <f>HYPERLINK("http://www.uniprot.org/uniprot/Q8N9S3", "Q8N9S3")</f>
        <v>Q8N9S3</v>
      </c>
      <c r="M1458" t="s">
        <v>17183</v>
      </c>
      <c r="N1458" t="str">
        <f>"Ahsa2"</f>
        <v>Ahsa2</v>
      </c>
      <c r="O1458" s="3" t="str">
        <f>HYPERLINK("http://www.informatics.jax.org/marker/MGI:1916133", "MGI:1916133")</f>
        <v>MGI:1916133</v>
      </c>
      <c r="P1458" t="s">
        <v>17184</v>
      </c>
      <c r="Q1458" t="s">
        <v>386</v>
      </c>
      <c r="R1458" t="s">
        <v>32</v>
      </c>
      <c r="S1458" t="s">
        <v>41</v>
      </c>
      <c r="T1458" t="s">
        <v>32</v>
      </c>
      <c r="U1458" t="s">
        <v>32</v>
      </c>
      <c r="V1458" t="s">
        <v>32</v>
      </c>
      <c r="W1458" t="s">
        <v>32</v>
      </c>
      <c r="X1458" t="s">
        <v>388</v>
      </c>
      <c r="Y1458" t="s">
        <v>32</v>
      </c>
      <c r="Z1458" t="s">
        <v>32</v>
      </c>
      <c r="AA1458" t="s">
        <v>17185</v>
      </c>
      <c r="AB1458" t="s">
        <v>1268</v>
      </c>
      <c r="AC1458" t="s">
        <v>17186</v>
      </c>
      <c r="AD1458" t="s">
        <v>32</v>
      </c>
      <c r="AE1458" t="s">
        <v>32</v>
      </c>
      <c r="AF1458" t="s">
        <v>46835</v>
      </c>
    </row>
    <row r="1459" spans="1:32" x14ac:dyDescent="0.2">
      <c r="A1459">
        <v>1454</v>
      </c>
      <c r="B1459" t="s">
        <v>17187</v>
      </c>
      <c r="C1459" t="s">
        <v>17188</v>
      </c>
      <c r="D1459" t="s">
        <v>17189</v>
      </c>
      <c r="E1459" t="s">
        <v>17190</v>
      </c>
      <c r="F1459" t="s">
        <v>17191</v>
      </c>
      <c r="G1459" t="s">
        <v>17192</v>
      </c>
      <c r="H1459" t="str">
        <f>"Rnf114"</f>
        <v>Rnf114</v>
      </c>
      <c r="I1459" t="s">
        <v>17193</v>
      </c>
      <c r="J1459" t="s">
        <v>37</v>
      </c>
      <c r="K1459">
        <v>10090</v>
      </c>
      <c r="L1459" s="3" t="str">
        <f>HYPERLINK("http://www.uniprot.org/uniprot/Q9ET26", "Q9ET26")</f>
        <v>Q9ET26</v>
      </c>
      <c r="M1459" t="s">
        <v>17194</v>
      </c>
      <c r="N1459" t="str">
        <f>"Rnf114"</f>
        <v>Rnf114</v>
      </c>
      <c r="O1459" s="3" t="str">
        <f>HYPERLINK("http://www.informatics.jax.org/marker/MGI:1933159", "MGI:1933159")</f>
        <v>MGI:1933159</v>
      </c>
      <c r="P1459" t="s">
        <v>17195</v>
      </c>
      <c r="Q1459" t="s">
        <v>6582</v>
      </c>
      <c r="R1459" t="s">
        <v>40</v>
      </c>
      <c r="S1459" t="s">
        <v>32</v>
      </c>
      <c r="T1459" t="s">
        <v>32</v>
      </c>
      <c r="U1459" t="s">
        <v>32</v>
      </c>
      <c r="V1459" t="s">
        <v>446</v>
      </c>
      <c r="W1459" t="s">
        <v>42</v>
      </c>
      <c r="X1459" t="s">
        <v>11347</v>
      </c>
      <c r="Y1459" t="s">
        <v>4102</v>
      </c>
      <c r="Z1459" t="s">
        <v>32</v>
      </c>
      <c r="AA1459" t="s">
        <v>17196</v>
      </c>
      <c r="AB1459" t="s">
        <v>12663</v>
      </c>
      <c r="AC1459" t="s">
        <v>6902</v>
      </c>
      <c r="AD1459" t="s">
        <v>1027</v>
      </c>
      <c r="AE1459" t="s">
        <v>4220</v>
      </c>
      <c r="AF1459" t="s">
        <v>46835</v>
      </c>
    </row>
    <row r="1460" spans="1:32" x14ac:dyDescent="0.2">
      <c r="A1460">
        <v>1455</v>
      </c>
      <c r="B1460" t="s">
        <v>17197</v>
      </c>
      <c r="C1460" t="s">
        <v>17198</v>
      </c>
      <c r="D1460" t="s">
        <v>17199</v>
      </c>
      <c r="E1460" t="s">
        <v>17200</v>
      </c>
      <c r="F1460" t="s">
        <v>17201</v>
      </c>
      <c r="G1460" t="s">
        <v>17202</v>
      </c>
      <c r="H1460" t="str">
        <f>"Ap3b1"</f>
        <v>Ap3b1</v>
      </c>
      <c r="I1460" t="s">
        <v>32</v>
      </c>
      <c r="J1460" t="s">
        <v>37</v>
      </c>
      <c r="K1460">
        <v>10090</v>
      </c>
      <c r="L1460" s="3" t="str">
        <f>HYPERLINK("http://www.uniprot.org/uniprot/Q9Z1T1", "Q9Z1T1")</f>
        <v>Q9Z1T1</v>
      </c>
      <c r="M1460" t="s">
        <v>17203</v>
      </c>
      <c r="N1460" t="str">
        <f>"Ap3b1"</f>
        <v>Ap3b1</v>
      </c>
      <c r="O1460" s="3" t="str">
        <f>HYPERLINK("http://www.informatics.jax.org/marker/MGI:1333879", "MGI:1333879")</f>
        <v>MGI:1333879</v>
      </c>
      <c r="P1460" t="s">
        <v>17204</v>
      </c>
      <c r="Q1460" t="s">
        <v>434</v>
      </c>
      <c r="R1460" t="s">
        <v>9099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32</v>
      </c>
      <c r="Y1460" t="s">
        <v>618</v>
      </c>
      <c r="Z1460" t="s">
        <v>32</v>
      </c>
      <c r="AA1460" t="s">
        <v>17205</v>
      </c>
      <c r="AB1460" t="s">
        <v>17206</v>
      </c>
      <c r="AC1460" t="s">
        <v>17207</v>
      </c>
      <c r="AD1460" t="s">
        <v>32</v>
      </c>
      <c r="AE1460" t="s">
        <v>10968</v>
      </c>
      <c r="AF1460" t="s">
        <v>46835</v>
      </c>
    </row>
    <row r="1461" spans="1:32" x14ac:dyDescent="0.2">
      <c r="A1461">
        <v>1456</v>
      </c>
      <c r="B1461" t="s">
        <v>17208</v>
      </c>
      <c r="C1461" t="s">
        <v>17209</v>
      </c>
      <c r="D1461" t="s">
        <v>17210</v>
      </c>
      <c r="E1461" t="s">
        <v>17211</v>
      </c>
      <c r="F1461" t="s">
        <v>17212</v>
      </c>
      <c r="G1461" t="s">
        <v>32</v>
      </c>
      <c r="H1461" t="str">
        <f>"Gap43"</f>
        <v>Gap43</v>
      </c>
      <c r="I1461" t="s">
        <v>17213</v>
      </c>
      <c r="J1461" t="s">
        <v>37</v>
      </c>
      <c r="K1461">
        <v>10090</v>
      </c>
      <c r="L1461" s="3" t="str">
        <f>HYPERLINK("http://www.uniprot.org/uniprot/P06837", "P06837")</f>
        <v>P06837</v>
      </c>
      <c r="M1461" t="s">
        <v>17214</v>
      </c>
      <c r="N1461" t="str">
        <f>"Gap43"</f>
        <v>Gap43</v>
      </c>
      <c r="O1461" s="3" t="str">
        <f>HYPERLINK("http://www.informatics.jax.org/marker/MGI:95639", "MGI:95639")</f>
        <v>MGI:95639</v>
      </c>
      <c r="P1461" t="s">
        <v>17215</v>
      </c>
      <c r="Q1461" t="s">
        <v>17216</v>
      </c>
      <c r="R1461" t="s">
        <v>17217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17218</v>
      </c>
      <c r="Y1461" t="s">
        <v>15840</v>
      </c>
      <c r="Z1461" t="s">
        <v>126</v>
      </c>
      <c r="AA1461" t="s">
        <v>17219</v>
      </c>
      <c r="AB1461" t="s">
        <v>17220</v>
      </c>
      <c r="AC1461" t="s">
        <v>17221</v>
      </c>
      <c r="AD1461" t="s">
        <v>32</v>
      </c>
      <c r="AE1461" t="s">
        <v>15844</v>
      </c>
      <c r="AF1461" t="s">
        <v>46835</v>
      </c>
    </row>
    <row r="1462" spans="1:32" x14ac:dyDescent="0.2">
      <c r="A1462">
        <v>1457</v>
      </c>
      <c r="B1462" t="s">
        <v>17222</v>
      </c>
      <c r="C1462" t="s">
        <v>17223</v>
      </c>
      <c r="D1462" t="s">
        <v>32</v>
      </c>
      <c r="E1462" t="s">
        <v>17224</v>
      </c>
      <c r="F1462" t="s">
        <v>17225</v>
      </c>
      <c r="G1462" t="s">
        <v>32</v>
      </c>
      <c r="H1462" t="str">
        <f>"Mettl26"</f>
        <v>Mettl26</v>
      </c>
      <c r="I1462" t="s">
        <v>32</v>
      </c>
      <c r="J1462" t="s">
        <v>37</v>
      </c>
      <c r="K1462">
        <v>10090</v>
      </c>
      <c r="L1462" s="3" t="str">
        <f>HYPERLINK("http://www.uniprot.org/uniprot/Q9DCS2", "Q9DCS2")</f>
        <v>Q9DCS2</v>
      </c>
      <c r="M1462" t="s">
        <v>17226</v>
      </c>
      <c r="N1462" t="str">
        <f>"Mettl26"</f>
        <v>Mettl26</v>
      </c>
      <c r="O1462" s="3" t="str">
        <f>HYPERLINK("http://www.informatics.jax.org/marker/MGI:1915597", "MGI:1915597")</f>
        <v>MGI:1915597</v>
      </c>
      <c r="P1462" t="s">
        <v>157</v>
      </c>
      <c r="Q1462" t="s">
        <v>32</v>
      </c>
      <c r="R1462" t="s">
        <v>32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32</v>
      </c>
      <c r="Y1462" t="s">
        <v>157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t="s">
        <v>46835</v>
      </c>
    </row>
    <row r="1463" spans="1:32" x14ac:dyDescent="0.2">
      <c r="A1463">
        <v>1458</v>
      </c>
      <c r="B1463" t="s">
        <v>17227</v>
      </c>
      <c r="C1463" t="s">
        <v>17228</v>
      </c>
      <c r="D1463" t="s">
        <v>17229</v>
      </c>
      <c r="E1463" t="s">
        <v>17230</v>
      </c>
      <c r="F1463" t="s">
        <v>17231</v>
      </c>
      <c r="G1463" t="s">
        <v>17232</v>
      </c>
      <c r="H1463" t="str">
        <f>"Tjp2"</f>
        <v>Tjp2</v>
      </c>
      <c r="I1463" t="s">
        <v>17233</v>
      </c>
      <c r="J1463" t="s">
        <v>37</v>
      </c>
      <c r="K1463">
        <v>10090</v>
      </c>
      <c r="L1463" s="3" t="str">
        <f>HYPERLINK("http://www.uniprot.org/uniprot/Q9Z0U1", "Q9Z0U1")</f>
        <v>Q9Z0U1</v>
      </c>
      <c r="M1463" t="s">
        <v>17234</v>
      </c>
      <c r="N1463" t="str">
        <f>"Tjp2"</f>
        <v>Tjp2</v>
      </c>
      <c r="O1463" s="3" t="str">
        <f>HYPERLINK("http://www.informatics.jax.org/marker/MGI:1341872", "MGI:1341872")</f>
        <v>MGI:1341872</v>
      </c>
      <c r="P1463" t="s">
        <v>17235</v>
      </c>
      <c r="Q1463" t="s">
        <v>32</v>
      </c>
      <c r="R1463" t="s">
        <v>17236</v>
      </c>
      <c r="S1463" t="s">
        <v>32</v>
      </c>
      <c r="T1463" t="s">
        <v>32</v>
      </c>
      <c r="U1463" t="s">
        <v>32</v>
      </c>
      <c r="V1463" t="s">
        <v>187</v>
      </c>
      <c r="W1463" t="s">
        <v>32</v>
      </c>
      <c r="X1463" t="s">
        <v>32</v>
      </c>
      <c r="Y1463" t="s">
        <v>618</v>
      </c>
      <c r="Z1463" t="s">
        <v>126</v>
      </c>
      <c r="AA1463" t="s">
        <v>17237</v>
      </c>
      <c r="AB1463" t="s">
        <v>17238</v>
      </c>
      <c r="AC1463" t="s">
        <v>17239</v>
      </c>
      <c r="AD1463" t="s">
        <v>32</v>
      </c>
      <c r="AE1463" t="s">
        <v>17240</v>
      </c>
      <c r="AF1463" t="s">
        <v>46835</v>
      </c>
    </row>
    <row r="1464" spans="1:32" x14ac:dyDescent="0.2">
      <c r="A1464">
        <v>1459</v>
      </c>
      <c r="B1464" t="s">
        <v>17241</v>
      </c>
      <c r="C1464" t="s">
        <v>17242</v>
      </c>
      <c r="D1464" t="s">
        <v>32</v>
      </c>
      <c r="E1464" t="s">
        <v>17243</v>
      </c>
      <c r="F1464" t="s">
        <v>17244</v>
      </c>
      <c r="G1464" t="s">
        <v>17245</v>
      </c>
      <c r="H1464" t="str">
        <f>"Sccpdh"</f>
        <v>Sccpdh</v>
      </c>
      <c r="I1464" t="s">
        <v>32</v>
      </c>
      <c r="J1464" t="s">
        <v>37</v>
      </c>
      <c r="K1464">
        <v>10090</v>
      </c>
      <c r="L1464" s="3" t="str">
        <f>HYPERLINK("http://www.uniprot.org/uniprot/Q8R127", "Q8R127")</f>
        <v>Q8R127</v>
      </c>
      <c r="M1464" t="s">
        <v>17246</v>
      </c>
      <c r="N1464" t="str">
        <f>"Sccpdh"</f>
        <v>Sccpdh</v>
      </c>
      <c r="O1464" s="3" t="str">
        <f>HYPERLINK("http://www.informatics.jax.org/marker/MGI:1924486", "MGI:1924486")</f>
        <v>MGI:1924486</v>
      </c>
      <c r="P1464" t="s">
        <v>17247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600</v>
      </c>
      <c r="Y1464" t="s">
        <v>157</v>
      </c>
      <c r="Z1464" t="s">
        <v>32</v>
      </c>
      <c r="AA1464" t="s">
        <v>17248</v>
      </c>
      <c r="AB1464" t="s">
        <v>17249</v>
      </c>
      <c r="AC1464" t="s">
        <v>11250</v>
      </c>
      <c r="AD1464" t="s">
        <v>32</v>
      </c>
      <c r="AE1464" t="s">
        <v>2235</v>
      </c>
      <c r="AF1464" t="s">
        <v>46835</v>
      </c>
    </row>
    <row r="1465" spans="1:32" x14ac:dyDescent="0.2">
      <c r="A1465">
        <v>1460</v>
      </c>
      <c r="B1465" t="s">
        <v>17250</v>
      </c>
      <c r="C1465" t="s">
        <v>17251</v>
      </c>
      <c r="D1465" t="s">
        <v>17252</v>
      </c>
      <c r="E1465" t="s">
        <v>17253</v>
      </c>
      <c r="F1465" t="s">
        <v>17254</v>
      </c>
      <c r="G1465" t="s">
        <v>17255</v>
      </c>
      <c r="H1465" t="str">
        <f>"Nup62"</f>
        <v>Nup62</v>
      </c>
      <c r="I1465" t="s">
        <v>32</v>
      </c>
      <c r="J1465" t="s">
        <v>37</v>
      </c>
      <c r="K1465">
        <v>10090</v>
      </c>
      <c r="L1465" s="3" t="str">
        <f>HYPERLINK("http://www.uniprot.org/uniprot/Q63850", "Q63850")</f>
        <v>Q63850</v>
      </c>
      <c r="M1465" t="s">
        <v>17256</v>
      </c>
      <c r="N1465" t="str">
        <f>"Nup62"</f>
        <v>Nup62</v>
      </c>
      <c r="O1465" s="3" t="str">
        <f>HYPERLINK("http://www.informatics.jax.org/marker/MGI:1351500", "MGI:1351500")</f>
        <v>MGI:1351500</v>
      </c>
      <c r="P1465" t="s">
        <v>17257</v>
      </c>
      <c r="Q1465" t="s">
        <v>6423</v>
      </c>
      <c r="R1465" t="s">
        <v>7258</v>
      </c>
      <c r="S1465" t="s">
        <v>32</v>
      </c>
      <c r="T1465" t="s">
        <v>32</v>
      </c>
      <c r="U1465" t="s">
        <v>32</v>
      </c>
      <c r="V1465" t="s">
        <v>137</v>
      </c>
      <c r="W1465" t="s">
        <v>32</v>
      </c>
      <c r="X1465" t="s">
        <v>32</v>
      </c>
      <c r="Y1465" t="s">
        <v>9015</v>
      </c>
      <c r="Z1465" t="s">
        <v>32</v>
      </c>
      <c r="AA1465" t="s">
        <v>17258</v>
      </c>
      <c r="AB1465" t="s">
        <v>17259</v>
      </c>
      <c r="AC1465" t="s">
        <v>17260</v>
      </c>
      <c r="AD1465" t="s">
        <v>32</v>
      </c>
      <c r="AE1465" t="s">
        <v>4686</v>
      </c>
      <c r="AF1465" t="s">
        <v>46835</v>
      </c>
    </row>
    <row r="1466" spans="1:32" x14ac:dyDescent="0.2">
      <c r="A1466">
        <v>1461</v>
      </c>
      <c r="B1466" t="s">
        <v>17261</v>
      </c>
      <c r="C1466" t="s">
        <v>17262</v>
      </c>
      <c r="D1466" t="s">
        <v>32</v>
      </c>
      <c r="E1466" t="s">
        <v>17263</v>
      </c>
      <c r="F1466" t="s">
        <v>17264</v>
      </c>
      <c r="G1466" t="s">
        <v>17265</v>
      </c>
      <c r="H1466" t="str">
        <f>"Mrpl12"</f>
        <v>Mrpl12</v>
      </c>
      <c r="I1466" t="s">
        <v>17266</v>
      </c>
      <c r="J1466" t="s">
        <v>37</v>
      </c>
      <c r="K1466">
        <v>10090</v>
      </c>
      <c r="L1466" s="3" t="str">
        <f>HYPERLINK("http://www.uniprot.org/uniprot/Q9DB15", "Q9DB15")</f>
        <v>Q9DB15</v>
      </c>
      <c r="M1466" t="s">
        <v>17267</v>
      </c>
      <c r="N1466" t="str">
        <f>"Mrpl12"</f>
        <v>Mrpl12</v>
      </c>
      <c r="O1466" s="3" t="str">
        <f>HYPERLINK("http://www.informatics.jax.org/marker/MGI:1926273", "MGI:1926273")</f>
        <v>MGI:1926273</v>
      </c>
      <c r="P1466" t="s">
        <v>17268</v>
      </c>
      <c r="Q1466" t="s">
        <v>32</v>
      </c>
      <c r="R1466" t="s">
        <v>1038</v>
      </c>
      <c r="S1466" t="s">
        <v>32</v>
      </c>
      <c r="T1466" t="s">
        <v>32</v>
      </c>
      <c r="U1466" t="s">
        <v>32</v>
      </c>
      <c r="V1466" t="s">
        <v>1039</v>
      </c>
      <c r="W1466" t="s">
        <v>32</v>
      </c>
      <c r="X1466" t="s">
        <v>447</v>
      </c>
      <c r="Y1466" t="s">
        <v>78</v>
      </c>
      <c r="Z1466" t="s">
        <v>32</v>
      </c>
      <c r="AA1466" t="s">
        <v>17269</v>
      </c>
      <c r="AB1466" t="s">
        <v>17270</v>
      </c>
      <c r="AC1466" t="s">
        <v>1685</v>
      </c>
      <c r="AD1466" t="s">
        <v>32</v>
      </c>
      <c r="AE1466" t="s">
        <v>17271</v>
      </c>
      <c r="AF1466" t="s">
        <v>46835</v>
      </c>
    </row>
    <row r="1467" spans="1:32" x14ac:dyDescent="0.2">
      <c r="A1467">
        <v>1462</v>
      </c>
      <c r="B1467" t="s">
        <v>17272</v>
      </c>
      <c r="C1467" t="s">
        <v>17273</v>
      </c>
      <c r="D1467" t="s">
        <v>17274</v>
      </c>
      <c r="E1467" t="s">
        <v>17275</v>
      </c>
      <c r="F1467" t="s">
        <v>17276</v>
      </c>
      <c r="G1467" t="s">
        <v>17277</v>
      </c>
      <c r="H1467" t="str">
        <f>"Gdpd1"</f>
        <v>Gdpd1</v>
      </c>
      <c r="I1467" t="s">
        <v>32</v>
      </c>
      <c r="J1467" t="s">
        <v>37</v>
      </c>
      <c r="K1467">
        <v>10090</v>
      </c>
      <c r="L1467" s="3" t="str">
        <f>HYPERLINK("http://www.uniprot.org/uniprot/Q9CRY7", "Q9CRY7")</f>
        <v>Q9CRY7</v>
      </c>
      <c r="M1467" t="s">
        <v>17278</v>
      </c>
      <c r="N1467" t="str">
        <f>"Gdpd1"</f>
        <v>Gdpd1</v>
      </c>
      <c r="O1467" s="3" t="str">
        <f>HYPERLINK("http://www.informatics.jax.org/marker/MGI:1913819", "MGI:1913819")</f>
        <v>MGI:1913819</v>
      </c>
      <c r="P1467" t="s">
        <v>17279</v>
      </c>
      <c r="Q1467" t="s">
        <v>598</v>
      </c>
      <c r="R1467" t="s">
        <v>1893</v>
      </c>
      <c r="S1467" t="s">
        <v>32</v>
      </c>
      <c r="T1467" t="s">
        <v>32</v>
      </c>
      <c r="U1467" t="s">
        <v>32</v>
      </c>
      <c r="V1467" t="s">
        <v>493</v>
      </c>
      <c r="W1467" t="s">
        <v>8683</v>
      </c>
      <c r="X1467" t="s">
        <v>343</v>
      </c>
      <c r="Y1467" t="s">
        <v>32</v>
      </c>
      <c r="Z1467" t="s">
        <v>32</v>
      </c>
      <c r="AA1467" t="s">
        <v>17280</v>
      </c>
      <c r="AB1467" t="s">
        <v>17281</v>
      </c>
      <c r="AC1467" t="s">
        <v>17282</v>
      </c>
      <c r="AD1467" t="s">
        <v>32</v>
      </c>
      <c r="AE1467" t="s">
        <v>32</v>
      </c>
      <c r="AF1467" t="s">
        <v>46835</v>
      </c>
    </row>
    <row r="1468" spans="1:32" x14ac:dyDescent="0.2">
      <c r="A1468">
        <v>1463</v>
      </c>
      <c r="B1468" t="s">
        <v>17283</v>
      </c>
      <c r="C1468" t="s">
        <v>17284</v>
      </c>
      <c r="D1468" t="s">
        <v>32</v>
      </c>
      <c r="E1468" t="s">
        <v>17285</v>
      </c>
      <c r="F1468" t="s">
        <v>17286</v>
      </c>
      <c r="G1468" t="s">
        <v>17287</v>
      </c>
      <c r="H1468" t="str">
        <f>"Ppme1"</f>
        <v>Ppme1</v>
      </c>
      <c r="I1468" t="s">
        <v>17288</v>
      </c>
      <c r="J1468" t="s">
        <v>37</v>
      </c>
      <c r="K1468">
        <v>10090</v>
      </c>
      <c r="L1468" s="3" t="str">
        <f>HYPERLINK("http://www.uniprot.org/uniprot/Q8BVQ5", "Q8BVQ5")</f>
        <v>Q8BVQ5</v>
      </c>
      <c r="M1468" t="s">
        <v>17289</v>
      </c>
      <c r="N1468" t="str">
        <f>"Ppme1"</f>
        <v>Ppme1</v>
      </c>
      <c r="O1468" s="3" t="str">
        <f>HYPERLINK("http://www.informatics.jax.org/marker/MGI:1919840", "MGI:1919840")</f>
        <v>MGI:1919840</v>
      </c>
      <c r="P1468" t="s">
        <v>17290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8988</v>
      </c>
      <c r="Y1468" t="s">
        <v>2734</v>
      </c>
      <c r="Z1468" t="s">
        <v>32</v>
      </c>
      <c r="AA1468" t="s">
        <v>17291</v>
      </c>
      <c r="AB1468" t="s">
        <v>32</v>
      </c>
      <c r="AC1468" t="s">
        <v>17292</v>
      </c>
      <c r="AD1468" t="s">
        <v>32</v>
      </c>
      <c r="AE1468" t="s">
        <v>17293</v>
      </c>
      <c r="AF1468" t="s">
        <v>46835</v>
      </c>
    </row>
    <row r="1469" spans="1:32" x14ac:dyDescent="0.2">
      <c r="A1469">
        <v>1464</v>
      </c>
      <c r="B1469" t="s">
        <v>17294</v>
      </c>
      <c r="C1469" t="s">
        <v>17295</v>
      </c>
      <c r="D1469" t="s">
        <v>17296</v>
      </c>
      <c r="E1469" t="s">
        <v>17297</v>
      </c>
      <c r="F1469" t="s">
        <v>17298</v>
      </c>
      <c r="G1469" t="s">
        <v>17299</v>
      </c>
      <c r="H1469" t="str">
        <f>"Psmd10"</f>
        <v>Psmd10</v>
      </c>
      <c r="I1469" t="s">
        <v>32</v>
      </c>
      <c r="J1469" t="s">
        <v>37</v>
      </c>
      <c r="K1469">
        <v>10090</v>
      </c>
      <c r="L1469" s="3" t="str">
        <f>HYPERLINK("http://www.uniprot.org/uniprot/Q9Z2X2", "Q9Z2X2")</f>
        <v>Q9Z2X2</v>
      </c>
      <c r="M1469" t="s">
        <v>17300</v>
      </c>
      <c r="N1469" t="str">
        <f>"Psmd10"</f>
        <v>Psmd10</v>
      </c>
      <c r="O1469" s="3" t="str">
        <f>HYPERLINK("http://www.informatics.jax.org/marker/MGI:1858898", "MGI:1858898")</f>
        <v>MGI:1858898</v>
      </c>
      <c r="P1469" t="s">
        <v>17301</v>
      </c>
      <c r="Q1469" t="s">
        <v>541</v>
      </c>
      <c r="R1469" t="s">
        <v>40</v>
      </c>
      <c r="S1469" t="s">
        <v>32</v>
      </c>
      <c r="T1469" t="s">
        <v>32</v>
      </c>
      <c r="U1469" t="s">
        <v>32</v>
      </c>
      <c r="V1469" t="s">
        <v>912</v>
      </c>
      <c r="W1469" t="s">
        <v>32</v>
      </c>
      <c r="X1469" t="s">
        <v>388</v>
      </c>
      <c r="Y1469" t="s">
        <v>32</v>
      </c>
      <c r="Z1469" t="s">
        <v>126</v>
      </c>
      <c r="AA1469" t="s">
        <v>17302</v>
      </c>
      <c r="AB1469" t="s">
        <v>17303</v>
      </c>
      <c r="AC1469" t="s">
        <v>32</v>
      </c>
      <c r="AD1469" t="s">
        <v>32</v>
      </c>
      <c r="AE1469" t="s">
        <v>2774</v>
      </c>
      <c r="AF1469" t="s">
        <v>46835</v>
      </c>
    </row>
    <row r="1470" spans="1:32" x14ac:dyDescent="0.2">
      <c r="A1470">
        <v>1465</v>
      </c>
      <c r="B1470" t="s">
        <v>17304</v>
      </c>
      <c r="C1470" t="s">
        <v>17305</v>
      </c>
      <c r="D1470" t="s">
        <v>17306</v>
      </c>
      <c r="E1470" t="s">
        <v>17307</v>
      </c>
      <c r="F1470" t="s">
        <v>17308</v>
      </c>
      <c r="G1470" t="s">
        <v>17309</v>
      </c>
      <c r="H1470" t="str">
        <f>"Wdr77"</f>
        <v>Wdr77</v>
      </c>
      <c r="I1470" t="s">
        <v>17310</v>
      </c>
      <c r="J1470" t="s">
        <v>37</v>
      </c>
      <c r="K1470">
        <v>10090</v>
      </c>
      <c r="L1470" s="3" t="str">
        <f>HYPERLINK("http://www.uniprot.org/uniprot/Q99J09", "Q99J09")</f>
        <v>Q99J09</v>
      </c>
      <c r="M1470" t="s">
        <v>17311</v>
      </c>
      <c r="N1470" t="str">
        <f>"Wdr77"</f>
        <v>Wdr77</v>
      </c>
      <c r="O1470" s="3" t="str">
        <f>HYPERLINK("http://www.informatics.jax.org/marker/MGI:1917715", "MGI:1917715")</f>
        <v>MGI:1917715</v>
      </c>
      <c r="P1470" t="s">
        <v>17312</v>
      </c>
      <c r="Q1470" t="s">
        <v>32</v>
      </c>
      <c r="R1470" t="s">
        <v>40</v>
      </c>
      <c r="S1470" t="s">
        <v>32</v>
      </c>
      <c r="T1470" t="s">
        <v>32</v>
      </c>
      <c r="U1470" t="s">
        <v>32</v>
      </c>
      <c r="V1470" t="s">
        <v>1910</v>
      </c>
      <c r="W1470" t="s">
        <v>32</v>
      </c>
      <c r="X1470" t="s">
        <v>32</v>
      </c>
      <c r="Y1470" t="s">
        <v>618</v>
      </c>
      <c r="Z1470" t="s">
        <v>32</v>
      </c>
      <c r="AA1470" t="s">
        <v>17313</v>
      </c>
      <c r="AB1470" t="s">
        <v>17314</v>
      </c>
      <c r="AC1470" t="s">
        <v>17315</v>
      </c>
      <c r="AD1470" t="s">
        <v>32</v>
      </c>
      <c r="AE1470" t="s">
        <v>17316</v>
      </c>
      <c r="AF1470" t="s">
        <v>46835</v>
      </c>
    </row>
    <row r="1471" spans="1:32" x14ac:dyDescent="0.2">
      <c r="A1471">
        <v>1466</v>
      </c>
      <c r="B1471" t="s">
        <v>17317</v>
      </c>
      <c r="C1471" t="s">
        <v>17318</v>
      </c>
      <c r="D1471" t="s">
        <v>17319</v>
      </c>
      <c r="E1471" t="s">
        <v>17320</v>
      </c>
      <c r="F1471" t="s">
        <v>17321</v>
      </c>
      <c r="G1471" t="s">
        <v>17322</v>
      </c>
      <c r="H1471" t="str">
        <f>"Dnmt3a"</f>
        <v>Dnmt3a</v>
      </c>
      <c r="I1471" t="s">
        <v>32</v>
      </c>
      <c r="J1471" t="s">
        <v>37</v>
      </c>
      <c r="K1471">
        <v>10090</v>
      </c>
      <c r="L1471" s="3" t="str">
        <f>HYPERLINK("http://www.uniprot.org/uniprot/O88508", "O88508")</f>
        <v>O88508</v>
      </c>
      <c r="M1471" t="s">
        <v>17323</v>
      </c>
      <c r="N1471" t="str">
        <f>"Dnmt3a"</f>
        <v>Dnmt3a</v>
      </c>
      <c r="O1471" s="3" t="str">
        <f>HYPERLINK("http://www.informatics.jax.org/marker/MGI:1261827", "MGI:1261827")</f>
        <v>MGI:1261827</v>
      </c>
      <c r="P1471" t="s">
        <v>17324</v>
      </c>
      <c r="Q1471" t="s">
        <v>4152</v>
      </c>
      <c r="R1471" t="s">
        <v>8375</v>
      </c>
      <c r="S1471" t="s">
        <v>10616</v>
      </c>
      <c r="T1471" t="s">
        <v>32</v>
      </c>
      <c r="U1471" t="s">
        <v>32</v>
      </c>
      <c r="V1471" t="s">
        <v>446</v>
      </c>
      <c r="W1471" t="s">
        <v>15120</v>
      </c>
      <c r="X1471" t="s">
        <v>17325</v>
      </c>
      <c r="Y1471" t="s">
        <v>2192</v>
      </c>
      <c r="Z1471" t="s">
        <v>126</v>
      </c>
      <c r="AA1471" t="s">
        <v>17326</v>
      </c>
      <c r="AB1471" t="s">
        <v>17327</v>
      </c>
      <c r="AC1471" t="s">
        <v>17328</v>
      </c>
      <c r="AD1471" t="s">
        <v>32</v>
      </c>
      <c r="AE1471" t="s">
        <v>17329</v>
      </c>
      <c r="AF1471" t="s">
        <v>46835</v>
      </c>
    </row>
    <row r="1472" spans="1:32" x14ac:dyDescent="0.2">
      <c r="A1472">
        <v>1467</v>
      </c>
      <c r="B1472" t="s">
        <v>17330</v>
      </c>
      <c r="C1472" t="s">
        <v>17331</v>
      </c>
      <c r="D1472" t="s">
        <v>17332</v>
      </c>
      <c r="E1472" t="s">
        <v>17333</v>
      </c>
      <c r="F1472" t="s">
        <v>17334</v>
      </c>
      <c r="G1472" t="s">
        <v>17335</v>
      </c>
      <c r="H1472" t="str">
        <f>"Baz1b"</f>
        <v>Baz1b</v>
      </c>
      <c r="I1472" t="s">
        <v>17336</v>
      </c>
      <c r="J1472" t="s">
        <v>37</v>
      </c>
      <c r="K1472">
        <v>10090</v>
      </c>
      <c r="L1472" s="3" t="str">
        <f>HYPERLINK("http://www.uniprot.org/uniprot/Q9Z277", "Q9Z277")</f>
        <v>Q9Z277</v>
      </c>
      <c r="M1472" t="s">
        <v>17337</v>
      </c>
      <c r="N1472" t="str">
        <f>"Baz1b"</f>
        <v>Baz1b</v>
      </c>
      <c r="O1472" s="3" t="str">
        <f>HYPERLINK("http://www.informatics.jax.org/marker/MGI:1353499", "MGI:1353499")</f>
        <v>MGI:1353499</v>
      </c>
      <c r="P1472" t="s">
        <v>17338</v>
      </c>
      <c r="Q1472" t="s">
        <v>17339</v>
      </c>
      <c r="R1472" t="s">
        <v>2279</v>
      </c>
      <c r="S1472" t="s">
        <v>41</v>
      </c>
      <c r="T1472" t="s">
        <v>32</v>
      </c>
      <c r="U1472" t="s">
        <v>32</v>
      </c>
      <c r="V1472" t="s">
        <v>17340</v>
      </c>
      <c r="W1472" t="s">
        <v>2325</v>
      </c>
      <c r="X1472" t="s">
        <v>16803</v>
      </c>
      <c r="Y1472" t="s">
        <v>516</v>
      </c>
      <c r="Z1472" t="s">
        <v>32</v>
      </c>
      <c r="AA1472" t="s">
        <v>17341</v>
      </c>
      <c r="AB1472" t="s">
        <v>17342</v>
      </c>
      <c r="AC1472" t="s">
        <v>17343</v>
      </c>
      <c r="AD1472" t="s">
        <v>32</v>
      </c>
      <c r="AE1472" t="s">
        <v>6740</v>
      </c>
      <c r="AF1472" t="s">
        <v>46835</v>
      </c>
    </row>
    <row r="1473" spans="1:32" x14ac:dyDescent="0.2">
      <c r="A1473">
        <v>1468</v>
      </c>
      <c r="B1473" t="s">
        <v>17344</v>
      </c>
      <c r="C1473" t="s">
        <v>17345</v>
      </c>
      <c r="D1473" t="s">
        <v>17346</v>
      </c>
      <c r="E1473" t="s">
        <v>17347</v>
      </c>
      <c r="F1473" t="s">
        <v>17348</v>
      </c>
      <c r="G1473" t="s">
        <v>17349</v>
      </c>
      <c r="H1473" t="str">
        <f>"Smc4"</f>
        <v>Smc4</v>
      </c>
      <c r="I1473" t="s">
        <v>17350</v>
      </c>
      <c r="J1473" t="s">
        <v>37</v>
      </c>
      <c r="K1473">
        <v>10090</v>
      </c>
      <c r="L1473" s="3" t="str">
        <f>HYPERLINK("http://www.uniprot.org/uniprot/Q8CG47", "Q8CG47")</f>
        <v>Q8CG47</v>
      </c>
      <c r="M1473" t="s">
        <v>17351</v>
      </c>
      <c r="N1473" t="str">
        <f>"Smc4"</f>
        <v>Smc4</v>
      </c>
      <c r="O1473" s="3" t="str">
        <f>HYPERLINK("http://www.informatics.jax.org/marker/MGI:1917349", "MGI:1917349")</f>
        <v>MGI:1917349</v>
      </c>
      <c r="P1473" t="s">
        <v>17352</v>
      </c>
      <c r="Q1473" t="s">
        <v>13745</v>
      </c>
      <c r="R1473" t="s">
        <v>8375</v>
      </c>
      <c r="S1473" t="s">
        <v>32</v>
      </c>
      <c r="T1473" t="s">
        <v>32</v>
      </c>
      <c r="U1473" t="s">
        <v>32</v>
      </c>
      <c r="V1473" t="s">
        <v>290</v>
      </c>
      <c r="W1473" t="s">
        <v>205</v>
      </c>
      <c r="X1473" t="s">
        <v>32</v>
      </c>
      <c r="Y1473" t="s">
        <v>157</v>
      </c>
      <c r="Z1473" t="s">
        <v>126</v>
      </c>
      <c r="AA1473" t="s">
        <v>13746</v>
      </c>
      <c r="AB1473" t="s">
        <v>17353</v>
      </c>
      <c r="AC1473" t="s">
        <v>13748</v>
      </c>
      <c r="AD1473" t="s">
        <v>32</v>
      </c>
      <c r="AE1473" t="s">
        <v>13749</v>
      </c>
      <c r="AF1473" t="s">
        <v>46835</v>
      </c>
    </row>
    <row r="1474" spans="1:32" x14ac:dyDescent="0.2">
      <c r="A1474">
        <v>1469</v>
      </c>
      <c r="B1474" t="s">
        <v>17354</v>
      </c>
      <c r="C1474" t="s">
        <v>17355</v>
      </c>
      <c r="D1474" t="s">
        <v>17356</v>
      </c>
      <c r="E1474" t="s">
        <v>17357</v>
      </c>
      <c r="F1474" t="s">
        <v>17358</v>
      </c>
      <c r="G1474" t="s">
        <v>17359</v>
      </c>
      <c r="H1474" t="str">
        <f>"Ppp1r7"</f>
        <v>Ppp1r7</v>
      </c>
      <c r="I1474" t="s">
        <v>17360</v>
      </c>
      <c r="J1474" t="s">
        <v>37</v>
      </c>
      <c r="K1474">
        <v>10090</v>
      </c>
      <c r="L1474" s="3" t="str">
        <f>HYPERLINK("http://www.uniprot.org/uniprot/Q3UM45", "Q3UM45")</f>
        <v>Q3UM45</v>
      </c>
      <c r="M1474" t="s">
        <v>17361</v>
      </c>
      <c r="N1474" t="str">
        <f>"Ppp1r7"</f>
        <v>Ppp1r7</v>
      </c>
      <c r="O1474" s="3" t="str">
        <f>HYPERLINK("http://www.informatics.jax.org/marker/MGI:1913635", "MGI:1913635")</f>
        <v>MGI:1913635</v>
      </c>
      <c r="P1474" t="s">
        <v>17362</v>
      </c>
      <c r="Q1474" t="s">
        <v>32</v>
      </c>
      <c r="R1474" t="s">
        <v>2279</v>
      </c>
      <c r="S1474" t="s">
        <v>32</v>
      </c>
      <c r="T1474" t="s">
        <v>32</v>
      </c>
      <c r="U1474" t="s">
        <v>32</v>
      </c>
      <c r="V1474" t="s">
        <v>2701</v>
      </c>
      <c r="W1474" t="s">
        <v>32</v>
      </c>
      <c r="X1474" t="s">
        <v>32</v>
      </c>
      <c r="Y1474" t="s">
        <v>157</v>
      </c>
      <c r="Z1474" t="s">
        <v>32</v>
      </c>
      <c r="AA1474" t="s">
        <v>17363</v>
      </c>
      <c r="AB1474" t="s">
        <v>17364</v>
      </c>
      <c r="AC1474" t="s">
        <v>17365</v>
      </c>
      <c r="AD1474" t="s">
        <v>32</v>
      </c>
      <c r="AE1474" t="s">
        <v>32</v>
      </c>
      <c r="AF1474" t="s">
        <v>46835</v>
      </c>
    </row>
    <row r="1475" spans="1:32" x14ac:dyDescent="0.2">
      <c r="A1475">
        <v>1470</v>
      </c>
      <c r="B1475" t="s">
        <v>17366</v>
      </c>
      <c r="C1475" t="s">
        <v>17367</v>
      </c>
      <c r="D1475" t="s">
        <v>17368</v>
      </c>
      <c r="E1475" t="s">
        <v>17369</v>
      </c>
      <c r="F1475" t="s">
        <v>17370</v>
      </c>
      <c r="G1475" t="s">
        <v>17371</v>
      </c>
      <c r="H1475" t="str">
        <f>"Atp5mg"</f>
        <v>Atp5mg</v>
      </c>
      <c r="I1475" t="s">
        <v>17372</v>
      </c>
      <c r="J1475" t="s">
        <v>37</v>
      </c>
      <c r="K1475">
        <v>10090</v>
      </c>
      <c r="L1475" s="3" t="str">
        <f>HYPERLINK("http://www.uniprot.org/uniprot/Q9CPQ8", "Q9CPQ8")</f>
        <v>Q9CPQ8</v>
      </c>
      <c r="M1475" t="s">
        <v>17373</v>
      </c>
      <c r="N1475" t="str">
        <f>"Atp5l"</f>
        <v>Atp5l</v>
      </c>
      <c r="O1475" s="3" t="str">
        <f>HYPERLINK("http://www.informatics.jax.org/marker/MGI:1351597", "MGI:1351597")</f>
        <v>MGI:1351597</v>
      </c>
      <c r="P1475" t="s">
        <v>17374</v>
      </c>
      <c r="Q1475" t="s">
        <v>1142</v>
      </c>
      <c r="R1475" t="s">
        <v>4258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32</v>
      </c>
      <c r="Y1475" t="s">
        <v>78</v>
      </c>
      <c r="Z1475" t="s">
        <v>32</v>
      </c>
      <c r="AA1475" t="s">
        <v>17375</v>
      </c>
      <c r="AB1475" t="s">
        <v>17376</v>
      </c>
      <c r="AC1475" t="s">
        <v>17377</v>
      </c>
      <c r="AD1475" t="s">
        <v>32</v>
      </c>
      <c r="AE1475" t="s">
        <v>1147</v>
      </c>
      <c r="AF1475" t="s">
        <v>46835</v>
      </c>
    </row>
    <row r="1476" spans="1:32" x14ac:dyDescent="0.2">
      <c r="A1476">
        <v>1471</v>
      </c>
      <c r="B1476" t="s">
        <v>17378</v>
      </c>
      <c r="C1476" t="s">
        <v>17379</v>
      </c>
      <c r="D1476" t="s">
        <v>32</v>
      </c>
      <c r="E1476" t="s">
        <v>17380</v>
      </c>
      <c r="F1476" t="s">
        <v>17381</v>
      </c>
      <c r="G1476" t="s">
        <v>17382</v>
      </c>
      <c r="H1476" t="str">
        <f>"Pcm1"</f>
        <v>Pcm1</v>
      </c>
      <c r="I1476" t="s">
        <v>32</v>
      </c>
      <c r="J1476" t="s">
        <v>37</v>
      </c>
      <c r="K1476">
        <v>10090</v>
      </c>
      <c r="L1476" s="3" t="str">
        <f>HYPERLINK("http://www.uniprot.org/uniprot/Q9R0L6", "Q9R0L6")</f>
        <v>Q9R0L6</v>
      </c>
      <c r="M1476" t="s">
        <v>17383</v>
      </c>
      <c r="N1476" t="str">
        <f>"Pcm1"</f>
        <v>Pcm1</v>
      </c>
      <c r="O1476" s="3" t="str">
        <f>HYPERLINK("http://www.informatics.jax.org/marker/MGI:1277958", "MGI:1277958")</f>
        <v>MGI:1277958</v>
      </c>
      <c r="P1476" t="s">
        <v>17384</v>
      </c>
      <c r="Q1476" t="s">
        <v>475</v>
      </c>
      <c r="R1476" t="s">
        <v>1210</v>
      </c>
      <c r="S1476" t="s">
        <v>41</v>
      </c>
      <c r="T1476" t="s">
        <v>32</v>
      </c>
      <c r="U1476" t="s">
        <v>32</v>
      </c>
      <c r="V1476" t="s">
        <v>290</v>
      </c>
      <c r="W1476" t="s">
        <v>32</v>
      </c>
      <c r="X1476" t="s">
        <v>32</v>
      </c>
      <c r="Y1476" t="s">
        <v>1023</v>
      </c>
      <c r="Z1476" t="s">
        <v>32</v>
      </c>
      <c r="AA1476" t="s">
        <v>17385</v>
      </c>
      <c r="AB1476" t="s">
        <v>17386</v>
      </c>
      <c r="AC1476" t="s">
        <v>32</v>
      </c>
      <c r="AD1476" t="s">
        <v>32</v>
      </c>
      <c r="AE1476" t="s">
        <v>17387</v>
      </c>
      <c r="AF1476" t="s">
        <v>46835</v>
      </c>
    </row>
    <row r="1477" spans="1:32" x14ac:dyDescent="0.2">
      <c r="A1477">
        <v>1472</v>
      </c>
      <c r="B1477" t="s">
        <v>17388</v>
      </c>
      <c r="C1477" t="s">
        <v>17389</v>
      </c>
      <c r="D1477" t="s">
        <v>17390</v>
      </c>
      <c r="E1477" t="s">
        <v>17391</v>
      </c>
      <c r="F1477" t="s">
        <v>17392</v>
      </c>
      <c r="G1477" t="s">
        <v>32</v>
      </c>
      <c r="H1477" t="str">
        <f>"Snx3"</f>
        <v>Snx3</v>
      </c>
      <c r="I1477" t="s">
        <v>32</v>
      </c>
      <c r="J1477" t="s">
        <v>37</v>
      </c>
      <c r="K1477">
        <v>10090</v>
      </c>
      <c r="L1477" s="3" t="str">
        <f>HYPERLINK("http://www.uniprot.org/uniprot/O70492", "O70492")</f>
        <v>O70492</v>
      </c>
      <c r="M1477" t="s">
        <v>17393</v>
      </c>
      <c r="N1477" t="str">
        <f>"Snx3"</f>
        <v>Snx3</v>
      </c>
      <c r="O1477" s="3" t="str">
        <f>HYPERLINK("http://www.informatics.jax.org/marker/MGI:1860188", "MGI:1860188")</f>
        <v>MGI:1860188</v>
      </c>
      <c r="P1477" t="s">
        <v>17394</v>
      </c>
      <c r="Q1477" t="s">
        <v>434</v>
      </c>
      <c r="R1477" t="s">
        <v>17395</v>
      </c>
      <c r="S1477" t="s">
        <v>32</v>
      </c>
      <c r="T1477" t="s">
        <v>32</v>
      </c>
      <c r="U1477" t="s">
        <v>32</v>
      </c>
      <c r="V1477" t="s">
        <v>32</v>
      </c>
      <c r="W1477" t="s">
        <v>584</v>
      </c>
      <c r="X1477" t="s">
        <v>32</v>
      </c>
      <c r="Y1477" t="s">
        <v>207</v>
      </c>
      <c r="Z1477" t="s">
        <v>32</v>
      </c>
      <c r="AA1477" t="s">
        <v>17396</v>
      </c>
      <c r="AB1477" t="s">
        <v>17397</v>
      </c>
      <c r="AC1477" t="s">
        <v>17398</v>
      </c>
      <c r="AD1477" t="s">
        <v>32</v>
      </c>
      <c r="AE1477" t="s">
        <v>17399</v>
      </c>
      <c r="AF1477" t="s">
        <v>46835</v>
      </c>
    </row>
    <row r="1478" spans="1:32" x14ac:dyDescent="0.2">
      <c r="A1478">
        <v>1473</v>
      </c>
      <c r="B1478" t="s">
        <v>17400</v>
      </c>
      <c r="C1478" t="s">
        <v>17401</v>
      </c>
      <c r="D1478" t="s">
        <v>17402</v>
      </c>
      <c r="E1478" t="s">
        <v>17403</v>
      </c>
      <c r="F1478" t="s">
        <v>17404</v>
      </c>
      <c r="G1478" t="s">
        <v>17405</v>
      </c>
      <c r="H1478" t="str">
        <f>"Gc"</f>
        <v>Gc</v>
      </c>
      <c r="I1478" t="s">
        <v>32</v>
      </c>
      <c r="J1478" t="s">
        <v>37</v>
      </c>
      <c r="K1478">
        <v>10090</v>
      </c>
      <c r="L1478" s="3" t="str">
        <f>HYPERLINK("http://www.uniprot.org/uniprot/P21614", "P21614")</f>
        <v>P21614</v>
      </c>
      <c r="M1478" t="s">
        <v>17406</v>
      </c>
      <c r="N1478" t="str">
        <f>"Gc"</f>
        <v>Gc</v>
      </c>
      <c r="O1478" s="3" t="str">
        <f>HYPERLINK("http://www.informatics.jax.org/marker/MGI:95669", "MGI:95669")</f>
        <v>MGI:95669</v>
      </c>
      <c r="P1478" t="s">
        <v>17407</v>
      </c>
      <c r="Q1478" t="s">
        <v>4425</v>
      </c>
      <c r="R1478" t="s">
        <v>630</v>
      </c>
      <c r="S1478" t="s">
        <v>32</v>
      </c>
      <c r="T1478" t="s">
        <v>32</v>
      </c>
      <c r="U1478" t="s">
        <v>32</v>
      </c>
      <c r="V1478" t="s">
        <v>478</v>
      </c>
      <c r="W1478" t="s">
        <v>17408</v>
      </c>
      <c r="X1478" t="s">
        <v>405</v>
      </c>
      <c r="Y1478" t="s">
        <v>2865</v>
      </c>
      <c r="Z1478" t="s">
        <v>32</v>
      </c>
      <c r="AA1478" t="s">
        <v>17409</v>
      </c>
      <c r="AB1478" t="s">
        <v>17410</v>
      </c>
      <c r="AC1478" t="s">
        <v>17411</v>
      </c>
      <c r="AD1478" t="s">
        <v>32</v>
      </c>
      <c r="AE1478" t="s">
        <v>17412</v>
      </c>
      <c r="AF1478" t="s">
        <v>46835</v>
      </c>
    </row>
    <row r="1479" spans="1:32" x14ac:dyDescent="0.2">
      <c r="A1479">
        <v>1474</v>
      </c>
      <c r="B1479" t="s">
        <v>17413</v>
      </c>
      <c r="C1479" t="s">
        <v>17414</v>
      </c>
      <c r="D1479" t="s">
        <v>32</v>
      </c>
      <c r="E1479" t="s">
        <v>17415</v>
      </c>
      <c r="F1479" t="s">
        <v>17416</v>
      </c>
      <c r="G1479" t="s">
        <v>17417</v>
      </c>
      <c r="H1479" t="str">
        <f>"Snx2"</f>
        <v>Snx2</v>
      </c>
      <c r="I1479" t="s">
        <v>32</v>
      </c>
      <c r="J1479" t="s">
        <v>37</v>
      </c>
      <c r="K1479">
        <v>10090</v>
      </c>
      <c r="L1479" s="3" t="str">
        <f>HYPERLINK("http://www.uniprot.org/uniprot/Q9CWK8", "Q9CWK8")</f>
        <v>Q9CWK8</v>
      </c>
      <c r="M1479" t="s">
        <v>17418</v>
      </c>
      <c r="N1479" t="str">
        <f>"Snx2"</f>
        <v>Snx2</v>
      </c>
      <c r="O1479" s="3" t="str">
        <f>HYPERLINK("http://www.informatics.jax.org/marker/MGI:1915054", "MGI:1915054")</f>
        <v>MGI:1915054</v>
      </c>
      <c r="P1479" t="s">
        <v>17419</v>
      </c>
      <c r="Q1479" t="s">
        <v>434</v>
      </c>
      <c r="R1479" t="s">
        <v>17420</v>
      </c>
      <c r="S1479" t="s">
        <v>32</v>
      </c>
      <c r="T1479" t="s">
        <v>32</v>
      </c>
      <c r="U1479" t="s">
        <v>32</v>
      </c>
      <c r="V1479" t="s">
        <v>32</v>
      </c>
      <c r="W1479" t="s">
        <v>584</v>
      </c>
      <c r="X1479" t="s">
        <v>32</v>
      </c>
      <c r="Y1479" t="s">
        <v>157</v>
      </c>
      <c r="Z1479" t="s">
        <v>32</v>
      </c>
      <c r="AA1479" t="s">
        <v>17421</v>
      </c>
      <c r="AB1479" t="s">
        <v>17422</v>
      </c>
      <c r="AC1479" t="s">
        <v>9074</v>
      </c>
      <c r="AD1479" t="s">
        <v>32</v>
      </c>
      <c r="AE1479" t="s">
        <v>10968</v>
      </c>
      <c r="AF1479" t="s">
        <v>46835</v>
      </c>
    </row>
    <row r="1480" spans="1:32" x14ac:dyDescent="0.2">
      <c r="A1480">
        <v>1475</v>
      </c>
      <c r="B1480" t="s">
        <v>17423</v>
      </c>
      <c r="C1480" t="s">
        <v>17424</v>
      </c>
      <c r="D1480" t="s">
        <v>17425</v>
      </c>
      <c r="E1480" t="s">
        <v>17426</v>
      </c>
      <c r="F1480" t="s">
        <v>17427</v>
      </c>
      <c r="G1480" t="s">
        <v>17428</v>
      </c>
      <c r="H1480" t="str">
        <f>"Fam169a"</f>
        <v>Fam169a</v>
      </c>
      <c r="I1480" t="s">
        <v>17429</v>
      </c>
      <c r="J1480" t="s">
        <v>37</v>
      </c>
      <c r="K1480">
        <v>10090</v>
      </c>
      <c r="L1480" s="3" t="str">
        <f>HYPERLINK("http://www.uniprot.org/uniprot/Q5XG69", "Q5XG69")</f>
        <v>Q5XG69</v>
      </c>
      <c r="M1480" t="s">
        <v>17430</v>
      </c>
      <c r="N1480" t="str">
        <f>"Fam169a"</f>
        <v>Fam169a</v>
      </c>
      <c r="O1480" s="3" t="str">
        <f>HYPERLINK("http://www.informatics.jax.org/marker/MGI:2444268", "MGI:2444268")</f>
        <v>MGI:2444268</v>
      </c>
      <c r="P1480" t="s">
        <v>17431</v>
      </c>
      <c r="Q1480" t="s">
        <v>32</v>
      </c>
      <c r="R1480" t="s">
        <v>13520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32</v>
      </c>
      <c r="Y1480" t="s">
        <v>618</v>
      </c>
      <c r="Z1480" t="s">
        <v>32</v>
      </c>
      <c r="AA1480" t="s">
        <v>32</v>
      </c>
      <c r="AB1480" t="s">
        <v>17432</v>
      </c>
      <c r="AC1480" t="s">
        <v>32</v>
      </c>
      <c r="AD1480" t="s">
        <v>32</v>
      </c>
      <c r="AE1480" t="s">
        <v>2948</v>
      </c>
      <c r="AF1480" t="s">
        <v>46835</v>
      </c>
    </row>
    <row r="1481" spans="1:32" x14ac:dyDescent="0.2">
      <c r="A1481">
        <v>1476</v>
      </c>
      <c r="B1481" t="s">
        <v>17433</v>
      </c>
      <c r="C1481" t="s">
        <v>17434</v>
      </c>
      <c r="D1481" t="s">
        <v>17435</v>
      </c>
      <c r="E1481" t="s">
        <v>17436</v>
      </c>
      <c r="F1481" t="s">
        <v>17437</v>
      </c>
      <c r="G1481" t="s">
        <v>17438</v>
      </c>
      <c r="H1481" t="str">
        <f>"Coro7"</f>
        <v>Coro7</v>
      </c>
      <c r="I1481" t="s">
        <v>32</v>
      </c>
      <c r="J1481" t="s">
        <v>37</v>
      </c>
      <c r="K1481">
        <v>10090</v>
      </c>
      <c r="L1481" s="3" t="str">
        <f>HYPERLINK("http://www.uniprot.org/uniprot/Q9D2V7", "Q9D2V7")</f>
        <v>Q9D2V7</v>
      </c>
      <c r="M1481" t="s">
        <v>17439</v>
      </c>
      <c r="N1481" t="str">
        <f>"Coro7"</f>
        <v>Coro7</v>
      </c>
      <c r="O1481" s="3" t="str">
        <f>HYPERLINK("http://www.informatics.jax.org/marker/MGI:1926135", "MGI:1926135")</f>
        <v>MGI:1926135</v>
      </c>
      <c r="P1481" t="s">
        <v>17440</v>
      </c>
      <c r="Q1481" t="s">
        <v>434</v>
      </c>
      <c r="R1481" t="s">
        <v>3166</v>
      </c>
      <c r="S1481" t="s">
        <v>32</v>
      </c>
      <c r="T1481" t="s">
        <v>32</v>
      </c>
      <c r="U1481" t="s">
        <v>32</v>
      </c>
      <c r="V1481" t="s">
        <v>1910</v>
      </c>
      <c r="W1481" t="s">
        <v>32</v>
      </c>
      <c r="X1481" t="s">
        <v>405</v>
      </c>
      <c r="Y1481" t="s">
        <v>1007</v>
      </c>
      <c r="Z1481" t="s">
        <v>32</v>
      </c>
      <c r="AA1481" t="s">
        <v>17441</v>
      </c>
      <c r="AB1481" t="s">
        <v>17442</v>
      </c>
      <c r="AC1481" t="s">
        <v>2234</v>
      </c>
      <c r="AD1481" t="s">
        <v>32</v>
      </c>
      <c r="AE1481" t="s">
        <v>32</v>
      </c>
      <c r="AF1481" t="s">
        <v>46835</v>
      </c>
    </row>
    <row r="1482" spans="1:32" x14ac:dyDescent="0.2">
      <c r="A1482">
        <v>1477</v>
      </c>
      <c r="B1482" t="s">
        <v>17443</v>
      </c>
      <c r="C1482" t="s">
        <v>17444</v>
      </c>
      <c r="D1482" t="s">
        <v>32</v>
      </c>
      <c r="E1482" t="s">
        <v>17445</v>
      </c>
      <c r="F1482" t="s">
        <v>17446</v>
      </c>
      <c r="G1482" t="s">
        <v>17447</v>
      </c>
      <c r="H1482" t="str">
        <f>"Ilkap"</f>
        <v>Ilkap</v>
      </c>
      <c r="I1482" t="s">
        <v>32</v>
      </c>
      <c r="J1482" t="s">
        <v>37</v>
      </c>
      <c r="K1482">
        <v>10090</v>
      </c>
      <c r="L1482" s="3" t="str">
        <f>HYPERLINK("http://www.uniprot.org/uniprot/Q8R0F6", "Q8R0F6")</f>
        <v>Q8R0F6</v>
      </c>
      <c r="M1482" t="s">
        <v>17448</v>
      </c>
      <c r="N1482" t="str">
        <f>"Ilkap"</f>
        <v>Ilkap</v>
      </c>
      <c r="O1482" s="3" t="str">
        <f>HYPERLINK("http://www.informatics.jax.org/marker/MGI:1914694", "MGI:1914694")</f>
        <v>MGI:1914694</v>
      </c>
      <c r="P1482" t="s">
        <v>17449</v>
      </c>
      <c r="Q1482" t="s">
        <v>32</v>
      </c>
      <c r="R1482" t="s">
        <v>418</v>
      </c>
      <c r="S1482" t="s">
        <v>41</v>
      </c>
      <c r="T1482" t="s">
        <v>32</v>
      </c>
      <c r="U1482" t="s">
        <v>32</v>
      </c>
      <c r="V1482" t="s">
        <v>32</v>
      </c>
      <c r="W1482" t="s">
        <v>9312</v>
      </c>
      <c r="X1482" t="s">
        <v>3683</v>
      </c>
      <c r="Y1482" t="s">
        <v>78</v>
      </c>
      <c r="Z1482" t="s">
        <v>32</v>
      </c>
      <c r="AA1482" t="s">
        <v>17450</v>
      </c>
      <c r="AB1482" t="s">
        <v>8281</v>
      </c>
      <c r="AC1482" t="s">
        <v>12580</v>
      </c>
      <c r="AD1482" t="s">
        <v>32</v>
      </c>
      <c r="AE1482" t="s">
        <v>32</v>
      </c>
      <c r="AF1482" t="s">
        <v>46835</v>
      </c>
    </row>
    <row r="1483" spans="1:32" x14ac:dyDescent="0.2">
      <c r="A1483">
        <v>1478</v>
      </c>
      <c r="B1483" t="s">
        <v>17451</v>
      </c>
      <c r="C1483" t="s">
        <v>17452</v>
      </c>
      <c r="D1483" t="s">
        <v>17453</v>
      </c>
      <c r="E1483" t="s">
        <v>17454</v>
      </c>
      <c r="F1483" t="s">
        <v>17455</v>
      </c>
      <c r="G1483" t="s">
        <v>17456</v>
      </c>
      <c r="H1483" t="str">
        <f>"Ndufv2"</f>
        <v>Ndufv2</v>
      </c>
      <c r="I1483" t="s">
        <v>32</v>
      </c>
      <c r="J1483" t="s">
        <v>37</v>
      </c>
      <c r="K1483">
        <v>10090</v>
      </c>
      <c r="L1483" s="3" t="str">
        <f>HYPERLINK("http://www.uniprot.org/uniprot/Q9D6J6", "Q9D6J6")</f>
        <v>Q9D6J6</v>
      </c>
      <c r="M1483" t="s">
        <v>17457</v>
      </c>
      <c r="N1483" t="str">
        <f>"Ndufv2"</f>
        <v>Ndufv2</v>
      </c>
      <c r="O1483" s="3" t="str">
        <f>HYPERLINK("http://www.informatics.jax.org/marker/MGI:1920150", "MGI:1920150")</f>
        <v>MGI:1920150</v>
      </c>
      <c r="P1483" t="s">
        <v>17458</v>
      </c>
      <c r="Q1483" t="s">
        <v>6888</v>
      </c>
      <c r="R1483" t="s">
        <v>3858</v>
      </c>
      <c r="S1483" t="s">
        <v>41</v>
      </c>
      <c r="T1483" t="s">
        <v>32</v>
      </c>
      <c r="U1483" t="s">
        <v>32</v>
      </c>
      <c r="V1483" t="s">
        <v>1039</v>
      </c>
      <c r="W1483" t="s">
        <v>17459</v>
      </c>
      <c r="X1483" t="s">
        <v>10466</v>
      </c>
      <c r="Y1483" t="s">
        <v>157</v>
      </c>
      <c r="Z1483" t="s">
        <v>126</v>
      </c>
      <c r="AA1483" t="s">
        <v>17460</v>
      </c>
      <c r="AB1483" t="s">
        <v>17461</v>
      </c>
      <c r="AC1483" t="s">
        <v>17462</v>
      </c>
      <c r="AD1483" t="s">
        <v>32</v>
      </c>
      <c r="AE1483" t="s">
        <v>10470</v>
      </c>
      <c r="AF1483" t="s">
        <v>46835</v>
      </c>
    </row>
    <row r="1484" spans="1:32" x14ac:dyDescent="0.2">
      <c r="A1484">
        <v>1479</v>
      </c>
      <c r="B1484" t="s">
        <v>17463</v>
      </c>
      <c r="C1484" t="s">
        <v>17464</v>
      </c>
      <c r="D1484" t="s">
        <v>32</v>
      </c>
      <c r="E1484" t="s">
        <v>17465</v>
      </c>
      <c r="F1484" t="s">
        <v>17466</v>
      </c>
      <c r="G1484" t="s">
        <v>17467</v>
      </c>
      <c r="H1484" t="str">
        <f>"Nsdhl"</f>
        <v>Nsdhl</v>
      </c>
      <c r="I1484" t="s">
        <v>32</v>
      </c>
      <c r="J1484" t="s">
        <v>37</v>
      </c>
      <c r="K1484">
        <v>10090</v>
      </c>
      <c r="L1484" s="3" t="str">
        <f>HYPERLINK("http://www.uniprot.org/uniprot/Q9R1J0", "Q9R1J0")</f>
        <v>Q9R1J0</v>
      </c>
      <c r="M1484" t="s">
        <v>17468</v>
      </c>
      <c r="N1484" t="str">
        <f>"Nsdhl"</f>
        <v>Nsdhl</v>
      </c>
      <c r="O1484" s="3" t="str">
        <f>HYPERLINK("http://www.informatics.jax.org/marker/MGI:1099438", "MGI:1099438")</f>
        <v>MGI:1099438</v>
      </c>
      <c r="P1484" t="s">
        <v>17469</v>
      </c>
      <c r="Q1484" t="s">
        <v>10614</v>
      </c>
      <c r="R1484" t="s">
        <v>17470</v>
      </c>
      <c r="S1484" t="s">
        <v>32</v>
      </c>
      <c r="T1484" t="s">
        <v>32</v>
      </c>
      <c r="U1484" t="s">
        <v>829</v>
      </c>
      <c r="V1484" t="s">
        <v>493</v>
      </c>
      <c r="W1484" t="s">
        <v>325</v>
      </c>
      <c r="X1484" t="s">
        <v>600</v>
      </c>
      <c r="Y1484" t="s">
        <v>78</v>
      </c>
      <c r="Z1484" t="s">
        <v>32</v>
      </c>
      <c r="AA1484" t="s">
        <v>17471</v>
      </c>
      <c r="AB1484" t="s">
        <v>17472</v>
      </c>
      <c r="AC1484" t="s">
        <v>17473</v>
      </c>
      <c r="AD1484" t="s">
        <v>17474</v>
      </c>
      <c r="AE1484" t="s">
        <v>5365</v>
      </c>
      <c r="AF1484" t="s">
        <v>46835</v>
      </c>
    </row>
    <row r="1485" spans="1:32" x14ac:dyDescent="0.2">
      <c r="A1485">
        <v>1480</v>
      </c>
      <c r="B1485" t="s">
        <v>17475</v>
      </c>
      <c r="C1485" t="s">
        <v>17476</v>
      </c>
      <c r="D1485" t="s">
        <v>17477</v>
      </c>
      <c r="E1485" t="s">
        <v>17478</v>
      </c>
      <c r="F1485" t="s">
        <v>17479</v>
      </c>
      <c r="G1485" t="s">
        <v>17480</v>
      </c>
      <c r="H1485" t="str">
        <f>"Poglut1"</f>
        <v>Poglut1</v>
      </c>
      <c r="I1485" t="s">
        <v>17481</v>
      </c>
      <c r="J1485" t="s">
        <v>37</v>
      </c>
      <c r="K1485">
        <v>10090</v>
      </c>
      <c r="L1485" s="3" t="str">
        <f>HYPERLINK("http://www.uniprot.org/uniprot/Q8BYB9", "Q8BYB9")</f>
        <v>Q8BYB9</v>
      </c>
      <c r="M1485" t="s">
        <v>17482</v>
      </c>
      <c r="N1485" t="str">
        <f>"Poglut1"</f>
        <v>Poglut1</v>
      </c>
      <c r="O1485" s="3" t="str">
        <f>HYPERLINK("http://www.informatics.jax.org/marker/MGI:2444232", "MGI:2444232")</f>
        <v>MGI:2444232</v>
      </c>
      <c r="P1485" t="s">
        <v>17483</v>
      </c>
      <c r="Q1485" t="s">
        <v>17484</v>
      </c>
      <c r="R1485" t="s">
        <v>671</v>
      </c>
      <c r="S1485" t="s">
        <v>32</v>
      </c>
      <c r="T1485" t="s">
        <v>32</v>
      </c>
      <c r="U1485" t="s">
        <v>32</v>
      </c>
      <c r="V1485" t="s">
        <v>811</v>
      </c>
      <c r="W1485" t="s">
        <v>32</v>
      </c>
      <c r="X1485" t="s">
        <v>17485</v>
      </c>
      <c r="Y1485" t="s">
        <v>5275</v>
      </c>
      <c r="Z1485" t="s">
        <v>32</v>
      </c>
      <c r="AA1485" t="s">
        <v>17486</v>
      </c>
      <c r="AB1485" t="s">
        <v>17487</v>
      </c>
      <c r="AC1485" t="s">
        <v>17488</v>
      </c>
      <c r="AD1485" t="s">
        <v>3952</v>
      </c>
      <c r="AE1485" t="s">
        <v>32</v>
      </c>
      <c r="AF1485" t="s">
        <v>46835</v>
      </c>
    </row>
    <row r="1486" spans="1:32" x14ac:dyDescent="0.2">
      <c r="A1486">
        <v>1481</v>
      </c>
      <c r="B1486" t="s">
        <v>17489</v>
      </c>
      <c r="C1486" t="s">
        <v>17490</v>
      </c>
      <c r="D1486" t="s">
        <v>17491</v>
      </c>
      <c r="E1486" t="s">
        <v>17492</v>
      </c>
      <c r="F1486" t="s">
        <v>17493</v>
      </c>
      <c r="G1486" t="s">
        <v>17494</v>
      </c>
      <c r="H1486" t="str">
        <f>"Crip1"</f>
        <v>Crip1</v>
      </c>
      <c r="I1486" t="s">
        <v>17495</v>
      </c>
      <c r="J1486" t="s">
        <v>37</v>
      </c>
      <c r="K1486">
        <v>10090</v>
      </c>
      <c r="L1486" s="3" t="str">
        <f>HYPERLINK("http://www.uniprot.org/uniprot/P63254", "P63254")</f>
        <v>P63254</v>
      </c>
      <c r="M1486" t="s">
        <v>17496</v>
      </c>
      <c r="N1486" t="str">
        <f>"Crip1"</f>
        <v>Crip1</v>
      </c>
      <c r="O1486" s="3" t="str">
        <f>HYPERLINK("http://www.informatics.jax.org/marker/MGI:88501", "MGI:88501")</f>
        <v>MGI:88501</v>
      </c>
      <c r="P1486" t="s">
        <v>17497</v>
      </c>
      <c r="Q1486" t="s">
        <v>32</v>
      </c>
      <c r="R1486" t="s">
        <v>32</v>
      </c>
      <c r="S1486" t="s">
        <v>32</v>
      </c>
      <c r="T1486" t="s">
        <v>32</v>
      </c>
      <c r="U1486" t="s">
        <v>32</v>
      </c>
      <c r="V1486" t="s">
        <v>5575</v>
      </c>
      <c r="W1486" t="s">
        <v>42</v>
      </c>
      <c r="X1486" t="s">
        <v>32</v>
      </c>
      <c r="Y1486" t="s">
        <v>57</v>
      </c>
      <c r="Z1486" t="s">
        <v>32</v>
      </c>
      <c r="AA1486" t="s">
        <v>17498</v>
      </c>
      <c r="AB1486" t="s">
        <v>2172</v>
      </c>
      <c r="AC1486" t="s">
        <v>17499</v>
      </c>
      <c r="AD1486" t="s">
        <v>32</v>
      </c>
      <c r="AE1486" t="s">
        <v>32</v>
      </c>
      <c r="AF1486" t="s">
        <v>46835</v>
      </c>
    </row>
    <row r="1487" spans="1:32" x14ac:dyDescent="0.2">
      <c r="A1487">
        <v>1482</v>
      </c>
      <c r="B1487" t="s">
        <v>17500</v>
      </c>
      <c r="C1487" t="s">
        <v>17501</v>
      </c>
      <c r="D1487" t="s">
        <v>17502</v>
      </c>
      <c r="E1487" t="s">
        <v>17503</v>
      </c>
      <c r="F1487" t="s">
        <v>17504</v>
      </c>
      <c r="G1487" t="s">
        <v>17505</v>
      </c>
      <c r="H1487" t="str">
        <f>"Itgav"</f>
        <v>Itgav</v>
      </c>
      <c r="I1487" t="s">
        <v>32</v>
      </c>
      <c r="J1487" t="s">
        <v>37</v>
      </c>
      <c r="K1487">
        <v>10090</v>
      </c>
      <c r="L1487" s="3" t="str">
        <f>HYPERLINK("http://www.uniprot.org/uniprot/P43406", "P43406")</f>
        <v>P43406</v>
      </c>
      <c r="M1487" t="s">
        <v>17506</v>
      </c>
      <c r="N1487" t="str">
        <f>"Itgav"</f>
        <v>Itgav</v>
      </c>
      <c r="O1487" s="3" t="str">
        <f>HYPERLINK("http://www.informatics.jax.org/marker/MGI:96608", "MGI:96608")</f>
        <v>MGI:96608</v>
      </c>
      <c r="P1487" t="s">
        <v>17507</v>
      </c>
      <c r="Q1487" t="s">
        <v>17508</v>
      </c>
      <c r="R1487" t="s">
        <v>5512</v>
      </c>
      <c r="S1487" t="s">
        <v>32</v>
      </c>
      <c r="T1487" t="s">
        <v>32</v>
      </c>
      <c r="U1487" t="s">
        <v>32</v>
      </c>
      <c r="V1487" t="s">
        <v>1665</v>
      </c>
      <c r="W1487" t="s">
        <v>188</v>
      </c>
      <c r="X1487" t="s">
        <v>17509</v>
      </c>
      <c r="Y1487" t="s">
        <v>17510</v>
      </c>
      <c r="Z1487" t="s">
        <v>32</v>
      </c>
      <c r="AA1487" t="s">
        <v>17511</v>
      </c>
      <c r="AB1487" t="s">
        <v>17512</v>
      </c>
      <c r="AC1487" t="s">
        <v>17513</v>
      </c>
      <c r="AD1487" t="s">
        <v>32</v>
      </c>
      <c r="AE1487" t="s">
        <v>17514</v>
      </c>
      <c r="AF1487" t="s">
        <v>46835</v>
      </c>
    </row>
    <row r="1488" spans="1:32" x14ac:dyDescent="0.2">
      <c r="A1488">
        <v>1483</v>
      </c>
      <c r="B1488" t="s">
        <v>17515</v>
      </c>
      <c r="C1488" t="s">
        <v>17516</v>
      </c>
      <c r="D1488" t="s">
        <v>17517</v>
      </c>
      <c r="E1488" t="s">
        <v>17518</v>
      </c>
      <c r="F1488" t="s">
        <v>17519</v>
      </c>
      <c r="G1488" t="s">
        <v>32</v>
      </c>
      <c r="H1488" t="str">
        <f>"Nup155"</f>
        <v>Nup155</v>
      </c>
      <c r="I1488" t="s">
        <v>32</v>
      </c>
      <c r="J1488" t="s">
        <v>37</v>
      </c>
      <c r="K1488">
        <v>10090</v>
      </c>
      <c r="L1488" s="3" t="str">
        <f>HYPERLINK("http://www.uniprot.org/uniprot/Q99P88", "Q99P88")</f>
        <v>Q99P88</v>
      </c>
      <c r="M1488" t="s">
        <v>17520</v>
      </c>
      <c r="N1488" t="str">
        <f>"Nup155"</f>
        <v>Nup155</v>
      </c>
      <c r="O1488" s="3" t="str">
        <f>HYPERLINK("http://www.informatics.jax.org/marker/MGI:2181182", "MGI:2181182")</f>
        <v>MGI:2181182</v>
      </c>
      <c r="P1488" t="s">
        <v>17521</v>
      </c>
      <c r="Q1488" t="s">
        <v>6423</v>
      </c>
      <c r="R1488" t="s">
        <v>8238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32</v>
      </c>
      <c r="Y1488" t="s">
        <v>2865</v>
      </c>
      <c r="Z1488" t="s">
        <v>32</v>
      </c>
      <c r="AA1488" t="s">
        <v>17522</v>
      </c>
      <c r="AB1488" t="s">
        <v>17523</v>
      </c>
      <c r="AC1488" t="s">
        <v>12315</v>
      </c>
      <c r="AD1488" t="s">
        <v>32</v>
      </c>
      <c r="AE1488" t="s">
        <v>12316</v>
      </c>
      <c r="AF1488" t="s">
        <v>46835</v>
      </c>
    </row>
    <row r="1489" spans="1:33" x14ac:dyDescent="0.2">
      <c r="A1489">
        <v>1484</v>
      </c>
      <c r="B1489" t="s">
        <v>17524</v>
      </c>
      <c r="C1489" t="s">
        <v>17525</v>
      </c>
      <c r="D1489" t="s">
        <v>32</v>
      </c>
      <c r="E1489" t="s">
        <v>17526</v>
      </c>
      <c r="F1489" t="s">
        <v>17527</v>
      </c>
      <c r="G1489" t="s">
        <v>17528</v>
      </c>
      <c r="H1489" t="str">
        <f>"Mta1"</f>
        <v>Mta1</v>
      </c>
      <c r="I1489" t="s">
        <v>32</v>
      </c>
      <c r="J1489" t="s">
        <v>37</v>
      </c>
      <c r="K1489">
        <v>10090</v>
      </c>
      <c r="L1489" s="3" t="str">
        <f>HYPERLINK("http://www.uniprot.org/uniprot/Q8K4B0", "Q8K4B0")</f>
        <v>Q8K4B0</v>
      </c>
      <c r="M1489" t="s">
        <v>17529</v>
      </c>
      <c r="N1489" t="str">
        <f>"Mta1"</f>
        <v>Mta1</v>
      </c>
      <c r="O1489" s="3" t="str">
        <f>HYPERLINK("http://www.informatics.jax.org/marker/MGI:2150037", "MGI:2150037")</f>
        <v>MGI:2150037</v>
      </c>
      <c r="P1489" t="s">
        <v>17530</v>
      </c>
      <c r="Q1489" t="s">
        <v>1992</v>
      </c>
      <c r="R1489" t="s">
        <v>324</v>
      </c>
      <c r="S1489" t="s">
        <v>32</v>
      </c>
      <c r="T1489" t="s">
        <v>32</v>
      </c>
      <c r="U1489" t="s">
        <v>32</v>
      </c>
      <c r="V1489" t="s">
        <v>446</v>
      </c>
      <c r="W1489" t="s">
        <v>42</v>
      </c>
      <c r="X1489" t="s">
        <v>17531</v>
      </c>
      <c r="Y1489" t="s">
        <v>516</v>
      </c>
      <c r="Z1489" t="s">
        <v>32</v>
      </c>
      <c r="AA1489" t="s">
        <v>17532</v>
      </c>
      <c r="AB1489" t="s">
        <v>17533</v>
      </c>
      <c r="AC1489" t="s">
        <v>17534</v>
      </c>
      <c r="AD1489" t="s">
        <v>32</v>
      </c>
      <c r="AE1489" t="s">
        <v>17535</v>
      </c>
      <c r="AF1489" t="s">
        <v>46835</v>
      </c>
    </row>
    <row r="1490" spans="1:33" x14ac:dyDescent="0.2">
      <c r="A1490">
        <v>1485</v>
      </c>
      <c r="B1490" t="s">
        <v>17536</v>
      </c>
      <c r="C1490" t="s">
        <v>47127</v>
      </c>
      <c r="D1490" t="s">
        <v>32</v>
      </c>
      <c r="E1490" t="s">
        <v>46908</v>
      </c>
      <c r="F1490" t="s">
        <v>46907</v>
      </c>
      <c r="G1490" t="s">
        <v>32</v>
      </c>
      <c r="H1490" t="s">
        <v>47258</v>
      </c>
      <c r="I1490" t="s">
        <v>32</v>
      </c>
      <c r="J1490" t="s">
        <v>37</v>
      </c>
      <c r="K1490">
        <v>10090</v>
      </c>
      <c r="L1490" s="3" t="str">
        <f>HYPERLINK(CONCATENATE("https://www.uniprot.org/uniprotkb/", AG1490, "/entry"), AG1490)</f>
        <v>Q8R5H1</v>
      </c>
      <c r="M1490" t="s">
        <v>32</v>
      </c>
      <c r="N1490" t="s">
        <v>32</v>
      </c>
      <c r="O1490" s="3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32</v>
      </c>
      <c r="Y1490" t="s">
        <v>32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t="s">
        <v>46835</v>
      </c>
      <c r="AG1490" t="s">
        <v>46907</v>
      </c>
    </row>
    <row r="1491" spans="1:33" x14ac:dyDescent="0.2">
      <c r="A1491">
        <v>1486</v>
      </c>
      <c r="B1491" t="s">
        <v>17537</v>
      </c>
      <c r="C1491" t="s">
        <v>17538</v>
      </c>
      <c r="D1491" t="s">
        <v>32</v>
      </c>
      <c r="E1491" t="s">
        <v>17539</v>
      </c>
      <c r="F1491" t="s">
        <v>17540</v>
      </c>
      <c r="G1491" t="s">
        <v>17541</v>
      </c>
      <c r="H1491" t="str">
        <f>"Pelo"</f>
        <v>Pelo</v>
      </c>
      <c r="I1491" t="s">
        <v>32</v>
      </c>
      <c r="J1491" t="s">
        <v>37</v>
      </c>
      <c r="K1491">
        <v>10090</v>
      </c>
      <c r="L1491" s="3" t="str">
        <f>HYPERLINK("http://www.uniprot.org/uniprot/Q80X73", "Q80X73")</f>
        <v>Q80X73</v>
      </c>
      <c r="M1491" t="s">
        <v>17542</v>
      </c>
      <c r="N1491" t="str">
        <f>"Pelo"</f>
        <v>Pelo</v>
      </c>
      <c r="O1491" s="3" t="str">
        <f>HYPERLINK("http://www.informatics.jax.org/marker/MGI:2145154", "MGI:2145154")</f>
        <v>MGI:2145154</v>
      </c>
      <c r="P1491" t="s">
        <v>17543</v>
      </c>
      <c r="Q1491" t="s">
        <v>17544</v>
      </c>
      <c r="R1491" t="s">
        <v>40</v>
      </c>
      <c r="S1491" t="s">
        <v>32</v>
      </c>
      <c r="T1491" t="s">
        <v>32</v>
      </c>
      <c r="U1491" t="s">
        <v>32</v>
      </c>
      <c r="V1491" t="s">
        <v>32</v>
      </c>
      <c r="W1491" t="s">
        <v>8683</v>
      </c>
      <c r="X1491" t="s">
        <v>4153</v>
      </c>
      <c r="Y1491" t="s">
        <v>1007</v>
      </c>
      <c r="Z1491" t="s">
        <v>32</v>
      </c>
      <c r="AA1491" t="s">
        <v>17545</v>
      </c>
      <c r="AB1491" t="s">
        <v>110</v>
      </c>
      <c r="AC1491" t="s">
        <v>17546</v>
      </c>
      <c r="AD1491" t="s">
        <v>32</v>
      </c>
      <c r="AE1491" t="s">
        <v>32</v>
      </c>
      <c r="AF1491" t="s">
        <v>46835</v>
      </c>
    </row>
    <row r="1492" spans="1:33" x14ac:dyDescent="0.2">
      <c r="A1492">
        <v>1487</v>
      </c>
      <c r="B1492" t="s">
        <v>17547</v>
      </c>
      <c r="C1492" t="s">
        <v>17548</v>
      </c>
      <c r="D1492" t="s">
        <v>17549</v>
      </c>
      <c r="E1492" t="s">
        <v>17550</v>
      </c>
      <c r="F1492" t="s">
        <v>17551</v>
      </c>
      <c r="G1492" t="s">
        <v>17552</v>
      </c>
      <c r="H1492" t="str">
        <f>"Ppat"</f>
        <v>Ppat</v>
      </c>
      <c r="I1492" t="s">
        <v>32</v>
      </c>
      <c r="J1492" t="s">
        <v>37</v>
      </c>
      <c r="K1492">
        <v>10090</v>
      </c>
      <c r="L1492" s="3" t="str">
        <f>HYPERLINK("http://www.uniprot.org/uniprot/Q8CIH9", "Q8CIH9")</f>
        <v>Q8CIH9</v>
      </c>
      <c r="M1492" t="s">
        <v>17553</v>
      </c>
      <c r="N1492" t="str">
        <f>"Ppat"</f>
        <v>Ppat</v>
      </c>
      <c r="O1492" s="3" t="str">
        <f>HYPERLINK("http://www.informatics.jax.org/marker/MGI:2387203", "MGI:2387203")</f>
        <v>MGI:2387203</v>
      </c>
      <c r="P1492" t="s">
        <v>17554</v>
      </c>
      <c r="Q1492" t="s">
        <v>2203</v>
      </c>
      <c r="R1492" t="s">
        <v>32</v>
      </c>
      <c r="S1492" t="s">
        <v>32</v>
      </c>
      <c r="T1492" t="s">
        <v>32</v>
      </c>
      <c r="U1492" t="s">
        <v>32</v>
      </c>
      <c r="V1492" t="s">
        <v>7957</v>
      </c>
      <c r="W1492" t="s">
        <v>17555</v>
      </c>
      <c r="X1492" t="s">
        <v>1720</v>
      </c>
      <c r="Y1492" t="s">
        <v>78</v>
      </c>
      <c r="Z1492" t="s">
        <v>32</v>
      </c>
      <c r="AA1492" t="s">
        <v>17556</v>
      </c>
      <c r="AB1492" t="s">
        <v>32</v>
      </c>
      <c r="AC1492" t="s">
        <v>17557</v>
      </c>
      <c r="AD1492" t="s">
        <v>17558</v>
      </c>
      <c r="AE1492" t="s">
        <v>2209</v>
      </c>
      <c r="AF1492" t="s">
        <v>46835</v>
      </c>
    </row>
    <row r="1493" spans="1:33" x14ac:dyDescent="0.2">
      <c r="A1493">
        <v>1488</v>
      </c>
      <c r="B1493" t="s">
        <v>17559</v>
      </c>
      <c r="C1493" t="s">
        <v>17560</v>
      </c>
      <c r="D1493" t="s">
        <v>17561</v>
      </c>
      <c r="E1493" t="s">
        <v>17562</v>
      </c>
      <c r="F1493" t="s">
        <v>17563</v>
      </c>
      <c r="G1493" t="s">
        <v>17564</v>
      </c>
      <c r="H1493" t="str">
        <f>"Ubxn4"</f>
        <v>Ubxn4</v>
      </c>
      <c r="I1493" t="s">
        <v>17565</v>
      </c>
      <c r="J1493" t="s">
        <v>37</v>
      </c>
      <c r="K1493">
        <v>10090</v>
      </c>
      <c r="L1493" s="3" t="str">
        <f>HYPERLINK("http://www.uniprot.org/uniprot/Q8VCH8", "Q8VCH8")</f>
        <v>Q8VCH8</v>
      </c>
      <c r="M1493" t="s">
        <v>17566</v>
      </c>
      <c r="N1493" t="str">
        <f>"Ubxn4"</f>
        <v>Ubxn4</v>
      </c>
      <c r="O1493" s="3" t="str">
        <f>HYPERLINK("http://www.informatics.jax.org/marker/MGI:1915062", "MGI:1915062")</f>
        <v>MGI:1915062</v>
      </c>
      <c r="P1493" t="s">
        <v>17567</v>
      </c>
      <c r="Q1493" t="s">
        <v>12126</v>
      </c>
      <c r="R1493" t="s">
        <v>17568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32</v>
      </c>
      <c r="Y1493" t="s">
        <v>618</v>
      </c>
      <c r="Z1493" t="s">
        <v>126</v>
      </c>
      <c r="AA1493" t="s">
        <v>17569</v>
      </c>
      <c r="AB1493" t="s">
        <v>17570</v>
      </c>
      <c r="AC1493" t="s">
        <v>32</v>
      </c>
      <c r="AD1493" t="s">
        <v>32</v>
      </c>
      <c r="AE1493" t="s">
        <v>32</v>
      </c>
      <c r="AF1493" t="s">
        <v>46835</v>
      </c>
    </row>
    <row r="1494" spans="1:33" x14ac:dyDescent="0.2">
      <c r="A1494">
        <v>1489</v>
      </c>
      <c r="B1494" t="s">
        <v>17571</v>
      </c>
      <c r="C1494" t="s">
        <v>17572</v>
      </c>
      <c r="D1494" t="s">
        <v>32</v>
      </c>
      <c r="E1494" t="s">
        <v>17573</v>
      </c>
      <c r="F1494" t="s">
        <v>17574</v>
      </c>
      <c r="G1494" t="s">
        <v>17575</v>
      </c>
      <c r="H1494" t="str">
        <f>"Ttc1"</f>
        <v>Ttc1</v>
      </c>
      <c r="I1494" t="s">
        <v>32</v>
      </c>
      <c r="J1494" t="s">
        <v>37</v>
      </c>
      <c r="K1494">
        <v>10090</v>
      </c>
      <c r="L1494" s="3" t="str">
        <f>HYPERLINK("http://www.uniprot.org/uniprot/Q91Z38", "Q91Z38")</f>
        <v>Q91Z38</v>
      </c>
      <c r="M1494" t="s">
        <v>17576</v>
      </c>
      <c r="N1494" t="str">
        <f>"Ttc1"</f>
        <v>Ttc1</v>
      </c>
      <c r="O1494" s="3" t="str">
        <f>HYPERLINK("http://www.informatics.jax.org/marker/MGI:1914077", "MGI:1914077")</f>
        <v>MGI:1914077</v>
      </c>
      <c r="P1494" t="s">
        <v>17577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 t="s">
        <v>995</v>
      </c>
      <c r="W1494" t="s">
        <v>32</v>
      </c>
      <c r="X1494" t="s">
        <v>32</v>
      </c>
      <c r="Y1494" t="s">
        <v>618</v>
      </c>
      <c r="Z1494" t="s">
        <v>32</v>
      </c>
      <c r="AA1494" t="s">
        <v>32</v>
      </c>
      <c r="AB1494" t="s">
        <v>1268</v>
      </c>
      <c r="AC1494" t="s">
        <v>32</v>
      </c>
      <c r="AD1494" t="s">
        <v>32</v>
      </c>
      <c r="AE1494" t="s">
        <v>32</v>
      </c>
      <c r="AF1494" t="s">
        <v>46835</v>
      </c>
    </row>
    <row r="1495" spans="1:33" x14ac:dyDescent="0.2">
      <c r="A1495">
        <v>1490</v>
      </c>
      <c r="B1495" t="s">
        <v>17578</v>
      </c>
      <c r="C1495" t="s">
        <v>17579</v>
      </c>
      <c r="D1495" t="s">
        <v>32</v>
      </c>
      <c r="E1495" t="s">
        <v>17580</v>
      </c>
      <c r="F1495" t="s">
        <v>17581</v>
      </c>
      <c r="G1495" t="s">
        <v>17582</v>
      </c>
      <c r="H1495" t="str">
        <f>"Abcf3"</f>
        <v>Abcf3</v>
      </c>
      <c r="I1495" t="s">
        <v>32</v>
      </c>
      <c r="J1495" t="s">
        <v>37</v>
      </c>
      <c r="K1495">
        <v>10090</v>
      </c>
      <c r="L1495" s="3" t="str">
        <f>HYPERLINK("http://www.uniprot.org/uniprot/Q8K268", "Q8K268")</f>
        <v>Q8K268</v>
      </c>
      <c r="M1495" t="s">
        <v>17583</v>
      </c>
      <c r="N1495" t="str">
        <f>"Abcf3"</f>
        <v>Abcf3</v>
      </c>
      <c r="O1495" s="3" t="str">
        <f>HYPERLINK("http://www.informatics.jax.org/marker/MGI:1351656", "MGI:1351656")</f>
        <v>MGI:1351656</v>
      </c>
      <c r="P1495" t="s">
        <v>17584</v>
      </c>
      <c r="Q1495" t="s">
        <v>17585</v>
      </c>
      <c r="R1495" t="s">
        <v>32</v>
      </c>
      <c r="S1495" t="s">
        <v>32</v>
      </c>
      <c r="T1495" t="s">
        <v>32</v>
      </c>
      <c r="U1495" t="s">
        <v>32</v>
      </c>
      <c r="V1495" t="s">
        <v>55</v>
      </c>
      <c r="W1495" t="s">
        <v>205</v>
      </c>
      <c r="X1495" t="s">
        <v>32</v>
      </c>
      <c r="Y1495" t="s">
        <v>157</v>
      </c>
      <c r="Z1495" t="s">
        <v>32</v>
      </c>
      <c r="AA1495" t="s">
        <v>17586</v>
      </c>
      <c r="AB1495" t="s">
        <v>32</v>
      </c>
      <c r="AC1495" t="s">
        <v>12108</v>
      </c>
      <c r="AD1495" t="s">
        <v>32</v>
      </c>
      <c r="AE1495" t="s">
        <v>32</v>
      </c>
      <c r="AF1495" t="s">
        <v>46835</v>
      </c>
    </row>
    <row r="1496" spans="1:33" x14ac:dyDescent="0.2">
      <c r="A1496">
        <v>1491</v>
      </c>
      <c r="B1496" t="s">
        <v>17587</v>
      </c>
      <c r="C1496" t="s">
        <v>17588</v>
      </c>
      <c r="D1496" t="s">
        <v>17589</v>
      </c>
      <c r="E1496" t="s">
        <v>17590</v>
      </c>
      <c r="F1496" t="s">
        <v>17591</v>
      </c>
      <c r="G1496" t="s">
        <v>17592</v>
      </c>
      <c r="H1496" t="str">
        <f>"Rnmt"</f>
        <v>Rnmt</v>
      </c>
      <c r="I1496" t="s">
        <v>17593</v>
      </c>
      <c r="J1496" t="s">
        <v>37</v>
      </c>
      <c r="K1496">
        <v>10090</v>
      </c>
      <c r="L1496" s="3" t="str">
        <f>HYPERLINK("http://www.uniprot.org/uniprot/Q9D0L8", "Q9D0L8")</f>
        <v>Q9D0L8</v>
      </c>
      <c r="M1496" t="s">
        <v>17594</v>
      </c>
      <c r="N1496" t="str">
        <f>"Rnmt"</f>
        <v>Rnmt</v>
      </c>
      <c r="O1496" s="3" t="str">
        <f>HYPERLINK("http://www.informatics.jax.org/marker/MGI:1915147", "MGI:1915147")</f>
        <v>MGI:1915147</v>
      </c>
      <c r="P1496" t="s">
        <v>17595</v>
      </c>
      <c r="Q1496" t="s">
        <v>17596</v>
      </c>
      <c r="R1496" t="s">
        <v>2279</v>
      </c>
      <c r="S1496" t="s">
        <v>41</v>
      </c>
      <c r="T1496" t="s">
        <v>32</v>
      </c>
      <c r="U1496" t="s">
        <v>32</v>
      </c>
      <c r="V1496" t="s">
        <v>32</v>
      </c>
      <c r="W1496" t="s">
        <v>1705</v>
      </c>
      <c r="X1496" t="s">
        <v>17597</v>
      </c>
      <c r="Y1496" t="s">
        <v>618</v>
      </c>
      <c r="Z1496" t="s">
        <v>32</v>
      </c>
      <c r="AA1496" t="s">
        <v>17598</v>
      </c>
      <c r="AB1496" t="s">
        <v>17599</v>
      </c>
      <c r="AC1496" t="s">
        <v>17600</v>
      </c>
      <c r="AD1496" t="s">
        <v>32</v>
      </c>
      <c r="AE1496" t="s">
        <v>17601</v>
      </c>
      <c r="AF1496" t="s">
        <v>46835</v>
      </c>
    </row>
    <row r="1497" spans="1:33" x14ac:dyDescent="0.2">
      <c r="A1497">
        <v>1492</v>
      </c>
      <c r="B1497" t="s">
        <v>17602</v>
      </c>
      <c r="C1497" t="s">
        <v>17603</v>
      </c>
      <c r="D1497" t="s">
        <v>32</v>
      </c>
      <c r="E1497" t="s">
        <v>17604</v>
      </c>
      <c r="F1497" t="s">
        <v>17605</v>
      </c>
      <c r="G1497" t="s">
        <v>17606</v>
      </c>
      <c r="H1497" t="str">
        <f>"Samm50"</f>
        <v>Samm50</v>
      </c>
      <c r="I1497" t="s">
        <v>32</v>
      </c>
      <c r="J1497" t="s">
        <v>37</v>
      </c>
      <c r="K1497">
        <v>10090</v>
      </c>
      <c r="L1497" s="3" t="str">
        <f>HYPERLINK("http://www.uniprot.org/uniprot/Q8BGH2", "Q8BGH2")</f>
        <v>Q8BGH2</v>
      </c>
      <c r="M1497" t="s">
        <v>17607</v>
      </c>
      <c r="N1497" t="str">
        <f>"Samm50"</f>
        <v>Samm50</v>
      </c>
      <c r="O1497" s="3" t="str">
        <f>HYPERLINK("http://www.informatics.jax.org/marker/MGI:1915903", "MGI:1915903")</f>
        <v>MGI:1915903</v>
      </c>
      <c r="P1497" t="s">
        <v>17608</v>
      </c>
      <c r="Q1497" t="s">
        <v>32</v>
      </c>
      <c r="R1497" t="s">
        <v>9642</v>
      </c>
      <c r="S1497" t="s">
        <v>32</v>
      </c>
      <c r="T1497" t="s">
        <v>32</v>
      </c>
      <c r="U1497" t="s">
        <v>32</v>
      </c>
      <c r="V1497" t="s">
        <v>6327</v>
      </c>
      <c r="W1497" t="s">
        <v>32</v>
      </c>
      <c r="X1497" t="s">
        <v>32</v>
      </c>
      <c r="Y1497" t="s">
        <v>175</v>
      </c>
      <c r="Z1497" t="s">
        <v>32</v>
      </c>
      <c r="AA1497" t="s">
        <v>17609</v>
      </c>
      <c r="AB1497" t="s">
        <v>17610</v>
      </c>
      <c r="AC1497" t="s">
        <v>32</v>
      </c>
      <c r="AD1497" t="s">
        <v>32</v>
      </c>
      <c r="AE1497" t="s">
        <v>17611</v>
      </c>
      <c r="AF1497" t="s">
        <v>46835</v>
      </c>
    </row>
    <row r="1498" spans="1:33" x14ac:dyDescent="0.2">
      <c r="A1498">
        <v>1493</v>
      </c>
      <c r="B1498" t="s">
        <v>17612</v>
      </c>
      <c r="C1498" t="s">
        <v>17613</v>
      </c>
      <c r="D1498" t="s">
        <v>17614</v>
      </c>
      <c r="E1498" t="s">
        <v>17615</v>
      </c>
      <c r="F1498" t="s">
        <v>17616</v>
      </c>
      <c r="G1498" t="s">
        <v>32</v>
      </c>
      <c r="H1498" t="str">
        <f>"Map2k1"</f>
        <v>Map2k1</v>
      </c>
      <c r="I1498" t="s">
        <v>17617</v>
      </c>
      <c r="J1498" t="s">
        <v>37</v>
      </c>
      <c r="K1498">
        <v>10090</v>
      </c>
      <c r="L1498" s="3" t="str">
        <f>HYPERLINK("http://www.uniprot.org/uniprot/P31938", "P31938")</f>
        <v>P31938</v>
      </c>
      <c r="M1498" t="s">
        <v>17618</v>
      </c>
      <c r="N1498" t="str">
        <f>"Map2k1"</f>
        <v>Map2k1</v>
      </c>
      <c r="O1498" s="3" t="str">
        <f>HYPERLINK("http://www.informatics.jax.org/marker/MGI:1346866", "MGI:1346866")</f>
        <v>MGI:1346866</v>
      </c>
      <c r="P1498" t="s">
        <v>17619</v>
      </c>
      <c r="Q1498" t="s">
        <v>32</v>
      </c>
      <c r="R1498" t="s">
        <v>6797</v>
      </c>
      <c r="S1498" t="s">
        <v>32</v>
      </c>
      <c r="T1498" t="s">
        <v>32</v>
      </c>
      <c r="U1498" t="s">
        <v>32</v>
      </c>
      <c r="V1498" t="s">
        <v>32</v>
      </c>
      <c r="W1498" t="s">
        <v>205</v>
      </c>
      <c r="X1498" t="s">
        <v>16915</v>
      </c>
      <c r="Y1498" t="s">
        <v>618</v>
      </c>
      <c r="Z1498" t="s">
        <v>32</v>
      </c>
      <c r="AA1498" t="s">
        <v>17620</v>
      </c>
      <c r="AB1498" t="s">
        <v>17621</v>
      </c>
      <c r="AC1498" t="s">
        <v>17622</v>
      </c>
      <c r="AD1498" t="s">
        <v>32</v>
      </c>
      <c r="AE1498" t="s">
        <v>17623</v>
      </c>
      <c r="AF1498" t="s">
        <v>46835</v>
      </c>
    </row>
    <row r="1499" spans="1:33" x14ac:dyDescent="0.2">
      <c r="A1499">
        <v>1494</v>
      </c>
      <c r="B1499" t="s">
        <v>17624</v>
      </c>
      <c r="C1499" t="s">
        <v>17625</v>
      </c>
      <c r="D1499" t="s">
        <v>32</v>
      </c>
      <c r="E1499" t="s">
        <v>17626</v>
      </c>
      <c r="F1499" t="s">
        <v>17627</v>
      </c>
      <c r="G1499" t="s">
        <v>17628</v>
      </c>
      <c r="H1499" t="str">
        <f>"Pdhb"</f>
        <v>Pdhb</v>
      </c>
      <c r="I1499" t="s">
        <v>32</v>
      </c>
      <c r="J1499" t="s">
        <v>37</v>
      </c>
      <c r="K1499">
        <v>10090</v>
      </c>
      <c r="L1499" s="3" t="str">
        <f>HYPERLINK("http://www.uniprot.org/uniprot/Q9D051", "Q9D051")</f>
        <v>Q9D051</v>
      </c>
      <c r="M1499" t="s">
        <v>17629</v>
      </c>
      <c r="N1499" t="str">
        <f>"Pdhb"</f>
        <v>Pdhb</v>
      </c>
      <c r="O1499" s="3" t="str">
        <f>HYPERLINK("http://www.informatics.jax.org/marker/MGI:1915513", "MGI:1915513")</f>
        <v>MGI:1915513</v>
      </c>
      <c r="P1499" t="s">
        <v>13199</v>
      </c>
      <c r="Q1499" t="s">
        <v>12255</v>
      </c>
      <c r="R1499" t="s">
        <v>1038</v>
      </c>
      <c r="S1499" t="s">
        <v>32</v>
      </c>
      <c r="T1499" t="s">
        <v>32</v>
      </c>
      <c r="U1499" t="s">
        <v>32</v>
      </c>
      <c r="V1499" t="s">
        <v>1039</v>
      </c>
      <c r="W1499" t="s">
        <v>13200</v>
      </c>
      <c r="X1499" t="s">
        <v>600</v>
      </c>
      <c r="Y1499" t="s">
        <v>157</v>
      </c>
      <c r="Z1499" t="s">
        <v>32</v>
      </c>
      <c r="AA1499" t="s">
        <v>12257</v>
      </c>
      <c r="AB1499" t="s">
        <v>17630</v>
      </c>
      <c r="AC1499" t="s">
        <v>17631</v>
      </c>
      <c r="AD1499" t="s">
        <v>32</v>
      </c>
      <c r="AE1499" t="s">
        <v>12260</v>
      </c>
      <c r="AF1499" t="s">
        <v>46835</v>
      </c>
    </row>
    <row r="1500" spans="1:33" x14ac:dyDescent="0.2">
      <c r="A1500">
        <v>1495</v>
      </c>
      <c r="B1500" t="s">
        <v>17632</v>
      </c>
      <c r="C1500" t="s">
        <v>17633</v>
      </c>
      <c r="D1500" t="s">
        <v>32</v>
      </c>
      <c r="E1500" t="s">
        <v>17634</v>
      </c>
      <c r="F1500" t="s">
        <v>17635</v>
      </c>
      <c r="G1500" t="s">
        <v>17636</v>
      </c>
      <c r="H1500" t="str">
        <f>"Crim1"</f>
        <v>Crim1</v>
      </c>
      <c r="I1500" t="s">
        <v>32</v>
      </c>
      <c r="J1500" t="s">
        <v>37</v>
      </c>
      <c r="K1500">
        <v>10090</v>
      </c>
      <c r="L1500" s="3" t="str">
        <f>HYPERLINK("http://www.uniprot.org/uniprot/Q9JLL0", "Q9JLL0")</f>
        <v>Q9JLL0</v>
      </c>
      <c r="M1500" t="s">
        <v>17637</v>
      </c>
      <c r="N1500" t="str">
        <f>"Crim1"</f>
        <v>Crim1</v>
      </c>
      <c r="O1500" s="3" t="str">
        <f>HYPERLINK("http://www.informatics.jax.org/marker/MGI:1354756", "MGI:1354756")</f>
        <v>MGI:1354756</v>
      </c>
      <c r="P1500" t="s">
        <v>17638</v>
      </c>
      <c r="Q1500" t="s">
        <v>32</v>
      </c>
      <c r="R1500" t="s">
        <v>5989</v>
      </c>
      <c r="S1500" t="s">
        <v>32</v>
      </c>
      <c r="T1500" t="s">
        <v>32</v>
      </c>
      <c r="U1500" t="s">
        <v>32</v>
      </c>
      <c r="V1500" t="s">
        <v>1665</v>
      </c>
      <c r="W1500" t="s">
        <v>32</v>
      </c>
      <c r="X1500" t="s">
        <v>32</v>
      </c>
      <c r="Y1500" t="s">
        <v>4720</v>
      </c>
      <c r="Z1500" t="s">
        <v>32</v>
      </c>
      <c r="AA1500" t="s">
        <v>17639</v>
      </c>
      <c r="AB1500" t="s">
        <v>17640</v>
      </c>
      <c r="AC1500" t="s">
        <v>17641</v>
      </c>
      <c r="AD1500" t="s">
        <v>32</v>
      </c>
      <c r="AE1500" t="s">
        <v>32</v>
      </c>
      <c r="AF1500" t="s">
        <v>46835</v>
      </c>
    </row>
    <row r="1501" spans="1:33" x14ac:dyDescent="0.2">
      <c r="A1501">
        <v>1496</v>
      </c>
      <c r="B1501" t="s">
        <v>17642</v>
      </c>
      <c r="C1501" t="s">
        <v>17643</v>
      </c>
      <c r="D1501" t="s">
        <v>17644</v>
      </c>
      <c r="E1501" t="s">
        <v>17645</v>
      </c>
      <c r="F1501" t="s">
        <v>17646</v>
      </c>
      <c r="G1501" t="s">
        <v>17647</v>
      </c>
      <c r="H1501" t="str">
        <f>"Wdr61"</f>
        <v>Wdr61</v>
      </c>
      <c r="I1501" t="s">
        <v>32</v>
      </c>
      <c r="J1501" t="s">
        <v>37</v>
      </c>
      <c r="K1501">
        <v>10090</v>
      </c>
      <c r="L1501" s="3" t="str">
        <f>HYPERLINK("http://www.uniprot.org/uniprot/Q9ERF3", "Q9ERF3")</f>
        <v>Q9ERF3</v>
      </c>
      <c r="M1501" t="s">
        <v>17648</v>
      </c>
      <c r="N1501" t="str">
        <f>"Wdr61"</f>
        <v>Wdr61</v>
      </c>
      <c r="O1501" s="3" t="str">
        <f>HYPERLINK("http://www.informatics.jax.org/marker/MGI:1917493", "MGI:1917493")</f>
        <v>MGI:1917493</v>
      </c>
      <c r="P1501" t="s">
        <v>17649</v>
      </c>
      <c r="Q1501" t="s">
        <v>17650</v>
      </c>
      <c r="R1501" t="s">
        <v>40</v>
      </c>
      <c r="S1501" t="s">
        <v>32</v>
      </c>
      <c r="T1501" t="s">
        <v>32</v>
      </c>
      <c r="U1501" t="s">
        <v>32</v>
      </c>
      <c r="V1501" t="s">
        <v>1910</v>
      </c>
      <c r="W1501" t="s">
        <v>32</v>
      </c>
      <c r="X1501" t="s">
        <v>32</v>
      </c>
      <c r="Y1501" t="s">
        <v>78</v>
      </c>
      <c r="Z1501" t="s">
        <v>32</v>
      </c>
      <c r="AA1501" t="s">
        <v>17651</v>
      </c>
      <c r="AB1501" t="s">
        <v>17652</v>
      </c>
      <c r="AC1501" t="s">
        <v>32</v>
      </c>
      <c r="AD1501" t="s">
        <v>32</v>
      </c>
      <c r="AE1501" t="s">
        <v>17653</v>
      </c>
      <c r="AF1501" t="s">
        <v>46835</v>
      </c>
    </row>
    <row r="1502" spans="1:33" x14ac:dyDescent="0.2">
      <c r="A1502">
        <v>1497</v>
      </c>
      <c r="B1502" t="s">
        <v>17654</v>
      </c>
      <c r="C1502" t="s">
        <v>17655</v>
      </c>
      <c r="D1502" t="s">
        <v>17656</v>
      </c>
      <c r="E1502" t="s">
        <v>17657</v>
      </c>
      <c r="F1502" t="s">
        <v>17658</v>
      </c>
      <c r="G1502" t="s">
        <v>17659</v>
      </c>
      <c r="H1502" t="str">
        <f>"Clpp"</f>
        <v>Clpp</v>
      </c>
      <c r="I1502" t="s">
        <v>32</v>
      </c>
      <c r="J1502" t="s">
        <v>37</v>
      </c>
      <c r="K1502">
        <v>10090</v>
      </c>
      <c r="L1502" s="3" t="str">
        <f>HYPERLINK("http://www.uniprot.org/uniprot/O88696", "O88696")</f>
        <v>O88696</v>
      </c>
      <c r="M1502" t="s">
        <v>17660</v>
      </c>
      <c r="N1502" t="str">
        <f>"Clpp"</f>
        <v>Clpp</v>
      </c>
      <c r="O1502" s="3" t="str">
        <f>HYPERLINK("http://www.informatics.jax.org/marker/MGI:1858213", "MGI:1858213")</f>
        <v>MGI:1858213</v>
      </c>
      <c r="P1502" t="s">
        <v>17661</v>
      </c>
      <c r="Q1502" t="s">
        <v>32</v>
      </c>
      <c r="R1502" t="s">
        <v>1038</v>
      </c>
      <c r="S1502" t="s">
        <v>32</v>
      </c>
      <c r="T1502" t="s">
        <v>32</v>
      </c>
      <c r="U1502" t="s">
        <v>32</v>
      </c>
      <c r="V1502" t="s">
        <v>1039</v>
      </c>
      <c r="W1502" t="s">
        <v>32</v>
      </c>
      <c r="X1502" t="s">
        <v>4493</v>
      </c>
      <c r="Y1502" t="s">
        <v>78</v>
      </c>
      <c r="Z1502" t="s">
        <v>32</v>
      </c>
      <c r="AA1502" t="s">
        <v>17662</v>
      </c>
      <c r="AB1502" t="s">
        <v>17663</v>
      </c>
      <c r="AC1502" t="s">
        <v>17664</v>
      </c>
      <c r="AD1502" t="s">
        <v>32</v>
      </c>
      <c r="AE1502" t="s">
        <v>32</v>
      </c>
      <c r="AF1502" t="s">
        <v>46835</v>
      </c>
    </row>
    <row r="1503" spans="1:33" x14ac:dyDescent="0.2">
      <c r="A1503">
        <v>1498</v>
      </c>
      <c r="B1503" t="s">
        <v>17665</v>
      </c>
      <c r="C1503" t="s">
        <v>17666</v>
      </c>
      <c r="D1503" t="s">
        <v>17667</v>
      </c>
      <c r="E1503" t="s">
        <v>17668</v>
      </c>
      <c r="F1503" t="s">
        <v>17669</v>
      </c>
      <c r="G1503" t="s">
        <v>32</v>
      </c>
      <c r="H1503" t="str">
        <f>"Amt"</f>
        <v>Amt</v>
      </c>
      <c r="I1503" t="s">
        <v>32</v>
      </c>
      <c r="J1503" t="s">
        <v>37</v>
      </c>
      <c r="K1503">
        <v>10090</v>
      </c>
      <c r="L1503" s="3" t="str">
        <f>HYPERLINK("http://www.uniprot.org/uniprot/Q8CFA2", "Q8CFA2")</f>
        <v>Q8CFA2</v>
      </c>
      <c r="M1503" t="s">
        <v>17670</v>
      </c>
      <c r="N1503" t="str">
        <f>"Amt"</f>
        <v>Amt</v>
      </c>
      <c r="O1503" s="3" t="str">
        <f>HYPERLINK("http://www.informatics.jax.org/marker/MGI:3646700", "MGI:3646700")</f>
        <v>MGI:3646700</v>
      </c>
      <c r="P1503" t="s">
        <v>17671</v>
      </c>
      <c r="Q1503" t="s">
        <v>32</v>
      </c>
      <c r="R1503" t="s">
        <v>1038</v>
      </c>
      <c r="S1503" t="s">
        <v>32</v>
      </c>
      <c r="T1503" t="s">
        <v>32</v>
      </c>
      <c r="U1503" t="s">
        <v>32</v>
      </c>
      <c r="V1503" t="s">
        <v>1039</v>
      </c>
      <c r="W1503" t="s">
        <v>32</v>
      </c>
      <c r="X1503" t="s">
        <v>3374</v>
      </c>
      <c r="Y1503" t="s">
        <v>32</v>
      </c>
      <c r="Z1503" t="s">
        <v>32</v>
      </c>
      <c r="AA1503" t="s">
        <v>17672</v>
      </c>
      <c r="AB1503" t="s">
        <v>15784</v>
      </c>
      <c r="AC1503" t="s">
        <v>17673</v>
      </c>
      <c r="AD1503" t="s">
        <v>32</v>
      </c>
      <c r="AE1503" t="s">
        <v>17674</v>
      </c>
      <c r="AF1503" t="s">
        <v>46835</v>
      </c>
    </row>
    <row r="1504" spans="1:33" x14ac:dyDescent="0.2">
      <c r="A1504">
        <v>1499</v>
      </c>
      <c r="B1504" t="s">
        <v>17675</v>
      </c>
      <c r="C1504" t="s">
        <v>47178</v>
      </c>
      <c r="D1504" t="s">
        <v>32</v>
      </c>
      <c r="E1504" t="s">
        <v>46910</v>
      </c>
      <c r="F1504" t="s">
        <v>46909</v>
      </c>
      <c r="G1504" t="s">
        <v>32</v>
      </c>
      <c r="H1504" t="s">
        <v>47309</v>
      </c>
      <c r="I1504" t="s">
        <v>32</v>
      </c>
      <c r="J1504" t="s">
        <v>37</v>
      </c>
      <c r="K1504">
        <v>10090</v>
      </c>
      <c r="L1504" s="3" t="str">
        <f>HYPERLINK(CONCATENATE("https://www.uniprot.org/uniprotkb/", AG1504, "/entry"), AG1504)</f>
        <v>F8VPN4</v>
      </c>
      <c r="M1504" t="s">
        <v>32</v>
      </c>
      <c r="N1504" t="s">
        <v>32</v>
      </c>
      <c r="O1504" s="3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t="s">
        <v>32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t="s">
        <v>46835</v>
      </c>
      <c r="AG1504" t="s">
        <v>46909</v>
      </c>
    </row>
    <row r="1505" spans="1:32" x14ac:dyDescent="0.2">
      <c r="A1505">
        <v>1500</v>
      </c>
      <c r="B1505" t="s">
        <v>17676</v>
      </c>
      <c r="C1505" t="s">
        <v>17677</v>
      </c>
      <c r="D1505" t="s">
        <v>17678</v>
      </c>
      <c r="E1505" t="s">
        <v>17679</v>
      </c>
      <c r="F1505" t="s">
        <v>17680</v>
      </c>
      <c r="G1505" t="s">
        <v>17681</v>
      </c>
      <c r="H1505" t="str">
        <f>"Ndufa9"</f>
        <v>Ndufa9</v>
      </c>
      <c r="I1505" t="s">
        <v>32</v>
      </c>
      <c r="J1505" t="s">
        <v>37</v>
      </c>
      <c r="K1505">
        <v>10090</v>
      </c>
      <c r="L1505" s="3" t="str">
        <f>HYPERLINK("http://www.uniprot.org/uniprot/Q9DC69", "Q9DC69")</f>
        <v>Q9DC69</v>
      </c>
      <c r="M1505" t="s">
        <v>17682</v>
      </c>
      <c r="N1505" t="str">
        <f>"Ndufa9"</f>
        <v>Ndufa9</v>
      </c>
      <c r="O1505" s="3" t="str">
        <f>HYPERLINK("http://www.informatics.jax.org/marker/MGI:1913358", "MGI:1913358")</f>
        <v>MGI:1913358</v>
      </c>
      <c r="P1505" t="s">
        <v>17683</v>
      </c>
      <c r="Q1505" t="s">
        <v>6888</v>
      </c>
      <c r="R1505" t="s">
        <v>1038</v>
      </c>
      <c r="S1505" t="s">
        <v>32</v>
      </c>
      <c r="T1505" t="s">
        <v>32</v>
      </c>
      <c r="U1505" t="s">
        <v>32</v>
      </c>
      <c r="V1505" t="s">
        <v>1039</v>
      </c>
      <c r="W1505" t="s">
        <v>4600</v>
      </c>
      <c r="X1505" t="s">
        <v>32</v>
      </c>
      <c r="Y1505" t="s">
        <v>78</v>
      </c>
      <c r="Z1505" t="s">
        <v>126</v>
      </c>
      <c r="AA1505" t="s">
        <v>17684</v>
      </c>
      <c r="AB1505" t="s">
        <v>17685</v>
      </c>
      <c r="AC1505" t="s">
        <v>17686</v>
      </c>
      <c r="AD1505" t="s">
        <v>32</v>
      </c>
      <c r="AE1505" t="s">
        <v>10470</v>
      </c>
      <c r="AF1505" t="s">
        <v>46835</v>
      </c>
    </row>
    <row r="1506" spans="1:32" x14ac:dyDescent="0.2">
      <c r="A1506">
        <v>1501</v>
      </c>
      <c r="B1506" t="s">
        <v>17687</v>
      </c>
      <c r="C1506" t="s">
        <v>17688</v>
      </c>
      <c r="D1506" t="s">
        <v>32</v>
      </c>
      <c r="E1506" t="s">
        <v>17689</v>
      </c>
      <c r="F1506" t="s">
        <v>17690</v>
      </c>
      <c r="G1506" t="s">
        <v>17691</v>
      </c>
      <c r="H1506" t="str">
        <f>"Rab18"</f>
        <v>Rab18</v>
      </c>
      <c r="I1506" t="s">
        <v>32</v>
      </c>
      <c r="J1506" t="s">
        <v>37</v>
      </c>
      <c r="K1506">
        <v>10090</v>
      </c>
      <c r="L1506" s="3" t="str">
        <f>HYPERLINK("http://www.uniprot.org/uniprot/P35293", "P35293")</f>
        <v>P35293</v>
      </c>
      <c r="M1506" t="s">
        <v>17692</v>
      </c>
      <c r="N1506" t="str">
        <f>"Rab18"</f>
        <v>Rab18</v>
      </c>
      <c r="O1506" s="3" t="str">
        <f>HYPERLINK("http://www.informatics.jax.org/marker/MGI:102790", "MGI:102790")</f>
        <v>MGI:102790</v>
      </c>
      <c r="P1506" t="s">
        <v>17693</v>
      </c>
      <c r="Q1506" t="s">
        <v>434</v>
      </c>
      <c r="R1506" t="s">
        <v>17694</v>
      </c>
      <c r="S1506" t="s">
        <v>32</v>
      </c>
      <c r="T1506" t="s">
        <v>32</v>
      </c>
      <c r="U1506" t="s">
        <v>32</v>
      </c>
      <c r="V1506" t="s">
        <v>32</v>
      </c>
      <c r="W1506" t="s">
        <v>261</v>
      </c>
      <c r="X1506" t="s">
        <v>2029</v>
      </c>
      <c r="Y1506" t="s">
        <v>12990</v>
      </c>
      <c r="Z1506" t="s">
        <v>32</v>
      </c>
      <c r="AA1506" t="s">
        <v>17695</v>
      </c>
      <c r="AB1506" t="s">
        <v>17696</v>
      </c>
      <c r="AC1506" t="s">
        <v>15334</v>
      </c>
      <c r="AD1506" t="s">
        <v>32</v>
      </c>
      <c r="AE1506" t="s">
        <v>17697</v>
      </c>
      <c r="AF1506" t="s">
        <v>46835</v>
      </c>
    </row>
    <row r="1507" spans="1:32" x14ac:dyDescent="0.2">
      <c r="A1507">
        <v>1502</v>
      </c>
      <c r="B1507" t="s">
        <v>17698</v>
      </c>
      <c r="C1507" t="s">
        <v>17699</v>
      </c>
      <c r="D1507" t="s">
        <v>17700</v>
      </c>
      <c r="E1507" t="s">
        <v>17701</v>
      </c>
      <c r="F1507" t="s">
        <v>17702</v>
      </c>
      <c r="G1507" t="s">
        <v>32</v>
      </c>
      <c r="H1507" t="str">
        <f>"Smap"</f>
        <v>Smap</v>
      </c>
      <c r="I1507" t="s">
        <v>17703</v>
      </c>
      <c r="J1507" t="s">
        <v>37</v>
      </c>
      <c r="K1507">
        <v>10090</v>
      </c>
      <c r="L1507" s="3" t="str">
        <f>HYPERLINK("http://www.uniprot.org/uniprot/Q9R0P4", "Q9R0P4")</f>
        <v>Q9R0P4</v>
      </c>
      <c r="M1507" t="s">
        <v>17704</v>
      </c>
      <c r="N1507" t="str">
        <f>"1110004F10Rik"</f>
        <v>1110004F10Rik</v>
      </c>
      <c r="O1507" s="3" t="str">
        <f>HYPERLINK("http://www.informatics.jax.org/marker/MGI:1929274", "MGI:1929274")</f>
        <v>MGI:1929274</v>
      </c>
      <c r="P1507" t="s">
        <v>516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t="s">
        <v>516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t="s">
        <v>46835</v>
      </c>
    </row>
    <row r="1508" spans="1:32" x14ac:dyDescent="0.2">
      <c r="A1508">
        <v>1503</v>
      </c>
      <c r="B1508" t="s">
        <v>17705</v>
      </c>
      <c r="C1508" t="s">
        <v>17706</v>
      </c>
      <c r="D1508" t="s">
        <v>17707</v>
      </c>
      <c r="E1508" t="s">
        <v>17708</v>
      </c>
      <c r="F1508" t="s">
        <v>17709</v>
      </c>
      <c r="G1508" t="s">
        <v>17710</v>
      </c>
      <c r="H1508" t="str">
        <f>"Ivd"</f>
        <v>Ivd</v>
      </c>
      <c r="I1508" t="s">
        <v>32</v>
      </c>
      <c r="J1508" t="s">
        <v>37</v>
      </c>
      <c r="K1508">
        <v>10090</v>
      </c>
      <c r="L1508" s="3" t="str">
        <f>HYPERLINK("http://www.uniprot.org/uniprot/Q9JHI5", "Q9JHI5")</f>
        <v>Q9JHI5</v>
      </c>
      <c r="M1508" t="s">
        <v>17711</v>
      </c>
      <c r="N1508" t="str">
        <f>"Ivd"</f>
        <v>Ivd</v>
      </c>
      <c r="O1508" s="3" t="str">
        <f>HYPERLINK("http://www.informatics.jax.org/marker/MGI:1929242", "MGI:1929242")</f>
        <v>MGI:1929242</v>
      </c>
      <c r="P1508" t="s">
        <v>17712</v>
      </c>
      <c r="Q1508" t="s">
        <v>32</v>
      </c>
      <c r="R1508" t="s">
        <v>1038</v>
      </c>
      <c r="S1508" t="s">
        <v>32</v>
      </c>
      <c r="T1508" t="s">
        <v>32</v>
      </c>
      <c r="U1508" t="s">
        <v>32</v>
      </c>
      <c r="V1508" t="s">
        <v>1039</v>
      </c>
      <c r="W1508" t="s">
        <v>4600</v>
      </c>
      <c r="X1508" t="s">
        <v>600</v>
      </c>
      <c r="Y1508" t="s">
        <v>78</v>
      </c>
      <c r="Z1508" t="s">
        <v>32</v>
      </c>
      <c r="AA1508" t="s">
        <v>17713</v>
      </c>
      <c r="AB1508" t="s">
        <v>17714</v>
      </c>
      <c r="AC1508" t="s">
        <v>17715</v>
      </c>
      <c r="AD1508" t="s">
        <v>17716</v>
      </c>
      <c r="AE1508" t="s">
        <v>8652</v>
      </c>
      <c r="AF1508" t="s">
        <v>46835</v>
      </c>
    </row>
    <row r="1509" spans="1:32" x14ac:dyDescent="0.2">
      <c r="A1509">
        <v>1504</v>
      </c>
      <c r="B1509" t="s">
        <v>17717</v>
      </c>
      <c r="C1509" t="s">
        <v>17718</v>
      </c>
      <c r="D1509" t="s">
        <v>17719</v>
      </c>
      <c r="E1509" t="s">
        <v>17720</v>
      </c>
      <c r="F1509" t="s">
        <v>17721</v>
      </c>
      <c r="G1509" t="s">
        <v>17722</v>
      </c>
      <c r="H1509" t="str">
        <f>"Rock2"</f>
        <v>Rock2</v>
      </c>
      <c r="I1509" t="s">
        <v>32</v>
      </c>
      <c r="J1509" t="s">
        <v>37</v>
      </c>
      <c r="K1509">
        <v>10090</v>
      </c>
      <c r="L1509" s="3" t="str">
        <f>HYPERLINK("http://www.uniprot.org/uniprot/P70336", "P70336")</f>
        <v>P70336</v>
      </c>
      <c r="M1509" t="s">
        <v>17723</v>
      </c>
      <c r="N1509" t="str">
        <f>"Rock2"</f>
        <v>Rock2</v>
      </c>
      <c r="O1509" s="3" t="str">
        <f>HYPERLINK("http://www.informatics.jax.org/marker/MGI:107926", "MGI:107926")</f>
        <v>MGI:107926</v>
      </c>
      <c r="P1509" t="s">
        <v>17724</v>
      </c>
      <c r="Q1509" t="s">
        <v>9465</v>
      </c>
      <c r="R1509" t="s">
        <v>17725</v>
      </c>
      <c r="S1509" t="s">
        <v>41</v>
      </c>
      <c r="T1509" t="s">
        <v>32</v>
      </c>
      <c r="U1509" t="s">
        <v>32</v>
      </c>
      <c r="V1509" t="s">
        <v>11171</v>
      </c>
      <c r="W1509" t="s">
        <v>17726</v>
      </c>
      <c r="X1509" t="s">
        <v>5419</v>
      </c>
      <c r="Y1509" t="s">
        <v>618</v>
      </c>
      <c r="Z1509" t="s">
        <v>32</v>
      </c>
      <c r="AA1509" t="s">
        <v>17727</v>
      </c>
      <c r="AB1509" t="s">
        <v>17728</v>
      </c>
      <c r="AC1509" t="s">
        <v>17729</v>
      </c>
      <c r="AD1509" t="s">
        <v>32</v>
      </c>
      <c r="AE1509" t="s">
        <v>17730</v>
      </c>
      <c r="AF1509" t="s">
        <v>46835</v>
      </c>
    </row>
    <row r="1510" spans="1:32" x14ac:dyDescent="0.2">
      <c r="A1510">
        <v>1505</v>
      </c>
      <c r="B1510" t="s">
        <v>17731</v>
      </c>
      <c r="C1510" t="s">
        <v>17732</v>
      </c>
      <c r="D1510" t="s">
        <v>17733</v>
      </c>
      <c r="E1510" t="s">
        <v>17734</v>
      </c>
      <c r="F1510" t="s">
        <v>17735</v>
      </c>
      <c r="G1510" t="s">
        <v>17736</v>
      </c>
      <c r="H1510" t="str">
        <f>"Ctsb"</f>
        <v>Ctsb</v>
      </c>
      <c r="I1510" t="s">
        <v>32</v>
      </c>
      <c r="J1510" t="s">
        <v>37</v>
      </c>
      <c r="K1510">
        <v>10090</v>
      </c>
      <c r="L1510" s="3" t="str">
        <f>HYPERLINK("http://www.uniprot.org/uniprot/P10605", "P10605")</f>
        <v>P10605</v>
      </c>
      <c r="M1510" t="s">
        <v>17737</v>
      </c>
      <c r="N1510" t="str">
        <f>"Ctsb"</f>
        <v>Ctsb</v>
      </c>
      <c r="O1510" s="3" t="str">
        <f>HYPERLINK("http://www.informatics.jax.org/marker/MGI:88561", "MGI:88561")</f>
        <v>MGI:88561</v>
      </c>
      <c r="P1510" t="s">
        <v>17738</v>
      </c>
      <c r="Q1510" t="s">
        <v>32</v>
      </c>
      <c r="R1510" t="s">
        <v>17739</v>
      </c>
      <c r="S1510" t="s">
        <v>32</v>
      </c>
      <c r="T1510" t="s">
        <v>32</v>
      </c>
      <c r="U1510" t="s">
        <v>32</v>
      </c>
      <c r="V1510" t="s">
        <v>811</v>
      </c>
      <c r="W1510" t="s">
        <v>32</v>
      </c>
      <c r="X1510" t="s">
        <v>557</v>
      </c>
      <c r="Y1510" t="s">
        <v>17740</v>
      </c>
      <c r="Z1510" t="s">
        <v>32</v>
      </c>
      <c r="AA1510" t="s">
        <v>17741</v>
      </c>
      <c r="AB1510" t="s">
        <v>17742</v>
      </c>
      <c r="AC1510" t="s">
        <v>17743</v>
      </c>
      <c r="AD1510" t="s">
        <v>32</v>
      </c>
      <c r="AE1510" t="s">
        <v>17744</v>
      </c>
      <c r="AF1510" t="s">
        <v>46835</v>
      </c>
    </row>
    <row r="1511" spans="1:32" x14ac:dyDescent="0.2">
      <c r="A1511">
        <v>1506</v>
      </c>
      <c r="B1511" t="s">
        <v>17745</v>
      </c>
      <c r="C1511" t="s">
        <v>17746</v>
      </c>
      <c r="D1511" t="s">
        <v>17747</v>
      </c>
      <c r="E1511" t="s">
        <v>17748</v>
      </c>
      <c r="F1511" t="s">
        <v>17749</v>
      </c>
      <c r="G1511" t="s">
        <v>17750</v>
      </c>
      <c r="H1511" t="str">
        <f>"Oxct1"</f>
        <v>Oxct1</v>
      </c>
      <c r="I1511" t="s">
        <v>17751</v>
      </c>
      <c r="J1511" t="s">
        <v>37</v>
      </c>
      <c r="K1511">
        <v>10090</v>
      </c>
      <c r="L1511" s="3" t="str">
        <f>HYPERLINK("http://www.uniprot.org/uniprot/Q9D0K2", "Q9D0K2")</f>
        <v>Q9D0K2</v>
      </c>
      <c r="M1511" t="s">
        <v>17752</v>
      </c>
      <c r="N1511" t="str">
        <f>"Oxct1"</f>
        <v>Oxct1</v>
      </c>
      <c r="O1511" s="3" t="str">
        <f>HYPERLINK("http://www.informatics.jax.org/marker/MGI:1914291", "MGI:1914291")</f>
        <v>MGI:1914291</v>
      </c>
      <c r="P1511" t="s">
        <v>17753</v>
      </c>
      <c r="Q1511" t="s">
        <v>598</v>
      </c>
      <c r="R1511" t="s">
        <v>1038</v>
      </c>
      <c r="S1511" t="s">
        <v>32</v>
      </c>
      <c r="T1511" t="s">
        <v>32</v>
      </c>
      <c r="U1511" t="s">
        <v>32</v>
      </c>
      <c r="V1511" t="s">
        <v>1039</v>
      </c>
      <c r="W1511" t="s">
        <v>32</v>
      </c>
      <c r="X1511" t="s">
        <v>515</v>
      </c>
      <c r="Y1511" t="s">
        <v>618</v>
      </c>
      <c r="Z1511" t="s">
        <v>32</v>
      </c>
      <c r="AA1511" t="s">
        <v>17754</v>
      </c>
      <c r="AB1511" t="s">
        <v>3721</v>
      </c>
      <c r="AC1511" t="s">
        <v>17755</v>
      </c>
      <c r="AD1511" t="s">
        <v>17756</v>
      </c>
      <c r="AE1511" t="s">
        <v>17757</v>
      </c>
      <c r="AF1511" t="s">
        <v>46835</v>
      </c>
    </row>
    <row r="1512" spans="1:32" x14ac:dyDescent="0.2">
      <c r="A1512">
        <v>1507</v>
      </c>
      <c r="B1512" t="s">
        <v>17758</v>
      </c>
      <c r="C1512" t="s">
        <v>17759</v>
      </c>
      <c r="D1512" t="s">
        <v>17760</v>
      </c>
      <c r="E1512" t="s">
        <v>17761</v>
      </c>
      <c r="F1512" t="s">
        <v>17762</v>
      </c>
      <c r="G1512" t="s">
        <v>17763</v>
      </c>
      <c r="H1512" t="str">
        <f>"Kif3a"</f>
        <v>Kif3a</v>
      </c>
      <c r="I1512" t="s">
        <v>17764</v>
      </c>
      <c r="J1512" t="s">
        <v>37</v>
      </c>
      <c r="K1512">
        <v>10090</v>
      </c>
      <c r="L1512" s="3" t="str">
        <f>HYPERLINK("http://www.uniprot.org/uniprot/P28741", "P28741")</f>
        <v>P28741</v>
      </c>
      <c r="M1512" t="s">
        <v>17765</v>
      </c>
      <c r="N1512" t="str">
        <f>"Kif3a"</f>
        <v>Kif3a</v>
      </c>
      <c r="O1512" s="3" t="str">
        <f>HYPERLINK("http://www.informatics.jax.org/marker/MGI:107689", "MGI:107689")</f>
        <v>MGI:107689</v>
      </c>
      <c r="P1512" t="s">
        <v>17766</v>
      </c>
      <c r="Q1512" t="s">
        <v>475</v>
      </c>
      <c r="R1512" t="s">
        <v>17767</v>
      </c>
      <c r="S1512" t="s">
        <v>32</v>
      </c>
      <c r="T1512" t="s">
        <v>32</v>
      </c>
      <c r="U1512" t="s">
        <v>32</v>
      </c>
      <c r="V1512" t="s">
        <v>290</v>
      </c>
      <c r="W1512" t="s">
        <v>205</v>
      </c>
      <c r="X1512" t="s">
        <v>830</v>
      </c>
      <c r="Y1512" t="s">
        <v>618</v>
      </c>
      <c r="Z1512" t="s">
        <v>126</v>
      </c>
      <c r="AA1512" t="s">
        <v>17768</v>
      </c>
      <c r="AB1512" t="s">
        <v>17769</v>
      </c>
      <c r="AC1512" t="s">
        <v>17770</v>
      </c>
      <c r="AD1512" t="s">
        <v>32</v>
      </c>
      <c r="AE1512" t="s">
        <v>17771</v>
      </c>
      <c r="AF1512" t="s">
        <v>46835</v>
      </c>
    </row>
    <row r="1513" spans="1:32" x14ac:dyDescent="0.2">
      <c r="A1513">
        <v>1508</v>
      </c>
      <c r="B1513" t="s">
        <v>17772</v>
      </c>
      <c r="C1513" t="s">
        <v>17773</v>
      </c>
      <c r="D1513" t="s">
        <v>17774</v>
      </c>
      <c r="E1513" t="s">
        <v>17775</v>
      </c>
      <c r="F1513" t="s">
        <v>17776</v>
      </c>
      <c r="G1513" t="s">
        <v>17777</v>
      </c>
      <c r="H1513" t="str">
        <f>"Uqcrh"</f>
        <v>Uqcrh</v>
      </c>
      <c r="I1513" t="s">
        <v>32</v>
      </c>
      <c r="J1513" t="s">
        <v>37</v>
      </c>
      <c r="K1513">
        <v>10090</v>
      </c>
      <c r="L1513" s="3" t="str">
        <f>HYPERLINK("http://www.uniprot.org/uniprot/P99028", "P99028")</f>
        <v>P99028</v>
      </c>
      <c r="M1513" t="s">
        <v>17778</v>
      </c>
      <c r="N1513" t="str">
        <f>"Uqcrh"</f>
        <v>Uqcrh</v>
      </c>
      <c r="O1513" s="3" t="str">
        <f>HYPERLINK("http://www.informatics.jax.org/marker/MGI:1913826", "MGI:1913826")</f>
        <v>MGI:1913826</v>
      </c>
      <c r="P1513" t="s">
        <v>17779</v>
      </c>
      <c r="Q1513" t="s">
        <v>6888</v>
      </c>
      <c r="R1513" t="s">
        <v>3858</v>
      </c>
      <c r="S1513" t="s">
        <v>32</v>
      </c>
      <c r="T1513" t="s">
        <v>32</v>
      </c>
      <c r="U1513" t="s">
        <v>32</v>
      </c>
      <c r="V1513" t="s">
        <v>1039</v>
      </c>
      <c r="W1513" t="s">
        <v>32</v>
      </c>
      <c r="X1513" t="s">
        <v>32</v>
      </c>
      <c r="Y1513" t="s">
        <v>8737</v>
      </c>
      <c r="Z1513" t="s">
        <v>126</v>
      </c>
      <c r="AA1513" t="s">
        <v>13076</v>
      </c>
      <c r="AB1513" t="s">
        <v>13077</v>
      </c>
      <c r="AC1513" t="s">
        <v>9779</v>
      </c>
      <c r="AD1513" t="s">
        <v>32</v>
      </c>
      <c r="AE1513" t="s">
        <v>4604</v>
      </c>
      <c r="AF1513" t="s">
        <v>46835</v>
      </c>
    </row>
    <row r="1514" spans="1:32" x14ac:dyDescent="0.2">
      <c r="A1514">
        <v>1509</v>
      </c>
      <c r="B1514" t="s">
        <v>17780</v>
      </c>
      <c r="C1514" t="s">
        <v>17781</v>
      </c>
      <c r="D1514" t="s">
        <v>17782</v>
      </c>
      <c r="E1514" t="s">
        <v>17783</v>
      </c>
      <c r="F1514" t="s">
        <v>17784</v>
      </c>
      <c r="G1514" t="s">
        <v>17785</v>
      </c>
      <c r="H1514" t="str">
        <f>"Adss2"</f>
        <v>Adss2</v>
      </c>
      <c r="I1514" t="s">
        <v>17786</v>
      </c>
      <c r="J1514" t="s">
        <v>37</v>
      </c>
      <c r="K1514">
        <v>10090</v>
      </c>
      <c r="L1514" s="3" t="str">
        <f>HYPERLINK("http://www.uniprot.org/uniprot/P46664", "P46664")</f>
        <v>P46664</v>
      </c>
      <c r="M1514" t="s">
        <v>17787</v>
      </c>
      <c r="N1514" t="str">
        <f>"Adss"</f>
        <v>Adss</v>
      </c>
      <c r="O1514" s="3" t="str">
        <f>HYPERLINK("http://www.informatics.jax.org/marker/MGI:87948", "MGI:87948")</f>
        <v>MGI:87948</v>
      </c>
      <c r="P1514" t="s">
        <v>17788</v>
      </c>
      <c r="Q1514" t="s">
        <v>2203</v>
      </c>
      <c r="R1514" t="s">
        <v>1842</v>
      </c>
      <c r="S1514" t="s">
        <v>32</v>
      </c>
      <c r="T1514" t="s">
        <v>32</v>
      </c>
      <c r="U1514" t="s">
        <v>32</v>
      </c>
      <c r="V1514" t="s">
        <v>32</v>
      </c>
      <c r="W1514" t="s">
        <v>342</v>
      </c>
      <c r="X1514" t="s">
        <v>1022</v>
      </c>
      <c r="Y1514" t="s">
        <v>32</v>
      </c>
      <c r="Z1514" t="s">
        <v>32</v>
      </c>
      <c r="AA1514" t="s">
        <v>17789</v>
      </c>
      <c r="AB1514" t="s">
        <v>3903</v>
      </c>
      <c r="AC1514" t="s">
        <v>17790</v>
      </c>
      <c r="AD1514" t="s">
        <v>17791</v>
      </c>
      <c r="AE1514" t="s">
        <v>2209</v>
      </c>
      <c r="AF1514" t="s">
        <v>46835</v>
      </c>
    </row>
    <row r="1515" spans="1:32" x14ac:dyDescent="0.2">
      <c r="A1515">
        <v>1510</v>
      </c>
      <c r="B1515" t="s">
        <v>17792</v>
      </c>
      <c r="C1515" t="s">
        <v>17793</v>
      </c>
      <c r="D1515" t="s">
        <v>17794</v>
      </c>
      <c r="E1515" t="s">
        <v>17795</v>
      </c>
      <c r="F1515" t="s">
        <v>17796</v>
      </c>
      <c r="G1515" t="s">
        <v>17797</v>
      </c>
      <c r="H1515" t="str">
        <f>"Pdcd4"</f>
        <v>Pdcd4</v>
      </c>
      <c r="I1515" t="s">
        <v>17798</v>
      </c>
      <c r="J1515" t="s">
        <v>37</v>
      </c>
      <c r="K1515">
        <v>10090</v>
      </c>
      <c r="L1515" s="3" t="str">
        <f>HYPERLINK("http://www.uniprot.org/uniprot/Q61823", "Q61823")</f>
        <v>Q61823</v>
      </c>
      <c r="M1515" t="s">
        <v>17799</v>
      </c>
      <c r="N1515" t="str">
        <f>"Pdcd4"</f>
        <v>Pdcd4</v>
      </c>
      <c r="O1515" s="3" t="str">
        <f>HYPERLINK("http://www.informatics.jax.org/marker/MGI:107490", "MGI:107490")</f>
        <v>MGI:107490</v>
      </c>
      <c r="P1515" t="s">
        <v>17800</v>
      </c>
      <c r="Q1515" t="s">
        <v>541</v>
      </c>
      <c r="R1515" t="s">
        <v>40</v>
      </c>
      <c r="S1515" t="s">
        <v>32</v>
      </c>
      <c r="T1515" t="s">
        <v>32</v>
      </c>
      <c r="U1515" t="s">
        <v>1636</v>
      </c>
      <c r="V1515" t="s">
        <v>55</v>
      </c>
      <c r="W1515" t="s">
        <v>32</v>
      </c>
      <c r="X1515" t="s">
        <v>1282</v>
      </c>
      <c r="Y1515" t="s">
        <v>1023</v>
      </c>
      <c r="Z1515" t="s">
        <v>126</v>
      </c>
      <c r="AA1515" t="s">
        <v>17801</v>
      </c>
      <c r="AB1515" t="s">
        <v>4218</v>
      </c>
      <c r="AC1515" t="s">
        <v>4711</v>
      </c>
      <c r="AD1515" t="s">
        <v>32</v>
      </c>
      <c r="AE1515" t="s">
        <v>32</v>
      </c>
      <c r="AF1515" t="s">
        <v>46835</v>
      </c>
    </row>
    <row r="1516" spans="1:32" x14ac:dyDescent="0.2">
      <c r="A1516">
        <v>1511</v>
      </c>
      <c r="B1516" t="s">
        <v>17802</v>
      </c>
      <c r="C1516" t="s">
        <v>17803</v>
      </c>
      <c r="D1516" t="s">
        <v>17804</v>
      </c>
      <c r="E1516" t="s">
        <v>17805</v>
      </c>
      <c r="F1516" t="s">
        <v>17806</v>
      </c>
      <c r="G1516" t="s">
        <v>17807</v>
      </c>
      <c r="H1516" t="str">
        <f>"Aldh1a3"</f>
        <v>Aldh1a3</v>
      </c>
      <c r="I1516" t="s">
        <v>17808</v>
      </c>
      <c r="J1516" t="s">
        <v>37</v>
      </c>
      <c r="K1516">
        <v>10090</v>
      </c>
      <c r="L1516" s="3" t="str">
        <f>HYPERLINK("http://www.uniprot.org/uniprot/Q9JHW9", "Q9JHW9")</f>
        <v>Q9JHW9</v>
      </c>
      <c r="M1516" t="s">
        <v>17809</v>
      </c>
      <c r="N1516" t="str">
        <f>"Aldh1a3"</f>
        <v>Aldh1a3</v>
      </c>
      <c r="O1516" s="3" t="str">
        <f>HYPERLINK("http://www.informatics.jax.org/marker/MGI:1861722", "MGI:1861722")</f>
        <v>MGI:1861722</v>
      </c>
      <c r="P1516" t="s">
        <v>17810</v>
      </c>
      <c r="Q1516" t="s">
        <v>598</v>
      </c>
      <c r="R1516" t="s">
        <v>418</v>
      </c>
      <c r="S1516" t="s">
        <v>32</v>
      </c>
      <c r="T1516" t="s">
        <v>32</v>
      </c>
      <c r="U1516" t="s">
        <v>32</v>
      </c>
      <c r="V1516" t="s">
        <v>32</v>
      </c>
      <c r="W1516" t="s">
        <v>325</v>
      </c>
      <c r="X1516" t="s">
        <v>600</v>
      </c>
      <c r="Y1516" t="s">
        <v>78</v>
      </c>
      <c r="Z1516" t="s">
        <v>32</v>
      </c>
      <c r="AA1516" t="s">
        <v>17811</v>
      </c>
      <c r="AB1516" t="s">
        <v>2172</v>
      </c>
      <c r="AC1516" t="s">
        <v>17812</v>
      </c>
      <c r="AD1516" t="s">
        <v>17813</v>
      </c>
      <c r="AE1516" t="s">
        <v>17814</v>
      </c>
      <c r="AF1516" t="s">
        <v>46835</v>
      </c>
    </row>
    <row r="1517" spans="1:32" x14ac:dyDescent="0.2">
      <c r="A1517">
        <v>1512</v>
      </c>
      <c r="B1517" t="s">
        <v>17815</v>
      </c>
      <c r="C1517" t="s">
        <v>17816</v>
      </c>
      <c r="D1517" t="s">
        <v>17817</v>
      </c>
      <c r="E1517" t="s">
        <v>17818</v>
      </c>
      <c r="F1517" t="s">
        <v>17819</v>
      </c>
      <c r="G1517" t="s">
        <v>17820</v>
      </c>
      <c r="H1517" t="str">
        <f>"Ndufa8"</f>
        <v>Ndufa8</v>
      </c>
      <c r="I1517" t="s">
        <v>32</v>
      </c>
      <c r="J1517" t="s">
        <v>37</v>
      </c>
      <c r="K1517">
        <v>10090</v>
      </c>
      <c r="L1517" s="3" t="str">
        <f>HYPERLINK("http://www.uniprot.org/uniprot/Q9DCJ5", "Q9DCJ5")</f>
        <v>Q9DCJ5</v>
      </c>
      <c r="M1517" t="s">
        <v>17821</v>
      </c>
      <c r="N1517" t="str">
        <f>"Ndufa8"</f>
        <v>Ndufa8</v>
      </c>
      <c r="O1517" s="3" t="str">
        <f>HYPERLINK("http://www.informatics.jax.org/marker/MGI:1915625", "MGI:1915625")</f>
        <v>MGI:1915625</v>
      </c>
      <c r="P1517" t="s">
        <v>17822</v>
      </c>
      <c r="Q1517" t="s">
        <v>6888</v>
      </c>
      <c r="R1517" t="s">
        <v>3858</v>
      </c>
      <c r="S1517" t="s">
        <v>32</v>
      </c>
      <c r="T1517" t="s">
        <v>32</v>
      </c>
      <c r="U1517" t="s">
        <v>32</v>
      </c>
      <c r="V1517" t="s">
        <v>55</v>
      </c>
      <c r="W1517" t="s">
        <v>32</v>
      </c>
      <c r="X1517" t="s">
        <v>32</v>
      </c>
      <c r="Y1517" t="s">
        <v>494</v>
      </c>
      <c r="Z1517" t="s">
        <v>126</v>
      </c>
      <c r="AA1517" t="s">
        <v>10890</v>
      </c>
      <c r="AB1517" t="s">
        <v>17823</v>
      </c>
      <c r="AC1517" t="s">
        <v>9779</v>
      </c>
      <c r="AD1517" t="s">
        <v>32</v>
      </c>
      <c r="AE1517" t="s">
        <v>10470</v>
      </c>
      <c r="AF1517" t="s">
        <v>46835</v>
      </c>
    </row>
    <row r="1518" spans="1:32" x14ac:dyDescent="0.2">
      <c r="A1518">
        <v>1513</v>
      </c>
      <c r="B1518" t="s">
        <v>17824</v>
      </c>
      <c r="C1518" t="s">
        <v>17825</v>
      </c>
      <c r="D1518" t="s">
        <v>17826</v>
      </c>
      <c r="E1518" t="s">
        <v>17827</v>
      </c>
      <c r="F1518" t="s">
        <v>17828</v>
      </c>
      <c r="G1518" t="s">
        <v>17829</v>
      </c>
      <c r="H1518" t="str">
        <f>"Hnrnph2"</f>
        <v>Hnrnph2</v>
      </c>
      <c r="I1518" t="s">
        <v>17830</v>
      </c>
      <c r="J1518" t="s">
        <v>37</v>
      </c>
      <c r="K1518">
        <v>10090</v>
      </c>
      <c r="L1518" s="3" t="str">
        <f>HYPERLINK("http://www.uniprot.org/uniprot/P70333", "P70333")</f>
        <v>P70333</v>
      </c>
      <c r="M1518" t="s">
        <v>17831</v>
      </c>
      <c r="N1518" t="str">
        <f>"Hnrnph2"</f>
        <v>Hnrnph2</v>
      </c>
      <c r="O1518" s="3" t="str">
        <f>HYPERLINK("http://www.informatics.jax.org/marker/MGI:1201779", "MGI:1201779")</f>
        <v>MGI:1201779</v>
      </c>
      <c r="P1518" t="s">
        <v>3003</v>
      </c>
      <c r="Q1518" t="s">
        <v>32</v>
      </c>
      <c r="R1518" t="s">
        <v>2279</v>
      </c>
      <c r="S1518" t="s">
        <v>32</v>
      </c>
      <c r="T1518" t="s">
        <v>32</v>
      </c>
      <c r="U1518" t="s">
        <v>32</v>
      </c>
      <c r="V1518" t="s">
        <v>55</v>
      </c>
      <c r="W1518" t="s">
        <v>32</v>
      </c>
      <c r="X1518" t="s">
        <v>1129</v>
      </c>
      <c r="Y1518" t="s">
        <v>207</v>
      </c>
      <c r="Z1518" t="s">
        <v>32</v>
      </c>
      <c r="AA1518" t="s">
        <v>17832</v>
      </c>
      <c r="AB1518" t="s">
        <v>17833</v>
      </c>
      <c r="AC1518" t="s">
        <v>4711</v>
      </c>
      <c r="AD1518" t="s">
        <v>32</v>
      </c>
      <c r="AE1518" t="s">
        <v>946</v>
      </c>
      <c r="AF1518" t="s">
        <v>46835</v>
      </c>
    </row>
    <row r="1519" spans="1:32" x14ac:dyDescent="0.2">
      <c r="A1519">
        <v>1514</v>
      </c>
      <c r="B1519" t="s">
        <v>17834</v>
      </c>
      <c r="C1519" t="s">
        <v>17835</v>
      </c>
      <c r="D1519" t="s">
        <v>17836</v>
      </c>
      <c r="E1519" t="s">
        <v>17837</v>
      </c>
      <c r="F1519" t="s">
        <v>17838</v>
      </c>
      <c r="G1519" t="s">
        <v>17839</v>
      </c>
      <c r="H1519" t="str">
        <f>"Fkbp10"</f>
        <v>Fkbp10</v>
      </c>
      <c r="I1519" t="s">
        <v>17840</v>
      </c>
      <c r="J1519" t="s">
        <v>37</v>
      </c>
      <c r="K1519">
        <v>10090</v>
      </c>
      <c r="L1519" s="3" t="str">
        <f>HYPERLINK("http://www.uniprot.org/uniprot/Q61576", "Q61576")</f>
        <v>Q61576</v>
      </c>
      <c r="M1519" t="s">
        <v>17841</v>
      </c>
      <c r="N1519" t="str">
        <f>"Fkbp10"</f>
        <v>Fkbp10</v>
      </c>
      <c r="O1519" s="3" t="str">
        <f>HYPERLINK("http://www.informatics.jax.org/marker/MGI:104769", "MGI:104769")</f>
        <v>MGI:104769</v>
      </c>
      <c r="P1519" t="s">
        <v>11431</v>
      </c>
      <c r="Q1519" t="s">
        <v>32</v>
      </c>
      <c r="R1519" t="s">
        <v>671</v>
      </c>
      <c r="S1519" t="s">
        <v>32</v>
      </c>
      <c r="T1519" t="s">
        <v>32</v>
      </c>
      <c r="U1519" t="s">
        <v>32</v>
      </c>
      <c r="V1519" t="s">
        <v>478</v>
      </c>
      <c r="W1519" t="s">
        <v>188</v>
      </c>
      <c r="X1519" t="s">
        <v>543</v>
      </c>
      <c r="Y1519" t="s">
        <v>4720</v>
      </c>
      <c r="Z1519" t="s">
        <v>32</v>
      </c>
      <c r="AA1519" t="s">
        <v>17842</v>
      </c>
      <c r="AB1519" t="s">
        <v>17843</v>
      </c>
      <c r="AC1519" t="s">
        <v>17844</v>
      </c>
      <c r="AD1519" t="s">
        <v>32</v>
      </c>
      <c r="AE1519" t="s">
        <v>32</v>
      </c>
      <c r="AF1519" t="s">
        <v>46835</v>
      </c>
    </row>
    <row r="1520" spans="1:32" x14ac:dyDescent="0.2">
      <c r="A1520">
        <v>1515</v>
      </c>
      <c r="B1520" t="s">
        <v>17845</v>
      </c>
      <c r="C1520" t="s">
        <v>17846</v>
      </c>
      <c r="D1520" t="s">
        <v>32</v>
      </c>
      <c r="E1520" t="s">
        <v>17847</v>
      </c>
      <c r="F1520" t="s">
        <v>17848</v>
      </c>
      <c r="G1520" t="s">
        <v>17849</v>
      </c>
      <c r="H1520" t="str">
        <f>"Sfxn1"</f>
        <v>Sfxn1</v>
      </c>
      <c r="I1520" t="s">
        <v>32</v>
      </c>
      <c r="J1520" t="s">
        <v>37</v>
      </c>
      <c r="K1520">
        <v>10090</v>
      </c>
      <c r="L1520" s="3" t="str">
        <f>HYPERLINK("http://www.uniprot.org/uniprot/Q99JR1", "Q99JR1")</f>
        <v>Q99JR1</v>
      </c>
      <c r="M1520" t="s">
        <v>17850</v>
      </c>
      <c r="N1520" t="str">
        <f>"Sfxn1"</f>
        <v>Sfxn1</v>
      </c>
      <c r="O1520" s="3" t="str">
        <f>HYPERLINK("http://www.informatics.jax.org/marker/MGI:2137677", "MGI:2137677")</f>
        <v>MGI:2137677</v>
      </c>
      <c r="P1520" t="s">
        <v>17851</v>
      </c>
      <c r="Q1520" t="s">
        <v>17852</v>
      </c>
      <c r="R1520" t="s">
        <v>3858</v>
      </c>
      <c r="S1520" t="s">
        <v>32</v>
      </c>
      <c r="T1520" t="s">
        <v>32</v>
      </c>
      <c r="U1520" t="s">
        <v>32</v>
      </c>
      <c r="V1520" t="s">
        <v>493</v>
      </c>
      <c r="W1520" t="s">
        <v>32</v>
      </c>
      <c r="X1520" t="s">
        <v>32</v>
      </c>
      <c r="Y1520" t="s">
        <v>78</v>
      </c>
      <c r="Z1520" t="s">
        <v>32</v>
      </c>
      <c r="AA1520" t="s">
        <v>17853</v>
      </c>
      <c r="AB1520" t="s">
        <v>17854</v>
      </c>
      <c r="AC1520" t="s">
        <v>17855</v>
      </c>
      <c r="AD1520" t="s">
        <v>32</v>
      </c>
      <c r="AE1520" t="s">
        <v>32</v>
      </c>
      <c r="AF1520" t="s">
        <v>46835</v>
      </c>
    </row>
    <row r="1521" spans="1:32" x14ac:dyDescent="0.2">
      <c r="A1521">
        <v>1516</v>
      </c>
      <c r="B1521" t="s">
        <v>17856</v>
      </c>
      <c r="C1521" t="s">
        <v>17857</v>
      </c>
      <c r="D1521" t="s">
        <v>17858</v>
      </c>
      <c r="E1521" t="s">
        <v>17859</v>
      </c>
      <c r="F1521" t="s">
        <v>17860</v>
      </c>
      <c r="G1521" t="s">
        <v>17861</v>
      </c>
      <c r="H1521" t="str">
        <f>"Rbbp9"</f>
        <v>Rbbp9</v>
      </c>
      <c r="I1521" t="s">
        <v>17862</v>
      </c>
      <c r="J1521" t="s">
        <v>37</v>
      </c>
      <c r="K1521">
        <v>10090</v>
      </c>
      <c r="L1521" s="3" t="str">
        <f>HYPERLINK("http://www.uniprot.org/uniprot/O88851", "O88851")</f>
        <v>O88851</v>
      </c>
      <c r="M1521" t="s">
        <v>17863</v>
      </c>
      <c r="N1521" t="str">
        <f>"Rbbp9"</f>
        <v>Rbbp9</v>
      </c>
      <c r="O1521" s="3" t="str">
        <f>HYPERLINK("http://www.informatics.jax.org/marker/MGI:1347074", "MGI:1347074")</f>
        <v>MGI:1347074</v>
      </c>
      <c r="P1521" t="s">
        <v>343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343</v>
      </c>
      <c r="Y1521" t="s">
        <v>32</v>
      </c>
      <c r="Z1521" t="s">
        <v>32</v>
      </c>
      <c r="AA1521" t="s">
        <v>17864</v>
      </c>
      <c r="AB1521" t="s">
        <v>17865</v>
      </c>
      <c r="AC1521" t="s">
        <v>17866</v>
      </c>
      <c r="AD1521" t="s">
        <v>32</v>
      </c>
      <c r="AE1521" t="s">
        <v>32</v>
      </c>
      <c r="AF1521" t="s">
        <v>46835</v>
      </c>
    </row>
    <row r="1522" spans="1:32" x14ac:dyDescent="0.2">
      <c r="A1522">
        <v>1517</v>
      </c>
      <c r="B1522" t="s">
        <v>17867</v>
      </c>
      <c r="C1522" t="s">
        <v>17868</v>
      </c>
      <c r="D1522" t="s">
        <v>17869</v>
      </c>
      <c r="E1522" t="s">
        <v>17870</v>
      </c>
      <c r="F1522" t="s">
        <v>17871</v>
      </c>
      <c r="G1522" t="s">
        <v>17872</v>
      </c>
      <c r="H1522" t="str">
        <f>"Sf3b6"</f>
        <v>Sf3b6</v>
      </c>
      <c r="I1522" t="s">
        <v>17873</v>
      </c>
      <c r="J1522" t="s">
        <v>37</v>
      </c>
      <c r="K1522">
        <v>10090</v>
      </c>
      <c r="L1522" s="3" t="str">
        <f>HYPERLINK("http://www.uniprot.org/uniprot/P59708", "P59708")</f>
        <v>P59708</v>
      </c>
      <c r="M1522" t="s">
        <v>17874</v>
      </c>
      <c r="N1522" t="str">
        <f>"Sf3b6"</f>
        <v>Sf3b6</v>
      </c>
      <c r="O1522" s="3" t="str">
        <f>HYPERLINK("http://www.informatics.jax.org/marker/MGI:1913305", "MGI:1913305")</f>
        <v>MGI:1913305</v>
      </c>
      <c r="P1522" t="s">
        <v>17875</v>
      </c>
      <c r="Q1522" t="s">
        <v>2139</v>
      </c>
      <c r="R1522" t="s">
        <v>2140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1282</v>
      </c>
      <c r="Y1522" t="s">
        <v>461</v>
      </c>
      <c r="Z1522" t="s">
        <v>32</v>
      </c>
      <c r="AA1522" t="s">
        <v>17876</v>
      </c>
      <c r="AB1522" t="s">
        <v>17877</v>
      </c>
      <c r="AC1522" t="s">
        <v>4168</v>
      </c>
      <c r="AD1522" t="s">
        <v>32</v>
      </c>
      <c r="AE1522" t="s">
        <v>7167</v>
      </c>
      <c r="AF1522" t="s">
        <v>46835</v>
      </c>
    </row>
    <row r="1523" spans="1:32" x14ac:dyDescent="0.2">
      <c r="A1523">
        <v>1518</v>
      </c>
      <c r="B1523" t="s">
        <v>17878</v>
      </c>
      <c r="C1523" t="s">
        <v>17879</v>
      </c>
      <c r="D1523" t="s">
        <v>17880</v>
      </c>
      <c r="E1523" t="s">
        <v>17881</v>
      </c>
      <c r="F1523" t="s">
        <v>17882</v>
      </c>
      <c r="G1523" t="s">
        <v>32</v>
      </c>
      <c r="H1523" t="str">
        <f>"Gldc"</f>
        <v>Gldc</v>
      </c>
      <c r="I1523" t="s">
        <v>32</v>
      </c>
      <c r="J1523" t="s">
        <v>37</v>
      </c>
      <c r="K1523">
        <v>10090</v>
      </c>
      <c r="L1523" s="3" t="str">
        <f>HYPERLINK("http://www.uniprot.org/uniprot/Q91W43", "Q91W43")</f>
        <v>Q91W43</v>
      </c>
      <c r="M1523" t="s">
        <v>17883</v>
      </c>
      <c r="N1523" t="str">
        <f>"Gldc"</f>
        <v>Gldc</v>
      </c>
      <c r="O1523" s="3" t="str">
        <f>HYPERLINK("http://www.informatics.jax.org/marker/MGI:1341155", "MGI:1341155")</f>
        <v>MGI:1341155</v>
      </c>
      <c r="P1523" t="s">
        <v>17884</v>
      </c>
      <c r="Q1523" t="s">
        <v>32</v>
      </c>
      <c r="R1523" t="s">
        <v>1038</v>
      </c>
      <c r="S1523" t="s">
        <v>32</v>
      </c>
      <c r="T1523" t="s">
        <v>32</v>
      </c>
      <c r="U1523" t="s">
        <v>32</v>
      </c>
      <c r="V1523" t="s">
        <v>1039</v>
      </c>
      <c r="W1523" t="s">
        <v>3373</v>
      </c>
      <c r="X1523" t="s">
        <v>600</v>
      </c>
      <c r="Y1523" t="s">
        <v>78</v>
      </c>
      <c r="Z1523" t="s">
        <v>32</v>
      </c>
      <c r="AA1523" t="s">
        <v>17885</v>
      </c>
      <c r="AB1523" t="s">
        <v>17886</v>
      </c>
      <c r="AC1523" t="s">
        <v>17887</v>
      </c>
      <c r="AD1523" t="s">
        <v>32</v>
      </c>
      <c r="AE1523" t="s">
        <v>17674</v>
      </c>
      <c r="AF1523" t="s">
        <v>46835</v>
      </c>
    </row>
    <row r="1524" spans="1:32" x14ac:dyDescent="0.2">
      <c r="A1524">
        <v>1519</v>
      </c>
      <c r="B1524" t="s">
        <v>17888</v>
      </c>
      <c r="C1524" t="s">
        <v>17889</v>
      </c>
      <c r="D1524" t="s">
        <v>32</v>
      </c>
      <c r="E1524" t="s">
        <v>17890</v>
      </c>
      <c r="F1524" t="s">
        <v>17891</v>
      </c>
      <c r="G1524" t="s">
        <v>17892</v>
      </c>
      <c r="H1524" t="str">
        <f>"Rab5a"</f>
        <v>Rab5a</v>
      </c>
      <c r="I1524" t="s">
        <v>17893</v>
      </c>
      <c r="J1524" t="s">
        <v>37</v>
      </c>
      <c r="K1524">
        <v>10090</v>
      </c>
      <c r="L1524" s="3" t="str">
        <f>HYPERLINK("http://www.uniprot.org/uniprot/Q9CQD1", "Q9CQD1")</f>
        <v>Q9CQD1</v>
      </c>
      <c r="M1524" t="s">
        <v>17894</v>
      </c>
      <c r="N1524" t="str">
        <f>"Rab5a"</f>
        <v>Rab5a</v>
      </c>
      <c r="O1524" s="3" t="str">
        <f>HYPERLINK("http://www.informatics.jax.org/marker/MGI:105926", "MGI:105926")</f>
        <v>MGI:105926</v>
      </c>
      <c r="P1524" t="s">
        <v>17895</v>
      </c>
      <c r="Q1524" t="s">
        <v>17896</v>
      </c>
      <c r="R1524" t="s">
        <v>10964</v>
      </c>
      <c r="S1524" t="s">
        <v>32</v>
      </c>
      <c r="T1524" t="s">
        <v>32</v>
      </c>
      <c r="U1524" t="s">
        <v>32</v>
      </c>
      <c r="V1524" t="s">
        <v>32</v>
      </c>
      <c r="W1524" t="s">
        <v>261</v>
      </c>
      <c r="X1524" t="s">
        <v>343</v>
      </c>
      <c r="Y1524" t="s">
        <v>17897</v>
      </c>
      <c r="Z1524" t="s">
        <v>32</v>
      </c>
      <c r="AA1524" t="s">
        <v>17898</v>
      </c>
      <c r="AB1524" t="s">
        <v>17899</v>
      </c>
      <c r="AC1524" t="s">
        <v>17900</v>
      </c>
      <c r="AD1524" t="s">
        <v>32</v>
      </c>
      <c r="AE1524" t="s">
        <v>17901</v>
      </c>
      <c r="AF1524" t="s">
        <v>46835</v>
      </c>
    </row>
    <row r="1525" spans="1:32" x14ac:dyDescent="0.2">
      <c r="A1525">
        <v>1520</v>
      </c>
      <c r="B1525" t="s">
        <v>17902</v>
      </c>
      <c r="C1525" t="s">
        <v>17903</v>
      </c>
      <c r="D1525" t="s">
        <v>32</v>
      </c>
      <c r="E1525" t="s">
        <v>17904</v>
      </c>
      <c r="F1525" t="s">
        <v>17905</v>
      </c>
      <c r="G1525" t="s">
        <v>17906</v>
      </c>
      <c r="H1525" t="str">
        <f>"Armc6"</f>
        <v>Armc6</v>
      </c>
      <c r="I1525" t="s">
        <v>32</v>
      </c>
      <c r="J1525" t="s">
        <v>37</v>
      </c>
      <c r="K1525">
        <v>10090</v>
      </c>
      <c r="L1525" s="3" t="str">
        <f>HYPERLINK("http://www.uniprot.org/uniprot/Q8BNU0", "Q8BNU0")</f>
        <v>Q8BNU0</v>
      </c>
      <c r="M1525" t="s">
        <v>17907</v>
      </c>
      <c r="N1525" t="str">
        <f>"Armc6"</f>
        <v>Armc6</v>
      </c>
      <c r="O1525" s="3" t="str">
        <f>HYPERLINK("http://www.informatics.jax.org/marker/MGI:1924063", "MGI:1924063")</f>
        <v>MGI:1924063</v>
      </c>
      <c r="P1525" t="s">
        <v>17908</v>
      </c>
      <c r="Q1525" t="s">
        <v>32</v>
      </c>
      <c r="R1525" t="s">
        <v>32</v>
      </c>
      <c r="S1525" t="s">
        <v>41</v>
      </c>
      <c r="T1525" t="s">
        <v>32</v>
      </c>
      <c r="U1525" t="s">
        <v>32</v>
      </c>
      <c r="V1525" t="s">
        <v>55</v>
      </c>
      <c r="W1525" t="s">
        <v>32</v>
      </c>
      <c r="X1525" t="s">
        <v>32</v>
      </c>
      <c r="Y1525" t="s">
        <v>2734</v>
      </c>
      <c r="Z1525" t="s">
        <v>32</v>
      </c>
      <c r="AA1525" t="s">
        <v>17909</v>
      </c>
      <c r="AB1525" t="s">
        <v>1268</v>
      </c>
      <c r="AC1525" t="s">
        <v>32</v>
      </c>
      <c r="AD1525" t="s">
        <v>32</v>
      </c>
      <c r="AE1525" t="s">
        <v>32</v>
      </c>
      <c r="AF1525" t="s">
        <v>46835</v>
      </c>
    </row>
    <row r="1526" spans="1:32" x14ac:dyDescent="0.2">
      <c r="A1526">
        <v>1521</v>
      </c>
      <c r="B1526" t="s">
        <v>17910</v>
      </c>
      <c r="C1526" t="s">
        <v>17911</v>
      </c>
      <c r="D1526" t="s">
        <v>17912</v>
      </c>
      <c r="E1526" t="s">
        <v>17913</v>
      </c>
      <c r="F1526" t="s">
        <v>17914</v>
      </c>
      <c r="G1526" t="s">
        <v>17915</v>
      </c>
      <c r="H1526" t="str">
        <f>"Smyd2"</f>
        <v>Smyd2</v>
      </c>
      <c r="I1526" t="s">
        <v>32</v>
      </c>
      <c r="J1526" t="s">
        <v>37</v>
      </c>
      <c r="K1526">
        <v>10090</v>
      </c>
      <c r="L1526" s="3" t="str">
        <f>HYPERLINK("http://www.uniprot.org/uniprot/Q8R5A0", "Q8R5A0")</f>
        <v>Q8R5A0</v>
      </c>
      <c r="M1526" t="s">
        <v>17916</v>
      </c>
      <c r="N1526" t="str">
        <f>"Smyd2"</f>
        <v>Smyd2</v>
      </c>
      <c r="O1526" s="3" t="str">
        <f>HYPERLINK("http://www.informatics.jax.org/marker/MGI:1915889", "MGI:1915889")</f>
        <v>MGI:1915889</v>
      </c>
      <c r="P1526" t="s">
        <v>17917</v>
      </c>
      <c r="Q1526" t="s">
        <v>4152</v>
      </c>
      <c r="R1526" t="s">
        <v>40</v>
      </c>
      <c r="S1526" t="s">
        <v>32</v>
      </c>
      <c r="T1526" t="s">
        <v>32</v>
      </c>
      <c r="U1526" t="s">
        <v>32</v>
      </c>
      <c r="V1526" t="s">
        <v>446</v>
      </c>
      <c r="W1526" t="s">
        <v>15120</v>
      </c>
      <c r="X1526" t="s">
        <v>17918</v>
      </c>
      <c r="Y1526" t="s">
        <v>618</v>
      </c>
      <c r="Z1526" t="s">
        <v>126</v>
      </c>
      <c r="AA1526" t="s">
        <v>17919</v>
      </c>
      <c r="AB1526" t="s">
        <v>4218</v>
      </c>
      <c r="AC1526" t="s">
        <v>17920</v>
      </c>
      <c r="AD1526" t="s">
        <v>32</v>
      </c>
      <c r="AE1526" t="s">
        <v>17921</v>
      </c>
      <c r="AF1526" t="s">
        <v>46835</v>
      </c>
    </row>
    <row r="1527" spans="1:32" x14ac:dyDescent="0.2">
      <c r="A1527">
        <v>1522</v>
      </c>
      <c r="B1527" t="s">
        <v>17922</v>
      </c>
      <c r="C1527" t="s">
        <v>17923</v>
      </c>
      <c r="D1527" t="s">
        <v>17924</v>
      </c>
      <c r="E1527" t="s">
        <v>17925</v>
      </c>
      <c r="F1527" t="s">
        <v>17926</v>
      </c>
      <c r="G1527" t="s">
        <v>17927</v>
      </c>
      <c r="H1527" t="str">
        <f>"Nup50"</f>
        <v>Nup50</v>
      </c>
      <c r="I1527" t="s">
        <v>17928</v>
      </c>
      <c r="J1527" t="s">
        <v>37</v>
      </c>
      <c r="K1527">
        <v>10090</v>
      </c>
      <c r="L1527" s="3" t="str">
        <f>HYPERLINK("http://www.uniprot.org/uniprot/Q9JIH2", "Q9JIH2")</f>
        <v>Q9JIH2</v>
      </c>
      <c r="M1527" t="s">
        <v>17929</v>
      </c>
      <c r="N1527" t="str">
        <f>"Nup50"</f>
        <v>Nup50</v>
      </c>
      <c r="O1527" s="3" t="str">
        <f>HYPERLINK("http://www.informatics.jax.org/marker/MGI:1351502", "MGI:1351502")</f>
        <v>MGI:1351502</v>
      </c>
      <c r="P1527" t="s">
        <v>17930</v>
      </c>
      <c r="Q1527" t="s">
        <v>6423</v>
      </c>
      <c r="R1527" t="s">
        <v>8238</v>
      </c>
      <c r="S1527" t="s">
        <v>32</v>
      </c>
      <c r="T1527" t="s">
        <v>32</v>
      </c>
      <c r="U1527" t="s">
        <v>32</v>
      </c>
      <c r="V1527" t="s">
        <v>55</v>
      </c>
      <c r="W1527" t="s">
        <v>32</v>
      </c>
      <c r="X1527" t="s">
        <v>32</v>
      </c>
      <c r="Y1527" t="s">
        <v>516</v>
      </c>
      <c r="Z1527" t="s">
        <v>126</v>
      </c>
      <c r="AA1527" t="s">
        <v>17931</v>
      </c>
      <c r="AB1527" t="s">
        <v>17932</v>
      </c>
      <c r="AC1527" t="s">
        <v>32</v>
      </c>
      <c r="AD1527" t="s">
        <v>32</v>
      </c>
      <c r="AE1527" t="s">
        <v>4686</v>
      </c>
      <c r="AF1527" t="s">
        <v>46835</v>
      </c>
    </row>
    <row r="1528" spans="1:32" x14ac:dyDescent="0.2">
      <c r="A1528">
        <v>1523</v>
      </c>
      <c r="B1528" t="s">
        <v>17933</v>
      </c>
      <c r="C1528" t="s">
        <v>17934</v>
      </c>
      <c r="D1528" t="s">
        <v>32</v>
      </c>
      <c r="E1528" t="s">
        <v>17935</v>
      </c>
      <c r="F1528" t="s">
        <v>17936</v>
      </c>
      <c r="G1528" t="s">
        <v>32</v>
      </c>
      <c r="H1528" t="str">
        <f>"Znf706"</f>
        <v>Znf706</v>
      </c>
      <c r="I1528" t="s">
        <v>32</v>
      </c>
      <c r="J1528" t="s">
        <v>37</v>
      </c>
      <c r="K1528">
        <v>10090</v>
      </c>
      <c r="L1528" s="3" t="str">
        <f>HYPERLINK("http://www.uniprot.org/uniprot/Q9D115", "Q9D115")</f>
        <v>Q9D115</v>
      </c>
      <c r="M1528" t="s">
        <v>17937</v>
      </c>
      <c r="N1528" t="str">
        <f>"Zfp706"</f>
        <v>Zfp706</v>
      </c>
      <c r="O1528" s="3" t="str">
        <f>HYPERLINK("http://www.informatics.jax.org/marker/MGI:1915286", "MGI:1915286")</f>
        <v>MGI:1915286</v>
      </c>
      <c r="P1528" t="s">
        <v>17938</v>
      </c>
      <c r="Q1528" t="s">
        <v>1680</v>
      </c>
      <c r="R1528" t="s">
        <v>40</v>
      </c>
      <c r="S1528" t="s">
        <v>32</v>
      </c>
      <c r="T1528" t="s">
        <v>32</v>
      </c>
      <c r="U1528" t="s">
        <v>32</v>
      </c>
      <c r="V1528" t="s">
        <v>446</v>
      </c>
      <c r="W1528" t="s">
        <v>42</v>
      </c>
      <c r="X1528" t="s">
        <v>5195</v>
      </c>
      <c r="Y1528" t="s">
        <v>32</v>
      </c>
      <c r="Z1528" t="s">
        <v>32</v>
      </c>
      <c r="AA1528" t="s">
        <v>17939</v>
      </c>
      <c r="AB1528" t="s">
        <v>110</v>
      </c>
      <c r="AC1528" t="s">
        <v>4525</v>
      </c>
      <c r="AD1528" t="s">
        <v>32</v>
      </c>
      <c r="AE1528" t="s">
        <v>2287</v>
      </c>
      <c r="AF1528" t="s">
        <v>46835</v>
      </c>
    </row>
    <row r="1529" spans="1:32" x14ac:dyDescent="0.2">
      <c r="A1529">
        <v>1524</v>
      </c>
      <c r="B1529" t="s">
        <v>17940</v>
      </c>
      <c r="C1529" t="s">
        <v>17941</v>
      </c>
      <c r="D1529" t="s">
        <v>17942</v>
      </c>
      <c r="E1529" t="s">
        <v>17943</v>
      </c>
      <c r="F1529" t="s">
        <v>17944</v>
      </c>
      <c r="G1529" t="s">
        <v>17945</v>
      </c>
      <c r="H1529" t="str">
        <f>"Sacm1l"</f>
        <v>Sacm1l</v>
      </c>
      <c r="I1529" t="s">
        <v>17946</v>
      </c>
      <c r="J1529" t="s">
        <v>37</v>
      </c>
      <c r="K1529">
        <v>10090</v>
      </c>
      <c r="L1529" s="3" t="str">
        <f>HYPERLINK("http://www.uniprot.org/uniprot/Q9EP69", "Q9EP69")</f>
        <v>Q9EP69</v>
      </c>
      <c r="M1529" t="s">
        <v>17947</v>
      </c>
      <c r="N1529" t="str">
        <f>"Sacm1l"</f>
        <v>Sacm1l</v>
      </c>
      <c r="O1529" s="3" t="str">
        <f>HYPERLINK("http://www.informatics.jax.org/marker/MGI:1933169", "MGI:1933169")</f>
        <v>MGI:1933169</v>
      </c>
      <c r="P1529" t="s">
        <v>17948</v>
      </c>
      <c r="Q1529" t="s">
        <v>598</v>
      </c>
      <c r="R1529" t="s">
        <v>11259</v>
      </c>
      <c r="S1529" t="s">
        <v>32</v>
      </c>
      <c r="T1529" t="s">
        <v>32</v>
      </c>
      <c r="U1529" t="s">
        <v>32</v>
      </c>
      <c r="V1529" t="s">
        <v>493</v>
      </c>
      <c r="W1529" t="s">
        <v>32</v>
      </c>
      <c r="X1529" t="s">
        <v>343</v>
      </c>
      <c r="Y1529" t="s">
        <v>78</v>
      </c>
      <c r="Z1529" t="s">
        <v>32</v>
      </c>
      <c r="AA1529" t="s">
        <v>17949</v>
      </c>
      <c r="AB1529" t="s">
        <v>17950</v>
      </c>
      <c r="AC1529" t="s">
        <v>17951</v>
      </c>
      <c r="AD1529" t="s">
        <v>32</v>
      </c>
      <c r="AE1529" t="s">
        <v>17952</v>
      </c>
      <c r="AF1529" t="s">
        <v>46835</v>
      </c>
    </row>
    <row r="1530" spans="1:32" x14ac:dyDescent="0.2">
      <c r="A1530">
        <v>1525</v>
      </c>
      <c r="B1530" t="s">
        <v>17953</v>
      </c>
      <c r="C1530" t="s">
        <v>17954</v>
      </c>
      <c r="D1530" t="s">
        <v>17955</v>
      </c>
      <c r="E1530" t="s">
        <v>17956</v>
      </c>
      <c r="F1530" t="s">
        <v>17957</v>
      </c>
      <c r="G1530" t="s">
        <v>17958</v>
      </c>
      <c r="H1530" t="str">
        <f>"Swi5"</f>
        <v>Swi5</v>
      </c>
      <c r="I1530" t="s">
        <v>17959</v>
      </c>
      <c r="J1530" t="s">
        <v>37</v>
      </c>
      <c r="K1530">
        <v>10090</v>
      </c>
      <c r="L1530" s="3" t="str">
        <f>HYPERLINK("http://www.uniprot.org/uniprot/Q8K3D3", "Q8K3D3")</f>
        <v>Q8K3D3</v>
      </c>
      <c r="M1530" t="s">
        <v>17960</v>
      </c>
      <c r="N1530" t="str">
        <f>"Swi5"</f>
        <v>Swi5</v>
      </c>
      <c r="O1530" s="3" t="str">
        <f>HYPERLINK("http://www.informatics.jax.org/marker/MGI:1920181", "MGI:1920181")</f>
        <v>MGI:1920181</v>
      </c>
      <c r="P1530" t="s">
        <v>17961</v>
      </c>
      <c r="Q1530" t="s">
        <v>11886</v>
      </c>
      <c r="R1530" t="s">
        <v>2279</v>
      </c>
      <c r="S1530" t="s">
        <v>41</v>
      </c>
      <c r="T1530" t="s">
        <v>32</v>
      </c>
      <c r="U1530" t="s">
        <v>32</v>
      </c>
      <c r="V1530" t="s">
        <v>290</v>
      </c>
      <c r="W1530" t="s">
        <v>32</v>
      </c>
      <c r="X1530" t="s">
        <v>32</v>
      </c>
      <c r="Y1530" t="s">
        <v>618</v>
      </c>
      <c r="Z1530" t="s">
        <v>32</v>
      </c>
      <c r="AA1530" t="s">
        <v>17962</v>
      </c>
      <c r="AB1530" t="s">
        <v>17963</v>
      </c>
      <c r="AC1530" t="s">
        <v>32</v>
      </c>
      <c r="AD1530" t="s">
        <v>32</v>
      </c>
      <c r="AE1530" t="s">
        <v>32</v>
      </c>
      <c r="AF1530" t="s">
        <v>46835</v>
      </c>
    </row>
    <row r="1531" spans="1:32" x14ac:dyDescent="0.2">
      <c r="A1531">
        <v>1526</v>
      </c>
      <c r="B1531" t="s">
        <v>17964</v>
      </c>
      <c r="C1531" t="s">
        <v>17965</v>
      </c>
      <c r="D1531" t="s">
        <v>17966</v>
      </c>
      <c r="E1531" t="s">
        <v>17967</v>
      </c>
      <c r="F1531" t="s">
        <v>17968</v>
      </c>
      <c r="G1531" t="s">
        <v>32</v>
      </c>
      <c r="H1531" t="str">
        <f>"Dazap1"</f>
        <v>Dazap1</v>
      </c>
      <c r="I1531" t="s">
        <v>32</v>
      </c>
      <c r="J1531" t="s">
        <v>37</v>
      </c>
      <c r="K1531">
        <v>10090</v>
      </c>
      <c r="L1531" s="3" t="str">
        <f>HYPERLINK("http://www.uniprot.org/uniprot/Q9JII5", "Q9JII5")</f>
        <v>Q9JII5</v>
      </c>
      <c r="M1531" t="s">
        <v>17969</v>
      </c>
      <c r="N1531" t="str">
        <f>"Dazap1"</f>
        <v>Dazap1</v>
      </c>
      <c r="O1531" s="3" t="str">
        <f>HYPERLINK("http://www.informatics.jax.org/marker/MGI:1917498", "MGI:1917498")</f>
        <v>MGI:1917498</v>
      </c>
      <c r="P1531" t="s">
        <v>17970</v>
      </c>
      <c r="Q1531" t="s">
        <v>615</v>
      </c>
      <c r="R1531" t="s">
        <v>40</v>
      </c>
      <c r="S1531" t="s">
        <v>41</v>
      </c>
      <c r="T1531" t="s">
        <v>32</v>
      </c>
      <c r="U1531" t="s">
        <v>32</v>
      </c>
      <c r="V1531" t="s">
        <v>55</v>
      </c>
      <c r="W1531" t="s">
        <v>32</v>
      </c>
      <c r="X1531" t="s">
        <v>617</v>
      </c>
      <c r="Y1531" t="s">
        <v>57</v>
      </c>
      <c r="Z1531" t="s">
        <v>32</v>
      </c>
      <c r="AA1531" t="s">
        <v>17971</v>
      </c>
      <c r="AB1531" t="s">
        <v>17972</v>
      </c>
      <c r="AC1531" t="s">
        <v>17973</v>
      </c>
      <c r="AD1531" t="s">
        <v>32</v>
      </c>
      <c r="AE1531" t="s">
        <v>32</v>
      </c>
      <c r="AF1531" t="s">
        <v>46835</v>
      </c>
    </row>
    <row r="1532" spans="1:32" x14ac:dyDescent="0.2">
      <c r="A1532">
        <v>1527</v>
      </c>
      <c r="B1532" t="s">
        <v>17974</v>
      </c>
      <c r="C1532" t="s">
        <v>17975</v>
      </c>
      <c r="D1532" t="s">
        <v>17976</v>
      </c>
      <c r="E1532" t="s">
        <v>17977</v>
      </c>
      <c r="F1532" t="s">
        <v>17978</v>
      </c>
      <c r="G1532" t="s">
        <v>17979</v>
      </c>
      <c r="H1532" t="str">
        <f>"Dctn6"</f>
        <v>Dctn6</v>
      </c>
      <c r="I1532" t="s">
        <v>17980</v>
      </c>
      <c r="J1532" t="s">
        <v>37</v>
      </c>
      <c r="K1532">
        <v>10090</v>
      </c>
      <c r="L1532" s="3" t="str">
        <f>HYPERLINK("http://www.uniprot.org/uniprot/Q9WUB4", "Q9WUB4")</f>
        <v>Q9WUB4</v>
      </c>
      <c r="M1532" t="s">
        <v>17981</v>
      </c>
      <c r="N1532" t="str">
        <f>"Dctn6"</f>
        <v>Dctn6</v>
      </c>
      <c r="O1532" s="3" t="str">
        <f>HYPERLINK("http://www.informatics.jax.org/marker/MGI:1343154", "MGI:1343154")</f>
        <v>MGI:1343154</v>
      </c>
      <c r="P1532" t="s">
        <v>17982</v>
      </c>
      <c r="Q1532" t="s">
        <v>32</v>
      </c>
      <c r="R1532" t="s">
        <v>4919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32</v>
      </c>
      <c r="Y1532" t="s">
        <v>618</v>
      </c>
      <c r="Z1532" t="s">
        <v>32</v>
      </c>
      <c r="AA1532" t="s">
        <v>17983</v>
      </c>
      <c r="AB1532" t="s">
        <v>17984</v>
      </c>
      <c r="AC1532" t="s">
        <v>17985</v>
      </c>
      <c r="AD1532" t="s">
        <v>32</v>
      </c>
      <c r="AE1532" t="s">
        <v>17986</v>
      </c>
      <c r="AF1532" t="s">
        <v>46835</v>
      </c>
    </row>
    <row r="1533" spans="1:32" x14ac:dyDescent="0.2">
      <c r="A1533">
        <v>1528</v>
      </c>
      <c r="B1533" t="s">
        <v>17987</v>
      </c>
      <c r="C1533" t="s">
        <v>17988</v>
      </c>
      <c r="D1533" t="s">
        <v>17989</v>
      </c>
      <c r="E1533" t="s">
        <v>17990</v>
      </c>
      <c r="F1533" t="s">
        <v>17991</v>
      </c>
      <c r="G1533" t="s">
        <v>17992</v>
      </c>
      <c r="H1533" t="str">
        <f>"Pip5kl1"</f>
        <v>Pip5kl1</v>
      </c>
      <c r="I1533" t="s">
        <v>17993</v>
      </c>
      <c r="J1533" t="s">
        <v>37</v>
      </c>
      <c r="K1533">
        <v>10090</v>
      </c>
      <c r="L1533" s="3" t="str">
        <f>HYPERLINK("http://www.uniprot.org/uniprot/Q6U7H8", "Q6U7H8")</f>
        <v>Q6U7H8</v>
      </c>
      <c r="M1533" t="s">
        <v>17994</v>
      </c>
      <c r="N1533" t="str">
        <f>"Pip5kl1"</f>
        <v>Pip5kl1</v>
      </c>
      <c r="O1533" s="3" t="str">
        <f>HYPERLINK("http://www.informatics.jax.org/marker/MGI:2448520", "MGI:2448520")</f>
        <v>MGI:2448520</v>
      </c>
      <c r="P1533" t="s">
        <v>17995</v>
      </c>
      <c r="Q1533" t="s">
        <v>598</v>
      </c>
      <c r="R1533" t="s">
        <v>714</v>
      </c>
      <c r="S1533" t="s">
        <v>41</v>
      </c>
      <c r="T1533" t="s">
        <v>32</v>
      </c>
      <c r="U1533" t="s">
        <v>32</v>
      </c>
      <c r="V1533" t="s">
        <v>32</v>
      </c>
      <c r="W1533" t="s">
        <v>205</v>
      </c>
      <c r="X1533" t="s">
        <v>419</v>
      </c>
      <c r="Y1533" t="s">
        <v>32</v>
      </c>
      <c r="Z1533" t="s">
        <v>32</v>
      </c>
      <c r="AA1533" t="s">
        <v>17996</v>
      </c>
      <c r="AB1533" t="s">
        <v>17997</v>
      </c>
      <c r="AC1533" t="s">
        <v>17998</v>
      </c>
      <c r="AD1533" t="s">
        <v>32</v>
      </c>
      <c r="AE1533" t="s">
        <v>32</v>
      </c>
      <c r="AF1533" t="s">
        <v>46835</v>
      </c>
    </row>
    <row r="1534" spans="1:32" x14ac:dyDescent="0.2">
      <c r="A1534">
        <v>1529</v>
      </c>
      <c r="B1534" t="s">
        <v>17999</v>
      </c>
      <c r="C1534" t="s">
        <v>18000</v>
      </c>
      <c r="D1534" t="s">
        <v>18001</v>
      </c>
      <c r="E1534" t="s">
        <v>18002</v>
      </c>
      <c r="F1534" t="s">
        <v>18003</v>
      </c>
      <c r="G1534" t="s">
        <v>18004</v>
      </c>
      <c r="H1534" t="str">
        <f>"Cdk11b"</f>
        <v>Cdk11b</v>
      </c>
      <c r="I1534" t="s">
        <v>18005</v>
      </c>
      <c r="J1534" t="s">
        <v>37</v>
      </c>
      <c r="K1534">
        <v>10090</v>
      </c>
      <c r="L1534" s="3" t="str">
        <f>HYPERLINK("http://www.uniprot.org/uniprot/P24788", "P24788")</f>
        <v>P24788</v>
      </c>
      <c r="M1534" t="s">
        <v>18006</v>
      </c>
      <c r="N1534" t="str">
        <f>"Cdk11b"</f>
        <v>Cdk11b</v>
      </c>
      <c r="O1534" s="3" t="str">
        <f>HYPERLINK("http://www.informatics.jax.org/marker/MGI:88353", "MGI:88353")</f>
        <v>MGI:88353</v>
      </c>
      <c r="P1534" t="s">
        <v>18007</v>
      </c>
      <c r="Q1534" t="s">
        <v>9824</v>
      </c>
      <c r="R1534" t="s">
        <v>32</v>
      </c>
      <c r="S1534" t="s">
        <v>477</v>
      </c>
      <c r="T1534" t="s">
        <v>32</v>
      </c>
      <c r="U1534" t="s">
        <v>32</v>
      </c>
      <c r="V1534" t="s">
        <v>32</v>
      </c>
      <c r="W1534" t="s">
        <v>205</v>
      </c>
      <c r="X1534" t="s">
        <v>5419</v>
      </c>
      <c r="Y1534" t="s">
        <v>1007</v>
      </c>
      <c r="Z1534" t="s">
        <v>32</v>
      </c>
      <c r="AA1534" t="s">
        <v>18008</v>
      </c>
      <c r="AB1534" t="s">
        <v>18009</v>
      </c>
      <c r="AC1534" t="s">
        <v>18010</v>
      </c>
      <c r="AD1534" t="s">
        <v>32</v>
      </c>
      <c r="AE1534" t="s">
        <v>18011</v>
      </c>
      <c r="AF1534" t="s">
        <v>46835</v>
      </c>
    </row>
    <row r="1535" spans="1:32" x14ac:dyDescent="0.2">
      <c r="A1535">
        <v>1530</v>
      </c>
      <c r="B1535" t="s">
        <v>18012</v>
      </c>
      <c r="C1535" t="s">
        <v>18013</v>
      </c>
      <c r="D1535" t="s">
        <v>32</v>
      </c>
      <c r="E1535" t="s">
        <v>18014</v>
      </c>
      <c r="F1535" t="s">
        <v>18015</v>
      </c>
      <c r="G1535" t="s">
        <v>18016</v>
      </c>
      <c r="H1535" t="str">
        <f>"Pacsin3"</f>
        <v>Pacsin3</v>
      </c>
      <c r="I1535" t="s">
        <v>32</v>
      </c>
      <c r="J1535" t="s">
        <v>37</v>
      </c>
      <c r="K1535">
        <v>10090</v>
      </c>
      <c r="L1535" s="3" t="str">
        <f>HYPERLINK("http://www.uniprot.org/uniprot/Q99JB8", "Q99JB8")</f>
        <v>Q99JB8</v>
      </c>
      <c r="M1535" t="s">
        <v>18017</v>
      </c>
      <c r="N1535" t="str">
        <f>"Pacsin3"</f>
        <v>Pacsin3</v>
      </c>
      <c r="O1535" s="3" t="str">
        <f>HYPERLINK("http://www.informatics.jax.org/marker/MGI:1891410", "MGI:1891410")</f>
        <v>MGI:1891410</v>
      </c>
      <c r="P1535" t="s">
        <v>18018</v>
      </c>
      <c r="Q1535" t="s">
        <v>2822</v>
      </c>
      <c r="R1535" t="s">
        <v>222</v>
      </c>
      <c r="S1535" t="s">
        <v>32</v>
      </c>
      <c r="T1535" t="s">
        <v>32</v>
      </c>
      <c r="U1535" t="s">
        <v>32</v>
      </c>
      <c r="V1535" t="s">
        <v>1606</v>
      </c>
      <c r="W1535" t="s">
        <v>584</v>
      </c>
      <c r="X1535" t="s">
        <v>32</v>
      </c>
      <c r="Y1535" t="s">
        <v>618</v>
      </c>
      <c r="Z1535" t="s">
        <v>126</v>
      </c>
      <c r="AA1535" t="s">
        <v>18019</v>
      </c>
      <c r="AB1535" t="s">
        <v>18020</v>
      </c>
      <c r="AC1535" t="s">
        <v>18021</v>
      </c>
      <c r="AD1535" t="s">
        <v>32</v>
      </c>
      <c r="AE1535" t="s">
        <v>4859</v>
      </c>
      <c r="AF1535" t="s">
        <v>46835</v>
      </c>
    </row>
    <row r="1536" spans="1:32" x14ac:dyDescent="0.2">
      <c r="A1536">
        <v>1531</v>
      </c>
      <c r="B1536" t="s">
        <v>18022</v>
      </c>
      <c r="C1536" t="s">
        <v>18023</v>
      </c>
      <c r="D1536" t="s">
        <v>18024</v>
      </c>
      <c r="E1536" t="s">
        <v>18025</v>
      </c>
      <c r="F1536" t="s">
        <v>18026</v>
      </c>
      <c r="G1536" t="s">
        <v>18027</v>
      </c>
      <c r="H1536" t="str">
        <f>"Me1"</f>
        <v>Me1</v>
      </c>
      <c r="I1536" t="s">
        <v>18028</v>
      </c>
      <c r="J1536" t="s">
        <v>37</v>
      </c>
      <c r="K1536">
        <v>10090</v>
      </c>
      <c r="L1536" s="3" t="str">
        <f>HYPERLINK("http://www.uniprot.org/uniprot/P06801", "P06801")</f>
        <v>P06801</v>
      </c>
      <c r="M1536" t="s">
        <v>18029</v>
      </c>
      <c r="N1536" t="str">
        <f>"Me1"</f>
        <v>Me1</v>
      </c>
      <c r="O1536" s="3" t="str">
        <f>HYPERLINK("http://www.informatics.jax.org/marker/MGI:97043", "MGI:97043")</f>
        <v>MGI:97043</v>
      </c>
      <c r="P1536" t="s">
        <v>18030</v>
      </c>
      <c r="Q1536" t="s">
        <v>32</v>
      </c>
      <c r="R1536" t="s">
        <v>418</v>
      </c>
      <c r="S1536" t="s">
        <v>32</v>
      </c>
      <c r="T1536" t="s">
        <v>32</v>
      </c>
      <c r="U1536" t="s">
        <v>32</v>
      </c>
      <c r="V1536" t="s">
        <v>32</v>
      </c>
      <c r="W1536" t="s">
        <v>18031</v>
      </c>
      <c r="X1536" t="s">
        <v>600</v>
      </c>
      <c r="Y1536" t="s">
        <v>157</v>
      </c>
      <c r="Z1536" t="s">
        <v>32</v>
      </c>
      <c r="AA1536" t="s">
        <v>18032</v>
      </c>
      <c r="AB1536" t="s">
        <v>3903</v>
      </c>
      <c r="AC1536" t="s">
        <v>18033</v>
      </c>
      <c r="AD1536" t="s">
        <v>32</v>
      </c>
      <c r="AE1536" t="s">
        <v>1188</v>
      </c>
      <c r="AF1536" t="s">
        <v>46835</v>
      </c>
    </row>
    <row r="1537" spans="1:33" x14ac:dyDescent="0.2">
      <c r="A1537">
        <v>1532</v>
      </c>
      <c r="B1537" t="s">
        <v>18034</v>
      </c>
      <c r="C1537" t="s">
        <v>18035</v>
      </c>
      <c r="D1537" t="s">
        <v>18036</v>
      </c>
      <c r="E1537" t="s">
        <v>18037</v>
      </c>
      <c r="F1537" t="s">
        <v>18038</v>
      </c>
      <c r="G1537" t="s">
        <v>32</v>
      </c>
      <c r="H1537" t="str">
        <f>"Ndufs7"</f>
        <v>Ndufs7</v>
      </c>
      <c r="I1537" t="s">
        <v>32</v>
      </c>
      <c r="J1537" t="s">
        <v>37</v>
      </c>
      <c r="K1537">
        <v>10090</v>
      </c>
      <c r="L1537" s="3" t="str">
        <f>HYPERLINK("http://www.uniprot.org/uniprot/Q9DC70", "Q9DC70")</f>
        <v>Q9DC70</v>
      </c>
      <c r="M1537" t="s">
        <v>18039</v>
      </c>
      <c r="N1537" t="str">
        <f>"Ndufs7"</f>
        <v>Ndufs7</v>
      </c>
      <c r="O1537" s="3" t="str">
        <f>HYPERLINK("http://www.informatics.jax.org/marker/MGI:1922656", "MGI:1922656")</f>
        <v>MGI:1922656</v>
      </c>
      <c r="P1537" t="s">
        <v>18040</v>
      </c>
      <c r="Q1537" t="s">
        <v>6888</v>
      </c>
      <c r="R1537" t="s">
        <v>3858</v>
      </c>
      <c r="S1537" t="s">
        <v>32</v>
      </c>
      <c r="T1537" t="s">
        <v>32</v>
      </c>
      <c r="U1537" t="s">
        <v>32</v>
      </c>
      <c r="V1537" t="s">
        <v>1039</v>
      </c>
      <c r="W1537" t="s">
        <v>10915</v>
      </c>
      <c r="X1537" t="s">
        <v>10466</v>
      </c>
      <c r="Y1537" t="s">
        <v>618</v>
      </c>
      <c r="Z1537" t="s">
        <v>126</v>
      </c>
      <c r="AA1537" t="s">
        <v>18041</v>
      </c>
      <c r="AB1537" t="s">
        <v>18042</v>
      </c>
      <c r="AC1537" t="s">
        <v>18043</v>
      </c>
      <c r="AD1537" t="s">
        <v>32</v>
      </c>
      <c r="AE1537" t="s">
        <v>10470</v>
      </c>
      <c r="AF1537" t="s">
        <v>46835</v>
      </c>
    </row>
    <row r="1538" spans="1:33" x14ac:dyDescent="0.2">
      <c r="A1538">
        <v>1533</v>
      </c>
      <c r="B1538" t="s">
        <v>18044</v>
      </c>
      <c r="C1538" t="s">
        <v>18045</v>
      </c>
      <c r="D1538" t="s">
        <v>18046</v>
      </c>
      <c r="E1538" t="s">
        <v>18047</v>
      </c>
      <c r="F1538" t="s">
        <v>18048</v>
      </c>
      <c r="G1538" t="s">
        <v>18049</v>
      </c>
      <c r="H1538" t="str">
        <f>"Serpina1e"</f>
        <v>Serpina1e</v>
      </c>
      <c r="I1538" t="s">
        <v>18050</v>
      </c>
      <c r="J1538" t="s">
        <v>37</v>
      </c>
      <c r="K1538">
        <v>10090</v>
      </c>
      <c r="L1538" s="3" t="str">
        <f>HYPERLINK("http://www.uniprot.org/uniprot/Q00898", "Q00898")</f>
        <v>Q00898</v>
      </c>
      <c r="M1538" t="s">
        <v>18051</v>
      </c>
      <c r="N1538" t="str">
        <f>"Serpina1e"</f>
        <v>Serpina1e</v>
      </c>
      <c r="O1538" s="3" t="str">
        <f>HYPERLINK("http://www.informatics.jax.org/marker/MGI:891967", "MGI:891967")</f>
        <v>MGI:891967</v>
      </c>
      <c r="P1538" t="s">
        <v>18052</v>
      </c>
      <c r="Q1538" t="s">
        <v>32</v>
      </c>
      <c r="R1538" t="s">
        <v>630</v>
      </c>
      <c r="S1538" t="s">
        <v>32</v>
      </c>
      <c r="T1538" t="s">
        <v>32</v>
      </c>
      <c r="U1538" t="s">
        <v>32</v>
      </c>
      <c r="V1538" t="s">
        <v>811</v>
      </c>
      <c r="W1538" t="s">
        <v>32</v>
      </c>
      <c r="X1538" t="s">
        <v>2661</v>
      </c>
      <c r="Y1538" t="s">
        <v>3733</v>
      </c>
      <c r="Z1538" t="s">
        <v>32</v>
      </c>
      <c r="AA1538" t="s">
        <v>18053</v>
      </c>
      <c r="AB1538" t="s">
        <v>18054</v>
      </c>
      <c r="AC1538" t="s">
        <v>18055</v>
      </c>
      <c r="AD1538" t="s">
        <v>32</v>
      </c>
      <c r="AE1538" t="s">
        <v>32</v>
      </c>
      <c r="AF1538" t="s">
        <v>46835</v>
      </c>
    </row>
    <row r="1539" spans="1:33" x14ac:dyDescent="0.2">
      <c r="A1539">
        <v>1534</v>
      </c>
      <c r="B1539" t="s">
        <v>18056</v>
      </c>
      <c r="C1539" t="s">
        <v>18057</v>
      </c>
      <c r="D1539" t="s">
        <v>18058</v>
      </c>
      <c r="E1539" t="s">
        <v>18059</v>
      </c>
      <c r="F1539" t="s">
        <v>18060</v>
      </c>
      <c r="G1539" t="s">
        <v>18061</v>
      </c>
      <c r="H1539" t="str">
        <f>"Etfdh"</f>
        <v>Etfdh</v>
      </c>
      <c r="I1539" t="s">
        <v>32</v>
      </c>
      <c r="J1539" t="s">
        <v>37</v>
      </c>
      <c r="K1539">
        <v>10090</v>
      </c>
      <c r="L1539" s="3" t="str">
        <f>HYPERLINK("http://www.uniprot.org/uniprot/Q921G7", "Q921G7")</f>
        <v>Q921G7</v>
      </c>
      <c r="M1539" t="s">
        <v>18062</v>
      </c>
      <c r="N1539" t="str">
        <f>"Etfdh"</f>
        <v>Etfdh</v>
      </c>
      <c r="O1539" s="3" t="str">
        <f>HYPERLINK("http://www.informatics.jax.org/marker/MGI:106100", "MGI:106100")</f>
        <v>MGI:106100</v>
      </c>
      <c r="P1539" t="s">
        <v>18063</v>
      </c>
      <c r="Q1539" t="s">
        <v>4599</v>
      </c>
      <c r="R1539" t="s">
        <v>3858</v>
      </c>
      <c r="S1539" t="s">
        <v>32</v>
      </c>
      <c r="T1539" t="s">
        <v>32</v>
      </c>
      <c r="U1539" t="s">
        <v>32</v>
      </c>
      <c r="V1539" t="s">
        <v>1039</v>
      </c>
      <c r="W1539" t="s">
        <v>18064</v>
      </c>
      <c r="X1539" t="s">
        <v>600</v>
      </c>
      <c r="Y1539" t="s">
        <v>157</v>
      </c>
      <c r="Z1539" t="s">
        <v>32</v>
      </c>
      <c r="AA1539" t="s">
        <v>18065</v>
      </c>
      <c r="AB1539" t="s">
        <v>18066</v>
      </c>
      <c r="AC1539" t="s">
        <v>18067</v>
      </c>
      <c r="AD1539" t="s">
        <v>32</v>
      </c>
      <c r="AE1539" t="s">
        <v>4604</v>
      </c>
      <c r="AF1539" t="s">
        <v>46835</v>
      </c>
    </row>
    <row r="1540" spans="1:33" x14ac:dyDescent="0.2">
      <c r="A1540">
        <v>1535</v>
      </c>
      <c r="B1540" t="s">
        <v>18068</v>
      </c>
      <c r="C1540" t="s">
        <v>18069</v>
      </c>
      <c r="D1540" t="s">
        <v>18070</v>
      </c>
      <c r="E1540" t="s">
        <v>18071</v>
      </c>
      <c r="F1540" t="s">
        <v>18072</v>
      </c>
      <c r="G1540" t="s">
        <v>32</v>
      </c>
      <c r="H1540" t="str">
        <f>"Apool"</f>
        <v>Apool</v>
      </c>
      <c r="I1540" t="s">
        <v>18073</v>
      </c>
      <c r="J1540" t="s">
        <v>37</v>
      </c>
      <c r="K1540">
        <v>10090</v>
      </c>
      <c r="L1540" s="3" t="str">
        <f>HYPERLINK("http://www.uniprot.org/uniprot/Q78IK4", "Q78IK4")</f>
        <v>Q78IK4</v>
      </c>
      <c r="M1540" t="s">
        <v>18074</v>
      </c>
      <c r="N1540" t="str">
        <f>"Apool"</f>
        <v>Apool</v>
      </c>
      <c r="O1540" s="3" t="str">
        <f>HYPERLINK("http://www.informatics.jax.org/marker/MGI:1915367", "MGI:1915367")</f>
        <v>MGI:1915367</v>
      </c>
      <c r="P1540" t="s">
        <v>18075</v>
      </c>
      <c r="Q1540" t="s">
        <v>32</v>
      </c>
      <c r="R1540" t="s">
        <v>3858</v>
      </c>
      <c r="S1540" t="s">
        <v>32</v>
      </c>
      <c r="T1540" t="s">
        <v>32</v>
      </c>
      <c r="U1540" t="s">
        <v>32</v>
      </c>
      <c r="V1540" t="s">
        <v>3859</v>
      </c>
      <c r="W1540" t="s">
        <v>32</v>
      </c>
      <c r="X1540" t="s">
        <v>32</v>
      </c>
      <c r="Y1540" t="s">
        <v>618</v>
      </c>
      <c r="Z1540" t="s">
        <v>32</v>
      </c>
      <c r="AA1540" t="s">
        <v>18076</v>
      </c>
      <c r="AB1540" t="s">
        <v>18077</v>
      </c>
      <c r="AC1540" t="s">
        <v>32</v>
      </c>
      <c r="AD1540" t="s">
        <v>32</v>
      </c>
      <c r="AE1540" t="s">
        <v>2235</v>
      </c>
      <c r="AF1540" t="s">
        <v>46835</v>
      </c>
    </row>
    <row r="1541" spans="1:33" x14ac:dyDescent="0.2">
      <c r="A1541">
        <v>1536</v>
      </c>
      <c r="B1541" t="s">
        <v>18078</v>
      </c>
      <c r="C1541" t="s">
        <v>47156</v>
      </c>
      <c r="D1541" t="s">
        <v>32</v>
      </c>
      <c r="E1541" t="s">
        <v>46912</v>
      </c>
      <c r="F1541" t="s">
        <v>46911</v>
      </c>
      <c r="G1541" t="s">
        <v>32</v>
      </c>
      <c r="H1541" t="s">
        <v>47287</v>
      </c>
      <c r="I1541" t="s">
        <v>32</v>
      </c>
      <c r="J1541" t="s">
        <v>37</v>
      </c>
      <c r="K1541">
        <v>10090</v>
      </c>
      <c r="L1541" s="3" t="str">
        <f>HYPERLINK(CONCATENATE("https://www.uniprot.org/uniprotkb/", AG1541, "/entry"), AG1541)</f>
        <v>Q497J0</v>
      </c>
      <c r="M1541" t="s">
        <v>32</v>
      </c>
      <c r="N1541" t="s">
        <v>32</v>
      </c>
      <c r="O1541" s="3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t="s">
        <v>32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t="s">
        <v>46835</v>
      </c>
      <c r="AG1541" t="s">
        <v>46911</v>
      </c>
    </row>
    <row r="1542" spans="1:33" x14ac:dyDescent="0.2">
      <c r="A1542">
        <v>1537</v>
      </c>
      <c r="B1542" t="s">
        <v>18079</v>
      </c>
      <c r="C1542" t="s">
        <v>18080</v>
      </c>
      <c r="D1542" t="s">
        <v>32</v>
      </c>
      <c r="E1542" t="s">
        <v>18081</v>
      </c>
      <c r="F1542" t="s">
        <v>18082</v>
      </c>
      <c r="G1542" t="s">
        <v>18083</v>
      </c>
      <c r="H1542" t="str">
        <f>"Scamp3"</f>
        <v>Scamp3</v>
      </c>
      <c r="I1542" t="s">
        <v>32</v>
      </c>
      <c r="J1542" t="s">
        <v>37</v>
      </c>
      <c r="K1542">
        <v>10090</v>
      </c>
      <c r="L1542" s="3" t="str">
        <f>HYPERLINK("http://www.uniprot.org/uniprot/O35609", "O35609")</f>
        <v>O35609</v>
      </c>
      <c r="M1542" t="s">
        <v>18084</v>
      </c>
      <c r="N1542" t="str">
        <f>"Scamp3"</f>
        <v>Scamp3</v>
      </c>
      <c r="O1542" s="3" t="str">
        <f>HYPERLINK("http://www.informatics.jax.org/marker/MGI:1346346", "MGI:1346346")</f>
        <v>MGI:1346346</v>
      </c>
      <c r="P1542" t="s">
        <v>18085</v>
      </c>
      <c r="Q1542" t="s">
        <v>434</v>
      </c>
      <c r="R1542" t="s">
        <v>5989</v>
      </c>
      <c r="S1542" t="s">
        <v>32</v>
      </c>
      <c r="T1542" t="s">
        <v>32</v>
      </c>
      <c r="U1542" t="s">
        <v>32</v>
      </c>
      <c r="V1542" t="s">
        <v>493</v>
      </c>
      <c r="W1542" t="s">
        <v>32</v>
      </c>
      <c r="X1542" t="s">
        <v>32</v>
      </c>
      <c r="Y1542" t="s">
        <v>1007</v>
      </c>
      <c r="Z1542" t="s">
        <v>32</v>
      </c>
      <c r="AA1542" t="s">
        <v>18086</v>
      </c>
      <c r="AB1542" t="s">
        <v>18087</v>
      </c>
      <c r="AC1542" t="s">
        <v>3477</v>
      </c>
      <c r="AD1542" t="s">
        <v>32</v>
      </c>
      <c r="AE1542" t="s">
        <v>32</v>
      </c>
      <c r="AF1542" t="s">
        <v>46835</v>
      </c>
    </row>
    <row r="1543" spans="1:33" x14ac:dyDescent="0.2">
      <c r="A1543">
        <v>1538</v>
      </c>
      <c r="B1543" t="s">
        <v>18088</v>
      </c>
      <c r="C1543" t="s">
        <v>18089</v>
      </c>
      <c r="D1543" t="s">
        <v>18090</v>
      </c>
      <c r="E1543" t="s">
        <v>18091</v>
      </c>
      <c r="F1543" t="s">
        <v>18092</v>
      </c>
      <c r="G1543" t="s">
        <v>18093</v>
      </c>
      <c r="H1543" t="str">
        <f>"Acaa2"</f>
        <v>Acaa2</v>
      </c>
      <c r="I1543" t="s">
        <v>32</v>
      </c>
      <c r="J1543" t="s">
        <v>37</v>
      </c>
      <c r="K1543">
        <v>10090</v>
      </c>
      <c r="L1543" s="3" t="str">
        <f>HYPERLINK("http://www.uniprot.org/uniprot/Q8BWT1", "Q8BWT1")</f>
        <v>Q8BWT1</v>
      </c>
      <c r="M1543" t="s">
        <v>18094</v>
      </c>
      <c r="N1543" t="str">
        <f>"Acaa2"</f>
        <v>Acaa2</v>
      </c>
      <c r="O1543" s="3" t="str">
        <f>HYPERLINK("http://www.informatics.jax.org/marker/MGI:1098623", "MGI:1098623")</f>
        <v>MGI:1098623</v>
      </c>
      <c r="P1543" t="s">
        <v>18095</v>
      </c>
      <c r="Q1543" t="s">
        <v>6214</v>
      </c>
      <c r="R1543" t="s">
        <v>1038</v>
      </c>
      <c r="S1543" t="s">
        <v>32</v>
      </c>
      <c r="T1543" t="s">
        <v>32</v>
      </c>
      <c r="U1543" t="s">
        <v>32</v>
      </c>
      <c r="V1543" t="s">
        <v>1039</v>
      </c>
      <c r="W1543" t="s">
        <v>32</v>
      </c>
      <c r="X1543" t="s">
        <v>18096</v>
      </c>
      <c r="Y1543" t="s">
        <v>157</v>
      </c>
      <c r="Z1543" t="s">
        <v>32</v>
      </c>
      <c r="AA1543" t="s">
        <v>18097</v>
      </c>
      <c r="AB1543" t="s">
        <v>9721</v>
      </c>
      <c r="AC1543" t="s">
        <v>18098</v>
      </c>
      <c r="AD1543" t="s">
        <v>6218</v>
      </c>
      <c r="AE1543" t="s">
        <v>4429</v>
      </c>
      <c r="AF1543" t="s">
        <v>46835</v>
      </c>
    </row>
    <row r="1544" spans="1:33" x14ac:dyDescent="0.2">
      <c r="A1544">
        <v>1539</v>
      </c>
      <c r="B1544" t="s">
        <v>18099</v>
      </c>
      <c r="C1544" t="s">
        <v>18100</v>
      </c>
      <c r="D1544" t="s">
        <v>32</v>
      </c>
      <c r="E1544" t="s">
        <v>18101</v>
      </c>
      <c r="F1544" t="s">
        <v>18102</v>
      </c>
      <c r="G1544" t="s">
        <v>18103</v>
      </c>
      <c r="H1544" t="str">
        <f>"Epdr1"</f>
        <v>Epdr1</v>
      </c>
      <c r="I1544" t="s">
        <v>18104</v>
      </c>
      <c r="J1544" t="s">
        <v>37</v>
      </c>
      <c r="K1544">
        <v>10090</v>
      </c>
      <c r="L1544" s="3" t="str">
        <f>HYPERLINK("http://www.uniprot.org/uniprot/Q99M71", "Q99M71")</f>
        <v>Q99M71</v>
      </c>
      <c r="M1544" t="s">
        <v>18105</v>
      </c>
      <c r="N1544" t="str">
        <f>"Epdr1"</f>
        <v>Epdr1</v>
      </c>
      <c r="O1544" s="3" t="str">
        <f>HYPERLINK("http://www.informatics.jax.org/marker/MGI:2145369", "MGI:2145369")</f>
        <v>MGI:2145369</v>
      </c>
      <c r="P1544" t="s">
        <v>18106</v>
      </c>
      <c r="Q1544" t="s">
        <v>32</v>
      </c>
      <c r="R1544" t="s">
        <v>5274</v>
      </c>
      <c r="S1544" t="s">
        <v>41</v>
      </c>
      <c r="T1544" t="s">
        <v>32</v>
      </c>
      <c r="U1544" t="s">
        <v>32</v>
      </c>
      <c r="V1544" t="s">
        <v>811</v>
      </c>
      <c r="W1544" t="s">
        <v>584</v>
      </c>
      <c r="X1544" t="s">
        <v>32</v>
      </c>
      <c r="Y1544" t="s">
        <v>5275</v>
      </c>
      <c r="Z1544" t="s">
        <v>126</v>
      </c>
      <c r="AA1544" t="s">
        <v>18107</v>
      </c>
      <c r="AB1544" t="s">
        <v>18108</v>
      </c>
      <c r="AC1544" t="s">
        <v>18109</v>
      </c>
      <c r="AD1544" t="s">
        <v>32</v>
      </c>
      <c r="AE1544" t="s">
        <v>32</v>
      </c>
      <c r="AF1544" t="s">
        <v>46835</v>
      </c>
    </row>
    <row r="1545" spans="1:33" x14ac:dyDescent="0.2">
      <c r="A1545">
        <v>1540</v>
      </c>
      <c r="B1545" t="s">
        <v>18110</v>
      </c>
      <c r="C1545" t="s">
        <v>18111</v>
      </c>
      <c r="D1545" t="s">
        <v>18112</v>
      </c>
      <c r="E1545" t="s">
        <v>18113</v>
      </c>
      <c r="F1545" t="s">
        <v>18114</v>
      </c>
      <c r="G1545" t="s">
        <v>18115</v>
      </c>
      <c r="H1545" t="str">
        <f>"Ube3a"</f>
        <v>Ube3a</v>
      </c>
      <c r="I1545" t="s">
        <v>32</v>
      </c>
      <c r="J1545" t="s">
        <v>37</v>
      </c>
      <c r="K1545">
        <v>10090</v>
      </c>
      <c r="L1545" s="3" t="str">
        <f>HYPERLINK("http://www.uniprot.org/uniprot/O08759", "O08759")</f>
        <v>O08759</v>
      </c>
      <c r="M1545" t="s">
        <v>18116</v>
      </c>
      <c r="N1545" t="str">
        <f>"Ube3a"</f>
        <v>Ube3a</v>
      </c>
      <c r="O1545" s="3" t="str">
        <f>HYPERLINK("http://www.informatics.jax.org/marker/MGI:105098", "MGI:105098")</f>
        <v>MGI:105098</v>
      </c>
      <c r="P1545" t="s">
        <v>18117</v>
      </c>
      <c r="Q1545" t="s">
        <v>14232</v>
      </c>
      <c r="R1545" t="s">
        <v>2586</v>
      </c>
      <c r="S1545" t="s">
        <v>41</v>
      </c>
      <c r="T1545" t="s">
        <v>32</v>
      </c>
      <c r="U1545" t="s">
        <v>32</v>
      </c>
      <c r="V1545" t="s">
        <v>446</v>
      </c>
      <c r="W1545" t="s">
        <v>42</v>
      </c>
      <c r="X1545" t="s">
        <v>515</v>
      </c>
      <c r="Y1545" t="s">
        <v>618</v>
      </c>
      <c r="Z1545" t="s">
        <v>32</v>
      </c>
      <c r="AA1545" t="s">
        <v>18118</v>
      </c>
      <c r="AB1545" t="s">
        <v>18119</v>
      </c>
      <c r="AC1545" t="s">
        <v>18120</v>
      </c>
      <c r="AD1545" t="s">
        <v>1027</v>
      </c>
      <c r="AE1545" t="s">
        <v>4220</v>
      </c>
      <c r="AF1545" t="s">
        <v>46835</v>
      </c>
    </row>
    <row r="1546" spans="1:33" x14ac:dyDescent="0.2">
      <c r="A1546">
        <v>1541</v>
      </c>
      <c r="B1546" t="s">
        <v>18121</v>
      </c>
      <c r="C1546" t="s">
        <v>18122</v>
      </c>
      <c r="D1546" t="s">
        <v>18123</v>
      </c>
      <c r="E1546" t="s">
        <v>18124</v>
      </c>
      <c r="F1546" t="s">
        <v>18125</v>
      </c>
      <c r="G1546" t="s">
        <v>18126</v>
      </c>
      <c r="H1546" t="str">
        <f>"Nolc1"</f>
        <v>Nolc1</v>
      </c>
      <c r="I1546" t="s">
        <v>32</v>
      </c>
      <c r="J1546" t="s">
        <v>37</v>
      </c>
      <c r="K1546">
        <v>10090</v>
      </c>
      <c r="L1546" s="3" t="str">
        <f>HYPERLINK("http://www.uniprot.org/uniprot/E9Q5C9", "E9Q5C9")</f>
        <v>E9Q5C9</v>
      </c>
      <c r="M1546" t="s">
        <v>18127</v>
      </c>
      <c r="N1546" t="str">
        <f>"Nolc1"</f>
        <v>Nolc1</v>
      </c>
      <c r="O1546" s="3" t="str">
        <f>HYPERLINK("http://www.informatics.jax.org/marker/MGI:1918019", "MGI:1918019")</f>
        <v>MGI:1918019</v>
      </c>
      <c r="P1546" t="s">
        <v>18128</v>
      </c>
      <c r="Q1546" t="s">
        <v>32</v>
      </c>
      <c r="R1546" t="s">
        <v>40</v>
      </c>
      <c r="S1546" t="s">
        <v>41</v>
      </c>
      <c r="T1546" t="s">
        <v>32</v>
      </c>
      <c r="U1546" t="s">
        <v>32</v>
      </c>
      <c r="V1546" t="s">
        <v>55</v>
      </c>
      <c r="W1546" t="s">
        <v>32</v>
      </c>
      <c r="X1546" t="s">
        <v>32</v>
      </c>
      <c r="Y1546" t="s">
        <v>207</v>
      </c>
      <c r="Z1546" t="s">
        <v>32</v>
      </c>
      <c r="AA1546" t="s">
        <v>18129</v>
      </c>
      <c r="AB1546" t="s">
        <v>18130</v>
      </c>
      <c r="AC1546" t="s">
        <v>18131</v>
      </c>
      <c r="AD1546" t="s">
        <v>32</v>
      </c>
      <c r="AE1546" t="s">
        <v>32</v>
      </c>
      <c r="AF1546" t="s">
        <v>46835</v>
      </c>
    </row>
    <row r="1547" spans="1:33" x14ac:dyDescent="0.2">
      <c r="A1547">
        <v>1542</v>
      </c>
      <c r="B1547" t="s">
        <v>18132</v>
      </c>
      <c r="C1547" t="s">
        <v>18133</v>
      </c>
      <c r="D1547" t="s">
        <v>18134</v>
      </c>
      <c r="E1547" t="s">
        <v>18135</v>
      </c>
      <c r="F1547" t="s">
        <v>18136</v>
      </c>
      <c r="G1547" t="s">
        <v>18137</v>
      </c>
      <c r="H1547" t="str">
        <f>"Rab3gap2"</f>
        <v>Rab3gap2</v>
      </c>
      <c r="I1547" t="s">
        <v>18138</v>
      </c>
      <c r="J1547" t="s">
        <v>37</v>
      </c>
      <c r="K1547">
        <v>10090</v>
      </c>
      <c r="L1547" s="3" t="str">
        <f>HYPERLINK("http://www.uniprot.org/uniprot/Q8BMG7", "Q8BMG7")</f>
        <v>Q8BMG7</v>
      </c>
      <c r="M1547" t="s">
        <v>18139</v>
      </c>
      <c r="N1547" t="str">
        <f>"Rab3gap2"</f>
        <v>Rab3gap2</v>
      </c>
      <c r="O1547" s="3" t="str">
        <f>HYPERLINK("http://www.informatics.jax.org/marker/MGI:1916043", "MGI:1916043")</f>
        <v>MGI:1916043</v>
      </c>
      <c r="P1547" t="s">
        <v>18140</v>
      </c>
      <c r="Q1547" t="s">
        <v>32</v>
      </c>
      <c r="R1547" t="s">
        <v>418</v>
      </c>
      <c r="S1547" t="s">
        <v>41</v>
      </c>
      <c r="T1547" t="s">
        <v>32</v>
      </c>
      <c r="U1547" t="s">
        <v>32</v>
      </c>
      <c r="V1547" t="s">
        <v>32</v>
      </c>
      <c r="W1547" t="s">
        <v>32</v>
      </c>
      <c r="X1547" t="s">
        <v>715</v>
      </c>
      <c r="Y1547" t="s">
        <v>618</v>
      </c>
      <c r="Z1547" t="s">
        <v>32</v>
      </c>
      <c r="AA1547" t="s">
        <v>18141</v>
      </c>
      <c r="AB1547" t="s">
        <v>18142</v>
      </c>
      <c r="AC1547" t="s">
        <v>18143</v>
      </c>
      <c r="AD1547" t="s">
        <v>32</v>
      </c>
      <c r="AE1547" t="s">
        <v>18144</v>
      </c>
      <c r="AF1547" t="s">
        <v>46835</v>
      </c>
    </row>
    <row r="1548" spans="1:33" x14ac:dyDescent="0.2">
      <c r="A1548">
        <v>1543</v>
      </c>
      <c r="B1548" t="s">
        <v>18145</v>
      </c>
      <c r="C1548" t="s">
        <v>18146</v>
      </c>
      <c r="D1548" t="s">
        <v>32</v>
      </c>
      <c r="E1548" t="s">
        <v>18147</v>
      </c>
      <c r="F1548" t="s">
        <v>18148</v>
      </c>
      <c r="G1548" t="s">
        <v>18149</v>
      </c>
      <c r="H1548" t="str">
        <f>"Atxn2l"</f>
        <v>Atxn2l</v>
      </c>
      <c r="I1548" t="s">
        <v>18150</v>
      </c>
      <c r="J1548" t="s">
        <v>37</v>
      </c>
      <c r="K1548">
        <v>10090</v>
      </c>
      <c r="L1548" s="3" t="str">
        <f>HYPERLINK("http://www.uniprot.org/uniprot/Q7TQH0", "Q7TQH0")</f>
        <v>Q7TQH0</v>
      </c>
      <c r="M1548" t="s">
        <v>18151</v>
      </c>
      <c r="N1548" t="str">
        <f>"Atxn2l"</f>
        <v>Atxn2l</v>
      </c>
      <c r="O1548" s="3" t="str">
        <f>HYPERLINK("http://www.informatics.jax.org/marker/MGI:2446242", "MGI:2446242")</f>
        <v>MGI:2446242</v>
      </c>
      <c r="P1548" t="s">
        <v>18152</v>
      </c>
      <c r="Q1548" t="s">
        <v>32</v>
      </c>
      <c r="R1548" t="s">
        <v>5943</v>
      </c>
      <c r="S1548" t="s">
        <v>41</v>
      </c>
      <c r="T1548" t="s">
        <v>32</v>
      </c>
      <c r="U1548" t="s">
        <v>32</v>
      </c>
      <c r="V1548" t="s">
        <v>32</v>
      </c>
      <c r="W1548" t="s">
        <v>32</v>
      </c>
      <c r="X1548" t="s">
        <v>32</v>
      </c>
      <c r="Y1548" t="s">
        <v>207</v>
      </c>
      <c r="Z1548" t="s">
        <v>32</v>
      </c>
      <c r="AA1548" t="s">
        <v>18153</v>
      </c>
      <c r="AB1548" t="s">
        <v>18154</v>
      </c>
      <c r="AC1548" t="s">
        <v>4711</v>
      </c>
      <c r="AD1548" t="s">
        <v>32</v>
      </c>
      <c r="AE1548" t="s">
        <v>32</v>
      </c>
      <c r="AF1548" t="s">
        <v>46835</v>
      </c>
    </row>
    <row r="1549" spans="1:33" x14ac:dyDescent="0.2">
      <c r="A1549">
        <v>1544</v>
      </c>
      <c r="B1549" t="s">
        <v>18155</v>
      </c>
      <c r="C1549" t="s">
        <v>18156</v>
      </c>
      <c r="D1549" t="s">
        <v>18157</v>
      </c>
      <c r="E1549" t="s">
        <v>18158</v>
      </c>
      <c r="F1549" t="s">
        <v>18159</v>
      </c>
      <c r="G1549" t="s">
        <v>18160</v>
      </c>
      <c r="H1549" t="str">
        <f>"Sec16a"</f>
        <v>Sec16a</v>
      </c>
      <c r="I1549" t="s">
        <v>18161</v>
      </c>
      <c r="J1549" t="s">
        <v>37</v>
      </c>
      <c r="K1549">
        <v>10090</v>
      </c>
      <c r="L1549" s="3" t="str">
        <f>HYPERLINK("http://www.uniprot.org/uniprot/E9QAT4", "E9QAT4")</f>
        <v>E9QAT4</v>
      </c>
      <c r="M1549" t="s">
        <v>18162</v>
      </c>
      <c r="N1549" t="str">
        <f>"Sec16a"</f>
        <v>Sec16a</v>
      </c>
      <c r="O1549" s="3" t="str">
        <f>HYPERLINK("http://www.informatics.jax.org/marker/MGI:2139207", "MGI:2139207")</f>
        <v>MGI:2139207</v>
      </c>
      <c r="P1549" t="s">
        <v>18163</v>
      </c>
      <c r="Q1549" t="s">
        <v>2916</v>
      </c>
      <c r="R1549" t="s">
        <v>18164</v>
      </c>
      <c r="S1549" t="s">
        <v>41</v>
      </c>
      <c r="T1549" t="s">
        <v>32</v>
      </c>
      <c r="U1549" t="s">
        <v>32</v>
      </c>
      <c r="V1549" t="s">
        <v>32</v>
      </c>
      <c r="W1549" t="s">
        <v>32</v>
      </c>
      <c r="X1549" t="s">
        <v>32</v>
      </c>
      <c r="Y1549" t="s">
        <v>618</v>
      </c>
      <c r="Z1549" t="s">
        <v>32</v>
      </c>
      <c r="AA1549" t="s">
        <v>18165</v>
      </c>
      <c r="AB1549" t="s">
        <v>18166</v>
      </c>
      <c r="AC1549" t="s">
        <v>32</v>
      </c>
      <c r="AD1549" t="s">
        <v>32</v>
      </c>
      <c r="AE1549" t="s">
        <v>11206</v>
      </c>
      <c r="AF1549" t="s">
        <v>46835</v>
      </c>
    </row>
    <row r="1550" spans="1:33" x14ac:dyDescent="0.2">
      <c r="A1550">
        <v>1545</v>
      </c>
      <c r="B1550" t="s">
        <v>18167</v>
      </c>
      <c r="C1550" t="s">
        <v>18168</v>
      </c>
      <c r="D1550" t="s">
        <v>32</v>
      </c>
      <c r="E1550" t="s">
        <v>18169</v>
      </c>
      <c r="F1550" t="s">
        <v>18170</v>
      </c>
      <c r="G1550" t="s">
        <v>32</v>
      </c>
      <c r="H1550" t="str">
        <f>"Prkca"</f>
        <v>Prkca</v>
      </c>
      <c r="I1550" t="s">
        <v>18171</v>
      </c>
      <c r="J1550" t="s">
        <v>37</v>
      </c>
      <c r="K1550">
        <v>10090</v>
      </c>
      <c r="L1550" s="3" t="str">
        <f>HYPERLINK("http://www.uniprot.org/uniprot/P20444", "P20444")</f>
        <v>P20444</v>
      </c>
      <c r="M1550" t="s">
        <v>18172</v>
      </c>
      <c r="N1550" t="str">
        <f>"Prkca"</f>
        <v>Prkca</v>
      </c>
      <c r="O1550" s="3" t="str">
        <f>HYPERLINK("http://www.informatics.jax.org/marker/MGI:97595", "MGI:97595")</f>
        <v>MGI:97595</v>
      </c>
      <c r="P1550" t="s">
        <v>18173</v>
      </c>
      <c r="Q1550" t="s">
        <v>18174</v>
      </c>
      <c r="R1550" t="s">
        <v>859</v>
      </c>
      <c r="S1550" t="s">
        <v>32</v>
      </c>
      <c r="T1550" t="s">
        <v>32</v>
      </c>
      <c r="U1550" t="s">
        <v>32</v>
      </c>
      <c r="V1550" t="s">
        <v>3791</v>
      </c>
      <c r="W1550" t="s">
        <v>18175</v>
      </c>
      <c r="X1550" t="s">
        <v>5419</v>
      </c>
      <c r="Y1550" t="s">
        <v>157</v>
      </c>
      <c r="Z1550" t="s">
        <v>32</v>
      </c>
      <c r="AA1550" t="s">
        <v>18176</v>
      </c>
      <c r="AB1550" t="s">
        <v>18177</v>
      </c>
      <c r="AC1550" t="s">
        <v>18178</v>
      </c>
      <c r="AD1550" t="s">
        <v>32</v>
      </c>
      <c r="AE1550" t="s">
        <v>18179</v>
      </c>
      <c r="AF1550" t="s">
        <v>46835</v>
      </c>
    </row>
    <row r="1551" spans="1:33" x14ac:dyDescent="0.2">
      <c r="A1551">
        <v>1546</v>
      </c>
      <c r="B1551" t="s">
        <v>18180</v>
      </c>
      <c r="C1551" t="s">
        <v>18181</v>
      </c>
      <c r="D1551" t="s">
        <v>32</v>
      </c>
      <c r="E1551" t="s">
        <v>18182</v>
      </c>
      <c r="F1551" t="s">
        <v>18183</v>
      </c>
      <c r="G1551" t="s">
        <v>32</v>
      </c>
      <c r="H1551" t="str">
        <f>"Dcakd"</f>
        <v>Dcakd</v>
      </c>
      <c r="I1551" t="s">
        <v>32</v>
      </c>
      <c r="J1551" t="s">
        <v>37</v>
      </c>
      <c r="K1551">
        <v>10090</v>
      </c>
      <c r="L1551" s="3" t="str">
        <f>HYPERLINK("http://www.uniprot.org/uniprot/Q8BHC4", "Q8BHC4")</f>
        <v>Q8BHC4</v>
      </c>
      <c r="M1551" t="s">
        <v>18184</v>
      </c>
      <c r="N1551" t="str">
        <f>"Dcakd"</f>
        <v>Dcakd</v>
      </c>
      <c r="O1551" s="3" t="str">
        <f>HYPERLINK("http://www.informatics.jax.org/marker/MGI:1915337", "MGI:1915337")</f>
        <v>MGI:1915337</v>
      </c>
      <c r="P1551" t="s">
        <v>205</v>
      </c>
      <c r="Q1551" t="s">
        <v>32</v>
      </c>
      <c r="R1551" t="s">
        <v>32</v>
      </c>
      <c r="S1551" t="s">
        <v>32</v>
      </c>
      <c r="T1551" t="s">
        <v>32</v>
      </c>
      <c r="U1551" t="s">
        <v>32</v>
      </c>
      <c r="V1551" t="s">
        <v>32</v>
      </c>
      <c r="W1551" t="s">
        <v>205</v>
      </c>
      <c r="X1551" t="s">
        <v>32</v>
      </c>
      <c r="Y1551" t="s">
        <v>32</v>
      </c>
      <c r="Z1551" t="s">
        <v>32</v>
      </c>
      <c r="AA1551" t="s">
        <v>18185</v>
      </c>
      <c r="AB1551" t="s">
        <v>3721</v>
      </c>
      <c r="AC1551" t="s">
        <v>18186</v>
      </c>
      <c r="AD1551" t="s">
        <v>32</v>
      </c>
      <c r="AE1551" t="s">
        <v>32</v>
      </c>
      <c r="AF1551" t="s">
        <v>46835</v>
      </c>
    </row>
    <row r="1552" spans="1:33" x14ac:dyDescent="0.2">
      <c r="A1552">
        <v>1547</v>
      </c>
      <c r="B1552" t="s">
        <v>18187</v>
      </c>
      <c r="C1552" t="s">
        <v>18188</v>
      </c>
      <c r="D1552" t="s">
        <v>18189</v>
      </c>
      <c r="E1552" t="s">
        <v>18190</v>
      </c>
      <c r="F1552" t="s">
        <v>18191</v>
      </c>
      <c r="G1552" t="s">
        <v>18192</v>
      </c>
      <c r="H1552" t="str">
        <f>"Ahcyl2"</f>
        <v>Ahcyl2</v>
      </c>
      <c r="I1552" t="s">
        <v>32</v>
      </c>
      <c r="J1552" t="s">
        <v>37</v>
      </c>
      <c r="K1552">
        <v>10090</v>
      </c>
      <c r="L1552" s="3" t="str">
        <f>HYPERLINK("http://www.uniprot.org/uniprot/Q68FL4", "Q68FL4")</f>
        <v>Q68FL4</v>
      </c>
      <c r="M1552" t="s">
        <v>18193</v>
      </c>
      <c r="N1552" t="str">
        <f>"Ahcyl2"</f>
        <v>Ahcyl2</v>
      </c>
      <c r="O1552" s="3" t="str">
        <f>HYPERLINK("http://www.informatics.jax.org/marker/MGI:1921590", "MGI:1921590")</f>
        <v>MGI:1921590</v>
      </c>
      <c r="P1552" t="s">
        <v>18194</v>
      </c>
      <c r="Q1552" t="s">
        <v>2308</v>
      </c>
      <c r="R1552" t="s">
        <v>18195</v>
      </c>
      <c r="S1552" t="s">
        <v>41</v>
      </c>
      <c r="T1552" t="s">
        <v>32</v>
      </c>
      <c r="U1552" t="s">
        <v>32</v>
      </c>
      <c r="V1552" t="s">
        <v>32</v>
      </c>
      <c r="W1552" t="s">
        <v>325</v>
      </c>
      <c r="X1552" t="s">
        <v>343</v>
      </c>
      <c r="Y1552" t="s">
        <v>157</v>
      </c>
      <c r="Z1552" t="s">
        <v>32</v>
      </c>
      <c r="AA1552" t="s">
        <v>18196</v>
      </c>
      <c r="AB1552" t="s">
        <v>18197</v>
      </c>
      <c r="AC1552" t="s">
        <v>17866</v>
      </c>
      <c r="AD1552" t="s">
        <v>2313</v>
      </c>
      <c r="AE1552" t="s">
        <v>18198</v>
      </c>
      <c r="AF1552" t="s">
        <v>46835</v>
      </c>
    </row>
    <row r="1553" spans="1:32" x14ac:dyDescent="0.2">
      <c r="A1553">
        <v>1548</v>
      </c>
      <c r="B1553" t="s">
        <v>18199</v>
      </c>
      <c r="C1553" t="s">
        <v>18200</v>
      </c>
      <c r="D1553" t="s">
        <v>32</v>
      </c>
      <c r="E1553" t="s">
        <v>18201</v>
      </c>
      <c r="F1553" t="s">
        <v>18202</v>
      </c>
      <c r="G1553" t="s">
        <v>18203</v>
      </c>
      <c r="H1553" t="str">
        <f>"Rab2a"</f>
        <v>Rab2a</v>
      </c>
      <c r="I1553" t="s">
        <v>18204</v>
      </c>
      <c r="J1553" t="s">
        <v>37</v>
      </c>
      <c r="K1553">
        <v>10090</v>
      </c>
      <c r="L1553" s="3" t="str">
        <f>HYPERLINK("http://www.uniprot.org/uniprot/P53994", "P53994")</f>
        <v>P53994</v>
      </c>
      <c r="M1553" t="s">
        <v>18205</v>
      </c>
      <c r="N1553" t="str">
        <f>"Rab2a"</f>
        <v>Rab2a</v>
      </c>
      <c r="O1553" s="3" t="str">
        <f>HYPERLINK("http://www.informatics.jax.org/marker/MGI:1928750", "MGI:1928750")</f>
        <v>MGI:1928750</v>
      </c>
      <c r="P1553" t="s">
        <v>18206</v>
      </c>
      <c r="Q1553" t="s">
        <v>2916</v>
      </c>
      <c r="R1553" t="s">
        <v>18207</v>
      </c>
      <c r="S1553" t="s">
        <v>32</v>
      </c>
      <c r="T1553" t="s">
        <v>32</v>
      </c>
      <c r="U1553" t="s">
        <v>32</v>
      </c>
      <c r="V1553" t="s">
        <v>32</v>
      </c>
      <c r="W1553" t="s">
        <v>261</v>
      </c>
      <c r="X1553" t="s">
        <v>343</v>
      </c>
      <c r="Y1553" t="s">
        <v>18208</v>
      </c>
      <c r="Z1553" t="s">
        <v>32</v>
      </c>
      <c r="AA1553" t="s">
        <v>18209</v>
      </c>
      <c r="AB1553" t="s">
        <v>18210</v>
      </c>
      <c r="AC1553" t="s">
        <v>15334</v>
      </c>
      <c r="AD1553" t="s">
        <v>32</v>
      </c>
      <c r="AE1553" t="s">
        <v>18211</v>
      </c>
      <c r="AF1553" t="s">
        <v>46835</v>
      </c>
    </row>
    <row r="1554" spans="1:32" x14ac:dyDescent="0.2">
      <c r="A1554">
        <v>1549</v>
      </c>
      <c r="B1554" t="s">
        <v>18212</v>
      </c>
      <c r="C1554" t="s">
        <v>18213</v>
      </c>
      <c r="D1554" t="s">
        <v>18214</v>
      </c>
      <c r="E1554" t="s">
        <v>18215</v>
      </c>
      <c r="F1554" t="s">
        <v>18216</v>
      </c>
      <c r="G1554" t="s">
        <v>18217</v>
      </c>
      <c r="H1554" t="str">
        <f>"Thumpd3"</f>
        <v>Thumpd3</v>
      </c>
      <c r="I1554" t="s">
        <v>32</v>
      </c>
      <c r="J1554" t="s">
        <v>37</v>
      </c>
      <c r="K1554">
        <v>10090</v>
      </c>
      <c r="L1554" s="3" t="str">
        <f>HYPERLINK("http://www.uniprot.org/uniprot/P97770", "P97770")</f>
        <v>P97770</v>
      </c>
      <c r="M1554" t="s">
        <v>18218</v>
      </c>
      <c r="N1554" t="str">
        <f>"Thumpd3"</f>
        <v>Thumpd3</v>
      </c>
      <c r="O1554" s="3" t="str">
        <f>HYPERLINK("http://www.informatics.jax.org/marker/MGI:1277973", "MGI:1277973")</f>
        <v>MGI:1277973</v>
      </c>
      <c r="P1554" t="s">
        <v>18219</v>
      </c>
      <c r="Q1554" t="s">
        <v>4386</v>
      </c>
      <c r="R1554" t="s">
        <v>418</v>
      </c>
      <c r="S1554" t="s">
        <v>41</v>
      </c>
      <c r="T1554" t="s">
        <v>32</v>
      </c>
      <c r="U1554" t="s">
        <v>32</v>
      </c>
      <c r="V1554" t="s">
        <v>32</v>
      </c>
      <c r="W1554" t="s">
        <v>1705</v>
      </c>
      <c r="X1554" t="s">
        <v>8598</v>
      </c>
      <c r="Y1554" t="s">
        <v>32</v>
      </c>
      <c r="Z1554" t="s">
        <v>32</v>
      </c>
      <c r="AA1554" t="s">
        <v>18220</v>
      </c>
      <c r="AB1554" t="s">
        <v>18221</v>
      </c>
      <c r="AC1554" t="s">
        <v>18222</v>
      </c>
      <c r="AD1554" t="s">
        <v>32</v>
      </c>
      <c r="AE1554" t="s">
        <v>32</v>
      </c>
      <c r="AF1554" t="s">
        <v>46835</v>
      </c>
    </row>
    <row r="1555" spans="1:32" x14ac:dyDescent="0.2">
      <c r="A1555">
        <v>1550</v>
      </c>
      <c r="B1555" t="s">
        <v>18223</v>
      </c>
      <c r="C1555" t="s">
        <v>18224</v>
      </c>
      <c r="D1555" t="s">
        <v>18225</v>
      </c>
      <c r="E1555" t="s">
        <v>18226</v>
      </c>
      <c r="F1555" t="s">
        <v>18227</v>
      </c>
      <c r="G1555" t="s">
        <v>18228</v>
      </c>
      <c r="H1555" t="str">
        <f>"Ccs"</f>
        <v>Ccs</v>
      </c>
      <c r="I1555" t="s">
        <v>18229</v>
      </c>
      <c r="J1555" t="s">
        <v>37</v>
      </c>
      <c r="K1555">
        <v>10090</v>
      </c>
      <c r="L1555" s="3" t="str">
        <f>HYPERLINK("http://www.uniprot.org/uniprot/Q9WU84", "Q9WU84")</f>
        <v>Q9WU84</v>
      </c>
      <c r="M1555" t="s">
        <v>18230</v>
      </c>
      <c r="N1555" t="str">
        <f>"Ccs"</f>
        <v>Ccs</v>
      </c>
      <c r="O1555" s="3" t="str">
        <f>HYPERLINK("http://www.informatics.jax.org/marker/MGI:1333783", "MGI:1333783")</f>
        <v>MGI:1333783</v>
      </c>
      <c r="P1555" t="s">
        <v>18231</v>
      </c>
      <c r="Q1555" t="s">
        <v>32</v>
      </c>
      <c r="R1555" t="s">
        <v>418</v>
      </c>
      <c r="S1555" t="s">
        <v>32</v>
      </c>
      <c r="T1555" t="s">
        <v>32</v>
      </c>
      <c r="U1555" t="s">
        <v>32</v>
      </c>
      <c r="V1555" t="s">
        <v>32</v>
      </c>
      <c r="W1555" t="s">
        <v>1234</v>
      </c>
      <c r="X1555" t="s">
        <v>388</v>
      </c>
      <c r="Y1555" t="s">
        <v>18232</v>
      </c>
      <c r="Z1555" t="s">
        <v>32</v>
      </c>
      <c r="AA1555" t="s">
        <v>18233</v>
      </c>
      <c r="AB1555" t="s">
        <v>18234</v>
      </c>
      <c r="AC1555" t="s">
        <v>18235</v>
      </c>
      <c r="AD1555" t="s">
        <v>32</v>
      </c>
      <c r="AE1555" t="s">
        <v>10408</v>
      </c>
      <c r="AF1555" t="s">
        <v>46835</v>
      </c>
    </row>
    <row r="1556" spans="1:32" x14ac:dyDescent="0.2">
      <c r="A1556">
        <v>1551</v>
      </c>
      <c r="B1556" t="s">
        <v>18236</v>
      </c>
      <c r="C1556" t="s">
        <v>18237</v>
      </c>
      <c r="D1556" t="s">
        <v>32</v>
      </c>
      <c r="E1556" t="s">
        <v>18238</v>
      </c>
      <c r="F1556" t="s">
        <v>18239</v>
      </c>
      <c r="G1556" t="s">
        <v>32</v>
      </c>
      <c r="H1556" t="str">
        <f>"Tiprl"</f>
        <v>Tiprl</v>
      </c>
      <c r="I1556" t="s">
        <v>32</v>
      </c>
      <c r="J1556" t="s">
        <v>37</v>
      </c>
      <c r="K1556">
        <v>10090</v>
      </c>
      <c r="L1556" s="3" t="str">
        <f>HYPERLINK("http://www.uniprot.org/uniprot/Q8BH58", "Q8BH58")</f>
        <v>Q8BH58</v>
      </c>
      <c r="M1556" t="s">
        <v>18240</v>
      </c>
      <c r="N1556" t="str">
        <f>"Tiprl"</f>
        <v>Tiprl</v>
      </c>
      <c r="O1556" s="3" t="str">
        <f>HYPERLINK("http://www.informatics.jax.org/marker/MGI:1915087", "MGI:1915087")</f>
        <v>MGI:1915087</v>
      </c>
      <c r="P1556" t="s">
        <v>1578</v>
      </c>
      <c r="Q1556" t="s">
        <v>32</v>
      </c>
      <c r="R1556" t="s">
        <v>418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32</v>
      </c>
      <c r="Y1556" t="s">
        <v>157</v>
      </c>
      <c r="Z1556" t="s">
        <v>126</v>
      </c>
      <c r="AA1556" t="s">
        <v>18241</v>
      </c>
      <c r="AB1556" t="s">
        <v>1268</v>
      </c>
      <c r="AC1556" t="s">
        <v>32</v>
      </c>
      <c r="AD1556" t="s">
        <v>32</v>
      </c>
      <c r="AE1556" t="s">
        <v>32</v>
      </c>
      <c r="AF1556" t="s">
        <v>46835</v>
      </c>
    </row>
    <row r="1557" spans="1:32" x14ac:dyDescent="0.2">
      <c r="A1557">
        <v>1552</v>
      </c>
      <c r="B1557" t="s">
        <v>18242</v>
      </c>
      <c r="C1557" t="s">
        <v>18243</v>
      </c>
      <c r="D1557" t="s">
        <v>18244</v>
      </c>
      <c r="E1557" t="s">
        <v>18245</v>
      </c>
      <c r="F1557" t="s">
        <v>18246</v>
      </c>
      <c r="G1557" t="s">
        <v>18247</v>
      </c>
      <c r="H1557" t="str">
        <f>"Tpmt"</f>
        <v>Tpmt</v>
      </c>
      <c r="I1557" t="s">
        <v>32</v>
      </c>
      <c r="J1557" t="s">
        <v>37</v>
      </c>
      <c r="K1557">
        <v>10090</v>
      </c>
      <c r="L1557" s="3" t="str">
        <f>HYPERLINK("http://www.uniprot.org/uniprot/O55060", "O55060")</f>
        <v>O55060</v>
      </c>
      <c r="M1557" t="s">
        <v>18248</v>
      </c>
      <c r="N1557" t="str">
        <f>"Tpmt"</f>
        <v>Tpmt</v>
      </c>
      <c r="O1557" s="3" t="str">
        <f>HYPERLINK("http://www.informatics.jax.org/marker/MGI:98812", "MGI:98812")</f>
        <v>MGI:98812</v>
      </c>
      <c r="P1557" t="s">
        <v>18249</v>
      </c>
      <c r="Q1557" t="s">
        <v>32</v>
      </c>
      <c r="R1557" t="s">
        <v>418</v>
      </c>
      <c r="S1557" t="s">
        <v>32</v>
      </c>
      <c r="T1557" t="s">
        <v>32</v>
      </c>
      <c r="U1557" t="s">
        <v>32</v>
      </c>
      <c r="V1557" t="s">
        <v>32</v>
      </c>
      <c r="W1557" t="s">
        <v>1705</v>
      </c>
      <c r="X1557" t="s">
        <v>1706</v>
      </c>
      <c r="Y1557" t="s">
        <v>157</v>
      </c>
      <c r="Z1557" t="s">
        <v>126</v>
      </c>
      <c r="AA1557" t="s">
        <v>18250</v>
      </c>
      <c r="AB1557" t="s">
        <v>2172</v>
      </c>
      <c r="AC1557" t="s">
        <v>18251</v>
      </c>
      <c r="AD1557" t="s">
        <v>32</v>
      </c>
      <c r="AE1557" t="s">
        <v>18252</v>
      </c>
      <c r="AF1557" t="s">
        <v>46835</v>
      </c>
    </row>
    <row r="1558" spans="1:32" x14ac:dyDescent="0.2">
      <c r="A1558">
        <v>1553</v>
      </c>
      <c r="B1558" t="s">
        <v>18253</v>
      </c>
      <c r="C1558" t="s">
        <v>18254</v>
      </c>
      <c r="D1558" t="s">
        <v>18255</v>
      </c>
      <c r="E1558" t="s">
        <v>18256</v>
      </c>
      <c r="F1558" t="s">
        <v>18257</v>
      </c>
      <c r="G1558" t="s">
        <v>18258</v>
      </c>
      <c r="H1558" t="str">
        <f>"Ipo8"</f>
        <v>Ipo8</v>
      </c>
      <c r="I1558" t="s">
        <v>32</v>
      </c>
      <c r="J1558" t="s">
        <v>37</v>
      </c>
      <c r="K1558">
        <v>10090</v>
      </c>
      <c r="L1558" s="3" t="str">
        <f>HYPERLINK("http://www.uniprot.org/uniprot/Q7TMY7", "Q7TMY7")</f>
        <v>Q7TMY7</v>
      </c>
      <c r="M1558" t="s">
        <v>18259</v>
      </c>
      <c r="N1558" t="str">
        <f>"Ipo8"</f>
        <v>Ipo8</v>
      </c>
      <c r="O1558" s="3" t="str">
        <f>HYPERLINK("http://www.informatics.jax.org/marker/MGI:2444611", "MGI:2444611")</f>
        <v>MGI:2444611</v>
      </c>
      <c r="P1558" t="s">
        <v>18260</v>
      </c>
      <c r="Q1558" t="s">
        <v>434</v>
      </c>
      <c r="R1558" t="s">
        <v>40</v>
      </c>
      <c r="S1558" t="s">
        <v>41</v>
      </c>
      <c r="T1558" t="s">
        <v>32</v>
      </c>
      <c r="U1558" t="s">
        <v>32</v>
      </c>
      <c r="V1558" t="s">
        <v>32</v>
      </c>
      <c r="W1558" t="s">
        <v>32</v>
      </c>
      <c r="X1558" t="s">
        <v>32</v>
      </c>
      <c r="Y1558" t="s">
        <v>618</v>
      </c>
      <c r="Z1558" t="s">
        <v>32</v>
      </c>
      <c r="AA1558" t="s">
        <v>11486</v>
      </c>
      <c r="AB1558" t="s">
        <v>18261</v>
      </c>
      <c r="AC1558" t="s">
        <v>18262</v>
      </c>
      <c r="AD1558" t="s">
        <v>32</v>
      </c>
      <c r="AE1558" t="s">
        <v>18263</v>
      </c>
      <c r="AF1558" t="s">
        <v>46835</v>
      </c>
    </row>
    <row r="1559" spans="1:32" x14ac:dyDescent="0.2">
      <c r="A1559">
        <v>1554</v>
      </c>
      <c r="B1559" t="s">
        <v>18264</v>
      </c>
      <c r="C1559" t="s">
        <v>18265</v>
      </c>
      <c r="D1559" t="s">
        <v>18266</v>
      </c>
      <c r="E1559" t="s">
        <v>18267</v>
      </c>
      <c r="F1559" t="s">
        <v>18268</v>
      </c>
      <c r="G1559" t="s">
        <v>18269</v>
      </c>
      <c r="H1559" t="str">
        <f>"Chmp5"</f>
        <v>Chmp5</v>
      </c>
      <c r="I1559" t="s">
        <v>18270</v>
      </c>
      <c r="J1559" t="s">
        <v>37</v>
      </c>
      <c r="K1559">
        <v>10090</v>
      </c>
      <c r="L1559" s="3" t="str">
        <f>HYPERLINK("http://www.uniprot.org/uniprot/Q9D7S9", "Q9D7S9")</f>
        <v>Q9D7S9</v>
      </c>
      <c r="M1559" t="s">
        <v>18271</v>
      </c>
      <c r="N1559" t="str">
        <f>"Chmp5"</f>
        <v>Chmp5</v>
      </c>
      <c r="O1559" s="3" t="str">
        <f>HYPERLINK("http://www.informatics.jax.org/marker/MGI:1924209", "MGI:1924209")</f>
        <v>MGI:1924209</v>
      </c>
      <c r="P1559" t="s">
        <v>18272</v>
      </c>
      <c r="Q1559" t="s">
        <v>434</v>
      </c>
      <c r="R1559" t="s">
        <v>6558</v>
      </c>
      <c r="S1559" t="s">
        <v>32</v>
      </c>
      <c r="T1559" t="s">
        <v>32</v>
      </c>
      <c r="U1559" t="s">
        <v>32</v>
      </c>
      <c r="V1559" t="s">
        <v>290</v>
      </c>
      <c r="W1559" t="s">
        <v>32</v>
      </c>
      <c r="X1559" t="s">
        <v>32</v>
      </c>
      <c r="Y1559" t="s">
        <v>2836</v>
      </c>
      <c r="Z1559" t="s">
        <v>32</v>
      </c>
      <c r="AA1559" t="s">
        <v>18273</v>
      </c>
      <c r="AB1559" t="s">
        <v>18274</v>
      </c>
      <c r="AC1559" t="s">
        <v>32</v>
      </c>
      <c r="AD1559" t="s">
        <v>32</v>
      </c>
      <c r="AE1559" t="s">
        <v>14055</v>
      </c>
      <c r="AF1559" t="s">
        <v>46835</v>
      </c>
    </row>
    <row r="1560" spans="1:32" x14ac:dyDescent="0.2">
      <c r="A1560">
        <v>1555</v>
      </c>
      <c r="B1560" t="s">
        <v>18275</v>
      </c>
      <c r="C1560" t="s">
        <v>18276</v>
      </c>
      <c r="D1560" t="s">
        <v>18277</v>
      </c>
      <c r="E1560" t="s">
        <v>18278</v>
      </c>
      <c r="F1560" t="s">
        <v>18279</v>
      </c>
      <c r="G1560" t="s">
        <v>18280</v>
      </c>
      <c r="H1560" t="str">
        <f>"Commd3"</f>
        <v>Commd3</v>
      </c>
      <c r="I1560" t="s">
        <v>18281</v>
      </c>
      <c r="J1560" t="s">
        <v>37</v>
      </c>
      <c r="K1560">
        <v>10090</v>
      </c>
      <c r="L1560" s="3" t="str">
        <f>HYPERLINK("http://www.uniprot.org/uniprot/Q63829", "Q63829")</f>
        <v>Q63829</v>
      </c>
      <c r="M1560" t="s">
        <v>18282</v>
      </c>
      <c r="N1560" t="str">
        <f>"Commd3"</f>
        <v>Commd3</v>
      </c>
      <c r="O1560" s="3" t="str">
        <f>HYPERLINK("http://www.informatics.jax.org/marker/MGI:88218", "MGI:88218")</f>
        <v>MGI:88218</v>
      </c>
      <c r="P1560" t="s">
        <v>18283</v>
      </c>
      <c r="Q1560" t="s">
        <v>18284</v>
      </c>
      <c r="R1560" t="s">
        <v>40</v>
      </c>
      <c r="S1560" t="s">
        <v>32</v>
      </c>
      <c r="T1560" t="s">
        <v>32</v>
      </c>
      <c r="U1560" t="s">
        <v>32</v>
      </c>
      <c r="V1560" t="s">
        <v>32</v>
      </c>
      <c r="W1560" t="s">
        <v>18285</v>
      </c>
      <c r="X1560" t="s">
        <v>32</v>
      </c>
      <c r="Y1560" t="s">
        <v>32</v>
      </c>
      <c r="Z1560" t="s">
        <v>32</v>
      </c>
      <c r="AA1560" t="s">
        <v>18286</v>
      </c>
      <c r="AB1560" t="s">
        <v>110</v>
      </c>
      <c r="AC1560" t="s">
        <v>32</v>
      </c>
      <c r="AD1560" t="s">
        <v>32</v>
      </c>
      <c r="AE1560" t="s">
        <v>18287</v>
      </c>
      <c r="AF1560" t="s">
        <v>46835</v>
      </c>
    </row>
    <row r="1561" spans="1:32" x14ac:dyDescent="0.2">
      <c r="A1561">
        <v>1556</v>
      </c>
      <c r="B1561" t="s">
        <v>18288</v>
      </c>
      <c r="C1561" t="s">
        <v>18289</v>
      </c>
      <c r="D1561" t="s">
        <v>18290</v>
      </c>
      <c r="E1561" t="s">
        <v>18291</v>
      </c>
      <c r="F1561" t="s">
        <v>18292</v>
      </c>
      <c r="G1561" t="s">
        <v>18293</v>
      </c>
      <c r="H1561" t="str">
        <f>"Sntb1"</f>
        <v>Sntb1</v>
      </c>
      <c r="I1561" t="s">
        <v>18294</v>
      </c>
      <c r="J1561" t="s">
        <v>37</v>
      </c>
      <c r="K1561">
        <v>10090</v>
      </c>
      <c r="L1561" s="3" t="str">
        <f>HYPERLINK("http://www.uniprot.org/uniprot/Q99L88", "Q99L88")</f>
        <v>Q99L88</v>
      </c>
      <c r="M1561" t="s">
        <v>18295</v>
      </c>
      <c r="N1561" t="str">
        <f>"Sntb1"</f>
        <v>Sntb1</v>
      </c>
      <c r="O1561" s="3" t="str">
        <f>HYPERLINK("http://www.informatics.jax.org/marker/MGI:101781", "MGI:101781")</f>
        <v>MGI:101781</v>
      </c>
      <c r="P1561" t="s">
        <v>18296</v>
      </c>
      <c r="Q1561" t="s">
        <v>32</v>
      </c>
      <c r="R1561" t="s">
        <v>3015</v>
      </c>
      <c r="S1561" t="s">
        <v>41</v>
      </c>
      <c r="T1561" t="s">
        <v>32</v>
      </c>
      <c r="U1561" t="s">
        <v>32</v>
      </c>
      <c r="V1561" t="s">
        <v>55</v>
      </c>
      <c r="W1561" t="s">
        <v>1380</v>
      </c>
      <c r="X1561" t="s">
        <v>5561</v>
      </c>
      <c r="Y1561" t="s">
        <v>157</v>
      </c>
      <c r="Z1561" t="s">
        <v>32</v>
      </c>
      <c r="AA1561" t="s">
        <v>32</v>
      </c>
      <c r="AB1561" t="s">
        <v>18297</v>
      </c>
      <c r="AC1561" t="s">
        <v>18298</v>
      </c>
      <c r="AD1561" t="s">
        <v>32</v>
      </c>
      <c r="AE1561" t="s">
        <v>32</v>
      </c>
      <c r="AF1561" t="s">
        <v>46835</v>
      </c>
    </row>
    <row r="1562" spans="1:32" x14ac:dyDescent="0.2">
      <c r="A1562">
        <v>1557</v>
      </c>
      <c r="B1562" t="s">
        <v>18299</v>
      </c>
      <c r="C1562" t="s">
        <v>18300</v>
      </c>
      <c r="D1562" t="s">
        <v>32</v>
      </c>
      <c r="E1562" t="s">
        <v>18301</v>
      </c>
      <c r="F1562" t="s">
        <v>18302</v>
      </c>
      <c r="G1562" t="s">
        <v>32</v>
      </c>
      <c r="H1562" t="str">
        <f>"Ttc4"</f>
        <v>Ttc4</v>
      </c>
      <c r="I1562" t="s">
        <v>32</v>
      </c>
      <c r="J1562" t="s">
        <v>37</v>
      </c>
      <c r="K1562">
        <v>10090</v>
      </c>
      <c r="L1562" s="3" t="str">
        <f>HYPERLINK("http://www.uniprot.org/uniprot/Q8R3H9", "Q8R3H9")</f>
        <v>Q8R3H9</v>
      </c>
      <c r="M1562" t="s">
        <v>18303</v>
      </c>
      <c r="N1562" t="str">
        <f>"Ttc4"</f>
        <v>Ttc4</v>
      </c>
      <c r="O1562" s="3" t="str">
        <f>HYPERLINK("http://www.informatics.jax.org/marker/MGI:1919604", "MGI:1919604")</f>
        <v>MGI:1919604</v>
      </c>
      <c r="P1562" t="s">
        <v>18304</v>
      </c>
      <c r="Q1562" t="s">
        <v>8548</v>
      </c>
      <c r="R1562" t="s">
        <v>40</v>
      </c>
      <c r="S1562" t="s">
        <v>32</v>
      </c>
      <c r="T1562" t="s">
        <v>32</v>
      </c>
      <c r="U1562" t="s">
        <v>32</v>
      </c>
      <c r="V1562" t="s">
        <v>995</v>
      </c>
      <c r="W1562" t="s">
        <v>32</v>
      </c>
      <c r="X1562" t="s">
        <v>32</v>
      </c>
      <c r="Y1562" t="s">
        <v>157</v>
      </c>
      <c r="Z1562" t="s">
        <v>32</v>
      </c>
      <c r="AA1562" t="s">
        <v>18305</v>
      </c>
      <c r="AB1562" t="s">
        <v>9597</v>
      </c>
      <c r="AC1562" t="s">
        <v>18306</v>
      </c>
      <c r="AD1562" t="s">
        <v>32</v>
      </c>
      <c r="AE1562" t="s">
        <v>32</v>
      </c>
      <c r="AF1562" t="s">
        <v>46835</v>
      </c>
    </row>
    <row r="1563" spans="1:32" x14ac:dyDescent="0.2">
      <c r="A1563">
        <v>1558</v>
      </c>
      <c r="B1563" t="s">
        <v>18307</v>
      </c>
      <c r="C1563" t="s">
        <v>18308</v>
      </c>
      <c r="D1563" t="s">
        <v>32</v>
      </c>
      <c r="E1563" t="s">
        <v>18309</v>
      </c>
      <c r="F1563" t="s">
        <v>18310</v>
      </c>
      <c r="G1563" t="s">
        <v>18311</v>
      </c>
      <c r="H1563" t="str">
        <f>"Zfr"</f>
        <v>Zfr</v>
      </c>
      <c r="I1563" t="s">
        <v>32</v>
      </c>
      <c r="J1563" t="s">
        <v>37</v>
      </c>
      <c r="K1563">
        <v>10090</v>
      </c>
      <c r="L1563" s="3" t="str">
        <f>HYPERLINK("http://www.uniprot.org/uniprot/O88532", "O88532")</f>
        <v>O88532</v>
      </c>
      <c r="M1563" t="s">
        <v>18312</v>
      </c>
      <c r="N1563" t="str">
        <f>"Zfr"</f>
        <v>Zfr</v>
      </c>
      <c r="O1563" s="3" t="str">
        <f>HYPERLINK("http://www.informatics.jax.org/marker/MGI:1341890", "MGI:1341890")</f>
        <v>MGI:1341890</v>
      </c>
      <c r="P1563" t="s">
        <v>18313</v>
      </c>
      <c r="Q1563" t="s">
        <v>32</v>
      </c>
      <c r="R1563" t="s">
        <v>8375</v>
      </c>
      <c r="S1563" t="s">
        <v>32</v>
      </c>
      <c r="T1563" t="s">
        <v>32</v>
      </c>
      <c r="U1563" t="s">
        <v>32</v>
      </c>
      <c r="V1563" t="s">
        <v>55</v>
      </c>
      <c r="W1563" t="s">
        <v>32</v>
      </c>
      <c r="X1563" t="s">
        <v>18314</v>
      </c>
      <c r="Y1563" t="s">
        <v>516</v>
      </c>
      <c r="Z1563" t="s">
        <v>32</v>
      </c>
      <c r="AA1563" t="s">
        <v>32</v>
      </c>
      <c r="AB1563" t="s">
        <v>10239</v>
      </c>
      <c r="AC1563" t="s">
        <v>18315</v>
      </c>
      <c r="AD1563" t="s">
        <v>32</v>
      </c>
      <c r="AE1563" t="s">
        <v>32</v>
      </c>
      <c r="AF1563" t="s">
        <v>46835</v>
      </c>
    </row>
    <row r="1564" spans="1:32" x14ac:dyDescent="0.2">
      <c r="A1564">
        <v>1559</v>
      </c>
      <c r="B1564" t="s">
        <v>18316</v>
      </c>
      <c r="C1564" t="s">
        <v>18317</v>
      </c>
      <c r="D1564" t="s">
        <v>32</v>
      </c>
      <c r="E1564" t="s">
        <v>18318</v>
      </c>
      <c r="F1564" t="s">
        <v>18319</v>
      </c>
      <c r="G1564" t="s">
        <v>18320</v>
      </c>
      <c r="H1564" t="str">
        <f>"Gusb"</f>
        <v>Gusb</v>
      </c>
      <c r="I1564" t="s">
        <v>18321</v>
      </c>
      <c r="J1564" t="s">
        <v>37</v>
      </c>
      <c r="K1564">
        <v>10090</v>
      </c>
      <c r="L1564" s="3" t="str">
        <f>HYPERLINK("http://www.uniprot.org/uniprot/P12265", "P12265")</f>
        <v>P12265</v>
      </c>
      <c r="M1564" t="s">
        <v>18322</v>
      </c>
      <c r="N1564" t="str">
        <f>"Gusb"</f>
        <v>Gusb</v>
      </c>
      <c r="O1564" s="3" t="str">
        <f>HYPERLINK("http://www.informatics.jax.org/marker/MGI:95872", "MGI:95872")</f>
        <v>MGI:95872</v>
      </c>
      <c r="P1564" t="s">
        <v>18323</v>
      </c>
      <c r="Q1564" t="s">
        <v>32</v>
      </c>
      <c r="R1564" t="s">
        <v>18324</v>
      </c>
      <c r="S1564" t="s">
        <v>32</v>
      </c>
      <c r="T1564" t="s">
        <v>32</v>
      </c>
      <c r="U1564" t="s">
        <v>32</v>
      </c>
      <c r="V1564" t="s">
        <v>811</v>
      </c>
      <c r="W1564" t="s">
        <v>32</v>
      </c>
      <c r="X1564" t="s">
        <v>4316</v>
      </c>
      <c r="Y1564" t="s">
        <v>3733</v>
      </c>
      <c r="Z1564" t="s">
        <v>32</v>
      </c>
      <c r="AA1564" t="s">
        <v>18325</v>
      </c>
      <c r="AB1564" t="s">
        <v>18326</v>
      </c>
      <c r="AC1564" t="s">
        <v>18327</v>
      </c>
      <c r="AD1564" t="s">
        <v>32</v>
      </c>
      <c r="AE1564" t="s">
        <v>18328</v>
      </c>
      <c r="AF1564" t="s">
        <v>46835</v>
      </c>
    </row>
    <row r="1565" spans="1:32" x14ac:dyDescent="0.2">
      <c r="A1565">
        <v>1560</v>
      </c>
      <c r="B1565" t="s">
        <v>18329</v>
      </c>
      <c r="C1565" t="s">
        <v>18330</v>
      </c>
      <c r="D1565" t="s">
        <v>18331</v>
      </c>
      <c r="E1565" t="s">
        <v>18332</v>
      </c>
      <c r="F1565" t="s">
        <v>18333</v>
      </c>
      <c r="G1565" t="s">
        <v>18334</v>
      </c>
      <c r="H1565" t="str">
        <f>"Ppip5k2"</f>
        <v>Ppip5k2</v>
      </c>
      <c r="I1565" t="s">
        <v>32</v>
      </c>
      <c r="J1565" t="s">
        <v>37</v>
      </c>
      <c r="K1565">
        <v>10090</v>
      </c>
      <c r="L1565" s="3" t="str">
        <f>HYPERLINK("http://www.uniprot.org/uniprot/Q6ZQB6", "Q6ZQB6")</f>
        <v>Q6ZQB6</v>
      </c>
      <c r="M1565" t="s">
        <v>18335</v>
      </c>
      <c r="N1565" t="str">
        <f>"Ppip5k2"</f>
        <v>Ppip5k2</v>
      </c>
      <c r="O1565" s="3" t="str">
        <f>HYPERLINK("http://www.informatics.jax.org/marker/MGI:2142810", "MGI:2142810")</f>
        <v>MGI:2142810</v>
      </c>
      <c r="P1565" t="s">
        <v>18336</v>
      </c>
      <c r="Q1565" t="s">
        <v>18337</v>
      </c>
      <c r="R1565" t="s">
        <v>418</v>
      </c>
      <c r="S1565" t="s">
        <v>41</v>
      </c>
      <c r="T1565" t="s">
        <v>32</v>
      </c>
      <c r="U1565" t="s">
        <v>32</v>
      </c>
      <c r="V1565" t="s">
        <v>32</v>
      </c>
      <c r="W1565" t="s">
        <v>205</v>
      </c>
      <c r="X1565" t="s">
        <v>419</v>
      </c>
      <c r="Y1565" t="s">
        <v>618</v>
      </c>
      <c r="Z1565" t="s">
        <v>32</v>
      </c>
      <c r="AA1565" t="s">
        <v>18338</v>
      </c>
      <c r="AB1565" t="s">
        <v>1268</v>
      </c>
      <c r="AC1565" t="s">
        <v>18339</v>
      </c>
      <c r="AD1565" t="s">
        <v>32</v>
      </c>
      <c r="AE1565" t="s">
        <v>18340</v>
      </c>
      <c r="AF1565" t="s">
        <v>46835</v>
      </c>
    </row>
    <row r="1566" spans="1:32" x14ac:dyDescent="0.2">
      <c r="A1566">
        <v>1561</v>
      </c>
      <c r="B1566" t="s">
        <v>18341</v>
      </c>
      <c r="C1566" t="s">
        <v>18342</v>
      </c>
      <c r="D1566" t="s">
        <v>18343</v>
      </c>
      <c r="E1566" t="s">
        <v>18344</v>
      </c>
      <c r="F1566" t="s">
        <v>18345</v>
      </c>
      <c r="G1566" t="s">
        <v>18346</v>
      </c>
      <c r="H1566" t="str">
        <f>"Acy1"</f>
        <v>Acy1</v>
      </c>
      <c r="I1566" t="s">
        <v>32</v>
      </c>
      <c r="J1566" t="s">
        <v>37</v>
      </c>
      <c r="K1566">
        <v>10090</v>
      </c>
      <c r="L1566" s="3" t="str">
        <f>HYPERLINK("http://www.uniprot.org/uniprot/Q99JW2", "Q99JW2")</f>
        <v>Q99JW2</v>
      </c>
      <c r="M1566" t="s">
        <v>18347</v>
      </c>
      <c r="N1566" t="str">
        <f>"Acy1"</f>
        <v>Acy1</v>
      </c>
      <c r="O1566" s="3" t="str">
        <f>HYPERLINK("http://www.informatics.jax.org/marker/MGI:87913", "MGI:87913")</f>
        <v>MGI:87913</v>
      </c>
      <c r="P1566" t="s">
        <v>18348</v>
      </c>
      <c r="Q1566" t="s">
        <v>32</v>
      </c>
      <c r="R1566" t="s">
        <v>418</v>
      </c>
      <c r="S1566" t="s">
        <v>32</v>
      </c>
      <c r="T1566" t="s">
        <v>32</v>
      </c>
      <c r="U1566" t="s">
        <v>32</v>
      </c>
      <c r="V1566" t="s">
        <v>32</v>
      </c>
      <c r="W1566" t="s">
        <v>42</v>
      </c>
      <c r="X1566" t="s">
        <v>343</v>
      </c>
      <c r="Y1566" t="s">
        <v>32</v>
      </c>
      <c r="Z1566" t="s">
        <v>32</v>
      </c>
      <c r="AA1566" t="s">
        <v>18349</v>
      </c>
      <c r="AB1566" t="s">
        <v>18350</v>
      </c>
      <c r="AC1566" t="s">
        <v>18351</v>
      </c>
      <c r="AD1566" t="s">
        <v>32</v>
      </c>
      <c r="AE1566" t="s">
        <v>18352</v>
      </c>
      <c r="AF1566" t="s">
        <v>46835</v>
      </c>
    </row>
    <row r="1567" spans="1:32" x14ac:dyDescent="0.2">
      <c r="A1567">
        <v>1562</v>
      </c>
      <c r="B1567" t="s">
        <v>18353</v>
      </c>
      <c r="C1567" t="s">
        <v>18354</v>
      </c>
      <c r="D1567" t="s">
        <v>18355</v>
      </c>
      <c r="E1567" t="s">
        <v>18356</v>
      </c>
      <c r="F1567" t="s">
        <v>18357</v>
      </c>
      <c r="G1567" t="s">
        <v>32</v>
      </c>
      <c r="H1567" t="str">
        <f>"Nol3"</f>
        <v>Nol3</v>
      </c>
      <c r="I1567" t="s">
        <v>18358</v>
      </c>
      <c r="J1567" t="s">
        <v>37</v>
      </c>
      <c r="K1567">
        <v>10090</v>
      </c>
      <c r="L1567" s="3" t="str">
        <f>HYPERLINK("http://www.uniprot.org/uniprot/Q9D1X0", "Q9D1X0")</f>
        <v>Q9D1X0</v>
      </c>
      <c r="M1567" t="s">
        <v>18359</v>
      </c>
      <c r="N1567" t="str">
        <f>"Nol3"</f>
        <v>Nol3</v>
      </c>
      <c r="O1567" s="3" t="str">
        <f>HYPERLINK("http://www.informatics.jax.org/marker/MGI:1925938", "MGI:1925938")</f>
        <v>MGI:1925938</v>
      </c>
      <c r="P1567" t="s">
        <v>18360</v>
      </c>
      <c r="Q1567" t="s">
        <v>16601</v>
      </c>
      <c r="R1567" t="s">
        <v>18361</v>
      </c>
      <c r="S1567" t="s">
        <v>32</v>
      </c>
      <c r="T1567" t="s">
        <v>32</v>
      </c>
      <c r="U1567" t="s">
        <v>32</v>
      </c>
      <c r="V1567" t="s">
        <v>32</v>
      </c>
      <c r="W1567" t="s">
        <v>188</v>
      </c>
      <c r="X1567" t="s">
        <v>32</v>
      </c>
      <c r="Y1567" t="s">
        <v>18362</v>
      </c>
      <c r="Z1567" t="s">
        <v>32</v>
      </c>
      <c r="AA1567" t="s">
        <v>18363</v>
      </c>
      <c r="AB1567" t="s">
        <v>18364</v>
      </c>
      <c r="AC1567" t="s">
        <v>18365</v>
      </c>
      <c r="AD1567" t="s">
        <v>32</v>
      </c>
      <c r="AE1567" t="s">
        <v>32</v>
      </c>
      <c r="AF1567" t="s">
        <v>46835</v>
      </c>
    </row>
    <row r="1568" spans="1:32" x14ac:dyDescent="0.2">
      <c r="A1568">
        <v>1563</v>
      </c>
      <c r="B1568" t="s">
        <v>18366</v>
      </c>
      <c r="C1568" t="s">
        <v>18367</v>
      </c>
      <c r="D1568" t="s">
        <v>32</v>
      </c>
      <c r="E1568" t="s">
        <v>18368</v>
      </c>
      <c r="F1568" t="s">
        <v>18369</v>
      </c>
      <c r="G1568" t="s">
        <v>18370</v>
      </c>
      <c r="H1568" t="str">
        <f>"Msi2"</f>
        <v>Msi2</v>
      </c>
      <c r="I1568" t="s">
        <v>18371</v>
      </c>
      <c r="J1568" t="s">
        <v>37</v>
      </c>
      <c r="K1568">
        <v>10090</v>
      </c>
      <c r="L1568" s="3" t="str">
        <f>HYPERLINK("http://www.uniprot.org/uniprot/Q920Q6", "Q920Q6")</f>
        <v>Q920Q6</v>
      </c>
      <c r="M1568" t="s">
        <v>18372</v>
      </c>
      <c r="N1568" t="str">
        <f>"Msi2"</f>
        <v>Msi2</v>
      </c>
      <c r="O1568" s="3" t="str">
        <f>HYPERLINK("http://www.informatics.jax.org/marker/MGI:1923876", "MGI:1923876")</f>
        <v>MGI:1923876</v>
      </c>
      <c r="P1568" t="s">
        <v>18373</v>
      </c>
      <c r="Q1568" t="s">
        <v>32</v>
      </c>
      <c r="R1568" t="s">
        <v>418</v>
      </c>
      <c r="S1568" t="s">
        <v>41</v>
      </c>
      <c r="T1568" t="s">
        <v>32</v>
      </c>
      <c r="U1568" t="s">
        <v>32</v>
      </c>
      <c r="V1568" t="s">
        <v>55</v>
      </c>
      <c r="W1568" t="s">
        <v>32</v>
      </c>
      <c r="X1568" t="s">
        <v>1282</v>
      </c>
      <c r="Y1568" t="s">
        <v>97</v>
      </c>
      <c r="Z1568" t="s">
        <v>32</v>
      </c>
      <c r="AA1568" t="s">
        <v>18374</v>
      </c>
      <c r="AB1568" t="s">
        <v>18375</v>
      </c>
      <c r="AC1568" t="s">
        <v>7749</v>
      </c>
      <c r="AD1568" t="s">
        <v>32</v>
      </c>
      <c r="AE1568" t="s">
        <v>18376</v>
      </c>
      <c r="AF1568" t="s">
        <v>46835</v>
      </c>
    </row>
    <row r="1569" spans="1:32" x14ac:dyDescent="0.2">
      <c r="A1569">
        <v>1564</v>
      </c>
      <c r="B1569" t="s">
        <v>18377</v>
      </c>
      <c r="C1569" t="s">
        <v>18378</v>
      </c>
      <c r="D1569" t="s">
        <v>32</v>
      </c>
      <c r="E1569" t="s">
        <v>18379</v>
      </c>
      <c r="F1569" t="s">
        <v>18380</v>
      </c>
      <c r="G1569" t="s">
        <v>18381</v>
      </c>
      <c r="H1569" t="str">
        <f>"Snrpa1"</f>
        <v>Snrpa1</v>
      </c>
      <c r="I1569" t="s">
        <v>32</v>
      </c>
      <c r="J1569" t="s">
        <v>37</v>
      </c>
      <c r="K1569">
        <v>10090</v>
      </c>
      <c r="L1569" s="3" t="str">
        <f>HYPERLINK("http://www.uniprot.org/uniprot/P57784", "P57784")</f>
        <v>P57784</v>
      </c>
      <c r="M1569" t="s">
        <v>18382</v>
      </c>
      <c r="N1569" t="str">
        <f>"Snrpa1"</f>
        <v>Snrpa1</v>
      </c>
      <c r="O1569" s="3" t="str">
        <f>HYPERLINK("http://www.informatics.jax.org/marker/MGI:1916231", "MGI:1916231")</f>
        <v>MGI:1916231</v>
      </c>
      <c r="P1569" t="s">
        <v>18383</v>
      </c>
      <c r="Q1569" t="s">
        <v>2139</v>
      </c>
      <c r="R1569" t="s">
        <v>2140</v>
      </c>
      <c r="S1569" t="s">
        <v>32</v>
      </c>
      <c r="T1569" t="s">
        <v>32</v>
      </c>
      <c r="U1569" t="s">
        <v>32</v>
      </c>
      <c r="V1569" t="s">
        <v>2701</v>
      </c>
      <c r="W1569" t="s">
        <v>32</v>
      </c>
      <c r="X1569" t="s">
        <v>1129</v>
      </c>
      <c r="Y1569" t="s">
        <v>516</v>
      </c>
      <c r="Z1569" t="s">
        <v>32</v>
      </c>
      <c r="AA1569" t="s">
        <v>18384</v>
      </c>
      <c r="AB1569" t="s">
        <v>18385</v>
      </c>
      <c r="AC1569" t="s">
        <v>18386</v>
      </c>
      <c r="AD1569" t="s">
        <v>32</v>
      </c>
      <c r="AE1569" t="s">
        <v>946</v>
      </c>
      <c r="AF1569" t="s">
        <v>46835</v>
      </c>
    </row>
    <row r="1570" spans="1:32" x14ac:dyDescent="0.2">
      <c r="A1570">
        <v>1565</v>
      </c>
      <c r="B1570" t="s">
        <v>18387</v>
      </c>
      <c r="C1570" t="s">
        <v>18388</v>
      </c>
      <c r="D1570" t="s">
        <v>18389</v>
      </c>
      <c r="E1570" t="s">
        <v>18390</v>
      </c>
      <c r="F1570" t="s">
        <v>18391</v>
      </c>
      <c r="G1570" t="s">
        <v>18392</v>
      </c>
      <c r="H1570" t="str">
        <f>"Lama5"</f>
        <v>Lama5</v>
      </c>
      <c r="I1570" t="s">
        <v>32</v>
      </c>
      <c r="J1570" t="s">
        <v>37</v>
      </c>
      <c r="K1570">
        <v>10090</v>
      </c>
      <c r="L1570" s="3" t="str">
        <f>HYPERLINK("http://www.uniprot.org/uniprot/Q61001", "Q61001")</f>
        <v>Q61001</v>
      </c>
      <c r="M1570" t="s">
        <v>18393</v>
      </c>
      <c r="N1570" t="str">
        <f>"Lama5"</f>
        <v>Lama5</v>
      </c>
      <c r="O1570" s="3" t="str">
        <f>HYPERLINK("http://www.informatics.jax.org/marker/MGI:105382", "MGI:105382")</f>
        <v>MGI:105382</v>
      </c>
      <c r="P1570" t="s">
        <v>18394</v>
      </c>
      <c r="Q1570" t="s">
        <v>2784</v>
      </c>
      <c r="R1570" t="s">
        <v>2785</v>
      </c>
      <c r="S1570" t="s">
        <v>32</v>
      </c>
      <c r="T1570" t="s">
        <v>32</v>
      </c>
      <c r="U1570" t="s">
        <v>32</v>
      </c>
      <c r="V1570" t="s">
        <v>3228</v>
      </c>
      <c r="W1570" t="s">
        <v>32</v>
      </c>
      <c r="X1570" t="s">
        <v>32</v>
      </c>
      <c r="Y1570" t="s">
        <v>5275</v>
      </c>
      <c r="Z1570" t="s">
        <v>126</v>
      </c>
      <c r="AA1570" t="s">
        <v>18395</v>
      </c>
      <c r="AB1570" t="s">
        <v>18396</v>
      </c>
      <c r="AC1570" t="s">
        <v>18397</v>
      </c>
      <c r="AD1570" t="s">
        <v>32</v>
      </c>
      <c r="AE1570" t="s">
        <v>32</v>
      </c>
      <c r="AF1570" t="s">
        <v>46835</v>
      </c>
    </row>
    <row r="1571" spans="1:32" x14ac:dyDescent="0.2">
      <c r="A1571">
        <v>1566</v>
      </c>
      <c r="B1571" t="s">
        <v>18398</v>
      </c>
      <c r="C1571" t="s">
        <v>18399</v>
      </c>
      <c r="D1571" t="s">
        <v>32</v>
      </c>
      <c r="E1571" t="s">
        <v>18400</v>
      </c>
      <c r="F1571" t="s">
        <v>18401</v>
      </c>
      <c r="G1571" t="s">
        <v>18402</v>
      </c>
      <c r="H1571" t="str">
        <f>"Lsm12"</f>
        <v>Lsm12</v>
      </c>
      <c r="I1571" t="s">
        <v>32</v>
      </c>
      <c r="J1571" t="s">
        <v>37</v>
      </c>
      <c r="K1571">
        <v>10090</v>
      </c>
      <c r="L1571" s="3" t="str">
        <f>HYPERLINK("http://www.uniprot.org/uniprot/Q9D0R8", "Q9D0R8")</f>
        <v>Q9D0R8</v>
      </c>
      <c r="M1571" t="s">
        <v>18403</v>
      </c>
      <c r="N1571" t="str">
        <f>"Lsm12"</f>
        <v>Lsm12</v>
      </c>
      <c r="O1571" s="3" t="str">
        <f>HYPERLINK("http://www.informatics.jax.org/marker/MGI:1919592", "MGI:1919592")</f>
        <v>MGI:1919592</v>
      </c>
      <c r="P1571" t="s">
        <v>4532</v>
      </c>
      <c r="Q1571" t="s">
        <v>32</v>
      </c>
      <c r="R1571" t="s">
        <v>418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32</v>
      </c>
      <c r="Y1571" t="s">
        <v>157</v>
      </c>
      <c r="Z1571" t="s">
        <v>32</v>
      </c>
      <c r="AA1571" t="s">
        <v>32</v>
      </c>
      <c r="AB1571" t="s">
        <v>2172</v>
      </c>
      <c r="AC1571" t="s">
        <v>32</v>
      </c>
      <c r="AD1571" t="s">
        <v>32</v>
      </c>
      <c r="AE1571" t="s">
        <v>32</v>
      </c>
      <c r="AF1571" t="s">
        <v>46835</v>
      </c>
    </row>
    <row r="1572" spans="1:32" x14ac:dyDescent="0.2">
      <c r="A1572">
        <v>1567</v>
      </c>
      <c r="B1572" t="s">
        <v>18404</v>
      </c>
      <c r="C1572" t="s">
        <v>18405</v>
      </c>
      <c r="D1572" t="s">
        <v>18406</v>
      </c>
      <c r="E1572" t="s">
        <v>18407</v>
      </c>
      <c r="F1572" t="s">
        <v>18408</v>
      </c>
      <c r="G1572" t="s">
        <v>18409</v>
      </c>
      <c r="H1572" t="str">
        <f>"Ddx39a"</f>
        <v>Ddx39a</v>
      </c>
      <c r="I1572" t="s">
        <v>32</v>
      </c>
      <c r="J1572" t="s">
        <v>37</v>
      </c>
      <c r="K1572">
        <v>10090</v>
      </c>
      <c r="L1572" s="3" t="str">
        <f>HYPERLINK("http://www.uniprot.org/uniprot/Q8VDW0", "Q8VDW0")</f>
        <v>Q8VDW0</v>
      </c>
      <c r="M1572" t="s">
        <v>18410</v>
      </c>
      <c r="N1572" t="str">
        <f>"Ddx39a"</f>
        <v>Ddx39a</v>
      </c>
      <c r="O1572" s="3" t="str">
        <f>HYPERLINK("http://www.informatics.jax.org/marker/MGI:1915528", "MGI:1915528")</f>
        <v>MGI:1915528</v>
      </c>
      <c r="P1572" t="s">
        <v>18411</v>
      </c>
      <c r="Q1572" t="s">
        <v>2139</v>
      </c>
      <c r="R1572" t="s">
        <v>40</v>
      </c>
      <c r="S1572" t="s">
        <v>41</v>
      </c>
      <c r="T1572" t="s">
        <v>32</v>
      </c>
      <c r="U1572" t="s">
        <v>32</v>
      </c>
      <c r="V1572" t="s">
        <v>32</v>
      </c>
      <c r="W1572" t="s">
        <v>205</v>
      </c>
      <c r="X1572" t="s">
        <v>16991</v>
      </c>
      <c r="Y1572" t="s">
        <v>516</v>
      </c>
      <c r="Z1572" t="s">
        <v>32</v>
      </c>
      <c r="AA1572" t="s">
        <v>18412</v>
      </c>
      <c r="AB1572" t="s">
        <v>9671</v>
      </c>
      <c r="AC1572" t="s">
        <v>18413</v>
      </c>
      <c r="AD1572" t="s">
        <v>32</v>
      </c>
      <c r="AE1572" t="s">
        <v>16560</v>
      </c>
      <c r="AF1572" t="s">
        <v>46835</v>
      </c>
    </row>
    <row r="1573" spans="1:32" x14ac:dyDescent="0.2">
      <c r="A1573">
        <v>1568</v>
      </c>
      <c r="B1573" t="s">
        <v>18414</v>
      </c>
      <c r="C1573" t="s">
        <v>18415</v>
      </c>
      <c r="D1573" t="s">
        <v>32</v>
      </c>
      <c r="E1573" t="s">
        <v>18416</v>
      </c>
      <c r="F1573" t="s">
        <v>18417</v>
      </c>
      <c r="G1573" t="s">
        <v>18418</v>
      </c>
      <c r="H1573" t="str">
        <f>"Tm9sf4"</f>
        <v>Tm9sf4</v>
      </c>
      <c r="I1573" t="s">
        <v>18419</v>
      </c>
      <c r="J1573" t="s">
        <v>37</v>
      </c>
      <c r="K1573">
        <v>10090</v>
      </c>
      <c r="L1573" s="3" t="str">
        <f>HYPERLINK("http://www.uniprot.org/uniprot/Q8BH24", "Q8BH24")</f>
        <v>Q8BH24</v>
      </c>
      <c r="M1573" t="s">
        <v>18420</v>
      </c>
      <c r="N1573" t="str">
        <f>"Tm9sf4"</f>
        <v>Tm9sf4</v>
      </c>
      <c r="O1573" s="3" t="str">
        <f>HYPERLINK("http://www.informatics.jax.org/marker/MGI:2139220", "MGI:2139220")</f>
        <v>MGI:2139220</v>
      </c>
      <c r="P1573" t="s">
        <v>18421</v>
      </c>
      <c r="Q1573" t="s">
        <v>32</v>
      </c>
      <c r="R1573" t="s">
        <v>6982</v>
      </c>
      <c r="S1573" t="s">
        <v>32</v>
      </c>
      <c r="T1573" t="s">
        <v>32</v>
      </c>
      <c r="U1573" t="s">
        <v>32</v>
      </c>
      <c r="V1573" t="s">
        <v>3948</v>
      </c>
      <c r="W1573" t="s">
        <v>32</v>
      </c>
      <c r="X1573" t="s">
        <v>32</v>
      </c>
      <c r="Y1573" t="s">
        <v>618</v>
      </c>
      <c r="Z1573" t="s">
        <v>32</v>
      </c>
      <c r="AA1573" t="s">
        <v>18422</v>
      </c>
      <c r="AB1573" t="s">
        <v>18423</v>
      </c>
      <c r="AC1573" t="s">
        <v>32</v>
      </c>
      <c r="AD1573" t="s">
        <v>32</v>
      </c>
      <c r="AE1573" t="s">
        <v>32</v>
      </c>
      <c r="AF1573" t="s">
        <v>46835</v>
      </c>
    </row>
    <row r="1574" spans="1:32" x14ac:dyDescent="0.2">
      <c r="A1574">
        <v>1569</v>
      </c>
      <c r="B1574" t="s">
        <v>18424</v>
      </c>
      <c r="C1574" t="s">
        <v>18425</v>
      </c>
      <c r="D1574" t="s">
        <v>18426</v>
      </c>
      <c r="E1574" t="s">
        <v>18427</v>
      </c>
      <c r="F1574" t="s">
        <v>18428</v>
      </c>
      <c r="G1574" t="s">
        <v>18429</v>
      </c>
      <c r="H1574" t="str">
        <f>"Pcbd1"</f>
        <v>Pcbd1</v>
      </c>
      <c r="I1574" t="s">
        <v>18430</v>
      </c>
      <c r="J1574" t="s">
        <v>37</v>
      </c>
      <c r="K1574">
        <v>10090</v>
      </c>
      <c r="L1574" s="3" t="str">
        <f>HYPERLINK("http://www.uniprot.org/uniprot/P61458", "P61458")</f>
        <v>P61458</v>
      </c>
      <c r="M1574" t="s">
        <v>18431</v>
      </c>
      <c r="N1574" t="str">
        <f>"Pcbd1"</f>
        <v>Pcbd1</v>
      </c>
      <c r="O1574" s="3" t="str">
        <f>HYPERLINK("http://www.informatics.jax.org/marker/MGI:94873", "MGI:94873")</f>
        <v>MGI:94873</v>
      </c>
      <c r="P1574" t="s">
        <v>18432</v>
      </c>
      <c r="Q1574" t="s">
        <v>18433</v>
      </c>
      <c r="R1574" t="s">
        <v>40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18434</v>
      </c>
      <c r="Y1574" t="s">
        <v>78</v>
      </c>
      <c r="Z1574" t="s">
        <v>32</v>
      </c>
      <c r="AA1574" t="s">
        <v>18435</v>
      </c>
      <c r="AB1574" t="s">
        <v>8281</v>
      </c>
      <c r="AC1574" t="s">
        <v>18436</v>
      </c>
      <c r="AD1574" t="s">
        <v>32</v>
      </c>
      <c r="AE1574" t="s">
        <v>13672</v>
      </c>
      <c r="AF1574" t="s">
        <v>46835</v>
      </c>
    </row>
    <row r="1575" spans="1:32" x14ac:dyDescent="0.2">
      <c r="A1575">
        <v>1570</v>
      </c>
      <c r="B1575" t="s">
        <v>18437</v>
      </c>
      <c r="C1575" t="s">
        <v>18438</v>
      </c>
      <c r="D1575" t="s">
        <v>18439</v>
      </c>
      <c r="E1575" t="s">
        <v>18440</v>
      </c>
      <c r="F1575" t="s">
        <v>18441</v>
      </c>
      <c r="G1575" t="s">
        <v>32</v>
      </c>
      <c r="H1575" t="str">
        <f>"Pdia5"</f>
        <v>Pdia5</v>
      </c>
      <c r="I1575" t="s">
        <v>18442</v>
      </c>
      <c r="J1575" t="s">
        <v>37</v>
      </c>
      <c r="K1575">
        <v>10090</v>
      </c>
      <c r="L1575" s="3" t="str">
        <f>HYPERLINK("http://www.uniprot.org/uniprot/Q921X9", "Q921X9")</f>
        <v>Q921X9</v>
      </c>
      <c r="M1575" t="s">
        <v>18443</v>
      </c>
      <c r="N1575" t="str">
        <f>"Pdia5"</f>
        <v>Pdia5</v>
      </c>
      <c r="O1575" s="3" t="str">
        <f>HYPERLINK("http://www.informatics.jax.org/marker/MGI:1919849", "MGI:1919849")</f>
        <v>MGI:1919849</v>
      </c>
      <c r="P1575" t="s">
        <v>18444</v>
      </c>
      <c r="Q1575" t="s">
        <v>32</v>
      </c>
      <c r="R1575" t="s">
        <v>671</v>
      </c>
      <c r="S1575" t="s">
        <v>32</v>
      </c>
      <c r="T1575" t="s">
        <v>32</v>
      </c>
      <c r="U1575" t="s">
        <v>32</v>
      </c>
      <c r="V1575" t="s">
        <v>672</v>
      </c>
      <c r="W1575" t="s">
        <v>32</v>
      </c>
      <c r="X1575" t="s">
        <v>673</v>
      </c>
      <c r="Y1575" t="s">
        <v>494</v>
      </c>
      <c r="Z1575" t="s">
        <v>32</v>
      </c>
      <c r="AA1575" t="s">
        <v>6724</v>
      </c>
      <c r="AB1575" t="s">
        <v>4722</v>
      </c>
      <c r="AC1575" t="s">
        <v>1069</v>
      </c>
      <c r="AD1575" t="s">
        <v>32</v>
      </c>
      <c r="AE1575" t="s">
        <v>32</v>
      </c>
      <c r="AF1575" t="s">
        <v>46835</v>
      </c>
    </row>
    <row r="1576" spans="1:32" x14ac:dyDescent="0.2">
      <c r="A1576">
        <v>1571</v>
      </c>
      <c r="B1576" t="s">
        <v>18445</v>
      </c>
      <c r="C1576" t="s">
        <v>18446</v>
      </c>
      <c r="D1576" t="s">
        <v>32</v>
      </c>
      <c r="E1576" t="s">
        <v>18447</v>
      </c>
      <c r="F1576" t="s">
        <v>18448</v>
      </c>
      <c r="G1576" t="s">
        <v>18449</v>
      </c>
      <c r="H1576" t="str">
        <f>"Nploc4"</f>
        <v>Nploc4</v>
      </c>
      <c r="I1576" t="s">
        <v>18450</v>
      </c>
      <c r="J1576" t="s">
        <v>37</v>
      </c>
      <c r="K1576">
        <v>10090</v>
      </c>
      <c r="L1576" s="3" t="str">
        <f>HYPERLINK("http://www.uniprot.org/uniprot/P60670", "P60670")</f>
        <v>P60670</v>
      </c>
      <c r="M1576" t="s">
        <v>18451</v>
      </c>
      <c r="N1576" t="str">
        <f>"Nploc4"</f>
        <v>Nploc4</v>
      </c>
      <c r="O1576" s="3" t="str">
        <f>HYPERLINK("http://www.informatics.jax.org/marker/MGI:2679787", "MGI:2679787")</f>
        <v>MGI:2679787</v>
      </c>
      <c r="P1576" t="s">
        <v>18452</v>
      </c>
      <c r="Q1576" t="s">
        <v>32</v>
      </c>
      <c r="R1576" t="s">
        <v>729</v>
      </c>
      <c r="S1576" t="s">
        <v>41</v>
      </c>
      <c r="T1576" t="s">
        <v>32</v>
      </c>
      <c r="U1576" t="s">
        <v>32</v>
      </c>
      <c r="V1576" t="s">
        <v>446</v>
      </c>
      <c r="W1576" t="s">
        <v>42</v>
      </c>
      <c r="X1576" t="s">
        <v>388</v>
      </c>
      <c r="Y1576" t="s">
        <v>78</v>
      </c>
      <c r="Z1576" t="s">
        <v>126</v>
      </c>
      <c r="AA1576" t="s">
        <v>18453</v>
      </c>
      <c r="AB1576" t="s">
        <v>18454</v>
      </c>
      <c r="AC1576" t="s">
        <v>18455</v>
      </c>
      <c r="AD1576" t="s">
        <v>18456</v>
      </c>
      <c r="AE1576" t="s">
        <v>18457</v>
      </c>
      <c r="AF1576" t="s">
        <v>46835</v>
      </c>
    </row>
    <row r="1577" spans="1:32" x14ac:dyDescent="0.2">
      <c r="A1577">
        <v>1572</v>
      </c>
      <c r="B1577" t="s">
        <v>18458</v>
      </c>
      <c r="C1577" t="s">
        <v>18459</v>
      </c>
      <c r="D1577" t="s">
        <v>18460</v>
      </c>
      <c r="E1577" t="s">
        <v>18461</v>
      </c>
      <c r="F1577" t="s">
        <v>18462</v>
      </c>
      <c r="G1577" t="s">
        <v>18463</v>
      </c>
      <c r="H1577" t="str">
        <f>"Tfam"</f>
        <v>Tfam</v>
      </c>
      <c r="I1577" t="s">
        <v>18464</v>
      </c>
      <c r="J1577" t="s">
        <v>37</v>
      </c>
      <c r="K1577">
        <v>10090</v>
      </c>
      <c r="L1577" s="3" t="str">
        <f>HYPERLINK("http://www.uniprot.org/uniprot/P40630", "P40630")</f>
        <v>P40630</v>
      </c>
      <c r="M1577" t="s">
        <v>18465</v>
      </c>
      <c r="N1577" t="str">
        <f>"Tfam"</f>
        <v>Tfam</v>
      </c>
      <c r="O1577" s="3" t="str">
        <f>HYPERLINK("http://www.informatics.jax.org/marker/MGI:107810", "MGI:107810")</f>
        <v>MGI:107810</v>
      </c>
      <c r="P1577" t="s">
        <v>18466</v>
      </c>
      <c r="Q1577" t="s">
        <v>4152</v>
      </c>
      <c r="R1577" t="s">
        <v>18467</v>
      </c>
      <c r="S1577" t="s">
        <v>41</v>
      </c>
      <c r="T1577" t="s">
        <v>32</v>
      </c>
      <c r="U1577" t="s">
        <v>32</v>
      </c>
      <c r="V1577" t="s">
        <v>6597</v>
      </c>
      <c r="W1577" t="s">
        <v>32</v>
      </c>
      <c r="X1577" t="s">
        <v>2350</v>
      </c>
      <c r="Y1577" t="s">
        <v>618</v>
      </c>
      <c r="Z1577" t="s">
        <v>32</v>
      </c>
      <c r="AA1577" t="s">
        <v>18468</v>
      </c>
      <c r="AB1577" t="s">
        <v>18469</v>
      </c>
      <c r="AC1577" t="s">
        <v>18470</v>
      </c>
      <c r="AD1577" t="s">
        <v>32</v>
      </c>
      <c r="AE1577" t="s">
        <v>18471</v>
      </c>
      <c r="AF1577" t="s">
        <v>46835</v>
      </c>
    </row>
    <row r="1578" spans="1:32" x14ac:dyDescent="0.2">
      <c r="A1578">
        <v>1573</v>
      </c>
      <c r="B1578" t="s">
        <v>18472</v>
      </c>
      <c r="C1578" t="s">
        <v>18473</v>
      </c>
      <c r="D1578" t="s">
        <v>18474</v>
      </c>
      <c r="E1578" t="s">
        <v>18475</v>
      </c>
      <c r="F1578" t="s">
        <v>18476</v>
      </c>
      <c r="G1578" t="s">
        <v>18477</v>
      </c>
      <c r="H1578" t="str">
        <f>"Vps25"</f>
        <v>Vps25</v>
      </c>
      <c r="I1578" t="s">
        <v>18478</v>
      </c>
      <c r="J1578" t="s">
        <v>37</v>
      </c>
      <c r="K1578">
        <v>10090</v>
      </c>
      <c r="L1578" s="3" t="str">
        <f>HYPERLINK("http://www.uniprot.org/uniprot/Q9CQ80", "Q9CQ80")</f>
        <v>Q9CQ80</v>
      </c>
      <c r="M1578" t="s">
        <v>18479</v>
      </c>
      <c r="N1578" t="str">
        <f>"Vps25"</f>
        <v>Vps25</v>
      </c>
      <c r="O1578" s="3" t="str">
        <f>HYPERLINK("http://www.informatics.jax.org/marker/MGI:106354", "MGI:106354")</f>
        <v>MGI:106354</v>
      </c>
      <c r="P1578" t="s">
        <v>18480</v>
      </c>
      <c r="Q1578" t="s">
        <v>5117</v>
      </c>
      <c r="R1578" t="s">
        <v>7802</v>
      </c>
      <c r="S1578" t="s">
        <v>41</v>
      </c>
      <c r="T1578" t="s">
        <v>32</v>
      </c>
      <c r="U1578" t="s">
        <v>32</v>
      </c>
      <c r="V1578" t="s">
        <v>32</v>
      </c>
      <c r="W1578" t="s">
        <v>32</v>
      </c>
      <c r="X1578" t="s">
        <v>32</v>
      </c>
      <c r="Y1578" t="s">
        <v>32</v>
      </c>
      <c r="Z1578" t="s">
        <v>32</v>
      </c>
      <c r="AA1578" t="s">
        <v>18481</v>
      </c>
      <c r="AB1578" t="s">
        <v>18482</v>
      </c>
      <c r="AC1578" t="s">
        <v>18483</v>
      </c>
      <c r="AD1578" t="s">
        <v>32</v>
      </c>
      <c r="AE1578" t="s">
        <v>14055</v>
      </c>
      <c r="AF1578" t="s">
        <v>46835</v>
      </c>
    </row>
    <row r="1579" spans="1:32" x14ac:dyDescent="0.2">
      <c r="A1579">
        <v>1574</v>
      </c>
      <c r="B1579" t="s">
        <v>18484</v>
      </c>
      <c r="C1579" t="s">
        <v>18485</v>
      </c>
      <c r="D1579" t="s">
        <v>18486</v>
      </c>
      <c r="E1579" t="s">
        <v>18487</v>
      </c>
      <c r="F1579" t="s">
        <v>18488</v>
      </c>
      <c r="G1579" t="s">
        <v>18489</v>
      </c>
      <c r="H1579" t="str">
        <f>"Ubqln1"</f>
        <v>Ubqln1</v>
      </c>
      <c r="I1579" t="s">
        <v>18490</v>
      </c>
      <c r="J1579" t="s">
        <v>37</v>
      </c>
      <c r="K1579">
        <v>10090</v>
      </c>
      <c r="L1579" s="3" t="str">
        <f>HYPERLINK("http://www.uniprot.org/uniprot/Q8R317", "Q8R317")</f>
        <v>Q8R317</v>
      </c>
      <c r="M1579" t="s">
        <v>18491</v>
      </c>
      <c r="N1579" t="str">
        <f>"Ubqln1"</f>
        <v>Ubqln1</v>
      </c>
      <c r="O1579" s="3" t="str">
        <f>HYPERLINK("http://www.informatics.jax.org/marker/MGI:1860276", "MGI:1860276")</f>
        <v>MGI:1860276</v>
      </c>
      <c r="P1579" t="s">
        <v>18492</v>
      </c>
      <c r="Q1579" t="s">
        <v>11661</v>
      </c>
      <c r="R1579" t="s">
        <v>18493</v>
      </c>
      <c r="S1579" t="s">
        <v>41</v>
      </c>
      <c r="T1579" t="s">
        <v>32</v>
      </c>
      <c r="U1579" t="s">
        <v>32</v>
      </c>
      <c r="V1579" t="s">
        <v>32</v>
      </c>
      <c r="W1579" t="s">
        <v>32</v>
      </c>
      <c r="X1579" t="s">
        <v>32</v>
      </c>
      <c r="Y1579" t="s">
        <v>4102</v>
      </c>
      <c r="Z1579" t="s">
        <v>32</v>
      </c>
      <c r="AA1579" t="s">
        <v>18494</v>
      </c>
      <c r="AB1579" t="s">
        <v>18495</v>
      </c>
      <c r="AC1579" t="s">
        <v>18496</v>
      </c>
      <c r="AD1579" t="s">
        <v>32</v>
      </c>
      <c r="AE1579" t="s">
        <v>16391</v>
      </c>
      <c r="AF1579" t="s">
        <v>46835</v>
      </c>
    </row>
    <row r="1580" spans="1:32" x14ac:dyDescent="0.2">
      <c r="A1580">
        <v>1575</v>
      </c>
      <c r="B1580" t="s">
        <v>18497</v>
      </c>
      <c r="C1580" t="s">
        <v>18498</v>
      </c>
      <c r="D1580" t="s">
        <v>18499</v>
      </c>
      <c r="E1580" t="s">
        <v>18500</v>
      </c>
      <c r="F1580" t="s">
        <v>18501</v>
      </c>
      <c r="G1580" t="s">
        <v>18502</v>
      </c>
      <c r="H1580" t="str">
        <f>"Rnpep"</f>
        <v>Rnpep</v>
      </c>
      <c r="I1580" t="s">
        <v>32</v>
      </c>
      <c r="J1580" t="s">
        <v>37</v>
      </c>
      <c r="K1580">
        <v>10090</v>
      </c>
      <c r="L1580" s="3" t="str">
        <f>HYPERLINK("http://www.uniprot.org/uniprot/Q8VCT3", "Q8VCT3")</f>
        <v>Q8VCT3</v>
      </c>
      <c r="M1580" t="s">
        <v>18503</v>
      </c>
      <c r="N1580" t="str">
        <f>"Rnpep"</f>
        <v>Rnpep</v>
      </c>
      <c r="O1580" s="3" t="str">
        <f>HYPERLINK("http://www.informatics.jax.org/marker/MGI:2384902", "MGI:2384902")</f>
        <v>MGI:2384902</v>
      </c>
      <c r="P1580" t="s">
        <v>18504</v>
      </c>
      <c r="Q1580" t="s">
        <v>32</v>
      </c>
      <c r="R1580" t="s">
        <v>630</v>
      </c>
      <c r="S1580" t="s">
        <v>32</v>
      </c>
      <c r="T1580" t="s">
        <v>32</v>
      </c>
      <c r="U1580" t="s">
        <v>32</v>
      </c>
      <c r="V1580" t="s">
        <v>32</v>
      </c>
      <c r="W1580" t="s">
        <v>42</v>
      </c>
      <c r="X1580" t="s">
        <v>4215</v>
      </c>
      <c r="Y1580" t="s">
        <v>78</v>
      </c>
      <c r="Z1580" t="s">
        <v>32</v>
      </c>
      <c r="AA1580" t="s">
        <v>18505</v>
      </c>
      <c r="AB1580" t="s">
        <v>18506</v>
      </c>
      <c r="AC1580" t="s">
        <v>18507</v>
      </c>
      <c r="AD1580" t="s">
        <v>32</v>
      </c>
      <c r="AE1580" t="s">
        <v>32</v>
      </c>
      <c r="AF1580" t="s">
        <v>46835</v>
      </c>
    </row>
    <row r="1581" spans="1:32" x14ac:dyDescent="0.2">
      <c r="A1581">
        <v>1576</v>
      </c>
      <c r="B1581" t="s">
        <v>18508</v>
      </c>
      <c r="C1581" t="s">
        <v>18509</v>
      </c>
      <c r="D1581" t="s">
        <v>32</v>
      </c>
      <c r="E1581" t="s">
        <v>18510</v>
      </c>
      <c r="F1581" t="s">
        <v>18511</v>
      </c>
      <c r="G1581" t="s">
        <v>18512</v>
      </c>
      <c r="H1581" t="str">
        <f>"Pgrmc1"</f>
        <v>Pgrmc1</v>
      </c>
      <c r="I1581" t="s">
        <v>18513</v>
      </c>
      <c r="J1581" t="s">
        <v>37</v>
      </c>
      <c r="K1581">
        <v>10090</v>
      </c>
      <c r="L1581" s="3" t="str">
        <f>HYPERLINK("http://www.uniprot.org/uniprot/O55022", "O55022")</f>
        <v>O55022</v>
      </c>
      <c r="M1581" t="s">
        <v>18514</v>
      </c>
      <c r="N1581" t="str">
        <f>"Pgrmc1"</f>
        <v>Pgrmc1</v>
      </c>
      <c r="O1581" s="3" t="str">
        <f>HYPERLINK("http://www.informatics.jax.org/marker/MGI:1858305", "MGI:1858305")</f>
        <v>MGI:1858305</v>
      </c>
      <c r="P1581" t="s">
        <v>18515</v>
      </c>
      <c r="Q1581" t="s">
        <v>32</v>
      </c>
      <c r="R1581" t="s">
        <v>18516</v>
      </c>
      <c r="S1581" t="s">
        <v>32</v>
      </c>
      <c r="T1581" t="s">
        <v>32</v>
      </c>
      <c r="U1581" t="s">
        <v>32</v>
      </c>
      <c r="V1581" t="s">
        <v>493</v>
      </c>
      <c r="W1581" t="s">
        <v>18517</v>
      </c>
      <c r="X1581" t="s">
        <v>6983</v>
      </c>
      <c r="Y1581" t="s">
        <v>618</v>
      </c>
      <c r="Z1581" t="s">
        <v>32</v>
      </c>
      <c r="AA1581" t="s">
        <v>18518</v>
      </c>
      <c r="AB1581" t="s">
        <v>18519</v>
      </c>
      <c r="AC1581" t="s">
        <v>18520</v>
      </c>
      <c r="AD1581" t="s">
        <v>32</v>
      </c>
      <c r="AE1581" t="s">
        <v>548</v>
      </c>
      <c r="AF1581" t="s">
        <v>46835</v>
      </c>
    </row>
    <row r="1582" spans="1:32" x14ac:dyDescent="0.2">
      <c r="A1582">
        <v>1577</v>
      </c>
      <c r="B1582" t="s">
        <v>18521</v>
      </c>
      <c r="C1582" t="s">
        <v>18522</v>
      </c>
      <c r="D1582" t="s">
        <v>32</v>
      </c>
      <c r="E1582" t="s">
        <v>18523</v>
      </c>
      <c r="F1582" t="s">
        <v>18524</v>
      </c>
      <c r="G1582" t="s">
        <v>32</v>
      </c>
      <c r="H1582" t="str">
        <f>"Lsamp"</f>
        <v>Lsamp</v>
      </c>
      <c r="I1582" t="s">
        <v>32</v>
      </c>
      <c r="J1582" t="s">
        <v>37</v>
      </c>
      <c r="K1582">
        <v>10090</v>
      </c>
      <c r="L1582" s="3" t="str">
        <f>HYPERLINK("http://www.uniprot.org/uniprot/Q8BLK3", "Q8BLK3")</f>
        <v>Q8BLK3</v>
      </c>
      <c r="M1582" t="s">
        <v>18525</v>
      </c>
      <c r="N1582" t="str">
        <f>"Lsamp"</f>
        <v>Lsamp</v>
      </c>
      <c r="O1582" s="3" t="str">
        <f>HYPERLINK("http://www.informatics.jax.org/marker/MGI:1261760", "MGI:1261760")</f>
        <v>MGI:1261760</v>
      </c>
      <c r="P1582" t="s">
        <v>18526</v>
      </c>
      <c r="Q1582" t="s">
        <v>2784</v>
      </c>
      <c r="R1582" t="s">
        <v>2474</v>
      </c>
      <c r="S1582" t="s">
        <v>32</v>
      </c>
      <c r="T1582" t="s">
        <v>32</v>
      </c>
      <c r="U1582" t="s">
        <v>32</v>
      </c>
      <c r="V1582" t="s">
        <v>18527</v>
      </c>
      <c r="W1582" t="s">
        <v>32</v>
      </c>
      <c r="X1582" t="s">
        <v>32</v>
      </c>
      <c r="Y1582" t="s">
        <v>5247</v>
      </c>
      <c r="Z1582" t="s">
        <v>32</v>
      </c>
      <c r="AA1582" t="s">
        <v>18528</v>
      </c>
      <c r="AB1582" t="s">
        <v>18529</v>
      </c>
      <c r="AC1582" t="s">
        <v>32</v>
      </c>
      <c r="AD1582" t="s">
        <v>32</v>
      </c>
      <c r="AE1582" t="s">
        <v>18530</v>
      </c>
      <c r="AF1582" t="s">
        <v>46835</v>
      </c>
    </row>
    <row r="1583" spans="1:32" x14ac:dyDescent="0.2">
      <c r="A1583">
        <v>1578</v>
      </c>
      <c r="B1583" t="s">
        <v>18531</v>
      </c>
      <c r="C1583" t="s">
        <v>18532</v>
      </c>
      <c r="D1583" t="s">
        <v>18533</v>
      </c>
      <c r="E1583" t="s">
        <v>18534</v>
      </c>
      <c r="F1583" t="s">
        <v>18535</v>
      </c>
      <c r="G1583" t="s">
        <v>18536</v>
      </c>
      <c r="H1583" t="str">
        <f>"Bag1"</f>
        <v>Bag1</v>
      </c>
      <c r="I1583" t="s">
        <v>32</v>
      </c>
      <c r="J1583" t="s">
        <v>37</v>
      </c>
      <c r="K1583">
        <v>10090</v>
      </c>
      <c r="L1583" s="3" t="str">
        <f>HYPERLINK("http://www.uniprot.org/uniprot/Q60739", "Q60739")</f>
        <v>Q60739</v>
      </c>
      <c r="M1583" t="s">
        <v>18537</v>
      </c>
      <c r="N1583" t="str">
        <f>"Bag1"</f>
        <v>Bag1</v>
      </c>
      <c r="O1583" s="3" t="str">
        <f>HYPERLINK("http://www.informatics.jax.org/marker/MGI:108047", "MGI:108047")</f>
        <v>MGI:108047</v>
      </c>
      <c r="P1583" t="s">
        <v>18538</v>
      </c>
      <c r="Q1583" t="s">
        <v>541</v>
      </c>
      <c r="R1583" t="s">
        <v>40</v>
      </c>
      <c r="S1583" t="s">
        <v>477</v>
      </c>
      <c r="T1583" t="s">
        <v>32</v>
      </c>
      <c r="U1583" t="s">
        <v>32</v>
      </c>
      <c r="V1583" t="s">
        <v>55</v>
      </c>
      <c r="W1583" t="s">
        <v>32</v>
      </c>
      <c r="X1583" t="s">
        <v>388</v>
      </c>
      <c r="Y1583" t="s">
        <v>5599</v>
      </c>
      <c r="Z1583" t="s">
        <v>126</v>
      </c>
      <c r="AA1583" t="s">
        <v>18539</v>
      </c>
      <c r="AB1583" t="s">
        <v>18540</v>
      </c>
      <c r="AC1583" t="s">
        <v>18541</v>
      </c>
      <c r="AD1583" t="s">
        <v>32</v>
      </c>
      <c r="AE1583" t="s">
        <v>1445</v>
      </c>
      <c r="AF1583" t="s">
        <v>46835</v>
      </c>
    </row>
    <row r="1584" spans="1:32" x14ac:dyDescent="0.2">
      <c r="A1584">
        <v>1579</v>
      </c>
      <c r="B1584" t="s">
        <v>18542</v>
      </c>
      <c r="C1584" t="s">
        <v>18543</v>
      </c>
      <c r="D1584" t="s">
        <v>18544</v>
      </c>
      <c r="E1584" t="s">
        <v>18545</v>
      </c>
      <c r="F1584" t="s">
        <v>18546</v>
      </c>
      <c r="G1584" t="s">
        <v>32</v>
      </c>
      <c r="H1584" t="str">
        <f>"Purb"</f>
        <v>Purb</v>
      </c>
      <c r="I1584" t="s">
        <v>32</v>
      </c>
      <c r="J1584" t="s">
        <v>37</v>
      </c>
      <c r="K1584">
        <v>10090</v>
      </c>
      <c r="L1584" s="3" t="str">
        <f>HYPERLINK("http://www.uniprot.org/uniprot/O35295", "O35295")</f>
        <v>O35295</v>
      </c>
      <c r="M1584" t="s">
        <v>18547</v>
      </c>
      <c r="N1584" t="str">
        <f>"Purb"</f>
        <v>Purb</v>
      </c>
      <c r="O1584" s="3" t="str">
        <f>HYPERLINK("http://www.informatics.jax.org/marker/MGI:1338779", "MGI:1338779")</f>
        <v>MGI:1338779</v>
      </c>
      <c r="P1584" t="s">
        <v>18548</v>
      </c>
      <c r="Q1584" t="s">
        <v>4152</v>
      </c>
      <c r="R1584" t="s">
        <v>2279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7046</v>
      </c>
      <c r="Y1584" t="s">
        <v>97</v>
      </c>
      <c r="Z1584" t="s">
        <v>32</v>
      </c>
      <c r="AA1584" t="s">
        <v>18549</v>
      </c>
      <c r="AB1584" t="s">
        <v>7318</v>
      </c>
      <c r="AC1584" t="s">
        <v>18550</v>
      </c>
      <c r="AD1584" t="s">
        <v>32</v>
      </c>
      <c r="AE1584" t="s">
        <v>32</v>
      </c>
      <c r="AF1584" t="s">
        <v>46835</v>
      </c>
    </row>
    <row r="1585" spans="1:32" x14ac:dyDescent="0.2">
      <c r="A1585">
        <v>1580</v>
      </c>
      <c r="B1585" t="s">
        <v>18551</v>
      </c>
      <c r="C1585" t="s">
        <v>18552</v>
      </c>
      <c r="D1585" t="s">
        <v>18553</v>
      </c>
      <c r="E1585" t="s">
        <v>18554</v>
      </c>
      <c r="F1585" t="s">
        <v>18555</v>
      </c>
      <c r="G1585" t="s">
        <v>32</v>
      </c>
      <c r="H1585" t="str">
        <f>"Znrd2"</f>
        <v>Znrd2</v>
      </c>
      <c r="I1585" t="s">
        <v>18556</v>
      </c>
      <c r="J1585" t="s">
        <v>37</v>
      </c>
      <c r="K1585">
        <v>10090</v>
      </c>
      <c r="L1585" s="3" t="str">
        <f>HYPERLINK("http://www.uniprot.org/uniprot/P56873", "P56873")</f>
        <v>P56873</v>
      </c>
      <c r="M1585" t="s">
        <v>18557</v>
      </c>
      <c r="N1585" t="str">
        <f>"Znrd2"</f>
        <v>Znrd2</v>
      </c>
      <c r="O1585" s="3" t="str">
        <f>HYPERLINK("http://www.informatics.jax.org/marker/MGI:1913482", "MGI:1913482")</f>
        <v>MGI:1913482</v>
      </c>
      <c r="P1585" t="s">
        <v>157</v>
      </c>
      <c r="Q1585" t="s">
        <v>32</v>
      </c>
      <c r="R1585" t="s">
        <v>32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32</v>
      </c>
      <c r="Y1585" t="s">
        <v>157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t="s">
        <v>46835</v>
      </c>
    </row>
    <row r="1586" spans="1:32" x14ac:dyDescent="0.2">
      <c r="A1586">
        <v>1581</v>
      </c>
      <c r="B1586" t="s">
        <v>18558</v>
      </c>
      <c r="C1586" t="s">
        <v>18559</v>
      </c>
      <c r="D1586" t="s">
        <v>18560</v>
      </c>
      <c r="E1586" t="s">
        <v>18561</v>
      </c>
      <c r="F1586" t="s">
        <v>18562</v>
      </c>
      <c r="G1586" t="s">
        <v>18563</v>
      </c>
      <c r="H1586" t="str">
        <f>"Rpa1"</f>
        <v>Rpa1</v>
      </c>
      <c r="I1586" t="s">
        <v>32</v>
      </c>
      <c r="J1586" t="s">
        <v>37</v>
      </c>
      <c r="K1586">
        <v>10090</v>
      </c>
      <c r="L1586" s="3" t="str">
        <f>HYPERLINK("http://www.uniprot.org/uniprot/Q8VEE4", "Q8VEE4")</f>
        <v>Q8VEE4</v>
      </c>
      <c r="M1586" t="s">
        <v>18564</v>
      </c>
      <c r="N1586" t="str">
        <f>"Rpa1"</f>
        <v>Rpa1</v>
      </c>
      <c r="O1586" s="3" t="str">
        <f>HYPERLINK("http://www.informatics.jax.org/marker/MGI:1915525", "MGI:1915525")</f>
        <v>MGI:1915525</v>
      </c>
      <c r="P1586" t="s">
        <v>18565</v>
      </c>
      <c r="Q1586" t="s">
        <v>18566</v>
      </c>
      <c r="R1586" t="s">
        <v>2279</v>
      </c>
      <c r="S1586" t="s">
        <v>32</v>
      </c>
      <c r="T1586" t="s">
        <v>32</v>
      </c>
      <c r="U1586" t="s">
        <v>32</v>
      </c>
      <c r="V1586" t="s">
        <v>446</v>
      </c>
      <c r="W1586" t="s">
        <v>42</v>
      </c>
      <c r="X1586" t="s">
        <v>247</v>
      </c>
      <c r="Y1586" t="s">
        <v>516</v>
      </c>
      <c r="Z1586" t="s">
        <v>32</v>
      </c>
      <c r="AA1586" t="s">
        <v>18567</v>
      </c>
      <c r="AB1586" t="s">
        <v>18568</v>
      </c>
      <c r="AC1586" t="s">
        <v>18569</v>
      </c>
      <c r="AD1586" t="s">
        <v>32</v>
      </c>
      <c r="AE1586" t="s">
        <v>18570</v>
      </c>
      <c r="AF1586" t="s">
        <v>46835</v>
      </c>
    </row>
    <row r="1587" spans="1:32" x14ac:dyDescent="0.2">
      <c r="A1587">
        <v>1582</v>
      </c>
      <c r="B1587" t="s">
        <v>18571</v>
      </c>
      <c r="C1587" t="s">
        <v>18572</v>
      </c>
      <c r="D1587" t="s">
        <v>18573</v>
      </c>
      <c r="E1587" t="s">
        <v>18574</v>
      </c>
      <c r="F1587" t="s">
        <v>18575</v>
      </c>
      <c r="G1587" t="s">
        <v>32</v>
      </c>
      <c r="H1587" t="str">
        <f>"Idh3g"</f>
        <v>Idh3g</v>
      </c>
      <c r="I1587" t="s">
        <v>32</v>
      </c>
      <c r="J1587" t="s">
        <v>37</v>
      </c>
      <c r="K1587">
        <v>10090</v>
      </c>
      <c r="L1587" s="3" t="str">
        <f>HYPERLINK("http://www.uniprot.org/uniprot/P70404", "P70404")</f>
        <v>P70404</v>
      </c>
      <c r="M1587" t="s">
        <v>18576</v>
      </c>
      <c r="N1587" t="str">
        <f>"Idh3g"</f>
        <v>Idh3g</v>
      </c>
      <c r="O1587" s="3" t="str">
        <f>HYPERLINK("http://www.informatics.jax.org/marker/MGI:1099463", "MGI:1099463")</f>
        <v>MGI:1099463</v>
      </c>
      <c r="P1587" t="s">
        <v>18577</v>
      </c>
      <c r="Q1587" t="s">
        <v>1756</v>
      </c>
      <c r="R1587" t="s">
        <v>1038</v>
      </c>
      <c r="S1587" t="s">
        <v>32</v>
      </c>
      <c r="T1587" t="s">
        <v>32</v>
      </c>
      <c r="U1587" t="s">
        <v>32</v>
      </c>
      <c r="V1587" t="s">
        <v>1039</v>
      </c>
      <c r="W1587" t="s">
        <v>4352</v>
      </c>
      <c r="X1587" t="s">
        <v>32</v>
      </c>
      <c r="Y1587" t="s">
        <v>157</v>
      </c>
      <c r="Z1587" t="s">
        <v>32</v>
      </c>
      <c r="AA1587" t="s">
        <v>18578</v>
      </c>
      <c r="AB1587" t="s">
        <v>18579</v>
      </c>
      <c r="AC1587" t="s">
        <v>18580</v>
      </c>
      <c r="AD1587" t="s">
        <v>32</v>
      </c>
      <c r="AE1587" t="s">
        <v>3390</v>
      </c>
      <c r="AF1587" t="s">
        <v>46835</v>
      </c>
    </row>
    <row r="1588" spans="1:32" x14ac:dyDescent="0.2">
      <c r="A1588">
        <v>1583</v>
      </c>
      <c r="B1588" t="s">
        <v>18581</v>
      </c>
      <c r="C1588" t="s">
        <v>18582</v>
      </c>
      <c r="D1588" t="s">
        <v>18583</v>
      </c>
      <c r="E1588" t="s">
        <v>18584</v>
      </c>
      <c r="F1588" t="s">
        <v>18585</v>
      </c>
      <c r="G1588" t="s">
        <v>18586</v>
      </c>
      <c r="H1588" t="str">
        <f>"Babam2"</f>
        <v>Babam2</v>
      </c>
      <c r="I1588" t="s">
        <v>18587</v>
      </c>
      <c r="J1588" t="s">
        <v>37</v>
      </c>
      <c r="K1588">
        <v>10090</v>
      </c>
      <c r="L1588" s="3" t="str">
        <f>HYPERLINK("http://www.uniprot.org/uniprot/Q8K3W0", "Q8K3W0")</f>
        <v>Q8K3W0</v>
      </c>
      <c r="M1588" t="s">
        <v>18588</v>
      </c>
      <c r="N1588" t="str">
        <f>"Babam2"</f>
        <v>Babam2</v>
      </c>
      <c r="O1588" s="3" t="str">
        <f>HYPERLINK("http://www.informatics.jax.org/marker/MGI:1333875", "MGI:1333875")</f>
        <v>MGI:1333875</v>
      </c>
      <c r="P1588" t="s">
        <v>18589</v>
      </c>
      <c r="Q1588" t="s">
        <v>18590</v>
      </c>
      <c r="R1588" t="s">
        <v>40</v>
      </c>
      <c r="S1588" t="s">
        <v>41</v>
      </c>
      <c r="T1588" t="s">
        <v>32</v>
      </c>
      <c r="U1588" t="s">
        <v>32</v>
      </c>
      <c r="V1588" t="s">
        <v>55</v>
      </c>
      <c r="W1588" t="s">
        <v>32</v>
      </c>
      <c r="X1588" t="s">
        <v>9988</v>
      </c>
      <c r="Y1588" t="s">
        <v>157</v>
      </c>
      <c r="Z1588" t="s">
        <v>126</v>
      </c>
      <c r="AA1588" t="s">
        <v>18591</v>
      </c>
      <c r="AB1588" t="s">
        <v>18592</v>
      </c>
      <c r="AC1588" t="s">
        <v>18593</v>
      </c>
      <c r="AD1588" t="s">
        <v>32</v>
      </c>
      <c r="AE1588" t="s">
        <v>18594</v>
      </c>
      <c r="AF1588" t="s">
        <v>46835</v>
      </c>
    </row>
    <row r="1589" spans="1:32" x14ac:dyDescent="0.2">
      <c r="A1589">
        <v>1584</v>
      </c>
      <c r="B1589" t="s">
        <v>18595</v>
      </c>
      <c r="C1589" t="s">
        <v>18596</v>
      </c>
      <c r="D1589" t="s">
        <v>32</v>
      </c>
      <c r="E1589" t="s">
        <v>18597</v>
      </c>
      <c r="F1589" t="s">
        <v>18598</v>
      </c>
      <c r="G1589" t="s">
        <v>32</v>
      </c>
      <c r="H1589" t="str">
        <f>"Pycr2"</f>
        <v>Pycr2</v>
      </c>
      <c r="I1589" t="s">
        <v>32</v>
      </c>
      <c r="J1589" t="s">
        <v>37</v>
      </c>
      <c r="K1589">
        <v>10090</v>
      </c>
      <c r="L1589" s="3" t="str">
        <f>HYPERLINK("http://www.uniprot.org/uniprot/Q922Q4", "Q922Q4")</f>
        <v>Q922Q4</v>
      </c>
      <c r="M1589" t="s">
        <v>18599</v>
      </c>
      <c r="N1589" t="str">
        <f>"Pycr2"</f>
        <v>Pycr2</v>
      </c>
      <c r="O1589" s="3" t="str">
        <f>HYPERLINK("http://www.informatics.jax.org/marker/MGI:1277956", "MGI:1277956")</f>
        <v>MGI:1277956</v>
      </c>
      <c r="P1589" t="s">
        <v>18600</v>
      </c>
      <c r="Q1589" t="s">
        <v>12064</v>
      </c>
      <c r="R1589" t="s">
        <v>1842</v>
      </c>
      <c r="S1589" t="s">
        <v>32</v>
      </c>
      <c r="T1589" t="s">
        <v>32</v>
      </c>
      <c r="U1589" t="s">
        <v>32</v>
      </c>
      <c r="V1589" t="s">
        <v>32</v>
      </c>
      <c r="W1589" t="s">
        <v>3204</v>
      </c>
      <c r="X1589" t="s">
        <v>600</v>
      </c>
      <c r="Y1589" t="s">
        <v>157</v>
      </c>
      <c r="Z1589" t="s">
        <v>32</v>
      </c>
      <c r="AA1589" t="s">
        <v>18601</v>
      </c>
      <c r="AB1589" t="s">
        <v>3721</v>
      </c>
      <c r="AC1589" t="s">
        <v>18602</v>
      </c>
      <c r="AD1589" t="s">
        <v>16546</v>
      </c>
      <c r="AE1589" t="s">
        <v>8763</v>
      </c>
      <c r="AF1589" t="s">
        <v>46835</v>
      </c>
    </row>
    <row r="1590" spans="1:32" x14ac:dyDescent="0.2">
      <c r="A1590">
        <v>1585</v>
      </c>
      <c r="B1590" t="s">
        <v>18603</v>
      </c>
      <c r="C1590" t="s">
        <v>18604</v>
      </c>
      <c r="D1590" t="s">
        <v>18605</v>
      </c>
      <c r="E1590" t="s">
        <v>18606</v>
      </c>
      <c r="F1590" t="s">
        <v>18607</v>
      </c>
      <c r="G1590" t="s">
        <v>32</v>
      </c>
      <c r="H1590" t="str">
        <f>"Chchd3"</f>
        <v>Chchd3</v>
      </c>
      <c r="I1590" t="s">
        <v>18608</v>
      </c>
      <c r="J1590" t="s">
        <v>37</v>
      </c>
      <c r="K1590">
        <v>10090</v>
      </c>
      <c r="L1590" s="3" t="str">
        <f>HYPERLINK("http://www.uniprot.org/uniprot/Q9CRB9", "Q9CRB9")</f>
        <v>Q9CRB9</v>
      </c>
      <c r="M1590" t="s">
        <v>18609</v>
      </c>
      <c r="N1590" t="str">
        <f>"Chchd3"</f>
        <v>Chchd3</v>
      </c>
      <c r="O1590" s="3" t="str">
        <f>HYPERLINK("http://www.informatics.jax.org/marker/MGI:1913325", "MGI:1913325")</f>
        <v>MGI:1913325</v>
      </c>
      <c r="P1590" t="s">
        <v>18610</v>
      </c>
      <c r="Q1590" t="s">
        <v>4152</v>
      </c>
      <c r="R1590" t="s">
        <v>15651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5195</v>
      </c>
      <c r="Y1590" t="s">
        <v>18611</v>
      </c>
      <c r="Z1590" t="s">
        <v>32</v>
      </c>
      <c r="AA1590" t="s">
        <v>18612</v>
      </c>
      <c r="AB1590" t="s">
        <v>18613</v>
      </c>
      <c r="AC1590" t="s">
        <v>18614</v>
      </c>
      <c r="AD1590" t="s">
        <v>32</v>
      </c>
      <c r="AE1590" t="s">
        <v>32</v>
      </c>
      <c r="AF1590" t="s">
        <v>46835</v>
      </c>
    </row>
    <row r="1591" spans="1:32" x14ac:dyDescent="0.2">
      <c r="A1591">
        <v>1586</v>
      </c>
      <c r="B1591" t="s">
        <v>18615</v>
      </c>
      <c r="C1591" t="s">
        <v>18616</v>
      </c>
      <c r="D1591" t="s">
        <v>32</v>
      </c>
      <c r="E1591" t="s">
        <v>18617</v>
      </c>
      <c r="F1591" t="s">
        <v>18618</v>
      </c>
      <c r="G1591" t="s">
        <v>18619</v>
      </c>
      <c r="H1591" t="str">
        <f>"Smchd1"</f>
        <v>Smchd1</v>
      </c>
      <c r="I1591" t="s">
        <v>32</v>
      </c>
      <c r="J1591" t="s">
        <v>37</v>
      </c>
      <c r="K1591">
        <v>10090</v>
      </c>
      <c r="L1591" s="3" t="str">
        <f>HYPERLINK("http://www.uniprot.org/uniprot/Q6P5D8", "Q6P5D8")</f>
        <v>Q6P5D8</v>
      </c>
      <c r="M1591" t="s">
        <v>18620</v>
      </c>
      <c r="N1591" t="str">
        <f>"Smchd1"</f>
        <v>Smchd1</v>
      </c>
      <c r="O1591" s="3" t="str">
        <f>HYPERLINK("http://www.informatics.jax.org/marker/MGI:1921605", "MGI:1921605")</f>
        <v>MGI:1921605</v>
      </c>
      <c r="P1591" t="s">
        <v>18621</v>
      </c>
      <c r="Q1591" t="s">
        <v>11886</v>
      </c>
      <c r="R1591" t="s">
        <v>18622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18623</v>
      </c>
      <c r="Y1591" t="s">
        <v>516</v>
      </c>
      <c r="Z1591" t="s">
        <v>126</v>
      </c>
      <c r="AA1591" t="s">
        <v>18624</v>
      </c>
      <c r="AB1591" t="s">
        <v>18625</v>
      </c>
      <c r="AC1591" t="s">
        <v>18626</v>
      </c>
      <c r="AD1591" t="s">
        <v>32</v>
      </c>
      <c r="AE1591" t="s">
        <v>32</v>
      </c>
      <c r="AF1591" t="s">
        <v>46835</v>
      </c>
    </row>
    <row r="1592" spans="1:32" x14ac:dyDescent="0.2">
      <c r="A1592">
        <v>1587</v>
      </c>
      <c r="B1592" t="s">
        <v>18627</v>
      </c>
      <c r="C1592" t="s">
        <v>18628</v>
      </c>
      <c r="D1592" t="s">
        <v>18629</v>
      </c>
      <c r="E1592" t="s">
        <v>18630</v>
      </c>
      <c r="F1592" t="s">
        <v>18631</v>
      </c>
      <c r="G1592" t="s">
        <v>18632</v>
      </c>
      <c r="H1592" t="str">
        <f>"Actn2"</f>
        <v>Actn2</v>
      </c>
      <c r="I1592" t="s">
        <v>32</v>
      </c>
      <c r="J1592" t="s">
        <v>37</v>
      </c>
      <c r="K1592">
        <v>10090</v>
      </c>
      <c r="L1592" s="3" t="str">
        <f>HYPERLINK("http://www.uniprot.org/uniprot/Q9JI91", "Q9JI91")</f>
        <v>Q9JI91</v>
      </c>
      <c r="M1592" t="s">
        <v>18633</v>
      </c>
      <c r="N1592" t="str">
        <f>"Actn2"</f>
        <v>Actn2</v>
      </c>
      <c r="O1592" s="3" t="str">
        <f>HYPERLINK("http://www.informatics.jax.org/marker/MGI:109192", "MGI:109192")</f>
        <v>MGI:109192</v>
      </c>
      <c r="P1592" t="s">
        <v>18634</v>
      </c>
      <c r="Q1592" t="s">
        <v>32</v>
      </c>
      <c r="R1592" t="s">
        <v>418</v>
      </c>
      <c r="S1592" t="s">
        <v>32</v>
      </c>
      <c r="T1592" t="s">
        <v>32</v>
      </c>
      <c r="U1592" t="s">
        <v>32</v>
      </c>
      <c r="V1592" t="s">
        <v>55</v>
      </c>
      <c r="W1592" t="s">
        <v>188</v>
      </c>
      <c r="X1592" t="s">
        <v>405</v>
      </c>
      <c r="Y1592" t="s">
        <v>2836</v>
      </c>
      <c r="Z1592" t="s">
        <v>32</v>
      </c>
      <c r="AA1592" t="s">
        <v>18635</v>
      </c>
      <c r="AB1592" t="s">
        <v>18636</v>
      </c>
      <c r="AC1592" t="s">
        <v>18637</v>
      </c>
      <c r="AD1592" t="s">
        <v>32</v>
      </c>
      <c r="AE1592" t="s">
        <v>18638</v>
      </c>
      <c r="AF1592" t="s">
        <v>46835</v>
      </c>
    </row>
    <row r="1593" spans="1:32" x14ac:dyDescent="0.2">
      <c r="A1593">
        <v>1588</v>
      </c>
      <c r="B1593" t="s">
        <v>18639</v>
      </c>
      <c r="C1593" t="s">
        <v>18640</v>
      </c>
      <c r="D1593" t="s">
        <v>18641</v>
      </c>
      <c r="E1593" t="s">
        <v>18642</v>
      </c>
      <c r="F1593" t="s">
        <v>18643</v>
      </c>
      <c r="G1593" t="s">
        <v>18644</v>
      </c>
      <c r="H1593" t="str">
        <f>"Cyp51a1"</f>
        <v>Cyp51a1</v>
      </c>
      <c r="I1593" t="s">
        <v>18645</v>
      </c>
      <c r="J1593" t="s">
        <v>37</v>
      </c>
      <c r="K1593">
        <v>10090</v>
      </c>
      <c r="L1593" s="3" t="str">
        <f>HYPERLINK("http://www.uniprot.org/uniprot/Q8K0C4", "Q8K0C4")</f>
        <v>Q8K0C4</v>
      </c>
      <c r="M1593" t="s">
        <v>18646</v>
      </c>
      <c r="N1593" t="str">
        <f>"Cyp51"</f>
        <v>Cyp51</v>
      </c>
      <c r="O1593" s="3" t="str">
        <f>HYPERLINK("http://www.informatics.jax.org/marker/MGI:106040", "MGI:106040")</f>
        <v>MGI:106040</v>
      </c>
      <c r="P1593" t="s">
        <v>18647</v>
      </c>
      <c r="Q1593" t="s">
        <v>10614</v>
      </c>
      <c r="R1593" t="s">
        <v>15998</v>
      </c>
      <c r="S1593" t="s">
        <v>32</v>
      </c>
      <c r="T1593" t="s">
        <v>32</v>
      </c>
      <c r="U1593" t="s">
        <v>32</v>
      </c>
      <c r="V1593" t="s">
        <v>493</v>
      </c>
      <c r="W1593" t="s">
        <v>6053</v>
      </c>
      <c r="X1593" t="s">
        <v>18648</v>
      </c>
      <c r="Y1593" t="s">
        <v>32</v>
      </c>
      <c r="Z1593" t="s">
        <v>32</v>
      </c>
      <c r="AA1593" t="s">
        <v>18649</v>
      </c>
      <c r="AB1593" t="s">
        <v>18650</v>
      </c>
      <c r="AC1593" t="s">
        <v>18651</v>
      </c>
      <c r="AD1593" t="s">
        <v>18652</v>
      </c>
      <c r="AE1593" t="s">
        <v>18653</v>
      </c>
      <c r="AF1593" t="s">
        <v>46835</v>
      </c>
    </row>
    <row r="1594" spans="1:32" x14ac:dyDescent="0.2">
      <c r="A1594">
        <v>1589</v>
      </c>
      <c r="B1594" t="s">
        <v>18654</v>
      </c>
      <c r="C1594" t="s">
        <v>18655</v>
      </c>
      <c r="D1594" t="s">
        <v>18656</v>
      </c>
      <c r="E1594" t="s">
        <v>18657</v>
      </c>
      <c r="F1594" t="s">
        <v>18658</v>
      </c>
      <c r="G1594" t="s">
        <v>18659</v>
      </c>
      <c r="H1594" t="str">
        <f>"Klc4"</f>
        <v>Klc4</v>
      </c>
      <c r="I1594" t="s">
        <v>18660</v>
      </c>
      <c r="J1594" t="s">
        <v>37</v>
      </c>
      <c r="K1594">
        <v>10090</v>
      </c>
      <c r="L1594" s="3" t="str">
        <f>HYPERLINK("http://www.uniprot.org/uniprot/Q9DBS5", "Q9DBS5")</f>
        <v>Q9DBS5</v>
      </c>
      <c r="M1594" t="s">
        <v>18661</v>
      </c>
      <c r="N1594" t="str">
        <f>"Klc4"</f>
        <v>Klc4</v>
      </c>
      <c r="O1594" s="3" t="str">
        <f>HYPERLINK("http://www.informatics.jax.org/marker/MGI:1922014", "MGI:1922014")</f>
        <v>MGI:1922014</v>
      </c>
      <c r="P1594" t="s">
        <v>18662</v>
      </c>
      <c r="Q1594" t="s">
        <v>32</v>
      </c>
      <c r="R1594" t="s">
        <v>341</v>
      </c>
      <c r="S1594" t="s">
        <v>32</v>
      </c>
      <c r="T1594" t="s">
        <v>32</v>
      </c>
      <c r="U1594" t="s">
        <v>32</v>
      </c>
      <c r="V1594" t="s">
        <v>4559</v>
      </c>
      <c r="W1594" t="s">
        <v>32</v>
      </c>
      <c r="X1594" t="s">
        <v>830</v>
      </c>
      <c r="Y1594" t="s">
        <v>157</v>
      </c>
      <c r="Z1594" t="s">
        <v>32</v>
      </c>
      <c r="AA1594" t="s">
        <v>18663</v>
      </c>
      <c r="AB1594" t="s">
        <v>18664</v>
      </c>
      <c r="AC1594" t="s">
        <v>5235</v>
      </c>
      <c r="AD1594" t="s">
        <v>32</v>
      </c>
      <c r="AE1594" t="s">
        <v>6294</v>
      </c>
      <c r="AF1594" t="s">
        <v>46835</v>
      </c>
    </row>
    <row r="1595" spans="1:32" x14ac:dyDescent="0.2">
      <c r="A1595">
        <v>1590</v>
      </c>
      <c r="B1595" t="s">
        <v>18665</v>
      </c>
      <c r="C1595" t="s">
        <v>18666</v>
      </c>
      <c r="D1595" t="s">
        <v>32</v>
      </c>
      <c r="E1595" t="s">
        <v>18667</v>
      </c>
      <c r="F1595" t="s">
        <v>18668</v>
      </c>
      <c r="G1595" t="s">
        <v>32</v>
      </c>
      <c r="H1595" t="str">
        <f>"Pitpnb"</f>
        <v>Pitpnb</v>
      </c>
      <c r="I1595" t="s">
        <v>32</v>
      </c>
      <c r="J1595" t="s">
        <v>37</v>
      </c>
      <c r="K1595">
        <v>10090</v>
      </c>
      <c r="L1595" s="3" t="str">
        <f>HYPERLINK("http://www.uniprot.org/uniprot/P53811", "P53811")</f>
        <v>P53811</v>
      </c>
      <c r="M1595" t="s">
        <v>18669</v>
      </c>
      <c r="N1595" t="str">
        <f>"Pitpnb"</f>
        <v>Pitpnb</v>
      </c>
      <c r="O1595" s="3" t="str">
        <f>HYPERLINK("http://www.informatics.jax.org/marker/MGI:1927542", "MGI:1927542")</f>
        <v>MGI:1927542</v>
      </c>
      <c r="P1595" t="s">
        <v>18670</v>
      </c>
      <c r="Q1595" t="s">
        <v>582</v>
      </c>
      <c r="R1595" t="s">
        <v>11259</v>
      </c>
      <c r="S1595" t="s">
        <v>32</v>
      </c>
      <c r="T1595" t="s">
        <v>32</v>
      </c>
      <c r="U1595" t="s">
        <v>32</v>
      </c>
      <c r="V1595" t="s">
        <v>32</v>
      </c>
      <c r="W1595" t="s">
        <v>584</v>
      </c>
      <c r="X1595" t="s">
        <v>32</v>
      </c>
      <c r="Y1595" t="s">
        <v>157</v>
      </c>
      <c r="Z1595" t="s">
        <v>32</v>
      </c>
      <c r="AA1595" t="s">
        <v>18671</v>
      </c>
      <c r="AB1595" t="s">
        <v>18672</v>
      </c>
      <c r="AC1595" t="s">
        <v>18673</v>
      </c>
      <c r="AD1595" t="s">
        <v>32</v>
      </c>
      <c r="AE1595" t="s">
        <v>18674</v>
      </c>
      <c r="AF1595" t="s">
        <v>46835</v>
      </c>
    </row>
    <row r="1596" spans="1:32" x14ac:dyDescent="0.2">
      <c r="A1596">
        <v>1591</v>
      </c>
      <c r="B1596" t="s">
        <v>18675</v>
      </c>
      <c r="C1596" t="s">
        <v>18676</v>
      </c>
      <c r="D1596" t="s">
        <v>18677</v>
      </c>
      <c r="E1596" t="s">
        <v>18678</v>
      </c>
      <c r="F1596" t="s">
        <v>18679</v>
      </c>
      <c r="G1596" t="s">
        <v>32</v>
      </c>
      <c r="H1596" t="str">
        <f>"Gstz1"</f>
        <v>Gstz1</v>
      </c>
      <c r="I1596" t="s">
        <v>18680</v>
      </c>
      <c r="J1596" t="s">
        <v>37</v>
      </c>
      <c r="K1596">
        <v>10090</v>
      </c>
      <c r="L1596" s="3" t="str">
        <f>HYPERLINK("http://www.uniprot.org/uniprot/Q9WVL0", "Q9WVL0")</f>
        <v>Q9WVL0</v>
      </c>
      <c r="M1596" t="s">
        <v>18681</v>
      </c>
      <c r="N1596" t="str">
        <f>"Gstz1"</f>
        <v>Gstz1</v>
      </c>
      <c r="O1596" s="3" t="str">
        <f>HYPERLINK("http://www.informatics.jax.org/marker/MGI:1341859", "MGI:1341859")</f>
        <v>MGI:1341859</v>
      </c>
      <c r="P1596" t="s">
        <v>18682</v>
      </c>
      <c r="Q1596" t="s">
        <v>18683</v>
      </c>
      <c r="R1596" t="s">
        <v>418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18684</v>
      </c>
      <c r="Y1596" t="s">
        <v>157</v>
      </c>
      <c r="Z1596" t="s">
        <v>126</v>
      </c>
      <c r="AA1596" t="s">
        <v>18685</v>
      </c>
      <c r="AB1596" t="s">
        <v>3721</v>
      </c>
      <c r="AC1596" t="s">
        <v>18686</v>
      </c>
      <c r="AD1596" t="s">
        <v>18687</v>
      </c>
      <c r="AE1596" t="s">
        <v>18688</v>
      </c>
      <c r="AF1596" t="s">
        <v>46835</v>
      </c>
    </row>
    <row r="1597" spans="1:32" x14ac:dyDescent="0.2">
      <c r="A1597">
        <v>1592</v>
      </c>
      <c r="B1597" t="s">
        <v>18689</v>
      </c>
      <c r="C1597" t="s">
        <v>18690</v>
      </c>
      <c r="D1597" t="s">
        <v>18691</v>
      </c>
      <c r="E1597" t="s">
        <v>18692</v>
      </c>
      <c r="F1597" t="s">
        <v>18693</v>
      </c>
      <c r="G1597" t="s">
        <v>18694</v>
      </c>
      <c r="H1597" t="str">
        <f>"Parva"</f>
        <v>Parva</v>
      </c>
      <c r="I1597" t="s">
        <v>18695</v>
      </c>
      <c r="J1597" t="s">
        <v>37</v>
      </c>
      <c r="K1597">
        <v>10090</v>
      </c>
      <c r="L1597" s="3" t="str">
        <f>HYPERLINK("http://www.uniprot.org/uniprot/Q9EPC1", "Q9EPC1")</f>
        <v>Q9EPC1</v>
      </c>
      <c r="M1597" t="s">
        <v>18696</v>
      </c>
      <c r="N1597" t="str">
        <f>"Parva"</f>
        <v>Parva</v>
      </c>
      <c r="O1597" s="3" t="str">
        <f>HYPERLINK("http://www.informatics.jax.org/marker/MGI:1931144", "MGI:1931144")</f>
        <v>MGI:1931144</v>
      </c>
      <c r="P1597" t="s">
        <v>18697</v>
      </c>
      <c r="Q1597" t="s">
        <v>18698</v>
      </c>
      <c r="R1597" t="s">
        <v>3015</v>
      </c>
      <c r="S1597" t="s">
        <v>32</v>
      </c>
      <c r="T1597" t="s">
        <v>32</v>
      </c>
      <c r="U1597" t="s">
        <v>32</v>
      </c>
      <c r="V1597" t="s">
        <v>55</v>
      </c>
      <c r="W1597" t="s">
        <v>32</v>
      </c>
      <c r="X1597" t="s">
        <v>405</v>
      </c>
      <c r="Y1597" t="s">
        <v>157</v>
      </c>
      <c r="Z1597" t="s">
        <v>32</v>
      </c>
      <c r="AA1597" t="s">
        <v>18699</v>
      </c>
      <c r="AB1597" t="s">
        <v>18700</v>
      </c>
      <c r="AC1597" t="s">
        <v>18701</v>
      </c>
      <c r="AD1597" t="s">
        <v>32</v>
      </c>
      <c r="AE1597" t="s">
        <v>18702</v>
      </c>
      <c r="AF1597" t="s">
        <v>46835</v>
      </c>
    </row>
    <row r="1598" spans="1:32" x14ac:dyDescent="0.2">
      <c r="A1598">
        <v>1593</v>
      </c>
      <c r="B1598" t="s">
        <v>18703</v>
      </c>
      <c r="C1598" t="s">
        <v>18704</v>
      </c>
      <c r="D1598" t="s">
        <v>18705</v>
      </c>
      <c r="E1598" t="s">
        <v>18706</v>
      </c>
      <c r="F1598" t="s">
        <v>18707</v>
      </c>
      <c r="G1598" t="s">
        <v>32</v>
      </c>
      <c r="H1598" t="str">
        <f>"Acaa1a"</f>
        <v>Acaa1a</v>
      </c>
      <c r="I1598" t="s">
        <v>18708</v>
      </c>
      <c r="J1598" t="s">
        <v>37</v>
      </c>
      <c r="K1598">
        <v>10090</v>
      </c>
      <c r="L1598" s="3" t="str">
        <f>HYPERLINK("http://www.uniprot.org/uniprot/Q921H8", "Q921H8")</f>
        <v>Q921H8</v>
      </c>
      <c r="M1598" t="s">
        <v>18709</v>
      </c>
      <c r="N1598" t="str">
        <f>"Acaa1a"</f>
        <v>Acaa1a</v>
      </c>
      <c r="O1598" s="3" t="str">
        <f>HYPERLINK("http://www.informatics.jax.org/marker/MGI:2148491", "MGI:2148491")</f>
        <v>MGI:2148491</v>
      </c>
      <c r="P1598" t="s">
        <v>18710</v>
      </c>
      <c r="Q1598" t="s">
        <v>6214</v>
      </c>
      <c r="R1598" t="s">
        <v>5745</v>
      </c>
      <c r="S1598" t="s">
        <v>32</v>
      </c>
      <c r="T1598" t="s">
        <v>32</v>
      </c>
      <c r="U1598" t="s">
        <v>32</v>
      </c>
      <c r="V1598" t="s">
        <v>1039</v>
      </c>
      <c r="W1598" t="s">
        <v>32</v>
      </c>
      <c r="X1598" t="s">
        <v>7304</v>
      </c>
      <c r="Y1598" t="s">
        <v>78</v>
      </c>
      <c r="Z1598" t="s">
        <v>32</v>
      </c>
      <c r="AA1598" t="s">
        <v>18711</v>
      </c>
      <c r="AB1598" t="s">
        <v>11103</v>
      </c>
      <c r="AC1598" t="s">
        <v>18712</v>
      </c>
      <c r="AD1598" t="s">
        <v>18713</v>
      </c>
      <c r="AE1598" t="s">
        <v>32</v>
      </c>
      <c r="AF1598" t="s">
        <v>46835</v>
      </c>
    </row>
    <row r="1599" spans="1:32" x14ac:dyDescent="0.2">
      <c r="A1599">
        <v>1594</v>
      </c>
      <c r="B1599" t="s">
        <v>18714</v>
      </c>
      <c r="C1599" t="s">
        <v>18715</v>
      </c>
      <c r="D1599" t="s">
        <v>18716</v>
      </c>
      <c r="E1599" t="s">
        <v>18717</v>
      </c>
      <c r="F1599" t="s">
        <v>18718</v>
      </c>
      <c r="G1599" t="s">
        <v>18719</v>
      </c>
      <c r="H1599" t="str">
        <f>"Gns"</f>
        <v>Gns</v>
      </c>
      <c r="I1599" t="s">
        <v>32</v>
      </c>
      <c r="J1599" t="s">
        <v>37</v>
      </c>
      <c r="K1599">
        <v>10090</v>
      </c>
      <c r="L1599" s="3" t="str">
        <f>HYPERLINK("http://www.uniprot.org/uniprot/Q8BFR4", "Q8BFR4")</f>
        <v>Q8BFR4</v>
      </c>
      <c r="M1599" t="s">
        <v>18720</v>
      </c>
      <c r="N1599" t="str">
        <f>"Gns"</f>
        <v>Gns</v>
      </c>
      <c r="O1599" s="3" t="str">
        <f>HYPERLINK("http://www.informatics.jax.org/marker/MGI:1922862", "MGI:1922862")</f>
        <v>MGI:1922862</v>
      </c>
      <c r="P1599" t="s">
        <v>18721</v>
      </c>
      <c r="Q1599" t="s">
        <v>32</v>
      </c>
      <c r="R1599" t="s">
        <v>13962</v>
      </c>
      <c r="S1599" t="s">
        <v>32</v>
      </c>
      <c r="T1599" t="s">
        <v>32</v>
      </c>
      <c r="U1599" t="s">
        <v>32</v>
      </c>
      <c r="V1599" t="s">
        <v>811</v>
      </c>
      <c r="W1599" t="s">
        <v>188</v>
      </c>
      <c r="X1599" t="s">
        <v>343</v>
      </c>
      <c r="Y1599" t="s">
        <v>4720</v>
      </c>
      <c r="Z1599" t="s">
        <v>32</v>
      </c>
      <c r="AA1599" t="s">
        <v>18722</v>
      </c>
      <c r="AB1599" t="s">
        <v>18723</v>
      </c>
      <c r="AC1599" t="s">
        <v>18724</v>
      </c>
      <c r="AD1599" t="s">
        <v>32</v>
      </c>
      <c r="AE1599" t="s">
        <v>18725</v>
      </c>
      <c r="AF1599" t="s">
        <v>46835</v>
      </c>
    </row>
    <row r="1600" spans="1:32" x14ac:dyDescent="0.2">
      <c r="A1600">
        <v>1595</v>
      </c>
      <c r="B1600" t="s">
        <v>18726</v>
      </c>
      <c r="C1600" t="s">
        <v>18727</v>
      </c>
      <c r="D1600" t="s">
        <v>18728</v>
      </c>
      <c r="E1600" t="s">
        <v>18729</v>
      </c>
      <c r="F1600" t="s">
        <v>18730</v>
      </c>
      <c r="G1600" t="s">
        <v>18731</v>
      </c>
      <c r="H1600" t="str">
        <f>"Smarca5"</f>
        <v>Smarca5</v>
      </c>
      <c r="I1600" t="s">
        <v>18732</v>
      </c>
      <c r="J1600" t="s">
        <v>37</v>
      </c>
      <c r="K1600">
        <v>10090</v>
      </c>
      <c r="L1600" s="3" t="str">
        <f>HYPERLINK("http://www.uniprot.org/uniprot/Q91ZW3", "Q91ZW3")</f>
        <v>Q91ZW3</v>
      </c>
      <c r="M1600" t="s">
        <v>18733</v>
      </c>
      <c r="N1600" t="str">
        <f>"Smarca5"</f>
        <v>Smarca5</v>
      </c>
      <c r="O1600" s="3" t="str">
        <f>HYPERLINK("http://www.informatics.jax.org/marker/MGI:1935129", "MGI:1935129")</f>
        <v>MGI:1935129</v>
      </c>
      <c r="P1600" t="s">
        <v>18734</v>
      </c>
      <c r="Q1600" t="s">
        <v>32</v>
      </c>
      <c r="R1600" t="s">
        <v>1939</v>
      </c>
      <c r="S1600" t="s">
        <v>32</v>
      </c>
      <c r="T1600" t="s">
        <v>32</v>
      </c>
      <c r="U1600" t="s">
        <v>32</v>
      </c>
      <c r="V1600" t="s">
        <v>55</v>
      </c>
      <c r="W1600" t="s">
        <v>205</v>
      </c>
      <c r="X1600" t="s">
        <v>18735</v>
      </c>
      <c r="Y1600" t="s">
        <v>516</v>
      </c>
      <c r="Z1600" t="s">
        <v>32</v>
      </c>
      <c r="AA1600" t="s">
        <v>18736</v>
      </c>
      <c r="AB1600" t="s">
        <v>18737</v>
      </c>
      <c r="AC1600" t="s">
        <v>18738</v>
      </c>
      <c r="AD1600" t="s">
        <v>32</v>
      </c>
      <c r="AE1600" t="s">
        <v>18739</v>
      </c>
      <c r="AF1600" t="s">
        <v>46835</v>
      </c>
    </row>
    <row r="1601" spans="1:32" x14ac:dyDescent="0.2">
      <c r="A1601">
        <v>1596</v>
      </c>
      <c r="B1601" t="s">
        <v>18740</v>
      </c>
      <c r="C1601" t="s">
        <v>18741</v>
      </c>
      <c r="D1601" t="s">
        <v>18742</v>
      </c>
      <c r="E1601" t="s">
        <v>18743</v>
      </c>
      <c r="F1601" t="s">
        <v>18744</v>
      </c>
      <c r="G1601" t="s">
        <v>18745</v>
      </c>
      <c r="H1601" t="str">
        <f>"Ndufs4"</f>
        <v>Ndufs4</v>
      </c>
      <c r="I1601" t="s">
        <v>32</v>
      </c>
      <c r="J1601" t="s">
        <v>37</v>
      </c>
      <c r="K1601">
        <v>10090</v>
      </c>
      <c r="L1601" s="3" t="str">
        <f>HYPERLINK("http://www.uniprot.org/uniprot/Q9CXZ1", "Q9CXZ1")</f>
        <v>Q9CXZ1</v>
      </c>
      <c r="M1601" t="s">
        <v>18746</v>
      </c>
      <c r="N1601" t="str">
        <f>"Ndufs4"</f>
        <v>Ndufs4</v>
      </c>
      <c r="O1601" s="3" t="str">
        <f>HYPERLINK("http://www.informatics.jax.org/marker/MGI:1343135", "MGI:1343135")</f>
        <v>MGI:1343135</v>
      </c>
      <c r="P1601" t="s">
        <v>18747</v>
      </c>
      <c r="Q1601" t="s">
        <v>6888</v>
      </c>
      <c r="R1601" t="s">
        <v>3858</v>
      </c>
      <c r="S1601" t="s">
        <v>32</v>
      </c>
      <c r="T1601" t="s">
        <v>32</v>
      </c>
      <c r="U1601" t="s">
        <v>32</v>
      </c>
      <c r="V1601" t="s">
        <v>1039</v>
      </c>
      <c r="W1601" t="s">
        <v>32</v>
      </c>
      <c r="X1601" t="s">
        <v>32</v>
      </c>
      <c r="Y1601" t="s">
        <v>618</v>
      </c>
      <c r="Z1601" t="s">
        <v>126</v>
      </c>
      <c r="AA1601" t="s">
        <v>18748</v>
      </c>
      <c r="AB1601" t="s">
        <v>14222</v>
      </c>
      <c r="AC1601" t="s">
        <v>10892</v>
      </c>
      <c r="AD1601" t="s">
        <v>32</v>
      </c>
      <c r="AE1601" t="s">
        <v>10470</v>
      </c>
      <c r="AF1601" t="s">
        <v>46835</v>
      </c>
    </row>
    <row r="1602" spans="1:32" x14ac:dyDescent="0.2">
      <c r="A1602">
        <v>1597</v>
      </c>
      <c r="B1602" t="s">
        <v>18749</v>
      </c>
      <c r="C1602" t="s">
        <v>18750</v>
      </c>
      <c r="D1602" t="s">
        <v>32</v>
      </c>
      <c r="E1602" t="s">
        <v>18751</v>
      </c>
      <c r="F1602" t="s">
        <v>18752</v>
      </c>
      <c r="G1602" t="s">
        <v>18753</v>
      </c>
      <c r="H1602" t="str">
        <f>"Hook3"</f>
        <v>Hook3</v>
      </c>
      <c r="I1602" t="s">
        <v>32</v>
      </c>
      <c r="J1602" t="s">
        <v>37</v>
      </c>
      <c r="K1602">
        <v>10090</v>
      </c>
      <c r="L1602" s="3" t="str">
        <f>HYPERLINK("http://www.uniprot.org/uniprot/Q8BUK6", "Q8BUK6")</f>
        <v>Q8BUK6</v>
      </c>
      <c r="M1602" t="s">
        <v>18754</v>
      </c>
      <c r="N1602" t="str">
        <f>"Hook3"</f>
        <v>Hook3</v>
      </c>
      <c r="O1602" s="3" t="str">
        <f>HYPERLINK("http://www.informatics.jax.org/marker/MGI:2443554", "MGI:2443554")</f>
        <v>MGI:2443554</v>
      </c>
      <c r="P1602" t="s">
        <v>18755</v>
      </c>
      <c r="Q1602" t="s">
        <v>434</v>
      </c>
      <c r="R1602" t="s">
        <v>18756</v>
      </c>
      <c r="S1602" t="s">
        <v>32</v>
      </c>
      <c r="T1602" t="s">
        <v>32</v>
      </c>
      <c r="U1602" t="s">
        <v>32</v>
      </c>
      <c r="V1602" t="s">
        <v>290</v>
      </c>
      <c r="W1602" t="s">
        <v>32</v>
      </c>
      <c r="X1602" t="s">
        <v>32</v>
      </c>
      <c r="Y1602" t="s">
        <v>157</v>
      </c>
      <c r="Z1602" t="s">
        <v>32</v>
      </c>
      <c r="AA1602" t="s">
        <v>18757</v>
      </c>
      <c r="AB1602" t="s">
        <v>18758</v>
      </c>
      <c r="AC1602" t="s">
        <v>18759</v>
      </c>
      <c r="AD1602" t="s">
        <v>32</v>
      </c>
      <c r="AE1602" t="s">
        <v>32</v>
      </c>
      <c r="AF1602" t="s">
        <v>46835</v>
      </c>
    </row>
    <row r="1603" spans="1:32" x14ac:dyDescent="0.2">
      <c r="A1603">
        <v>1598</v>
      </c>
      <c r="B1603" t="s">
        <v>18760</v>
      </c>
      <c r="C1603" t="s">
        <v>18761</v>
      </c>
      <c r="D1603" t="s">
        <v>18762</v>
      </c>
      <c r="E1603" t="s">
        <v>18763</v>
      </c>
      <c r="F1603" t="s">
        <v>18764</v>
      </c>
      <c r="G1603" t="s">
        <v>18765</v>
      </c>
      <c r="H1603" t="str">
        <f>"Cstf2"</f>
        <v>Cstf2</v>
      </c>
      <c r="I1603" t="s">
        <v>32</v>
      </c>
      <c r="J1603" t="s">
        <v>37</v>
      </c>
      <c r="K1603">
        <v>10090</v>
      </c>
      <c r="L1603" s="3" t="str">
        <f>HYPERLINK("http://www.uniprot.org/uniprot/Q8BIQ5", "Q8BIQ5")</f>
        <v>Q8BIQ5</v>
      </c>
      <c r="M1603" t="s">
        <v>18766</v>
      </c>
      <c r="N1603" t="str">
        <f>"Cstf2"</f>
        <v>Cstf2</v>
      </c>
      <c r="O1603" s="3" t="str">
        <f>HYPERLINK("http://www.informatics.jax.org/marker/MGI:1343054", "MGI:1343054")</f>
        <v>MGI:1343054</v>
      </c>
      <c r="P1603" t="s">
        <v>18767</v>
      </c>
      <c r="Q1603" t="s">
        <v>16601</v>
      </c>
      <c r="R1603" t="s">
        <v>2279</v>
      </c>
      <c r="S1603" t="s">
        <v>41</v>
      </c>
      <c r="T1603" t="s">
        <v>32</v>
      </c>
      <c r="U1603" t="s">
        <v>32</v>
      </c>
      <c r="V1603" t="s">
        <v>55</v>
      </c>
      <c r="W1603" t="s">
        <v>32</v>
      </c>
      <c r="X1603" t="s">
        <v>1282</v>
      </c>
      <c r="Y1603" t="s">
        <v>2192</v>
      </c>
      <c r="Z1603" t="s">
        <v>32</v>
      </c>
      <c r="AA1603" t="s">
        <v>18768</v>
      </c>
      <c r="AB1603" t="s">
        <v>18769</v>
      </c>
      <c r="AC1603" t="s">
        <v>18770</v>
      </c>
      <c r="AD1603" t="s">
        <v>32</v>
      </c>
      <c r="AE1603" t="s">
        <v>13215</v>
      </c>
      <c r="AF1603" t="s">
        <v>46835</v>
      </c>
    </row>
    <row r="1604" spans="1:32" x14ac:dyDescent="0.2">
      <c r="A1604">
        <v>1599</v>
      </c>
      <c r="B1604" t="s">
        <v>18771</v>
      </c>
      <c r="C1604" t="s">
        <v>18772</v>
      </c>
      <c r="D1604" t="s">
        <v>18773</v>
      </c>
      <c r="E1604" t="s">
        <v>18774</v>
      </c>
      <c r="F1604" t="s">
        <v>18775</v>
      </c>
      <c r="G1604" t="s">
        <v>18776</v>
      </c>
      <c r="H1604" t="str">
        <f>"Adam10"</f>
        <v>Adam10</v>
      </c>
      <c r="I1604" t="s">
        <v>18777</v>
      </c>
      <c r="J1604" t="s">
        <v>37</v>
      </c>
      <c r="K1604">
        <v>10090</v>
      </c>
      <c r="L1604" s="3" t="str">
        <f>HYPERLINK("http://www.uniprot.org/uniprot/O35598", "O35598")</f>
        <v>O35598</v>
      </c>
      <c r="M1604" t="s">
        <v>18778</v>
      </c>
      <c r="N1604" t="str">
        <f>"Adam10"</f>
        <v>Adam10</v>
      </c>
      <c r="O1604" s="3" t="str">
        <f>HYPERLINK("http://www.informatics.jax.org/marker/MGI:109548", "MGI:109548")</f>
        <v>MGI:109548</v>
      </c>
      <c r="P1604" t="s">
        <v>18779</v>
      </c>
      <c r="Q1604" t="s">
        <v>18780</v>
      </c>
      <c r="R1604" t="s">
        <v>18781</v>
      </c>
      <c r="S1604" t="s">
        <v>32</v>
      </c>
      <c r="T1604" t="s">
        <v>32</v>
      </c>
      <c r="U1604" t="s">
        <v>32</v>
      </c>
      <c r="V1604" t="s">
        <v>18782</v>
      </c>
      <c r="W1604" t="s">
        <v>42</v>
      </c>
      <c r="X1604" t="s">
        <v>4882</v>
      </c>
      <c r="Y1604" t="s">
        <v>18783</v>
      </c>
      <c r="Z1604" t="s">
        <v>32</v>
      </c>
      <c r="AA1604" t="s">
        <v>18784</v>
      </c>
      <c r="AB1604" t="s">
        <v>18785</v>
      </c>
      <c r="AC1604" t="s">
        <v>18786</v>
      </c>
      <c r="AD1604" t="s">
        <v>32</v>
      </c>
      <c r="AE1604" t="s">
        <v>18787</v>
      </c>
      <c r="AF1604" t="s">
        <v>46835</v>
      </c>
    </row>
    <row r="1605" spans="1:32" x14ac:dyDescent="0.2">
      <c r="A1605">
        <v>1600</v>
      </c>
      <c r="B1605" t="s">
        <v>18788</v>
      </c>
      <c r="C1605" t="s">
        <v>18789</v>
      </c>
      <c r="D1605" t="s">
        <v>18790</v>
      </c>
      <c r="E1605" t="s">
        <v>18791</v>
      </c>
      <c r="F1605" t="s">
        <v>18792</v>
      </c>
      <c r="G1605" t="s">
        <v>18793</v>
      </c>
      <c r="H1605" t="str">
        <f>"Colgalt1"</f>
        <v>Colgalt1</v>
      </c>
      <c r="I1605" t="s">
        <v>18794</v>
      </c>
      <c r="J1605" t="s">
        <v>37</v>
      </c>
      <c r="K1605">
        <v>10090</v>
      </c>
      <c r="L1605" s="3" t="str">
        <f>HYPERLINK("http://www.uniprot.org/uniprot/Q8K297", "Q8K297")</f>
        <v>Q8K297</v>
      </c>
      <c r="M1605" t="s">
        <v>18795</v>
      </c>
      <c r="N1605" t="str">
        <f>"Colgalt1"</f>
        <v>Colgalt1</v>
      </c>
      <c r="O1605" s="3" t="str">
        <f>HYPERLINK("http://www.informatics.jax.org/marker/MGI:1924348", "MGI:1924348")</f>
        <v>MGI:1924348</v>
      </c>
      <c r="P1605" t="s">
        <v>18796</v>
      </c>
      <c r="Q1605" t="s">
        <v>32</v>
      </c>
      <c r="R1605" t="s">
        <v>671</v>
      </c>
      <c r="S1605" t="s">
        <v>32</v>
      </c>
      <c r="T1605" t="s">
        <v>32</v>
      </c>
      <c r="U1605" t="s">
        <v>32</v>
      </c>
      <c r="V1605" t="s">
        <v>811</v>
      </c>
      <c r="W1605" t="s">
        <v>32</v>
      </c>
      <c r="X1605" t="s">
        <v>2362</v>
      </c>
      <c r="Y1605" t="s">
        <v>3733</v>
      </c>
      <c r="Z1605" t="s">
        <v>32</v>
      </c>
      <c r="AA1605" t="s">
        <v>18797</v>
      </c>
      <c r="AB1605" t="s">
        <v>15456</v>
      </c>
      <c r="AC1605" t="s">
        <v>18798</v>
      </c>
      <c r="AD1605" t="s">
        <v>32</v>
      </c>
      <c r="AE1605" t="s">
        <v>2061</v>
      </c>
      <c r="AF1605" t="s">
        <v>46835</v>
      </c>
    </row>
    <row r="1606" spans="1:32" x14ac:dyDescent="0.2">
      <c r="A1606">
        <v>1601</v>
      </c>
      <c r="B1606" t="s">
        <v>18799</v>
      </c>
      <c r="C1606" t="s">
        <v>18800</v>
      </c>
      <c r="D1606" t="s">
        <v>18801</v>
      </c>
      <c r="E1606" t="s">
        <v>18802</v>
      </c>
      <c r="F1606" t="s">
        <v>18803</v>
      </c>
      <c r="G1606" t="s">
        <v>18804</v>
      </c>
      <c r="H1606" t="str">
        <f>"Tbcc"</f>
        <v>Tbcc</v>
      </c>
      <c r="I1606" t="s">
        <v>32</v>
      </c>
      <c r="J1606" t="s">
        <v>37</v>
      </c>
      <c r="K1606">
        <v>10090</v>
      </c>
      <c r="L1606" s="3" t="str">
        <f>HYPERLINK("http://www.uniprot.org/uniprot/Q8VCN9", "Q8VCN9")</f>
        <v>Q8VCN9</v>
      </c>
      <c r="M1606" t="s">
        <v>18805</v>
      </c>
      <c r="N1606" t="str">
        <f>"Tbcc"</f>
        <v>Tbcc</v>
      </c>
      <c r="O1606" s="3" t="str">
        <f>HYPERLINK("http://www.informatics.jax.org/marker/MGI:1919976", "MGI:1919976")</f>
        <v>MGI:1919976</v>
      </c>
      <c r="P1606" t="s">
        <v>18806</v>
      </c>
      <c r="Q1606" t="s">
        <v>32</v>
      </c>
      <c r="R1606" t="s">
        <v>418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388</v>
      </c>
      <c r="Y1606" t="s">
        <v>157</v>
      </c>
      <c r="Z1606" t="s">
        <v>32</v>
      </c>
      <c r="AA1606" t="s">
        <v>4834</v>
      </c>
      <c r="AB1606" t="s">
        <v>18807</v>
      </c>
      <c r="AC1606" t="s">
        <v>18808</v>
      </c>
      <c r="AD1606" t="s">
        <v>32</v>
      </c>
      <c r="AE1606" t="s">
        <v>32</v>
      </c>
      <c r="AF1606" t="s">
        <v>46835</v>
      </c>
    </row>
    <row r="1607" spans="1:32" x14ac:dyDescent="0.2">
      <c r="A1607">
        <v>1602</v>
      </c>
      <c r="B1607" t="s">
        <v>18809</v>
      </c>
      <c r="C1607" t="s">
        <v>18810</v>
      </c>
      <c r="D1607" t="s">
        <v>18811</v>
      </c>
      <c r="E1607" t="s">
        <v>18812</v>
      </c>
      <c r="F1607" t="s">
        <v>18813</v>
      </c>
      <c r="G1607" t="s">
        <v>18814</v>
      </c>
      <c r="H1607" t="str">
        <f>"Dnajc2"</f>
        <v>Dnajc2</v>
      </c>
      <c r="I1607" t="s">
        <v>18815</v>
      </c>
      <c r="J1607" t="s">
        <v>37</v>
      </c>
      <c r="K1607">
        <v>10090</v>
      </c>
      <c r="L1607" s="3" t="str">
        <f>HYPERLINK("http://www.uniprot.org/uniprot/P54103", "P54103")</f>
        <v>P54103</v>
      </c>
      <c r="M1607" t="s">
        <v>18816</v>
      </c>
      <c r="N1607" t="str">
        <f>"Dnajc2"</f>
        <v>Dnajc2</v>
      </c>
      <c r="O1607" s="3" t="str">
        <f>HYPERLINK("http://www.informatics.jax.org/marker/MGI:99470", "MGI:99470")</f>
        <v>MGI:99470</v>
      </c>
      <c r="P1607" t="s">
        <v>18817</v>
      </c>
      <c r="Q1607" t="s">
        <v>4152</v>
      </c>
      <c r="R1607" t="s">
        <v>40</v>
      </c>
      <c r="S1607" t="s">
        <v>32</v>
      </c>
      <c r="T1607" t="s">
        <v>32</v>
      </c>
      <c r="U1607" t="s">
        <v>32</v>
      </c>
      <c r="V1607" t="s">
        <v>55</v>
      </c>
      <c r="W1607" t="s">
        <v>32</v>
      </c>
      <c r="X1607" t="s">
        <v>18818</v>
      </c>
      <c r="Y1607" t="s">
        <v>157</v>
      </c>
      <c r="Z1607" t="s">
        <v>32</v>
      </c>
      <c r="AA1607" t="s">
        <v>18819</v>
      </c>
      <c r="AB1607" t="s">
        <v>18820</v>
      </c>
      <c r="AC1607" t="s">
        <v>18821</v>
      </c>
      <c r="AD1607" t="s">
        <v>32</v>
      </c>
      <c r="AE1607" t="s">
        <v>1445</v>
      </c>
      <c r="AF1607" t="s">
        <v>46835</v>
      </c>
    </row>
    <row r="1608" spans="1:32" x14ac:dyDescent="0.2">
      <c r="A1608">
        <v>1603</v>
      </c>
      <c r="B1608" t="s">
        <v>18822</v>
      </c>
      <c r="C1608" t="s">
        <v>18823</v>
      </c>
      <c r="D1608" t="s">
        <v>18824</v>
      </c>
      <c r="E1608" t="s">
        <v>18825</v>
      </c>
      <c r="F1608" t="s">
        <v>18826</v>
      </c>
      <c r="G1608" t="s">
        <v>18827</v>
      </c>
      <c r="H1608" t="str">
        <f>"Adnp"</f>
        <v>Adnp</v>
      </c>
      <c r="I1608" t="s">
        <v>32</v>
      </c>
      <c r="J1608" t="s">
        <v>37</v>
      </c>
      <c r="K1608">
        <v>10090</v>
      </c>
      <c r="L1608" s="3" t="str">
        <f>HYPERLINK("http://www.uniprot.org/uniprot/Q9Z103", "Q9Z103")</f>
        <v>Q9Z103</v>
      </c>
      <c r="M1608" t="s">
        <v>18828</v>
      </c>
      <c r="N1608" t="str">
        <f>"Adnp"</f>
        <v>Adnp</v>
      </c>
      <c r="O1608" s="3" t="str">
        <f>HYPERLINK("http://www.informatics.jax.org/marker/MGI:1338758", "MGI:1338758")</f>
        <v>MGI:1338758</v>
      </c>
      <c r="P1608" t="s">
        <v>18829</v>
      </c>
      <c r="Q1608" t="s">
        <v>4152</v>
      </c>
      <c r="R1608" t="s">
        <v>2279</v>
      </c>
      <c r="S1608" t="s">
        <v>32</v>
      </c>
      <c r="T1608" t="s">
        <v>32</v>
      </c>
      <c r="U1608" t="s">
        <v>32</v>
      </c>
      <c r="V1608" t="s">
        <v>18830</v>
      </c>
      <c r="W1608" t="s">
        <v>42</v>
      </c>
      <c r="X1608" t="s">
        <v>247</v>
      </c>
      <c r="Y1608" t="s">
        <v>207</v>
      </c>
      <c r="Z1608" t="s">
        <v>32</v>
      </c>
      <c r="AA1608" t="s">
        <v>18831</v>
      </c>
      <c r="AB1608" t="s">
        <v>18832</v>
      </c>
      <c r="AC1608" t="s">
        <v>18833</v>
      </c>
      <c r="AD1608" t="s">
        <v>32</v>
      </c>
      <c r="AE1608" t="s">
        <v>32</v>
      </c>
      <c r="AF1608" t="s">
        <v>46835</v>
      </c>
    </row>
    <row r="1609" spans="1:32" x14ac:dyDescent="0.2">
      <c r="A1609">
        <v>1604</v>
      </c>
      <c r="B1609" t="s">
        <v>18834</v>
      </c>
      <c r="C1609" t="s">
        <v>18835</v>
      </c>
      <c r="D1609" t="s">
        <v>32</v>
      </c>
      <c r="E1609" t="s">
        <v>18836</v>
      </c>
      <c r="F1609" t="s">
        <v>18837</v>
      </c>
      <c r="G1609" t="s">
        <v>18838</v>
      </c>
      <c r="H1609" t="str">
        <f>"Ppp2ca"</f>
        <v>Ppp2ca</v>
      </c>
      <c r="I1609" t="s">
        <v>32</v>
      </c>
      <c r="J1609" t="s">
        <v>37</v>
      </c>
      <c r="K1609">
        <v>10090</v>
      </c>
      <c r="L1609" s="3" t="str">
        <f>HYPERLINK("http://www.uniprot.org/uniprot/P63330", "P63330")</f>
        <v>P63330</v>
      </c>
      <c r="M1609" t="s">
        <v>18839</v>
      </c>
      <c r="N1609" t="str">
        <f>"Ppp2ca"</f>
        <v>Ppp2ca</v>
      </c>
      <c r="O1609" s="3" t="str">
        <f>HYPERLINK("http://www.informatics.jax.org/marker/MGI:1321159", "MGI:1321159")</f>
        <v>MGI:1321159</v>
      </c>
      <c r="P1609" t="s">
        <v>18840</v>
      </c>
      <c r="Q1609" t="s">
        <v>18841</v>
      </c>
      <c r="R1609" t="s">
        <v>9813</v>
      </c>
      <c r="S1609" t="s">
        <v>32</v>
      </c>
      <c r="T1609" t="s">
        <v>32</v>
      </c>
      <c r="U1609" t="s">
        <v>32</v>
      </c>
      <c r="V1609" t="s">
        <v>32</v>
      </c>
      <c r="W1609" t="s">
        <v>5883</v>
      </c>
      <c r="X1609" t="s">
        <v>3683</v>
      </c>
      <c r="Y1609" t="s">
        <v>18842</v>
      </c>
      <c r="Z1609" t="s">
        <v>32</v>
      </c>
      <c r="AA1609" t="s">
        <v>18843</v>
      </c>
      <c r="AB1609" t="s">
        <v>18844</v>
      </c>
      <c r="AC1609" t="s">
        <v>18845</v>
      </c>
      <c r="AD1609" t="s">
        <v>32</v>
      </c>
      <c r="AE1609" t="s">
        <v>18846</v>
      </c>
      <c r="AF1609" t="s">
        <v>46835</v>
      </c>
    </row>
    <row r="1610" spans="1:32" x14ac:dyDescent="0.2">
      <c r="A1610">
        <v>1605</v>
      </c>
      <c r="B1610" t="s">
        <v>18847</v>
      </c>
      <c r="C1610" t="s">
        <v>18848</v>
      </c>
      <c r="D1610" t="s">
        <v>18849</v>
      </c>
      <c r="E1610" t="s">
        <v>18850</v>
      </c>
      <c r="F1610" t="s">
        <v>18851</v>
      </c>
      <c r="G1610" t="s">
        <v>18852</v>
      </c>
      <c r="H1610" t="str">
        <f>"Map1s"</f>
        <v>Map1s</v>
      </c>
      <c r="I1610" t="s">
        <v>18853</v>
      </c>
      <c r="J1610" t="s">
        <v>37</v>
      </c>
      <c r="K1610">
        <v>10090</v>
      </c>
      <c r="L1610" s="3" t="str">
        <f>HYPERLINK("http://www.uniprot.org/uniprot/Q8C052", "Q8C052")</f>
        <v>Q8C052</v>
      </c>
      <c r="M1610" t="s">
        <v>18854</v>
      </c>
      <c r="N1610" t="str">
        <f>"Map1s"</f>
        <v>Map1s</v>
      </c>
      <c r="O1610" s="3" t="str">
        <f>HYPERLINK("http://www.informatics.jax.org/marker/MGI:2443304", "MGI:2443304")</f>
        <v>MGI:2443304</v>
      </c>
      <c r="P1610" t="s">
        <v>18855</v>
      </c>
      <c r="Q1610" t="s">
        <v>541</v>
      </c>
      <c r="R1610" t="s">
        <v>2969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247</v>
      </c>
      <c r="Y1610" t="s">
        <v>618</v>
      </c>
      <c r="Z1610" t="s">
        <v>32</v>
      </c>
      <c r="AA1610" t="s">
        <v>18856</v>
      </c>
      <c r="AB1610" t="s">
        <v>18857</v>
      </c>
      <c r="AC1610" t="s">
        <v>18858</v>
      </c>
      <c r="AD1610" t="s">
        <v>32</v>
      </c>
      <c r="AE1610" t="s">
        <v>32</v>
      </c>
      <c r="AF1610" t="s">
        <v>46835</v>
      </c>
    </row>
    <row r="1611" spans="1:32" x14ac:dyDescent="0.2">
      <c r="A1611">
        <v>1606</v>
      </c>
      <c r="B1611" t="s">
        <v>18859</v>
      </c>
      <c r="C1611" t="s">
        <v>18860</v>
      </c>
      <c r="D1611" t="s">
        <v>18861</v>
      </c>
      <c r="E1611" t="s">
        <v>18862</v>
      </c>
      <c r="F1611" t="s">
        <v>18863</v>
      </c>
      <c r="G1611" t="s">
        <v>18864</v>
      </c>
      <c r="H1611" t="str">
        <f>"Triobp"</f>
        <v>Triobp</v>
      </c>
      <c r="I1611" t="s">
        <v>18865</v>
      </c>
      <c r="J1611" t="s">
        <v>37</v>
      </c>
      <c r="K1611">
        <v>10090</v>
      </c>
      <c r="L1611" s="3" t="str">
        <f>HYPERLINK("http://www.uniprot.org/uniprot/Q99KW3", "Q99KW3")</f>
        <v>Q99KW3</v>
      </c>
      <c r="M1611" t="s">
        <v>18866</v>
      </c>
      <c r="N1611" t="str">
        <f>"Triobp"</f>
        <v>Triobp</v>
      </c>
      <c r="O1611" s="3" t="str">
        <f>HYPERLINK("http://www.informatics.jax.org/marker/MGI:1349410", "MGI:1349410")</f>
        <v>MGI:1349410</v>
      </c>
      <c r="P1611" t="s">
        <v>18867</v>
      </c>
      <c r="Q1611" t="s">
        <v>2968</v>
      </c>
      <c r="R1611" t="s">
        <v>324</v>
      </c>
      <c r="S1611" t="s">
        <v>41</v>
      </c>
      <c r="T1611" t="s">
        <v>32</v>
      </c>
      <c r="U1611" t="s">
        <v>32</v>
      </c>
      <c r="V1611" t="s">
        <v>290</v>
      </c>
      <c r="W1611" t="s">
        <v>32</v>
      </c>
      <c r="X1611" t="s">
        <v>405</v>
      </c>
      <c r="Y1611" t="s">
        <v>18842</v>
      </c>
      <c r="Z1611" t="s">
        <v>32</v>
      </c>
      <c r="AA1611" t="s">
        <v>18868</v>
      </c>
      <c r="AB1611" t="s">
        <v>18869</v>
      </c>
      <c r="AC1611" t="s">
        <v>18870</v>
      </c>
      <c r="AD1611" t="s">
        <v>32</v>
      </c>
      <c r="AE1611" t="s">
        <v>32</v>
      </c>
      <c r="AF1611" t="s">
        <v>46835</v>
      </c>
    </row>
    <row r="1612" spans="1:32" x14ac:dyDescent="0.2">
      <c r="A1612">
        <v>1607</v>
      </c>
      <c r="B1612" t="s">
        <v>18871</v>
      </c>
      <c r="C1612" t="s">
        <v>18872</v>
      </c>
      <c r="D1612" t="s">
        <v>32</v>
      </c>
      <c r="E1612" t="s">
        <v>18873</v>
      </c>
      <c r="F1612" t="s">
        <v>18874</v>
      </c>
      <c r="G1612" t="s">
        <v>18875</v>
      </c>
      <c r="H1612" t="str">
        <f>"Tet3"</f>
        <v>Tet3</v>
      </c>
      <c r="I1612" t="s">
        <v>32</v>
      </c>
      <c r="J1612" t="s">
        <v>37</v>
      </c>
      <c r="K1612">
        <v>10090</v>
      </c>
      <c r="L1612" s="3" t="str">
        <f>HYPERLINK("http://www.uniprot.org/uniprot/Q8BG87", "Q8BG87")</f>
        <v>Q8BG87</v>
      </c>
      <c r="M1612" t="s">
        <v>18876</v>
      </c>
      <c r="N1612" t="str">
        <f>"Tet3"</f>
        <v>Tet3</v>
      </c>
      <c r="O1612" s="3" t="str">
        <f>HYPERLINK("http://www.informatics.jax.org/marker/MGI:2446229", "MGI:2446229")</f>
        <v>MGI:2446229</v>
      </c>
      <c r="P1612" t="s">
        <v>18877</v>
      </c>
      <c r="Q1612" t="s">
        <v>32</v>
      </c>
      <c r="R1612" t="s">
        <v>8375</v>
      </c>
      <c r="S1612" t="s">
        <v>41</v>
      </c>
      <c r="T1612" t="s">
        <v>32</v>
      </c>
      <c r="U1612" t="s">
        <v>32</v>
      </c>
      <c r="V1612" t="s">
        <v>446</v>
      </c>
      <c r="W1612" t="s">
        <v>18878</v>
      </c>
      <c r="X1612" t="s">
        <v>18879</v>
      </c>
      <c r="Y1612" t="s">
        <v>10927</v>
      </c>
      <c r="Z1612" t="s">
        <v>126</v>
      </c>
      <c r="AA1612" t="s">
        <v>18880</v>
      </c>
      <c r="AB1612" t="s">
        <v>18881</v>
      </c>
      <c r="AC1612" t="s">
        <v>18882</v>
      </c>
      <c r="AD1612" t="s">
        <v>32</v>
      </c>
      <c r="AE1612" t="s">
        <v>32</v>
      </c>
      <c r="AF1612" t="s">
        <v>46835</v>
      </c>
    </row>
    <row r="1613" spans="1:32" x14ac:dyDescent="0.2">
      <c r="A1613">
        <v>1608</v>
      </c>
      <c r="B1613" t="s">
        <v>18883</v>
      </c>
      <c r="C1613" t="s">
        <v>18884</v>
      </c>
      <c r="D1613" t="s">
        <v>18885</v>
      </c>
      <c r="E1613" t="s">
        <v>18886</v>
      </c>
      <c r="F1613" t="s">
        <v>18887</v>
      </c>
      <c r="G1613" t="s">
        <v>18888</v>
      </c>
      <c r="H1613" t="str">
        <f>"Fahd1"</f>
        <v>Fahd1</v>
      </c>
      <c r="I1613" t="s">
        <v>32</v>
      </c>
      <c r="J1613" t="s">
        <v>37</v>
      </c>
      <c r="K1613">
        <v>10090</v>
      </c>
      <c r="L1613" s="3" t="str">
        <f>HYPERLINK("http://www.uniprot.org/uniprot/Q8R0F8", "Q8R0F8")</f>
        <v>Q8R0F8</v>
      </c>
      <c r="M1613" t="s">
        <v>18889</v>
      </c>
      <c r="N1613" t="str">
        <f>"Fahd1"</f>
        <v>Fahd1</v>
      </c>
      <c r="O1613" s="3" t="str">
        <f>HYPERLINK("http://www.informatics.jax.org/marker/MGI:1915886", "MGI:1915886")</f>
        <v>MGI:1915886</v>
      </c>
      <c r="P1613" t="s">
        <v>18890</v>
      </c>
      <c r="Q1613" t="s">
        <v>32</v>
      </c>
      <c r="R1613" t="s">
        <v>1842</v>
      </c>
      <c r="S1613" t="s">
        <v>32</v>
      </c>
      <c r="T1613" t="s">
        <v>32</v>
      </c>
      <c r="U1613" t="s">
        <v>32</v>
      </c>
      <c r="V1613" t="s">
        <v>1039</v>
      </c>
      <c r="W1613" t="s">
        <v>18891</v>
      </c>
      <c r="X1613" t="s">
        <v>18892</v>
      </c>
      <c r="Y1613" t="s">
        <v>157</v>
      </c>
      <c r="Z1613" t="s">
        <v>126</v>
      </c>
      <c r="AA1613" t="s">
        <v>32</v>
      </c>
      <c r="AB1613" t="s">
        <v>18893</v>
      </c>
      <c r="AC1613" t="s">
        <v>18894</v>
      </c>
      <c r="AD1613" t="s">
        <v>32</v>
      </c>
      <c r="AE1613" t="s">
        <v>3390</v>
      </c>
      <c r="AF1613" t="s">
        <v>46835</v>
      </c>
    </row>
    <row r="1614" spans="1:32" x14ac:dyDescent="0.2">
      <c r="A1614">
        <v>1609</v>
      </c>
      <c r="B1614" t="s">
        <v>18895</v>
      </c>
      <c r="C1614" t="s">
        <v>18896</v>
      </c>
      <c r="D1614" t="s">
        <v>32</v>
      </c>
      <c r="E1614" t="s">
        <v>18897</v>
      </c>
      <c r="F1614" t="s">
        <v>18898</v>
      </c>
      <c r="G1614" t="s">
        <v>18899</v>
      </c>
      <c r="H1614" t="str">
        <f>"Lsm6"</f>
        <v>Lsm6</v>
      </c>
      <c r="I1614" t="s">
        <v>32</v>
      </c>
      <c r="J1614" t="s">
        <v>37</v>
      </c>
      <c r="K1614">
        <v>10090</v>
      </c>
      <c r="L1614" s="3" t="str">
        <f>HYPERLINK("http://www.uniprot.org/uniprot/P62313", "P62313")</f>
        <v>P62313</v>
      </c>
      <c r="M1614" t="s">
        <v>18900</v>
      </c>
      <c r="N1614" t="str">
        <f>"Lsm6"</f>
        <v>Lsm6</v>
      </c>
      <c r="O1614" s="3" t="str">
        <f>HYPERLINK("http://www.informatics.jax.org/marker/MGI:1925901", "MGI:1925901")</f>
        <v>MGI:1925901</v>
      </c>
      <c r="P1614" t="s">
        <v>18901</v>
      </c>
      <c r="Q1614" t="s">
        <v>18902</v>
      </c>
      <c r="R1614" t="s">
        <v>2219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1129</v>
      </c>
      <c r="Y1614" t="s">
        <v>78</v>
      </c>
      <c r="Z1614" t="s">
        <v>32</v>
      </c>
      <c r="AA1614" t="s">
        <v>18903</v>
      </c>
      <c r="AB1614" t="s">
        <v>18904</v>
      </c>
      <c r="AC1614" t="s">
        <v>18905</v>
      </c>
      <c r="AD1614" t="s">
        <v>32</v>
      </c>
      <c r="AE1614" t="s">
        <v>12895</v>
      </c>
      <c r="AF1614" t="s">
        <v>46835</v>
      </c>
    </row>
    <row r="1615" spans="1:32" x14ac:dyDescent="0.2">
      <c r="A1615">
        <v>1610</v>
      </c>
      <c r="B1615" t="s">
        <v>18906</v>
      </c>
      <c r="C1615" t="s">
        <v>18907</v>
      </c>
      <c r="D1615" t="s">
        <v>18908</v>
      </c>
      <c r="E1615" t="s">
        <v>18909</v>
      </c>
      <c r="F1615" t="s">
        <v>18910</v>
      </c>
      <c r="G1615" t="s">
        <v>18911</v>
      </c>
      <c r="H1615" t="str">
        <f>"Mob4"</f>
        <v>Mob4</v>
      </c>
      <c r="I1615" t="s">
        <v>18912</v>
      </c>
      <c r="J1615" t="s">
        <v>37</v>
      </c>
      <c r="K1615">
        <v>10090</v>
      </c>
      <c r="L1615" s="3" t="str">
        <f>HYPERLINK("http://www.uniprot.org/uniprot/Q6PEB6", "Q6PEB6")</f>
        <v>Q6PEB6</v>
      </c>
      <c r="M1615" t="s">
        <v>18913</v>
      </c>
      <c r="N1615" t="str">
        <f>"Mob4"</f>
        <v>Mob4</v>
      </c>
      <c r="O1615" s="3" t="str">
        <f>HYPERLINK("http://www.informatics.jax.org/marker/MGI:104899", "MGI:104899")</f>
        <v>MGI:104899</v>
      </c>
      <c r="P1615" t="s">
        <v>18914</v>
      </c>
      <c r="Q1615" t="s">
        <v>4425</v>
      </c>
      <c r="R1615" t="s">
        <v>7998</v>
      </c>
      <c r="S1615" t="s">
        <v>32</v>
      </c>
      <c r="T1615" t="s">
        <v>32</v>
      </c>
      <c r="U1615" t="s">
        <v>32</v>
      </c>
      <c r="V1615" t="s">
        <v>32</v>
      </c>
      <c r="W1615" t="s">
        <v>42</v>
      </c>
      <c r="X1615" t="s">
        <v>32</v>
      </c>
      <c r="Y1615" t="s">
        <v>618</v>
      </c>
      <c r="Z1615" t="s">
        <v>32</v>
      </c>
      <c r="AA1615" t="s">
        <v>32</v>
      </c>
      <c r="AB1615" t="s">
        <v>18915</v>
      </c>
      <c r="AC1615" t="s">
        <v>18916</v>
      </c>
      <c r="AD1615" t="s">
        <v>32</v>
      </c>
      <c r="AE1615" t="s">
        <v>32</v>
      </c>
      <c r="AF1615" t="s">
        <v>46835</v>
      </c>
    </row>
    <row r="1616" spans="1:32" x14ac:dyDescent="0.2">
      <c r="A1616">
        <v>1611</v>
      </c>
      <c r="B1616" t="s">
        <v>18917</v>
      </c>
      <c r="C1616" t="s">
        <v>18918</v>
      </c>
      <c r="D1616" t="s">
        <v>18919</v>
      </c>
      <c r="E1616" t="s">
        <v>18920</v>
      </c>
      <c r="F1616" t="s">
        <v>18921</v>
      </c>
      <c r="G1616" t="s">
        <v>18922</v>
      </c>
      <c r="H1616" t="str">
        <f>"Nek7"</f>
        <v>Nek7</v>
      </c>
      <c r="I1616" t="s">
        <v>32</v>
      </c>
      <c r="J1616" t="s">
        <v>37</v>
      </c>
      <c r="K1616">
        <v>10090</v>
      </c>
      <c r="L1616" s="3" t="str">
        <f>HYPERLINK("http://www.uniprot.org/uniprot/Q9ES74", "Q9ES74")</f>
        <v>Q9ES74</v>
      </c>
      <c r="M1616" t="s">
        <v>18923</v>
      </c>
      <c r="N1616" t="str">
        <f>"Nek7"</f>
        <v>Nek7</v>
      </c>
      <c r="O1616" s="3" t="str">
        <f>HYPERLINK("http://www.informatics.jax.org/marker/MGI:1890645", "MGI:1890645")</f>
        <v>MGI:1890645</v>
      </c>
      <c r="P1616" t="s">
        <v>18924</v>
      </c>
      <c r="Q1616" t="s">
        <v>32</v>
      </c>
      <c r="R1616" t="s">
        <v>324</v>
      </c>
      <c r="S1616" t="s">
        <v>32</v>
      </c>
      <c r="T1616" t="s">
        <v>32</v>
      </c>
      <c r="U1616" t="s">
        <v>32</v>
      </c>
      <c r="V1616" t="s">
        <v>32</v>
      </c>
      <c r="W1616" t="s">
        <v>1266</v>
      </c>
      <c r="X1616" t="s">
        <v>5419</v>
      </c>
      <c r="Y1616" t="s">
        <v>157</v>
      </c>
      <c r="Z1616" t="s">
        <v>32</v>
      </c>
      <c r="AA1616" t="s">
        <v>18925</v>
      </c>
      <c r="AB1616" t="s">
        <v>18926</v>
      </c>
      <c r="AC1616" t="s">
        <v>18927</v>
      </c>
      <c r="AD1616" t="s">
        <v>32</v>
      </c>
      <c r="AE1616" t="s">
        <v>32</v>
      </c>
      <c r="AF1616" t="s">
        <v>46835</v>
      </c>
    </row>
    <row r="1617" spans="1:32" x14ac:dyDescent="0.2">
      <c r="A1617">
        <v>1612</v>
      </c>
      <c r="B1617" t="s">
        <v>18928</v>
      </c>
      <c r="C1617" t="s">
        <v>18929</v>
      </c>
      <c r="D1617" t="s">
        <v>18930</v>
      </c>
      <c r="E1617" t="s">
        <v>18931</v>
      </c>
      <c r="F1617" t="s">
        <v>18932</v>
      </c>
      <c r="G1617" t="s">
        <v>18933</v>
      </c>
      <c r="H1617" t="str">
        <f>"Cnot1"</f>
        <v>Cnot1</v>
      </c>
      <c r="I1617" t="s">
        <v>18934</v>
      </c>
      <c r="J1617" t="s">
        <v>37</v>
      </c>
      <c r="K1617">
        <v>10090</v>
      </c>
      <c r="L1617" s="3" t="str">
        <f>HYPERLINK("http://www.uniprot.org/uniprot/Q6ZQ08", "Q6ZQ08")</f>
        <v>Q6ZQ08</v>
      </c>
      <c r="M1617" t="s">
        <v>18935</v>
      </c>
      <c r="N1617" t="str">
        <f>"Cnot1"</f>
        <v>Cnot1</v>
      </c>
      <c r="O1617" s="3" t="str">
        <f>HYPERLINK("http://www.informatics.jax.org/marker/MGI:2442402", "MGI:2442402")</f>
        <v>MGI:2442402</v>
      </c>
      <c r="P1617" t="s">
        <v>18936</v>
      </c>
      <c r="Q1617" t="s">
        <v>18937</v>
      </c>
      <c r="R1617" t="s">
        <v>40</v>
      </c>
      <c r="S1617" t="s">
        <v>41</v>
      </c>
      <c r="T1617" t="s">
        <v>32</v>
      </c>
      <c r="U1617" t="s">
        <v>32</v>
      </c>
      <c r="V1617" t="s">
        <v>32</v>
      </c>
      <c r="W1617" t="s">
        <v>32</v>
      </c>
      <c r="X1617" t="s">
        <v>18938</v>
      </c>
      <c r="Y1617" t="s">
        <v>618</v>
      </c>
      <c r="Z1617" t="s">
        <v>32</v>
      </c>
      <c r="AA1617" t="s">
        <v>18939</v>
      </c>
      <c r="AB1617" t="s">
        <v>18940</v>
      </c>
      <c r="AC1617" t="s">
        <v>18941</v>
      </c>
      <c r="AD1617" t="s">
        <v>32</v>
      </c>
      <c r="AE1617" t="s">
        <v>18942</v>
      </c>
      <c r="AF1617" t="s">
        <v>46835</v>
      </c>
    </row>
    <row r="1618" spans="1:32" x14ac:dyDescent="0.2">
      <c r="A1618">
        <v>1613</v>
      </c>
      <c r="B1618" t="s">
        <v>18943</v>
      </c>
      <c r="C1618" t="s">
        <v>18944</v>
      </c>
      <c r="D1618" t="s">
        <v>32</v>
      </c>
      <c r="E1618" t="s">
        <v>18945</v>
      </c>
      <c r="F1618" t="s">
        <v>18946</v>
      </c>
      <c r="G1618" t="s">
        <v>18947</v>
      </c>
      <c r="H1618" t="str">
        <f>"Timm50"</f>
        <v>Timm50</v>
      </c>
      <c r="I1618" t="s">
        <v>18948</v>
      </c>
      <c r="J1618" t="s">
        <v>37</v>
      </c>
      <c r="K1618">
        <v>10090</v>
      </c>
      <c r="L1618" s="3" t="str">
        <f>HYPERLINK("http://www.uniprot.org/uniprot/Q9D880", "Q9D880")</f>
        <v>Q9D880</v>
      </c>
      <c r="M1618" t="s">
        <v>18949</v>
      </c>
      <c r="N1618" t="str">
        <f>"Timm50"</f>
        <v>Timm50</v>
      </c>
      <c r="O1618" s="3" t="str">
        <f>HYPERLINK("http://www.informatics.jax.org/marker/MGI:1913775", "MGI:1913775")</f>
        <v>MGI:1913775</v>
      </c>
      <c r="P1618" t="s">
        <v>18950</v>
      </c>
      <c r="Q1618" t="s">
        <v>4270</v>
      </c>
      <c r="R1618" t="s">
        <v>3858</v>
      </c>
      <c r="S1618" t="s">
        <v>32</v>
      </c>
      <c r="T1618" t="s">
        <v>32</v>
      </c>
      <c r="U1618" t="s">
        <v>32</v>
      </c>
      <c r="V1618" t="s">
        <v>3859</v>
      </c>
      <c r="W1618" t="s">
        <v>32</v>
      </c>
      <c r="X1618" t="s">
        <v>32</v>
      </c>
      <c r="Y1618" t="s">
        <v>618</v>
      </c>
      <c r="Z1618" t="s">
        <v>32</v>
      </c>
      <c r="AA1618" t="s">
        <v>18951</v>
      </c>
      <c r="AB1618" t="s">
        <v>18952</v>
      </c>
      <c r="AC1618" t="s">
        <v>18953</v>
      </c>
      <c r="AD1618" t="s">
        <v>32</v>
      </c>
      <c r="AE1618" t="s">
        <v>32</v>
      </c>
      <c r="AF1618" t="s">
        <v>46835</v>
      </c>
    </row>
    <row r="1619" spans="1:32" x14ac:dyDescent="0.2">
      <c r="A1619">
        <v>1614</v>
      </c>
      <c r="B1619" t="s">
        <v>18954</v>
      </c>
      <c r="C1619" t="s">
        <v>18955</v>
      </c>
      <c r="D1619" t="s">
        <v>32</v>
      </c>
      <c r="E1619" t="s">
        <v>18956</v>
      </c>
      <c r="F1619" t="s">
        <v>18957</v>
      </c>
      <c r="G1619" t="s">
        <v>18958</v>
      </c>
      <c r="H1619" t="str">
        <f>"H3c1"</f>
        <v>H3c1</v>
      </c>
      <c r="I1619" t="s">
        <v>18959</v>
      </c>
      <c r="J1619" t="s">
        <v>37</v>
      </c>
      <c r="K1619">
        <v>10090</v>
      </c>
      <c r="L1619" s="3" t="str">
        <f>HYPERLINK("http://www.uniprot.org/uniprot/P68433", "P68433")</f>
        <v>P68433</v>
      </c>
      <c r="M1619" t="s">
        <v>18960</v>
      </c>
      <c r="N1619" t="str">
        <f>"H3c1"</f>
        <v>H3c1</v>
      </c>
      <c r="O1619" s="3" t="str">
        <f>HYPERLINK("http://www.informatics.jax.org/marker/MGI:2668828", "MGI:2668828")</f>
        <v>MGI:2668828</v>
      </c>
      <c r="P1619" t="s">
        <v>18961</v>
      </c>
      <c r="Q1619" t="s">
        <v>32</v>
      </c>
      <c r="R1619" t="s">
        <v>246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247</v>
      </c>
      <c r="Y1619" t="s">
        <v>18962</v>
      </c>
      <c r="Z1619" t="s">
        <v>126</v>
      </c>
      <c r="AA1619" t="s">
        <v>32</v>
      </c>
      <c r="AB1619" t="s">
        <v>18963</v>
      </c>
      <c r="AC1619" t="s">
        <v>251</v>
      </c>
      <c r="AD1619" t="s">
        <v>32</v>
      </c>
      <c r="AE1619" t="s">
        <v>16727</v>
      </c>
      <c r="AF1619" t="s">
        <v>46835</v>
      </c>
    </row>
    <row r="1620" spans="1:32" x14ac:dyDescent="0.2">
      <c r="A1620">
        <v>1615</v>
      </c>
      <c r="B1620" t="s">
        <v>18964</v>
      </c>
      <c r="C1620" t="s">
        <v>18965</v>
      </c>
      <c r="D1620" t="s">
        <v>18966</v>
      </c>
      <c r="E1620" t="s">
        <v>18967</v>
      </c>
      <c r="F1620" t="s">
        <v>18968</v>
      </c>
      <c r="G1620" t="s">
        <v>18969</v>
      </c>
      <c r="H1620" t="str">
        <f>"Ufd1"</f>
        <v>Ufd1</v>
      </c>
      <c r="I1620" t="s">
        <v>18970</v>
      </c>
      <c r="J1620" t="s">
        <v>37</v>
      </c>
      <c r="K1620">
        <v>10090</v>
      </c>
      <c r="L1620" s="3" t="str">
        <f>HYPERLINK("http://www.uniprot.org/uniprot/P70362", "P70362")</f>
        <v>P70362</v>
      </c>
      <c r="M1620" t="s">
        <v>18971</v>
      </c>
      <c r="N1620" t="str">
        <f>"Ufd1"</f>
        <v>Ufd1</v>
      </c>
      <c r="O1620" s="3" t="str">
        <f>HYPERLINK("http://www.informatics.jax.org/marker/MGI:109353", "MGI:109353")</f>
        <v>MGI:109353</v>
      </c>
      <c r="P1620" t="s">
        <v>18972</v>
      </c>
      <c r="Q1620" t="s">
        <v>1020</v>
      </c>
      <c r="R1620" t="s">
        <v>40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32</v>
      </c>
      <c r="Y1620" t="s">
        <v>157</v>
      </c>
      <c r="Z1620" t="s">
        <v>32</v>
      </c>
      <c r="AA1620" t="s">
        <v>18973</v>
      </c>
      <c r="AB1620" t="s">
        <v>18974</v>
      </c>
      <c r="AC1620" t="s">
        <v>18975</v>
      </c>
      <c r="AD1620" t="s">
        <v>18456</v>
      </c>
      <c r="AE1620" t="s">
        <v>18976</v>
      </c>
      <c r="AF1620" t="s">
        <v>46835</v>
      </c>
    </row>
    <row r="1621" spans="1:32" x14ac:dyDescent="0.2">
      <c r="A1621">
        <v>1616</v>
      </c>
      <c r="B1621" t="s">
        <v>18977</v>
      </c>
      <c r="C1621" t="s">
        <v>18978</v>
      </c>
      <c r="D1621" t="s">
        <v>18979</v>
      </c>
      <c r="E1621" t="s">
        <v>18980</v>
      </c>
      <c r="F1621" t="s">
        <v>18981</v>
      </c>
      <c r="G1621" t="s">
        <v>32</v>
      </c>
      <c r="H1621" t="str">
        <f>"Rheb"</f>
        <v>Rheb</v>
      </c>
      <c r="I1621" t="s">
        <v>32</v>
      </c>
      <c r="J1621" t="s">
        <v>37</v>
      </c>
      <c r="K1621">
        <v>10090</v>
      </c>
      <c r="L1621" s="3" t="str">
        <f>HYPERLINK("http://www.uniprot.org/uniprot/Q921J2", "Q921J2")</f>
        <v>Q921J2</v>
      </c>
      <c r="M1621" t="s">
        <v>18982</v>
      </c>
      <c r="N1621" t="str">
        <f>"Rheb"</f>
        <v>Rheb</v>
      </c>
      <c r="O1621" s="3" t="str">
        <f>HYPERLINK("http://www.informatics.jax.org/marker/MGI:97912", "MGI:97912")</f>
        <v>MGI:97912</v>
      </c>
      <c r="P1621" t="s">
        <v>18983</v>
      </c>
      <c r="Q1621" t="s">
        <v>32</v>
      </c>
      <c r="R1621" t="s">
        <v>10053</v>
      </c>
      <c r="S1621" t="s">
        <v>32</v>
      </c>
      <c r="T1621" t="s">
        <v>32</v>
      </c>
      <c r="U1621" t="s">
        <v>32</v>
      </c>
      <c r="V1621" t="s">
        <v>32</v>
      </c>
      <c r="W1621" t="s">
        <v>342</v>
      </c>
      <c r="X1621" t="s">
        <v>32</v>
      </c>
      <c r="Y1621" t="s">
        <v>3745</v>
      </c>
      <c r="Z1621" t="s">
        <v>126</v>
      </c>
      <c r="AA1621" t="s">
        <v>18984</v>
      </c>
      <c r="AB1621" t="s">
        <v>18985</v>
      </c>
      <c r="AC1621" t="s">
        <v>18986</v>
      </c>
      <c r="AD1621" t="s">
        <v>32</v>
      </c>
      <c r="AE1621" t="s">
        <v>18987</v>
      </c>
      <c r="AF1621" t="s">
        <v>46835</v>
      </c>
    </row>
    <row r="1622" spans="1:32" x14ac:dyDescent="0.2">
      <c r="A1622">
        <v>1617</v>
      </c>
      <c r="B1622" t="s">
        <v>18988</v>
      </c>
      <c r="C1622" t="s">
        <v>18989</v>
      </c>
      <c r="D1622" t="s">
        <v>18990</v>
      </c>
      <c r="E1622" t="s">
        <v>18991</v>
      </c>
      <c r="F1622" t="s">
        <v>18992</v>
      </c>
      <c r="G1622" t="s">
        <v>32</v>
      </c>
      <c r="H1622" t="str">
        <f>"H2ax"</f>
        <v>H2ax</v>
      </c>
      <c r="I1622" t="s">
        <v>32</v>
      </c>
      <c r="J1622" t="s">
        <v>37</v>
      </c>
      <c r="K1622">
        <v>10090</v>
      </c>
      <c r="L1622" s="3" t="str">
        <f>HYPERLINK("http://www.uniprot.org/uniprot/P27661", "P27661")</f>
        <v>P27661</v>
      </c>
      <c r="M1622" t="s">
        <v>18993</v>
      </c>
      <c r="N1622" t="str">
        <f>"H2ax"</f>
        <v>H2ax</v>
      </c>
      <c r="O1622" s="3" t="str">
        <f>HYPERLINK("http://www.informatics.jax.org/marker/MGI:102688", "MGI:102688")</f>
        <v>MGI:102688</v>
      </c>
      <c r="P1622" t="s">
        <v>18994</v>
      </c>
      <c r="Q1622" t="s">
        <v>18995</v>
      </c>
      <c r="R1622" t="s">
        <v>246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247</v>
      </c>
      <c r="Y1622" t="s">
        <v>516</v>
      </c>
      <c r="Z1622" t="s">
        <v>32</v>
      </c>
      <c r="AA1622" t="s">
        <v>18996</v>
      </c>
      <c r="AB1622" t="s">
        <v>18997</v>
      </c>
      <c r="AC1622" t="s">
        <v>18998</v>
      </c>
      <c r="AD1622" t="s">
        <v>32</v>
      </c>
      <c r="AE1622" t="s">
        <v>18999</v>
      </c>
      <c r="AF1622" t="s">
        <v>46835</v>
      </c>
    </row>
    <row r="1623" spans="1:32" x14ac:dyDescent="0.2">
      <c r="A1623">
        <v>1618</v>
      </c>
      <c r="B1623" t="s">
        <v>19000</v>
      </c>
      <c r="C1623" t="s">
        <v>19001</v>
      </c>
      <c r="D1623" t="s">
        <v>19002</v>
      </c>
      <c r="E1623" t="s">
        <v>19003</v>
      </c>
      <c r="F1623" t="s">
        <v>19004</v>
      </c>
      <c r="G1623" t="s">
        <v>19005</v>
      </c>
      <c r="H1623" t="str">
        <f>"Ik"</f>
        <v>Ik</v>
      </c>
      <c r="I1623" t="s">
        <v>19006</v>
      </c>
      <c r="J1623" t="s">
        <v>37</v>
      </c>
      <c r="K1623">
        <v>10090</v>
      </c>
      <c r="L1623" s="3" t="str">
        <f>HYPERLINK("http://www.uniprot.org/uniprot/Q9Z1M8", "Q9Z1M8")</f>
        <v>Q9Z1M8</v>
      </c>
      <c r="M1623" t="s">
        <v>19007</v>
      </c>
      <c r="N1623" t="str">
        <f>"Ik"</f>
        <v>Ik</v>
      </c>
      <c r="O1623" s="3" t="str">
        <f>HYPERLINK("http://www.informatics.jax.org/marker/MGI:1345142", "MGI:1345142")</f>
        <v>MGI:1345142</v>
      </c>
      <c r="P1623" t="s">
        <v>19008</v>
      </c>
      <c r="Q1623" t="s">
        <v>2139</v>
      </c>
      <c r="R1623" t="s">
        <v>19009</v>
      </c>
      <c r="S1623" t="s">
        <v>32</v>
      </c>
      <c r="T1623" t="s">
        <v>32</v>
      </c>
      <c r="U1623" t="s">
        <v>32</v>
      </c>
      <c r="V1623" t="s">
        <v>55</v>
      </c>
      <c r="W1623" t="s">
        <v>32</v>
      </c>
      <c r="X1623" t="s">
        <v>32</v>
      </c>
      <c r="Y1623" t="s">
        <v>516</v>
      </c>
      <c r="Z1623" t="s">
        <v>32</v>
      </c>
      <c r="AA1623" t="s">
        <v>19010</v>
      </c>
      <c r="AB1623" t="s">
        <v>19011</v>
      </c>
      <c r="AC1623" t="s">
        <v>4516</v>
      </c>
      <c r="AD1623" t="s">
        <v>32</v>
      </c>
      <c r="AE1623" t="s">
        <v>32</v>
      </c>
      <c r="AF1623" t="s">
        <v>46835</v>
      </c>
    </row>
    <row r="1624" spans="1:32" x14ac:dyDescent="0.2">
      <c r="A1624">
        <v>1619</v>
      </c>
      <c r="B1624" t="s">
        <v>19012</v>
      </c>
      <c r="C1624" t="s">
        <v>19013</v>
      </c>
      <c r="D1624" t="s">
        <v>32</v>
      </c>
      <c r="E1624" t="s">
        <v>19014</v>
      </c>
      <c r="F1624" t="s">
        <v>19015</v>
      </c>
      <c r="G1624" t="s">
        <v>32</v>
      </c>
      <c r="H1624" t="str">
        <f>"Timm9"</f>
        <v>Timm9</v>
      </c>
      <c r="I1624" t="s">
        <v>19016</v>
      </c>
      <c r="J1624" t="s">
        <v>37</v>
      </c>
      <c r="K1624">
        <v>10090</v>
      </c>
      <c r="L1624" s="3" t="str">
        <f>HYPERLINK("http://www.uniprot.org/uniprot/Q9WV98", "Q9WV98")</f>
        <v>Q9WV98</v>
      </c>
      <c r="M1624" t="s">
        <v>19017</v>
      </c>
      <c r="N1624" t="str">
        <f>"Timm9"</f>
        <v>Timm9</v>
      </c>
      <c r="O1624" s="3" t="str">
        <f>HYPERLINK("http://www.informatics.jax.org/marker/MGI:1353436", "MGI:1353436")</f>
        <v>MGI:1353436</v>
      </c>
      <c r="P1624" t="s">
        <v>19018</v>
      </c>
      <c r="Q1624" t="s">
        <v>4270</v>
      </c>
      <c r="R1624" t="s">
        <v>3858</v>
      </c>
      <c r="S1624" t="s">
        <v>32</v>
      </c>
      <c r="T1624" t="s">
        <v>32</v>
      </c>
      <c r="U1624" t="s">
        <v>32</v>
      </c>
      <c r="V1624" t="s">
        <v>32</v>
      </c>
      <c r="W1624" t="s">
        <v>42</v>
      </c>
      <c r="X1624" t="s">
        <v>388</v>
      </c>
      <c r="Y1624" t="s">
        <v>8737</v>
      </c>
      <c r="Z1624" t="s">
        <v>32</v>
      </c>
      <c r="AA1624" t="s">
        <v>19019</v>
      </c>
      <c r="AB1624" t="s">
        <v>19020</v>
      </c>
      <c r="AC1624" t="s">
        <v>19021</v>
      </c>
      <c r="AD1624" t="s">
        <v>32</v>
      </c>
      <c r="AE1624" t="s">
        <v>32</v>
      </c>
      <c r="AF1624" t="s">
        <v>46835</v>
      </c>
    </row>
    <row r="1625" spans="1:32" x14ac:dyDescent="0.2">
      <c r="A1625">
        <v>1620</v>
      </c>
      <c r="B1625" t="s">
        <v>19022</v>
      </c>
      <c r="C1625" t="s">
        <v>19023</v>
      </c>
      <c r="D1625" t="s">
        <v>19024</v>
      </c>
      <c r="E1625" t="s">
        <v>19025</v>
      </c>
      <c r="F1625" t="s">
        <v>19026</v>
      </c>
      <c r="G1625" t="s">
        <v>19027</v>
      </c>
      <c r="H1625" t="str">
        <f>"Pafah1b2"</f>
        <v>Pafah1b2</v>
      </c>
      <c r="I1625" t="s">
        <v>19028</v>
      </c>
      <c r="J1625" t="s">
        <v>37</v>
      </c>
      <c r="K1625">
        <v>10090</v>
      </c>
      <c r="L1625" s="3" t="str">
        <f>HYPERLINK("http://www.uniprot.org/uniprot/Q61206", "Q61206")</f>
        <v>Q61206</v>
      </c>
      <c r="M1625" t="s">
        <v>19029</v>
      </c>
      <c r="N1625" t="str">
        <f>"Pafah1b2"</f>
        <v>Pafah1b2</v>
      </c>
      <c r="O1625" s="3" t="str">
        <f>HYPERLINK("http://www.informatics.jax.org/marker/MGI:108415", "MGI:108415")</f>
        <v>MGI:108415</v>
      </c>
      <c r="P1625" t="s">
        <v>5142</v>
      </c>
      <c r="Q1625" t="s">
        <v>4809</v>
      </c>
      <c r="R1625" t="s">
        <v>418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343</v>
      </c>
      <c r="Y1625" t="s">
        <v>157</v>
      </c>
      <c r="Z1625" t="s">
        <v>32</v>
      </c>
      <c r="AA1625" t="s">
        <v>19030</v>
      </c>
      <c r="AB1625" t="s">
        <v>19031</v>
      </c>
      <c r="AC1625" t="s">
        <v>5145</v>
      </c>
      <c r="AD1625" t="s">
        <v>32</v>
      </c>
      <c r="AE1625" t="s">
        <v>19032</v>
      </c>
      <c r="AF1625" t="s">
        <v>46835</v>
      </c>
    </row>
    <row r="1626" spans="1:32" x14ac:dyDescent="0.2">
      <c r="A1626">
        <v>1621</v>
      </c>
      <c r="B1626" t="s">
        <v>19033</v>
      </c>
      <c r="C1626" t="s">
        <v>19034</v>
      </c>
      <c r="D1626" t="s">
        <v>19035</v>
      </c>
      <c r="E1626" t="s">
        <v>19036</v>
      </c>
      <c r="F1626" t="s">
        <v>19037</v>
      </c>
      <c r="G1626" t="s">
        <v>32</v>
      </c>
      <c r="H1626" t="str">
        <f>"Prxl2a"</f>
        <v>Prxl2a</v>
      </c>
      <c r="I1626" t="s">
        <v>32</v>
      </c>
      <c r="J1626" t="s">
        <v>37</v>
      </c>
      <c r="K1626">
        <v>10090</v>
      </c>
      <c r="L1626" s="3" t="str">
        <f>HYPERLINK("http://www.uniprot.org/uniprot/Q9CYH2", "Q9CYH2")</f>
        <v>Q9CYH2</v>
      </c>
      <c r="M1626" t="s">
        <v>19038</v>
      </c>
      <c r="N1626" t="str">
        <f>"Prxl2a"</f>
        <v>Prxl2a</v>
      </c>
      <c r="O1626" s="3" t="str">
        <f>HYPERLINK("http://www.informatics.jax.org/marker/MGI:1917814", "MGI:1917814")</f>
        <v>MGI:1917814</v>
      </c>
      <c r="P1626" t="s">
        <v>19039</v>
      </c>
      <c r="Q1626" t="s">
        <v>32</v>
      </c>
      <c r="R1626" t="s">
        <v>2446</v>
      </c>
      <c r="S1626" t="s">
        <v>32</v>
      </c>
      <c r="T1626" t="s">
        <v>32</v>
      </c>
      <c r="U1626" t="s">
        <v>32</v>
      </c>
      <c r="V1626" t="s">
        <v>1090</v>
      </c>
      <c r="W1626" t="s">
        <v>32</v>
      </c>
      <c r="X1626" t="s">
        <v>16769</v>
      </c>
      <c r="Y1626" t="s">
        <v>32</v>
      </c>
      <c r="Z1626" t="s">
        <v>32</v>
      </c>
      <c r="AA1626" t="s">
        <v>19040</v>
      </c>
      <c r="AB1626" t="s">
        <v>19041</v>
      </c>
      <c r="AC1626" t="s">
        <v>19042</v>
      </c>
      <c r="AD1626" t="s">
        <v>32</v>
      </c>
      <c r="AE1626" t="s">
        <v>32</v>
      </c>
      <c r="AF1626" t="s">
        <v>46835</v>
      </c>
    </row>
    <row r="1627" spans="1:32" x14ac:dyDescent="0.2">
      <c r="A1627">
        <v>1622</v>
      </c>
      <c r="B1627" t="s">
        <v>19043</v>
      </c>
      <c r="C1627" t="s">
        <v>19044</v>
      </c>
      <c r="D1627" t="s">
        <v>19045</v>
      </c>
      <c r="E1627" t="s">
        <v>19046</v>
      </c>
      <c r="F1627" t="s">
        <v>19047</v>
      </c>
      <c r="G1627" t="s">
        <v>19048</v>
      </c>
      <c r="H1627" t="str">
        <f>"Aip"</f>
        <v>Aip</v>
      </c>
      <c r="I1627" t="s">
        <v>32</v>
      </c>
      <c r="J1627" t="s">
        <v>37</v>
      </c>
      <c r="K1627">
        <v>10090</v>
      </c>
      <c r="L1627" s="3" t="str">
        <f>HYPERLINK("http://www.uniprot.org/uniprot/O08915", "O08915")</f>
        <v>O08915</v>
      </c>
      <c r="M1627" t="s">
        <v>19049</v>
      </c>
      <c r="N1627" t="str">
        <f>"Aip"</f>
        <v>Aip</v>
      </c>
      <c r="O1627" s="3" t="str">
        <f>HYPERLINK("http://www.informatics.jax.org/marker/MGI:109622", "MGI:109622")</f>
        <v>MGI:109622</v>
      </c>
      <c r="P1627" t="s">
        <v>19050</v>
      </c>
      <c r="Q1627" t="s">
        <v>32</v>
      </c>
      <c r="R1627" t="s">
        <v>418</v>
      </c>
      <c r="S1627" t="s">
        <v>32</v>
      </c>
      <c r="T1627" t="s">
        <v>32</v>
      </c>
      <c r="U1627" t="s">
        <v>32</v>
      </c>
      <c r="V1627" t="s">
        <v>995</v>
      </c>
      <c r="W1627" t="s">
        <v>32</v>
      </c>
      <c r="X1627" t="s">
        <v>32</v>
      </c>
      <c r="Y1627" t="s">
        <v>618</v>
      </c>
      <c r="Z1627" t="s">
        <v>32</v>
      </c>
      <c r="AA1627" t="s">
        <v>19051</v>
      </c>
      <c r="AB1627" t="s">
        <v>19052</v>
      </c>
      <c r="AC1627" t="s">
        <v>19053</v>
      </c>
      <c r="AD1627" t="s">
        <v>32</v>
      </c>
      <c r="AE1627" t="s">
        <v>19054</v>
      </c>
      <c r="AF1627" t="s">
        <v>46835</v>
      </c>
    </row>
    <row r="1628" spans="1:32" x14ac:dyDescent="0.2">
      <c r="A1628">
        <v>1623</v>
      </c>
      <c r="B1628" t="s">
        <v>19055</v>
      </c>
      <c r="C1628" t="s">
        <v>19056</v>
      </c>
      <c r="D1628" t="s">
        <v>19057</v>
      </c>
      <c r="E1628" t="s">
        <v>19058</v>
      </c>
      <c r="F1628" t="s">
        <v>19059</v>
      </c>
      <c r="G1628" t="s">
        <v>19060</v>
      </c>
      <c r="H1628" t="str">
        <f>"Dlgap4"</f>
        <v>Dlgap4</v>
      </c>
      <c r="I1628" t="s">
        <v>19061</v>
      </c>
      <c r="J1628" t="s">
        <v>37</v>
      </c>
      <c r="K1628">
        <v>10090</v>
      </c>
      <c r="L1628" s="3" t="str">
        <f>HYPERLINK("http://www.uniprot.org/uniprot/B1AZP2", "B1AZP2")</f>
        <v>B1AZP2</v>
      </c>
      <c r="M1628" t="s">
        <v>19062</v>
      </c>
      <c r="N1628" t="str">
        <f>"Dlgap4"</f>
        <v>Dlgap4</v>
      </c>
      <c r="O1628" s="3" t="str">
        <f>HYPERLINK("http://www.informatics.jax.org/marker/MGI:2138865", "MGI:2138865")</f>
        <v>MGI:2138865</v>
      </c>
      <c r="P1628" t="s">
        <v>19063</v>
      </c>
      <c r="Q1628" t="s">
        <v>32</v>
      </c>
      <c r="R1628" t="s">
        <v>5989</v>
      </c>
      <c r="S1628" t="s">
        <v>41</v>
      </c>
      <c r="T1628" t="s">
        <v>32</v>
      </c>
      <c r="U1628" t="s">
        <v>32</v>
      </c>
      <c r="V1628" t="s">
        <v>32</v>
      </c>
      <c r="W1628" t="s">
        <v>32</v>
      </c>
      <c r="X1628" t="s">
        <v>32</v>
      </c>
      <c r="Y1628" t="s">
        <v>2734</v>
      </c>
      <c r="Z1628" t="s">
        <v>32</v>
      </c>
      <c r="AA1628" t="s">
        <v>19064</v>
      </c>
      <c r="AB1628" t="s">
        <v>19065</v>
      </c>
      <c r="AC1628" t="s">
        <v>19066</v>
      </c>
      <c r="AD1628" t="s">
        <v>32</v>
      </c>
      <c r="AE1628" t="s">
        <v>2108</v>
      </c>
      <c r="AF1628" t="s">
        <v>46835</v>
      </c>
    </row>
    <row r="1629" spans="1:32" x14ac:dyDescent="0.2">
      <c r="A1629">
        <v>1624</v>
      </c>
      <c r="B1629" t="s">
        <v>19067</v>
      </c>
      <c r="C1629" t="s">
        <v>19068</v>
      </c>
      <c r="D1629" t="s">
        <v>19069</v>
      </c>
      <c r="E1629" t="s">
        <v>19070</v>
      </c>
      <c r="F1629" t="s">
        <v>19071</v>
      </c>
      <c r="G1629" t="s">
        <v>19072</v>
      </c>
      <c r="H1629" t="str">
        <f>"Bcas2"</f>
        <v>Bcas2</v>
      </c>
      <c r="I1629" t="s">
        <v>19073</v>
      </c>
      <c r="J1629" t="s">
        <v>37</v>
      </c>
      <c r="K1629">
        <v>10090</v>
      </c>
      <c r="L1629" s="3" t="str">
        <f>HYPERLINK("http://www.uniprot.org/uniprot/Q9D287", "Q9D287")</f>
        <v>Q9D287</v>
      </c>
      <c r="M1629" t="s">
        <v>19074</v>
      </c>
      <c r="N1629" t="str">
        <f>"Bcas2"</f>
        <v>Bcas2</v>
      </c>
      <c r="O1629" s="3" t="str">
        <f>HYPERLINK("http://www.informatics.jax.org/marker/MGI:1915433", "MGI:1915433")</f>
        <v>MGI:1915433</v>
      </c>
      <c r="P1629" t="s">
        <v>12761</v>
      </c>
      <c r="Q1629" t="s">
        <v>2139</v>
      </c>
      <c r="R1629" t="s">
        <v>2140</v>
      </c>
      <c r="S1629" t="s">
        <v>32</v>
      </c>
      <c r="T1629" t="s">
        <v>32</v>
      </c>
      <c r="U1629" t="s">
        <v>32</v>
      </c>
      <c r="V1629" t="s">
        <v>290</v>
      </c>
      <c r="W1629" t="s">
        <v>32</v>
      </c>
      <c r="X1629" t="s">
        <v>32</v>
      </c>
      <c r="Y1629" t="s">
        <v>157</v>
      </c>
      <c r="Z1629" t="s">
        <v>32</v>
      </c>
      <c r="AA1629" t="s">
        <v>8104</v>
      </c>
      <c r="AB1629" t="s">
        <v>19075</v>
      </c>
      <c r="AC1629" t="s">
        <v>32</v>
      </c>
      <c r="AD1629" t="s">
        <v>32</v>
      </c>
      <c r="AE1629" t="s">
        <v>946</v>
      </c>
      <c r="AF1629" t="s">
        <v>46835</v>
      </c>
    </row>
    <row r="1630" spans="1:32" x14ac:dyDescent="0.2">
      <c r="A1630">
        <v>1625</v>
      </c>
      <c r="B1630" t="s">
        <v>19076</v>
      </c>
      <c r="C1630" t="s">
        <v>19077</v>
      </c>
      <c r="D1630" t="s">
        <v>19078</v>
      </c>
      <c r="E1630" t="s">
        <v>19079</v>
      </c>
      <c r="F1630" t="s">
        <v>19080</v>
      </c>
      <c r="G1630" t="s">
        <v>32</v>
      </c>
      <c r="H1630" t="str">
        <f>"Tma7"</f>
        <v>Tma7</v>
      </c>
      <c r="I1630" t="s">
        <v>19081</v>
      </c>
      <c r="J1630" t="s">
        <v>37</v>
      </c>
      <c r="K1630">
        <v>10090</v>
      </c>
      <c r="L1630" s="3" t="str">
        <f>HYPERLINK("http://www.uniprot.org/uniprot/Q8K003", "Q8K003")</f>
        <v>Q8K003</v>
      </c>
      <c r="M1630" t="s">
        <v>19082</v>
      </c>
      <c r="N1630" t="str">
        <f>"Tma7"</f>
        <v>Tma7</v>
      </c>
      <c r="O1630" s="3" t="str">
        <f>HYPERLINK("http://www.informatics.jax.org/marker/MGI:1913417", "MGI:1913417")</f>
        <v>MGI:1913417</v>
      </c>
      <c r="P1630" t="s">
        <v>19083</v>
      </c>
      <c r="Q1630" t="s">
        <v>32</v>
      </c>
      <c r="R1630" t="s">
        <v>32</v>
      </c>
      <c r="S1630" t="s">
        <v>32</v>
      </c>
      <c r="T1630" t="s">
        <v>32</v>
      </c>
      <c r="U1630" t="s">
        <v>32</v>
      </c>
      <c r="V1630" t="s">
        <v>290</v>
      </c>
      <c r="W1630" t="s">
        <v>32</v>
      </c>
      <c r="X1630" t="s">
        <v>32</v>
      </c>
      <c r="Y1630" t="s">
        <v>19084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t="s">
        <v>46835</v>
      </c>
    </row>
    <row r="1631" spans="1:32" x14ac:dyDescent="0.2">
      <c r="A1631">
        <v>1626</v>
      </c>
      <c r="B1631" t="s">
        <v>19085</v>
      </c>
      <c r="C1631" t="s">
        <v>19086</v>
      </c>
      <c r="D1631" t="s">
        <v>19087</v>
      </c>
      <c r="E1631" t="s">
        <v>19088</v>
      </c>
      <c r="F1631" t="s">
        <v>19089</v>
      </c>
      <c r="G1631" t="s">
        <v>19090</v>
      </c>
      <c r="H1631" t="str">
        <f>"Setd3"</f>
        <v>Setd3</v>
      </c>
      <c r="I1631" t="s">
        <v>32</v>
      </c>
      <c r="J1631" t="s">
        <v>37</v>
      </c>
      <c r="K1631">
        <v>10090</v>
      </c>
      <c r="L1631" s="3" t="str">
        <f>HYPERLINK("http://www.uniprot.org/uniprot/Q91WC0", "Q91WC0")</f>
        <v>Q91WC0</v>
      </c>
      <c r="M1631" t="s">
        <v>19091</v>
      </c>
      <c r="N1631" t="str">
        <f>"Setd3"</f>
        <v>Setd3</v>
      </c>
      <c r="O1631" s="3" t="str">
        <f>HYPERLINK("http://www.informatics.jax.org/marker/MGI:1289184", "MGI:1289184")</f>
        <v>MGI:1289184</v>
      </c>
      <c r="P1631" t="s">
        <v>19092</v>
      </c>
      <c r="Q1631" t="s">
        <v>32</v>
      </c>
      <c r="R1631" t="s">
        <v>40</v>
      </c>
      <c r="S1631" t="s">
        <v>41</v>
      </c>
      <c r="T1631" t="s">
        <v>32</v>
      </c>
      <c r="U1631" t="s">
        <v>32</v>
      </c>
      <c r="V1631" t="s">
        <v>32</v>
      </c>
      <c r="W1631" t="s">
        <v>1705</v>
      </c>
      <c r="X1631" t="s">
        <v>19093</v>
      </c>
      <c r="Y1631" t="s">
        <v>2836</v>
      </c>
      <c r="Z1631" t="s">
        <v>32</v>
      </c>
      <c r="AA1631" t="s">
        <v>19094</v>
      </c>
      <c r="AB1631" t="s">
        <v>19095</v>
      </c>
      <c r="AC1631" t="s">
        <v>19096</v>
      </c>
      <c r="AD1631" t="s">
        <v>32</v>
      </c>
      <c r="AE1631" t="s">
        <v>19097</v>
      </c>
      <c r="AF1631" t="s">
        <v>46835</v>
      </c>
    </row>
    <row r="1632" spans="1:32" x14ac:dyDescent="0.2">
      <c r="A1632">
        <v>1627</v>
      </c>
      <c r="B1632" t="s">
        <v>19098</v>
      </c>
      <c r="C1632" t="s">
        <v>19099</v>
      </c>
      <c r="D1632" t="s">
        <v>19100</v>
      </c>
      <c r="E1632" t="s">
        <v>19101</v>
      </c>
      <c r="F1632" t="s">
        <v>19102</v>
      </c>
      <c r="G1632" t="s">
        <v>19103</v>
      </c>
      <c r="H1632" t="str">
        <f>"Aldh4a1"</f>
        <v>Aldh4a1</v>
      </c>
      <c r="I1632" t="s">
        <v>32</v>
      </c>
      <c r="J1632" t="s">
        <v>37</v>
      </c>
      <c r="K1632">
        <v>10090</v>
      </c>
      <c r="L1632" s="3" t="str">
        <f>HYPERLINK("http://www.uniprot.org/uniprot/Q8CHT0", "Q8CHT0")</f>
        <v>Q8CHT0</v>
      </c>
      <c r="M1632" t="s">
        <v>19104</v>
      </c>
      <c r="N1632" t="str">
        <f>"Aldh4a1"</f>
        <v>Aldh4a1</v>
      </c>
      <c r="O1632" s="3" t="str">
        <f>HYPERLINK("http://www.informatics.jax.org/marker/MGI:2443883", "MGI:2443883")</f>
        <v>MGI:2443883</v>
      </c>
      <c r="P1632" t="s">
        <v>19105</v>
      </c>
      <c r="Q1632" t="s">
        <v>19106</v>
      </c>
      <c r="R1632" t="s">
        <v>1038</v>
      </c>
      <c r="S1632" t="s">
        <v>32</v>
      </c>
      <c r="T1632" t="s">
        <v>32</v>
      </c>
      <c r="U1632" t="s">
        <v>32</v>
      </c>
      <c r="V1632" t="s">
        <v>1039</v>
      </c>
      <c r="W1632" t="s">
        <v>325</v>
      </c>
      <c r="X1632" t="s">
        <v>600</v>
      </c>
      <c r="Y1632" t="s">
        <v>157</v>
      </c>
      <c r="Z1632" t="s">
        <v>126</v>
      </c>
      <c r="AA1632" t="s">
        <v>19107</v>
      </c>
      <c r="AB1632" t="s">
        <v>19108</v>
      </c>
      <c r="AC1632" t="s">
        <v>19109</v>
      </c>
      <c r="AD1632" t="s">
        <v>19110</v>
      </c>
      <c r="AE1632" t="s">
        <v>19111</v>
      </c>
      <c r="AF1632" t="s">
        <v>46835</v>
      </c>
    </row>
    <row r="1633" spans="1:33" x14ac:dyDescent="0.2">
      <c r="A1633">
        <v>1628</v>
      </c>
      <c r="B1633" t="s">
        <v>19112</v>
      </c>
      <c r="C1633" t="s">
        <v>19113</v>
      </c>
      <c r="D1633" t="s">
        <v>19114</v>
      </c>
      <c r="E1633" t="s">
        <v>19115</v>
      </c>
      <c r="F1633" t="s">
        <v>19116</v>
      </c>
      <c r="G1633" t="s">
        <v>19117</v>
      </c>
      <c r="H1633" t="str">
        <f>"Gabarapl1"</f>
        <v>Gabarapl1</v>
      </c>
      <c r="I1633" t="s">
        <v>19118</v>
      </c>
      <c r="J1633" t="s">
        <v>37</v>
      </c>
      <c r="K1633">
        <v>10090</v>
      </c>
      <c r="L1633" s="3" t="str">
        <f>HYPERLINK("http://www.uniprot.org/uniprot/Q8R3R8", "Q8R3R8")</f>
        <v>Q8R3R8</v>
      </c>
      <c r="M1633" t="s">
        <v>19119</v>
      </c>
      <c r="N1633" t="str">
        <f>"Gabarapl1"</f>
        <v>Gabarapl1</v>
      </c>
      <c r="O1633" s="3" t="str">
        <f>HYPERLINK("http://www.informatics.jax.org/marker/MGI:1914980", "MGI:1914980")</f>
        <v>MGI:1914980</v>
      </c>
      <c r="P1633" t="s">
        <v>19120</v>
      </c>
      <c r="Q1633" t="s">
        <v>11661</v>
      </c>
      <c r="R1633" t="s">
        <v>19121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32</v>
      </c>
      <c r="Y1633" t="s">
        <v>15022</v>
      </c>
      <c r="Z1633" t="s">
        <v>126</v>
      </c>
      <c r="AA1633" t="s">
        <v>19122</v>
      </c>
      <c r="AB1633" t="s">
        <v>19123</v>
      </c>
      <c r="AC1633" t="s">
        <v>19124</v>
      </c>
      <c r="AD1633" t="s">
        <v>32</v>
      </c>
      <c r="AE1633" t="s">
        <v>11665</v>
      </c>
      <c r="AF1633" t="s">
        <v>46835</v>
      </c>
    </row>
    <row r="1634" spans="1:33" x14ac:dyDescent="0.2">
      <c r="A1634">
        <v>1629</v>
      </c>
      <c r="B1634" t="s">
        <v>19125</v>
      </c>
      <c r="C1634" t="s">
        <v>19126</v>
      </c>
      <c r="D1634" t="s">
        <v>19127</v>
      </c>
      <c r="E1634" t="s">
        <v>19128</v>
      </c>
      <c r="F1634" t="s">
        <v>19129</v>
      </c>
      <c r="G1634" t="s">
        <v>19130</v>
      </c>
      <c r="H1634" t="str">
        <f>"Ndufb10"</f>
        <v>Ndufb10</v>
      </c>
      <c r="I1634" t="s">
        <v>32</v>
      </c>
      <c r="J1634" t="s">
        <v>37</v>
      </c>
      <c r="K1634">
        <v>10090</v>
      </c>
      <c r="L1634" s="3" t="str">
        <f>HYPERLINK("http://www.uniprot.org/uniprot/Q9DCS9", "Q9DCS9")</f>
        <v>Q9DCS9</v>
      </c>
      <c r="M1634" t="s">
        <v>19131</v>
      </c>
      <c r="N1634" t="str">
        <f>"Ndufb10"</f>
        <v>Ndufb10</v>
      </c>
      <c r="O1634" s="3" t="str">
        <f>HYPERLINK("http://www.informatics.jax.org/marker/MGI:1915592", "MGI:1915592")</f>
        <v>MGI:1915592</v>
      </c>
      <c r="P1634" t="s">
        <v>19132</v>
      </c>
      <c r="Q1634" t="s">
        <v>6888</v>
      </c>
      <c r="R1634" t="s">
        <v>3858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32</v>
      </c>
      <c r="Y1634" t="s">
        <v>618</v>
      </c>
      <c r="Z1634" t="s">
        <v>126</v>
      </c>
      <c r="AA1634" t="s">
        <v>12491</v>
      </c>
      <c r="AB1634" t="s">
        <v>14222</v>
      </c>
      <c r="AC1634" t="s">
        <v>32</v>
      </c>
      <c r="AD1634" t="s">
        <v>32</v>
      </c>
      <c r="AE1634" t="s">
        <v>10470</v>
      </c>
      <c r="AF1634" t="s">
        <v>46835</v>
      </c>
    </row>
    <row r="1635" spans="1:33" x14ac:dyDescent="0.2">
      <c r="A1635">
        <v>1630</v>
      </c>
      <c r="B1635" t="s">
        <v>19133</v>
      </c>
      <c r="C1635" t="s">
        <v>19134</v>
      </c>
      <c r="D1635" t="s">
        <v>19135</v>
      </c>
      <c r="E1635" t="s">
        <v>19136</v>
      </c>
      <c r="F1635" t="s">
        <v>19137</v>
      </c>
      <c r="G1635" t="s">
        <v>19138</v>
      </c>
      <c r="H1635" t="str">
        <f>"Mecr"</f>
        <v>Mecr</v>
      </c>
      <c r="I1635" t="s">
        <v>19139</v>
      </c>
      <c r="J1635" t="s">
        <v>37</v>
      </c>
      <c r="K1635">
        <v>10090</v>
      </c>
      <c r="L1635" s="3" t="str">
        <f>HYPERLINK("http://www.uniprot.org/uniprot/Q9DCS3", "Q9DCS3")</f>
        <v>Q9DCS3</v>
      </c>
      <c r="M1635" t="s">
        <v>19140</v>
      </c>
      <c r="N1635" t="str">
        <f>"Mecr"</f>
        <v>Mecr</v>
      </c>
      <c r="O1635" s="3" t="str">
        <f>HYPERLINK("http://www.informatics.jax.org/marker/MGI:1349441", "MGI:1349441")</f>
        <v>MGI:1349441</v>
      </c>
      <c r="P1635" t="s">
        <v>19141</v>
      </c>
      <c r="Q1635" t="s">
        <v>1249</v>
      </c>
      <c r="R1635" t="s">
        <v>1038</v>
      </c>
      <c r="S1635" t="s">
        <v>32</v>
      </c>
      <c r="T1635" t="s">
        <v>32</v>
      </c>
      <c r="U1635" t="s">
        <v>32</v>
      </c>
      <c r="V1635" t="s">
        <v>1039</v>
      </c>
      <c r="W1635" t="s">
        <v>3204</v>
      </c>
      <c r="X1635" t="s">
        <v>600</v>
      </c>
      <c r="Y1635" t="s">
        <v>78</v>
      </c>
      <c r="Z1635" t="s">
        <v>32</v>
      </c>
      <c r="AA1635" t="s">
        <v>19142</v>
      </c>
      <c r="AB1635" t="s">
        <v>5796</v>
      </c>
      <c r="AC1635" t="s">
        <v>19143</v>
      </c>
      <c r="AD1635" t="s">
        <v>32</v>
      </c>
      <c r="AE1635" t="s">
        <v>19144</v>
      </c>
      <c r="AF1635" t="s">
        <v>46835</v>
      </c>
    </row>
    <row r="1636" spans="1:33" x14ac:dyDescent="0.2">
      <c r="A1636">
        <v>1631</v>
      </c>
      <c r="B1636" t="s">
        <v>19145</v>
      </c>
      <c r="C1636" t="s">
        <v>19146</v>
      </c>
      <c r="D1636" t="s">
        <v>19147</v>
      </c>
      <c r="E1636" t="s">
        <v>19148</v>
      </c>
      <c r="F1636" t="s">
        <v>19149</v>
      </c>
      <c r="G1636" t="s">
        <v>32</v>
      </c>
      <c r="H1636" t="str">
        <f>"Igbp1"</f>
        <v>Igbp1</v>
      </c>
      <c r="I1636" t="s">
        <v>19150</v>
      </c>
      <c r="J1636" t="s">
        <v>37</v>
      </c>
      <c r="K1636">
        <v>10090</v>
      </c>
      <c r="L1636" s="3" t="str">
        <f>HYPERLINK("http://www.uniprot.org/uniprot/Q61249", "Q61249")</f>
        <v>Q61249</v>
      </c>
      <c r="M1636" t="s">
        <v>19151</v>
      </c>
      <c r="N1636" t="str">
        <f>"Igbp1"</f>
        <v>Igbp1</v>
      </c>
      <c r="O1636" s="3" t="str">
        <f>HYPERLINK("http://www.informatics.jax.org/marker/MGI:1346500", "MGI:1346500")</f>
        <v>MGI:1346500</v>
      </c>
      <c r="P1636" t="s">
        <v>19152</v>
      </c>
      <c r="Q1636" t="s">
        <v>19153</v>
      </c>
      <c r="R1636" t="s">
        <v>418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388</v>
      </c>
      <c r="Y1636" t="s">
        <v>1023</v>
      </c>
      <c r="Z1636" t="s">
        <v>126</v>
      </c>
      <c r="AA1636" t="s">
        <v>19154</v>
      </c>
      <c r="AB1636" t="s">
        <v>6280</v>
      </c>
      <c r="AC1636" t="s">
        <v>19155</v>
      </c>
      <c r="AD1636" t="s">
        <v>32</v>
      </c>
      <c r="AE1636" t="s">
        <v>32</v>
      </c>
      <c r="AF1636" t="s">
        <v>46835</v>
      </c>
    </row>
    <row r="1637" spans="1:33" x14ac:dyDescent="0.2">
      <c r="A1637">
        <v>1632</v>
      </c>
      <c r="B1637" t="s">
        <v>19156</v>
      </c>
      <c r="C1637" t="s">
        <v>47129</v>
      </c>
      <c r="D1637" t="s">
        <v>32</v>
      </c>
      <c r="E1637" t="s">
        <v>46914</v>
      </c>
      <c r="F1637" t="s">
        <v>46913</v>
      </c>
      <c r="G1637" t="s">
        <v>32</v>
      </c>
      <c r="H1637" t="s">
        <v>47260</v>
      </c>
      <c r="I1637" t="s">
        <v>32</v>
      </c>
      <c r="J1637" t="s">
        <v>37</v>
      </c>
      <c r="K1637">
        <v>10090</v>
      </c>
      <c r="L1637" s="3" t="str">
        <f>HYPERLINK(CONCATENATE("https://www.uniprot.org/uniprotkb/", AG1637, "/entry"), AG1637)</f>
        <v>Q8R0G9</v>
      </c>
      <c r="M1637" t="s">
        <v>32</v>
      </c>
      <c r="N1637" t="s">
        <v>32</v>
      </c>
      <c r="O1637" s="3" t="s">
        <v>32</v>
      </c>
      <c r="P1637" t="s">
        <v>32</v>
      </c>
      <c r="Q1637" t="s">
        <v>32</v>
      </c>
      <c r="R1637" t="s">
        <v>32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32</v>
      </c>
      <c r="Y1637" t="s">
        <v>32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t="s">
        <v>46835</v>
      </c>
      <c r="AG1637" t="s">
        <v>46913</v>
      </c>
    </row>
    <row r="1638" spans="1:33" x14ac:dyDescent="0.2">
      <c r="A1638">
        <v>1633</v>
      </c>
      <c r="B1638" t="s">
        <v>19157</v>
      </c>
      <c r="C1638" t="s">
        <v>19158</v>
      </c>
      <c r="D1638" t="s">
        <v>19159</v>
      </c>
      <c r="E1638" t="s">
        <v>19160</v>
      </c>
      <c r="F1638" t="s">
        <v>19161</v>
      </c>
      <c r="G1638" t="s">
        <v>19162</v>
      </c>
      <c r="H1638" t="str">
        <f>"Bpnt2"</f>
        <v>Bpnt2</v>
      </c>
      <c r="I1638" t="s">
        <v>32</v>
      </c>
      <c r="J1638" t="s">
        <v>37</v>
      </c>
      <c r="K1638">
        <v>10090</v>
      </c>
      <c r="L1638" s="3" t="str">
        <f>HYPERLINK("http://www.uniprot.org/uniprot/Q80V26", "Q80V26")</f>
        <v>Q80V26</v>
      </c>
      <c r="M1638" t="s">
        <v>19163</v>
      </c>
      <c r="N1638" t="str">
        <f>"Bpnt2"</f>
        <v>Bpnt2</v>
      </c>
      <c r="O1638" s="3" t="str">
        <f>HYPERLINK("http://www.informatics.jax.org/marker/MGI:1915720", "MGI:1915720")</f>
        <v>MGI:1915720</v>
      </c>
      <c r="P1638" t="s">
        <v>19164</v>
      </c>
      <c r="Q1638" t="s">
        <v>32</v>
      </c>
      <c r="R1638" t="s">
        <v>13904</v>
      </c>
      <c r="S1638" t="s">
        <v>32</v>
      </c>
      <c r="T1638" t="s">
        <v>32</v>
      </c>
      <c r="U1638" t="s">
        <v>32</v>
      </c>
      <c r="V1638" t="s">
        <v>1550</v>
      </c>
      <c r="W1638" t="s">
        <v>223</v>
      </c>
      <c r="X1638" t="s">
        <v>343</v>
      </c>
      <c r="Y1638" t="s">
        <v>10506</v>
      </c>
      <c r="Z1638" t="s">
        <v>32</v>
      </c>
      <c r="AA1638" t="s">
        <v>19165</v>
      </c>
      <c r="AB1638" t="s">
        <v>19166</v>
      </c>
      <c r="AC1638" t="s">
        <v>19167</v>
      </c>
      <c r="AD1638" t="s">
        <v>19168</v>
      </c>
      <c r="AE1638" t="s">
        <v>3580</v>
      </c>
      <c r="AF1638" t="s">
        <v>46835</v>
      </c>
    </row>
    <row r="1639" spans="1:33" x14ac:dyDescent="0.2">
      <c r="A1639">
        <v>1634</v>
      </c>
      <c r="B1639" t="s">
        <v>19169</v>
      </c>
      <c r="C1639" t="s">
        <v>19170</v>
      </c>
      <c r="D1639" t="s">
        <v>19171</v>
      </c>
      <c r="E1639" t="s">
        <v>19172</v>
      </c>
      <c r="F1639" t="s">
        <v>19173</v>
      </c>
      <c r="G1639" t="s">
        <v>19174</v>
      </c>
      <c r="H1639" t="str">
        <f>"Mcrip1"</f>
        <v>Mcrip1</v>
      </c>
      <c r="I1639" t="s">
        <v>19175</v>
      </c>
      <c r="J1639" t="s">
        <v>37</v>
      </c>
      <c r="K1639">
        <v>10090</v>
      </c>
      <c r="L1639" s="3" t="str">
        <f>HYPERLINK("http://www.uniprot.org/uniprot/Q3UGS4", "Q3UGS4")</f>
        <v>Q3UGS4</v>
      </c>
      <c r="M1639" t="s">
        <v>19176</v>
      </c>
      <c r="N1639" t="str">
        <f>"Mcrip1"</f>
        <v>Mcrip1</v>
      </c>
      <c r="O1639" s="3" t="str">
        <f>HYPERLINK("http://www.informatics.jax.org/marker/MGI:2384752", "MGI:2384752")</f>
        <v>MGI:2384752</v>
      </c>
      <c r="P1639" t="s">
        <v>8032</v>
      </c>
      <c r="Q1639" t="s">
        <v>32</v>
      </c>
      <c r="R1639" t="s">
        <v>40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32</v>
      </c>
      <c r="Y1639" t="s">
        <v>157</v>
      </c>
      <c r="Z1639" t="s">
        <v>32</v>
      </c>
      <c r="AA1639" t="s">
        <v>19177</v>
      </c>
      <c r="AB1639" t="s">
        <v>19178</v>
      </c>
      <c r="AC1639" t="s">
        <v>32</v>
      </c>
      <c r="AD1639" t="s">
        <v>32</v>
      </c>
      <c r="AE1639" t="s">
        <v>32</v>
      </c>
      <c r="AF1639" t="s">
        <v>46835</v>
      </c>
    </row>
    <row r="1640" spans="1:33" x14ac:dyDescent="0.2">
      <c r="A1640">
        <v>1635</v>
      </c>
      <c r="B1640" t="s">
        <v>19179</v>
      </c>
      <c r="C1640" t="s">
        <v>19180</v>
      </c>
      <c r="D1640" t="s">
        <v>19181</v>
      </c>
      <c r="E1640" t="s">
        <v>19182</v>
      </c>
      <c r="F1640" t="s">
        <v>19183</v>
      </c>
      <c r="G1640" t="s">
        <v>19184</v>
      </c>
      <c r="H1640" t="str">
        <f>"Glrx5"</f>
        <v>Glrx5</v>
      </c>
      <c r="I1640" t="s">
        <v>32</v>
      </c>
      <c r="J1640" t="s">
        <v>37</v>
      </c>
      <c r="K1640">
        <v>10090</v>
      </c>
      <c r="L1640" s="3" t="str">
        <f>HYPERLINK("http://www.uniprot.org/uniprot/Q80Y14", "Q80Y14")</f>
        <v>Q80Y14</v>
      </c>
      <c r="M1640" t="s">
        <v>19185</v>
      </c>
      <c r="N1640" t="str">
        <f>"Glrx5"</f>
        <v>Glrx5</v>
      </c>
      <c r="O1640" s="3" t="str">
        <f>HYPERLINK("http://www.informatics.jax.org/marker/MGI:1920296", "MGI:1920296")</f>
        <v>MGI:1920296</v>
      </c>
      <c r="P1640" t="s">
        <v>19186</v>
      </c>
      <c r="Q1640" t="s">
        <v>32</v>
      </c>
      <c r="R1640" t="s">
        <v>1038</v>
      </c>
      <c r="S1640" t="s">
        <v>32</v>
      </c>
      <c r="T1640" t="s">
        <v>32</v>
      </c>
      <c r="U1640" t="s">
        <v>32</v>
      </c>
      <c r="V1640" t="s">
        <v>5688</v>
      </c>
      <c r="W1640" t="s">
        <v>4783</v>
      </c>
      <c r="X1640" t="s">
        <v>32</v>
      </c>
      <c r="Y1640" t="s">
        <v>618</v>
      </c>
      <c r="Z1640" t="s">
        <v>32</v>
      </c>
      <c r="AA1640" t="s">
        <v>19187</v>
      </c>
      <c r="AB1640" t="s">
        <v>19188</v>
      </c>
      <c r="AC1640" t="s">
        <v>19189</v>
      </c>
      <c r="AD1640" t="s">
        <v>32</v>
      </c>
      <c r="AE1640" t="s">
        <v>19190</v>
      </c>
      <c r="AF1640" t="s">
        <v>46835</v>
      </c>
    </row>
    <row r="1641" spans="1:33" x14ac:dyDescent="0.2">
      <c r="A1641">
        <v>1636</v>
      </c>
      <c r="B1641" t="s">
        <v>19191</v>
      </c>
      <c r="C1641" t="s">
        <v>19192</v>
      </c>
      <c r="D1641" t="s">
        <v>32</v>
      </c>
      <c r="E1641" t="s">
        <v>19193</v>
      </c>
      <c r="F1641" t="s">
        <v>19194</v>
      </c>
      <c r="G1641" t="s">
        <v>19195</v>
      </c>
      <c r="H1641" t="str">
        <f>"Nudcd1"</f>
        <v>Nudcd1</v>
      </c>
      <c r="I1641" t="s">
        <v>32</v>
      </c>
      <c r="J1641" t="s">
        <v>37</v>
      </c>
      <c r="K1641">
        <v>10090</v>
      </c>
      <c r="L1641" s="3" t="str">
        <f>HYPERLINK("http://www.uniprot.org/uniprot/Q6PIP5", "Q6PIP5")</f>
        <v>Q6PIP5</v>
      </c>
      <c r="M1641" t="s">
        <v>19196</v>
      </c>
      <c r="N1641" t="str">
        <f>"Nudcd1"</f>
        <v>Nudcd1</v>
      </c>
      <c r="O1641" s="3" t="str">
        <f>HYPERLINK("http://www.informatics.jax.org/marker/MGI:1914679", "MGI:1914679")</f>
        <v>MGI:1914679</v>
      </c>
      <c r="P1641" t="s">
        <v>19197</v>
      </c>
      <c r="Q1641" t="s">
        <v>32</v>
      </c>
      <c r="R1641" t="s">
        <v>40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32</v>
      </c>
      <c r="Y1641" t="s">
        <v>618</v>
      </c>
      <c r="Z1641" t="s">
        <v>32</v>
      </c>
      <c r="AA1641" t="s">
        <v>32</v>
      </c>
      <c r="AB1641" t="s">
        <v>4202</v>
      </c>
      <c r="AC1641" t="s">
        <v>32</v>
      </c>
      <c r="AD1641" t="s">
        <v>32</v>
      </c>
      <c r="AE1641" t="s">
        <v>32</v>
      </c>
      <c r="AF1641" t="s">
        <v>46835</v>
      </c>
    </row>
    <row r="1642" spans="1:33" x14ac:dyDescent="0.2">
      <c r="A1642">
        <v>1637</v>
      </c>
      <c r="B1642" t="s">
        <v>19198</v>
      </c>
      <c r="C1642" t="s">
        <v>19199</v>
      </c>
      <c r="D1642" t="s">
        <v>32</v>
      </c>
      <c r="E1642" t="s">
        <v>19200</v>
      </c>
      <c r="F1642" t="s">
        <v>19201</v>
      </c>
      <c r="G1642" t="s">
        <v>19202</v>
      </c>
      <c r="H1642" t="str">
        <f>"Camk2g"</f>
        <v>Camk2g</v>
      </c>
      <c r="I1642" t="s">
        <v>32</v>
      </c>
      <c r="J1642" t="s">
        <v>37</v>
      </c>
      <c r="K1642">
        <v>10090</v>
      </c>
      <c r="L1642" s="3" t="str">
        <f>HYPERLINK("http://www.uniprot.org/uniprot/Q923T9", "Q923T9")</f>
        <v>Q923T9</v>
      </c>
      <c r="M1642" t="s">
        <v>19203</v>
      </c>
      <c r="N1642" t="str">
        <f>"Camk2g"</f>
        <v>Camk2g</v>
      </c>
      <c r="O1642" s="3" t="str">
        <f>HYPERLINK("http://www.informatics.jax.org/marker/MGI:88259", "MGI:88259")</f>
        <v>MGI:88259</v>
      </c>
      <c r="P1642" t="s">
        <v>19204</v>
      </c>
      <c r="Q1642" t="s">
        <v>2027</v>
      </c>
      <c r="R1642" t="s">
        <v>19205</v>
      </c>
      <c r="S1642" t="s">
        <v>41</v>
      </c>
      <c r="T1642" t="s">
        <v>32</v>
      </c>
      <c r="U1642" t="s">
        <v>32</v>
      </c>
      <c r="V1642" t="s">
        <v>32</v>
      </c>
      <c r="W1642" t="s">
        <v>205</v>
      </c>
      <c r="X1642" t="s">
        <v>19206</v>
      </c>
      <c r="Y1642" t="s">
        <v>618</v>
      </c>
      <c r="Z1642" t="s">
        <v>32</v>
      </c>
      <c r="AA1642" t="s">
        <v>19207</v>
      </c>
      <c r="AB1642" t="s">
        <v>19208</v>
      </c>
      <c r="AC1642" t="s">
        <v>19209</v>
      </c>
      <c r="AD1642" t="s">
        <v>32</v>
      </c>
      <c r="AE1642" t="s">
        <v>19210</v>
      </c>
      <c r="AF1642" t="s">
        <v>46835</v>
      </c>
    </row>
    <row r="1643" spans="1:33" x14ac:dyDescent="0.2">
      <c r="A1643">
        <v>1638</v>
      </c>
      <c r="B1643" t="s">
        <v>19211</v>
      </c>
      <c r="C1643" t="s">
        <v>19212</v>
      </c>
      <c r="D1643" t="s">
        <v>19213</v>
      </c>
      <c r="E1643" t="s">
        <v>19214</v>
      </c>
      <c r="F1643" t="s">
        <v>19215</v>
      </c>
      <c r="G1643" t="s">
        <v>19216</v>
      </c>
      <c r="H1643" t="str">
        <f>"Npepl1"</f>
        <v>Npepl1</v>
      </c>
      <c r="I1643" t="s">
        <v>32</v>
      </c>
      <c r="J1643" t="s">
        <v>37</v>
      </c>
      <c r="K1643">
        <v>10090</v>
      </c>
      <c r="L1643" s="3" t="str">
        <f>HYPERLINK("http://www.uniprot.org/uniprot/Q6NSR8", "Q6NSR8")</f>
        <v>Q6NSR8</v>
      </c>
      <c r="M1643" t="s">
        <v>19217</v>
      </c>
      <c r="N1643" t="str">
        <f>"Npepl1"</f>
        <v>Npepl1</v>
      </c>
      <c r="O1643" s="3" t="str">
        <f>HYPERLINK("http://www.informatics.jax.org/marker/MGI:2448523", "MGI:2448523")</f>
        <v>MGI:2448523</v>
      </c>
      <c r="P1643" t="s">
        <v>19218</v>
      </c>
      <c r="Q1643" t="s">
        <v>32</v>
      </c>
      <c r="R1643" t="s">
        <v>32</v>
      </c>
      <c r="S1643" t="s">
        <v>32</v>
      </c>
      <c r="T1643" t="s">
        <v>32</v>
      </c>
      <c r="U1643" t="s">
        <v>32</v>
      </c>
      <c r="V1643" t="s">
        <v>32</v>
      </c>
      <c r="W1643" t="s">
        <v>19219</v>
      </c>
      <c r="X1643" t="s">
        <v>3455</v>
      </c>
      <c r="Y1643" t="s">
        <v>32</v>
      </c>
      <c r="Z1643" t="s">
        <v>32</v>
      </c>
      <c r="AA1643" t="s">
        <v>4615</v>
      </c>
      <c r="AB1643" t="s">
        <v>2172</v>
      </c>
      <c r="AC1643" t="s">
        <v>19220</v>
      </c>
      <c r="AD1643" t="s">
        <v>32</v>
      </c>
      <c r="AE1643" t="s">
        <v>32</v>
      </c>
      <c r="AF1643" t="s">
        <v>46835</v>
      </c>
    </row>
    <row r="1644" spans="1:33" x14ac:dyDescent="0.2">
      <c r="A1644">
        <v>1639</v>
      </c>
      <c r="B1644" t="s">
        <v>19221</v>
      </c>
      <c r="C1644" t="s">
        <v>19222</v>
      </c>
      <c r="D1644" t="s">
        <v>19223</v>
      </c>
      <c r="E1644" t="s">
        <v>19224</v>
      </c>
      <c r="F1644" t="s">
        <v>19225</v>
      </c>
      <c r="G1644" t="s">
        <v>32</v>
      </c>
      <c r="H1644" t="str">
        <f>"Ndufa11"</f>
        <v>Ndufa11</v>
      </c>
      <c r="I1644" t="s">
        <v>32</v>
      </c>
      <c r="J1644" t="s">
        <v>37</v>
      </c>
      <c r="K1644">
        <v>10090</v>
      </c>
      <c r="L1644" s="3" t="str">
        <f>HYPERLINK("http://www.uniprot.org/uniprot/Q9D8B4", "Q9D8B4")</f>
        <v>Q9D8B4</v>
      </c>
      <c r="M1644" t="s">
        <v>19226</v>
      </c>
      <c r="N1644" t="str">
        <f>"Ndufa11"</f>
        <v>Ndufa11</v>
      </c>
      <c r="O1644" s="3" t="str">
        <f>HYPERLINK("http://www.informatics.jax.org/marker/MGI:1917125", "MGI:1917125")</f>
        <v>MGI:1917125</v>
      </c>
      <c r="P1644" t="s">
        <v>9754</v>
      </c>
      <c r="Q1644" t="s">
        <v>6888</v>
      </c>
      <c r="R1644" t="s">
        <v>3858</v>
      </c>
      <c r="S1644" t="s">
        <v>32</v>
      </c>
      <c r="T1644" t="s">
        <v>32</v>
      </c>
      <c r="U1644" t="s">
        <v>32</v>
      </c>
      <c r="V1644" t="s">
        <v>493</v>
      </c>
      <c r="W1644" t="s">
        <v>32</v>
      </c>
      <c r="X1644" t="s">
        <v>32</v>
      </c>
      <c r="Y1644" t="s">
        <v>32</v>
      </c>
      <c r="Z1644" t="s">
        <v>126</v>
      </c>
      <c r="AA1644" t="s">
        <v>12491</v>
      </c>
      <c r="AB1644" t="s">
        <v>14222</v>
      </c>
      <c r="AC1644" t="s">
        <v>32</v>
      </c>
      <c r="AD1644" t="s">
        <v>32</v>
      </c>
      <c r="AE1644" t="s">
        <v>10470</v>
      </c>
      <c r="AF1644" t="s">
        <v>46835</v>
      </c>
    </row>
    <row r="1645" spans="1:33" x14ac:dyDescent="0.2">
      <c r="A1645">
        <v>1640</v>
      </c>
      <c r="B1645" t="s">
        <v>19227</v>
      </c>
      <c r="C1645" t="s">
        <v>19228</v>
      </c>
      <c r="D1645" t="s">
        <v>19229</v>
      </c>
      <c r="E1645" t="s">
        <v>19230</v>
      </c>
      <c r="F1645" t="s">
        <v>19231</v>
      </c>
      <c r="G1645" t="s">
        <v>19232</v>
      </c>
      <c r="H1645" t="str">
        <f>"Gsta4"</f>
        <v>Gsta4</v>
      </c>
      <c r="I1645" t="s">
        <v>19233</v>
      </c>
      <c r="J1645" t="s">
        <v>37</v>
      </c>
      <c r="K1645">
        <v>10090</v>
      </c>
      <c r="L1645" s="3" t="str">
        <f>HYPERLINK("http://www.uniprot.org/uniprot/P24472", "P24472")</f>
        <v>P24472</v>
      </c>
      <c r="M1645" t="s">
        <v>19234</v>
      </c>
      <c r="N1645" t="str">
        <f>"Gsta4"</f>
        <v>Gsta4</v>
      </c>
      <c r="O1645" s="3" t="str">
        <f>HYPERLINK("http://www.informatics.jax.org/marker/MGI:1309515", "MGI:1309515")</f>
        <v>MGI:1309515</v>
      </c>
      <c r="P1645" t="s">
        <v>19235</v>
      </c>
      <c r="Q1645" t="s">
        <v>32</v>
      </c>
      <c r="R1645" t="s">
        <v>418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515</v>
      </c>
      <c r="Y1645" t="s">
        <v>78</v>
      </c>
      <c r="Z1645" t="s">
        <v>126</v>
      </c>
      <c r="AA1645" t="s">
        <v>19236</v>
      </c>
      <c r="AB1645" t="s">
        <v>3490</v>
      </c>
      <c r="AC1645" t="s">
        <v>19237</v>
      </c>
      <c r="AD1645" t="s">
        <v>32</v>
      </c>
      <c r="AE1645" t="s">
        <v>32</v>
      </c>
      <c r="AF1645" t="s">
        <v>46835</v>
      </c>
    </row>
    <row r="1646" spans="1:33" x14ac:dyDescent="0.2">
      <c r="A1646">
        <v>1641</v>
      </c>
      <c r="B1646" t="s">
        <v>19238</v>
      </c>
      <c r="C1646" t="s">
        <v>19239</v>
      </c>
      <c r="D1646" t="s">
        <v>19240</v>
      </c>
      <c r="E1646" t="s">
        <v>19241</v>
      </c>
      <c r="F1646" t="s">
        <v>19242</v>
      </c>
      <c r="G1646" t="s">
        <v>19243</v>
      </c>
      <c r="H1646" t="str">
        <f>"Cyc1"</f>
        <v>Cyc1</v>
      </c>
      <c r="I1646" t="s">
        <v>32</v>
      </c>
      <c r="J1646" t="s">
        <v>37</v>
      </c>
      <c r="K1646">
        <v>10090</v>
      </c>
      <c r="L1646" s="3" t="str">
        <f>HYPERLINK("http://www.uniprot.org/uniprot/Q9D0M3", "Q9D0M3")</f>
        <v>Q9D0M3</v>
      </c>
      <c r="M1646" t="s">
        <v>19244</v>
      </c>
      <c r="N1646" t="str">
        <f>"Cyc1"</f>
        <v>Cyc1</v>
      </c>
      <c r="O1646" s="3" t="str">
        <f>HYPERLINK("http://www.informatics.jax.org/marker/MGI:1913695", "MGI:1913695")</f>
        <v>MGI:1913695</v>
      </c>
      <c r="P1646" t="s">
        <v>19245</v>
      </c>
      <c r="Q1646" t="s">
        <v>6888</v>
      </c>
      <c r="R1646" t="s">
        <v>3858</v>
      </c>
      <c r="S1646" t="s">
        <v>41</v>
      </c>
      <c r="T1646" t="s">
        <v>32</v>
      </c>
      <c r="U1646" t="s">
        <v>32</v>
      </c>
      <c r="V1646" t="s">
        <v>3859</v>
      </c>
      <c r="W1646" t="s">
        <v>6053</v>
      </c>
      <c r="X1646" t="s">
        <v>1506</v>
      </c>
      <c r="Y1646" t="s">
        <v>32</v>
      </c>
      <c r="Z1646" t="s">
        <v>126</v>
      </c>
      <c r="AA1646" t="s">
        <v>19246</v>
      </c>
      <c r="AB1646" t="s">
        <v>13077</v>
      </c>
      <c r="AC1646" t="s">
        <v>19247</v>
      </c>
      <c r="AD1646" t="s">
        <v>32</v>
      </c>
      <c r="AE1646" t="s">
        <v>4604</v>
      </c>
      <c r="AF1646" t="s">
        <v>46835</v>
      </c>
    </row>
    <row r="1647" spans="1:33" x14ac:dyDescent="0.2">
      <c r="A1647">
        <v>1642</v>
      </c>
      <c r="B1647" t="s">
        <v>19248</v>
      </c>
      <c r="C1647" t="s">
        <v>47161</v>
      </c>
      <c r="D1647" t="s">
        <v>32</v>
      </c>
      <c r="E1647" t="s">
        <v>46916</v>
      </c>
      <c r="F1647" t="s">
        <v>46915</v>
      </c>
      <c r="G1647" t="s">
        <v>32</v>
      </c>
      <c r="H1647" t="s">
        <v>47292</v>
      </c>
      <c r="I1647" t="s">
        <v>32</v>
      </c>
      <c r="J1647" t="s">
        <v>37</v>
      </c>
      <c r="K1647">
        <v>10090</v>
      </c>
      <c r="L1647" s="3" t="str">
        <f>HYPERLINK(CONCATENATE("https://www.uniprot.org/uniprotkb/", AG1647, "/entry"), AG1647)</f>
        <v>Q3TJ22</v>
      </c>
      <c r="M1647" t="s">
        <v>32</v>
      </c>
      <c r="N1647" t="s">
        <v>32</v>
      </c>
      <c r="O1647" s="3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t="s">
        <v>46835</v>
      </c>
      <c r="AG1647" t="s">
        <v>46915</v>
      </c>
    </row>
    <row r="1648" spans="1:33" x14ac:dyDescent="0.2">
      <c r="A1648">
        <v>1643</v>
      </c>
      <c r="B1648" t="s">
        <v>19249</v>
      </c>
      <c r="C1648" t="s">
        <v>19250</v>
      </c>
      <c r="D1648" t="s">
        <v>32</v>
      </c>
      <c r="E1648" t="s">
        <v>19251</v>
      </c>
      <c r="F1648" t="s">
        <v>19252</v>
      </c>
      <c r="G1648" t="s">
        <v>32</v>
      </c>
      <c r="H1648" t="str">
        <f>"Lsm4"</f>
        <v>Lsm4</v>
      </c>
      <c r="I1648" t="s">
        <v>32</v>
      </c>
      <c r="J1648" t="s">
        <v>37</v>
      </c>
      <c r="K1648">
        <v>10090</v>
      </c>
      <c r="L1648" s="3" t="str">
        <f>HYPERLINK("http://www.uniprot.org/uniprot/Q9QXA5", "Q9QXA5")</f>
        <v>Q9QXA5</v>
      </c>
      <c r="M1648" t="s">
        <v>19253</v>
      </c>
      <c r="N1648" t="str">
        <f>"Lsm4"</f>
        <v>Lsm4</v>
      </c>
      <c r="O1648" s="3" t="str">
        <f>HYPERLINK("http://www.informatics.jax.org/marker/MGI:1354692", "MGI:1354692")</f>
        <v>MGI:1354692</v>
      </c>
      <c r="P1648" t="s">
        <v>19254</v>
      </c>
      <c r="Q1648" t="s">
        <v>2139</v>
      </c>
      <c r="R1648" t="s">
        <v>2140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1129</v>
      </c>
      <c r="Y1648" t="s">
        <v>78</v>
      </c>
      <c r="Z1648" t="s">
        <v>32</v>
      </c>
      <c r="AA1648" t="s">
        <v>19255</v>
      </c>
      <c r="AB1648" t="s">
        <v>19256</v>
      </c>
      <c r="AC1648" t="s">
        <v>19257</v>
      </c>
      <c r="AD1648" t="s">
        <v>32</v>
      </c>
      <c r="AE1648" t="s">
        <v>12895</v>
      </c>
      <c r="AF1648" t="s">
        <v>46835</v>
      </c>
    </row>
    <row r="1649" spans="1:33" x14ac:dyDescent="0.2">
      <c r="A1649">
        <v>1644</v>
      </c>
      <c r="B1649" t="s">
        <v>19258</v>
      </c>
      <c r="C1649" t="s">
        <v>19259</v>
      </c>
      <c r="D1649" t="s">
        <v>19260</v>
      </c>
      <c r="E1649" t="s">
        <v>19261</v>
      </c>
      <c r="F1649" t="s">
        <v>19262</v>
      </c>
      <c r="G1649" t="s">
        <v>19263</v>
      </c>
      <c r="H1649" t="str">
        <f>"Scpep1"</f>
        <v>Scpep1</v>
      </c>
      <c r="I1649" t="s">
        <v>19264</v>
      </c>
      <c r="J1649" t="s">
        <v>37</v>
      </c>
      <c r="K1649">
        <v>10090</v>
      </c>
      <c r="L1649" s="3" t="str">
        <f>HYPERLINK("http://www.uniprot.org/uniprot/Q920A5", "Q920A5")</f>
        <v>Q920A5</v>
      </c>
      <c r="M1649" t="s">
        <v>19265</v>
      </c>
      <c r="N1649" t="str">
        <f>"Scpep1"</f>
        <v>Scpep1</v>
      </c>
      <c r="O1649" s="3" t="str">
        <f>HYPERLINK("http://www.informatics.jax.org/marker/MGI:1921867", "MGI:1921867")</f>
        <v>MGI:1921867</v>
      </c>
      <c r="P1649" t="s">
        <v>19266</v>
      </c>
      <c r="Q1649" t="s">
        <v>32</v>
      </c>
      <c r="R1649" t="s">
        <v>630</v>
      </c>
      <c r="S1649" t="s">
        <v>32</v>
      </c>
      <c r="T1649" t="s">
        <v>32</v>
      </c>
      <c r="U1649" t="s">
        <v>32</v>
      </c>
      <c r="V1649" t="s">
        <v>811</v>
      </c>
      <c r="W1649" t="s">
        <v>32</v>
      </c>
      <c r="X1649" t="s">
        <v>13963</v>
      </c>
      <c r="Y1649" t="s">
        <v>3733</v>
      </c>
      <c r="Z1649" t="s">
        <v>32</v>
      </c>
      <c r="AA1649" t="s">
        <v>19267</v>
      </c>
      <c r="AB1649" t="s">
        <v>19268</v>
      </c>
      <c r="AC1649" t="s">
        <v>13966</v>
      </c>
      <c r="AD1649" t="s">
        <v>32</v>
      </c>
      <c r="AE1649" t="s">
        <v>32</v>
      </c>
      <c r="AF1649" t="s">
        <v>46835</v>
      </c>
    </row>
    <row r="1650" spans="1:33" x14ac:dyDescent="0.2">
      <c r="A1650">
        <v>1645</v>
      </c>
      <c r="B1650" t="s">
        <v>19269</v>
      </c>
      <c r="C1650" t="s">
        <v>19270</v>
      </c>
      <c r="D1650" t="s">
        <v>19271</v>
      </c>
      <c r="E1650" t="s">
        <v>19272</v>
      </c>
      <c r="F1650" t="s">
        <v>19273</v>
      </c>
      <c r="G1650" t="s">
        <v>19274</v>
      </c>
      <c r="H1650" t="str">
        <f>"Ssr3"</f>
        <v>Ssr3</v>
      </c>
      <c r="I1650" t="s">
        <v>32</v>
      </c>
      <c r="J1650" t="s">
        <v>37</v>
      </c>
      <c r="K1650">
        <v>10090</v>
      </c>
      <c r="L1650" s="3" t="str">
        <f>HYPERLINK("http://www.uniprot.org/uniprot/Q9DCF9", "Q9DCF9")</f>
        <v>Q9DCF9</v>
      </c>
      <c r="M1650" t="s">
        <v>19275</v>
      </c>
      <c r="N1650" t="str">
        <f>"Ssr3"</f>
        <v>Ssr3</v>
      </c>
      <c r="O1650" s="3" t="str">
        <f>HYPERLINK("http://www.informatics.jax.org/marker/MGI:1914687", "MGI:1914687")</f>
        <v>MGI:1914687</v>
      </c>
      <c r="P1650" t="s">
        <v>19276</v>
      </c>
      <c r="Q1650" t="s">
        <v>32</v>
      </c>
      <c r="R1650" t="s">
        <v>1664</v>
      </c>
      <c r="S1650" t="s">
        <v>41</v>
      </c>
      <c r="T1650" t="s">
        <v>32</v>
      </c>
      <c r="U1650" t="s">
        <v>32</v>
      </c>
      <c r="V1650" t="s">
        <v>493</v>
      </c>
      <c r="W1650" t="s">
        <v>32</v>
      </c>
      <c r="X1650" t="s">
        <v>32</v>
      </c>
      <c r="Y1650" t="s">
        <v>157</v>
      </c>
      <c r="Z1650" t="s">
        <v>32</v>
      </c>
      <c r="AA1650" t="s">
        <v>19277</v>
      </c>
      <c r="AB1650" t="s">
        <v>16952</v>
      </c>
      <c r="AC1650" t="s">
        <v>32</v>
      </c>
      <c r="AD1650" t="s">
        <v>32</v>
      </c>
      <c r="AE1650" t="s">
        <v>32</v>
      </c>
      <c r="AF1650" t="s">
        <v>46835</v>
      </c>
    </row>
    <row r="1651" spans="1:33" x14ac:dyDescent="0.2">
      <c r="A1651">
        <v>1646</v>
      </c>
      <c r="B1651" t="s">
        <v>19278</v>
      </c>
      <c r="C1651" t="s">
        <v>19279</v>
      </c>
      <c r="D1651" t="s">
        <v>19280</v>
      </c>
      <c r="E1651" t="s">
        <v>19281</v>
      </c>
      <c r="F1651" t="s">
        <v>19282</v>
      </c>
      <c r="G1651" t="s">
        <v>19283</v>
      </c>
      <c r="H1651" t="str">
        <f>"Pnpla6"</f>
        <v>Pnpla6</v>
      </c>
      <c r="I1651" t="s">
        <v>19284</v>
      </c>
      <c r="J1651" t="s">
        <v>37</v>
      </c>
      <c r="K1651">
        <v>10090</v>
      </c>
      <c r="L1651" s="3" t="str">
        <f>HYPERLINK("http://www.uniprot.org/uniprot/Q3TRM4", "Q3TRM4")</f>
        <v>Q3TRM4</v>
      </c>
      <c r="M1651" t="s">
        <v>19285</v>
      </c>
      <c r="N1651" t="str">
        <f>"Pnpla6"</f>
        <v>Pnpla6</v>
      </c>
      <c r="O1651" s="3" t="str">
        <f>HYPERLINK("http://www.informatics.jax.org/marker/MGI:1354723", "MGI:1354723")</f>
        <v>MGI:1354723</v>
      </c>
      <c r="P1651" t="s">
        <v>19286</v>
      </c>
      <c r="Q1651" t="s">
        <v>4809</v>
      </c>
      <c r="R1651" t="s">
        <v>1664</v>
      </c>
      <c r="S1651" t="s">
        <v>41</v>
      </c>
      <c r="T1651" t="s">
        <v>32</v>
      </c>
      <c r="U1651" t="s">
        <v>32</v>
      </c>
      <c r="V1651" t="s">
        <v>1620</v>
      </c>
      <c r="W1651" t="s">
        <v>32</v>
      </c>
      <c r="X1651" t="s">
        <v>343</v>
      </c>
      <c r="Y1651" t="s">
        <v>4720</v>
      </c>
      <c r="Z1651" t="s">
        <v>32</v>
      </c>
      <c r="AA1651" t="s">
        <v>19287</v>
      </c>
      <c r="AB1651" t="s">
        <v>19288</v>
      </c>
      <c r="AC1651" t="s">
        <v>19289</v>
      </c>
      <c r="AD1651" t="s">
        <v>32</v>
      </c>
      <c r="AE1651" t="s">
        <v>19290</v>
      </c>
      <c r="AF1651" t="s">
        <v>46835</v>
      </c>
    </row>
    <row r="1652" spans="1:33" x14ac:dyDescent="0.2">
      <c r="A1652">
        <v>1647</v>
      </c>
      <c r="B1652" t="s">
        <v>19291</v>
      </c>
      <c r="C1652" t="s">
        <v>19292</v>
      </c>
      <c r="D1652" t="s">
        <v>19293</v>
      </c>
      <c r="E1652" t="s">
        <v>19294</v>
      </c>
      <c r="F1652" t="s">
        <v>19295</v>
      </c>
      <c r="G1652" t="s">
        <v>19296</v>
      </c>
      <c r="H1652" t="str">
        <f>"Gja1"</f>
        <v>Gja1</v>
      </c>
      <c r="I1652" t="s">
        <v>19297</v>
      </c>
      <c r="J1652" t="s">
        <v>37</v>
      </c>
      <c r="K1652">
        <v>10090</v>
      </c>
      <c r="L1652" s="3" t="str">
        <f>HYPERLINK("http://www.uniprot.org/uniprot/P23242", "P23242")</f>
        <v>P23242</v>
      </c>
      <c r="M1652" t="s">
        <v>19298</v>
      </c>
      <c r="N1652" t="str">
        <f>"Gja1"</f>
        <v>Gja1</v>
      </c>
      <c r="O1652" s="3" t="str">
        <f>HYPERLINK("http://www.informatics.jax.org/marker/MGI:95713", "MGI:95713")</f>
        <v>MGI:95713</v>
      </c>
      <c r="P1652" t="s">
        <v>19299</v>
      </c>
      <c r="Q1652" t="s">
        <v>32</v>
      </c>
      <c r="R1652" t="s">
        <v>19300</v>
      </c>
      <c r="S1652" t="s">
        <v>32</v>
      </c>
      <c r="T1652" t="s">
        <v>32</v>
      </c>
      <c r="U1652" t="s">
        <v>32</v>
      </c>
      <c r="V1652" t="s">
        <v>493</v>
      </c>
      <c r="W1652" t="s">
        <v>32</v>
      </c>
      <c r="X1652" t="s">
        <v>32</v>
      </c>
      <c r="Y1652" t="s">
        <v>19301</v>
      </c>
      <c r="Z1652" t="s">
        <v>32</v>
      </c>
      <c r="AA1652" t="s">
        <v>19302</v>
      </c>
      <c r="AB1652" t="s">
        <v>19303</v>
      </c>
      <c r="AC1652" t="s">
        <v>19304</v>
      </c>
      <c r="AD1652" t="s">
        <v>32</v>
      </c>
      <c r="AE1652" t="s">
        <v>19305</v>
      </c>
      <c r="AF1652" t="s">
        <v>46835</v>
      </c>
    </row>
    <row r="1653" spans="1:33" x14ac:dyDescent="0.2">
      <c r="A1653">
        <v>1648</v>
      </c>
      <c r="B1653" t="s">
        <v>19306</v>
      </c>
      <c r="C1653" t="s">
        <v>19307</v>
      </c>
      <c r="D1653" t="s">
        <v>19308</v>
      </c>
      <c r="E1653" t="s">
        <v>19309</v>
      </c>
      <c r="F1653" t="s">
        <v>19310</v>
      </c>
      <c r="G1653" t="s">
        <v>19311</v>
      </c>
      <c r="H1653" t="str">
        <f>"Lamp2"</f>
        <v>Lamp2</v>
      </c>
      <c r="I1653" t="s">
        <v>19312</v>
      </c>
      <c r="J1653" t="s">
        <v>37</v>
      </c>
      <c r="K1653">
        <v>10090</v>
      </c>
      <c r="L1653" s="3" t="str">
        <f>HYPERLINK("http://www.uniprot.org/uniprot/P17047", "P17047")</f>
        <v>P17047</v>
      </c>
      <c r="M1653" t="s">
        <v>19313</v>
      </c>
      <c r="N1653" t="str">
        <f>"Lamp2"</f>
        <v>Lamp2</v>
      </c>
      <c r="O1653" s="3" t="str">
        <f>HYPERLINK("http://www.informatics.jax.org/marker/MGI:96748", "MGI:96748")</f>
        <v>MGI:96748</v>
      </c>
      <c r="P1653" t="s">
        <v>19314</v>
      </c>
      <c r="Q1653" t="s">
        <v>11661</v>
      </c>
      <c r="R1653" t="s">
        <v>19315</v>
      </c>
      <c r="S1653" t="s">
        <v>41</v>
      </c>
      <c r="T1653" t="s">
        <v>32</v>
      </c>
      <c r="U1653" t="s">
        <v>32</v>
      </c>
      <c r="V1653" t="s">
        <v>3948</v>
      </c>
      <c r="W1653" t="s">
        <v>32</v>
      </c>
      <c r="X1653" t="s">
        <v>32</v>
      </c>
      <c r="Y1653" t="s">
        <v>5275</v>
      </c>
      <c r="Z1653" t="s">
        <v>126</v>
      </c>
      <c r="AA1653" t="s">
        <v>19316</v>
      </c>
      <c r="AB1653" t="s">
        <v>19317</v>
      </c>
      <c r="AC1653" t="s">
        <v>19318</v>
      </c>
      <c r="AD1653" t="s">
        <v>32</v>
      </c>
      <c r="AE1653" t="s">
        <v>19319</v>
      </c>
      <c r="AF1653" t="s">
        <v>46835</v>
      </c>
    </row>
    <row r="1654" spans="1:33" x14ac:dyDescent="0.2">
      <c r="A1654">
        <v>1649</v>
      </c>
      <c r="B1654" t="s">
        <v>19320</v>
      </c>
      <c r="C1654" t="s">
        <v>19321</v>
      </c>
      <c r="D1654" t="s">
        <v>19322</v>
      </c>
      <c r="E1654" t="s">
        <v>19323</v>
      </c>
      <c r="F1654" t="s">
        <v>19324</v>
      </c>
      <c r="G1654" t="s">
        <v>19325</v>
      </c>
      <c r="H1654" t="str">
        <f>"Akt1"</f>
        <v>Akt1</v>
      </c>
      <c r="I1654" t="s">
        <v>19326</v>
      </c>
      <c r="J1654" t="s">
        <v>37</v>
      </c>
      <c r="K1654">
        <v>10090</v>
      </c>
      <c r="L1654" s="3" t="str">
        <f>HYPERLINK("http://www.uniprot.org/uniprot/P31750", "P31750")</f>
        <v>P31750</v>
      </c>
      <c r="M1654" t="s">
        <v>19327</v>
      </c>
      <c r="N1654" t="str">
        <f>"Akt1"</f>
        <v>Akt1</v>
      </c>
      <c r="O1654" s="3" t="str">
        <f>HYPERLINK("http://www.informatics.jax.org/marker/MGI:87986", "MGI:87986")</f>
        <v>MGI:87986</v>
      </c>
      <c r="P1654" t="s">
        <v>19328</v>
      </c>
      <c r="Q1654" t="s">
        <v>19329</v>
      </c>
      <c r="R1654" t="s">
        <v>276</v>
      </c>
      <c r="S1654" t="s">
        <v>32</v>
      </c>
      <c r="T1654" t="s">
        <v>32</v>
      </c>
      <c r="U1654" t="s">
        <v>32</v>
      </c>
      <c r="V1654" t="s">
        <v>32</v>
      </c>
      <c r="W1654" t="s">
        <v>205</v>
      </c>
      <c r="X1654" t="s">
        <v>19330</v>
      </c>
      <c r="Y1654" t="s">
        <v>8880</v>
      </c>
      <c r="Z1654" t="s">
        <v>32</v>
      </c>
      <c r="AA1654" t="s">
        <v>19331</v>
      </c>
      <c r="AB1654" t="s">
        <v>19332</v>
      </c>
      <c r="AC1654" t="s">
        <v>19333</v>
      </c>
      <c r="AD1654" t="s">
        <v>32</v>
      </c>
      <c r="AE1654" t="s">
        <v>19334</v>
      </c>
      <c r="AF1654" t="s">
        <v>46835</v>
      </c>
    </row>
    <row r="1655" spans="1:33" x14ac:dyDescent="0.2">
      <c r="A1655">
        <v>1650</v>
      </c>
      <c r="B1655" t="s">
        <v>19335</v>
      </c>
      <c r="C1655" t="s">
        <v>19336</v>
      </c>
      <c r="D1655" t="s">
        <v>19337</v>
      </c>
      <c r="E1655" t="s">
        <v>19338</v>
      </c>
      <c r="F1655" t="s">
        <v>19339</v>
      </c>
      <c r="G1655" t="s">
        <v>32</v>
      </c>
      <c r="H1655" t="str">
        <f>"Actbl2"</f>
        <v>Actbl2</v>
      </c>
      <c r="I1655" t="s">
        <v>32</v>
      </c>
      <c r="J1655" t="s">
        <v>37</v>
      </c>
      <c r="K1655">
        <v>10090</v>
      </c>
      <c r="L1655" s="3" t="str">
        <f>HYPERLINK("http://www.uniprot.org/uniprot/Q8BFZ3", "Q8BFZ3")</f>
        <v>Q8BFZ3</v>
      </c>
      <c r="M1655" t="s">
        <v>19340</v>
      </c>
      <c r="N1655" t="str">
        <f>"Actbl2"</f>
        <v>Actbl2</v>
      </c>
      <c r="O1655" s="3" t="str">
        <f>HYPERLINK("http://www.informatics.jax.org/marker/MGI:2444552", "MGI:2444552")</f>
        <v>MGI:2444552</v>
      </c>
      <c r="P1655" t="s">
        <v>19341</v>
      </c>
      <c r="Q1655" t="s">
        <v>32</v>
      </c>
      <c r="R1655" t="s">
        <v>186</v>
      </c>
      <c r="S1655" t="s">
        <v>32</v>
      </c>
      <c r="T1655" t="s">
        <v>32</v>
      </c>
      <c r="U1655" t="s">
        <v>32</v>
      </c>
      <c r="V1655" t="s">
        <v>32</v>
      </c>
      <c r="W1655" t="s">
        <v>205</v>
      </c>
      <c r="X1655" t="s">
        <v>32</v>
      </c>
      <c r="Y1655" t="s">
        <v>19342</v>
      </c>
      <c r="Z1655" t="s">
        <v>32</v>
      </c>
      <c r="AA1655" t="s">
        <v>19343</v>
      </c>
      <c r="AB1655" t="s">
        <v>19344</v>
      </c>
      <c r="AC1655" t="s">
        <v>19345</v>
      </c>
      <c r="AD1655" t="s">
        <v>32</v>
      </c>
      <c r="AE1655" t="s">
        <v>32</v>
      </c>
      <c r="AF1655" t="s">
        <v>46835</v>
      </c>
    </row>
    <row r="1656" spans="1:33" x14ac:dyDescent="0.2">
      <c r="A1656">
        <v>1651</v>
      </c>
      <c r="B1656" t="s">
        <v>19346</v>
      </c>
      <c r="C1656" t="s">
        <v>19347</v>
      </c>
      <c r="D1656" t="s">
        <v>19348</v>
      </c>
      <c r="E1656" t="s">
        <v>19349</v>
      </c>
      <c r="F1656" t="s">
        <v>19350</v>
      </c>
      <c r="G1656" t="s">
        <v>19351</v>
      </c>
      <c r="H1656" t="str">
        <f>"Cdk1"</f>
        <v>Cdk1</v>
      </c>
      <c r="I1656" t="s">
        <v>19352</v>
      </c>
      <c r="J1656" t="s">
        <v>37</v>
      </c>
      <c r="K1656">
        <v>10090</v>
      </c>
      <c r="L1656" s="3" t="str">
        <f>HYPERLINK("http://www.uniprot.org/uniprot/P11440", "P11440")</f>
        <v>P11440</v>
      </c>
      <c r="M1656" t="s">
        <v>19353</v>
      </c>
      <c r="N1656" t="str">
        <f>"Cdk1"</f>
        <v>Cdk1</v>
      </c>
      <c r="O1656" s="3" t="str">
        <f>HYPERLINK("http://www.informatics.jax.org/marker/MGI:88351", "MGI:88351")</f>
        <v>MGI:88351</v>
      </c>
      <c r="P1656" t="s">
        <v>19354</v>
      </c>
      <c r="Q1656" t="s">
        <v>19355</v>
      </c>
      <c r="R1656" t="s">
        <v>15331</v>
      </c>
      <c r="S1656" t="s">
        <v>32</v>
      </c>
      <c r="T1656" t="s">
        <v>32</v>
      </c>
      <c r="U1656" t="s">
        <v>32</v>
      </c>
      <c r="V1656" t="s">
        <v>32</v>
      </c>
      <c r="W1656" t="s">
        <v>205</v>
      </c>
      <c r="X1656" t="s">
        <v>5419</v>
      </c>
      <c r="Y1656" t="s">
        <v>516</v>
      </c>
      <c r="Z1656" t="s">
        <v>32</v>
      </c>
      <c r="AA1656" t="s">
        <v>19356</v>
      </c>
      <c r="AB1656" t="s">
        <v>19357</v>
      </c>
      <c r="AC1656" t="s">
        <v>19358</v>
      </c>
      <c r="AD1656" t="s">
        <v>32</v>
      </c>
      <c r="AE1656" t="s">
        <v>19359</v>
      </c>
      <c r="AF1656" t="s">
        <v>46835</v>
      </c>
    </row>
    <row r="1657" spans="1:33" x14ac:dyDescent="0.2">
      <c r="A1657">
        <v>1652</v>
      </c>
      <c r="B1657" t="s">
        <v>19360</v>
      </c>
      <c r="C1657" t="s">
        <v>19361</v>
      </c>
      <c r="D1657" t="s">
        <v>32</v>
      </c>
      <c r="E1657" t="s">
        <v>19362</v>
      </c>
      <c r="F1657" t="s">
        <v>19363</v>
      </c>
      <c r="G1657" t="s">
        <v>19364</v>
      </c>
      <c r="H1657" t="str">
        <f>"Armcx2"</f>
        <v>Armcx2</v>
      </c>
      <c r="I1657" t="s">
        <v>19365</v>
      </c>
      <c r="J1657" t="s">
        <v>37</v>
      </c>
      <c r="K1657">
        <v>10090</v>
      </c>
      <c r="L1657" s="3" t="str">
        <f>HYPERLINK("http://www.uniprot.org/uniprot/Q6A058", "Q6A058")</f>
        <v>Q6A058</v>
      </c>
      <c r="M1657" t="s">
        <v>19366</v>
      </c>
      <c r="N1657" t="str">
        <f>"Armcx2"</f>
        <v>Armcx2</v>
      </c>
      <c r="O1657" s="3" t="str">
        <f>HYPERLINK("http://www.informatics.jax.org/marker/MGI:1914666", "MGI:1914666")</f>
        <v>MGI:1914666</v>
      </c>
      <c r="P1657" t="s">
        <v>19367</v>
      </c>
      <c r="Q1657" t="s">
        <v>32</v>
      </c>
      <c r="R1657" t="s">
        <v>4782</v>
      </c>
      <c r="S1657" t="s">
        <v>32</v>
      </c>
      <c r="T1657" t="s">
        <v>32</v>
      </c>
      <c r="U1657" t="s">
        <v>32</v>
      </c>
      <c r="V1657" t="s">
        <v>19368</v>
      </c>
      <c r="W1657" t="s">
        <v>32</v>
      </c>
      <c r="X1657" t="s">
        <v>32</v>
      </c>
      <c r="Y1657" t="s">
        <v>32</v>
      </c>
      <c r="Z1657" t="s">
        <v>32</v>
      </c>
      <c r="AA1657" t="s">
        <v>32</v>
      </c>
      <c r="AB1657" t="s">
        <v>19369</v>
      </c>
      <c r="AC1657" t="s">
        <v>32</v>
      </c>
      <c r="AD1657" t="s">
        <v>32</v>
      </c>
      <c r="AE1657" t="s">
        <v>32</v>
      </c>
      <c r="AF1657" t="s">
        <v>46835</v>
      </c>
    </row>
    <row r="1658" spans="1:33" x14ac:dyDescent="0.2">
      <c r="A1658">
        <v>1653</v>
      </c>
      <c r="B1658" t="s">
        <v>19370</v>
      </c>
      <c r="C1658" t="s">
        <v>19371</v>
      </c>
      <c r="D1658" t="s">
        <v>19372</v>
      </c>
      <c r="E1658" t="s">
        <v>19373</v>
      </c>
      <c r="F1658" t="s">
        <v>19374</v>
      </c>
      <c r="G1658" t="s">
        <v>19375</v>
      </c>
      <c r="H1658" t="str">
        <f>"Pbdc1"</f>
        <v>Pbdc1</v>
      </c>
      <c r="I1658" t="s">
        <v>32</v>
      </c>
      <c r="J1658" t="s">
        <v>37</v>
      </c>
      <c r="K1658">
        <v>10090</v>
      </c>
      <c r="L1658" s="3" t="str">
        <f>HYPERLINK("http://www.uniprot.org/uniprot/Q9D0B6", "Q9D0B6")</f>
        <v>Q9D0B6</v>
      </c>
      <c r="M1658" t="s">
        <v>19376</v>
      </c>
      <c r="N1658" t="str">
        <f>"Pbdc1"</f>
        <v>Pbdc1</v>
      </c>
      <c r="O1658" s="3" t="str">
        <f>HYPERLINK("http://www.informatics.jax.org/marker/MGI:1914933", "MGI:1914933")</f>
        <v>MGI:1914933</v>
      </c>
      <c r="P1658" t="s">
        <v>13974</v>
      </c>
      <c r="Q1658" t="s">
        <v>32</v>
      </c>
      <c r="R1658" t="s">
        <v>32</v>
      </c>
      <c r="S1658" t="s">
        <v>41</v>
      </c>
      <c r="T1658" t="s">
        <v>32</v>
      </c>
      <c r="U1658" t="s">
        <v>32</v>
      </c>
      <c r="V1658" t="s">
        <v>32</v>
      </c>
      <c r="W1658" t="s">
        <v>32</v>
      </c>
      <c r="X1658" t="s">
        <v>32</v>
      </c>
      <c r="Y1658" t="s">
        <v>618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t="s">
        <v>46835</v>
      </c>
    </row>
    <row r="1659" spans="1:33" x14ac:dyDescent="0.2">
      <c r="A1659">
        <v>1654</v>
      </c>
      <c r="B1659" t="s">
        <v>19377</v>
      </c>
      <c r="C1659" t="s">
        <v>19378</v>
      </c>
      <c r="D1659" t="s">
        <v>19379</v>
      </c>
      <c r="E1659" t="s">
        <v>19380</v>
      </c>
      <c r="F1659" t="s">
        <v>19381</v>
      </c>
      <c r="G1659" t="s">
        <v>19382</v>
      </c>
      <c r="H1659" t="str">
        <f>"Erbin"</f>
        <v>Erbin</v>
      </c>
      <c r="I1659" t="s">
        <v>32</v>
      </c>
      <c r="J1659" t="s">
        <v>37</v>
      </c>
      <c r="K1659">
        <v>10090</v>
      </c>
      <c r="L1659" s="3" t="str">
        <f>HYPERLINK("http://www.uniprot.org/uniprot/Q80TH2", "Q80TH2")</f>
        <v>Q80TH2</v>
      </c>
      <c r="M1659" t="s">
        <v>19383</v>
      </c>
      <c r="N1659" t="str">
        <f>"Erbin"</f>
        <v>Erbin</v>
      </c>
      <c r="O1659" s="3" t="str">
        <f>HYPERLINK("http://www.informatics.jax.org/marker/MGI:1890169", "MGI:1890169")</f>
        <v>MGI:1890169</v>
      </c>
      <c r="P1659" t="s">
        <v>19384</v>
      </c>
      <c r="Q1659" t="s">
        <v>32</v>
      </c>
      <c r="R1659" t="s">
        <v>19385</v>
      </c>
      <c r="S1659" t="s">
        <v>41</v>
      </c>
      <c r="T1659" t="s">
        <v>32</v>
      </c>
      <c r="U1659" t="s">
        <v>32</v>
      </c>
      <c r="V1659" t="s">
        <v>2701</v>
      </c>
      <c r="W1659" t="s">
        <v>32</v>
      </c>
      <c r="X1659" t="s">
        <v>32</v>
      </c>
      <c r="Y1659" t="s">
        <v>618</v>
      </c>
      <c r="Z1659" t="s">
        <v>32</v>
      </c>
      <c r="AA1659" t="s">
        <v>19386</v>
      </c>
      <c r="AB1659" t="s">
        <v>19387</v>
      </c>
      <c r="AC1659" t="s">
        <v>19388</v>
      </c>
      <c r="AD1659" t="s">
        <v>32</v>
      </c>
      <c r="AE1659" t="s">
        <v>19389</v>
      </c>
      <c r="AF1659" t="s">
        <v>46835</v>
      </c>
    </row>
    <row r="1660" spans="1:33" x14ac:dyDescent="0.2">
      <c r="A1660">
        <v>1655</v>
      </c>
      <c r="B1660" t="s">
        <v>19390</v>
      </c>
      <c r="C1660" t="s">
        <v>19391</v>
      </c>
      <c r="D1660" t="s">
        <v>19392</v>
      </c>
      <c r="E1660" t="s">
        <v>19393</v>
      </c>
      <c r="F1660" t="s">
        <v>19394</v>
      </c>
      <c r="G1660" t="s">
        <v>32</v>
      </c>
      <c r="H1660" t="str">
        <f>"Eno2"</f>
        <v>Eno2</v>
      </c>
      <c r="I1660" t="s">
        <v>19395</v>
      </c>
      <c r="J1660" t="s">
        <v>37</v>
      </c>
      <c r="K1660">
        <v>10090</v>
      </c>
      <c r="L1660" s="3" t="str">
        <f>HYPERLINK("http://www.uniprot.org/uniprot/P17183", "P17183")</f>
        <v>P17183</v>
      </c>
      <c r="M1660" t="s">
        <v>19396</v>
      </c>
      <c r="N1660" t="str">
        <f>"Eno2"</f>
        <v>Eno2</v>
      </c>
      <c r="O1660" s="3" t="str">
        <f>HYPERLINK("http://www.informatics.jax.org/marker/MGI:95394", "MGI:95394")</f>
        <v>MGI:95394</v>
      </c>
      <c r="P1660" t="s">
        <v>220</v>
      </c>
      <c r="Q1660" t="s">
        <v>221</v>
      </c>
      <c r="R1660" t="s">
        <v>222</v>
      </c>
      <c r="S1660" t="s">
        <v>32</v>
      </c>
      <c r="T1660" t="s">
        <v>32</v>
      </c>
      <c r="U1660" t="s">
        <v>32</v>
      </c>
      <c r="V1660" t="s">
        <v>32</v>
      </c>
      <c r="W1660" t="s">
        <v>223</v>
      </c>
      <c r="X1660" t="s">
        <v>224</v>
      </c>
      <c r="Y1660" t="s">
        <v>225</v>
      </c>
      <c r="Z1660" t="s">
        <v>32</v>
      </c>
      <c r="AA1660" t="s">
        <v>19397</v>
      </c>
      <c r="AB1660" t="s">
        <v>19398</v>
      </c>
      <c r="AC1660" t="s">
        <v>19399</v>
      </c>
      <c r="AD1660" t="s">
        <v>229</v>
      </c>
      <c r="AE1660" t="s">
        <v>230</v>
      </c>
      <c r="AF1660" t="s">
        <v>46835</v>
      </c>
    </row>
    <row r="1661" spans="1:33" x14ac:dyDescent="0.2">
      <c r="A1661">
        <v>1656</v>
      </c>
      <c r="B1661" t="s">
        <v>19400</v>
      </c>
      <c r="C1661" t="s">
        <v>19401</v>
      </c>
      <c r="D1661" t="s">
        <v>19402</v>
      </c>
      <c r="E1661" t="s">
        <v>19403</v>
      </c>
      <c r="F1661" t="s">
        <v>19404</v>
      </c>
      <c r="G1661" t="s">
        <v>32</v>
      </c>
      <c r="H1661" t="str">
        <f>"Hlcs"</f>
        <v>Hlcs</v>
      </c>
      <c r="I1661" t="s">
        <v>32</v>
      </c>
      <c r="J1661" t="s">
        <v>37</v>
      </c>
      <c r="K1661">
        <v>10090</v>
      </c>
      <c r="L1661" s="3" t="str">
        <f>HYPERLINK("http://www.uniprot.org/uniprot/Q920N2", "Q920N2")</f>
        <v>Q920N2</v>
      </c>
      <c r="M1661" t="s">
        <v>19405</v>
      </c>
      <c r="N1661" t="str">
        <f>"Hlcs"</f>
        <v>Hlcs</v>
      </c>
      <c r="O1661" s="3" t="str">
        <f>HYPERLINK("http://www.informatics.jax.org/marker/MGI:894646", "MGI:894646")</f>
        <v>MGI:894646</v>
      </c>
      <c r="P1661" t="s">
        <v>19406</v>
      </c>
      <c r="Q1661" t="s">
        <v>32</v>
      </c>
      <c r="R1661" t="s">
        <v>1842</v>
      </c>
      <c r="S1661" t="s">
        <v>32</v>
      </c>
      <c r="T1661" t="s">
        <v>32</v>
      </c>
      <c r="U1661" t="s">
        <v>32</v>
      </c>
      <c r="V1661" t="s">
        <v>32</v>
      </c>
      <c r="W1661" t="s">
        <v>205</v>
      </c>
      <c r="X1661" t="s">
        <v>19407</v>
      </c>
      <c r="Y1661" t="s">
        <v>618</v>
      </c>
      <c r="Z1661" t="s">
        <v>32</v>
      </c>
      <c r="AA1661" t="s">
        <v>19408</v>
      </c>
      <c r="AB1661" t="s">
        <v>19409</v>
      </c>
      <c r="AC1661" t="s">
        <v>19410</v>
      </c>
      <c r="AD1661" t="s">
        <v>32</v>
      </c>
      <c r="AE1661" t="s">
        <v>19411</v>
      </c>
      <c r="AF1661" t="s">
        <v>46835</v>
      </c>
    </row>
    <row r="1662" spans="1:33" x14ac:dyDescent="0.2">
      <c r="A1662">
        <v>1657</v>
      </c>
      <c r="B1662" t="s">
        <v>19412</v>
      </c>
      <c r="C1662" t="s">
        <v>19413</v>
      </c>
      <c r="D1662" t="s">
        <v>19414</v>
      </c>
      <c r="E1662" t="s">
        <v>19415</v>
      </c>
      <c r="F1662" t="s">
        <v>19416</v>
      </c>
      <c r="G1662" t="s">
        <v>19417</v>
      </c>
      <c r="H1662" t="str">
        <f>"Aarsd1"</f>
        <v>Aarsd1</v>
      </c>
      <c r="I1662" t="s">
        <v>19418</v>
      </c>
      <c r="J1662" t="s">
        <v>37</v>
      </c>
      <c r="K1662">
        <v>10090</v>
      </c>
      <c r="L1662" s="3" t="str">
        <f>HYPERLINK("http://www.uniprot.org/uniprot/Q3THG9", "Q3THG9")</f>
        <v>Q3THG9</v>
      </c>
      <c r="M1662" t="s">
        <v>19419</v>
      </c>
      <c r="N1662" t="str">
        <f>"Aarsd1"</f>
        <v>Aarsd1</v>
      </c>
      <c r="O1662" s="3" t="str">
        <f>HYPERLINK("http://www.informatics.jax.org/marker/MGI:1916934", "MGI:1916934")</f>
        <v>MGI:1916934</v>
      </c>
      <c r="P1662" t="s">
        <v>19420</v>
      </c>
      <c r="Q1662" t="s">
        <v>260</v>
      </c>
      <c r="R1662" t="s">
        <v>418</v>
      </c>
      <c r="S1662" t="s">
        <v>32</v>
      </c>
      <c r="T1662" t="s">
        <v>32</v>
      </c>
      <c r="U1662" t="s">
        <v>32</v>
      </c>
      <c r="V1662" t="s">
        <v>32</v>
      </c>
      <c r="W1662" t="s">
        <v>42</v>
      </c>
      <c r="X1662" t="s">
        <v>32</v>
      </c>
      <c r="Y1662" t="s">
        <v>618</v>
      </c>
      <c r="Z1662" t="s">
        <v>32</v>
      </c>
      <c r="AA1662" t="s">
        <v>19421</v>
      </c>
      <c r="AB1662" t="s">
        <v>2172</v>
      </c>
      <c r="AC1662" t="s">
        <v>19422</v>
      </c>
      <c r="AD1662" t="s">
        <v>32</v>
      </c>
      <c r="AE1662" t="s">
        <v>32</v>
      </c>
      <c r="AF1662" t="s">
        <v>46835</v>
      </c>
    </row>
    <row r="1663" spans="1:33" x14ac:dyDescent="0.2">
      <c r="A1663">
        <v>1658</v>
      </c>
      <c r="B1663" t="s">
        <v>19423</v>
      </c>
      <c r="C1663" t="s">
        <v>47141</v>
      </c>
      <c r="D1663" t="s">
        <v>32</v>
      </c>
      <c r="E1663" t="s">
        <v>46918</v>
      </c>
      <c r="F1663" t="s">
        <v>46917</v>
      </c>
      <c r="G1663" t="s">
        <v>32</v>
      </c>
      <c r="H1663" t="s">
        <v>47343</v>
      </c>
      <c r="I1663" t="s">
        <v>32</v>
      </c>
      <c r="J1663" t="s">
        <v>37</v>
      </c>
      <c r="K1663">
        <v>10090</v>
      </c>
      <c r="L1663" s="3" t="str">
        <f>HYPERLINK(CONCATENATE("https://www.uniprot.org/uniprotkb/", AG1663, "/entry"), AG1663)</f>
        <v>D3Z0M9</v>
      </c>
      <c r="M1663" t="s">
        <v>32</v>
      </c>
      <c r="N1663" t="s">
        <v>32</v>
      </c>
      <c r="O1663" s="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t="s">
        <v>32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t="s">
        <v>46835</v>
      </c>
      <c r="AG1663" t="s">
        <v>46917</v>
      </c>
    </row>
    <row r="1664" spans="1:33" x14ac:dyDescent="0.2">
      <c r="A1664">
        <v>1659</v>
      </c>
      <c r="B1664" t="s">
        <v>19424</v>
      </c>
      <c r="C1664" t="s">
        <v>19425</v>
      </c>
      <c r="D1664" t="s">
        <v>19426</v>
      </c>
      <c r="E1664" t="s">
        <v>19427</v>
      </c>
      <c r="F1664" t="s">
        <v>19428</v>
      </c>
      <c r="G1664" t="s">
        <v>19429</v>
      </c>
      <c r="H1664" t="str">
        <f>"Sh3bgrl"</f>
        <v>Sh3bgrl</v>
      </c>
      <c r="I1664" t="s">
        <v>32</v>
      </c>
      <c r="J1664" t="s">
        <v>37</v>
      </c>
      <c r="K1664">
        <v>10090</v>
      </c>
      <c r="L1664" s="3" t="str">
        <f>HYPERLINK("http://www.uniprot.org/uniprot/Q9JJU8", "Q9JJU8")</f>
        <v>Q9JJU8</v>
      </c>
      <c r="M1664" t="s">
        <v>19430</v>
      </c>
      <c r="N1664" t="str">
        <f>"Sh3bgrl"</f>
        <v>Sh3bgrl</v>
      </c>
      <c r="O1664" s="3" t="str">
        <f>HYPERLINK("http://www.informatics.jax.org/marker/MGI:1930849", "MGI:1930849")</f>
        <v>MGI:1930849</v>
      </c>
      <c r="P1664" t="s">
        <v>19431</v>
      </c>
      <c r="Q1664" t="s">
        <v>32</v>
      </c>
      <c r="R1664" t="s">
        <v>222</v>
      </c>
      <c r="S1664" t="s">
        <v>32</v>
      </c>
      <c r="T1664" t="s">
        <v>32</v>
      </c>
      <c r="U1664" t="s">
        <v>32</v>
      </c>
      <c r="V1664" t="s">
        <v>7861</v>
      </c>
      <c r="W1664" t="s">
        <v>32</v>
      </c>
      <c r="X1664" t="s">
        <v>32</v>
      </c>
      <c r="Y1664" t="s">
        <v>32</v>
      </c>
      <c r="Z1664" t="s">
        <v>32</v>
      </c>
      <c r="AA1664" t="s">
        <v>19432</v>
      </c>
      <c r="AB1664" t="s">
        <v>32</v>
      </c>
      <c r="AC1664" t="s">
        <v>19433</v>
      </c>
      <c r="AD1664" t="s">
        <v>32</v>
      </c>
      <c r="AE1664" t="s">
        <v>32</v>
      </c>
      <c r="AF1664" t="s">
        <v>46835</v>
      </c>
    </row>
    <row r="1665" spans="1:33" x14ac:dyDescent="0.2">
      <c r="A1665">
        <v>1660</v>
      </c>
      <c r="B1665" t="s">
        <v>19434</v>
      </c>
      <c r="C1665" t="s">
        <v>19435</v>
      </c>
      <c r="D1665" t="s">
        <v>32</v>
      </c>
      <c r="E1665" t="s">
        <v>19436</v>
      </c>
      <c r="F1665" t="s">
        <v>19437</v>
      </c>
      <c r="G1665" t="s">
        <v>19438</v>
      </c>
      <c r="H1665" t="str">
        <f>"Faf1"</f>
        <v>Faf1</v>
      </c>
      <c r="I1665" t="s">
        <v>32</v>
      </c>
      <c r="J1665" t="s">
        <v>37</v>
      </c>
      <c r="K1665">
        <v>10090</v>
      </c>
      <c r="L1665" s="3" t="str">
        <f>HYPERLINK("http://www.uniprot.org/uniprot/P54731", "P54731")</f>
        <v>P54731</v>
      </c>
      <c r="M1665" t="s">
        <v>19439</v>
      </c>
      <c r="N1665" t="str">
        <f>"Faf1"</f>
        <v>Faf1</v>
      </c>
      <c r="O1665" s="3" t="str">
        <f>HYPERLINK("http://www.informatics.jax.org/marker/MGI:109419", "MGI:109419")</f>
        <v>MGI:109419</v>
      </c>
      <c r="P1665" t="s">
        <v>19440</v>
      </c>
      <c r="Q1665" t="s">
        <v>541</v>
      </c>
      <c r="R1665" t="s">
        <v>2279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32</v>
      </c>
      <c r="Y1665" t="s">
        <v>618</v>
      </c>
      <c r="Z1665" t="s">
        <v>32</v>
      </c>
      <c r="AA1665" t="s">
        <v>19441</v>
      </c>
      <c r="AB1665" t="s">
        <v>19442</v>
      </c>
      <c r="AC1665" t="s">
        <v>19443</v>
      </c>
      <c r="AD1665" t="s">
        <v>32</v>
      </c>
      <c r="AE1665" t="s">
        <v>32</v>
      </c>
      <c r="AF1665" t="s">
        <v>46835</v>
      </c>
    </row>
    <row r="1666" spans="1:33" x14ac:dyDescent="0.2">
      <c r="A1666">
        <v>1661</v>
      </c>
      <c r="B1666" t="s">
        <v>19444</v>
      </c>
      <c r="C1666" t="s">
        <v>19445</v>
      </c>
      <c r="D1666" t="s">
        <v>19446</v>
      </c>
      <c r="E1666" t="s">
        <v>19447</v>
      </c>
      <c r="F1666" t="s">
        <v>19448</v>
      </c>
      <c r="G1666" t="s">
        <v>19449</v>
      </c>
      <c r="H1666" t="str">
        <f>"Gclc"</f>
        <v>Gclc</v>
      </c>
      <c r="I1666" t="s">
        <v>19450</v>
      </c>
      <c r="J1666" t="s">
        <v>37</v>
      </c>
      <c r="K1666">
        <v>10090</v>
      </c>
      <c r="L1666" s="3" t="str">
        <f>HYPERLINK("http://www.uniprot.org/uniprot/P97494", "P97494")</f>
        <v>P97494</v>
      </c>
      <c r="M1666" t="s">
        <v>19451</v>
      </c>
      <c r="N1666" t="str">
        <f>"Gclc"</f>
        <v>Gclc</v>
      </c>
      <c r="O1666" s="3" t="str">
        <f>HYPERLINK("http://www.informatics.jax.org/marker/MGI:104990", "MGI:104990")</f>
        <v>MGI:104990</v>
      </c>
      <c r="P1666" t="s">
        <v>19452</v>
      </c>
      <c r="Q1666" t="s">
        <v>1265</v>
      </c>
      <c r="R1666" t="s">
        <v>32</v>
      </c>
      <c r="S1666" t="s">
        <v>32</v>
      </c>
      <c r="T1666" t="s">
        <v>32</v>
      </c>
      <c r="U1666" t="s">
        <v>32</v>
      </c>
      <c r="V1666" t="s">
        <v>32</v>
      </c>
      <c r="W1666" t="s">
        <v>205</v>
      </c>
      <c r="X1666" t="s">
        <v>1022</v>
      </c>
      <c r="Y1666" t="s">
        <v>157</v>
      </c>
      <c r="Z1666" t="s">
        <v>32</v>
      </c>
      <c r="AA1666" t="s">
        <v>19453</v>
      </c>
      <c r="AB1666" t="s">
        <v>19454</v>
      </c>
      <c r="AC1666" t="s">
        <v>19455</v>
      </c>
      <c r="AD1666" t="s">
        <v>19456</v>
      </c>
      <c r="AE1666" t="s">
        <v>1271</v>
      </c>
      <c r="AF1666" t="s">
        <v>46835</v>
      </c>
    </row>
    <row r="1667" spans="1:33" x14ac:dyDescent="0.2">
      <c r="A1667">
        <v>1662</v>
      </c>
      <c r="B1667" t="s">
        <v>19457</v>
      </c>
      <c r="C1667" t="s">
        <v>19458</v>
      </c>
      <c r="D1667" t="s">
        <v>19459</v>
      </c>
      <c r="E1667" t="s">
        <v>19460</v>
      </c>
      <c r="F1667" t="s">
        <v>19461</v>
      </c>
      <c r="G1667" t="s">
        <v>19462</v>
      </c>
      <c r="H1667" t="str">
        <f>"Cbx1"</f>
        <v>Cbx1</v>
      </c>
      <c r="I1667" t="s">
        <v>19463</v>
      </c>
      <c r="J1667" t="s">
        <v>37</v>
      </c>
      <c r="K1667">
        <v>10090</v>
      </c>
      <c r="L1667" s="3" t="str">
        <f>HYPERLINK("http://www.uniprot.org/uniprot/P83917", "P83917")</f>
        <v>P83917</v>
      </c>
      <c r="M1667" t="s">
        <v>19464</v>
      </c>
      <c r="N1667" t="str">
        <f>"Cbx1"</f>
        <v>Cbx1</v>
      </c>
      <c r="O1667" s="3" t="str">
        <f>HYPERLINK("http://www.informatics.jax.org/marker/MGI:105369", "MGI:105369")</f>
        <v>MGI:105369</v>
      </c>
      <c r="P1667" t="s">
        <v>19465</v>
      </c>
      <c r="Q1667" t="s">
        <v>32</v>
      </c>
      <c r="R1667" t="s">
        <v>2279</v>
      </c>
      <c r="S1667" t="s">
        <v>32</v>
      </c>
      <c r="T1667" t="s">
        <v>32</v>
      </c>
      <c r="U1667" t="s">
        <v>32</v>
      </c>
      <c r="V1667" t="s">
        <v>55</v>
      </c>
      <c r="W1667" t="s">
        <v>32</v>
      </c>
      <c r="X1667" t="s">
        <v>32</v>
      </c>
      <c r="Y1667" t="s">
        <v>1007</v>
      </c>
      <c r="Z1667" t="s">
        <v>126</v>
      </c>
      <c r="AA1667" t="s">
        <v>7398</v>
      </c>
      <c r="AB1667" t="s">
        <v>19466</v>
      </c>
      <c r="AC1667" t="s">
        <v>19467</v>
      </c>
      <c r="AD1667" t="s">
        <v>32</v>
      </c>
      <c r="AE1667" t="s">
        <v>32</v>
      </c>
      <c r="AF1667" t="s">
        <v>46835</v>
      </c>
    </row>
    <row r="1668" spans="1:33" x14ac:dyDescent="0.2">
      <c r="A1668">
        <v>1663</v>
      </c>
      <c r="B1668" t="s">
        <v>19468</v>
      </c>
      <c r="C1668" t="s">
        <v>19469</v>
      </c>
      <c r="D1668" t="s">
        <v>19470</v>
      </c>
      <c r="E1668" t="s">
        <v>19471</v>
      </c>
      <c r="F1668" t="s">
        <v>19472</v>
      </c>
      <c r="G1668" t="s">
        <v>19473</v>
      </c>
      <c r="H1668" t="str">
        <f>"Fermt2"</f>
        <v>Fermt2</v>
      </c>
      <c r="I1668" t="s">
        <v>19474</v>
      </c>
      <c r="J1668" t="s">
        <v>37</v>
      </c>
      <c r="K1668">
        <v>10090</v>
      </c>
      <c r="L1668" s="3" t="str">
        <f>HYPERLINK("http://www.uniprot.org/uniprot/Q8CIB5", "Q8CIB5")</f>
        <v>Q8CIB5</v>
      </c>
      <c r="M1668" t="s">
        <v>19475</v>
      </c>
      <c r="N1668" t="str">
        <f>"Fermt2"</f>
        <v>Fermt2</v>
      </c>
      <c r="O1668" s="3" t="str">
        <f>HYPERLINK("http://www.informatics.jax.org/marker/MGI:2385001", "MGI:2385001")</f>
        <v>MGI:2385001</v>
      </c>
      <c r="P1668" t="s">
        <v>19476</v>
      </c>
      <c r="Q1668" t="s">
        <v>19477</v>
      </c>
      <c r="R1668" t="s">
        <v>8935</v>
      </c>
      <c r="S1668" t="s">
        <v>32</v>
      </c>
      <c r="T1668" t="s">
        <v>32</v>
      </c>
      <c r="U1668" t="s">
        <v>32</v>
      </c>
      <c r="V1668" t="s">
        <v>32</v>
      </c>
      <c r="W1668" t="s">
        <v>584</v>
      </c>
      <c r="X1668" t="s">
        <v>32</v>
      </c>
      <c r="Y1668" t="s">
        <v>618</v>
      </c>
      <c r="Z1668" t="s">
        <v>126</v>
      </c>
      <c r="AA1668" t="s">
        <v>19478</v>
      </c>
      <c r="AB1668" t="s">
        <v>19479</v>
      </c>
      <c r="AC1668" t="s">
        <v>19480</v>
      </c>
      <c r="AD1668" t="s">
        <v>32</v>
      </c>
      <c r="AE1668" t="s">
        <v>19481</v>
      </c>
      <c r="AF1668" t="s">
        <v>46835</v>
      </c>
    </row>
    <row r="1669" spans="1:33" x14ac:dyDescent="0.2">
      <c r="A1669">
        <v>1664</v>
      </c>
      <c r="B1669" t="s">
        <v>19482</v>
      </c>
      <c r="C1669" t="s">
        <v>47176</v>
      </c>
      <c r="D1669" t="s">
        <v>32</v>
      </c>
      <c r="E1669" t="s">
        <v>46920</v>
      </c>
      <c r="F1669" t="s">
        <v>46919</v>
      </c>
      <c r="G1669" t="s">
        <v>32</v>
      </c>
      <c r="H1669" t="s">
        <v>47307</v>
      </c>
      <c r="I1669" t="s">
        <v>32</v>
      </c>
      <c r="J1669" t="s">
        <v>37</v>
      </c>
      <c r="K1669">
        <v>10090</v>
      </c>
      <c r="L1669" s="3" t="str">
        <f>HYPERLINK(CONCATENATE("https://www.uniprot.org/uniprotkb/", AG1669, "/entry"), AG1669)</f>
        <v>F8VQ05</v>
      </c>
      <c r="M1669" t="s">
        <v>32</v>
      </c>
      <c r="N1669" t="s">
        <v>32</v>
      </c>
      <c r="O1669" s="3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t="s">
        <v>46835</v>
      </c>
      <c r="AG1669" t="s">
        <v>46919</v>
      </c>
    </row>
    <row r="1670" spans="1:33" x14ac:dyDescent="0.2">
      <c r="A1670">
        <v>1665</v>
      </c>
      <c r="B1670" t="s">
        <v>19483</v>
      </c>
      <c r="C1670" t="s">
        <v>19484</v>
      </c>
      <c r="D1670" t="s">
        <v>19485</v>
      </c>
      <c r="E1670" t="s">
        <v>19486</v>
      </c>
      <c r="F1670" t="s">
        <v>19487</v>
      </c>
      <c r="G1670" t="s">
        <v>32</v>
      </c>
      <c r="H1670" t="str">
        <f>"Ndufa6"</f>
        <v>Ndufa6</v>
      </c>
      <c r="I1670" t="s">
        <v>32</v>
      </c>
      <c r="J1670" t="s">
        <v>37</v>
      </c>
      <c r="K1670">
        <v>10090</v>
      </c>
      <c r="L1670" s="3" t="str">
        <f>HYPERLINK("http://www.uniprot.org/uniprot/Q9CQZ5", "Q9CQZ5")</f>
        <v>Q9CQZ5</v>
      </c>
      <c r="M1670" t="s">
        <v>19488</v>
      </c>
      <c r="N1670" t="str">
        <f>"Ndufa6"</f>
        <v>Ndufa6</v>
      </c>
      <c r="O1670" s="3" t="str">
        <f>HYPERLINK("http://www.informatics.jax.org/marker/MGI:1914380", "MGI:1914380")</f>
        <v>MGI:1914380</v>
      </c>
      <c r="P1670" t="s">
        <v>19489</v>
      </c>
      <c r="Q1670" t="s">
        <v>6888</v>
      </c>
      <c r="R1670" t="s">
        <v>3858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t="s">
        <v>126</v>
      </c>
      <c r="AA1670" t="s">
        <v>19490</v>
      </c>
      <c r="AB1670" t="s">
        <v>19491</v>
      </c>
      <c r="AC1670" t="s">
        <v>32</v>
      </c>
      <c r="AD1670" t="s">
        <v>32</v>
      </c>
      <c r="AE1670" t="s">
        <v>10470</v>
      </c>
      <c r="AF1670" t="s">
        <v>46835</v>
      </c>
    </row>
    <row r="1671" spans="1:33" x14ac:dyDescent="0.2">
      <c r="A1671">
        <v>1666</v>
      </c>
      <c r="B1671" t="s">
        <v>19492</v>
      </c>
      <c r="C1671" t="s">
        <v>19493</v>
      </c>
      <c r="D1671" t="s">
        <v>19494</v>
      </c>
      <c r="E1671" t="s">
        <v>19495</v>
      </c>
      <c r="F1671" t="s">
        <v>19496</v>
      </c>
      <c r="G1671" t="s">
        <v>19497</v>
      </c>
      <c r="H1671" t="str">
        <f>"Uchl3"</f>
        <v>Uchl3</v>
      </c>
      <c r="I1671" t="s">
        <v>32</v>
      </c>
      <c r="J1671" t="s">
        <v>37</v>
      </c>
      <c r="K1671">
        <v>10090</v>
      </c>
      <c r="L1671" s="3" t="str">
        <f>HYPERLINK("http://www.uniprot.org/uniprot/Q9JKB1", "Q9JKB1")</f>
        <v>Q9JKB1</v>
      </c>
      <c r="M1671" t="s">
        <v>19498</v>
      </c>
      <c r="N1671" t="str">
        <f>"Uchl3"</f>
        <v>Uchl3</v>
      </c>
      <c r="O1671" s="3" t="str">
        <f>HYPERLINK("http://www.informatics.jax.org/marker/MGI:1355274", "MGI:1355274")</f>
        <v>MGI:1355274</v>
      </c>
      <c r="P1671" t="s">
        <v>19499</v>
      </c>
      <c r="Q1671" t="s">
        <v>1020</v>
      </c>
      <c r="R1671" t="s">
        <v>418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557</v>
      </c>
      <c r="Y1671" t="s">
        <v>618</v>
      </c>
      <c r="Z1671" t="s">
        <v>32</v>
      </c>
      <c r="AA1671" t="s">
        <v>19500</v>
      </c>
      <c r="AB1671" t="s">
        <v>2364</v>
      </c>
      <c r="AC1671" t="s">
        <v>19501</v>
      </c>
      <c r="AD1671" t="s">
        <v>32</v>
      </c>
      <c r="AE1671" t="s">
        <v>19502</v>
      </c>
      <c r="AF1671" t="s">
        <v>46835</v>
      </c>
    </row>
    <row r="1672" spans="1:33" x14ac:dyDescent="0.2">
      <c r="A1672">
        <v>1667</v>
      </c>
      <c r="B1672" t="s">
        <v>19503</v>
      </c>
      <c r="C1672" t="s">
        <v>19504</v>
      </c>
      <c r="D1672" t="s">
        <v>19505</v>
      </c>
      <c r="E1672" t="s">
        <v>19506</v>
      </c>
      <c r="F1672" t="s">
        <v>19507</v>
      </c>
      <c r="G1672" t="s">
        <v>32</v>
      </c>
      <c r="H1672" t="str">
        <f>"Nt5c"</f>
        <v>Nt5c</v>
      </c>
      <c r="I1672" t="s">
        <v>19508</v>
      </c>
      <c r="J1672" t="s">
        <v>37</v>
      </c>
      <c r="K1672">
        <v>10090</v>
      </c>
      <c r="L1672" s="3" t="str">
        <f>HYPERLINK("http://www.uniprot.org/uniprot/Q9JM14", "Q9JM14")</f>
        <v>Q9JM14</v>
      </c>
      <c r="M1672" t="s">
        <v>19509</v>
      </c>
      <c r="N1672" t="str">
        <f>"Nt5c"</f>
        <v>Nt5c</v>
      </c>
      <c r="O1672" s="3" t="str">
        <f>HYPERLINK("http://www.informatics.jax.org/marker/MGI:1354954", "MGI:1354954")</f>
        <v>MGI:1354954</v>
      </c>
      <c r="P1672" t="s">
        <v>19510</v>
      </c>
      <c r="Q1672" t="s">
        <v>7123</v>
      </c>
      <c r="R1672" t="s">
        <v>418</v>
      </c>
      <c r="S1672" t="s">
        <v>32</v>
      </c>
      <c r="T1672" t="s">
        <v>32</v>
      </c>
      <c r="U1672" t="s">
        <v>32</v>
      </c>
      <c r="V1672" t="s">
        <v>32</v>
      </c>
      <c r="W1672" t="s">
        <v>14807</v>
      </c>
      <c r="X1672" t="s">
        <v>343</v>
      </c>
      <c r="Y1672" t="s">
        <v>618</v>
      </c>
      <c r="Z1672" t="s">
        <v>126</v>
      </c>
      <c r="AA1672" t="s">
        <v>19511</v>
      </c>
      <c r="AB1672" t="s">
        <v>1655</v>
      </c>
      <c r="AC1672" t="s">
        <v>19512</v>
      </c>
      <c r="AD1672" t="s">
        <v>32</v>
      </c>
      <c r="AE1672" t="s">
        <v>19513</v>
      </c>
      <c r="AF1672" t="s">
        <v>46835</v>
      </c>
    </row>
    <row r="1673" spans="1:33" x14ac:dyDescent="0.2">
      <c r="A1673">
        <v>1668</v>
      </c>
      <c r="B1673" t="s">
        <v>19514</v>
      </c>
      <c r="C1673" t="s">
        <v>19515</v>
      </c>
      <c r="D1673" t="s">
        <v>32</v>
      </c>
      <c r="E1673" t="s">
        <v>19516</v>
      </c>
      <c r="F1673" t="s">
        <v>19517</v>
      </c>
      <c r="G1673" t="s">
        <v>19518</v>
      </c>
      <c r="H1673" t="str">
        <f>"Pdxdc1"</f>
        <v>Pdxdc1</v>
      </c>
      <c r="I1673" t="s">
        <v>32</v>
      </c>
      <c r="J1673" t="s">
        <v>37</v>
      </c>
      <c r="K1673">
        <v>10090</v>
      </c>
      <c r="L1673" s="3" t="str">
        <f>HYPERLINK("http://www.uniprot.org/uniprot/Q99K01", "Q99K01")</f>
        <v>Q99K01</v>
      </c>
      <c r="M1673" t="s">
        <v>19519</v>
      </c>
      <c r="N1673" t="str">
        <f>"Pdxdc1"</f>
        <v>Pdxdc1</v>
      </c>
      <c r="O1673" s="3" t="str">
        <f>HYPERLINK("http://www.informatics.jax.org/marker/MGI:1920909", "MGI:1920909")</f>
        <v>MGI:1920909</v>
      </c>
      <c r="P1673" t="s">
        <v>19520</v>
      </c>
      <c r="Q1673" t="s">
        <v>32</v>
      </c>
      <c r="R1673" t="s">
        <v>32</v>
      </c>
      <c r="S1673" t="s">
        <v>41</v>
      </c>
      <c r="T1673" t="s">
        <v>32</v>
      </c>
      <c r="U1673" t="s">
        <v>32</v>
      </c>
      <c r="V1673" t="s">
        <v>32</v>
      </c>
      <c r="W1673" t="s">
        <v>3373</v>
      </c>
      <c r="X1673" t="s">
        <v>19521</v>
      </c>
      <c r="Y1673" t="s">
        <v>618</v>
      </c>
      <c r="Z1673" t="s">
        <v>32</v>
      </c>
      <c r="AA1673" t="s">
        <v>19522</v>
      </c>
      <c r="AB1673" t="s">
        <v>19523</v>
      </c>
      <c r="AC1673" t="s">
        <v>19524</v>
      </c>
      <c r="AD1673" t="s">
        <v>32</v>
      </c>
      <c r="AE1673" t="s">
        <v>32</v>
      </c>
      <c r="AF1673" t="s">
        <v>46835</v>
      </c>
    </row>
    <row r="1674" spans="1:33" x14ac:dyDescent="0.2">
      <c r="A1674">
        <v>1669</v>
      </c>
      <c r="B1674" t="s">
        <v>19525</v>
      </c>
      <c r="C1674" t="s">
        <v>19526</v>
      </c>
      <c r="D1674" t="s">
        <v>19527</v>
      </c>
      <c r="E1674" t="s">
        <v>19528</v>
      </c>
      <c r="F1674" t="s">
        <v>19529</v>
      </c>
      <c r="G1674" t="s">
        <v>19530</v>
      </c>
      <c r="H1674" t="str">
        <f>"Sart1"</f>
        <v>Sart1</v>
      </c>
      <c r="I1674" t="s">
        <v>19531</v>
      </c>
      <c r="J1674" t="s">
        <v>37</v>
      </c>
      <c r="K1674">
        <v>10090</v>
      </c>
      <c r="L1674" s="3" t="str">
        <f>HYPERLINK("http://www.uniprot.org/uniprot/Q9Z315", "Q9Z315")</f>
        <v>Q9Z315</v>
      </c>
      <c r="M1674" t="s">
        <v>19532</v>
      </c>
      <c r="N1674" t="str">
        <f>"Sart1"</f>
        <v>Sart1</v>
      </c>
      <c r="O1674" s="3" t="str">
        <f>HYPERLINK("http://www.informatics.jax.org/marker/MGI:1309453", "MGI:1309453")</f>
        <v>MGI:1309453</v>
      </c>
      <c r="P1674" t="s">
        <v>19533</v>
      </c>
      <c r="Q1674" t="s">
        <v>2139</v>
      </c>
      <c r="R1674" t="s">
        <v>2140</v>
      </c>
      <c r="S1674" t="s">
        <v>32</v>
      </c>
      <c r="T1674" t="s">
        <v>32</v>
      </c>
      <c r="U1674" t="s">
        <v>32</v>
      </c>
      <c r="V1674" t="s">
        <v>290</v>
      </c>
      <c r="W1674" t="s">
        <v>32</v>
      </c>
      <c r="X1674" t="s">
        <v>32</v>
      </c>
      <c r="Y1674" t="s">
        <v>1007</v>
      </c>
      <c r="Z1674" t="s">
        <v>32</v>
      </c>
      <c r="AA1674" t="s">
        <v>19534</v>
      </c>
      <c r="AB1674" t="s">
        <v>19535</v>
      </c>
      <c r="AC1674" t="s">
        <v>32</v>
      </c>
      <c r="AD1674" t="s">
        <v>32</v>
      </c>
      <c r="AE1674" t="s">
        <v>946</v>
      </c>
      <c r="AF1674" t="s">
        <v>46835</v>
      </c>
    </row>
    <row r="1675" spans="1:33" x14ac:dyDescent="0.2">
      <c r="A1675">
        <v>1670</v>
      </c>
      <c r="B1675" t="s">
        <v>19536</v>
      </c>
      <c r="C1675" t="s">
        <v>19537</v>
      </c>
      <c r="D1675" t="s">
        <v>32</v>
      </c>
      <c r="E1675" t="s">
        <v>19538</v>
      </c>
      <c r="F1675" t="s">
        <v>19539</v>
      </c>
      <c r="G1675" t="s">
        <v>19540</v>
      </c>
      <c r="H1675" t="str">
        <f>"Rpl22l1"</f>
        <v>Rpl22l1</v>
      </c>
      <c r="I1675" t="s">
        <v>32</v>
      </c>
      <c r="J1675" t="s">
        <v>37</v>
      </c>
      <c r="K1675">
        <v>10090</v>
      </c>
      <c r="L1675" s="3" t="str">
        <f>HYPERLINK("http://www.uniprot.org/uniprot/Q9D7S7", "Q9D7S7")</f>
        <v>Q9D7S7</v>
      </c>
      <c r="M1675" t="s">
        <v>19541</v>
      </c>
      <c r="N1675" t="str">
        <f>"Rpl22l1"</f>
        <v>Rpl22l1</v>
      </c>
      <c r="O1675" s="3" t="str">
        <f>HYPERLINK("http://www.informatics.jax.org/marker/MGI:1915278", "MGI:1915278")</f>
        <v>MGI:1915278</v>
      </c>
      <c r="P1675" t="s">
        <v>19542</v>
      </c>
      <c r="Q1675" t="s">
        <v>32</v>
      </c>
      <c r="R1675" t="s">
        <v>32</v>
      </c>
      <c r="S1675" t="s">
        <v>41</v>
      </c>
      <c r="T1675" t="s">
        <v>32</v>
      </c>
      <c r="U1675" t="s">
        <v>32</v>
      </c>
      <c r="V1675" t="s">
        <v>32</v>
      </c>
      <c r="W1675" t="s">
        <v>32</v>
      </c>
      <c r="X1675" t="s">
        <v>447</v>
      </c>
      <c r="Y1675" t="s">
        <v>618</v>
      </c>
      <c r="Z1675" t="s">
        <v>32</v>
      </c>
      <c r="AA1675" t="s">
        <v>1405</v>
      </c>
      <c r="AB1675" t="s">
        <v>19543</v>
      </c>
      <c r="AC1675" t="s">
        <v>1056</v>
      </c>
      <c r="AD1675" t="s">
        <v>32</v>
      </c>
      <c r="AE1675" t="s">
        <v>765</v>
      </c>
      <c r="AF1675" t="s">
        <v>46835</v>
      </c>
    </row>
    <row r="1676" spans="1:33" x14ac:dyDescent="0.2">
      <c r="A1676">
        <v>1671</v>
      </c>
      <c r="B1676" t="s">
        <v>19544</v>
      </c>
      <c r="C1676" t="s">
        <v>19545</v>
      </c>
      <c r="D1676" t="s">
        <v>32</v>
      </c>
      <c r="E1676" t="s">
        <v>19546</v>
      </c>
      <c r="F1676" t="s">
        <v>19547</v>
      </c>
      <c r="G1676" t="s">
        <v>19548</v>
      </c>
      <c r="H1676" t="str">
        <f>"Lrrc40"</f>
        <v>Lrrc40</v>
      </c>
      <c r="I1676" t="s">
        <v>32</v>
      </c>
      <c r="J1676" t="s">
        <v>37</v>
      </c>
      <c r="K1676">
        <v>10090</v>
      </c>
      <c r="L1676" s="3" t="str">
        <f>HYPERLINK("http://www.uniprot.org/uniprot/Q9CRC8", "Q9CRC8")</f>
        <v>Q9CRC8</v>
      </c>
      <c r="M1676" t="s">
        <v>19549</v>
      </c>
      <c r="N1676" t="str">
        <f>"Lrrc40"</f>
        <v>Lrrc40</v>
      </c>
      <c r="O1676" s="3" t="str">
        <f>HYPERLINK("http://www.informatics.jax.org/marker/MGI:1914394", "MGI:1914394")</f>
        <v>MGI:1914394</v>
      </c>
      <c r="P1676" t="s">
        <v>19550</v>
      </c>
      <c r="Q1676" t="s">
        <v>32</v>
      </c>
      <c r="R1676" t="s">
        <v>32</v>
      </c>
      <c r="S1676" t="s">
        <v>32</v>
      </c>
      <c r="T1676" t="s">
        <v>32</v>
      </c>
      <c r="U1676" t="s">
        <v>32</v>
      </c>
      <c r="V1676" t="s">
        <v>2701</v>
      </c>
      <c r="W1676" t="s">
        <v>32</v>
      </c>
      <c r="X1676" t="s">
        <v>32</v>
      </c>
      <c r="Y1676" t="s">
        <v>618</v>
      </c>
      <c r="Z1676" t="s">
        <v>32</v>
      </c>
      <c r="AA1676" t="s">
        <v>19551</v>
      </c>
      <c r="AB1676" t="s">
        <v>19552</v>
      </c>
      <c r="AC1676" t="s">
        <v>19553</v>
      </c>
      <c r="AD1676" t="s">
        <v>32</v>
      </c>
      <c r="AE1676" t="s">
        <v>32</v>
      </c>
      <c r="AF1676" t="s">
        <v>46835</v>
      </c>
    </row>
    <row r="1677" spans="1:33" x14ac:dyDescent="0.2">
      <c r="A1677">
        <v>1672</v>
      </c>
      <c r="B1677" t="s">
        <v>19554</v>
      </c>
      <c r="C1677" t="s">
        <v>19555</v>
      </c>
      <c r="D1677" t="s">
        <v>32</v>
      </c>
      <c r="E1677" t="s">
        <v>19556</v>
      </c>
      <c r="F1677" t="s">
        <v>19557</v>
      </c>
      <c r="G1677" t="s">
        <v>19558</v>
      </c>
      <c r="H1677" t="str">
        <f>"Gak"</f>
        <v>Gak</v>
      </c>
      <c r="I1677" t="s">
        <v>32</v>
      </c>
      <c r="J1677" t="s">
        <v>37</v>
      </c>
      <c r="K1677">
        <v>10090</v>
      </c>
      <c r="L1677" s="3" t="str">
        <f>HYPERLINK("http://www.uniprot.org/uniprot/Q99KY4", "Q99KY4")</f>
        <v>Q99KY4</v>
      </c>
      <c r="M1677" t="s">
        <v>19559</v>
      </c>
      <c r="N1677" t="str">
        <f>"Gak"</f>
        <v>Gak</v>
      </c>
      <c r="O1677" s="3" t="str">
        <f>HYPERLINK("http://www.informatics.jax.org/marker/MGI:2442153", "MGI:2442153")</f>
        <v>MGI:2442153</v>
      </c>
      <c r="P1677" t="s">
        <v>19560</v>
      </c>
      <c r="Q1677" t="s">
        <v>9824</v>
      </c>
      <c r="R1677" t="s">
        <v>19561</v>
      </c>
      <c r="S1677" t="s">
        <v>41</v>
      </c>
      <c r="T1677" t="s">
        <v>32</v>
      </c>
      <c r="U1677" t="s">
        <v>32</v>
      </c>
      <c r="V1677" t="s">
        <v>32</v>
      </c>
      <c r="W1677" t="s">
        <v>205</v>
      </c>
      <c r="X1677" t="s">
        <v>5419</v>
      </c>
      <c r="Y1677" t="s">
        <v>97</v>
      </c>
      <c r="Z1677" t="s">
        <v>32</v>
      </c>
      <c r="AA1677" t="s">
        <v>19562</v>
      </c>
      <c r="AB1677" t="s">
        <v>19563</v>
      </c>
      <c r="AC1677" t="s">
        <v>19564</v>
      </c>
      <c r="AD1677" t="s">
        <v>32</v>
      </c>
      <c r="AE1677" t="s">
        <v>19565</v>
      </c>
      <c r="AF1677" t="s">
        <v>46835</v>
      </c>
    </row>
    <row r="1678" spans="1:33" x14ac:dyDescent="0.2">
      <c r="A1678">
        <v>1673</v>
      </c>
      <c r="B1678" t="s">
        <v>19566</v>
      </c>
      <c r="C1678" t="s">
        <v>19567</v>
      </c>
      <c r="D1678" t="s">
        <v>19568</v>
      </c>
      <c r="E1678" t="s">
        <v>19569</v>
      </c>
      <c r="F1678" t="s">
        <v>19570</v>
      </c>
      <c r="G1678" t="s">
        <v>19571</v>
      </c>
      <c r="H1678" t="str">
        <f>"Cops7a"</f>
        <v>Cops7a</v>
      </c>
      <c r="I1678" t="s">
        <v>19572</v>
      </c>
      <c r="J1678" t="s">
        <v>37</v>
      </c>
      <c r="K1678">
        <v>10090</v>
      </c>
      <c r="L1678" s="3" t="str">
        <f>HYPERLINK("http://www.uniprot.org/uniprot/Q9CZ04", "Q9CZ04")</f>
        <v>Q9CZ04</v>
      </c>
      <c r="M1678" t="s">
        <v>19573</v>
      </c>
      <c r="N1678" t="str">
        <f>"Cops7a"</f>
        <v>Cops7a</v>
      </c>
      <c r="O1678" s="3" t="str">
        <f>HYPERLINK("http://www.informatics.jax.org/marker/MGI:1349400", "MGI:1349400")</f>
        <v>MGI:1349400</v>
      </c>
      <c r="P1678" t="s">
        <v>19574</v>
      </c>
      <c r="Q1678" t="s">
        <v>32</v>
      </c>
      <c r="R1678" t="s">
        <v>7411</v>
      </c>
      <c r="S1678" t="s">
        <v>41</v>
      </c>
      <c r="T1678" t="s">
        <v>32</v>
      </c>
      <c r="U1678" t="s">
        <v>32</v>
      </c>
      <c r="V1678" t="s">
        <v>290</v>
      </c>
      <c r="W1678" t="s">
        <v>32</v>
      </c>
      <c r="X1678" t="s">
        <v>32</v>
      </c>
      <c r="Y1678" t="s">
        <v>157</v>
      </c>
      <c r="Z1678" t="s">
        <v>32</v>
      </c>
      <c r="AA1678" t="s">
        <v>19575</v>
      </c>
      <c r="AB1678" t="s">
        <v>11734</v>
      </c>
      <c r="AC1678" t="s">
        <v>32</v>
      </c>
      <c r="AD1678" t="s">
        <v>32</v>
      </c>
      <c r="AE1678" t="s">
        <v>10543</v>
      </c>
      <c r="AF1678" t="s">
        <v>46835</v>
      </c>
    </row>
    <row r="1679" spans="1:33" x14ac:dyDescent="0.2">
      <c r="A1679">
        <v>1674</v>
      </c>
      <c r="B1679" t="s">
        <v>19576</v>
      </c>
      <c r="C1679" t="s">
        <v>19577</v>
      </c>
      <c r="D1679" t="s">
        <v>19578</v>
      </c>
      <c r="E1679" t="s">
        <v>19579</v>
      </c>
      <c r="F1679" t="s">
        <v>19580</v>
      </c>
      <c r="G1679" t="s">
        <v>19581</v>
      </c>
      <c r="H1679" t="str">
        <f>"Myo18a"</f>
        <v>Myo18a</v>
      </c>
      <c r="I1679" t="s">
        <v>19582</v>
      </c>
      <c r="J1679" t="s">
        <v>37</v>
      </c>
      <c r="K1679">
        <v>10090</v>
      </c>
      <c r="L1679" s="3" t="str">
        <f>HYPERLINK("http://www.uniprot.org/uniprot/Q9JMH9", "Q9JMH9")</f>
        <v>Q9JMH9</v>
      </c>
      <c r="M1679" t="s">
        <v>19583</v>
      </c>
      <c r="N1679" t="str">
        <f>"Myo18a"</f>
        <v>Myo18a</v>
      </c>
      <c r="O1679" s="3" t="str">
        <f>HYPERLINK("http://www.informatics.jax.org/marker/MGI:2667185", "MGI:2667185")</f>
        <v>MGI:2667185</v>
      </c>
      <c r="P1679" t="s">
        <v>19584</v>
      </c>
      <c r="Q1679" t="s">
        <v>32</v>
      </c>
      <c r="R1679" t="s">
        <v>19585</v>
      </c>
      <c r="S1679" t="s">
        <v>41</v>
      </c>
      <c r="T1679" t="s">
        <v>32</v>
      </c>
      <c r="U1679" t="s">
        <v>32</v>
      </c>
      <c r="V1679" t="s">
        <v>290</v>
      </c>
      <c r="W1679" t="s">
        <v>205</v>
      </c>
      <c r="X1679" t="s">
        <v>19586</v>
      </c>
      <c r="Y1679" t="s">
        <v>618</v>
      </c>
      <c r="Z1679" t="s">
        <v>32</v>
      </c>
      <c r="AA1679" t="s">
        <v>19587</v>
      </c>
      <c r="AB1679" t="s">
        <v>19588</v>
      </c>
      <c r="AC1679" t="s">
        <v>19589</v>
      </c>
      <c r="AD1679" t="s">
        <v>32</v>
      </c>
      <c r="AE1679" t="s">
        <v>32</v>
      </c>
      <c r="AF1679" t="s">
        <v>46835</v>
      </c>
    </row>
    <row r="1680" spans="1:33" x14ac:dyDescent="0.2">
      <c r="A1680">
        <v>1675</v>
      </c>
      <c r="B1680" t="s">
        <v>19590</v>
      </c>
      <c r="C1680" t="s">
        <v>19591</v>
      </c>
      <c r="D1680" t="s">
        <v>19592</v>
      </c>
      <c r="E1680" t="s">
        <v>19593</v>
      </c>
      <c r="F1680" t="s">
        <v>19594</v>
      </c>
      <c r="G1680" t="s">
        <v>19595</v>
      </c>
      <c r="H1680" t="str">
        <f>"Maoa"</f>
        <v>Maoa</v>
      </c>
      <c r="I1680" t="s">
        <v>32</v>
      </c>
      <c r="J1680" t="s">
        <v>37</v>
      </c>
      <c r="K1680">
        <v>10090</v>
      </c>
      <c r="L1680" s="3" t="str">
        <f>HYPERLINK("http://www.uniprot.org/uniprot/Q64133", "Q64133")</f>
        <v>Q64133</v>
      </c>
      <c r="M1680" t="s">
        <v>19596</v>
      </c>
      <c r="N1680" t="str">
        <f>"Maoa"</f>
        <v>Maoa</v>
      </c>
      <c r="O1680" s="3" t="str">
        <f>HYPERLINK("http://www.informatics.jax.org/marker/MGI:96915", "MGI:96915")</f>
        <v>MGI:96915</v>
      </c>
      <c r="P1680" t="s">
        <v>19597</v>
      </c>
      <c r="Q1680" t="s">
        <v>19598</v>
      </c>
      <c r="R1680" t="s">
        <v>4782</v>
      </c>
      <c r="S1680" t="s">
        <v>32</v>
      </c>
      <c r="T1680" t="s">
        <v>32</v>
      </c>
      <c r="U1680" t="s">
        <v>32</v>
      </c>
      <c r="V1680" t="s">
        <v>493</v>
      </c>
      <c r="W1680" t="s">
        <v>4600</v>
      </c>
      <c r="X1680" t="s">
        <v>600</v>
      </c>
      <c r="Y1680" t="s">
        <v>157</v>
      </c>
      <c r="Z1680" t="s">
        <v>32</v>
      </c>
      <c r="AA1680" t="s">
        <v>19599</v>
      </c>
      <c r="AB1680" t="s">
        <v>19600</v>
      </c>
      <c r="AC1680" t="s">
        <v>19601</v>
      </c>
      <c r="AD1680" t="s">
        <v>32</v>
      </c>
      <c r="AE1680" t="s">
        <v>19602</v>
      </c>
      <c r="AF1680" t="s">
        <v>46835</v>
      </c>
    </row>
    <row r="1681" spans="1:32" x14ac:dyDescent="0.2">
      <c r="A1681">
        <v>1676</v>
      </c>
      <c r="B1681" t="s">
        <v>19603</v>
      </c>
      <c r="C1681" t="s">
        <v>19604</v>
      </c>
      <c r="D1681" t="s">
        <v>19605</v>
      </c>
      <c r="E1681" t="s">
        <v>19606</v>
      </c>
      <c r="F1681" t="s">
        <v>19607</v>
      </c>
      <c r="G1681" t="s">
        <v>19608</v>
      </c>
      <c r="H1681" t="str">
        <f>"Alg2"</f>
        <v>Alg2</v>
      </c>
      <c r="I1681" t="s">
        <v>32</v>
      </c>
      <c r="J1681" t="s">
        <v>37</v>
      </c>
      <c r="K1681">
        <v>10090</v>
      </c>
      <c r="L1681" s="3" t="str">
        <f>HYPERLINK("http://www.uniprot.org/uniprot/Q9DBE8", "Q9DBE8")</f>
        <v>Q9DBE8</v>
      </c>
      <c r="M1681" t="s">
        <v>19609</v>
      </c>
      <c r="N1681" t="str">
        <f>"Alg2"</f>
        <v>Alg2</v>
      </c>
      <c r="O1681" s="3" t="str">
        <f>HYPERLINK("http://www.informatics.jax.org/marker/MGI:1914731", "MGI:1914731")</f>
        <v>MGI:1914731</v>
      </c>
      <c r="P1681" t="s">
        <v>19610</v>
      </c>
      <c r="Q1681" t="s">
        <v>32</v>
      </c>
      <c r="R1681" t="s">
        <v>5989</v>
      </c>
      <c r="S1681" t="s">
        <v>32</v>
      </c>
      <c r="T1681" t="s">
        <v>32</v>
      </c>
      <c r="U1681" t="s">
        <v>32</v>
      </c>
      <c r="V1681" t="s">
        <v>493</v>
      </c>
      <c r="W1681" t="s">
        <v>32</v>
      </c>
      <c r="X1681" t="s">
        <v>2362</v>
      </c>
      <c r="Y1681" t="s">
        <v>32</v>
      </c>
      <c r="Z1681" t="s">
        <v>32</v>
      </c>
      <c r="AA1681" t="s">
        <v>19611</v>
      </c>
      <c r="AB1681" t="s">
        <v>19612</v>
      </c>
      <c r="AC1681" t="s">
        <v>19613</v>
      </c>
      <c r="AD1681" t="s">
        <v>3952</v>
      </c>
      <c r="AE1681" t="s">
        <v>19614</v>
      </c>
      <c r="AF1681" t="s">
        <v>46835</v>
      </c>
    </row>
    <row r="1682" spans="1:32" x14ac:dyDescent="0.2">
      <c r="A1682">
        <v>1677</v>
      </c>
      <c r="B1682" t="s">
        <v>19615</v>
      </c>
      <c r="C1682" t="s">
        <v>19616</v>
      </c>
      <c r="D1682" t="s">
        <v>19617</v>
      </c>
      <c r="E1682" t="s">
        <v>19618</v>
      </c>
      <c r="F1682" t="s">
        <v>19619</v>
      </c>
      <c r="G1682" t="s">
        <v>19620</v>
      </c>
      <c r="H1682" t="str">
        <f>"Sf1"</f>
        <v>Sf1</v>
      </c>
      <c r="I1682" t="s">
        <v>19621</v>
      </c>
      <c r="J1682" t="s">
        <v>37</v>
      </c>
      <c r="K1682">
        <v>10090</v>
      </c>
      <c r="L1682" s="3" t="str">
        <f>HYPERLINK("http://www.uniprot.org/uniprot/Q64213", "Q64213")</f>
        <v>Q64213</v>
      </c>
      <c r="M1682" t="s">
        <v>19622</v>
      </c>
      <c r="N1682" t="str">
        <f>"Sf1"</f>
        <v>Sf1</v>
      </c>
      <c r="O1682" s="3" t="str">
        <f>HYPERLINK("http://www.informatics.jax.org/marker/MGI:1095403", "MGI:1095403")</f>
        <v>MGI:1095403</v>
      </c>
      <c r="P1682" t="s">
        <v>19623</v>
      </c>
      <c r="Q1682" t="s">
        <v>1348</v>
      </c>
      <c r="R1682" t="s">
        <v>2140</v>
      </c>
      <c r="S1682" t="s">
        <v>41</v>
      </c>
      <c r="T1682" t="s">
        <v>32</v>
      </c>
      <c r="U1682" t="s">
        <v>32</v>
      </c>
      <c r="V1682" t="s">
        <v>446</v>
      </c>
      <c r="W1682" t="s">
        <v>42</v>
      </c>
      <c r="X1682" t="s">
        <v>9766</v>
      </c>
      <c r="Y1682" t="s">
        <v>157</v>
      </c>
      <c r="Z1682" t="s">
        <v>32</v>
      </c>
      <c r="AA1682" t="s">
        <v>19624</v>
      </c>
      <c r="AB1682" t="s">
        <v>19625</v>
      </c>
      <c r="AC1682" t="s">
        <v>19626</v>
      </c>
      <c r="AD1682" t="s">
        <v>32</v>
      </c>
      <c r="AE1682" t="s">
        <v>32</v>
      </c>
      <c r="AF1682" t="s">
        <v>46835</v>
      </c>
    </row>
    <row r="1683" spans="1:32" x14ac:dyDescent="0.2">
      <c r="A1683">
        <v>1678</v>
      </c>
      <c r="B1683" t="s">
        <v>19627</v>
      </c>
      <c r="C1683" t="s">
        <v>19628</v>
      </c>
      <c r="D1683" t="s">
        <v>19629</v>
      </c>
      <c r="E1683" t="s">
        <v>19630</v>
      </c>
      <c r="F1683" t="s">
        <v>19631</v>
      </c>
      <c r="G1683" t="s">
        <v>19632</v>
      </c>
      <c r="H1683" t="str">
        <f>"Gaa"</f>
        <v>Gaa</v>
      </c>
      <c r="I1683" t="s">
        <v>32</v>
      </c>
      <c r="J1683" t="s">
        <v>37</v>
      </c>
      <c r="K1683">
        <v>10090</v>
      </c>
      <c r="L1683" s="3" t="str">
        <f>HYPERLINK("http://www.uniprot.org/uniprot/P70699", "P70699")</f>
        <v>P70699</v>
      </c>
      <c r="M1683" t="s">
        <v>19633</v>
      </c>
      <c r="N1683" t="str">
        <f>"Gaa"</f>
        <v>Gaa</v>
      </c>
      <c r="O1683" s="3" t="str">
        <f>HYPERLINK("http://www.informatics.jax.org/marker/MGI:95609", "MGI:95609")</f>
        <v>MGI:95609</v>
      </c>
      <c r="P1683" t="s">
        <v>19634</v>
      </c>
      <c r="Q1683" t="s">
        <v>32</v>
      </c>
      <c r="R1683" t="s">
        <v>19635</v>
      </c>
      <c r="S1683" t="s">
        <v>32</v>
      </c>
      <c r="T1683" t="s">
        <v>32</v>
      </c>
      <c r="U1683" t="s">
        <v>32</v>
      </c>
      <c r="V1683" t="s">
        <v>811</v>
      </c>
      <c r="W1683" t="s">
        <v>32</v>
      </c>
      <c r="X1683" t="s">
        <v>4316</v>
      </c>
      <c r="Y1683" t="s">
        <v>5275</v>
      </c>
      <c r="Z1683" t="s">
        <v>32</v>
      </c>
      <c r="AA1683" t="s">
        <v>19636</v>
      </c>
      <c r="AB1683" t="s">
        <v>19637</v>
      </c>
      <c r="AC1683" t="s">
        <v>19638</v>
      </c>
      <c r="AD1683" t="s">
        <v>32</v>
      </c>
      <c r="AE1683" t="s">
        <v>6549</v>
      </c>
      <c r="AF1683" t="s">
        <v>46835</v>
      </c>
    </row>
    <row r="1684" spans="1:32" x14ac:dyDescent="0.2">
      <c r="A1684">
        <v>1679</v>
      </c>
      <c r="B1684" t="s">
        <v>19639</v>
      </c>
      <c r="C1684" t="s">
        <v>19640</v>
      </c>
      <c r="D1684" t="s">
        <v>19641</v>
      </c>
      <c r="E1684" t="s">
        <v>19642</v>
      </c>
      <c r="F1684" t="s">
        <v>19643</v>
      </c>
      <c r="G1684" t="s">
        <v>19644</v>
      </c>
      <c r="H1684" t="str">
        <f>"Tmx1"</f>
        <v>Tmx1</v>
      </c>
      <c r="I1684" t="s">
        <v>19645</v>
      </c>
      <c r="J1684" t="s">
        <v>37</v>
      </c>
      <c r="K1684">
        <v>10090</v>
      </c>
      <c r="L1684" s="3" t="str">
        <f>HYPERLINK("http://www.uniprot.org/uniprot/Q8VBT0", "Q8VBT0")</f>
        <v>Q8VBT0</v>
      </c>
      <c r="M1684" t="s">
        <v>19646</v>
      </c>
      <c r="N1684" t="str">
        <f>"Tmx1"</f>
        <v>Tmx1</v>
      </c>
      <c r="O1684" s="3" t="str">
        <f>HYPERLINK("http://www.informatics.jax.org/marker/MGI:1919986", "MGI:1919986")</f>
        <v>MGI:1919986</v>
      </c>
      <c r="P1684" t="s">
        <v>19647</v>
      </c>
      <c r="Q1684" t="s">
        <v>4599</v>
      </c>
      <c r="R1684" t="s">
        <v>1664</v>
      </c>
      <c r="S1684" t="s">
        <v>32</v>
      </c>
      <c r="T1684" t="s">
        <v>32</v>
      </c>
      <c r="U1684" t="s">
        <v>32</v>
      </c>
      <c r="V1684" t="s">
        <v>19648</v>
      </c>
      <c r="W1684" t="s">
        <v>32</v>
      </c>
      <c r="X1684" t="s">
        <v>32</v>
      </c>
      <c r="Y1684" t="s">
        <v>2080</v>
      </c>
      <c r="Z1684" t="s">
        <v>32</v>
      </c>
      <c r="AA1684" t="s">
        <v>19649</v>
      </c>
      <c r="AB1684" t="s">
        <v>19650</v>
      </c>
      <c r="AC1684" t="s">
        <v>19651</v>
      </c>
      <c r="AD1684" t="s">
        <v>32</v>
      </c>
      <c r="AE1684" t="s">
        <v>32</v>
      </c>
      <c r="AF1684" t="s">
        <v>46835</v>
      </c>
    </row>
    <row r="1685" spans="1:32" x14ac:dyDescent="0.2">
      <c r="A1685">
        <v>1680</v>
      </c>
      <c r="B1685" t="s">
        <v>19652</v>
      </c>
      <c r="C1685" t="s">
        <v>19653</v>
      </c>
      <c r="D1685" t="s">
        <v>19654</v>
      </c>
      <c r="E1685" t="s">
        <v>19655</v>
      </c>
      <c r="F1685" t="s">
        <v>19656</v>
      </c>
      <c r="G1685" t="s">
        <v>19657</v>
      </c>
      <c r="H1685" t="str">
        <f>"Capn1"</f>
        <v>Capn1</v>
      </c>
      <c r="I1685" t="s">
        <v>32</v>
      </c>
      <c r="J1685" t="s">
        <v>37</v>
      </c>
      <c r="K1685">
        <v>10090</v>
      </c>
      <c r="L1685" s="3" t="str">
        <f>HYPERLINK("http://www.uniprot.org/uniprot/O35350", "O35350")</f>
        <v>O35350</v>
      </c>
      <c r="M1685" t="s">
        <v>19658</v>
      </c>
      <c r="N1685" t="str">
        <f>"Capn1"</f>
        <v>Capn1</v>
      </c>
      <c r="O1685" s="3" t="str">
        <f>HYPERLINK("http://www.informatics.jax.org/marker/MGI:88263", "MGI:88263")</f>
        <v>MGI:88263</v>
      </c>
      <c r="P1685" t="s">
        <v>19659</v>
      </c>
      <c r="Q1685" t="s">
        <v>32</v>
      </c>
      <c r="R1685" t="s">
        <v>222</v>
      </c>
      <c r="S1685" t="s">
        <v>32</v>
      </c>
      <c r="T1685" t="s">
        <v>32</v>
      </c>
      <c r="U1685" t="s">
        <v>32</v>
      </c>
      <c r="V1685" t="s">
        <v>55</v>
      </c>
      <c r="W1685" t="s">
        <v>188</v>
      </c>
      <c r="X1685" t="s">
        <v>557</v>
      </c>
      <c r="Y1685" t="s">
        <v>19660</v>
      </c>
      <c r="Z1685" t="s">
        <v>32</v>
      </c>
      <c r="AA1685" t="s">
        <v>19661</v>
      </c>
      <c r="AB1685" t="s">
        <v>19662</v>
      </c>
      <c r="AC1685" t="s">
        <v>19663</v>
      </c>
      <c r="AD1685" t="s">
        <v>32</v>
      </c>
      <c r="AE1685" t="s">
        <v>19664</v>
      </c>
      <c r="AF1685" t="s">
        <v>46835</v>
      </c>
    </row>
    <row r="1686" spans="1:32" x14ac:dyDescent="0.2">
      <c r="A1686">
        <v>1681</v>
      </c>
      <c r="B1686" t="s">
        <v>19665</v>
      </c>
      <c r="C1686" t="s">
        <v>19666</v>
      </c>
      <c r="D1686" t="s">
        <v>19667</v>
      </c>
      <c r="E1686" t="s">
        <v>19668</v>
      </c>
      <c r="F1686" t="s">
        <v>19669</v>
      </c>
      <c r="G1686" t="s">
        <v>19670</v>
      </c>
      <c r="H1686" t="str">
        <f>"Bpgm"</f>
        <v>Bpgm</v>
      </c>
      <c r="I1686" t="s">
        <v>32</v>
      </c>
      <c r="J1686" t="s">
        <v>37</v>
      </c>
      <c r="K1686">
        <v>10090</v>
      </c>
      <c r="L1686" s="3" t="str">
        <f>HYPERLINK("http://www.uniprot.org/uniprot/P15327", "P15327")</f>
        <v>P15327</v>
      </c>
      <c r="M1686" t="s">
        <v>19671</v>
      </c>
      <c r="N1686" t="str">
        <f>"Bpgm"</f>
        <v>Bpgm</v>
      </c>
      <c r="O1686" s="3" t="str">
        <f>HYPERLINK("http://www.informatics.jax.org/marker/MGI:1098242", "MGI:1098242")</f>
        <v>MGI:1098242</v>
      </c>
      <c r="P1686" t="s">
        <v>1590</v>
      </c>
      <c r="Q1686" t="s">
        <v>221</v>
      </c>
      <c r="R1686" t="s">
        <v>32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1591</v>
      </c>
      <c r="Y1686" t="s">
        <v>157</v>
      </c>
      <c r="Z1686" t="s">
        <v>32</v>
      </c>
      <c r="AA1686" t="s">
        <v>19672</v>
      </c>
      <c r="AB1686" t="s">
        <v>32</v>
      </c>
      <c r="AC1686" t="s">
        <v>19673</v>
      </c>
      <c r="AD1686" t="s">
        <v>32</v>
      </c>
      <c r="AE1686" t="s">
        <v>9647</v>
      </c>
      <c r="AF1686" t="s">
        <v>46835</v>
      </c>
    </row>
    <row r="1687" spans="1:32" x14ac:dyDescent="0.2">
      <c r="A1687">
        <v>1682</v>
      </c>
      <c r="B1687" t="s">
        <v>19674</v>
      </c>
      <c r="C1687" t="s">
        <v>19675</v>
      </c>
      <c r="D1687" t="s">
        <v>19676</v>
      </c>
      <c r="E1687" t="s">
        <v>19677</v>
      </c>
      <c r="F1687" t="s">
        <v>19678</v>
      </c>
      <c r="G1687" t="s">
        <v>19679</v>
      </c>
      <c r="H1687" t="str">
        <f>"Lima1"</f>
        <v>Lima1</v>
      </c>
      <c r="I1687" t="s">
        <v>19680</v>
      </c>
      <c r="J1687" t="s">
        <v>37</v>
      </c>
      <c r="K1687">
        <v>10090</v>
      </c>
      <c r="L1687" s="3" t="str">
        <f>HYPERLINK("http://www.uniprot.org/uniprot/Q9ERG0", "Q9ERG0")</f>
        <v>Q9ERG0</v>
      </c>
      <c r="M1687" t="s">
        <v>19681</v>
      </c>
      <c r="N1687" t="str">
        <f>"Lima1"</f>
        <v>Lima1</v>
      </c>
      <c r="O1687" s="3" t="str">
        <f>HYPERLINK("http://www.informatics.jax.org/marker/MGI:1920992", "MGI:1920992")</f>
        <v>MGI:1920992</v>
      </c>
      <c r="P1687" t="s">
        <v>19682</v>
      </c>
      <c r="Q1687" t="s">
        <v>10505</v>
      </c>
      <c r="R1687" t="s">
        <v>647</v>
      </c>
      <c r="S1687" t="s">
        <v>10616</v>
      </c>
      <c r="T1687" t="s">
        <v>32</v>
      </c>
      <c r="U1687" t="s">
        <v>32</v>
      </c>
      <c r="V1687" t="s">
        <v>5575</v>
      </c>
      <c r="W1687" t="s">
        <v>42</v>
      </c>
      <c r="X1687" t="s">
        <v>405</v>
      </c>
      <c r="Y1687" t="s">
        <v>157</v>
      </c>
      <c r="Z1687" t="s">
        <v>32</v>
      </c>
      <c r="AA1687" t="s">
        <v>19683</v>
      </c>
      <c r="AB1687" t="s">
        <v>19684</v>
      </c>
      <c r="AC1687" t="s">
        <v>19685</v>
      </c>
      <c r="AD1687" t="s">
        <v>32</v>
      </c>
      <c r="AE1687" t="s">
        <v>32</v>
      </c>
      <c r="AF1687" t="s">
        <v>46835</v>
      </c>
    </row>
    <row r="1688" spans="1:32" x14ac:dyDescent="0.2">
      <c r="A1688">
        <v>1683</v>
      </c>
      <c r="B1688" t="s">
        <v>19686</v>
      </c>
      <c r="C1688" t="s">
        <v>19687</v>
      </c>
      <c r="D1688" t="s">
        <v>19688</v>
      </c>
      <c r="E1688" t="s">
        <v>19689</v>
      </c>
      <c r="F1688" t="s">
        <v>19690</v>
      </c>
      <c r="G1688" t="s">
        <v>19691</v>
      </c>
      <c r="H1688" t="str">
        <f>"Cdc23"</f>
        <v>Cdc23</v>
      </c>
      <c r="I1688" t="s">
        <v>19692</v>
      </c>
      <c r="J1688" t="s">
        <v>37</v>
      </c>
      <c r="K1688">
        <v>10090</v>
      </c>
      <c r="L1688" s="3" t="str">
        <f>HYPERLINK("http://www.uniprot.org/uniprot/Q8BGZ4", "Q8BGZ4")</f>
        <v>Q8BGZ4</v>
      </c>
      <c r="M1688" t="s">
        <v>19693</v>
      </c>
      <c r="N1688" t="str">
        <f>"Cdc23"</f>
        <v>Cdc23</v>
      </c>
      <c r="O1688" s="3" t="str">
        <f>HYPERLINK("http://www.informatics.jax.org/marker/MGI:1098815", "MGI:1098815")</f>
        <v>MGI:1098815</v>
      </c>
      <c r="P1688" t="s">
        <v>19694</v>
      </c>
      <c r="Q1688" t="s">
        <v>19695</v>
      </c>
      <c r="R1688" t="s">
        <v>32</v>
      </c>
      <c r="S1688" t="s">
        <v>41</v>
      </c>
      <c r="T1688" t="s">
        <v>32</v>
      </c>
      <c r="U1688" t="s">
        <v>32</v>
      </c>
      <c r="V1688" t="s">
        <v>995</v>
      </c>
      <c r="W1688" t="s">
        <v>32</v>
      </c>
      <c r="X1688" t="s">
        <v>32</v>
      </c>
      <c r="Y1688" t="s">
        <v>516</v>
      </c>
      <c r="Z1688" t="s">
        <v>32</v>
      </c>
      <c r="AA1688" t="s">
        <v>19696</v>
      </c>
      <c r="AB1688" t="s">
        <v>19697</v>
      </c>
      <c r="AC1688" t="s">
        <v>32</v>
      </c>
      <c r="AD1688" t="s">
        <v>1027</v>
      </c>
      <c r="AE1688" t="s">
        <v>19698</v>
      </c>
      <c r="AF1688" t="s">
        <v>46835</v>
      </c>
    </row>
    <row r="1689" spans="1:32" x14ac:dyDescent="0.2">
      <c r="A1689">
        <v>1684</v>
      </c>
      <c r="B1689" t="s">
        <v>19699</v>
      </c>
      <c r="C1689" t="s">
        <v>19700</v>
      </c>
      <c r="D1689" t="s">
        <v>32</v>
      </c>
      <c r="E1689" t="s">
        <v>19701</v>
      </c>
      <c r="F1689" t="s">
        <v>19702</v>
      </c>
      <c r="G1689" t="s">
        <v>19703</v>
      </c>
      <c r="H1689" t="str">
        <f>"Clic4"</f>
        <v>Clic4</v>
      </c>
      <c r="I1689" t="s">
        <v>32</v>
      </c>
      <c r="J1689" t="s">
        <v>37</v>
      </c>
      <c r="K1689">
        <v>10090</v>
      </c>
      <c r="L1689" s="3" t="str">
        <f>HYPERLINK("http://www.uniprot.org/uniprot/Q9QYB1", "Q9QYB1")</f>
        <v>Q9QYB1</v>
      </c>
      <c r="M1689" t="s">
        <v>19704</v>
      </c>
      <c r="N1689" t="str">
        <f>"Clic4"</f>
        <v>Clic4</v>
      </c>
      <c r="O1689" s="3" t="str">
        <f>HYPERLINK("http://www.informatics.jax.org/marker/MGI:1352754", "MGI:1352754")</f>
        <v>MGI:1352754</v>
      </c>
      <c r="P1689" t="s">
        <v>19705</v>
      </c>
      <c r="Q1689" t="s">
        <v>6326</v>
      </c>
      <c r="R1689" t="s">
        <v>19706</v>
      </c>
      <c r="S1689" t="s">
        <v>32</v>
      </c>
      <c r="T1689" t="s">
        <v>32</v>
      </c>
      <c r="U1689" t="s">
        <v>32</v>
      </c>
      <c r="V1689" t="s">
        <v>493</v>
      </c>
      <c r="W1689" t="s">
        <v>7618</v>
      </c>
      <c r="X1689" t="s">
        <v>7619</v>
      </c>
      <c r="Y1689" t="s">
        <v>157</v>
      </c>
      <c r="Z1689" t="s">
        <v>32</v>
      </c>
      <c r="AA1689" t="s">
        <v>19707</v>
      </c>
      <c r="AB1689" t="s">
        <v>19708</v>
      </c>
      <c r="AC1689" t="s">
        <v>19709</v>
      </c>
      <c r="AD1689" t="s">
        <v>32</v>
      </c>
      <c r="AE1689" t="s">
        <v>32</v>
      </c>
      <c r="AF1689" t="s">
        <v>46835</v>
      </c>
    </row>
    <row r="1690" spans="1:32" x14ac:dyDescent="0.2">
      <c r="A1690">
        <v>1685</v>
      </c>
      <c r="B1690" t="s">
        <v>19710</v>
      </c>
      <c r="C1690" t="s">
        <v>19711</v>
      </c>
      <c r="D1690" t="s">
        <v>19712</v>
      </c>
      <c r="E1690" t="s">
        <v>19713</v>
      </c>
      <c r="F1690" t="s">
        <v>19714</v>
      </c>
      <c r="G1690" t="s">
        <v>19715</v>
      </c>
      <c r="H1690" t="str">
        <f>"Arhgef7"</f>
        <v>Arhgef7</v>
      </c>
      <c r="I1690" t="s">
        <v>19716</v>
      </c>
      <c r="J1690" t="s">
        <v>37</v>
      </c>
      <c r="K1690">
        <v>10090</v>
      </c>
      <c r="L1690" s="3" t="str">
        <f>HYPERLINK("http://www.uniprot.org/uniprot/Q9ES28", "Q9ES28")</f>
        <v>Q9ES28</v>
      </c>
      <c r="M1690" t="s">
        <v>19717</v>
      </c>
      <c r="N1690" t="str">
        <f>"Arhgef7"</f>
        <v>Arhgef7</v>
      </c>
      <c r="O1690" s="3" t="str">
        <f>HYPERLINK("http://www.informatics.jax.org/marker/MGI:1860493", "MGI:1860493")</f>
        <v>MGI:1860493</v>
      </c>
      <c r="P1690" t="s">
        <v>19718</v>
      </c>
      <c r="Q1690" t="s">
        <v>1429</v>
      </c>
      <c r="R1690" t="s">
        <v>5156</v>
      </c>
      <c r="S1690" t="s">
        <v>8503</v>
      </c>
      <c r="T1690" t="s">
        <v>32</v>
      </c>
      <c r="U1690" t="s">
        <v>32</v>
      </c>
      <c r="V1690" t="s">
        <v>1606</v>
      </c>
      <c r="W1690" t="s">
        <v>32</v>
      </c>
      <c r="X1690" t="s">
        <v>5011</v>
      </c>
      <c r="Y1690" t="s">
        <v>618</v>
      </c>
      <c r="Z1690" t="s">
        <v>126</v>
      </c>
      <c r="AA1690" t="s">
        <v>19719</v>
      </c>
      <c r="AB1690" t="s">
        <v>19720</v>
      </c>
      <c r="AC1690" t="s">
        <v>19721</v>
      </c>
      <c r="AD1690" t="s">
        <v>32</v>
      </c>
      <c r="AE1690" t="s">
        <v>19722</v>
      </c>
      <c r="AF1690" t="s">
        <v>46835</v>
      </c>
    </row>
    <row r="1691" spans="1:32" x14ac:dyDescent="0.2">
      <c r="A1691">
        <v>1686</v>
      </c>
      <c r="B1691" t="s">
        <v>19723</v>
      </c>
      <c r="C1691" t="s">
        <v>19724</v>
      </c>
      <c r="D1691" t="s">
        <v>19725</v>
      </c>
      <c r="E1691" t="s">
        <v>19726</v>
      </c>
      <c r="F1691" t="s">
        <v>19727</v>
      </c>
      <c r="G1691" t="s">
        <v>19728</v>
      </c>
      <c r="H1691" t="str">
        <f>"Srpk2"</f>
        <v>Srpk2</v>
      </c>
      <c r="I1691" t="s">
        <v>32</v>
      </c>
      <c r="J1691" t="s">
        <v>37</v>
      </c>
      <c r="K1691">
        <v>10090</v>
      </c>
      <c r="L1691" s="3" t="str">
        <f>HYPERLINK("http://www.uniprot.org/uniprot/O54781", "O54781")</f>
        <v>O54781</v>
      </c>
      <c r="M1691" t="s">
        <v>19729</v>
      </c>
      <c r="N1691" t="str">
        <f>"Srpk2"</f>
        <v>Srpk2</v>
      </c>
      <c r="O1691" s="3" t="str">
        <f>HYPERLINK("http://www.informatics.jax.org/marker/MGI:1201408", "MGI:1201408")</f>
        <v>MGI:1201408</v>
      </c>
      <c r="P1691" t="s">
        <v>19730</v>
      </c>
      <c r="Q1691" t="s">
        <v>19731</v>
      </c>
      <c r="R1691" t="s">
        <v>8375</v>
      </c>
      <c r="S1691" t="s">
        <v>32</v>
      </c>
      <c r="T1691" t="s">
        <v>32</v>
      </c>
      <c r="U1691" t="s">
        <v>32</v>
      </c>
      <c r="V1691" t="s">
        <v>32</v>
      </c>
      <c r="W1691" t="s">
        <v>205</v>
      </c>
      <c r="X1691" t="s">
        <v>5419</v>
      </c>
      <c r="Y1691" t="s">
        <v>618</v>
      </c>
      <c r="Z1691" t="s">
        <v>32</v>
      </c>
      <c r="AA1691" t="s">
        <v>19732</v>
      </c>
      <c r="AB1691" t="s">
        <v>19733</v>
      </c>
      <c r="AC1691" t="s">
        <v>19734</v>
      </c>
      <c r="AD1691" t="s">
        <v>32</v>
      </c>
      <c r="AE1691" t="s">
        <v>32</v>
      </c>
      <c r="AF1691" t="s">
        <v>46835</v>
      </c>
    </row>
    <row r="1692" spans="1:32" x14ac:dyDescent="0.2">
      <c r="A1692">
        <v>1687</v>
      </c>
      <c r="B1692" t="s">
        <v>19735</v>
      </c>
      <c r="C1692" t="s">
        <v>19736</v>
      </c>
      <c r="D1692" t="s">
        <v>19737</v>
      </c>
      <c r="E1692" t="s">
        <v>19738</v>
      </c>
      <c r="F1692" t="s">
        <v>19739</v>
      </c>
      <c r="G1692" t="s">
        <v>19740</v>
      </c>
      <c r="H1692" t="str">
        <f>"Tomm40"</f>
        <v>Tomm40</v>
      </c>
      <c r="I1692" t="s">
        <v>19741</v>
      </c>
      <c r="J1692" t="s">
        <v>37</v>
      </c>
      <c r="K1692">
        <v>10090</v>
      </c>
      <c r="L1692" s="3" t="str">
        <f>HYPERLINK("http://www.uniprot.org/uniprot/Q9QYA2", "Q9QYA2")</f>
        <v>Q9QYA2</v>
      </c>
      <c r="M1692" t="s">
        <v>19742</v>
      </c>
      <c r="N1692" t="str">
        <f>"Tomm40"</f>
        <v>Tomm40</v>
      </c>
      <c r="O1692" s="3" t="str">
        <f>HYPERLINK("http://www.informatics.jax.org/marker/MGI:1858259", "MGI:1858259")</f>
        <v>MGI:1858259</v>
      </c>
      <c r="P1692" t="s">
        <v>19743</v>
      </c>
      <c r="Q1692" t="s">
        <v>19744</v>
      </c>
      <c r="R1692" t="s">
        <v>4782</v>
      </c>
      <c r="S1692" t="s">
        <v>32</v>
      </c>
      <c r="T1692" t="s">
        <v>32</v>
      </c>
      <c r="U1692" t="s">
        <v>32</v>
      </c>
      <c r="V1692" t="s">
        <v>6327</v>
      </c>
      <c r="W1692" t="s">
        <v>32</v>
      </c>
      <c r="X1692" t="s">
        <v>6329</v>
      </c>
      <c r="Y1692" t="s">
        <v>32</v>
      </c>
      <c r="Z1692" t="s">
        <v>32</v>
      </c>
      <c r="AA1692" t="s">
        <v>19745</v>
      </c>
      <c r="AB1692" t="s">
        <v>19746</v>
      </c>
      <c r="AC1692" t="s">
        <v>19747</v>
      </c>
      <c r="AD1692" t="s">
        <v>32</v>
      </c>
      <c r="AE1692" t="s">
        <v>19748</v>
      </c>
      <c r="AF1692" t="s">
        <v>46835</v>
      </c>
    </row>
    <row r="1693" spans="1:32" x14ac:dyDescent="0.2">
      <c r="A1693">
        <v>1688</v>
      </c>
      <c r="B1693" t="s">
        <v>19749</v>
      </c>
      <c r="C1693" t="s">
        <v>19750</v>
      </c>
      <c r="D1693" t="s">
        <v>19751</v>
      </c>
      <c r="E1693" t="s">
        <v>19752</v>
      </c>
      <c r="F1693" t="s">
        <v>19753</v>
      </c>
      <c r="G1693" t="s">
        <v>19754</v>
      </c>
      <c r="H1693" t="str">
        <f>"Riok3"</f>
        <v>Riok3</v>
      </c>
      <c r="I1693" t="s">
        <v>32</v>
      </c>
      <c r="J1693" t="s">
        <v>37</v>
      </c>
      <c r="K1693">
        <v>10090</v>
      </c>
      <c r="L1693" s="3" t="str">
        <f>HYPERLINK("http://www.uniprot.org/uniprot/Q9DBU3", "Q9DBU3")</f>
        <v>Q9DBU3</v>
      </c>
      <c r="M1693" t="s">
        <v>19755</v>
      </c>
      <c r="N1693" t="str">
        <f>"Riok3"</f>
        <v>Riok3</v>
      </c>
      <c r="O1693" s="3" t="str">
        <f>HYPERLINK("http://www.informatics.jax.org/marker/MGI:1914128", "MGI:1914128")</f>
        <v>MGI:1914128</v>
      </c>
      <c r="P1693" t="s">
        <v>19756</v>
      </c>
      <c r="Q1693" t="s">
        <v>19757</v>
      </c>
      <c r="R1693" t="s">
        <v>418</v>
      </c>
      <c r="S1693" t="s">
        <v>32</v>
      </c>
      <c r="T1693" t="s">
        <v>32</v>
      </c>
      <c r="U1693" t="s">
        <v>32</v>
      </c>
      <c r="V1693" t="s">
        <v>32</v>
      </c>
      <c r="W1693" t="s">
        <v>1266</v>
      </c>
      <c r="X1693" t="s">
        <v>5419</v>
      </c>
      <c r="Y1693" t="s">
        <v>618</v>
      </c>
      <c r="Z1693" t="s">
        <v>32</v>
      </c>
      <c r="AA1693" t="s">
        <v>19758</v>
      </c>
      <c r="AB1693" t="s">
        <v>19759</v>
      </c>
      <c r="AC1693" t="s">
        <v>19760</v>
      </c>
      <c r="AD1693" t="s">
        <v>32</v>
      </c>
      <c r="AE1693" t="s">
        <v>960</v>
      </c>
      <c r="AF1693" t="s">
        <v>46835</v>
      </c>
    </row>
    <row r="1694" spans="1:32" x14ac:dyDescent="0.2">
      <c r="A1694">
        <v>1689</v>
      </c>
      <c r="B1694" t="s">
        <v>19761</v>
      </c>
      <c r="C1694" t="s">
        <v>19762</v>
      </c>
      <c r="D1694" t="s">
        <v>19763</v>
      </c>
      <c r="E1694" t="s">
        <v>19764</v>
      </c>
      <c r="F1694" t="s">
        <v>19765</v>
      </c>
      <c r="G1694" t="s">
        <v>19766</v>
      </c>
      <c r="H1694" t="str">
        <f>"Luc7l3"</f>
        <v>Luc7l3</v>
      </c>
      <c r="I1694" t="s">
        <v>19767</v>
      </c>
      <c r="J1694" t="s">
        <v>37</v>
      </c>
      <c r="K1694">
        <v>10090</v>
      </c>
      <c r="L1694" s="3" t="str">
        <f>HYPERLINK("http://www.uniprot.org/uniprot/Q5SUF2", "Q5SUF2")</f>
        <v>Q5SUF2</v>
      </c>
      <c r="M1694" t="s">
        <v>19768</v>
      </c>
      <c r="N1694" t="str">
        <f>"Luc7l3"</f>
        <v>Luc7l3</v>
      </c>
      <c r="O1694" s="3" t="str">
        <f>HYPERLINK("http://www.informatics.jax.org/marker/MGI:1914934", "MGI:1914934")</f>
        <v>MGI:1914934</v>
      </c>
      <c r="P1694" t="s">
        <v>19769</v>
      </c>
      <c r="Q1694" t="s">
        <v>2139</v>
      </c>
      <c r="R1694" t="s">
        <v>2279</v>
      </c>
      <c r="S1694" t="s">
        <v>41</v>
      </c>
      <c r="T1694" t="s">
        <v>32</v>
      </c>
      <c r="U1694" t="s">
        <v>32</v>
      </c>
      <c r="V1694" t="s">
        <v>290</v>
      </c>
      <c r="W1694" t="s">
        <v>32</v>
      </c>
      <c r="X1694" t="s">
        <v>247</v>
      </c>
      <c r="Y1694" t="s">
        <v>516</v>
      </c>
      <c r="Z1694" t="s">
        <v>32</v>
      </c>
      <c r="AA1694" t="s">
        <v>19770</v>
      </c>
      <c r="AB1694" t="s">
        <v>19771</v>
      </c>
      <c r="AC1694" t="s">
        <v>19772</v>
      </c>
      <c r="AD1694" t="s">
        <v>32</v>
      </c>
      <c r="AE1694" t="s">
        <v>32</v>
      </c>
      <c r="AF1694" t="s">
        <v>46835</v>
      </c>
    </row>
    <row r="1695" spans="1:32" x14ac:dyDescent="0.2">
      <c r="A1695">
        <v>1690</v>
      </c>
      <c r="B1695" t="s">
        <v>19773</v>
      </c>
      <c r="C1695" t="s">
        <v>19774</v>
      </c>
      <c r="D1695" t="s">
        <v>19775</v>
      </c>
      <c r="E1695" t="s">
        <v>19776</v>
      </c>
      <c r="F1695" t="s">
        <v>19777</v>
      </c>
      <c r="G1695" t="s">
        <v>19778</v>
      </c>
      <c r="H1695" t="str">
        <f>"Usp24"</f>
        <v>Usp24</v>
      </c>
      <c r="I1695" t="s">
        <v>32</v>
      </c>
      <c r="J1695" t="s">
        <v>37</v>
      </c>
      <c r="K1695">
        <v>10090</v>
      </c>
      <c r="L1695" s="3" t="str">
        <f>HYPERLINK("http://www.uniprot.org/uniprot/B1AY13", "B1AY13")</f>
        <v>B1AY13</v>
      </c>
      <c r="M1695" t="s">
        <v>19779</v>
      </c>
      <c r="N1695" t="str">
        <f>"Usp24"</f>
        <v>Usp24</v>
      </c>
      <c r="O1695" s="3" t="str">
        <f>HYPERLINK("http://www.informatics.jax.org/marker/MGI:1919936", "MGI:1919936")</f>
        <v>MGI:1919936</v>
      </c>
      <c r="P1695" t="s">
        <v>19780</v>
      </c>
      <c r="Q1695" t="s">
        <v>1020</v>
      </c>
      <c r="R1695" t="s">
        <v>32</v>
      </c>
      <c r="S1695" t="s">
        <v>41</v>
      </c>
      <c r="T1695" t="s">
        <v>32</v>
      </c>
      <c r="U1695" t="s">
        <v>32</v>
      </c>
      <c r="V1695" t="s">
        <v>32</v>
      </c>
      <c r="W1695" t="s">
        <v>32</v>
      </c>
      <c r="X1695" t="s">
        <v>557</v>
      </c>
      <c r="Y1695" t="s">
        <v>618</v>
      </c>
      <c r="Z1695" t="s">
        <v>32</v>
      </c>
      <c r="AA1695" t="s">
        <v>19781</v>
      </c>
      <c r="AB1695" t="s">
        <v>928</v>
      </c>
      <c r="AC1695" t="s">
        <v>19782</v>
      </c>
      <c r="AD1695" t="s">
        <v>32</v>
      </c>
      <c r="AE1695" t="s">
        <v>6333</v>
      </c>
      <c r="AF1695" t="s">
        <v>46835</v>
      </c>
    </row>
    <row r="1696" spans="1:32" x14ac:dyDescent="0.2">
      <c r="A1696">
        <v>1691</v>
      </c>
      <c r="B1696" t="s">
        <v>19783</v>
      </c>
      <c r="C1696" t="s">
        <v>19784</v>
      </c>
      <c r="D1696" t="s">
        <v>19785</v>
      </c>
      <c r="E1696" t="s">
        <v>19786</v>
      </c>
      <c r="F1696" t="s">
        <v>19787</v>
      </c>
      <c r="G1696" t="s">
        <v>19788</v>
      </c>
      <c r="H1696" t="str">
        <f>"Dctn4"</f>
        <v>Dctn4</v>
      </c>
      <c r="I1696" t="s">
        <v>32</v>
      </c>
      <c r="J1696" t="s">
        <v>37</v>
      </c>
      <c r="K1696">
        <v>10090</v>
      </c>
      <c r="L1696" s="3" t="str">
        <f>HYPERLINK("http://www.uniprot.org/uniprot/Q8CBY8", "Q8CBY8")</f>
        <v>Q8CBY8</v>
      </c>
      <c r="M1696" t="s">
        <v>19789</v>
      </c>
      <c r="N1696" t="str">
        <f>"Dctn4"</f>
        <v>Dctn4</v>
      </c>
      <c r="O1696" s="3" t="str">
        <f>HYPERLINK("http://www.informatics.jax.org/marker/MGI:1914915", "MGI:1914915")</f>
        <v>MGI:1914915</v>
      </c>
      <c r="P1696" t="s">
        <v>19790</v>
      </c>
      <c r="Q1696" t="s">
        <v>32</v>
      </c>
      <c r="R1696" t="s">
        <v>186</v>
      </c>
      <c r="S1696" t="s">
        <v>41</v>
      </c>
      <c r="T1696" t="s">
        <v>32</v>
      </c>
      <c r="U1696" t="s">
        <v>32</v>
      </c>
      <c r="V1696" t="s">
        <v>290</v>
      </c>
      <c r="W1696" t="s">
        <v>32</v>
      </c>
      <c r="X1696" t="s">
        <v>32</v>
      </c>
      <c r="Y1696" t="s">
        <v>516</v>
      </c>
      <c r="Z1696" t="s">
        <v>32</v>
      </c>
      <c r="AA1696" t="s">
        <v>32</v>
      </c>
      <c r="AB1696" t="s">
        <v>19791</v>
      </c>
      <c r="AC1696" t="s">
        <v>15446</v>
      </c>
      <c r="AD1696" t="s">
        <v>32</v>
      </c>
      <c r="AE1696" t="s">
        <v>17986</v>
      </c>
      <c r="AF1696" t="s">
        <v>46835</v>
      </c>
    </row>
    <row r="1697" spans="1:32" x14ac:dyDescent="0.2">
      <c r="A1697">
        <v>1692</v>
      </c>
      <c r="B1697" t="s">
        <v>19792</v>
      </c>
      <c r="C1697" t="s">
        <v>19793</v>
      </c>
      <c r="D1697" t="s">
        <v>19794</v>
      </c>
      <c r="E1697" t="s">
        <v>19795</v>
      </c>
      <c r="F1697" t="s">
        <v>19796</v>
      </c>
      <c r="G1697" t="s">
        <v>32</v>
      </c>
      <c r="H1697" t="str">
        <f>"Polr2j"</f>
        <v>Polr2j</v>
      </c>
      <c r="I1697" t="s">
        <v>19797</v>
      </c>
      <c r="J1697" t="s">
        <v>37</v>
      </c>
      <c r="K1697">
        <v>10090</v>
      </c>
      <c r="L1697" s="3" t="str">
        <f>HYPERLINK("http://www.uniprot.org/uniprot/O08740", "O08740")</f>
        <v>O08740</v>
      </c>
      <c r="M1697" t="s">
        <v>19798</v>
      </c>
      <c r="N1697" t="str">
        <f>"Polr2j"</f>
        <v>Polr2j</v>
      </c>
      <c r="O1697" s="3" t="str">
        <f>HYPERLINK("http://www.informatics.jax.org/marker/MGI:109582", "MGI:109582")</f>
        <v>MGI:109582</v>
      </c>
      <c r="P1697" t="s">
        <v>19799</v>
      </c>
      <c r="Q1697" t="s">
        <v>16415</v>
      </c>
      <c r="R1697" t="s">
        <v>19800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32</v>
      </c>
      <c r="Y1697" t="s">
        <v>78</v>
      </c>
      <c r="Z1697" t="s">
        <v>32</v>
      </c>
      <c r="AA1697" t="s">
        <v>32</v>
      </c>
      <c r="AB1697" t="s">
        <v>19801</v>
      </c>
      <c r="AC1697" t="s">
        <v>19802</v>
      </c>
      <c r="AD1697" t="s">
        <v>32</v>
      </c>
      <c r="AE1697" t="s">
        <v>16422</v>
      </c>
      <c r="AF1697" t="s">
        <v>46835</v>
      </c>
    </row>
    <row r="1698" spans="1:32" x14ac:dyDescent="0.2">
      <c r="A1698">
        <v>1693</v>
      </c>
      <c r="B1698" t="s">
        <v>19803</v>
      </c>
      <c r="C1698" t="s">
        <v>19804</v>
      </c>
      <c r="D1698" t="s">
        <v>19805</v>
      </c>
      <c r="E1698" t="s">
        <v>19806</v>
      </c>
      <c r="F1698" t="s">
        <v>19807</v>
      </c>
      <c r="G1698" t="s">
        <v>19808</v>
      </c>
      <c r="H1698" t="str">
        <f>"Ubqln4"</f>
        <v>Ubqln4</v>
      </c>
      <c r="I1698" t="s">
        <v>32</v>
      </c>
      <c r="J1698" t="s">
        <v>37</v>
      </c>
      <c r="K1698">
        <v>10090</v>
      </c>
      <c r="L1698" s="3" t="str">
        <f>HYPERLINK("http://www.uniprot.org/uniprot/Q99NB8", "Q99NB8")</f>
        <v>Q99NB8</v>
      </c>
      <c r="M1698" t="s">
        <v>19809</v>
      </c>
      <c r="N1698" t="str">
        <f>"Ubqln4"</f>
        <v>Ubqln4</v>
      </c>
      <c r="O1698" s="3" t="str">
        <f>HYPERLINK("http://www.informatics.jax.org/marker/MGI:2150152", "MGI:2150152")</f>
        <v>MGI:2150152</v>
      </c>
      <c r="P1698" t="s">
        <v>19810</v>
      </c>
      <c r="Q1698" t="s">
        <v>19811</v>
      </c>
      <c r="R1698" t="s">
        <v>19812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32</v>
      </c>
      <c r="Y1698" t="s">
        <v>1007</v>
      </c>
      <c r="Z1698" t="s">
        <v>126</v>
      </c>
      <c r="AA1698" t="s">
        <v>19813</v>
      </c>
      <c r="AB1698" t="s">
        <v>19814</v>
      </c>
      <c r="AC1698" t="s">
        <v>19815</v>
      </c>
      <c r="AD1698" t="s">
        <v>32</v>
      </c>
      <c r="AE1698" t="s">
        <v>32</v>
      </c>
      <c r="AF1698" t="s">
        <v>46835</v>
      </c>
    </row>
    <row r="1699" spans="1:32" x14ac:dyDescent="0.2">
      <c r="A1699">
        <v>1694</v>
      </c>
      <c r="B1699" t="s">
        <v>19816</v>
      </c>
      <c r="C1699" t="s">
        <v>19817</v>
      </c>
      <c r="D1699" t="s">
        <v>19818</v>
      </c>
      <c r="E1699" t="s">
        <v>19819</v>
      </c>
      <c r="F1699" t="s">
        <v>19820</v>
      </c>
      <c r="G1699" t="s">
        <v>19821</v>
      </c>
      <c r="H1699" t="str">
        <f>"Gatad2b"</f>
        <v>Gatad2b</v>
      </c>
      <c r="I1699" t="s">
        <v>32</v>
      </c>
      <c r="J1699" t="s">
        <v>37</v>
      </c>
      <c r="K1699">
        <v>10090</v>
      </c>
      <c r="L1699" s="3" t="str">
        <f>HYPERLINK("http://www.uniprot.org/uniprot/Q8VHR5", "Q8VHR5")</f>
        <v>Q8VHR5</v>
      </c>
      <c r="M1699" t="s">
        <v>19822</v>
      </c>
      <c r="N1699" t="str">
        <f>"Gatad2b"</f>
        <v>Gatad2b</v>
      </c>
      <c r="O1699" s="3" t="str">
        <f>HYPERLINK("http://www.informatics.jax.org/marker/MGI:2443225", "MGI:2443225")</f>
        <v>MGI:2443225</v>
      </c>
      <c r="P1699" t="s">
        <v>19823</v>
      </c>
      <c r="Q1699" t="s">
        <v>4152</v>
      </c>
      <c r="R1699" t="s">
        <v>2279</v>
      </c>
      <c r="S1699" t="s">
        <v>41</v>
      </c>
      <c r="T1699" t="s">
        <v>32</v>
      </c>
      <c r="U1699" t="s">
        <v>32</v>
      </c>
      <c r="V1699" t="s">
        <v>11171</v>
      </c>
      <c r="W1699" t="s">
        <v>42</v>
      </c>
      <c r="X1699" t="s">
        <v>5195</v>
      </c>
      <c r="Y1699" t="s">
        <v>1007</v>
      </c>
      <c r="Z1699" t="s">
        <v>32</v>
      </c>
      <c r="AA1699" t="s">
        <v>19824</v>
      </c>
      <c r="AB1699" t="s">
        <v>19825</v>
      </c>
      <c r="AC1699" t="s">
        <v>19826</v>
      </c>
      <c r="AD1699" t="s">
        <v>32</v>
      </c>
      <c r="AE1699" t="s">
        <v>19827</v>
      </c>
      <c r="AF1699" t="s">
        <v>46835</v>
      </c>
    </row>
    <row r="1700" spans="1:32" x14ac:dyDescent="0.2">
      <c r="A1700">
        <v>1695</v>
      </c>
      <c r="B1700" t="s">
        <v>19828</v>
      </c>
      <c r="C1700" t="s">
        <v>19829</v>
      </c>
      <c r="D1700" t="s">
        <v>19830</v>
      </c>
      <c r="E1700" t="s">
        <v>19831</v>
      </c>
      <c r="F1700" t="s">
        <v>19832</v>
      </c>
      <c r="G1700" t="s">
        <v>19833</v>
      </c>
      <c r="H1700" t="str">
        <f>"Prmt3"</f>
        <v>Prmt3</v>
      </c>
      <c r="I1700" t="s">
        <v>19834</v>
      </c>
      <c r="J1700" t="s">
        <v>37</v>
      </c>
      <c r="K1700">
        <v>10090</v>
      </c>
      <c r="L1700" s="3" t="str">
        <f>HYPERLINK("http://www.uniprot.org/uniprot/Q922H1", "Q922H1")</f>
        <v>Q922H1</v>
      </c>
      <c r="M1700" t="s">
        <v>19835</v>
      </c>
      <c r="N1700" t="str">
        <f>"Prmt3"</f>
        <v>Prmt3</v>
      </c>
      <c r="O1700" s="3" t="str">
        <f>HYPERLINK("http://www.informatics.jax.org/marker/MGI:1919224", "MGI:1919224")</f>
        <v>MGI:1919224</v>
      </c>
      <c r="P1700" t="s">
        <v>19836</v>
      </c>
      <c r="Q1700" t="s">
        <v>32</v>
      </c>
      <c r="R1700" t="s">
        <v>418</v>
      </c>
      <c r="S1700" t="s">
        <v>32</v>
      </c>
      <c r="T1700" t="s">
        <v>32</v>
      </c>
      <c r="U1700" t="s">
        <v>32</v>
      </c>
      <c r="V1700" t="s">
        <v>446</v>
      </c>
      <c r="W1700" t="s">
        <v>15120</v>
      </c>
      <c r="X1700" t="s">
        <v>1706</v>
      </c>
      <c r="Y1700" t="s">
        <v>157</v>
      </c>
      <c r="Z1700" t="s">
        <v>126</v>
      </c>
      <c r="AA1700" t="s">
        <v>19837</v>
      </c>
      <c r="AB1700" t="s">
        <v>2206</v>
      </c>
      <c r="AC1700" t="s">
        <v>19838</v>
      </c>
      <c r="AD1700" t="s">
        <v>32</v>
      </c>
      <c r="AE1700" t="s">
        <v>19839</v>
      </c>
      <c r="AF1700" t="s">
        <v>46835</v>
      </c>
    </row>
    <row r="1701" spans="1:32" x14ac:dyDescent="0.2">
      <c r="A1701">
        <v>1696</v>
      </c>
      <c r="B1701" t="s">
        <v>19840</v>
      </c>
      <c r="C1701" t="s">
        <v>19841</v>
      </c>
      <c r="D1701" t="s">
        <v>19842</v>
      </c>
      <c r="E1701" t="s">
        <v>19843</v>
      </c>
      <c r="F1701" t="s">
        <v>19844</v>
      </c>
      <c r="G1701" t="s">
        <v>19845</v>
      </c>
      <c r="H1701" t="str">
        <f>"Myg1"</f>
        <v>Myg1</v>
      </c>
      <c r="I1701" t="s">
        <v>32</v>
      </c>
      <c r="J1701" t="s">
        <v>37</v>
      </c>
      <c r="K1701">
        <v>10090</v>
      </c>
      <c r="L1701" s="3" t="str">
        <f>HYPERLINK("http://www.uniprot.org/uniprot/Q9JK81", "Q9JK81")</f>
        <v>Q9JK81</v>
      </c>
      <c r="M1701" t="s">
        <v>19846</v>
      </c>
      <c r="N1701" t="str">
        <f>"Myg1"</f>
        <v>Myg1</v>
      </c>
      <c r="O1701" s="3" t="str">
        <f>HYPERLINK("http://www.informatics.jax.org/marker/MGI:1929864", "MGI:1929864")</f>
        <v>MGI:1929864</v>
      </c>
      <c r="P1701" t="s">
        <v>19847</v>
      </c>
      <c r="Q1701" t="s">
        <v>32</v>
      </c>
      <c r="R1701" t="s">
        <v>2377</v>
      </c>
      <c r="S1701" t="s">
        <v>32</v>
      </c>
      <c r="T1701" t="s">
        <v>32</v>
      </c>
      <c r="U1701" t="s">
        <v>32</v>
      </c>
      <c r="V1701" t="s">
        <v>1039</v>
      </c>
      <c r="W1701" t="s">
        <v>32</v>
      </c>
      <c r="X1701" t="s">
        <v>19848</v>
      </c>
      <c r="Y1701" t="s">
        <v>78</v>
      </c>
      <c r="Z1701" t="s">
        <v>32</v>
      </c>
      <c r="AA1701" t="s">
        <v>19849</v>
      </c>
      <c r="AB1701" t="s">
        <v>19850</v>
      </c>
      <c r="AC1701" t="s">
        <v>19851</v>
      </c>
      <c r="AD1701" t="s">
        <v>32</v>
      </c>
      <c r="AE1701" t="s">
        <v>32</v>
      </c>
      <c r="AF1701" t="s">
        <v>46835</v>
      </c>
    </row>
    <row r="1702" spans="1:32" x14ac:dyDescent="0.2">
      <c r="A1702">
        <v>1697</v>
      </c>
      <c r="B1702" t="s">
        <v>19852</v>
      </c>
      <c r="C1702" t="s">
        <v>19853</v>
      </c>
      <c r="D1702" t="s">
        <v>32</v>
      </c>
      <c r="E1702" t="s">
        <v>19854</v>
      </c>
      <c r="F1702" t="s">
        <v>19855</v>
      </c>
      <c r="G1702" t="s">
        <v>19856</v>
      </c>
      <c r="H1702" t="str">
        <f>"Agrn"</f>
        <v>Agrn</v>
      </c>
      <c r="I1702" t="s">
        <v>19857</v>
      </c>
      <c r="J1702" t="s">
        <v>37</v>
      </c>
      <c r="K1702">
        <v>10090</v>
      </c>
      <c r="L1702" s="3" t="str">
        <f>HYPERLINK("http://www.uniprot.org/uniprot/A2ASQ1", "A2ASQ1")</f>
        <v>A2ASQ1</v>
      </c>
      <c r="M1702" t="s">
        <v>19858</v>
      </c>
      <c r="N1702" t="str">
        <f>"Agrn"</f>
        <v>Agrn</v>
      </c>
      <c r="O1702" s="3" t="str">
        <f>HYPERLINK("http://www.informatics.jax.org/marker/MGI:87961", "MGI:87961")</f>
        <v>MGI:87961</v>
      </c>
      <c r="P1702" t="s">
        <v>19859</v>
      </c>
      <c r="Q1702" t="s">
        <v>687</v>
      </c>
      <c r="R1702" t="s">
        <v>6252</v>
      </c>
      <c r="S1702" t="s">
        <v>41</v>
      </c>
      <c r="T1702" t="s">
        <v>32</v>
      </c>
      <c r="U1702" t="s">
        <v>32</v>
      </c>
      <c r="V1702" t="s">
        <v>19860</v>
      </c>
      <c r="W1702" t="s">
        <v>188</v>
      </c>
      <c r="X1702" t="s">
        <v>2029</v>
      </c>
      <c r="Y1702" t="s">
        <v>19861</v>
      </c>
      <c r="Z1702" t="s">
        <v>126</v>
      </c>
      <c r="AA1702" t="s">
        <v>19862</v>
      </c>
      <c r="AB1702" t="s">
        <v>19863</v>
      </c>
      <c r="AC1702" t="s">
        <v>19864</v>
      </c>
      <c r="AD1702" t="s">
        <v>32</v>
      </c>
      <c r="AE1702" t="s">
        <v>19865</v>
      </c>
      <c r="AF1702" t="s">
        <v>46835</v>
      </c>
    </row>
    <row r="1703" spans="1:32" x14ac:dyDescent="0.2">
      <c r="A1703">
        <v>1698</v>
      </c>
      <c r="B1703" t="s">
        <v>19866</v>
      </c>
      <c r="C1703" t="s">
        <v>19867</v>
      </c>
      <c r="D1703" t="s">
        <v>19868</v>
      </c>
      <c r="E1703" t="s">
        <v>19869</v>
      </c>
      <c r="F1703" t="s">
        <v>19870</v>
      </c>
      <c r="G1703" t="s">
        <v>19871</v>
      </c>
      <c r="H1703" t="str">
        <f>"Pdcd2"</f>
        <v>Pdcd2</v>
      </c>
      <c r="I1703" t="s">
        <v>19872</v>
      </c>
      <c r="J1703" t="s">
        <v>37</v>
      </c>
      <c r="K1703">
        <v>10090</v>
      </c>
      <c r="L1703" s="3" t="str">
        <f>HYPERLINK("http://www.uniprot.org/uniprot/P46718", "P46718")</f>
        <v>P46718</v>
      </c>
      <c r="M1703" t="s">
        <v>19873</v>
      </c>
      <c r="N1703" t="str">
        <f>"Pdcd2"</f>
        <v>Pdcd2</v>
      </c>
      <c r="O1703" s="3" t="str">
        <f>HYPERLINK("http://www.informatics.jax.org/marker/MGI:104643", "MGI:104643")</f>
        <v>MGI:104643</v>
      </c>
      <c r="P1703" t="s">
        <v>19874</v>
      </c>
      <c r="Q1703" t="s">
        <v>541</v>
      </c>
      <c r="R1703" t="s">
        <v>2279</v>
      </c>
      <c r="S1703" t="s">
        <v>32</v>
      </c>
      <c r="T1703" t="s">
        <v>32</v>
      </c>
      <c r="U1703" t="s">
        <v>32</v>
      </c>
      <c r="V1703" t="s">
        <v>446</v>
      </c>
      <c r="W1703" t="s">
        <v>42</v>
      </c>
      <c r="X1703" t="s">
        <v>247</v>
      </c>
      <c r="Y1703" t="s">
        <v>5599</v>
      </c>
      <c r="Z1703" t="s">
        <v>32</v>
      </c>
      <c r="AA1703" t="s">
        <v>19875</v>
      </c>
      <c r="AB1703" t="s">
        <v>110</v>
      </c>
      <c r="AC1703" t="s">
        <v>19876</v>
      </c>
      <c r="AD1703" t="s">
        <v>32</v>
      </c>
      <c r="AE1703" t="s">
        <v>32</v>
      </c>
      <c r="AF1703" t="s">
        <v>46835</v>
      </c>
    </row>
    <row r="1704" spans="1:32" x14ac:dyDescent="0.2">
      <c r="A1704">
        <v>1699</v>
      </c>
      <c r="B1704" t="s">
        <v>19877</v>
      </c>
      <c r="C1704" t="s">
        <v>19878</v>
      </c>
      <c r="D1704" t="s">
        <v>32</v>
      </c>
      <c r="E1704" t="s">
        <v>19879</v>
      </c>
      <c r="F1704" t="s">
        <v>19880</v>
      </c>
      <c r="G1704" t="s">
        <v>19881</v>
      </c>
      <c r="H1704" t="str">
        <f>"Fsd1"</f>
        <v>Fsd1</v>
      </c>
      <c r="I1704" t="s">
        <v>32</v>
      </c>
      <c r="J1704" t="s">
        <v>37</v>
      </c>
      <c r="K1704">
        <v>10090</v>
      </c>
      <c r="L1704" s="3" t="str">
        <f>HYPERLINK("http://www.uniprot.org/uniprot/Q7TPM6", "Q7TPM6")</f>
        <v>Q7TPM6</v>
      </c>
      <c r="M1704" t="s">
        <v>19882</v>
      </c>
      <c r="N1704" t="str">
        <f>"Fsd1"</f>
        <v>Fsd1</v>
      </c>
      <c r="O1704" s="3" t="str">
        <f>HYPERLINK("http://www.informatics.jax.org/marker/MGI:1934858", "MGI:1934858")</f>
        <v>MGI:1934858</v>
      </c>
      <c r="P1704" t="s">
        <v>19883</v>
      </c>
      <c r="Q1704" t="s">
        <v>2968</v>
      </c>
      <c r="R1704" t="s">
        <v>2969</v>
      </c>
      <c r="S1704" t="s">
        <v>41</v>
      </c>
      <c r="T1704" t="s">
        <v>32</v>
      </c>
      <c r="U1704" t="s">
        <v>32</v>
      </c>
      <c r="V1704" t="s">
        <v>290</v>
      </c>
      <c r="W1704" t="s">
        <v>32</v>
      </c>
      <c r="X1704" t="s">
        <v>32</v>
      </c>
      <c r="Y1704" t="s">
        <v>175</v>
      </c>
      <c r="Z1704" t="s">
        <v>32</v>
      </c>
      <c r="AA1704" t="s">
        <v>19884</v>
      </c>
      <c r="AB1704" t="s">
        <v>19885</v>
      </c>
      <c r="AC1704" t="s">
        <v>19886</v>
      </c>
      <c r="AD1704" t="s">
        <v>32</v>
      </c>
      <c r="AE1704" t="s">
        <v>32</v>
      </c>
      <c r="AF1704" t="s">
        <v>46835</v>
      </c>
    </row>
    <row r="1705" spans="1:32" x14ac:dyDescent="0.2">
      <c r="A1705">
        <v>1700</v>
      </c>
      <c r="B1705" t="s">
        <v>19887</v>
      </c>
      <c r="C1705" t="s">
        <v>19888</v>
      </c>
      <c r="D1705" t="s">
        <v>19889</v>
      </c>
      <c r="E1705" t="s">
        <v>19890</v>
      </c>
      <c r="F1705" t="s">
        <v>19891</v>
      </c>
      <c r="G1705" t="s">
        <v>19892</v>
      </c>
      <c r="H1705" t="str">
        <f>"Copz1"</f>
        <v>Copz1</v>
      </c>
      <c r="I1705" t="s">
        <v>19893</v>
      </c>
      <c r="J1705" t="s">
        <v>37</v>
      </c>
      <c r="K1705">
        <v>10090</v>
      </c>
      <c r="L1705" s="3" t="str">
        <f>HYPERLINK("http://www.uniprot.org/uniprot/P61924", "P61924")</f>
        <v>P61924</v>
      </c>
      <c r="M1705" t="s">
        <v>19894</v>
      </c>
      <c r="N1705" t="str">
        <f>"Copz1"</f>
        <v>Copz1</v>
      </c>
      <c r="O1705" s="3" t="str">
        <f>HYPERLINK("http://www.informatics.jax.org/marker/MGI:1929063", "MGI:1929063")</f>
        <v>MGI:1929063</v>
      </c>
      <c r="P1705" t="s">
        <v>19895</v>
      </c>
      <c r="Q1705" t="s">
        <v>2916</v>
      </c>
      <c r="R1705" t="s">
        <v>3166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32</v>
      </c>
      <c r="Y1705" t="s">
        <v>78</v>
      </c>
      <c r="Z1705" t="s">
        <v>126</v>
      </c>
      <c r="AA1705" t="s">
        <v>19896</v>
      </c>
      <c r="AB1705" t="s">
        <v>19897</v>
      </c>
      <c r="AC1705" t="s">
        <v>32</v>
      </c>
      <c r="AD1705" t="s">
        <v>32</v>
      </c>
      <c r="AE1705" t="s">
        <v>3171</v>
      </c>
      <c r="AF1705" t="s">
        <v>46835</v>
      </c>
    </row>
    <row r="1706" spans="1:32" x14ac:dyDescent="0.2">
      <c r="A1706">
        <v>1701</v>
      </c>
      <c r="B1706" t="s">
        <v>19898</v>
      </c>
      <c r="C1706" t="s">
        <v>19899</v>
      </c>
      <c r="D1706" t="s">
        <v>19900</v>
      </c>
      <c r="E1706" t="s">
        <v>19901</v>
      </c>
      <c r="F1706" t="s">
        <v>19902</v>
      </c>
      <c r="G1706" t="s">
        <v>32</v>
      </c>
      <c r="H1706" t="str">
        <f>"Tmed2"</f>
        <v>Tmed2</v>
      </c>
      <c r="I1706" t="s">
        <v>19903</v>
      </c>
      <c r="J1706" t="s">
        <v>37</v>
      </c>
      <c r="K1706">
        <v>10090</v>
      </c>
      <c r="L1706" s="3" t="str">
        <f>HYPERLINK("http://www.uniprot.org/uniprot/Q9R0Q3", "Q9R0Q3")</f>
        <v>Q9R0Q3</v>
      </c>
      <c r="M1706" t="s">
        <v>19904</v>
      </c>
      <c r="N1706" t="str">
        <f>"Tmed2"</f>
        <v>Tmed2</v>
      </c>
      <c r="O1706" s="3" t="str">
        <f>HYPERLINK("http://www.informatics.jax.org/marker/MGI:1929269", "MGI:1929269")</f>
        <v>MGI:1929269</v>
      </c>
      <c r="P1706" t="s">
        <v>19905</v>
      </c>
      <c r="Q1706" t="s">
        <v>2916</v>
      </c>
      <c r="R1706" t="s">
        <v>18207</v>
      </c>
      <c r="S1706" t="s">
        <v>32</v>
      </c>
      <c r="T1706" t="s">
        <v>32</v>
      </c>
      <c r="U1706" t="s">
        <v>32</v>
      </c>
      <c r="V1706" t="s">
        <v>15639</v>
      </c>
      <c r="W1706" t="s">
        <v>32</v>
      </c>
      <c r="X1706" t="s">
        <v>32</v>
      </c>
      <c r="Y1706" t="s">
        <v>32</v>
      </c>
      <c r="Z1706" t="s">
        <v>32</v>
      </c>
      <c r="AA1706" t="s">
        <v>19906</v>
      </c>
      <c r="AB1706" t="s">
        <v>19907</v>
      </c>
      <c r="AC1706" t="s">
        <v>32</v>
      </c>
      <c r="AD1706" t="s">
        <v>32</v>
      </c>
      <c r="AE1706" t="s">
        <v>19908</v>
      </c>
      <c r="AF1706" t="s">
        <v>46835</v>
      </c>
    </row>
    <row r="1707" spans="1:32" x14ac:dyDescent="0.2">
      <c r="A1707">
        <v>1702</v>
      </c>
      <c r="B1707" t="s">
        <v>19909</v>
      </c>
      <c r="C1707" t="s">
        <v>19910</v>
      </c>
      <c r="D1707" t="s">
        <v>32</v>
      </c>
      <c r="E1707" t="s">
        <v>19911</v>
      </c>
      <c r="F1707" t="s">
        <v>19912</v>
      </c>
      <c r="G1707" t="s">
        <v>19913</v>
      </c>
      <c r="H1707" t="str">
        <f>"Tacc2"</f>
        <v>Tacc2</v>
      </c>
      <c r="I1707" t="s">
        <v>32</v>
      </c>
      <c r="J1707" t="s">
        <v>37</v>
      </c>
      <c r="K1707">
        <v>10090</v>
      </c>
      <c r="L1707" s="3" t="str">
        <f>HYPERLINK("http://www.uniprot.org/uniprot/Q9JJG0", "Q9JJG0")</f>
        <v>Q9JJG0</v>
      </c>
      <c r="M1707" t="s">
        <v>19914</v>
      </c>
      <c r="N1707" t="str">
        <f>"Tacc2"</f>
        <v>Tacc2</v>
      </c>
      <c r="O1707" s="3" t="str">
        <f>HYPERLINK("http://www.informatics.jax.org/marker/MGI:1928899", "MGI:1928899")</f>
        <v>MGI:1928899</v>
      </c>
      <c r="P1707" t="s">
        <v>19915</v>
      </c>
      <c r="Q1707" t="s">
        <v>32</v>
      </c>
      <c r="R1707" t="s">
        <v>324</v>
      </c>
      <c r="S1707" t="s">
        <v>41</v>
      </c>
      <c r="T1707" t="s">
        <v>32</v>
      </c>
      <c r="U1707" t="s">
        <v>32</v>
      </c>
      <c r="V1707" t="s">
        <v>290</v>
      </c>
      <c r="W1707" t="s">
        <v>32</v>
      </c>
      <c r="X1707" t="s">
        <v>32</v>
      </c>
      <c r="Y1707" t="s">
        <v>618</v>
      </c>
      <c r="Z1707" t="s">
        <v>32</v>
      </c>
      <c r="AA1707" t="s">
        <v>19916</v>
      </c>
      <c r="AB1707" t="s">
        <v>19917</v>
      </c>
      <c r="AC1707" t="s">
        <v>19918</v>
      </c>
      <c r="AD1707" t="s">
        <v>32</v>
      </c>
      <c r="AE1707" t="s">
        <v>32</v>
      </c>
      <c r="AF1707" t="s">
        <v>46835</v>
      </c>
    </row>
    <row r="1708" spans="1:32" x14ac:dyDescent="0.2">
      <c r="A1708">
        <v>1703</v>
      </c>
      <c r="B1708" t="s">
        <v>19919</v>
      </c>
      <c r="C1708" t="s">
        <v>19920</v>
      </c>
      <c r="D1708" t="s">
        <v>19921</v>
      </c>
      <c r="E1708" t="s">
        <v>19922</v>
      </c>
      <c r="F1708" t="s">
        <v>19923</v>
      </c>
      <c r="G1708" t="s">
        <v>19924</v>
      </c>
      <c r="H1708" t="str">
        <f>"Znf638"</f>
        <v>Znf638</v>
      </c>
      <c r="I1708" t="s">
        <v>32</v>
      </c>
      <c r="J1708" t="s">
        <v>37</v>
      </c>
      <c r="K1708">
        <v>10090</v>
      </c>
      <c r="L1708" s="3" t="str">
        <f>HYPERLINK("http://www.uniprot.org/uniprot/Q61464", "Q61464")</f>
        <v>Q61464</v>
      </c>
      <c r="M1708" t="s">
        <v>19925</v>
      </c>
      <c r="N1708" t="str">
        <f>"Zfp638"</f>
        <v>Zfp638</v>
      </c>
      <c r="O1708" s="3" t="str">
        <f>HYPERLINK("http://www.informatics.jax.org/marker/MGI:1203484", "MGI:1203484")</f>
        <v>MGI:1203484</v>
      </c>
      <c r="P1708" t="s">
        <v>19926</v>
      </c>
      <c r="Q1708" t="s">
        <v>4152</v>
      </c>
      <c r="R1708" t="s">
        <v>2279</v>
      </c>
      <c r="S1708" t="s">
        <v>41</v>
      </c>
      <c r="T1708" t="s">
        <v>32</v>
      </c>
      <c r="U1708" t="s">
        <v>32</v>
      </c>
      <c r="V1708" t="s">
        <v>3791</v>
      </c>
      <c r="W1708" t="s">
        <v>42</v>
      </c>
      <c r="X1708" t="s">
        <v>17531</v>
      </c>
      <c r="Y1708" t="s">
        <v>2192</v>
      </c>
      <c r="Z1708" t="s">
        <v>32</v>
      </c>
      <c r="AA1708" t="s">
        <v>19927</v>
      </c>
      <c r="AB1708" t="s">
        <v>19928</v>
      </c>
      <c r="AC1708" t="s">
        <v>15159</v>
      </c>
      <c r="AD1708" t="s">
        <v>32</v>
      </c>
      <c r="AE1708" t="s">
        <v>32</v>
      </c>
      <c r="AF1708" t="s">
        <v>46835</v>
      </c>
    </row>
    <row r="1709" spans="1:32" x14ac:dyDescent="0.2">
      <c r="A1709">
        <v>1704</v>
      </c>
      <c r="B1709" t="s">
        <v>19929</v>
      </c>
      <c r="C1709" t="s">
        <v>19930</v>
      </c>
      <c r="D1709" t="s">
        <v>32</v>
      </c>
      <c r="E1709" t="s">
        <v>19931</v>
      </c>
      <c r="F1709" t="s">
        <v>19932</v>
      </c>
      <c r="G1709" t="s">
        <v>32</v>
      </c>
      <c r="H1709" t="str">
        <f>"Ddi2"</f>
        <v>Ddi2</v>
      </c>
      <c r="I1709" t="s">
        <v>32</v>
      </c>
      <c r="J1709" t="s">
        <v>37</v>
      </c>
      <c r="K1709">
        <v>10090</v>
      </c>
      <c r="L1709" s="3" t="str">
        <f>HYPERLINK("http://www.uniprot.org/uniprot/A2ADY9", "A2ADY9")</f>
        <v>A2ADY9</v>
      </c>
      <c r="M1709" t="s">
        <v>19933</v>
      </c>
      <c r="N1709" t="str">
        <f>"Ddi2"</f>
        <v>Ddi2</v>
      </c>
      <c r="O1709" s="3" t="str">
        <f>HYPERLINK("http://www.informatics.jax.org/marker/MGI:1917244", "MGI:1917244")</f>
        <v>MGI:1917244</v>
      </c>
      <c r="P1709" t="s">
        <v>19934</v>
      </c>
      <c r="Q1709" t="s">
        <v>32</v>
      </c>
      <c r="R1709" t="s">
        <v>19935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5780</v>
      </c>
      <c r="Y1709" t="s">
        <v>618</v>
      </c>
      <c r="Z1709" t="s">
        <v>32</v>
      </c>
      <c r="AA1709" t="s">
        <v>19936</v>
      </c>
      <c r="AB1709" t="s">
        <v>19937</v>
      </c>
      <c r="AC1709" t="s">
        <v>19938</v>
      </c>
      <c r="AD1709" t="s">
        <v>32</v>
      </c>
      <c r="AE1709" t="s">
        <v>32</v>
      </c>
      <c r="AF1709" t="s">
        <v>46835</v>
      </c>
    </row>
    <row r="1710" spans="1:32" x14ac:dyDescent="0.2">
      <c r="A1710">
        <v>1705</v>
      </c>
      <c r="B1710" t="s">
        <v>19939</v>
      </c>
      <c r="C1710" t="s">
        <v>19940</v>
      </c>
      <c r="D1710" t="s">
        <v>32</v>
      </c>
      <c r="E1710" t="s">
        <v>19941</v>
      </c>
      <c r="F1710" t="s">
        <v>19942</v>
      </c>
      <c r="G1710" t="s">
        <v>32</v>
      </c>
      <c r="H1710" t="s">
        <v>32</v>
      </c>
      <c r="I1710" t="s">
        <v>32</v>
      </c>
      <c r="J1710" t="s">
        <v>37</v>
      </c>
      <c r="K1710">
        <v>10090</v>
      </c>
      <c r="L1710" s="3" t="str">
        <f>HYPERLINK("http://www.uniprot.org/uniprot/Q91V76", "Q91V76")</f>
        <v>Q91V76</v>
      </c>
      <c r="M1710" t="s">
        <v>19943</v>
      </c>
      <c r="N1710" t="str">
        <f>"4931406C07Rik"</f>
        <v>4931406C07Rik</v>
      </c>
      <c r="O1710" s="3" t="str">
        <f>HYPERLINK("http://www.informatics.jax.org/marker/MGI:1918234", "MGI:1918234")</f>
        <v>MGI:1918234</v>
      </c>
      <c r="P1710" t="s">
        <v>19944</v>
      </c>
      <c r="Q1710" t="s">
        <v>32</v>
      </c>
      <c r="R1710" t="s">
        <v>2279</v>
      </c>
      <c r="S1710" t="s">
        <v>32</v>
      </c>
      <c r="T1710" t="s">
        <v>32</v>
      </c>
      <c r="U1710" t="s">
        <v>32</v>
      </c>
      <c r="V1710" t="s">
        <v>32</v>
      </c>
      <c r="W1710" t="s">
        <v>42</v>
      </c>
      <c r="X1710" t="s">
        <v>343</v>
      </c>
      <c r="Y1710" t="s">
        <v>32</v>
      </c>
      <c r="Z1710" t="s">
        <v>32</v>
      </c>
      <c r="AA1710" t="s">
        <v>32</v>
      </c>
      <c r="AB1710" t="s">
        <v>13146</v>
      </c>
      <c r="AC1710" t="s">
        <v>19945</v>
      </c>
      <c r="AD1710" t="s">
        <v>32</v>
      </c>
      <c r="AE1710" t="s">
        <v>32</v>
      </c>
      <c r="AF1710" t="s">
        <v>46835</v>
      </c>
    </row>
    <row r="1711" spans="1:32" x14ac:dyDescent="0.2">
      <c r="A1711">
        <v>1706</v>
      </c>
      <c r="B1711" t="s">
        <v>19946</v>
      </c>
      <c r="C1711" t="s">
        <v>19947</v>
      </c>
      <c r="D1711" t="s">
        <v>19948</v>
      </c>
      <c r="E1711" t="s">
        <v>19949</v>
      </c>
      <c r="F1711" t="s">
        <v>19950</v>
      </c>
      <c r="G1711" t="s">
        <v>19951</v>
      </c>
      <c r="H1711" t="str">
        <f>"Mta2"</f>
        <v>Mta2</v>
      </c>
      <c r="I1711" t="s">
        <v>19952</v>
      </c>
      <c r="J1711" t="s">
        <v>37</v>
      </c>
      <c r="K1711">
        <v>10090</v>
      </c>
      <c r="L1711" s="3" t="str">
        <f>HYPERLINK("http://www.uniprot.org/uniprot/Q9R190", "Q9R190")</f>
        <v>Q9R190</v>
      </c>
      <c r="M1711" t="s">
        <v>19953</v>
      </c>
      <c r="N1711" t="str">
        <f>"Mta2"</f>
        <v>Mta2</v>
      </c>
      <c r="O1711" s="3" t="str">
        <f>HYPERLINK("http://www.informatics.jax.org/marker/MGI:1346340", "MGI:1346340")</f>
        <v>MGI:1346340</v>
      </c>
      <c r="P1711" t="s">
        <v>19954</v>
      </c>
      <c r="Q1711" t="s">
        <v>32</v>
      </c>
      <c r="R1711" t="s">
        <v>2279</v>
      </c>
      <c r="S1711" t="s">
        <v>32</v>
      </c>
      <c r="T1711" t="s">
        <v>32</v>
      </c>
      <c r="U1711" t="s">
        <v>32</v>
      </c>
      <c r="V1711" t="s">
        <v>446</v>
      </c>
      <c r="W1711" t="s">
        <v>42</v>
      </c>
      <c r="X1711" t="s">
        <v>247</v>
      </c>
      <c r="Y1711" t="s">
        <v>516</v>
      </c>
      <c r="Z1711" t="s">
        <v>32</v>
      </c>
      <c r="AA1711" t="s">
        <v>19955</v>
      </c>
      <c r="AB1711" t="s">
        <v>19956</v>
      </c>
      <c r="AC1711" t="s">
        <v>19957</v>
      </c>
      <c r="AD1711" t="s">
        <v>32</v>
      </c>
      <c r="AE1711" t="s">
        <v>19827</v>
      </c>
      <c r="AF1711" t="s">
        <v>46835</v>
      </c>
    </row>
    <row r="1712" spans="1:32" x14ac:dyDescent="0.2">
      <c r="A1712">
        <v>1707</v>
      </c>
      <c r="B1712" t="s">
        <v>19958</v>
      </c>
      <c r="C1712" t="s">
        <v>19959</v>
      </c>
      <c r="D1712" t="s">
        <v>19960</v>
      </c>
      <c r="E1712" t="s">
        <v>19961</v>
      </c>
      <c r="F1712" t="s">
        <v>19962</v>
      </c>
      <c r="G1712" t="s">
        <v>32</v>
      </c>
      <c r="H1712" t="str">
        <f>"Trappc3"</f>
        <v>Trappc3</v>
      </c>
      <c r="I1712" t="s">
        <v>32</v>
      </c>
      <c r="J1712" t="s">
        <v>37</v>
      </c>
      <c r="K1712">
        <v>10090</v>
      </c>
      <c r="L1712" s="3" t="str">
        <f>HYPERLINK("http://www.uniprot.org/uniprot/O55013", "O55013")</f>
        <v>O55013</v>
      </c>
      <c r="M1712" t="s">
        <v>19963</v>
      </c>
      <c r="N1712" t="str">
        <f>"Trappc3"</f>
        <v>Trappc3</v>
      </c>
      <c r="O1712" s="3" t="str">
        <f>HYPERLINK("http://www.informatics.jax.org/marker/MGI:1351486", "MGI:1351486")</f>
        <v>MGI:1351486</v>
      </c>
      <c r="P1712" t="s">
        <v>19964</v>
      </c>
      <c r="Q1712" t="s">
        <v>14011</v>
      </c>
      <c r="R1712" t="s">
        <v>4315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32</v>
      </c>
      <c r="Y1712" t="s">
        <v>19965</v>
      </c>
      <c r="Z1712" t="s">
        <v>126</v>
      </c>
      <c r="AA1712" t="s">
        <v>19966</v>
      </c>
      <c r="AB1712" t="s">
        <v>19967</v>
      </c>
      <c r="AC1712" t="s">
        <v>32</v>
      </c>
      <c r="AD1712" t="s">
        <v>32</v>
      </c>
      <c r="AE1712" t="s">
        <v>19968</v>
      </c>
      <c r="AF1712" t="s">
        <v>46835</v>
      </c>
    </row>
    <row r="1713" spans="1:32" x14ac:dyDescent="0.2">
      <c r="A1713">
        <v>1708</v>
      </c>
      <c r="B1713" t="s">
        <v>19969</v>
      </c>
      <c r="C1713" t="s">
        <v>19970</v>
      </c>
      <c r="D1713" t="s">
        <v>19971</v>
      </c>
      <c r="E1713" t="s">
        <v>19972</v>
      </c>
      <c r="F1713" t="s">
        <v>19973</v>
      </c>
      <c r="G1713" t="s">
        <v>19974</v>
      </c>
      <c r="H1713" t="str">
        <f>"Nrbp1"</f>
        <v>Nrbp1</v>
      </c>
      <c r="I1713" t="s">
        <v>19975</v>
      </c>
      <c r="J1713" t="s">
        <v>37</v>
      </c>
      <c r="K1713">
        <v>10090</v>
      </c>
      <c r="L1713" s="3" t="str">
        <f>HYPERLINK("http://www.uniprot.org/uniprot/Q99J45", "Q99J45")</f>
        <v>Q99J45</v>
      </c>
      <c r="M1713" t="s">
        <v>19976</v>
      </c>
      <c r="N1713" t="str">
        <f>"Nrbp1"</f>
        <v>Nrbp1</v>
      </c>
      <c r="O1713" s="3" t="str">
        <f>HYPERLINK("http://www.informatics.jax.org/marker/MGI:2183436", "MGI:2183436")</f>
        <v>MGI:2183436</v>
      </c>
      <c r="P1713" t="s">
        <v>19977</v>
      </c>
      <c r="Q1713" t="s">
        <v>32</v>
      </c>
      <c r="R1713" t="s">
        <v>19978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32</v>
      </c>
      <c r="Y1713" t="s">
        <v>157</v>
      </c>
      <c r="Z1713" t="s">
        <v>32</v>
      </c>
      <c r="AA1713" t="s">
        <v>19979</v>
      </c>
      <c r="AB1713" t="s">
        <v>19980</v>
      </c>
      <c r="AC1713" t="s">
        <v>19981</v>
      </c>
      <c r="AD1713" t="s">
        <v>32</v>
      </c>
      <c r="AE1713" t="s">
        <v>32</v>
      </c>
      <c r="AF1713" t="s">
        <v>46835</v>
      </c>
    </row>
    <row r="1714" spans="1:32" x14ac:dyDescent="0.2">
      <c r="A1714">
        <v>1709</v>
      </c>
      <c r="B1714" t="s">
        <v>19982</v>
      </c>
      <c r="C1714" t="s">
        <v>19983</v>
      </c>
      <c r="D1714" t="s">
        <v>19984</v>
      </c>
      <c r="E1714" t="s">
        <v>19985</v>
      </c>
      <c r="F1714" t="s">
        <v>19986</v>
      </c>
      <c r="G1714" t="s">
        <v>19987</v>
      </c>
      <c r="H1714" t="str">
        <f>"Elp2"</f>
        <v>Elp2</v>
      </c>
      <c r="I1714" t="s">
        <v>19988</v>
      </c>
      <c r="J1714" t="s">
        <v>37</v>
      </c>
      <c r="K1714">
        <v>10090</v>
      </c>
      <c r="L1714" s="3" t="str">
        <f>HYPERLINK("http://www.uniprot.org/uniprot/Q91WG4", "Q91WG4")</f>
        <v>Q91WG4</v>
      </c>
      <c r="M1714" t="s">
        <v>19989</v>
      </c>
      <c r="N1714" t="str">
        <f>"Elp2"</f>
        <v>Elp2</v>
      </c>
      <c r="O1714" s="3" t="str">
        <f>HYPERLINK("http://www.informatics.jax.org/marker/MGI:1889642", "MGI:1889642")</f>
        <v>MGI:1889642</v>
      </c>
      <c r="P1714" t="s">
        <v>19990</v>
      </c>
      <c r="Q1714" t="s">
        <v>4386</v>
      </c>
      <c r="R1714" t="s">
        <v>40</v>
      </c>
      <c r="S1714" t="s">
        <v>41</v>
      </c>
      <c r="T1714" t="s">
        <v>32</v>
      </c>
      <c r="U1714" t="s">
        <v>32</v>
      </c>
      <c r="V1714" t="s">
        <v>1910</v>
      </c>
      <c r="W1714" t="s">
        <v>32</v>
      </c>
      <c r="X1714" t="s">
        <v>32</v>
      </c>
      <c r="Y1714" t="s">
        <v>32</v>
      </c>
      <c r="Z1714" t="s">
        <v>32</v>
      </c>
      <c r="AA1714" t="s">
        <v>19991</v>
      </c>
      <c r="AB1714" t="s">
        <v>19992</v>
      </c>
      <c r="AC1714" t="s">
        <v>19993</v>
      </c>
      <c r="AD1714" t="s">
        <v>7480</v>
      </c>
      <c r="AE1714" t="s">
        <v>32</v>
      </c>
      <c r="AF1714" t="s">
        <v>46835</v>
      </c>
    </row>
    <row r="1715" spans="1:32" x14ac:dyDescent="0.2">
      <c r="A1715">
        <v>1710</v>
      </c>
      <c r="B1715" t="s">
        <v>19994</v>
      </c>
      <c r="C1715" t="s">
        <v>19995</v>
      </c>
      <c r="D1715" t="s">
        <v>19996</v>
      </c>
      <c r="E1715" t="s">
        <v>19997</v>
      </c>
      <c r="F1715" t="s">
        <v>19998</v>
      </c>
      <c r="G1715" t="s">
        <v>19999</v>
      </c>
      <c r="H1715" t="str">
        <f>"Mtmr3"</f>
        <v>Mtmr3</v>
      </c>
      <c r="I1715" t="s">
        <v>32</v>
      </c>
      <c r="J1715" t="s">
        <v>37</v>
      </c>
      <c r="K1715">
        <v>10090</v>
      </c>
      <c r="L1715" s="3" t="str">
        <f>HYPERLINK("http://www.uniprot.org/uniprot/Q8K296", "Q8K296")</f>
        <v>Q8K296</v>
      </c>
      <c r="M1715" t="s">
        <v>20000</v>
      </c>
      <c r="N1715" t="str">
        <f>"Mtmr3"</f>
        <v>Mtmr3</v>
      </c>
      <c r="O1715" s="3" t="str">
        <f>HYPERLINK("http://www.informatics.jax.org/marker/MGI:1921552", "MGI:1921552")</f>
        <v>MGI:1921552</v>
      </c>
      <c r="P1715" t="s">
        <v>20001</v>
      </c>
      <c r="Q1715" t="s">
        <v>598</v>
      </c>
      <c r="R1715" t="s">
        <v>714</v>
      </c>
      <c r="S1715" t="s">
        <v>41</v>
      </c>
      <c r="T1715" t="s">
        <v>32</v>
      </c>
      <c r="U1715" t="s">
        <v>32</v>
      </c>
      <c r="V1715" t="s">
        <v>11171</v>
      </c>
      <c r="W1715" t="s">
        <v>42</v>
      </c>
      <c r="X1715" t="s">
        <v>3683</v>
      </c>
      <c r="Y1715" t="s">
        <v>618</v>
      </c>
      <c r="Z1715" t="s">
        <v>32</v>
      </c>
      <c r="AA1715" t="s">
        <v>20002</v>
      </c>
      <c r="AB1715" t="s">
        <v>20003</v>
      </c>
      <c r="AC1715" t="s">
        <v>20004</v>
      </c>
      <c r="AD1715" t="s">
        <v>32</v>
      </c>
      <c r="AE1715" t="s">
        <v>20005</v>
      </c>
      <c r="AF1715" t="s">
        <v>46835</v>
      </c>
    </row>
    <row r="1716" spans="1:32" x14ac:dyDescent="0.2">
      <c r="A1716">
        <v>1711</v>
      </c>
      <c r="B1716" t="s">
        <v>20006</v>
      </c>
      <c r="C1716" t="s">
        <v>20007</v>
      </c>
      <c r="D1716" t="s">
        <v>32</v>
      </c>
      <c r="E1716" t="s">
        <v>20008</v>
      </c>
      <c r="F1716" t="s">
        <v>20009</v>
      </c>
      <c r="G1716" t="s">
        <v>20010</v>
      </c>
      <c r="H1716" t="str">
        <f>"Timm10"</f>
        <v>Timm10</v>
      </c>
      <c r="I1716" t="s">
        <v>20011</v>
      </c>
      <c r="J1716" t="s">
        <v>37</v>
      </c>
      <c r="K1716">
        <v>10090</v>
      </c>
      <c r="L1716" s="3" t="str">
        <f>HYPERLINK("http://www.uniprot.org/uniprot/P62073", "P62073")</f>
        <v>P62073</v>
      </c>
      <c r="M1716" t="s">
        <v>20012</v>
      </c>
      <c r="N1716" t="str">
        <f>"Timm10"</f>
        <v>Timm10</v>
      </c>
      <c r="O1716" s="3" t="str">
        <f>HYPERLINK("http://www.informatics.jax.org/marker/MGI:1353429", "MGI:1353429")</f>
        <v>MGI:1353429</v>
      </c>
      <c r="P1716" t="s">
        <v>20013</v>
      </c>
      <c r="Q1716" t="s">
        <v>4270</v>
      </c>
      <c r="R1716" t="s">
        <v>3858</v>
      </c>
      <c r="S1716" t="s">
        <v>32</v>
      </c>
      <c r="T1716" t="s">
        <v>32</v>
      </c>
      <c r="U1716" t="s">
        <v>32</v>
      </c>
      <c r="V1716" t="s">
        <v>32</v>
      </c>
      <c r="W1716" t="s">
        <v>42</v>
      </c>
      <c r="X1716" t="s">
        <v>388</v>
      </c>
      <c r="Y1716" t="s">
        <v>494</v>
      </c>
      <c r="Z1716" t="s">
        <v>32</v>
      </c>
      <c r="AA1716" t="s">
        <v>19019</v>
      </c>
      <c r="AB1716" t="s">
        <v>19020</v>
      </c>
      <c r="AC1716" t="s">
        <v>19021</v>
      </c>
      <c r="AD1716" t="s">
        <v>32</v>
      </c>
      <c r="AE1716" t="s">
        <v>32</v>
      </c>
      <c r="AF1716" t="s">
        <v>46835</v>
      </c>
    </row>
    <row r="1717" spans="1:32" x14ac:dyDescent="0.2">
      <c r="A1717">
        <v>1712</v>
      </c>
      <c r="B1717" t="s">
        <v>20014</v>
      </c>
      <c r="C1717" t="s">
        <v>20015</v>
      </c>
      <c r="D1717" t="s">
        <v>20016</v>
      </c>
      <c r="E1717" t="s">
        <v>20017</v>
      </c>
      <c r="F1717" t="s">
        <v>20018</v>
      </c>
      <c r="G1717" t="s">
        <v>20019</v>
      </c>
      <c r="H1717" t="str">
        <f>"Tagln2"</f>
        <v>Tagln2</v>
      </c>
      <c r="I1717" t="s">
        <v>20020</v>
      </c>
      <c r="J1717" t="s">
        <v>37</v>
      </c>
      <c r="K1717">
        <v>10090</v>
      </c>
      <c r="L1717" s="3" t="str">
        <f>HYPERLINK("http://www.uniprot.org/uniprot/Q9WVA4", "Q9WVA4")</f>
        <v>Q9WVA4</v>
      </c>
      <c r="M1717" t="s">
        <v>20021</v>
      </c>
      <c r="N1717" t="str">
        <f>"Tagln2"</f>
        <v>Tagln2</v>
      </c>
      <c r="O1717" s="3" t="str">
        <f>HYPERLINK("http://www.informatics.jax.org/marker/MGI:1312985", "MGI:1312985")</f>
        <v>MGI:1312985</v>
      </c>
      <c r="P1717" t="s">
        <v>207</v>
      </c>
      <c r="Q1717" t="s">
        <v>32</v>
      </c>
      <c r="R1717" t="s">
        <v>32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32</v>
      </c>
      <c r="Y1717" t="s">
        <v>207</v>
      </c>
      <c r="Z1717" t="s">
        <v>32</v>
      </c>
      <c r="AA1717" t="s">
        <v>20022</v>
      </c>
      <c r="AB1717" t="s">
        <v>20023</v>
      </c>
      <c r="AC1717" t="s">
        <v>32</v>
      </c>
      <c r="AD1717" t="s">
        <v>32</v>
      </c>
      <c r="AE1717" t="s">
        <v>2235</v>
      </c>
      <c r="AF1717" t="s">
        <v>46835</v>
      </c>
    </row>
    <row r="1718" spans="1:32" x14ac:dyDescent="0.2">
      <c r="A1718">
        <v>1713</v>
      </c>
      <c r="B1718" t="s">
        <v>20024</v>
      </c>
      <c r="C1718" t="s">
        <v>20025</v>
      </c>
      <c r="D1718" t="s">
        <v>32</v>
      </c>
      <c r="E1718" t="s">
        <v>20026</v>
      </c>
      <c r="F1718" t="s">
        <v>20027</v>
      </c>
      <c r="G1718" t="s">
        <v>20028</v>
      </c>
      <c r="H1718" t="str">
        <f>"Zyx"</f>
        <v>Zyx</v>
      </c>
      <c r="I1718" t="s">
        <v>32</v>
      </c>
      <c r="J1718" t="s">
        <v>37</v>
      </c>
      <c r="K1718">
        <v>10090</v>
      </c>
      <c r="L1718" s="3" t="str">
        <f>HYPERLINK("http://www.uniprot.org/uniprot/Q62523", "Q62523")</f>
        <v>Q62523</v>
      </c>
      <c r="M1718" t="s">
        <v>20029</v>
      </c>
      <c r="N1718" t="str">
        <f>"Zyx"</f>
        <v>Zyx</v>
      </c>
      <c r="O1718" s="3" t="str">
        <f>HYPERLINK("http://www.informatics.jax.org/marker/MGI:103072", "MGI:103072")</f>
        <v>MGI:103072</v>
      </c>
      <c r="P1718" t="s">
        <v>20030</v>
      </c>
      <c r="Q1718" t="s">
        <v>2784</v>
      </c>
      <c r="R1718" t="s">
        <v>3065</v>
      </c>
      <c r="S1718" t="s">
        <v>32</v>
      </c>
      <c r="T1718" t="s">
        <v>32</v>
      </c>
      <c r="U1718" t="s">
        <v>32</v>
      </c>
      <c r="V1718" t="s">
        <v>11332</v>
      </c>
      <c r="W1718" t="s">
        <v>42</v>
      </c>
      <c r="X1718" t="s">
        <v>32</v>
      </c>
      <c r="Y1718" t="s">
        <v>97</v>
      </c>
      <c r="Z1718" t="s">
        <v>32</v>
      </c>
      <c r="AA1718" t="s">
        <v>20031</v>
      </c>
      <c r="AB1718" t="s">
        <v>20032</v>
      </c>
      <c r="AC1718" t="s">
        <v>4525</v>
      </c>
      <c r="AD1718" t="s">
        <v>32</v>
      </c>
      <c r="AE1718" t="s">
        <v>32</v>
      </c>
      <c r="AF1718" t="s">
        <v>46835</v>
      </c>
    </row>
    <row r="1719" spans="1:32" x14ac:dyDescent="0.2">
      <c r="A1719">
        <v>1714</v>
      </c>
      <c r="B1719" t="s">
        <v>20033</v>
      </c>
      <c r="C1719" t="s">
        <v>20034</v>
      </c>
      <c r="D1719" t="s">
        <v>20035</v>
      </c>
      <c r="E1719" t="s">
        <v>20036</v>
      </c>
      <c r="F1719" t="s">
        <v>20037</v>
      </c>
      <c r="G1719" t="s">
        <v>20038</v>
      </c>
      <c r="H1719" t="str">
        <f>"Sypl1"</f>
        <v>Sypl1</v>
      </c>
      <c r="I1719" t="s">
        <v>20039</v>
      </c>
      <c r="J1719" t="s">
        <v>37</v>
      </c>
      <c r="K1719">
        <v>10090</v>
      </c>
      <c r="L1719" s="3" t="str">
        <f>HYPERLINK("http://www.uniprot.org/uniprot/O09117", "O09117")</f>
        <v>O09117</v>
      </c>
      <c r="M1719" t="s">
        <v>20040</v>
      </c>
      <c r="N1719" t="str">
        <f>"Sypl"</f>
        <v>Sypl</v>
      </c>
      <c r="O1719" s="3" t="str">
        <f>HYPERLINK("http://www.informatics.jax.org/marker/MGI:108081", "MGI:108081")</f>
        <v>MGI:108081</v>
      </c>
      <c r="P1719" t="s">
        <v>20041</v>
      </c>
      <c r="Q1719" t="s">
        <v>32</v>
      </c>
      <c r="R1719" t="s">
        <v>20042</v>
      </c>
      <c r="S1719" t="s">
        <v>41</v>
      </c>
      <c r="T1719" t="s">
        <v>32</v>
      </c>
      <c r="U1719" t="s">
        <v>32</v>
      </c>
      <c r="V1719" t="s">
        <v>493</v>
      </c>
      <c r="W1719" t="s">
        <v>32</v>
      </c>
      <c r="X1719" t="s">
        <v>32</v>
      </c>
      <c r="Y1719" t="s">
        <v>3733</v>
      </c>
      <c r="Z1719" t="s">
        <v>32</v>
      </c>
      <c r="AA1719" t="s">
        <v>32</v>
      </c>
      <c r="AB1719" t="s">
        <v>20043</v>
      </c>
      <c r="AC1719" t="s">
        <v>32</v>
      </c>
      <c r="AD1719" t="s">
        <v>32</v>
      </c>
      <c r="AE1719" t="s">
        <v>32</v>
      </c>
      <c r="AF1719" t="s">
        <v>46835</v>
      </c>
    </row>
    <row r="1720" spans="1:32" x14ac:dyDescent="0.2">
      <c r="A1720">
        <v>1715</v>
      </c>
      <c r="B1720" t="s">
        <v>20044</v>
      </c>
      <c r="C1720" t="s">
        <v>20045</v>
      </c>
      <c r="D1720" t="s">
        <v>20046</v>
      </c>
      <c r="E1720" t="s">
        <v>20047</v>
      </c>
      <c r="F1720" t="s">
        <v>20048</v>
      </c>
      <c r="G1720" t="s">
        <v>20049</v>
      </c>
      <c r="H1720" t="str">
        <f>"Ndufa5"</f>
        <v>Ndufa5</v>
      </c>
      <c r="I1720" t="s">
        <v>32</v>
      </c>
      <c r="J1720" t="s">
        <v>37</v>
      </c>
      <c r="K1720">
        <v>10090</v>
      </c>
      <c r="L1720" s="3" t="str">
        <f>HYPERLINK("http://www.uniprot.org/uniprot/Q9CPP6", "Q9CPP6")</f>
        <v>Q9CPP6</v>
      </c>
      <c r="M1720" t="s">
        <v>20050</v>
      </c>
      <c r="N1720" t="str">
        <f>"Ndufa5"</f>
        <v>Ndufa5</v>
      </c>
      <c r="O1720" s="3" t="str">
        <f>HYPERLINK("http://www.informatics.jax.org/marker/MGI:1915452", "MGI:1915452")</f>
        <v>MGI:1915452</v>
      </c>
      <c r="P1720" t="s">
        <v>16779</v>
      </c>
      <c r="Q1720" t="s">
        <v>6888</v>
      </c>
      <c r="R1720" t="s">
        <v>3858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32</v>
      </c>
      <c r="Y1720" t="s">
        <v>157</v>
      </c>
      <c r="Z1720" t="s">
        <v>126</v>
      </c>
      <c r="AA1720" t="s">
        <v>20051</v>
      </c>
      <c r="AB1720" t="s">
        <v>20052</v>
      </c>
      <c r="AC1720" t="s">
        <v>32</v>
      </c>
      <c r="AD1720" t="s">
        <v>32</v>
      </c>
      <c r="AE1720" t="s">
        <v>13537</v>
      </c>
      <c r="AF1720" t="s">
        <v>46835</v>
      </c>
    </row>
    <row r="1721" spans="1:32" x14ac:dyDescent="0.2">
      <c r="A1721">
        <v>1716</v>
      </c>
      <c r="B1721" t="s">
        <v>20053</v>
      </c>
      <c r="C1721" t="s">
        <v>20054</v>
      </c>
      <c r="D1721" t="s">
        <v>20055</v>
      </c>
      <c r="E1721" t="s">
        <v>20056</v>
      </c>
      <c r="F1721" t="s">
        <v>20057</v>
      </c>
      <c r="G1721" t="s">
        <v>20058</v>
      </c>
      <c r="H1721" t="str">
        <f>"Dcun1d1"</f>
        <v>Dcun1d1</v>
      </c>
      <c r="I1721" t="s">
        <v>20059</v>
      </c>
      <c r="J1721" t="s">
        <v>37</v>
      </c>
      <c r="K1721">
        <v>10090</v>
      </c>
      <c r="L1721" s="3" t="str">
        <f>HYPERLINK("http://www.uniprot.org/uniprot/Q9QZ73", "Q9QZ73")</f>
        <v>Q9QZ73</v>
      </c>
      <c r="M1721" t="s">
        <v>20060</v>
      </c>
      <c r="N1721" t="str">
        <f>"Dcun1d1"</f>
        <v>Dcun1d1</v>
      </c>
      <c r="O1721" s="3" t="str">
        <f>HYPERLINK("http://www.informatics.jax.org/marker/MGI:2150386", "MGI:2150386")</f>
        <v>MGI:2150386</v>
      </c>
      <c r="P1721" t="s">
        <v>20061</v>
      </c>
      <c r="Q1721" t="s">
        <v>1020</v>
      </c>
      <c r="R1721" t="s">
        <v>40</v>
      </c>
      <c r="S1721" t="s">
        <v>32</v>
      </c>
      <c r="T1721" t="s">
        <v>32</v>
      </c>
      <c r="U1721" t="s">
        <v>4682</v>
      </c>
      <c r="V1721" t="s">
        <v>32</v>
      </c>
      <c r="W1721" t="s">
        <v>32</v>
      </c>
      <c r="X1721" t="s">
        <v>32</v>
      </c>
      <c r="Y1721" t="s">
        <v>4102</v>
      </c>
      <c r="Z1721" t="s">
        <v>32</v>
      </c>
      <c r="AA1721" t="s">
        <v>20062</v>
      </c>
      <c r="AB1721" t="s">
        <v>20063</v>
      </c>
      <c r="AC1721" t="s">
        <v>20064</v>
      </c>
      <c r="AD1721" t="s">
        <v>32</v>
      </c>
      <c r="AE1721" t="s">
        <v>14635</v>
      </c>
      <c r="AF1721" t="s">
        <v>46835</v>
      </c>
    </row>
    <row r="1722" spans="1:32" x14ac:dyDescent="0.2">
      <c r="A1722">
        <v>1717</v>
      </c>
      <c r="B1722" t="s">
        <v>20065</v>
      </c>
      <c r="C1722" t="s">
        <v>20066</v>
      </c>
      <c r="D1722" t="s">
        <v>20067</v>
      </c>
      <c r="E1722" t="s">
        <v>20068</v>
      </c>
      <c r="F1722" t="s">
        <v>20069</v>
      </c>
      <c r="G1722" t="s">
        <v>20070</v>
      </c>
      <c r="H1722" t="str">
        <f>"Echdc1"</f>
        <v>Echdc1</v>
      </c>
      <c r="I1722" t="s">
        <v>32</v>
      </c>
      <c r="J1722" t="s">
        <v>37</v>
      </c>
      <c r="K1722">
        <v>10090</v>
      </c>
      <c r="L1722" s="3" t="str">
        <f>HYPERLINK("http://www.uniprot.org/uniprot/Q9D9V3", "Q9D9V3")</f>
        <v>Q9D9V3</v>
      </c>
      <c r="M1722" t="s">
        <v>20071</v>
      </c>
      <c r="N1722" t="str">
        <f>"Echdc1"</f>
        <v>Echdc1</v>
      </c>
      <c r="O1722" s="3" t="str">
        <f>HYPERLINK("http://www.informatics.jax.org/marker/MGI:1277169", "MGI:1277169")</f>
        <v>MGI:1277169</v>
      </c>
      <c r="P1722" t="s">
        <v>20072</v>
      </c>
      <c r="Q1722" t="s">
        <v>32</v>
      </c>
      <c r="R1722" t="s">
        <v>418</v>
      </c>
      <c r="S1722" t="s">
        <v>41</v>
      </c>
      <c r="T1722" t="s">
        <v>32</v>
      </c>
      <c r="U1722" t="s">
        <v>32</v>
      </c>
      <c r="V1722" t="s">
        <v>32</v>
      </c>
      <c r="W1722" t="s">
        <v>32</v>
      </c>
      <c r="X1722" t="s">
        <v>224</v>
      </c>
      <c r="Y1722" t="s">
        <v>78</v>
      </c>
      <c r="Z1722" t="s">
        <v>32</v>
      </c>
      <c r="AA1722" t="s">
        <v>9720</v>
      </c>
      <c r="AB1722" t="s">
        <v>1268</v>
      </c>
      <c r="AC1722" t="s">
        <v>20073</v>
      </c>
      <c r="AD1722" t="s">
        <v>32</v>
      </c>
      <c r="AE1722" t="s">
        <v>32</v>
      </c>
      <c r="AF1722" t="s">
        <v>46835</v>
      </c>
    </row>
    <row r="1723" spans="1:32" x14ac:dyDescent="0.2">
      <c r="A1723">
        <v>1718</v>
      </c>
      <c r="B1723" t="s">
        <v>20074</v>
      </c>
      <c r="C1723" t="s">
        <v>20075</v>
      </c>
      <c r="D1723" t="s">
        <v>20076</v>
      </c>
      <c r="E1723" t="s">
        <v>20077</v>
      </c>
      <c r="F1723" t="s">
        <v>20078</v>
      </c>
      <c r="G1723" t="s">
        <v>20079</v>
      </c>
      <c r="H1723" t="str">
        <f>"Ppp3r1"</f>
        <v>Ppp3r1</v>
      </c>
      <c r="I1723" t="s">
        <v>20080</v>
      </c>
      <c r="J1723" t="s">
        <v>37</v>
      </c>
      <c r="K1723">
        <v>10090</v>
      </c>
      <c r="L1723" s="3" t="str">
        <f>HYPERLINK("http://www.uniprot.org/uniprot/Q63810", "Q63810")</f>
        <v>Q63810</v>
      </c>
      <c r="M1723" t="s">
        <v>20081</v>
      </c>
      <c r="N1723" t="str">
        <f>"Ppp3r1"</f>
        <v>Ppp3r1</v>
      </c>
      <c r="O1723" s="3" t="str">
        <f>HYPERLINK("http://www.informatics.jax.org/marker/MGI:107172", "MGI:107172")</f>
        <v>MGI:107172</v>
      </c>
      <c r="P1723" t="s">
        <v>20082</v>
      </c>
      <c r="Q1723" t="s">
        <v>32</v>
      </c>
      <c r="R1723" t="s">
        <v>222</v>
      </c>
      <c r="S1723" t="s">
        <v>41</v>
      </c>
      <c r="T1723" t="s">
        <v>32</v>
      </c>
      <c r="U1723" t="s">
        <v>32</v>
      </c>
      <c r="V1723" t="s">
        <v>55</v>
      </c>
      <c r="W1723" t="s">
        <v>188</v>
      </c>
      <c r="X1723" t="s">
        <v>32</v>
      </c>
      <c r="Y1723" t="s">
        <v>5562</v>
      </c>
      <c r="Z1723" t="s">
        <v>126</v>
      </c>
      <c r="AA1723" t="s">
        <v>20083</v>
      </c>
      <c r="AB1723" t="s">
        <v>20084</v>
      </c>
      <c r="AC1723" t="s">
        <v>20085</v>
      </c>
      <c r="AD1723" t="s">
        <v>32</v>
      </c>
      <c r="AE1723" t="s">
        <v>20086</v>
      </c>
      <c r="AF1723" t="s">
        <v>46835</v>
      </c>
    </row>
    <row r="1724" spans="1:32" x14ac:dyDescent="0.2">
      <c r="A1724">
        <v>1719</v>
      </c>
      <c r="B1724" t="s">
        <v>20087</v>
      </c>
      <c r="C1724" t="s">
        <v>20088</v>
      </c>
      <c r="D1724" t="s">
        <v>32</v>
      </c>
      <c r="E1724" t="s">
        <v>20089</v>
      </c>
      <c r="F1724" t="s">
        <v>20090</v>
      </c>
      <c r="G1724" t="s">
        <v>20091</v>
      </c>
      <c r="H1724" t="str">
        <f>"Zfyve1"</f>
        <v>Zfyve1</v>
      </c>
      <c r="I1724" t="s">
        <v>32</v>
      </c>
      <c r="J1724" t="s">
        <v>37</v>
      </c>
      <c r="K1724">
        <v>10090</v>
      </c>
      <c r="L1724" s="3" t="str">
        <f>HYPERLINK("http://www.uniprot.org/uniprot/Q810J8", "Q810J8")</f>
        <v>Q810J8</v>
      </c>
      <c r="M1724" t="s">
        <v>20092</v>
      </c>
      <c r="N1724" t="str">
        <f>"Zfyve1"</f>
        <v>Zfyve1</v>
      </c>
      <c r="O1724" s="3" t="str">
        <f>HYPERLINK("http://www.informatics.jax.org/marker/MGI:3026685", "MGI:3026685")</f>
        <v>MGI:3026685</v>
      </c>
      <c r="P1724" t="s">
        <v>20093</v>
      </c>
      <c r="Q1724" t="s">
        <v>32</v>
      </c>
      <c r="R1724" t="s">
        <v>20094</v>
      </c>
      <c r="S1724" t="s">
        <v>32</v>
      </c>
      <c r="T1724" t="s">
        <v>32</v>
      </c>
      <c r="U1724" t="s">
        <v>32</v>
      </c>
      <c r="V1724" t="s">
        <v>3791</v>
      </c>
      <c r="W1724" t="s">
        <v>42</v>
      </c>
      <c r="X1724" t="s">
        <v>32</v>
      </c>
      <c r="Y1724" t="s">
        <v>32</v>
      </c>
      <c r="Z1724" t="s">
        <v>32</v>
      </c>
      <c r="AA1724" t="s">
        <v>20095</v>
      </c>
      <c r="AB1724" t="s">
        <v>20096</v>
      </c>
      <c r="AC1724" t="s">
        <v>20097</v>
      </c>
      <c r="AD1724" t="s">
        <v>32</v>
      </c>
      <c r="AE1724" t="s">
        <v>32</v>
      </c>
      <c r="AF1724" t="s">
        <v>46835</v>
      </c>
    </row>
    <row r="1725" spans="1:32" x14ac:dyDescent="0.2">
      <c r="A1725">
        <v>1720</v>
      </c>
      <c r="B1725" t="s">
        <v>20098</v>
      </c>
      <c r="C1725" t="s">
        <v>20099</v>
      </c>
      <c r="D1725" t="s">
        <v>20100</v>
      </c>
      <c r="E1725" t="s">
        <v>20101</v>
      </c>
      <c r="F1725" t="s">
        <v>20102</v>
      </c>
      <c r="G1725" t="s">
        <v>20103</v>
      </c>
      <c r="H1725" t="str">
        <f>"Dlg1"</f>
        <v>Dlg1</v>
      </c>
      <c r="I1725" t="s">
        <v>20104</v>
      </c>
      <c r="J1725" t="s">
        <v>37</v>
      </c>
      <c r="K1725">
        <v>10090</v>
      </c>
      <c r="L1725" s="3" t="str">
        <f>HYPERLINK("http://www.uniprot.org/uniprot/Q811D0", "Q811D0")</f>
        <v>Q811D0</v>
      </c>
      <c r="M1725" t="s">
        <v>20105</v>
      </c>
      <c r="N1725" t="str">
        <f>"Dlg1"</f>
        <v>Dlg1</v>
      </c>
      <c r="O1725" s="3" t="str">
        <f>HYPERLINK("http://www.informatics.jax.org/marker/MGI:107231", "MGI:107231")</f>
        <v>MGI:107231</v>
      </c>
      <c r="P1725" t="s">
        <v>20106</v>
      </c>
      <c r="Q1725" t="s">
        <v>32</v>
      </c>
      <c r="R1725" t="s">
        <v>20107</v>
      </c>
      <c r="S1725" t="s">
        <v>41</v>
      </c>
      <c r="T1725" t="s">
        <v>32</v>
      </c>
      <c r="U1725" t="s">
        <v>32</v>
      </c>
      <c r="V1725" t="s">
        <v>187</v>
      </c>
      <c r="W1725" t="s">
        <v>32</v>
      </c>
      <c r="X1725" t="s">
        <v>32</v>
      </c>
      <c r="Y1725" t="s">
        <v>2836</v>
      </c>
      <c r="Z1725" t="s">
        <v>126</v>
      </c>
      <c r="AA1725" t="s">
        <v>20108</v>
      </c>
      <c r="AB1725" t="s">
        <v>20109</v>
      </c>
      <c r="AC1725" t="s">
        <v>20110</v>
      </c>
      <c r="AD1725" t="s">
        <v>32</v>
      </c>
      <c r="AE1725" t="s">
        <v>20111</v>
      </c>
      <c r="AF1725" t="s">
        <v>46835</v>
      </c>
    </row>
    <row r="1726" spans="1:32" x14ac:dyDescent="0.2">
      <c r="A1726">
        <v>1721</v>
      </c>
      <c r="B1726" t="s">
        <v>20112</v>
      </c>
      <c r="C1726" t="s">
        <v>20113</v>
      </c>
      <c r="D1726" t="s">
        <v>20114</v>
      </c>
      <c r="E1726" t="s">
        <v>20115</v>
      </c>
      <c r="F1726" t="s">
        <v>20116</v>
      </c>
      <c r="G1726" t="s">
        <v>20117</v>
      </c>
      <c r="H1726" t="str">
        <f>"Hmgcl"</f>
        <v>Hmgcl</v>
      </c>
      <c r="I1726" t="s">
        <v>32</v>
      </c>
      <c r="J1726" t="s">
        <v>37</v>
      </c>
      <c r="K1726">
        <v>10090</v>
      </c>
      <c r="L1726" s="3" t="str">
        <f>HYPERLINK("http://www.uniprot.org/uniprot/P38060", "P38060")</f>
        <v>P38060</v>
      </c>
      <c r="M1726" t="s">
        <v>20118</v>
      </c>
      <c r="N1726" t="str">
        <f>"Hmgcl"</f>
        <v>Hmgcl</v>
      </c>
      <c r="O1726" s="3" t="str">
        <f>HYPERLINK("http://www.informatics.jax.org/marker/MGI:96158", "MGI:96158")</f>
        <v>MGI:96158</v>
      </c>
      <c r="P1726" t="s">
        <v>20119</v>
      </c>
      <c r="Q1726" t="s">
        <v>598</v>
      </c>
      <c r="R1726" t="s">
        <v>20120</v>
      </c>
      <c r="S1726" t="s">
        <v>32</v>
      </c>
      <c r="T1726" t="s">
        <v>32</v>
      </c>
      <c r="U1726" t="s">
        <v>32</v>
      </c>
      <c r="V1726" t="s">
        <v>1039</v>
      </c>
      <c r="W1726" t="s">
        <v>8683</v>
      </c>
      <c r="X1726" t="s">
        <v>224</v>
      </c>
      <c r="Y1726" t="s">
        <v>8737</v>
      </c>
      <c r="Z1726" t="s">
        <v>32</v>
      </c>
      <c r="AA1726" t="s">
        <v>20121</v>
      </c>
      <c r="AB1726" t="s">
        <v>20122</v>
      </c>
      <c r="AC1726" t="s">
        <v>20123</v>
      </c>
      <c r="AD1726" t="s">
        <v>20124</v>
      </c>
      <c r="AE1726" t="s">
        <v>20125</v>
      </c>
      <c r="AF1726" t="s">
        <v>46835</v>
      </c>
    </row>
    <row r="1727" spans="1:32" x14ac:dyDescent="0.2">
      <c r="A1727">
        <v>1722</v>
      </c>
      <c r="B1727" t="s">
        <v>20126</v>
      </c>
      <c r="C1727" t="s">
        <v>20127</v>
      </c>
      <c r="D1727" t="s">
        <v>20128</v>
      </c>
      <c r="E1727" t="s">
        <v>20129</v>
      </c>
      <c r="F1727" t="s">
        <v>20130</v>
      </c>
      <c r="G1727" t="s">
        <v>20131</v>
      </c>
      <c r="H1727" t="str">
        <f>"Ipo11"</f>
        <v>Ipo11</v>
      </c>
      <c r="I1727" t="s">
        <v>20132</v>
      </c>
      <c r="J1727" t="s">
        <v>37</v>
      </c>
      <c r="K1727">
        <v>10090</v>
      </c>
      <c r="L1727" s="3" t="str">
        <f>HYPERLINK("http://www.uniprot.org/uniprot/Q8K2V6", "Q8K2V6")</f>
        <v>Q8K2V6</v>
      </c>
      <c r="M1727" t="s">
        <v>20133</v>
      </c>
      <c r="N1727" t="str">
        <f>"Ipo11"</f>
        <v>Ipo11</v>
      </c>
      <c r="O1727" s="3" t="str">
        <f>HYPERLINK("http://www.informatics.jax.org/marker/MGI:2442377", "MGI:2442377")</f>
        <v>MGI:2442377</v>
      </c>
      <c r="P1727" t="s">
        <v>433</v>
      </c>
      <c r="Q1727" t="s">
        <v>434</v>
      </c>
      <c r="R1727" t="s">
        <v>40</v>
      </c>
      <c r="S1727" t="s">
        <v>41</v>
      </c>
      <c r="T1727" t="s">
        <v>32</v>
      </c>
      <c r="U1727" t="s">
        <v>32</v>
      </c>
      <c r="V1727" t="s">
        <v>55</v>
      </c>
      <c r="W1727" t="s">
        <v>32</v>
      </c>
      <c r="X1727" t="s">
        <v>32</v>
      </c>
      <c r="Y1727" t="s">
        <v>157</v>
      </c>
      <c r="Z1727" t="s">
        <v>32</v>
      </c>
      <c r="AA1727" t="s">
        <v>20134</v>
      </c>
      <c r="AB1727" t="s">
        <v>5969</v>
      </c>
      <c r="AC1727" t="s">
        <v>20135</v>
      </c>
      <c r="AD1727" t="s">
        <v>32</v>
      </c>
      <c r="AE1727" t="s">
        <v>32</v>
      </c>
      <c r="AF1727" t="s">
        <v>46835</v>
      </c>
    </row>
    <row r="1728" spans="1:32" x14ac:dyDescent="0.2">
      <c r="A1728">
        <v>1723</v>
      </c>
      <c r="B1728" t="s">
        <v>20136</v>
      </c>
      <c r="C1728" t="s">
        <v>20137</v>
      </c>
      <c r="D1728" t="s">
        <v>20138</v>
      </c>
      <c r="E1728" t="s">
        <v>20139</v>
      </c>
      <c r="F1728" t="s">
        <v>20140</v>
      </c>
      <c r="G1728" t="s">
        <v>20141</v>
      </c>
      <c r="H1728" t="str">
        <f>"Clip2"</f>
        <v>Clip2</v>
      </c>
      <c r="I1728" t="s">
        <v>20142</v>
      </c>
      <c r="J1728" t="s">
        <v>37</v>
      </c>
      <c r="K1728">
        <v>10090</v>
      </c>
      <c r="L1728" s="3" t="str">
        <f>HYPERLINK("http://www.uniprot.org/uniprot/Q9Z0H8", "Q9Z0H8")</f>
        <v>Q9Z0H8</v>
      </c>
      <c r="M1728" t="s">
        <v>20143</v>
      </c>
      <c r="N1728" t="str">
        <f>"Clip2"</f>
        <v>Clip2</v>
      </c>
      <c r="O1728" s="3" t="str">
        <f>HYPERLINK("http://www.informatics.jax.org/marker/MGI:1313136", "MGI:1313136")</f>
        <v>MGI:1313136</v>
      </c>
      <c r="P1728" t="s">
        <v>20144</v>
      </c>
      <c r="Q1728" t="s">
        <v>32</v>
      </c>
      <c r="R1728" t="s">
        <v>341</v>
      </c>
      <c r="S1728" t="s">
        <v>41</v>
      </c>
      <c r="T1728" t="s">
        <v>32</v>
      </c>
      <c r="U1728" t="s">
        <v>32</v>
      </c>
      <c r="V1728" t="s">
        <v>137</v>
      </c>
      <c r="W1728" t="s">
        <v>32</v>
      </c>
      <c r="X1728" t="s">
        <v>32</v>
      </c>
      <c r="Y1728" t="s">
        <v>618</v>
      </c>
      <c r="Z1728" t="s">
        <v>32</v>
      </c>
      <c r="AA1728" t="s">
        <v>20145</v>
      </c>
      <c r="AB1728" t="s">
        <v>20146</v>
      </c>
      <c r="AC1728" t="s">
        <v>20147</v>
      </c>
      <c r="AD1728" t="s">
        <v>32</v>
      </c>
      <c r="AE1728" t="s">
        <v>32</v>
      </c>
      <c r="AF1728" t="s">
        <v>46835</v>
      </c>
    </row>
    <row r="1729" spans="1:32" x14ac:dyDescent="0.2">
      <c r="A1729">
        <v>1724</v>
      </c>
      <c r="B1729" t="s">
        <v>20148</v>
      </c>
      <c r="C1729" t="s">
        <v>20149</v>
      </c>
      <c r="D1729" t="s">
        <v>20150</v>
      </c>
      <c r="E1729" t="s">
        <v>20151</v>
      </c>
      <c r="F1729" t="s">
        <v>20152</v>
      </c>
      <c r="G1729" t="s">
        <v>20153</v>
      </c>
      <c r="H1729" t="str">
        <f>"Sumo3"</f>
        <v>Sumo3</v>
      </c>
      <c r="I1729" t="s">
        <v>32</v>
      </c>
      <c r="J1729" t="s">
        <v>37</v>
      </c>
      <c r="K1729">
        <v>10090</v>
      </c>
      <c r="L1729" s="3" t="str">
        <f>HYPERLINK("http://www.uniprot.org/uniprot/Q9Z172", "Q9Z172")</f>
        <v>Q9Z172</v>
      </c>
      <c r="M1729" t="s">
        <v>20154</v>
      </c>
      <c r="N1729" t="str">
        <f>"Sumo3"</f>
        <v>Sumo3</v>
      </c>
      <c r="O1729" s="3" t="str">
        <f>HYPERLINK("http://www.informatics.jax.org/marker/MGI:1336201", "MGI:1336201")</f>
        <v>MGI:1336201</v>
      </c>
      <c r="P1729" t="s">
        <v>20155</v>
      </c>
      <c r="Q1729" t="s">
        <v>1020</v>
      </c>
      <c r="R1729" t="s">
        <v>40</v>
      </c>
      <c r="S1729" t="s">
        <v>41</v>
      </c>
      <c r="T1729" t="s">
        <v>32</v>
      </c>
      <c r="U1729" t="s">
        <v>32</v>
      </c>
      <c r="V1729" t="s">
        <v>32</v>
      </c>
      <c r="W1729" t="s">
        <v>32</v>
      </c>
      <c r="X1729" t="s">
        <v>32</v>
      </c>
      <c r="Y1729" t="s">
        <v>7792</v>
      </c>
      <c r="Z1729" t="s">
        <v>32</v>
      </c>
      <c r="AA1729" t="s">
        <v>20156</v>
      </c>
      <c r="AB1729" t="s">
        <v>20157</v>
      </c>
      <c r="AC1729" t="s">
        <v>20158</v>
      </c>
      <c r="AD1729" t="s">
        <v>32</v>
      </c>
      <c r="AE1729" t="s">
        <v>20159</v>
      </c>
      <c r="AF1729" t="s">
        <v>46835</v>
      </c>
    </row>
    <row r="1730" spans="1:32" x14ac:dyDescent="0.2">
      <c r="A1730">
        <v>1725</v>
      </c>
      <c r="B1730" t="s">
        <v>20160</v>
      </c>
      <c r="C1730" t="s">
        <v>20161</v>
      </c>
      <c r="D1730" t="s">
        <v>20162</v>
      </c>
      <c r="E1730" t="s">
        <v>20163</v>
      </c>
      <c r="F1730" t="s">
        <v>20164</v>
      </c>
      <c r="G1730" t="s">
        <v>20165</v>
      </c>
      <c r="H1730" t="str">
        <f>"Ak3"</f>
        <v>Ak3</v>
      </c>
      <c r="I1730" t="s">
        <v>20166</v>
      </c>
      <c r="J1730" t="s">
        <v>37</v>
      </c>
      <c r="K1730">
        <v>10090</v>
      </c>
      <c r="L1730" s="3" t="str">
        <f>HYPERLINK("http://www.uniprot.org/uniprot/Q9WTP7", "Q9WTP7")</f>
        <v>Q9WTP7</v>
      </c>
      <c r="M1730" t="s">
        <v>20167</v>
      </c>
      <c r="N1730" t="str">
        <f>"Ak3"</f>
        <v>Ak3</v>
      </c>
      <c r="O1730" s="3" t="str">
        <f>HYPERLINK("http://www.informatics.jax.org/marker/MGI:1860835", "MGI:1860835")</f>
        <v>MGI:1860835</v>
      </c>
      <c r="P1730" t="s">
        <v>20168</v>
      </c>
      <c r="Q1730" t="s">
        <v>32</v>
      </c>
      <c r="R1730" t="s">
        <v>1038</v>
      </c>
      <c r="S1730" t="s">
        <v>32</v>
      </c>
      <c r="T1730" t="s">
        <v>32</v>
      </c>
      <c r="U1730" t="s">
        <v>32</v>
      </c>
      <c r="V1730" t="s">
        <v>32</v>
      </c>
      <c r="W1730" t="s">
        <v>261</v>
      </c>
      <c r="X1730" t="s">
        <v>419</v>
      </c>
      <c r="Y1730" t="s">
        <v>157</v>
      </c>
      <c r="Z1730" t="s">
        <v>32</v>
      </c>
      <c r="AA1730" t="s">
        <v>20169</v>
      </c>
      <c r="AB1730" t="s">
        <v>20170</v>
      </c>
      <c r="AC1730" t="s">
        <v>20171</v>
      </c>
      <c r="AD1730" t="s">
        <v>32</v>
      </c>
      <c r="AE1730" t="s">
        <v>7401</v>
      </c>
      <c r="AF1730" t="s">
        <v>46835</v>
      </c>
    </row>
    <row r="1731" spans="1:32" x14ac:dyDescent="0.2">
      <c r="A1731">
        <v>1726</v>
      </c>
      <c r="B1731" t="s">
        <v>20172</v>
      </c>
      <c r="C1731" t="s">
        <v>20173</v>
      </c>
      <c r="D1731" t="s">
        <v>20174</v>
      </c>
      <c r="E1731" t="s">
        <v>20175</v>
      </c>
      <c r="F1731" t="s">
        <v>20176</v>
      </c>
      <c r="G1731" t="s">
        <v>20177</v>
      </c>
      <c r="H1731" t="str">
        <f>"Spcs2"</f>
        <v>Spcs2</v>
      </c>
      <c r="I1731" t="s">
        <v>20178</v>
      </c>
      <c r="J1731" t="s">
        <v>37</v>
      </c>
      <c r="K1731">
        <v>10090</v>
      </c>
      <c r="L1731" s="3" t="str">
        <f>HYPERLINK("http://www.uniprot.org/uniprot/Q9CYN2", "Q9CYN2")</f>
        <v>Q9CYN2</v>
      </c>
      <c r="M1731" t="s">
        <v>20179</v>
      </c>
      <c r="N1731" t="str">
        <f>"Spcs2"</f>
        <v>Spcs2</v>
      </c>
      <c r="O1731" s="3" t="str">
        <f>HYPERLINK("http://www.informatics.jax.org/marker/MGI:1913874", "MGI:1913874")</f>
        <v>MGI:1913874</v>
      </c>
      <c r="P1731" t="s">
        <v>20180</v>
      </c>
      <c r="Q1731" t="s">
        <v>32</v>
      </c>
      <c r="R1731" t="s">
        <v>1664</v>
      </c>
      <c r="S1731" t="s">
        <v>32</v>
      </c>
      <c r="T1731" t="s">
        <v>32</v>
      </c>
      <c r="U1731" t="s">
        <v>32</v>
      </c>
      <c r="V1731" t="s">
        <v>493</v>
      </c>
      <c r="W1731" t="s">
        <v>32</v>
      </c>
      <c r="X1731" t="s">
        <v>32</v>
      </c>
      <c r="Y1731" t="s">
        <v>78</v>
      </c>
      <c r="Z1731" t="s">
        <v>32</v>
      </c>
      <c r="AA1731" t="s">
        <v>20181</v>
      </c>
      <c r="AB1731" t="s">
        <v>15883</v>
      </c>
      <c r="AC1731" t="s">
        <v>32</v>
      </c>
      <c r="AD1731" t="s">
        <v>32</v>
      </c>
      <c r="AE1731" t="s">
        <v>12787</v>
      </c>
      <c r="AF1731" t="s">
        <v>46835</v>
      </c>
    </row>
    <row r="1732" spans="1:32" x14ac:dyDescent="0.2">
      <c r="A1732">
        <v>1727</v>
      </c>
      <c r="B1732" t="s">
        <v>20182</v>
      </c>
      <c r="C1732" t="s">
        <v>20183</v>
      </c>
      <c r="D1732" t="s">
        <v>20184</v>
      </c>
      <c r="E1732" t="s">
        <v>20185</v>
      </c>
      <c r="F1732" t="s">
        <v>20186</v>
      </c>
      <c r="G1732" t="s">
        <v>20187</v>
      </c>
      <c r="H1732" t="str">
        <f>"Uba5"</f>
        <v>Uba5</v>
      </c>
      <c r="I1732" t="s">
        <v>32</v>
      </c>
      <c r="J1732" t="s">
        <v>37</v>
      </c>
      <c r="K1732">
        <v>10090</v>
      </c>
      <c r="L1732" s="3" t="str">
        <f>HYPERLINK("http://www.uniprot.org/uniprot/Q8VE47", "Q8VE47")</f>
        <v>Q8VE47</v>
      </c>
      <c r="M1732" t="s">
        <v>20188</v>
      </c>
      <c r="N1732" t="str">
        <f>"Uba5"</f>
        <v>Uba5</v>
      </c>
      <c r="O1732" s="3" t="str">
        <f>HYPERLINK("http://www.informatics.jax.org/marker/MGI:1913913", "MGI:1913913")</f>
        <v>MGI:1913913</v>
      </c>
      <c r="P1732" t="s">
        <v>20189</v>
      </c>
      <c r="Q1732" t="s">
        <v>1020</v>
      </c>
      <c r="R1732" t="s">
        <v>20190</v>
      </c>
      <c r="S1732" t="s">
        <v>32</v>
      </c>
      <c r="T1732" t="s">
        <v>32</v>
      </c>
      <c r="U1732" t="s">
        <v>32</v>
      </c>
      <c r="V1732" t="s">
        <v>32</v>
      </c>
      <c r="W1732" t="s">
        <v>2325</v>
      </c>
      <c r="X1732" t="s">
        <v>32</v>
      </c>
      <c r="Y1732" t="s">
        <v>618</v>
      </c>
      <c r="Z1732" t="s">
        <v>32</v>
      </c>
      <c r="AA1732" t="s">
        <v>20191</v>
      </c>
      <c r="AB1732" t="s">
        <v>20192</v>
      </c>
      <c r="AC1732" t="s">
        <v>20193</v>
      </c>
      <c r="AD1732" t="s">
        <v>32</v>
      </c>
      <c r="AE1732" t="s">
        <v>4220</v>
      </c>
      <c r="AF1732" t="s">
        <v>46835</v>
      </c>
    </row>
    <row r="1733" spans="1:32" x14ac:dyDescent="0.2">
      <c r="A1733">
        <v>1728</v>
      </c>
      <c r="B1733" t="s">
        <v>20194</v>
      </c>
      <c r="C1733" t="s">
        <v>20195</v>
      </c>
      <c r="D1733" t="s">
        <v>32</v>
      </c>
      <c r="E1733" t="s">
        <v>20196</v>
      </c>
      <c r="F1733" t="s">
        <v>20197</v>
      </c>
      <c r="G1733" t="s">
        <v>20198</v>
      </c>
      <c r="H1733" t="str">
        <f>"Timm44"</f>
        <v>Timm44</v>
      </c>
      <c r="I1733" t="s">
        <v>20199</v>
      </c>
      <c r="J1733" t="s">
        <v>37</v>
      </c>
      <c r="K1733">
        <v>10090</v>
      </c>
      <c r="L1733" s="3" t="str">
        <f>HYPERLINK("http://www.uniprot.org/uniprot/O35857", "O35857")</f>
        <v>O35857</v>
      </c>
      <c r="M1733" t="s">
        <v>20200</v>
      </c>
      <c r="N1733" t="str">
        <f>"Timm44"</f>
        <v>Timm44</v>
      </c>
      <c r="O1733" s="3" t="str">
        <f>HYPERLINK("http://www.informatics.jax.org/marker/MGI:1343262", "MGI:1343262")</f>
        <v>MGI:1343262</v>
      </c>
      <c r="P1733" t="s">
        <v>20201</v>
      </c>
      <c r="Q1733" t="s">
        <v>4270</v>
      </c>
      <c r="R1733" t="s">
        <v>3858</v>
      </c>
      <c r="S1733" t="s">
        <v>32</v>
      </c>
      <c r="T1733" t="s">
        <v>32</v>
      </c>
      <c r="U1733" t="s">
        <v>32</v>
      </c>
      <c r="V1733" t="s">
        <v>1039</v>
      </c>
      <c r="W1733" t="s">
        <v>205</v>
      </c>
      <c r="X1733" t="s">
        <v>32</v>
      </c>
      <c r="Y1733" t="s">
        <v>618</v>
      </c>
      <c r="Z1733" t="s">
        <v>32</v>
      </c>
      <c r="AA1733" t="s">
        <v>20202</v>
      </c>
      <c r="AB1733" t="s">
        <v>20203</v>
      </c>
      <c r="AC1733" t="s">
        <v>20204</v>
      </c>
      <c r="AD1733" t="s">
        <v>32</v>
      </c>
      <c r="AE1733" t="s">
        <v>32</v>
      </c>
      <c r="AF1733" t="s">
        <v>46835</v>
      </c>
    </row>
    <row r="1734" spans="1:32" x14ac:dyDescent="0.2">
      <c r="A1734">
        <v>1729</v>
      </c>
      <c r="B1734" t="s">
        <v>20205</v>
      </c>
      <c r="C1734" t="s">
        <v>20206</v>
      </c>
      <c r="D1734" t="s">
        <v>32</v>
      </c>
      <c r="E1734" t="s">
        <v>20207</v>
      </c>
      <c r="F1734" t="s">
        <v>20208</v>
      </c>
      <c r="G1734" t="s">
        <v>32</v>
      </c>
      <c r="H1734" t="str">
        <f>"Surf4"</f>
        <v>Surf4</v>
      </c>
      <c r="I1734" t="s">
        <v>32</v>
      </c>
      <c r="J1734" t="s">
        <v>37</v>
      </c>
      <c r="K1734">
        <v>10090</v>
      </c>
      <c r="L1734" s="3" t="str">
        <f>HYPERLINK("http://www.uniprot.org/uniprot/Q64310", "Q64310")</f>
        <v>Q64310</v>
      </c>
      <c r="M1734" t="s">
        <v>20209</v>
      </c>
      <c r="N1734" t="str">
        <f>"Surf4"</f>
        <v>Surf4</v>
      </c>
      <c r="O1734" s="3" t="str">
        <f>HYPERLINK("http://www.informatics.jax.org/marker/MGI:98445", "MGI:98445")</f>
        <v>MGI:98445</v>
      </c>
      <c r="P1734" t="s">
        <v>20210</v>
      </c>
      <c r="Q1734" t="s">
        <v>434</v>
      </c>
      <c r="R1734" t="s">
        <v>11259</v>
      </c>
      <c r="S1734" t="s">
        <v>32</v>
      </c>
      <c r="T1734" t="s">
        <v>32</v>
      </c>
      <c r="U1734" t="s">
        <v>32</v>
      </c>
      <c r="V1734" t="s">
        <v>493</v>
      </c>
      <c r="W1734" t="s">
        <v>32</v>
      </c>
      <c r="X1734" t="s">
        <v>32</v>
      </c>
      <c r="Y1734" t="s">
        <v>32</v>
      </c>
      <c r="Z1734" t="s">
        <v>32</v>
      </c>
      <c r="AA1734" t="s">
        <v>20211</v>
      </c>
      <c r="AB1734" t="s">
        <v>20212</v>
      </c>
      <c r="AC1734" t="s">
        <v>14271</v>
      </c>
      <c r="AD1734" t="s">
        <v>32</v>
      </c>
      <c r="AE1734" t="s">
        <v>20213</v>
      </c>
      <c r="AF1734" t="s">
        <v>46835</v>
      </c>
    </row>
    <row r="1735" spans="1:32" x14ac:dyDescent="0.2">
      <c r="A1735">
        <v>1730</v>
      </c>
      <c r="B1735" t="s">
        <v>20214</v>
      </c>
      <c r="C1735" t="s">
        <v>20215</v>
      </c>
      <c r="D1735" t="s">
        <v>32</v>
      </c>
      <c r="E1735" t="s">
        <v>20216</v>
      </c>
      <c r="F1735" t="s">
        <v>20217</v>
      </c>
      <c r="G1735" t="s">
        <v>20218</v>
      </c>
      <c r="H1735" t="s">
        <v>32</v>
      </c>
      <c r="I1735" t="s">
        <v>32</v>
      </c>
      <c r="J1735" t="s">
        <v>37</v>
      </c>
      <c r="K1735">
        <v>10090</v>
      </c>
      <c r="L1735" s="3" t="str">
        <f>HYPERLINK("http://www.uniprot.org/uniprot/Q6PIU9", "Q6PIU9")</f>
        <v>Q6PIU9</v>
      </c>
      <c r="M1735" t="s">
        <v>32</v>
      </c>
      <c r="N1735" t="s">
        <v>32</v>
      </c>
      <c r="O1735" s="3" t="s">
        <v>32</v>
      </c>
      <c r="P1735" t="s">
        <v>157</v>
      </c>
      <c r="Q1735" t="s">
        <v>32</v>
      </c>
      <c r="R1735" t="s">
        <v>32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32</v>
      </c>
      <c r="Y1735" t="s">
        <v>157</v>
      </c>
      <c r="Z1735" t="s">
        <v>32</v>
      </c>
      <c r="AA1735" t="s">
        <v>32</v>
      </c>
      <c r="AB1735" t="s">
        <v>32</v>
      </c>
      <c r="AC1735" t="s">
        <v>32</v>
      </c>
      <c r="AD1735" t="s">
        <v>32</v>
      </c>
      <c r="AE1735" t="s">
        <v>32</v>
      </c>
      <c r="AF1735" t="s">
        <v>46835</v>
      </c>
    </row>
    <row r="1736" spans="1:32" x14ac:dyDescent="0.2">
      <c r="A1736">
        <v>1731</v>
      </c>
      <c r="B1736" t="s">
        <v>20219</v>
      </c>
      <c r="C1736" t="s">
        <v>20220</v>
      </c>
      <c r="D1736" t="s">
        <v>32</v>
      </c>
      <c r="E1736" t="s">
        <v>20221</v>
      </c>
      <c r="F1736" t="s">
        <v>20222</v>
      </c>
      <c r="G1736" t="s">
        <v>20223</v>
      </c>
      <c r="H1736" t="str">
        <f>"Armc10"</f>
        <v>Armc10</v>
      </c>
      <c r="I1736" t="s">
        <v>32</v>
      </c>
      <c r="J1736" t="s">
        <v>37</v>
      </c>
      <c r="K1736">
        <v>10090</v>
      </c>
      <c r="L1736" s="3" t="str">
        <f>HYPERLINK("http://www.uniprot.org/uniprot/Q9D0L7", "Q9D0L7")</f>
        <v>Q9D0L7</v>
      </c>
      <c r="M1736" t="s">
        <v>20224</v>
      </c>
      <c r="N1736" t="str">
        <f>"Armc10"</f>
        <v>Armc10</v>
      </c>
      <c r="O1736" s="3" t="str">
        <f>HYPERLINK("http://www.informatics.jax.org/marker/MGI:1914461", "MGI:1914461")</f>
        <v>MGI:1914461</v>
      </c>
      <c r="P1736" t="s">
        <v>20225</v>
      </c>
      <c r="Q1736" t="s">
        <v>15146</v>
      </c>
      <c r="R1736" t="s">
        <v>1664</v>
      </c>
      <c r="S1736" t="s">
        <v>41</v>
      </c>
      <c r="T1736" t="s">
        <v>32</v>
      </c>
      <c r="U1736" t="s">
        <v>32</v>
      </c>
      <c r="V1736" t="s">
        <v>493</v>
      </c>
      <c r="W1736" t="s">
        <v>32</v>
      </c>
      <c r="X1736" t="s">
        <v>32</v>
      </c>
      <c r="Y1736" t="s">
        <v>618</v>
      </c>
      <c r="Z1736" t="s">
        <v>32</v>
      </c>
      <c r="AA1736" t="s">
        <v>20226</v>
      </c>
      <c r="AB1736" t="s">
        <v>20227</v>
      </c>
      <c r="AC1736" t="s">
        <v>20228</v>
      </c>
      <c r="AD1736" t="s">
        <v>32</v>
      </c>
      <c r="AE1736" t="s">
        <v>32</v>
      </c>
      <c r="AF1736" t="s">
        <v>46835</v>
      </c>
    </row>
    <row r="1737" spans="1:32" x14ac:dyDescent="0.2">
      <c r="A1737">
        <v>1732</v>
      </c>
      <c r="B1737" t="s">
        <v>20229</v>
      </c>
      <c r="C1737" t="s">
        <v>20230</v>
      </c>
      <c r="D1737" t="s">
        <v>20231</v>
      </c>
      <c r="E1737" t="s">
        <v>20232</v>
      </c>
      <c r="F1737" t="s">
        <v>20233</v>
      </c>
      <c r="G1737" t="s">
        <v>20234</v>
      </c>
      <c r="H1737" t="str">
        <f>"Opa1"</f>
        <v>Opa1</v>
      </c>
      <c r="I1737" t="s">
        <v>32</v>
      </c>
      <c r="J1737" t="s">
        <v>37</v>
      </c>
      <c r="K1737">
        <v>10090</v>
      </c>
      <c r="L1737" s="3" t="str">
        <f>HYPERLINK("http://www.uniprot.org/uniprot/P58281", "P58281")</f>
        <v>P58281</v>
      </c>
      <c r="M1737" t="s">
        <v>20235</v>
      </c>
      <c r="N1737" t="str">
        <f>"Opa1"</f>
        <v>Opa1</v>
      </c>
      <c r="O1737" s="3" t="str">
        <f>HYPERLINK("http://www.informatics.jax.org/marker/MGI:1921393", "MGI:1921393")</f>
        <v>MGI:1921393</v>
      </c>
      <c r="P1737" t="s">
        <v>20236</v>
      </c>
      <c r="Q1737" t="s">
        <v>20237</v>
      </c>
      <c r="R1737" t="s">
        <v>3858</v>
      </c>
      <c r="S1737" t="s">
        <v>41</v>
      </c>
      <c r="T1737" t="s">
        <v>32</v>
      </c>
      <c r="U1737" t="s">
        <v>32</v>
      </c>
      <c r="V1737" t="s">
        <v>5433</v>
      </c>
      <c r="W1737" t="s">
        <v>4629</v>
      </c>
      <c r="X1737" t="s">
        <v>343</v>
      </c>
      <c r="Y1737" t="s">
        <v>78</v>
      </c>
      <c r="Z1737" t="s">
        <v>32</v>
      </c>
      <c r="AA1737" t="s">
        <v>20238</v>
      </c>
      <c r="AB1737" t="s">
        <v>20239</v>
      </c>
      <c r="AC1737" t="s">
        <v>20240</v>
      </c>
      <c r="AD1737" t="s">
        <v>32</v>
      </c>
      <c r="AE1737" t="s">
        <v>20241</v>
      </c>
      <c r="AF1737" t="s">
        <v>46835</v>
      </c>
    </row>
    <row r="1738" spans="1:32" x14ac:dyDescent="0.2">
      <c r="A1738">
        <v>1733</v>
      </c>
      <c r="B1738" t="s">
        <v>20242</v>
      </c>
      <c r="C1738" t="s">
        <v>20243</v>
      </c>
      <c r="D1738" t="s">
        <v>20244</v>
      </c>
      <c r="E1738" t="s">
        <v>20245</v>
      </c>
      <c r="F1738" t="s">
        <v>20246</v>
      </c>
      <c r="G1738" t="s">
        <v>20247</v>
      </c>
      <c r="H1738" t="str">
        <f>"Gstm7"</f>
        <v>Gstm7</v>
      </c>
      <c r="I1738" t="s">
        <v>32</v>
      </c>
      <c r="J1738" t="s">
        <v>37</v>
      </c>
      <c r="K1738">
        <v>10090</v>
      </c>
      <c r="L1738" s="3" t="str">
        <f>HYPERLINK("http://www.uniprot.org/uniprot/Q80W21", "Q80W21")</f>
        <v>Q80W21</v>
      </c>
      <c r="M1738" t="s">
        <v>20248</v>
      </c>
      <c r="N1738" t="str">
        <f>"Gstm7"</f>
        <v>Gstm7</v>
      </c>
      <c r="O1738" s="3" t="str">
        <f>HYPERLINK("http://www.informatics.jax.org/marker/MGI:1915562", "MGI:1915562")</f>
        <v>MGI:1915562</v>
      </c>
      <c r="P1738" t="s">
        <v>20249</v>
      </c>
      <c r="Q1738" t="s">
        <v>32</v>
      </c>
      <c r="R1738" t="s">
        <v>418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515</v>
      </c>
      <c r="Y1738" t="s">
        <v>32</v>
      </c>
      <c r="Z1738" t="s">
        <v>126</v>
      </c>
      <c r="AA1738" t="s">
        <v>20250</v>
      </c>
      <c r="AB1738" t="s">
        <v>20251</v>
      </c>
      <c r="AC1738" t="s">
        <v>20252</v>
      </c>
      <c r="AD1738" t="s">
        <v>32</v>
      </c>
      <c r="AE1738" t="s">
        <v>3121</v>
      </c>
      <c r="AF1738" t="s">
        <v>46835</v>
      </c>
    </row>
    <row r="1739" spans="1:32" x14ac:dyDescent="0.2">
      <c r="A1739">
        <v>1734</v>
      </c>
      <c r="B1739" t="s">
        <v>20253</v>
      </c>
      <c r="C1739" t="s">
        <v>20254</v>
      </c>
      <c r="D1739" t="s">
        <v>20255</v>
      </c>
      <c r="E1739" t="s">
        <v>20256</v>
      </c>
      <c r="F1739" t="s">
        <v>20257</v>
      </c>
      <c r="G1739" t="s">
        <v>32</v>
      </c>
      <c r="H1739" t="str">
        <f>"Mob1b"</f>
        <v>Mob1b</v>
      </c>
      <c r="I1739" t="s">
        <v>20258</v>
      </c>
      <c r="J1739" t="s">
        <v>37</v>
      </c>
      <c r="K1739">
        <v>10090</v>
      </c>
      <c r="L1739" s="3" t="str">
        <f>HYPERLINK("http://www.uniprot.org/uniprot/Q8BPB0", "Q8BPB0")</f>
        <v>Q8BPB0</v>
      </c>
      <c r="M1739" t="s">
        <v>20259</v>
      </c>
      <c r="N1739" t="str">
        <f>"Mob1b"</f>
        <v>Mob1b</v>
      </c>
      <c r="O1739" s="3" t="str">
        <f>HYPERLINK("http://www.informatics.jax.org/marker/MGI:1915723", "MGI:1915723")</f>
        <v>MGI:1915723</v>
      </c>
      <c r="P1739" t="s">
        <v>20260</v>
      </c>
      <c r="Q1739" t="s">
        <v>32</v>
      </c>
      <c r="R1739" t="s">
        <v>40</v>
      </c>
      <c r="S1739" t="s">
        <v>32</v>
      </c>
      <c r="T1739" t="s">
        <v>32</v>
      </c>
      <c r="U1739" t="s">
        <v>32</v>
      </c>
      <c r="V1739" t="s">
        <v>32</v>
      </c>
      <c r="W1739" t="s">
        <v>42</v>
      </c>
      <c r="X1739" t="s">
        <v>32</v>
      </c>
      <c r="Y1739" t="s">
        <v>157</v>
      </c>
      <c r="Z1739" t="s">
        <v>126</v>
      </c>
      <c r="AA1739" t="s">
        <v>20261</v>
      </c>
      <c r="AB1739" t="s">
        <v>13868</v>
      </c>
      <c r="AC1739" t="s">
        <v>20262</v>
      </c>
      <c r="AD1739" t="s">
        <v>32</v>
      </c>
      <c r="AE1739" t="s">
        <v>20263</v>
      </c>
      <c r="AF1739" t="s">
        <v>46835</v>
      </c>
    </row>
    <row r="1740" spans="1:32" x14ac:dyDescent="0.2">
      <c r="A1740">
        <v>1735</v>
      </c>
      <c r="B1740" t="s">
        <v>20264</v>
      </c>
      <c r="C1740" t="s">
        <v>20265</v>
      </c>
      <c r="D1740" t="s">
        <v>32</v>
      </c>
      <c r="E1740" t="s">
        <v>20266</v>
      </c>
      <c r="F1740" t="s">
        <v>20267</v>
      </c>
      <c r="G1740" t="s">
        <v>20268</v>
      </c>
      <c r="H1740" t="str">
        <f>"Txlna"</f>
        <v>Txlna</v>
      </c>
      <c r="I1740" t="s">
        <v>20269</v>
      </c>
      <c r="J1740" t="s">
        <v>37</v>
      </c>
      <c r="K1740">
        <v>10090</v>
      </c>
      <c r="L1740" s="3" t="str">
        <f>HYPERLINK("http://www.uniprot.org/uniprot/Q6PAM1", "Q6PAM1")</f>
        <v>Q6PAM1</v>
      </c>
      <c r="M1740" t="s">
        <v>20270</v>
      </c>
      <c r="N1740" t="str">
        <f>"Txlna"</f>
        <v>Txlna</v>
      </c>
      <c r="O1740" s="3" t="str">
        <f>HYPERLINK("http://www.informatics.jax.org/marker/MGI:105968", "MGI:105968")</f>
        <v>MGI:105968</v>
      </c>
      <c r="P1740" t="s">
        <v>20271</v>
      </c>
      <c r="Q1740" t="s">
        <v>7874</v>
      </c>
      <c r="R1740" t="s">
        <v>32</v>
      </c>
      <c r="S1740" t="s">
        <v>41</v>
      </c>
      <c r="T1740" t="s">
        <v>32</v>
      </c>
      <c r="U1740" t="s">
        <v>32</v>
      </c>
      <c r="V1740" t="s">
        <v>290</v>
      </c>
      <c r="W1740" t="s">
        <v>32</v>
      </c>
      <c r="X1740" t="s">
        <v>32</v>
      </c>
      <c r="Y1740" t="s">
        <v>618</v>
      </c>
      <c r="Z1740" t="s">
        <v>32</v>
      </c>
      <c r="AA1740" t="s">
        <v>20272</v>
      </c>
      <c r="AB1740" t="s">
        <v>2172</v>
      </c>
      <c r="AC1740" t="s">
        <v>20273</v>
      </c>
      <c r="AD1740" t="s">
        <v>32</v>
      </c>
      <c r="AE1740" t="s">
        <v>20274</v>
      </c>
      <c r="AF1740" t="s">
        <v>46835</v>
      </c>
    </row>
    <row r="1741" spans="1:32" x14ac:dyDescent="0.2">
      <c r="A1741">
        <v>1736</v>
      </c>
      <c r="B1741" t="s">
        <v>20275</v>
      </c>
      <c r="C1741" t="s">
        <v>20276</v>
      </c>
      <c r="D1741" t="s">
        <v>20277</v>
      </c>
      <c r="E1741" t="s">
        <v>20278</v>
      </c>
      <c r="F1741" t="s">
        <v>20279</v>
      </c>
      <c r="G1741" t="s">
        <v>20280</v>
      </c>
      <c r="H1741" t="str">
        <f>"Gorasp2"</f>
        <v>Gorasp2</v>
      </c>
      <c r="I1741" t="s">
        <v>32</v>
      </c>
      <c r="J1741" t="s">
        <v>37</v>
      </c>
      <c r="K1741">
        <v>10090</v>
      </c>
      <c r="L1741" s="3" t="str">
        <f>HYPERLINK("http://www.uniprot.org/uniprot/Q99JX3", "Q99JX3")</f>
        <v>Q99JX3</v>
      </c>
      <c r="M1741" t="s">
        <v>20281</v>
      </c>
      <c r="N1741" t="str">
        <f>"Gorasp2"</f>
        <v>Gorasp2</v>
      </c>
      <c r="O1741" s="3" t="str">
        <f>HYPERLINK("http://www.informatics.jax.org/marker/MGI:2135962", "MGI:2135962")</f>
        <v>MGI:2135962</v>
      </c>
      <c r="P1741" t="s">
        <v>20282</v>
      </c>
      <c r="Q1741" t="s">
        <v>615</v>
      </c>
      <c r="R1741" t="s">
        <v>11259</v>
      </c>
      <c r="S1741" t="s">
        <v>41</v>
      </c>
      <c r="T1741" t="s">
        <v>32</v>
      </c>
      <c r="U1741" t="s">
        <v>32</v>
      </c>
      <c r="V1741" t="s">
        <v>55</v>
      </c>
      <c r="W1741" t="s">
        <v>32</v>
      </c>
      <c r="X1741" t="s">
        <v>32</v>
      </c>
      <c r="Y1741" t="s">
        <v>20283</v>
      </c>
      <c r="Z1741" t="s">
        <v>126</v>
      </c>
      <c r="AA1741" t="s">
        <v>20284</v>
      </c>
      <c r="AB1741" t="s">
        <v>20285</v>
      </c>
      <c r="AC1741" t="s">
        <v>32</v>
      </c>
      <c r="AD1741" t="s">
        <v>32</v>
      </c>
      <c r="AE1741" t="s">
        <v>20286</v>
      </c>
      <c r="AF1741" t="s">
        <v>46835</v>
      </c>
    </row>
    <row r="1742" spans="1:32" x14ac:dyDescent="0.2">
      <c r="A1742">
        <v>1737</v>
      </c>
      <c r="B1742" t="s">
        <v>20287</v>
      </c>
      <c r="C1742" t="s">
        <v>20288</v>
      </c>
      <c r="D1742" t="s">
        <v>32</v>
      </c>
      <c r="E1742" t="s">
        <v>20289</v>
      </c>
      <c r="F1742" t="s">
        <v>20290</v>
      </c>
      <c r="G1742" t="s">
        <v>20291</v>
      </c>
      <c r="H1742" t="str">
        <f>"Mydgf"</f>
        <v>Mydgf</v>
      </c>
      <c r="I1742" t="s">
        <v>32</v>
      </c>
      <c r="J1742" t="s">
        <v>37</v>
      </c>
      <c r="K1742">
        <v>10090</v>
      </c>
      <c r="L1742" s="3" t="str">
        <f>HYPERLINK("http://www.uniprot.org/uniprot/Q9CPT4", "Q9CPT4")</f>
        <v>Q9CPT4</v>
      </c>
      <c r="M1742" t="s">
        <v>20292</v>
      </c>
      <c r="N1742" t="str">
        <f>"Mydgf"</f>
        <v>Mydgf</v>
      </c>
      <c r="O1742" s="3" t="str">
        <f>HYPERLINK("http://www.informatics.jax.org/marker/MGI:2156020", "MGI:2156020")</f>
        <v>MGI:2156020</v>
      </c>
      <c r="P1742" t="s">
        <v>20293</v>
      </c>
      <c r="Q1742" t="s">
        <v>20294</v>
      </c>
      <c r="R1742" t="s">
        <v>20295</v>
      </c>
      <c r="S1742" t="s">
        <v>32</v>
      </c>
      <c r="T1742" t="s">
        <v>32</v>
      </c>
      <c r="U1742" t="s">
        <v>32</v>
      </c>
      <c r="V1742" t="s">
        <v>811</v>
      </c>
      <c r="W1742" t="s">
        <v>32</v>
      </c>
      <c r="X1742" t="s">
        <v>32</v>
      </c>
      <c r="Y1742" t="s">
        <v>32</v>
      </c>
      <c r="Z1742" t="s">
        <v>32</v>
      </c>
      <c r="AA1742" t="s">
        <v>20296</v>
      </c>
      <c r="AB1742" t="s">
        <v>20297</v>
      </c>
      <c r="AC1742" t="s">
        <v>32</v>
      </c>
      <c r="AD1742" t="s">
        <v>32</v>
      </c>
      <c r="AE1742" t="s">
        <v>32</v>
      </c>
      <c r="AF1742" t="s">
        <v>46835</v>
      </c>
    </row>
    <row r="1743" spans="1:32" x14ac:dyDescent="0.2">
      <c r="A1743">
        <v>1738</v>
      </c>
      <c r="B1743" t="s">
        <v>20298</v>
      </c>
      <c r="C1743" t="s">
        <v>20299</v>
      </c>
      <c r="D1743" t="s">
        <v>20300</v>
      </c>
      <c r="E1743" t="s">
        <v>20301</v>
      </c>
      <c r="F1743" t="s">
        <v>20302</v>
      </c>
      <c r="G1743" t="s">
        <v>20303</v>
      </c>
      <c r="H1743" t="str">
        <f>"Anxa7"</f>
        <v>Anxa7</v>
      </c>
      <c r="I1743" t="s">
        <v>20304</v>
      </c>
      <c r="J1743" t="s">
        <v>37</v>
      </c>
      <c r="K1743">
        <v>10090</v>
      </c>
      <c r="L1743" s="3" t="str">
        <f>HYPERLINK("http://www.uniprot.org/uniprot/Q07076", "Q07076")</f>
        <v>Q07076</v>
      </c>
      <c r="M1743" t="s">
        <v>20305</v>
      </c>
      <c r="N1743" t="str">
        <f>"Anxa7"</f>
        <v>Anxa7</v>
      </c>
      <c r="O1743" s="3" t="str">
        <f>HYPERLINK("http://www.informatics.jax.org/marker/MGI:88031", "MGI:88031")</f>
        <v>MGI:88031</v>
      </c>
      <c r="P1743" t="s">
        <v>20306</v>
      </c>
      <c r="Q1743" t="s">
        <v>32</v>
      </c>
      <c r="R1743" t="s">
        <v>32</v>
      </c>
      <c r="S1743" t="s">
        <v>32</v>
      </c>
      <c r="T1743" t="s">
        <v>32</v>
      </c>
      <c r="U1743" t="s">
        <v>32</v>
      </c>
      <c r="V1743" t="s">
        <v>3029</v>
      </c>
      <c r="W1743" t="s">
        <v>3030</v>
      </c>
      <c r="X1743" t="s">
        <v>32</v>
      </c>
      <c r="Y1743" t="s">
        <v>78</v>
      </c>
      <c r="Z1743" t="s">
        <v>32</v>
      </c>
      <c r="AA1743" t="s">
        <v>20307</v>
      </c>
      <c r="AB1743" t="s">
        <v>20308</v>
      </c>
      <c r="AC1743" t="s">
        <v>20309</v>
      </c>
      <c r="AD1743" t="s">
        <v>32</v>
      </c>
      <c r="AE1743" t="s">
        <v>32</v>
      </c>
      <c r="AF1743" t="s">
        <v>46835</v>
      </c>
    </row>
    <row r="1744" spans="1:32" x14ac:dyDescent="0.2">
      <c r="A1744">
        <v>1739</v>
      </c>
      <c r="B1744" t="s">
        <v>20310</v>
      </c>
      <c r="C1744" t="s">
        <v>20311</v>
      </c>
      <c r="D1744" t="s">
        <v>20312</v>
      </c>
      <c r="E1744" t="s">
        <v>20313</v>
      </c>
      <c r="F1744" t="s">
        <v>20314</v>
      </c>
      <c r="G1744" t="s">
        <v>20315</v>
      </c>
      <c r="H1744" t="str">
        <f>"Ltn1"</f>
        <v>Ltn1</v>
      </c>
      <c r="I1744" t="s">
        <v>20316</v>
      </c>
      <c r="J1744" t="s">
        <v>37</v>
      </c>
      <c r="K1744">
        <v>10090</v>
      </c>
      <c r="L1744" s="3" t="str">
        <f>HYPERLINK("http://www.uniprot.org/uniprot/Q6A009", "Q6A009")</f>
        <v>Q6A009</v>
      </c>
      <c r="M1744" t="s">
        <v>20317</v>
      </c>
      <c r="N1744" t="str">
        <f>"Ltn1"</f>
        <v>Ltn1</v>
      </c>
      <c r="O1744" s="3" t="str">
        <f>HYPERLINK("http://www.informatics.jax.org/marker/MGI:1926163", "MGI:1926163")</f>
        <v>MGI:1926163</v>
      </c>
      <c r="P1744" t="s">
        <v>20318</v>
      </c>
      <c r="Q1744" t="s">
        <v>1020</v>
      </c>
      <c r="R1744" t="s">
        <v>418</v>
      </c>
      <c r="S1744" t="s">
        <v>32</v>
      </c>
      <c r="T1744" t="s">
        <v>32</v>
      </c>
      <c r="U1744" t="s">
        <v>6515</v>
      </c>
      <c r="V1744" t="s">
        <v>3791</v>
      </c>
      <c r="W1744" t="s">
        <v>42</v>
      </c>
      <c r="X1744" t="s">
        <v>515</v>
      </c>
      <c r="Y1744" t="s">
        <v>5599</v>
      </c>
      <c r="Z1744" t="s">
        <v>32</v>
      </c>
      <c r="AA1744" t="s">
        <v>20319</v>
      </c>
      <c r="AB1744" t="s">
        <v>20320</v>
      </c>
      <c r="AC1744" t="s">
        <v>20321</v>
      </c>
      <c r="AD1744" t="s">
        <v>1027</v>
      </c>
      <c r="AE1744" t="s">
        <v>4220</v>
      </c>
      <c r="AF1744" t="s">
        <v>46835</v>
      </c>
    </row>
    <row r="1745" spans="1:33" x14ac:dyDescent="0.2">
      <c r="A1745">
        <v>1740</v>
      </c>
      <c r="B1745" t="s">
        <v>20322</v>
      </c>
      <c r="C1745" t="s">
        <v>20323</v>
      </c>
      <c r="D1745" t="s">
        <v>32</v>
      </c>
      <c r="E1745" t="s">
        <v>20324</v>
      </c>
      <c r="F1745" t="s">
        <v>20325</v>
      </c>
      <c r="G1745" t="s">
        <v>32</v>
      </c>
      <c r="H1745" t="str">
        <f>"Lsm7"</f>
        <v>Lsm7</v>
      </c>
      <c r="I1745" t="s">
        <v>32</v>
      </c>
      <c r="J1745" t="s">
        <v>37</v>
      </c>
      <c r="K1745">
        <v>10090</v>
      </c>
      <c r="L1745" s="3" t="str">
        <f>HYPERLINK("http://www.uniprot.org/uniprot/Q9CQQ8", "Q9CQQ8")</f>
        <v>Q9CQQ8</v>
      </c>
      <c r="M1745" t="s">
        <v>20326</v>
      </c>
      <c r="N1745" t="str">
        <f>"Lsm7"</f>
        <v>Lsm7</v>
      </c>
      <c r="O1745" s="3" t="str">
        <f>HYPERLINK("http://www.informatics.jax.org/marker/MGI:1913344", "MGI:1913344")</f>
        <v>MGI:1913344</v>
      </c>
      <c r="P1745" t="s">
        <v>19254</v>
      </c>
      <c r="Q1745" t="s">
        <v>2139</v>
      </c>
      <c r="R1745" t="s">
        <v>2140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1129</v>
      </c>
      <c r="Y1745" t="s">
        <v>78</v>
      </c>
      <c r="Z1745" t="s">
        <v>32</v>
      </c>
      <c r="AA1745" t="s">
        <v>20327</v>
      </c>
      <c r="AB1745" t="s">
        <v>20328</v>
      </c>
      <c r="AC1745" t="s">
        <v>18905</v>
      </c>
      <c r="AD1745" t="s">
        <v>32</v>
      </c>
      <c r="AE1745" t="s">
        <v>12895</v>
      </c>
      <c r="AF1745" t="s">
        <v>46835</v>
      </c>
    </row>
    <row r="1746" spans="1:33" x14ac:dyDescent="0.2">
      <c r="A1746">
        <v>1741</v>
      </c>
      <c r="B1746" t="s">
        <v>20329</v>
      </c>
      <c r="C1746" t="s">
        <v>20330</v>
      </c>
      <c r="D1746" t="s">
        <v>20331</v>
      </c>
      <c r="E1746" t="s">
        <v>20332</v>
      </c>
      <c r="F1746" t="s">
        <v>20333</v>
      </c>
      <c r="G1746" t="s">
        <v>20334</v>
      </c>
      <c r="H1746" t="str">
        <f>"Plin3"</f>
        <v>Plin3</v>
      </c>
      <c r="I1746" t="s">
        <v>20335</v>
      </c>
      <c r="J1746" t="s">
        <v>37</v>
      </c>
      <c r="K1746">
        <v>10090</v>
      </c>
      <c r="L1746" s="3" t="str">
        <f>HYPERLINK("http://www.uniprot.org/uniprot/Q9DBG5", "Q9DBG5")</f>
        <v>Q9DBG5</v>
      </c>
      <c r="M1746" t="s">
        <v>20336</v>
      </c>
      <c r="N1746" t="str">
        <f>"Plin3"</f>
        <v>Plin3</v>
      </c>
      <c r="O1746" s="3" t="str">
        <f>HYPERLINK("http://www.informatics.jax.org/marker/MGI:1914155", "MGI:1914155")</f>
        <v>MGI:1914155</v>
      </c>
      <c r="P1746" t="s">
        <v>20337</v>
      </c>
      <c r="Q1746" t="s">
        <v>4425</v>
      </c>
      <c r="R1746" t="s">
        <v>20338</v>
      </c>
      <c r="S1746" t="s">
        <v>32</v>
      </c>
      <c r="T1746" t="s">
        <v>32</v>
      </c>
      <c r="U1746" t="s">
        <v>32</v>
      </c>
      <c r="V1746" t="s">
        <v>290</v>
      </c>
      <c r="W1746" t="s">
        <v>32</v>
      </c>
      <c r="X1746" t="s">
        <v>32</v>
      </c>
      <c r="Y1746" t="s">
        <v>516</v>
      </c>
      <c r="Z1746" t="s">
        <v>126</v>
      </c>
      <c r="AA1746" t="s">
        <v>20339</v>
      </c>
      <c r="AB1746" t="s">
        <v>20340</v>
      </c>
      <c r="AC1746" t="s">
        <v>32</v>
      </c>
      <c r="AD1746" t="s">
        <v>32</v>
      </c>
      <c r="AE1746" t="s">
        <v>20341</v>
      </c>
      <c r="AF1746" t="s">
        <v>46835</v>
      </c>
    </row>
    <row r="1747" spans="1:33" x14ac:dyDescent="0.2">
      <c r="A1747">
        <v>1742</v>
      </c>
      <c r="B1747" t="s">
        <v>20342</v>
      </c>
      <c r="C1747" t="s">
        <v>20343</v>
      </c>
      <c r="D1747" t="s">
        <v>20344</v>
      </c>
      <c r="E1747" t="s">
        <v>20345</v>
      </c>
      <c r="F1747" t="s">
        <v>20346</v>
      </c>
      <c r="G1747" t="s">
        <v>20347</v>
      </c>
      <c r="H1747" t="str">
        <f>"Rimoc1"</f>
        <v>Rimoc1</v>
      </c>
      <c r="I1747" t="s">
        <v>32</v>
      </c>
      <c r="J1747" t="s">
        <v>37</v>
      </c>
      <c r="K1747">
        <v>10090</v>
      </c>
      <c r="L1747" s="3" t="str">
        <f>HYPERLINK("http://www.uniprot.org/uniprot/Q8BR90", "Q8BR90")</f>
        <v>Q8BR90</v>
      </c>
      <c r="M1747" t="s">
        <v>20348</v>
      </c>
      <c r="N1747" t="str">
        <f>"AW549877"</f>
        <v>AW549877</v>
      </c>
      <c r="O1747" s="3" t="str">
        <f>HYPERLINK("http://www.informatics.jax.org/marker/MGI:2146232", "MGI:2146232")</f>
        <v>MGI:2146232</v>
      </c>
      <c r="P1747" t="s">
        <v>20349</v>
      </c>
      <c r="Q1747" t="s">
        <v>11661</v>
      </c>
      <c r="R1747" t="s">
        <v>418</v>
      </c>
      <c r="S1747" t="s">
        <v>41</v>
      </c>
      <c r="T1747" t="s">
        <v>32</v>
      </c>
      <c r="U1747" t="s">
        <v>32</v>
      </c>
      <c r="V1747" t="s">
        <v>32</v>
      </c>
      <c r="W1747" t="s">
        <v>32</v>
      </c>
      <c r="X1747" t="s">
        <v>32</v>
      </c>
      <c r="Y1747" t="s">
        <v>78</v>
      </c>
      <c r="Z1747" t="s">
        <v>32</v>
      </c>
      <c r="AA1747" t="s">
        <v>20350</v>
      </c>
      <c r="AB1747" t="s">
        <v>4202</v>
      </c>
      <c r="AC1747" t="s">
        <v>32</v>
      </c>
      <c r="AD1747" t="s">
        <v>32</v>
      </c>
      <c r="AE1747" t="s">
        <v>32</v>
      </c>
      <c r="AF1747" t="s">
        <v>46835</v>
      </c>
    </row>
    <row r="1748" spans="1:33" x14ac:dyDescent="0.2">
      <c r="A1748">
        <v>1743</v>
      </c>
      <c r="B1748" t="s">
        <v>20351</v>
      </c>
      <c r="C1748" t="s">
        <v>20352</v>
      </c>
      <c r="D1748" t="s">
        <v>20353</v>
      </c>
      <c r="E1748" t="s">
        <v>20354</v>
      </c>
      <c r="F1748" t="s">
        <v>20355</v>
      </c>
      <c r="G1748" t="s">
        <v>20356</v>
      </c>
      <c r="H1748" t="str">
        <f>"Vps36"</f>
        <v>Vps36</v>
      </c>
      <c r="I1748" t="s">
        <v>32</v>
      </c>
      <c r="J1748" t="s">
        <v>37</v>
      </c>
      <c r="K1748">
        <v>10090</v>
      </c>
      <c r="L1748" s="3" t="str">
        <f>HYPERLINK("http://www.uniprot.org/uniprot/Q91XD6", "Q91XD6")</f>
        <v>Q91XD6</v>
      </c>
      <c r="M1748" t="s">
        <v>20357</v>
      </c>
      <c r="N1748" t="str">
        <f>"Vps36"</f>
        <v>Vps36</v>
      </c>
      <c r="O1748" s="3" t="str">
        <f>HYPERLINK("http://www.informatics.jax.org/marker/MGI:1917410", "MGI:1917410")</f>
        <v>MGI:1917410</v>
      </c>
      <c r="P1748" t="s">
        <v>20358</v>
      </c>
      <c r="Q1748" t="s">
        <v>5117</v>
      </c>
      <c r="R1748" t="s">
        <v>7802</v>
      </c>
      <c r="S1748" t="s">
        <v>32</v>
      </c>
      <c r="T1748" t="s">
        <v>32</v>
      </c>
      <c r="U1748" t="s">
        <v>32</v>
      </c>
      <c r="V1748" t="s">
        <v>290</v>
      </c>
      <c r="W1748" t="s">
        <v>584</v>
      </c>
      <c r="X1748" t="s">
        <v>32</v>
      </c>
      <c r="Y1748" t="s">
        <v>32</v>
      </c>
      <c r="Z1748" t="s">
        <v>126</v>
      </c>
      <c r="AA1748" t="s">
        <v>20359</v>
      </c>
      <c r="AB1748" t="s">
        <v>20360</v>
      </c>
      <c r="AC1748" t="s">
        <v>20361</v>
      </c>
      <c r="AD1748" t="s">
        <v>32</v>
      </c>
      <c r="AE1748" t="s">
        <v>14055</v>
      </c>
      <c r="AF1748" t="s">
        <v>46835</v>
      </c>
    </row>
    <row r="1749" spans="1:33" x14ac:dyDescent="0.2">
      <c r="A1749">
        <v>1744</v>
      </c>
      <c r="B1749" t="s">
        <v>20362</v>
      </c>
      <c r="C1749" t="s">
        <v>20363</v>
      </c>
      <c r="D1749" t="s">
        <v>20364</v>
      </c>
      <c r="E1749" t="s">
        <v>20365</v>
      </c>
      <c r="F1749" t="s">
        <v>20366</v>
      </c>
      <c r="G1749" t="s">
        <v>20367</v>
      </c>
      <c r="H1749" t="str">
        <f>"Mki67"</f>
        <v>Mki67</v>
      </c>
      <c r="I1749" t="s">
        <v>32</v>
      </c>
      <c r="J1749" t="s">
        <v>37</v>
      </c>
      <c r="K1749">
        <v>10090</v>
      </c>
      <c r="L1749" s="3" t="str">
        <f>HYPERLINK("http://www.uniprot.org/uniprot/E9PVX6", "E9PVX6")</f>
        <v>E9PVX6</v>
      </c>
      <c r="M1749" t="s">
        <v>20368</v>
      </c>
      <c r="N1749" t="str">
        <f>"Mki67"</f>
        <v>Mki67</v>
      </c>
      <c r="O1749" s="3" t="str">
        <f>HYPERLINK("http://www.informatics.jax.org/marker/MGI:106035", "MGI:106035")</f>
        <v>MGI:106035</v>
      </c>
      <c r="P1749" t="s">
        <v>20369</v>
      </c>
      <c r="Q1749" t="s">
        <v>9824</v>
      </c>
      <c r="R1749" t="s">
        <v>1939</v>
      </c>
      <c r="S1749" t="s">
        <v>41</v>
      </c>
      <c r="T1749" t="s">
        <v>32</v>
      </c>
      <c r="U1749" t="s">
        <v>32</v>
      </c>
      <c r="V1749" t="s">
        <v>55</v>
      </c>
      <c r="W1749" t="s">
        <v>205</v>
      </c>
      <c r="X1749" t="s">
        <v>247</v>
      </c>
      <c r="Y1749" t="s">
        <v>516</v>
      </c>
      <c r="Z1749" t="s">
        <v>32</v>
      </c>
      <c r="AA1749" t="s">
        <v>20370</v>
      </c>
      <c r="AB1749" t="s">
        <v>20371</v>
      </c>
      <c r="AC1749" t="s">
        <v>20372</v>
      </c>
      <c r="AD1749" t="s">
        <v>32</v>
      </c>
      <c r="AE1749" t="s">
        <v>32</v>
      </c>
      <c r="AF1749" t="s">
        <v>46835</v>
      </c>
    </row>
    <row r="1750" spans="1:33" x14ac:dyDescent="0.2">
      <c r="A1750">
        <v>1745</v>
      </c>
      <c r="B1750" t="s">
        <v>20373</v>
      </c>
      <c r="C1750" t="s">
        <v>20374</v>
      </c>
      <c r="D1750" t="s">
        <v>20375</v>
      </c>
      <c r="E1750" t="s">
        <v>20376</v>
      </c>
      <c r="F1750" t="s">
        <v>20377</v>
      </c>
      <c r="G1750" t="s">
        <v>20378</v>
      </c>
      <c r="H1750" t="str">
        <f>"Pax6"</f>
        <v>Pax6</v>
      </c>
      <c r="I1750" t="s">
        <v>20379</v>
      </c>
      <c r="J1750" t="s">
        <v>37</v>
      </c>
      <c r="K1750">
        <v>10090</v>
      </c>
      <c r="L1750" s="3" t="str">
        <f>HYPERLINK("http://www.uniprot.org/uniprot/P63015", "P63015")</f>
        <v>P63015</v>
      </c>
      <c r="M1750" t="s">
        <v>20380</v>
      </c>
      <c r="N1750" t="str">
        <f>"Pax6"</f>
        <v>Pax6</v>
      </c>
      <c r="O1750" s="3" t="str">
        <f>HYPERLINK("http://www.informatics.jax.org/marker/MGI:97490", "MGI:97490")</f>
        <v>MGI:97490</v>
      </c>
      <c r="P1750" t="s">
        <v>20381</v>
      </c>
      <c r="Q1750" t="s">
        <v>13865</v>
      </c>
      <c r="R1750" t="s">
        <v>40</v>
      </c>
      <c r="S1750" t="s">
        <v>41</v>
      </c>
      <c r="T1750" t="s">
        <v>32</v>
      </c>
      <c r="U1750" t="s">
        <v>829</v>
      </c>
      <c r="V1750" t="s">
        <v>20382</v>
      </c>
      <c r="W1750" t="s">
        <v>32</v>
      </c>
      <c r="X1750" t="s">
        <v>3912</v>
      </c>
      <c r="Y1750" t="s">
        <v>5599</v>
      </c>
      <c r="Z1750" t="s">
        <v>32</v>
      </c>
      <c r="AA1750" t="s">
        <v>20383</v>
      </c>
      <c r="AB1750" t="s">
        <v>20384</v>
      </c>
      <c r="AC1750" t="s">
        <v>20385</v>
      </c>
      <c r="AD1750" t="s">
        <v>32</v>
      </c>
      <c r="AE1750" t="s">
        <v>32</v>
      </c>
      <c r="AF1750" t="s">
        <v>46835</v>
      </c>
    </row>
    <row r="1751" spans="1:33" x14ac:dyDescent="0.2">
      <c r="A1751">
        <v>1746</v>
      </c>
      <c r="B1751" t="s">
        <v>20386</v>
      </c>
      <c r="C1751" t="s">
        <v>20387</v>
      </c>
      <c r="D1751" t="s">
        <v>20388</v>
      </c>
      <c r="E1751" t="s">
        <v>20389</v>
      </c>
      <c r="F1751" t="s">
        <v>20390</v>
      </c>
      <c r="G1751" t="s">
        <v>20391</v>
      </c>
      <c r="H1751" t="str">
        <f>"Ado"</f>
        <v>Ado</v>
      </c>
      <c r="I1751" t="s">
        <v>20392</v>
      </c>
      <c r="J1751" t="s">
        <v>37</v>
      </c>
      <c r="K1751">
        <v>10090</v>
      </c>
      <c r="L1751" s="3" t="str">
        <f>HYPERLINK("http://www.uniprot.org/uniprot/Q6PDY2", "Q6PDY2")</f>
        <v>Q6PDY2</v>
      </c>
      <c r="M1751" t="s">
        <v>20393</v>
      </c>
      <c r="N1751" t="str">
        <f>"Ado"</f>
        <v>Ado</v>
      </c>
      <c r="O1751" s="3" t="str">
        <f>HYPERLINK("http://www.informatics.jax.org/marker/MGI:2685083", "MGI:2685083")</f>
        <v>MGI:2685083</v>
      </c>
      <c r="P1751" t="s">
        <v>20394</v>
      </c>
      <c r="Q1751" t="s">
        <v>32</v>
      </c>
      <c r="R1751" t="s">
        <v>32</v>
      </c>
      <c r="S1751" t="s">
        <v>32</v>
      </c>
      <c r="T1751" t="s">
        <v>32</v>
      </c>
      <c r="U1751" t="s">
        <v>32</v>
      </c>
      <c r="V1751" t="s">
        <v>32</v>
      </c>
      <c r="W1751" t="s">
        <v>845</v>
      </c>
      <c r="X1751" t="s">
        <v>3732</v>
      </c>
      <c r="Y1751" t="s">
        <v>32</v>
      </c>
      <c r="Z1751" t="s">
        <v>126</v>
      </c>
      <c r="AA1751" t="s">
        <v>20395</v>
      </c>
      <c r="AB1751" t="s">
        <v>3721</v>
      </c>
      <c r="AC1751" t="s">
        <v>20396</v>
      </c>
      <c r="AD1751" t="s">
        <v>32</v>
      </c>
      <c r="AE1751" t="s">
        <v>12980</v>
      </c>
      <c r="AF1751" t="s">
        <v>46835</v>
      </c>
    </row>
    <row r="1752" spans="1:33" x14ac:dyDescent="0.2">
      <c r="A1752">
        <v>1747</v>
      </c>
      <c r="B1752" t="s">
        <v>20397</v>
      </c>
      <c r="C1752" t="s">
        <v>20398</v>
      </c>
      <c r="D1752" t="s">
        <v>20399</v>
      </c>
      <c r="E1752" t="s">
        <v>20400</v>
      </c>
      <c r="F1752" t="s">
        <v>20401</v>
      </c>
      <c r="G1752" t="s">
        <v>20402</v>
      </c>
      <c r="H1752" t="str">
        <f>"Alad"</f>
        <v>Alad</v>
      </c>
      <c r="I1752" t="s">
        <v>20403</v>
      </c>
      <c r="J1752" t="s">
        <v>37</v>
      </c>
      <c r="K1752">
        <v>10090</v>
      </c>
      <c r="L1752" s="3" t="str">
        <f>HYPERLINK("http://www.uniprot.org/uniprot/P10518", "P10518")</f>
        <v>P10518</v>
      </c>
      <c r="M1752" t="s">
        <v>20404</v>
      </c>
      <c r="N1752" t="str">
        <f>"Alad"</f>
        <v>Alad</v>
      </c>
      <c r="O1752" s="3" t="str">
        <f>HYPERLINK("http://www.informatics.jax.org/marker/MGI:96853", "MGI:96853")</f>
        <v>MGI:96853</v>
      </c>
      <c r="P1752" t="s">
        <v>20405</v>
      </c>
      <c r="Q1752" t="s">
        <v>10156</v>
      </c>
      <c r="R1752" t="s">
        <v>32</v>
      </c>
      <c r="S1752" t="s">
        <v>32</v>
      </c>
      <c r="T1752" t="s">
        <v>32</v>
      </c>
      <c r="U1752" t="s">
        <v>32</v>
      </c>
      <c r="V1752" t="s">
        <v>32</v>
      </c>
      <c r="W1752" t="s">
        <v>42</v>
      </c>
      <c r="X1752" t="s">
        <v>20406</v>
      </c>
      <c r="Y1752" t="s">
        <v>618</v>
      </c>
      <c r="Z1752" t="s">
        <v>126</v>
      </c>
      <c r="AA1752" t="s">
        <v>20407</v>
      </c>
      <c r="AB1752" t="s">
        <v>6572</v>
      </c>
      <c r="AC1752" t="s">
        <v>20408</v>
      </c>
      <c r="AD1752" t="s">
        <v>20409</v>
      </c>
      <c r="AE1752" t="s">
        <v>20410</v>
      </c>
      <c r="AF1752" t="s">
        <v>46835</v>
      </c>
    </row>
    <row r="1753" spans="1:33" x14ac:dyDescent="0.2">
      <c r="A1753">
        <v>1748</v>
      </c>
      <c r="B1753" t="s">
        <v>20411</v>
      </c>
      <c r="C1753" t="s">
        <v>47106</v>
      </c>
      <c r="D1753" t="s">
        <v>32</v>
      </c>
      <c r="E1753" t="s">
        <v>46922</v>
      </c>
      <c r="F1753" t="s">
        <v>46921</v>
      </c>
      <c r="G1753" t="s">
        <v>32</v>
      </c>
      <c r="H1753" t="s">
        <v>47237</v>
      </c>
      <c r="I1753" t="s">
        <v>32</v>
      </c>
      <c r="J1753" t="s">
        <v>37</v>
      </c>
      <c r="K1753">
        <v>10090</v>
      </c>
      <c r="L1753" s="3" t="str">
        <f>HYPERLINK(CONCATENATE("https://www.uniprot.org/uniprotkb/", AG1753, "/entry"), AG1753)</f>
        <v>Q9JLT4</v>
      </c>
      <c r="M1753" t="s">
        <v>32</v>
      </c>
      <c r="N1753" t="s">
        <v>32</v>
      </c>
      <c r="O1753" s="3" t="s">
        <v>32</v>
      </c>
      <c r="P1753" t="s">
        <v>32</v>
      </c>
      <c r="Q1753" t="s">
        <v>32</v>
      </c>
      <c r="R1753" t="s">
        <v>32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32</v>
      </c>
      <c r="Y1753" t="s">
        <v>32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  <c r="AE1753" t="s">
        <v>32</v>
      </c>
      <c r="AF1753" t="s">
        <v>46835</v>
      </c>
      <c r="AG1753" t="s">
        <v>46921</v>
      </c>
    </row>
    <row r="1754" spans="1:33" x14ac:dyDescent="0.2">
      <c r="A1754">
        <v>1749</v>
      </c>
      <c r="B1754" t="s">
        <v>20412</v>
      </c>
      <c r="C1754" t="s">
        <v>20413</v>
      </c>
      <c r="D1754" t="s">
        <v>20414</v>
      </c>
      <c r="E1754" t="s">
        <v>20415</v>
      </c>
      <c r="F1754" t="s">
        <v>20416</v>
      </c>
      <c r="G1754" t="s">
        <v>20417</v>
      </c>
      <c r="H1754" t="str">
        <f>"Prepl"</f>
        <v>Prepl</v>
      </c>
      <c r="I1754" t="s">
        <v>20418</v>
      </c>
      <c r="J1754" t="s">
        <v>37</v>
      </c>
      <c r="K1754">
        <v>10090</v>
      </c>
      <c r="L1754" s="3" t="str">
        <f>HYPERLINK("http://www.uniprot.org/uniprot/Q8C167", "Q8C167")</f>
        <v>Q8C167</v>
      </c>
      <c r="M1754" t="s">
        <v>20419</v>
      </c>
      <c r="N1754" t="str">
        <f>"Prepl"</f>
        <v>Prepl</v>
      </c>
      <c r="O1754" s="3" t="str">
        <f>HYPERLINK("http://www.informatics.jax.org/marker/MGI:2441932", "MGI:2441932")</f>
        <v>MGI:2441932</v>
      </c>
      <c r="P1754" t="s">
        <v>20420</v>
      </c>
      <c r="Q1754" t="s">
        <v>32</v>
      </c>
      <c r="R1754" t="s">
        <v>20421</v>
      </c>
      <c r="S1754" t="s">
        <v>41</v>
      </c>
      <c r="T1754" t="s">
        <v>32</v>
      </c>
      <c r="U1754" t="s">
        <v>32</v>
      </c>
      <c r="V1754" t="s">
        <v>32</v>
      </c>
      <c r="W1754" t="s">
        <v>32</v>
      </c>
      <c r="X1754" t="s">
        <v>4493</v>
      </c>
      <c r="Y1754" t="s">
        <v>618</v>
      </c>
      <c r="Z1754" t="s">
        <v>32</v>
      </c>
      <c r="AA1754" t="s">
        <v>20422</v>
      </c>
      <c r="AB1754" t="s">
        <v>20423</v>
      </c>
      <c r="AC1754" t="s">
        <v>15884</v>
      </c>
      <c r="AD1754" t="s">
        <v>32</v>
      </c>
      <c r="AE1754" t="s">
        <v>32</v>
      </c>
      <c r="AF1754" t="s">
        <v>46835</v>
      </c>
    </row>
    <row r="1755" spans="1:33" x14ac:dyDescent="0.2">
      <c r="A1755">
        <v>1750</v>
      </c>
      <c r="B1755" t="s">
        <v>20424</v>
      </c>
      <c r="C1755" t="s">
        <v>20425</v>
      </c>
      <c r="D1755" t="s">
        <v>20426</v>
      </c>
      <c r="E1755" t="s">
        <v>20427</v>
      </c>
      <c r="F1755" t="s">
        <v>20428</v>
      </c>
      <c r="G1755" t="s">
        <v>20429</v>
      </c>
      <c r="H1755" t="str">
        <f>"Pgm2"</f>
        <v>Pgm2</v>
      </c>
      <c r="I1755" t="s">
        <v>20430</v>
      </c>
      <c r="J1755" t="s">
        <v>37</v>
      </c>
      <c r="K1755">
        <v>10090</v>
      </c>
      <c r="L1755" s="3" t="str">
        <f>HYPERLINK("http://www.uniprot.org/uniprot/Q7TSV4", "Q7TSV4")</f>
        <v>Q7TSV4</v>
      </c>
      <c r="M1755" t="s">
        <v>20431</v>
      </c>
      <c r="N1755" t="str">
        <f>"Pgm2"</f>
        <v>Pgm2</v>
      </c>
      <c r="O1755" s="3" t="str">
        <f>HYPERLINK("http://www.informatics.jax.org/marker/MGI:97564", "MGI:97564")</f>
        <v>MGI:97564</v>
      </c>
      <c r="P1755" t="s">
        <v>20432</v>
      </c>
      <c r="Q1755" t="s">
        <v>3553</v>
      </c>
      <c r="R1755" t="s">
        <v>418</v>
      </c>
      <c r="S1755" t="s">
        <v>32</v>
      </c>
      <c r="T1755" t="s">
        <v>32</v>
      </c>
      <c r="U1755" t="s">
        <v>32</v>
      </c>
      <c r="V1755" t="s">
        <v>32</v>
      </c>
      <c r="W1755" t="s">
        <v>223</v>
      </c>
      <c r="X1755" t="s">
        <v>673</v>
      </c>
      <c r="Y1755" t="s">
        <v>618</v>
      </c>
      <c r="Z1755" t="s">
        <v>32</v>
      </c>
      <c r="AA1755" t="s">
        <v>20433</v>
      </c>
      <c r="AB1755" t="s">
        <v>1268</v>
      </c>
      <c r="AC1755" t="s">
        <v>20434</v>
      </c>
      <c r="AD1755" t="s">
        <v>32</v>
      </c>
      <c r="AE1755" t="s">
        <v>20435</v>
      </c>
      <c r="AF1755" t="s">
        <v>46835</v>
      </c>
    </row>
    <row r="1756" spans="1:33" x14ac:dyDescent="0.2">
      <c r="A1756">
        <v>1751</v>
      </c>
      <c r="B1756" t="s">
        <v>20436</v>
      </c>
      <c r="C1756" t="s">
        <v>20437</v>
      </c>
      <c r="D1756" t="s">
        <v>20438</v>
      </c>
      <c r="E1756" t="s">
        <v>20439</v>
      </c>
      <c r="F1756" t="s">
        <v>20440</v>
      </c>
      <c r="G1756" t="s">
        <v>32</v>
      </c>
      <c r="H1756" t="str">
        <f>"Stk38"</f>
        <v>Stk38</v>
      </c>
      <c r="I1756" t="s">
        <v>32</v>
      </c>
      <c r="J1756" t="s">
        <v>37</v>
      </c>
      <c r="K1756">
        <v>10090</v>
      </c>
      <c r="L1756" s="3" t="str">
        <f>HYPERLINK("http://www.uniprot.org/uniprot/Q91VJ4", "Q91VJ4")</f>
        <v>Q91VJ4</v>
      </c>
      <c r="M1756" t="s">
        <v>20441</v>
      </c>
      <c r="N1756" t="str">
        <f>"Stk38"</f>
        <v>Stk38</v>
      </c>
      <c r="O1756" s="3" t="str">
        <f>HYPERLINK("http://www.informatics.jax.org/marker/MGI:2442572", "MGI:2442572")</f>
        <v>MGI:2442572</v>
      </c>
      <c r="P1756" t="s">
        <v>20442</v>
      </c>
      <c r="Q1756" t="s">
        <v>32</v>
      </c>
      <c r="R1756" t="s">
        <v>40</v>
      </c>
      <c r="S1756" t="s">
        <v>32</v>
      </c>
      <c r="T1756" t="s">
        <v>32</v>
      </c>
      <c r="U1756" t="s">
        <v>32</v>
      </c>
      <c r="V1756" t="s">
        <v>32</v>
      </c>
      <c r="W1756" t="s">
        <v>1266</v>
      </c>
      <c r="X1756" t="s">
        <v>5419</v>
      </c>
      <c r="Y1756" t="s">
        <v>1023</v>
      </c>
      <c r="Z1756" t="s">
        <v>32</v>
      </c>
      <c r="AA1756" t="s">
        <v>20443</v>
      </c>
      <c r="AB1756" t="s">
        <v>4218</v>
      </c>
      <c r="AC1756" t="s">
        <v>20444</v>
      </c>
      <c r="AD1756" t="s">
        <v>32</v>
      </c>
      <c r="AE1756" t="s">
        <v>20445</v>
      </c>
      <c r="AF1756" t="s">
        <v>46835</v>
      </c>
    </row>
    <row r="1757" spans="1:33" x14ac:dyDescent="0.2">
      <c r="A1757">
        <v>1752</v>
      </c>
      <c r="B1757" t="s">
        <v>20446</v>
      </c>
      <c r="C1757" t="s">
        <v>20447</v>
      </c>
      <c r="D1757" t="s">
        <v>20448</v>
      </c>
      <c r="E1757" t="s">
        <v>20449</v>
      </c>
      <c r="F1757" t="s">
        <v>20450</v>
      </c>
      <c r="G1757" t="s">
        <v>20451</v>
      </c>
      <c r="H1757" t="str">
        <f>"Wbp11"</f>
        <v>Wbp11</v>
      </c>
      <c r="I1757" t="s">
        <v>20452</v>
      </c>
      <c r="J1757" t="s">
        <v>37</v>
      </c>
      <c r="K1757">
        <v>10090</v>
      </c>
      <c r="L1757" s="3" t="str">
        <f>HYPERLINK("http://www.uniprot.org/uniprot/Q923D5", "Q923D5")</f>
        <v>Q923D5</v>
      </c>
      <c r="M1757" t="s">
        <v>20453</v>
      </c>
      <c r="N1757" t="str">
        <f>"Wbp11"</f>
        <v>Wbp11</v>
      </c>
      <c r="O1757" s="3" t="str">
        <f>HYPERLINK("http://www.informatics.jax.org/marker/MGI:1891823", "MGI:1891823")</f>
        <v>MGI:1891823</v>
      </c>
      <c r="P1757" t="s">
        <v>20454</v>
      </c>
      <c r="Q1757" t="s">
        <v>20455</v>
      </c>
      <c r="R1757" t="s">
        <v>40</v>
      </c>
      <c r="S1757" t="s">
        <v>32</v>
      </c>
      <c r="T1757" t="s">
        <v>32</v>
      </c>
      <c r="U1757" t="s">
        <v>32</v>
      </c>
      <c r="V1757" t="s">
        <v>290</v>
      </c>
      <c r="W1757" t="s">
        <v>32</v>
      </c>
      <c r="X1757" t="s">
        <v>32</v>
      </c>
      <c r="Y1757" t="s">
        <v>207</v>
      </c>
      <c r="Z1757" t="s">
        <v>32</v>
      </c>
      <c r="AA1757" t="s">
        <v>20456</v>
      </c>
      <c r="AB1757" t="s">
        <v>20457</v>
      </c>
      <c r="AC1757" t="s">
        <v>20458</v>
      </c>
      <c r="AD1757" t="s">
        <v>32</v>
      </c>
      <c r="AE1757" t="s">
        <v>946</v>
      </c>
      <c r="AF1757" t="s">
        <v>46835</v>
      </c>
    </row>
    <row r="1758" spans="1:33" x14ac:dyDescent="0.2">
      <c r="A1758">
        <v>1753</v>
      </c>
      <c r="B1758" t="s">
        <v>20459</v>
      </c>
      <c r="C1758" t="s">
        <v>20460</v>
      </c>
      <c r="D1758" t="s">
        <v>20461</v>
      </c>
      <c r="E1758" t="s">
        <v>20462</v>
      </c>
      <c r="F1758" t="s">
        <v>20463</v>
      </c>
      <c r="G1758" t="s">
        <v>20464</v>
      </c>
      <c r="H1758" t="str">
        <f>"Cstf1"</f>
        <v>Cstf1</v>
      </c>
      <c r="I1758" t="s">
        <v>32</v>
      </c>
      <c r="J1758" t="s">
        <v>37</v>
      </c>
      <c r="K1758">
        <v>10090</v>
      </c>
      <c r="L1758" s="3" t="str">
        <f>HYPERLINK("http://www.uniprot.org/uniprot/Q99LC2", "Q99LC2")</f>
        <v>Q99LC2</v>
      </c>
      <c r="M1758" t="s">
        <v>20465</v>
      </c>
      <c r="N1758" t="str">
        <f>"Cstf1"</f>
        <v>Cstf1</v>
      </c>
      <c r="O1758" s="3" t="str">
        <f>HYPERLINK("http://www.informatics.jax.org/marker/MGI:1914587", "MGI:1914587")</f>
        <v>MGI:1914587</v>
      </c>
      <c r="P1758" t="s">
        <v>20466</v>
      </c>
      <c r="Q1758" t="s">
        <v>16601</v>
      </c>
      <c r="R1758" t="s">
        <v>2279</v>
      </c>
      <c r="S1758" t="s">
        <v>32</v>
      </c>
      <c r="T1758" t="s">
        <v>32</v>
      </c>
      <c r="U1758" t="s">
        <v>32</v>
      </c>
      <c r="V1758" t="s">
        <v>1910</v>
      </c>
      <c r="W1758" t="s">
        <v>32</v>
      </c>
      <c r="X1758" t="s">
        <v>32</v>
      </c>
      <c r="Y1758" t="s">
        <v>32</v>
      </c>
      <c r="Z1758" t="s">
        <v>32</v>
      </c>
      <c r="AA1758" t="s">
        <v>20467</v>
      </c>
      <c r="AB1758" t="s">
        <v>20468</v>
      </c>
      <c r="AC1758" t="s">
        <v>32</v>
      </c>
      <c r="AD1758" t="s">
        <v>32</v>
      </c>
      <c r="AE1758" t="s">
        <v>13215</v>
      </c>
      <c r="AF1758" t="s">
        <v>46835</v>
      </c>
    </row>
    <row r="1759" spans="1:33" x14ac:dyDescent="0.2">
      <c r="A1759">
        <v>1754</v>
      </c>
      <c r="B1759" t="s">
        <v>20469</v>
      </c>
      <c r="C1759" t="s">
        <v>20470</v>
      </c>
      <c r="D1759" t="s">
        <v>20471</v>
      </c>
      <c r="E1759" t="s">
        <v>20472</v>
      </c>
      <c r="F1759" t="s">
        <v>20473</v>
      </c>
      <c r="G1759" t="s">
        <v>20474</v>
      </c>
      <c r="H1759" t="str">
        <f>"Brox"</f>
        <v>Brox</v>
      </c>
      <c r="I1759" t="s">
        <v>32</v>
      </c>
      <c r="J1759" t="s">
        <v>37</v>
      </c>
      <c r="K1759">
        <v>10090</v>
      </c>
      <c r="L1759" s="3" t="str">
        <f>HYPERLINK("http://www.uniprot.org/uniprot/Q8K2Q7", "Q8K2Q7")</f>
        <v>Q8K2Q7</v>
      </c>
      <c r="M1759" t="s">
        <v>20475</v>
      </c>
      <c r="N1759" t="str">
        <f>"Brox"</f>
        <v>Brox</v>
      </c>
      <c r="O1759" s="3" t="str">
        <f>HYPERLINK("http://www.informatics.jax.org/marker/MGI:1918928", "MGI:1918928")</f>
        <v>MGI:1918928</v>
      </c>
      <c r="P1759" t="s">
        <v>20476</v>
      </c>
      <c r="Q1759" t="s">
        <v>32</v>
      </c>
      <c r="R1759" t="s">
        <v>5989</v>
      </c>
      <c r="S1759" t="s">
        <v>41</v>
      </c>
      <c r="T1759" t="s">
        <v>32</v>
      </c>
      <c r="U1759" t="s">
        <v>32</v>
      </c>
      <c r="V1759" t="s">
        <v>32</v>
      </c>
      <c r="W1759" t="s">
        <v>32</v>
      </c>
      <c r="X1759" t="s">
        <v>32</v>
      </c>
      <c r="Y1759" t="s">
        <v>20477</v>
      </c>
      <c r="Z1759" t="s">
        <v>32</v>
      </c>
      <c r="AA1759" t="s">
        <v>32</v>
      </c>
      <c r="AB1759" t="s">
        <v>20478</v>
      </c>
      <c r="AC1759" t="s">
        <v>32</v>
      </c>
      <c r="AD1759" t="s">
        <v>32</v>
      </c>
      <c r="AE1759" t="s">
        <v>32</v>
      </c>
      <c r="AF1759" t="s">
        <v>46835</v>
      </c>
    </row>
    <row r="1760" spans="1:33" x14ac:dyDescent="0.2">
      <c r="A1760">
        <v>1755</v>
      </c>
      <c r="B1760" t="s">
        <v>20479</v>
      </c>
      <c r="C1760" t="s">
        <v>20480</v>
      </c>
      <c r="D1760" t="s">
        <v>20481</v>
      </c>
      <c r="E1760" t="s">
        <v>20482</v>
      </c>
      <c r="F1760" t="s">
        <v>20483</v>
      </c>
      <c r="G1760" t="s">
        <v>20484</v>
      </c>
      <c r="H1760" t="str">
        <f>"Spon1"</f>
        <v>Spon1</v>
      </c>
      <c r="I1760" t="s">
        <v>32</v>
      </c>
      <c r="J1760" t="s">
        <v>37</v>
      </c>
      <c r="K1760">
        <v>10090</v>
      </c>
      <c r="L1760" s="3" t="str">
        <f>HYPERLINK("http://www.uniprot.org/uniprot/Q8VCC9", "Q8VCC9")</f>
        <v>Q8VCC9</v>
      </c>
      <c r="M1760" t="s">
        <v>20485</v>
      </c>
      <c r="N1760" t="str">
        <f>"Spon1"</f>
        <v>Spon1</v>
      </c>
      <c r="O1760" s="3" t="str">
        <f>HYPERLINK("http://www.informatics.jax.org/marker/MGI:2385287", "MGI:2385287")</f>
        <v>MGI:2385287</v>
      </c>
      <c r="P1760" t="s">
        <v>20486</v>
      </c>
      <c r="Q1760" t="s">
        <v>2784</v>
      </c>
      <c r="R1760" t="s">
        <v>5586</v>
      </c>
      <c r="S1760" t="s">
        <v>32</v>
      </c>
      <c r="T1760" t="s">
        <v>32</v>
      </c>
      <c r="U1760" t="s">
        <v>32</v>
      </c>
      <c r="V1760" t="s">
        <v>478</v>
      </c>
      <c r="W1760" t="s">
        <v>8683</v>
      </c>
      <c r="X1760" t="s">
        <v>32</v>
      </c>
      <c r="Y1760" t="s">
        <v>5275</v>
      </c>
      <c r="Z1760" t="s">
        <v>32</v>
      </c>
      <c r="AA1760" t="s">
        <v>20487</v>
      </c>
      <c r="AB1760" t="s">
        <v>20488</v>
      </c>
      <c r="AC1760" t="s">
        <v>20489</v>
      </c>
      <c r="AD1760" t="s">
        <v>32</v>
      </c>
      <c r="AE1760" t="s">
        <v>20490</v>
      </c>
      <c r="AF1760" t="s">
        <v>46835</v>
      </c>
    </row>
    <row r="1761" spans="1:32" x14ac:dyDescent="0.2">
      <c r="A1761">
        <v>1756</v>
      </c>
      <c r="B1761" t="s">
        <v>20491</v>
      </c>
      <c r="C1761" t="s">
        <v>20492</v>
      </c>
      <c r="D1761" t="s">
        <v>20493</v>
      </c>
      <c r="E1761" t="s">
        <v>20494</v>
      </c>
      <c r="F1761" t="s">
        <v>20495</v>
      </c>
      <c r="G1761" t="s">
        <v>20496</v>
      </c>
      <c r="H1761" t="str">
        <f>"Nufip2"</f>
        <v>Nufip2</v>
      </c>
      <c r="I1761" t="s">
        <v>20497</v>
      </c>
      <c r="J1761" t="s">
        <v>37</v>
      </c>
      <c r="K1761">
        <v>10090</v>
      </c>
      <c r="L1761" s="3" t="str">
        <f>HYPERLINK("http://www.uniprot.org/uniprot/Q5F2E7", "Q5F2E7")</f>
        <v>Q5F2E7</v>
      </c>
      <c r="M1761" t="s">
        <v>20498</v>
      </c>
      <c r="N1761" t="str">
        <f>"Nufip2"</f>
        <v>Nufip2</v>
      </c>
      <c r="O1761" s="3" t="str">
        <f>HYPERLINK("http://www.informatics.jax.org/marker/MGI:1915814", "MGI:1915814")</f>
        <v>MGI:1915814</v>
      </c>
      <c r="P1761" t="s">
        <v>20499</v>
      </c>
      <c r="Q1761" t="s">
        <v>32</v>
      </c>
      <c r="R1761" t="s">
        <v>40</v>
      </c>
      <c r="S1761" t="s">
        <v>41</v>
      </c>
      <c r="T1761" t="s">
        <v>32</v>
      </c>
      <c r="U1761" t="s">
        <v>32</v>
      </c>
      <c r="V1761" t="s">
        <v>32</v>
      </c>
      <c r="W1761" t="s">
        <v>32</v>
      </c>
      <c r="X1761" t="s">
        <v>32</v>
      </c>
      <c r="Y1761" t="s">
        <v>2192</v>
      </c>
      <c r="Z1761" t="s">
        <v>32</v>
      </c>
      <c r="AA1761" t="s">
        <v>32</v>
      </c>
      <c r="AB1761" t="s">
        <v>20500</v>
      </c>
      <c r="AC1761" t="s">
        <v>4711</v>
      </c>
      <c r="AD1761" t="s">
        <v>32</v>
      </c>
      <c r="AE1761" t="s">
        <v>32</v>
      </c>
      <c r="AF1761" t="s">
        <v>46835</v>
      </c>
    </row>
    <row r="1762" spans="1:32" x14ac:dyDescent="0.2">
      <c r="A1762">
        <v>1757</v>
      </c>
      <c r="B1762" t="s">
        <v>20501</v>
      </c>
      <c r="C1762" t="s">
        <v>20502</v>
      </c>
      <c r="D1762" t="s">
        <v>20503</v>
      </c>
      <c r="E1762" t="s">
        <v>20504</v>
      </c>
      <c r="F1762" t="s">
        <v>20505</v>
      </c>
      <c r="G1762" t="s">
        <v>20506</v>
      </c>
      <c r="H1762" t="str">
        <f>"Sltm"</f>
        <v>Sltm</v>
      </c>
      <c r="I1762" t="s">
        <v>20507</v>
      </c>
      <c r="J1762" t="s">
        <v>37</v>
      </c>
      <c r="K1762">
        <v>10090</v>
      </c>
      <c r="L1762" s="3" t="str">
        <f>HYPERLINK("http://www.uniprot.org/uniprot/Q8CH25", "Q8CH25")</f>
        <v>Q8CH25</v>
      </c>
      <c r="M1762" t="s">
        <v>20508</v>
      </c>
      <c r="N1762" t="str">
        <f>"Sltm"</f>
        <v>Sltm</v>
      </c>
      <c r="O1762" s="3" t="str">
        <f>HYPERLINK("http://www.informatics.jax.org/marker/MGI:1913910", "MGI:1913910")</f>
        <v>MGI:1913910</v>
      </c>
      <c r="P1762" t="s">
        <v>20509</v>
      </c>
      <c r="Q1762" t="s">
        <v>20510</v>
      </c>
      <c r="R1762" t="s">
        <v>2279</v>
      </c>
      <c r="S1762" t="s">
        <v>41</v>
      </c>
      <c r="T1762" t="s">
        <v>32</v>
      </c>
      <c r="U1762" t="s">
        <v>32</v>
      </c>
      <c r="V1762" t="s">
        <v>290</v>
      </c>
      <c r="W1762" t="s">
        <v>32</v>
      </c>
      <c r="X1762" t="s">
        <v>9766</v>
      </c>
      <c r="Y1762" t="s">
        <v>207</v>
      </c>
      <c r="Z1762" t="s">
        <v>32</v>
      </c>
      <c r="AA1762" t="s">
        <v>20511</v>
      </c>
      <c r="AB1762" t="s">
        <v>13146</v>
      </c>
      <c r="AC1762" t="s">
        <v>20512</v>
      </c>
      <c r="AD1762" t="s">
        <v>32</v>
      </c>
      <c r="AE1762" t="s">
        <v>32</v>
      </c>
      <c r="AF1762" t="s">
        <v>46835</v>
      </c>
    </row>
    <row r="1763" spans="1:32" x14ac:dyDescent="0.2">
      <c r="A1763">
        <v>1758</v>
      </c>
      <c r="B1763" t="s">
        <v>20513</v>
      </c>
      <c r="C1763" t="s">
        <v>20514</v>
      </c>
      <c r="D1763" t="s">
        <v>20515</v>
      </c>
      <c r="E1763" t="s">
        <v>20516</v>
      </c>
      <c r="F1763" t="s">
        <v>20517</v>
      </c>
      <c r="G1763" t="s">
        <v>20518</v>
      </c>
      <c r="H1763" t="str">
        <f>"Stam2"</f>
        <v>Stam2</v>
      </c>
      <c r="I1763" t="s">
        <v>20519</v>
      </c>
      <c r="J1763" t="s">
        <v>37</v>
      </c>
      <c r="K1763">
        <v>10090</v>
      </c>
      <c r="L1763" s="3" t="str">
        <f>HYPERLINK("http://www.uniprot.org/uniprot/O88811", "O88811")</f>
        <v>O88811</v>
      </c>
      <c r="M1763" t="s">
        <v>20520</v>
      </c>
      <c r="N1763" t="str">
        <f>"Stam2"</f>
        <v>Stam2</v>
      </c>
      <c r="O1763" s="3" t="str">
        <f>HYPERLINK("http://www.informatics.jax.org/marker/MGI:1929100", "MGI:1929100")</f>
        <v>MGI:1929100</v>
      </c>
      <c r="P1763" t="s">
        <v>20521</v>
      </c>
      <c r="Q1763" t="s">
        <v>434</v>
      </c>
      <c r="R1763" t="s">
        <v>6558</v>
      </c>
      <c r="S1763" t="s">
        <v>41</v>
      </c>
      <c r="T1763" t="s">
        <v>32</v>
      </c>
      <c r="U1763" t="s">
        <v>32</v>
      </c>
      <c r="V1763" t="s">
        <v>10640</v>
      </c>
      <c r="W1763" t="s">
        <v>32</v>
      </c>
      <c r="X1763" t="s">
        <v>32</v>
      </c>
      <c r="Y1763" t="s">
        <v>618</v>
      </c>
      <c r="Z1763" t="s">
        <v>126</v>
      </c>
      <c r="AA1763" t="s">
        <v>4271</v>
      </c>
      <c r="AB1763" t="s">
        <v>20522</v>
      </c>
      <c r="AC1763" t="s">
        <v>20523</v>
      </c>
      <c r="AD1763" t="s">
        <v>32</v>
      </c>
      <c r="AE1763" t="s">
        <v>20524</v>
      </c>
      <c r="AF1763" t="s">
        <v>46835</v>
      </c>
    </row>
    <row r="1764" spans="1:32" x14ac:dyDescent="0.2">
      <c r="A1764">
        <v>1759</v>
      </c>
      <c r="B1764" t="s">
        <v>20525</v>
      </c>
      <c r="C1764" t="s">
        <v>20526</v>
      </c>
      <c r="D1764" t="s">
        <v>20527</v>
      </c>
      <c r="E1764" t="s">
        <v>20528</v>
      </c>
      <c r="F1764" t="s">
        <v>20529</v>
      </c>
      <c r="G1764" t="s">
        <v>20530</v>
      </c>
      <c r="H1764" t="str">
        <f>"Plod2"</f>
        <v>Plod2</v>
      </c>
      <c r="I1764" t="s">
        <v>32</v>
      </c>
      <c r="J1764" t="s">
        <v>37</v>
      </c>
      <c r="K1764">
        <v>10090</v>
      </c>
      <c r="L1764" s="3" t="str">
        <f>HYPERLINK("http://www.uniprot.org/uniprot/Q9R0B9", "Q9R0B9")</f>
        <v>Q9R0B9</v>
      </c>
      <c r="M1764" t="s">
        <v>20531</v>
      </c>
      <c r="N1764" t="str">
        <f>"Plod2"</f>
        <v>Plod2</v>
      </c>
      <c r="O1764" s="3" t="str">
        <f>HYPERLINK("http://www.informatics.jax.org/marker/MGI:1347007", "MGI:1347007")</f>
        <v>MGI:1347007</v>
      </c>
      <c r="P1764" t="s">
        <v>20532</v>
      </c>
      <c r="Q1764" t="s">
        <v>32</v>
      </c>
      <c r="R1764" t="s">
        <v>1664</v>
      </c>
      <c r="S1764" t="s">
        <v>32</v>
      </c>
      <c r="T1764" t="s">
        <v>32</v>
      </c>
      <c r="U1764" t="s">
        <v>32</v>
      </c>
      <c r="V1764" t="s">
        <v>811</v>
      </c>
      <c r="W1764" t="s">
        <v>3731</v>
      </c>
      <c r="X1764" t="s">
        <v>3732</v>
      </c>
      <c r="Y1764" t="s">
        <v>4720</v>
      </c>
      <c r="Z1764" t="s">
        <v>32</v>
      </c>
      <c r="AA1764" t="s">
        <v>20533</v>
      </c>
      <c r="AB1764" t="s">
        <v>20534</v>
      </c>
      <c r="AC1764" t="s">
        <v>20535</v>
      </c>
      <c r="AD1764" t="s">
        <v>32</v>
      </c>
      <c r="AE1764" t="s">
        <v>2061</v>
      </c>
      <c r="AF1764" t="s">
        <v>46835</v>
      </c>
    </row>
    <row r="1765" spans="1:32" x14ac:dyDescent="0.2">
      <c r="A1765">
        <v>1760</v>
      </c>
      <c r="B1765" t="s">
        <v>20536</v>
      </c>
      <c r="C1765" t="s">
        <v>20537</v>
      </c>
      <c r="D1765" t="s">
        <v>32</v>
      </c>
      <c r="E1765" t="s">
        <v>20538</v>
      </c>
      <c r="F1765" t="s">
        <v>20539</v>
      </c>
      <c r="G1765" t="s">
        <v>20540</v>
      </c>
      <c r="H1765" t="str">
        <f>"Grcc10"</f>
        <v>Grcc10</v>
      </c>
      <c r="I1765" t="s">
        <v>20541</v>
      </c>
      <c r="J1765" t="s">
        <v>37</v>
      </c>
      <c r="K1765">
        <v>10090</v>
      </c>
      <c r="L1765" s="3" t="str">
        <f>HYPERLINK("http://www.uniprot.org/uniprot/O35127", "O35127")</f>
        <v>O35127</v>
      </c>
      <c r="M1765" t="s">
        <v>20542</v>
      </c>
      <c r="N1765" t="str">
        <f>"Grcc10"</f>
        <v>Grcc10</v>
      </c>
      <c r="O1765" s="3" t="str">
        <f>HYPERLINK("http://www.informatics.jax.org/marker/MGI:1315201", "MGI:1315201")</f>
        <v>MGI:1315201</v>
      </c>
      <c r="P1765" t="s">
        <v>20543</v>
      </c>
      <c r="Q1765" t="s">
        <v>32</v>
      </c>
      <c r="R1765" t="s">
        <v>418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32</v>
      </c>
      <c r="Y1765" t="s">
        <v>78</v>
      </c>
      <c r="Z1765" t="s">
        <v>32</v>
      </c>
      <c r="AA1765" t="s">
        <v>20544</v>
      </c>
      <c r="AB1765" t="s">
        <v>12246</v>
      </c>
      <c r="AC1765" t="s">
        <v>32</v>
      </c>
      <c r="AD1765" t="s">
        <v>32</v>
      </c>
      <c r="AE1765" t="s">
        <v>32</v>
      </c>
      <c r="AF1765" t="s">
        <v>46835</v>
      </c>
    </row>
    <row r="1766" spans="1:32" x14ac:dyDescent="0.2">
      <c r="A1766">
        <v>1761</v>
      </c>
      <c r="B1766" t="s">
        <v>20545</v>
      </c>
      <c r="C1766" t="s">
        <v>20546</v>
      </c>
      <c r="D1766" t="s">
        <v>32</v>
      </c>
      <c r="E1766" t="s">
        <v>20547</v>
      </c>
      <c r="F1766" t="s">
        <v>20548</v>
      </c>
      <c r="G1766" t="s">
        <v>20549</v>
      </c>
      <c r="H1766" t="str">
        <f>"Isoc1"</f>
        <v>Isoc1</v>
      </c>
      <c r="I1766" t="s">
        <v>32</v>
      </c>
      <c r="J1766" t="s">
        <v>37</v>
      </c>
      <c r="K1766">
        <v>10090</v>
      </c>
      <c r="L1766" s="3" t="str">
        <f>HYPERLINK("http://www.uniprot.org/uniprot/Q91V64", "Q91V64")</f>
        <v>Q91V64</v>
      </c>
      <c r="M1766" t="s">
        <v>20550</v>
      </c>
      <c r="N1766" t="str">
        <f>"Isoc1"</f>
        <v>Isoc1</v>
      </c>
      <c r="O1766" s="3" t="str">
        <f>HYPERLINK("http://www.informatics.jax.org/marker/MGI:1913557", "MGI:1913557")</f>
        <v>MGI:1913557</v>
      </c>
      <c r="P1766" t="s">
        <v>618</v>
      </c>
      <c r="Q1766" t="s">
        <v>32</v>
      </c>
      <c r="R1766" t="s">
        <v>32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32</v>
      </c>
      <c r="Y1766" t="s">
        <v>618</v>
      </c>
      <c r="Z1766" t="s">
        <v>32</v>
      </c>
      <c r="AA1766" t="s">
        <v>32</v>
      </c>
      <c r="AB1766" t="s">
        <v>20551</v>
      </c>
      <c r="AC1766" t="s">
        <v>32</v>
      </c>
      <c r="AD1766" t="s">
        <v>32</v>
      </c>
      <c r="AE1766" t="s">
        <v>32</v>
      </c>
      <c r="AF1766" t="s">
        <v>46835</v>
      </c>
    </row>
    <row r="1767" spans="1:32" x14ac:dyDescent="0.2">
      <c r="A1767">
        <v>1762</v>
      </c>
      <c r="B1767" t="s">
        <v>20552</v>
      </c>
      <c r="C1767" t="s">
        <v>20553</v>
      </c>
      <c r="D1767" t="s">
        <v>32</v>
      </c>
      <c r="E1767" t="s">
        <v>20554</v>
      </c>
      <c r="F1767" t="s">
        <v>20555</v>
      </c>
      <c r="G1767" t="s">
        <v>20556</v>
      </c>
      <c r="H1767" t="str">
        <f>"Pwp1"</f>
        <v>Pwp1</v>
      </c>
      <c r="I1767" t="s">
        <v>32</v>
      </c>
      <c r="J1767" t="s">
        <v>37</v>
      </c>
      <c r="K1767">
        <v>10090</v>
      </c>
      <c r="L1767" s="3" t="str">
        <f>HYPERLINK("http://www.uniprot.org/uniprot/Q99LL5", "Q99LL5")</f>
        <v>Q99LL5</v>
      </c>
      <c r="M1767" t="s">
        <v>20557</v>
      </c>
      <c r="N1767" t="str">
        <f>"Pwp1"</f>
        <v>Pwp1</v>
      </c>
      <c r="O1767" s="3" t="str">
        <f>HYPERLINK("http://www.informatics.jax.org/marker/MGI:1914735", "MGI:1914735")</f>
        <v>MGI:1914735</v>
      </c>
      <c r="P1767" t="s">
        <v>20558</v>
      </c>
      <c r="Q1767" t="s">
        <v>20559</v>
      </c>
      <c r="R1767" t="s">
        <v>1939</v>
      </c>
      <c r="S1767" t="s">
        <v>32</v>
      </c>
      <c r="T1767" t="s">
        <v>32</v>
      </c>
      <c r="U1767" t="s">
        <v>32</v>
      </c>
      <c r="V1767" t="s">
        <v>1910</v>
      </c>
      <c r="W1767" t="s">
        <v>32</v>
      </c>
      <c r="X1767" t="s">
        <v>32</v>
      </c>
      <c r="Y1767" t="s">
        <v>618</v>
      </c>
      <c r="Z1767" t="s">
        <v>32</v>
      </c>
      <c r="AA1767" t="s">
        <v>20560</v>
      </c>
      <c r="AB1767" t="s">
        <v>20561</v>
      </c>
      <c r="AC1767" t="s">
        <v>20562</v>
      </c>
      <c r="AD1767" t="s">
        <v>32</v>
      </c>
      <c r="AE1767" t="s">
        <v>32</v>
      </c>
      <c r="AF1767" t="s">
        <v>46835</v>
      </c>
    </row>
    <row r="1768" spans="1:32" x14ac:dyDescent="0.2">
      <c r="A1768">
        <v>1763</v>
      </c>
      <c r="B1768" t="s">
        <v>20563</v>
      </c>
      <c r="C1768" t="s">
        <v>20564</v>
      </c>
      <c r="D1768" t="s">
        <v>32</v>
      </c>
      <c r="E1768" t="s">
        <v>20565</v>
      </c>
      <c r="F1768" t="s">
        <v>20566</v>
      </c>
      <c r="G1768" t="s">
        <v>20567</v>
      </c>
      <c r="H1768" t="str">
        <f>"Fbn1"</f>
        <v>Fbn1</v>
      </c>
      <c r="I1768" t="s">
        <v>32</v>
      </c>
      <c r="J1768" t="s">
        <v>37</v>
      </c>
      <c r="K1768">
        <v>10090</v>
      </c>
      <c r="L1768" s="3" t="str">
        <f>HYPERLINK("http://www.uniprot.org/uniprot/Q61554", "Q61554")</f>
        <v>Q61554</v>
      </c>
      <c r="M1768" t="s">
        <v>20568</v>
      </c>
      <c r="N1768" t="str">
        <f>"Fbn1"</f>
        <v>Fbn1</v>
      </c>
      <c r="O1768" s="3" t="str">
        <f>HYPERLINK("http://www.informatics.jax.org/marker/MGI:95489", "MGI:95489")</f>
        <v>MGI:95489</v>
      </c>
      <c r="P1768" t="s">
        <v>20569</v>
      </c>
      <c r="Q1768" t="s">
        <v>32</v>
      </c>
      <c r="R1768" t="s">
        <v>5586</v>
      </c>
      <c r="S1768" t="s">
        <v>32</v>
      </c>
      <c r="T1768" t="s">
        <v>32</v>
      </c>
      <c r="U1768" t="s">
        <v>32</v>
      </c>
      <c r="V1768" t="s">
        <v>2786</v>
      </c>
      <c r="W1768" t="s">
        <v>1380</v>
      </c>
      <c r="X1768" t="s">
        <v>4696</v>
      </c>
      <c r="Y1768" t="s">
        <v>2865</v>
      </c>
      <c r="Z1768" t="s">
        <v>32</v>
      </c>
      <c r="AA1768" t="s">
        <v>20570</v>
      </c>
      <c r="AB1768" t="s">
        <v>20571</v>
      </c>
      <c r="AC1768" t="s">
        <v>20572</v>
      </c>
      <c r="AD1768" t="s">
        <v>32</v>
      </c>
      <c r="AE1768" t="s">
        <v>20573</v>
      </c>
      <c r="AF1768" t="s">
        <v>46835</v>
      </c>
    </row>
    <row r="1769" spans="1:32" x14ac:dyDescent="0.2">
      <c r="A1769">
        <v>1764</v>
      </c>
      <c r="B1769" t="s">
        <v>20574</v>
      </c>
      <c r="C1769" t="s">
        <v>20575</v>
      </c>
      <c r="D1769" t="s">
        <v>20576</v>
      </c>
      <c r="E1769" t="s">
        <v>20577</v>
      </c>
      <c r="F1769" t="s">
        <v>20578</v>
      </c>
      <c r="G1769" t="s">
        <v>20579</v>
      </c>
      <c r="H1769" t="str">
        <f>"Ndufa2"</f>
        <v>Ndufa2</v>
      </c>
      <c r="I1769" t="s">
        <v>32</v>
      </c>
      <c r="J1769" t="s">
        <v>37</v>
      </c>
      <c r="K1769">
        <v>10090</v>
      </c>
      <c r="L1769" s="3" t="str">
        <f>HYPERLINK("http://www.uniprot.org/uniprot/Q9CQ75", "Q9CQ75")</f>
        <v>Q9CQ75</v>
      </c>
      <c r="M1769" t="s">
        <v>20580</v>
      </c>
      <c r="N1769" t="str">
        <f>"Ndufa2"</f>
        <v>Ndufa2</v>
      </c>
      <c r="O1769" s="3" t="str">
        <f>HYPERLINK("http://www.informatics.jax.org/marker/MGI:1343103", "MGI:1343103")</f>
        <v>MGI:1343103</v>
      </c>
      <c r="P1769" t="s">
        <v>20581</v>
      </c>
      <c r="Q1769" t="s">
        <v>6888</v>
      </c>
      <c r="R1769" t="s">
        <v>3858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32</v>
      </c>
      <c r="Y1769" t="s">
        <v>8737</v>
      </c>
      <c r="Z1769" t="s">
        <v>126</v>
      </c>
      <c r="AA1769" t="s">
        <v>20582</v>
      </c>
      <c r="AB1769" t="s">
        <v>19491</v>
      </c>
      <c r="AC1769" t="s">
        <v>10892</v>
      </c>
      <c r="AD1769" t="s">
        <v>32</v>
      </c>
      <c r="AE1769" t="s">
        <v>10470</v>
      </c>
      <c r="AF1769" t="s">
        <v>46835</v>
      </c>
    </row>
    <row r="1770" spans="1:32" x14ac:dyDescent="0.2">
      <c r="A1770">
        <v>1765</v>
      </c>
      <c r="B1770" t="s">
        <v>20583</v>
      </c>
      <c r="C1770" t="s">
        <v>20584</v>
      </c>
      <c r="D1770" t="s">
        <v>32</v>
      </c>
      <c r="E1770" t="s">
        <v>20585</v>
      </c>
      <c r="F1770" t="s">
        <v>20586</v>
      </c>
      <c r="G1770" t="s">
        <v>20587</v>
      </c>
      <c r="H1770" t="str">
        <f>"Kif21a"</f>
        <v>Kif21a</v>
      </c>
      <c r="I1770" t="s">
        <v>20588</v>
      </c>
      <c r="J1770" t="s">
        <v>37</v>
      </c>
      <c r="K1770">
        <v>10090</v>
      </c>
      <c r="L1770" s="3" t="str">
        <f>HYPERLINK("http://www.uniprot.org/uniprot/Q9QXL2", "Q9QXL2")</f>
        <v>Q9QXL2</v>
      </c>
      <c r="M1770" t="s">
        <v>20589</v>
      </c>
      <c r="N1770" t="str">
        <f>"Kif21a"</f>
        <v>Kif21a</v>
      </c>
      <c r="O1770" s="3" t="str">
        <f>HYPERLINK("http://www.informatics.jax.org/marker/MGI:109188", "MGI:109188")</f>
        <v>MGI:109188</v>
      </c>
      <c r="P1770" t="s">
        <v>20590</v>
      </c>
      <c r="Q1770" t="s">
        <v>32</v>
      </c>
      <c r="R1770" t="s">
        <v>13003</v>
      </c>
      <c r="S1770" t="s">
        <v>41</v>
      </c>
      <c r="T1770" t="s">
        <v>32</v>
      </c>
      <c r="U1770" t="s">
        <v>32</v>
      </c>
      <c r="V1770" t="s">
        <v>3167</v>
      </c>
      <c r="W1770" t="s">
        <v>205</v>
      </c>
      <c r="X1770" t="s">
        <v>830</v>
      </c>
      <c r="Y1770" t="s">
        <v>157</v>
      </c>
      <c r="Z1770" t="s">
        <v>126</v>
      </c>
      <c r="AA1770" t="s">
        <v>18663</v>
      </c>
      <c r="AB1770" t="s">
        <v>20591</v>
      </c>
      <c r="AC1770" t="s">
        <v>20592</v>
      </c>
      <c r="AD1770" t="s">
        <v>32</v>
      </c>
      <c r="AE1770" t="s">
        <v>4550</v>
      </c>
      <c r="AF1770" t="s">
        <v>46835</v>
      </c>
    </row>
    <row r="1771" spans="1:32" x14ac:dyDescent="0.2">
      <c r="A1771">
        <v>1766</v>
      </c>
      <c r="B1771" t="s">
        <v>20593</v>
      </c>
      <c r="C1771" t="s">
        <v>20594</v>
      </c>
      <c r="D1771" t="s">
        <v>20595</v>
      </c>
      <c r="E1771" t="s">
        <v>20596</v>
      </c>
      <c r="F1771" t="s">
        <v>20597</v>
      </c>
      <c r="G1771" t="s">
        <v>20598</v>
      </c>
      <c r="H1771" t="str">
        <f>"Dock7"</f>
        <v>Dock7</v>
      </c>
      <c r="I1771" t="s">
        <v>20599</v>
      </c>
      <c r="J1771" t="s">
        <v>37</v>
      </c>
      <c r="K1771">
        <v>10090</v>
      </c>
      <c r="L1771" s="3" t="str">
        <f>HYPERLINK("http://www.uniprot.org/uniprot/Q8R1A4", "Q8R1A4")</f>
        <v>Q8R1A4</v>
      </c>
      <c r="M1771" t="s">
        <v>20600</v>
      </c>
      <c r="N1771" t="str">
        <f>"Dock7"</f>
        <v>Dock7</v>
      </c>
      <c r="O1771" s="3" t="str">
        <f>HYPERLINK("http://www.informatics.jax.org/marker/MGI:1914549", "MGI:1914549")</f>
        <v>MGI:1914549</v>
      </c>
      <c r="P1771" t="s">
        <v>20601</v>
      </c>
      <c r="Q1771" t="s">
        <v>2027</v>
      </c>
      <c r="R1771" t="s">
        <v>3262</v>
      </c>
      <c r="S1771" t="s">
        <v>41</v>
      </c>
      <c r="T1771" t="s">
        <v>32</v>
      </c>
      <c r="U1771" t="s">
        <v>32</v>
      </c>
      <c r="V1771" t="s">
        <v>290</v>
      </c>
      <c r="W1771" t="s">
        <v>32</v>
      </c>
      <c r="X1771" t="s">
        <v>20602</v>
      </c>
      <c r="Y1771" t="s">
        <v>97</v>
      </c>
      <c r="Z1771" t="s">
        <v>32</v>
      </c>
      <c r="AA1771" t="s">
        <v>20603</v>
      </c>
      <c r="AB1771" t="s">
        <v>20604</v>
      </c>
      <c r="AC1771" t="s">
        <v>20605</v>
      </c>
      <c r="AD1771" t="s">
        <v>32</v>
      </c>
      <c r="AE1771" t="s">
        <v>20606</v>
      </c>
      <c r="AF1771" t="s">
        <v>46835</v>
      </c>
    </row>
    <row r="1772" spans="1:32" x14ac:dyDescent="0.2">
      <c r="A1772">
        <v>1767</v>
      </c>
      <c r="B1772" t="s">
        <v>20607</v>
      </c>
      <c r="C1772" t="s">
        <v>20608</v>
      </c>
      <c r="D1772" t="s">
        <v>20609</v>
      </c>
      <c r="E1772" t="s">
        <v>20610</v>
      </c>
      <c r="F1772" t="s">
        <v>20611</v>
      </c>
      <c r="G1772" t="s">
        <v>32</v>
      </c>
      <c r="H1772" t="str">
        <f>"Naa10"</f>
        <v>Naa10</v>
      </c>
      <c r="I1772" t="s">
        <v>20612</v>
      </c>
      <c r="J1772" t="s">
        <v>37</v>
      </c>
      <c r="K1772">
        <v>10090</v>
      </c>
      <c r="L1772" s="3" t="str">
        <f>HYPERLINK("http://www.uniprot.org/uniprot/Q9QY36", "Q9QY36")</f>
        <v>Q9QY36</v>
      </c>
      <c r="M1772" t="s">
        <v>20613</v>
      </c>
      <c r="N1772" t="str">
        <f>"Naa10"</f>
        <v>Naa10</v>
      </c>
      <c r="O1772" s="3" t="str">
        <f>HYPERLINK("http://www.informatics.jax.org/marker/MGI:1915255", "MGI:1915255")</f>
        <v>MGI:1915255</v>
      </c>
      <c r="P1772" t="s">
        <v>20614</v>
      </c>
      <c r="Q1772" t="s">
        <v>32</v>
      </c>
      <c r="R1772" t="s">
        <v>40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7304</v>
      </c>
      <c r="Y1772" t="s">
        <v>157</v>
      </c>
      <c r="Z1772" t="s">
        <v>32</v>
      </c>
      <c r="AA1772" t="s">
        <v>20615</v>
      </c>
      <c r="AB1772" t="s">
        <v>10554</v>
      </c>
      <c r="AC1772" t="s">
        <v>20616</v>
      </c>
      <c r="AD1772" t="s">
        <v>32</v>
      </c>
      <c r="AE1772" t="s">
        <v>32</v>
      </c>
      <c r="AF1772" t="s">
        <v>46835</v>
      </c>
    </row>
    <row r="1773" spans="1:32" x14ac:dyDescent="0.2">
      <c r="A1773">
        <v>1768</v>
      </c>
      <c r="B1773" t="s">
        <v>20617</v>
      </c>
      <c r="C1773" t="s">
        <v>20618</v>
      </c>
      <c r="D1773" t="s">
        <v>20619</v>
      </c>
      <c r="E1773" t="s">
        <v>20620</v>
      </c>
      <c r="F1773" t="s">
        <v>20621</v>
      </c>
      <c r="G1773" t="s">
        <v>20622</v>
      </c>
      <c r="H1773" t="str">
        <f>"Arfgap2"</f>
        <v>Arfgap2</v>
      </c>
      <c r="I1773" t="s">
        <v>20623</v>
      </c>
      <c r="J1773" t="s">
        <v>37</v>
      </c>
      <c r="K1773">
        <v>10090</v>
      </c>
      <c r="L1773" s="3" t="str">
        <f>HYPERLINK("http://www.uniprot.org/uniprot/Q99K28", "Q99K28")</f>
        <v>Q99K28</v>
      </c>
      <c r="M1773" t="s">
        <v>20624</v>
      </c>
      <c r="N1773" t="str">
        <f>"Arfgap2"</f>
        <v>Arfgap2</v>
      </c>
      <c r="O1773" s="3" t="str">
        <f>HYPERLINK("http://www.informatics.jax.org/marker/MGI:1924288", "MGI:1924288")</f>
        <v>MGI:1924288</v>
      </c>
      <c r="P1773" t="s">
        <v>20625</v>
      </c>
      <c r="Q1773" t="s">
        <v>2916</v>
      </c>
      <c r="R1773" t="s">
        <v>7998</v>
      </c>
      <c r="S1773" t="s">
        <v>41</v>
      </c>
      <c r="T1773" t="s">
        <v>32</v>
      </c>
      <c r="U1773" t="s">
        <v>32</v>
      </c>
      <c r="V1773" t="s">
        <v>11171</v>
      </c>
      <c r="W1773" t="s">
        <v>42</v>
      </c>
      <c r="X1773" t="s">
        <v>715</v>
      </c>
      <c r="Y1773" t="s">
        <v>157</v>
      </c>
      <c r="Z1773" t="s">
        <v>32</v>
      </c>
      <c r="AA1773" t="s">
        <v>20626</v>
      </c>
      <c r="AB1773" t="s">
        <v>20627</v>
      </c>
      <c r="AC1773" t="s">
        <v>20628</v>
      </c>
      <c r="AD1773" t="s">
        <v>32</v>
      </c>
      <c r="AE1773" t="s">
        <v>3171</v>
      </c>
      <c r="AF1773" t="s">
        <v>46835</v>
      </c>
    </row>
    <row r="1774" spans="1:32" x14ac:dyDescent="0.2">
      <c r="A1774">
        <v>1769</v>
      </c>
      <c r="B1774" t="s">
        <v>20629</v>
      </c>
      <c r="C1774" t="s">
        <v>20630</v>
      </c>
      <c r="D1774" t="s">
        <v>20631</v>
      </c>
      <c r="E1774" t="s">
        <v>20632</v>
      </c>
      <c r="F1774" t="s">
        <v>20633</v>
      </c>
      <c r="G1774" t="s">
        <v>20634</v>
      </c>
      <c r="H1774" t="str">
        <f>"Spcs1"</f>
        <v>Spcs1</v>
      </c>
      <c r="I1774" t="s">
        <v>20635</v>
      </c>
      <c r="J1774" t="s">
        <v>37</v>
      </c>
      <c r="K1774">
        <v>10090</v>
      </c>
      <c r="L1774" s="3" t="str">
        <f>HYPERLINK("http://www.uniprot.org/uniprot/Q9D958", "Q9D958")</f>
        <v>Q9D958</v>
      </c>
      <c r="M1774" t="s">
        <v>20636</v>
      </c>
      <c r="N1774" t="str">
        <f>"Spcs1"</f>
        <v>Spcs1</v>
      </c>
      <c r="O1774" s="3" t="str">
        <f>HYPERLINK("http://www.informatics.jax.org/marker/MGI:1916269", "MGI:1916269")</f>
        <v>MGI:1916269</v>
      </c>
      <c r="P1774" t="s">
        <v>20637</v>
      </c>
      <c r="Q1774" t="s">
        <v>32</v>
      </c>
      <c r="R1774" t="s">
        <v>1664</v>
      </c>
      <c r="S1774" t="s">
        <v>32</v>
      </c>
      <c r="T1774" t="s">
        <v>32</v>
      </c>
      <c r="U1774" t="s">
        <v>32</v>
      </c>
      <c r="V1774" t="s">
        <v>493</v>
      </c>
      <c r="W1774" t="s">
        <v>32</v>
      </c>
      <c r="X1774" t="s">
        <v>32</v>
      </c>
      <c r="Y1774" t="s">
        <v>32</v>
      </c>
      <c r="Z1774" t="s">
        <v>32</v>
      </c>
      <c r="AA1774" t="s">
        <v>20638</v>
      </c>
      <c r="AB1774" t="s">
        <v>20639</v>
      </c>
      <c r="AC1774" t="s">
        <v>6949</v>
      </c>
      <c r="AD1774" t="s">
        <v>32</v>
      </c>
      <c r="AE1774" t="s">
        <v>12787</v>
      </c>
      <c r="AF1774" t="s">
        <v>46835</v>
      </c>
    </row>
    <row r="1775" spans="1:32" x14ac:dyDescent="0.2">
      <c r="A1775">
        <v>1770</v>
      </c>
      <c r="B1775" t="s">
        <v>20640</v>
      </c>
      <c r="C1775" t="s">
        <v>20641</v>
      </c>
      <c r="D1775" t="s">
        <v>20642</v>
      </c>
      <c r="E1775" t="s">
        <v>20643</v>
      </c>
      <c r="F1775" t="s">
        <v>20644</v>
      </c>
      <c r="G1775" t="s">
        <v>20645</v>
      </c>
      <c r="H1775" t="str">
        <f>"Sppl2a"</f>
        <v>Sppl2a</v>
      </c>
      <c r="I1775" t="s">
        <v>32</v>
      </c>
      <c r="J1775" t="s">
        <v>37</v>
      </c>
      <c r="K1775">
        <v>10090</v>
      </c>
      <c r="L1775" s="3" t="str">
        <f>HYPERLINK("http://www.uniprot.org/uniprot/Q9JJF9", "Q9JJF9")</f>
        <v>Q9JJF9</v>
      </c>
      <c r="M1775" t="s">
        <v>20646</v>
      </c>
      <c r="N1775" t="str">
        <f>"Sppl2a"</f>
        <v>Sppl2a</v>
      </c>
      <c r="O1775" s="3" t="str">
        <f>HYPERLINK("http://www.informatics.jax.org/marker/MGI:1913802", "MGI:1913802")</f>
        <v>MGI:1913802</v>
      </c>
      <c r="P1775" t="s">
        <v>20647</v>
      </c>
      <c r="Q1775" t="s">
        <v>32</v>
      </c>
      <c r="R1775" t="s">
        <v>20648</v>
      </c>
      <c r="S1775" t="s">
        <v>32</v>
      </c>
      <c r="T1775" t="s">
        <v>32</v>
      </c>
      <c r="U1775" t="s">
        <v>32</v>
      </c>
      <c r="V1775" t="s">
        <v>3948</v>
      </c>
      <c r="W1775" t="s">
        <v>32</v>
      </c>
      <c r="X1775" t="s">
        <v>13667</v>
      </c>
      <c r="Y1775" t="s">
        <v>3733</v>
      </c>
      <c r="Z1775" t="s">
        <v>32</v>
      </c>
      <c r="AA1775" t="s">
        <v>20649</v>
      </c>
      <c r="AB1775" t="s">
        <v>20650</v>
      </c>
      <c r="AC1775" t="s">
        <v>20651</v>
      </c>
      <c r="AD1775" t="s">
        <v>32</v>
      </c>
      <c r="AE1775" t="s">
        <v>20652</v>
      </c>
      <c r="AF1775" t="s">
        <v>46835</v>
      </c>
    </row>
    <row r="1776" spans="1:32" x14ac:dyDescent="0.2">
      <c r="A1776">
        <v>1771</v>
      </c>
      <c r="B1776" t="s">
        <v>20653</v>
      </c>
      <c r="C1776" t="s">
        <v>20654</v>
      </c>
      <c r="D1776" t="s">
        <v>20655</v>
      </c>
      <c r="E1776" t="s">
        <v>20656</v>
      </c>
      <c r="F1776" t="s">
        <v>20657</v>
      </c>
      <c r="G1776" t="s">
        <v>20658</v>
      </c>
      <c r="H1776" t="str">
        <f>"Pls3"</f>
        <v>Pls3</v>
      </c>
      <c r="I1776" t="s">
        <v>32</v>
      </c>
      <c r="J1776" t="s">
        <v>37</v>
      </c>
      <c r="K1776">
        <v>10090</v>
      </c>
      <c r="L1776" s="3" t="str">
        <f>HYPERLINK("http://www.uniprot.org/uniprot/Q99K51", "Q99K51")</f>
        <v>Q99K51</v>
      </c>
      <c r="M1776" t="s">
        <v>20659</v>
      </c>
      <c r="N1776" t="str">
        <f>"Pls3"</f>
        <v>Pls3</v>
      </c>
      <c r="O1776" s="3" t="str">
        <f>HYPERLINK("http://www.informatics.jax.org/marker/MGI:104807", "MGI:104807")</f>
        <v>MGI:104807</v>
      </c>
      <c r="P1776" t="s">
        <v>20660</v>
      </c>
      <c r="Q1776" t="s">
        <v>32</v>
      </c>
      <c r="R1776" t="s">
        <v>418</v>
      </c>
      <c r="S1776" t="s">
        <v>32</v>
      </c>
      <c r="T1776" t="s">
        <v>32</v>
      </c>
      <c r="U1776" t="s">
        <v>32</v>
      </c>
      <c r="V1776" t="s">
        <v>55</v>
      </c>
      <c r="W1776" t="s">
        <v>188</v>
      </c>
      <c r="X1776" t="s">
        <v>405</v>
      </c>
      <c r="Y1776" t="s">
        <v>618</v>
      </c>
      <c r="Z1776" t="s">
        <v>32</v>
      </c>
      <c r="AA1776" t="s">
        <v>20661</v>
      </c>
      <c r="AB1776" t="s">
        <v>20662</v>
      </c>
      <c r="AC1776" t="s">
        <v>20663</v>
      </c>
      <c r="AD1776" t="s">
        <v>32</v>
      </c>
      <c r="AE1776" t="s">
        <v>32</v>
      </c>
      <c r="AF1776" t="s">
        <v>46835</v>
      </c>
    </row>
    <row r="1777" spans="1:32" x14ac:dyDescent="0.2">
      <c r="A1777">
        <v>1772</v>
      </c>
      <c r="B1777" t="s">
        <v>20664</v>
      </c>
      <c r="C1777" t="s">
        <v>20665</v>
      </c>
      <c r="D1777" t="s">
        <v>20666</v>
      </c>
      <c r="E1777" t="s">
        <v>20667</v>
      </c>
      <c r="F1777" t="s">
        <v>20668</v>
      </c>
      <c r="G1777" t="s">
        <v>20669</v>
      </c>
      <c r="H1777" t="str">
        <f>"Dhrs4"</f>
        <v>Dhrs4</v>
      </c>
      <c r="I1777" t="s">
        <v>20670</v>
      </c>
      <c r="J1777" t="s">
        <v>37</v>
      </c>
      <c r="K1777">
        <v>10090</v>
      </c>
      <c r="L1777" s="3" t="str">
        <f>HYPERLINK("http://www.uniprot.org/uniprot/Q99LB2", "Q99LB2")</f>
        <v>Q99LB2</v>
      </c>
      <c r="M1777" t="s">
        <v>20671</v>
      </c>
      <c r="N1777" t="str">
        <f>"Dhrs4"</f>
        <v>Dhrs4</v>
      </c>
      <c r="O1777" s="3" t="str">
        <f>HYPERLINK("http://www.informatics.jax.org/marker/MGI:90169", "MGI:90169")</f>
        <v>MGI:90169</v>
      </c>
      <c r="P1777" t="s">
        <v>20672</v>
      </c>
      <c r="Q1777" t="s">
        <v>32</v>
      </c>
      <c r="R1777" t="s">
        <v>5745</v>
      </c>
      <c r="S1777" t="s">
        <v>32</v>
      </c>
      <c r="T1777" t="s">
        <v>32</v>
      </c>
      <c r="U1777" t="s">
        <v>32</v>
      </c>
      <c r="V1777" t="s">
        <v>32</v>
      </c>
      <c r="W1777" t="s">
        <v>3204</v>
      </c>
      <c r="X1777" t="s">
        <v>600</v>
      </c>
      <c r="Y1777" t="s">
        <v>157</v>
      </c>
      <c r="Z1777" t="s">
        <v>32</v>
      </c>
      <c r="AA1777" t="s">
        <v>20673</v>
      </c>
      <c r="AB1777" t="s">
        <v>20674</v>
      </c>
      <c r="AC1777" t="s">
        <v>20675</v>
      </c>
      <c r="AD1777" t="s">
        <v>32</v>
      </c>
      <c r="AE1777" t="s">
        <v>20676</v>
      </c>
      <c r="AF1777" t="s">
        <v>46835</v>
      </c>
    </row>
    <row r="1778" spans="1:32" x14ac:dyDescent="0.2">
      <c r="A1778">
        <v>1773</v>
      </c>
      <c r="B1778" t="s">
        <v>20677</v>
      </c>
      <c r="C1778" t="s">
        <v>20678</v>
      </c>
      <c r="D1778" t="s">
        <v>20679</v>
      </c>
      <c r="E1778" t="s">
        <v>20680</v>
      </c>
      <c r="F1778" t="s">
        <v>20681</v>
      </c>
      <c r="G1778" t="s">
        <v>32</v>
      </c>
      <c r="H1778" t="str">
        <f>"Mfap2"</f>
        <v>Mfap2</v>
      </c>
      <c r="I1778" t="s">
        <v>20682</v>
      </c>
      <c r="J1778" t="s">
        <v>37</v>
      </c>
      <c r="K1778">
        <v>10090</v>
      </c>
      <c r="L1778" s="3" t="str">
        <f>HYPERLINK("http://www.uniprot.org/uniprot/P55002", "P55002")</f>
        <v>P55002</v>
      </c>
      <c r="M1778" t="s">
        <v>20683</v>
      </c>
      <c r="N1778" t="str">
        <f>"Mfap2"</f>
        <v>Mfap2</v>
      </c>
      <c r="O1778" s="3" t="str">
        <f>HYPERLINK("http://www.informatics.jax.org/marker/MGI:99559", "MGI:99559")</f>
        <v>MGI:99559</v>
      </c>
      <c r="P1778" t="s">
        <v>20684</v>
      </c>
      <c r="Q1778" t="s">
        <v>32</v>
      </c>
      <c r="R1778" t="s">
        <v>5586</v>
      </c>
      <c r="S1778" t="s">
        <v>32</v>
      </c>
      <c r="T1778" t="s">
        <v>32</v>
      </c>
      <c r="U1778" t="s">
        <v>32</v>
      </c>
      <c r="V1778" t="s">
        <v>811</v>
      </c>
      <c r="W1778" t="s">
        <v>32</v>
      </c>
      <c r="X1778" t="s">
        <v>32</v>
      </c>
      <c r="Y1778" t="s">
        <v>20685</v>
      </c>
      <c r="Z1778" t="s">
        <v>32</v>
      </c>
      <c r="AA1778" t="s">
        <v>20686</v>
      </c>
      <c r="AB1778" t="s">
        <v>20687</v>
      </c>
      <c r="AC1778" t="s">
        <v>20688</v>
      </c>
      <c r="AD1778" t="s">
        <v>32</v>
      </c>
      <c r="AE1778" t="s">
        <v>20689</v>
      </c>
      <c r="AF1778" t="s">
        <v>46835</v>
      </c>
    </row>
    <row r="1779" spans="1:32" x14ac:dyDescent="0.2">
      <c r="A1779">
        <v>1774</v>
      </c>
      <c r="B1779" t="s">
        <v>20690</v>
      </c>
      <c r="C1779" t="s">
        <v>20691</v>
      </c>
      <c r="D1779" t="s">
        <v>20692</v>
      </c>
      <c r="E1779" t="s">
        <v>20693</v>
      </c>
      <c r="F1779" t="s">
        <v>20694</v>
      </c>
      <c r="G1779" t="s">
        <v>20695</v>
      </c>
      <c r="H1779" t="str">
        <f>"Ldah"</f>
        <v>Ldah</v>
      </c>
      <c r="I1779" t="s">
        <v>32</v>
      </c>
      <c r="J1779" t="s">
        <v>37</v>
      </c>
      <c r="K1779">
        <v>10090</v>
      </c>
      <c r="L1779" s="3" t="str">
        <f>HYPERLINK("http://www.uniprot.org/uniprot/Q8BVA5", "Q8BVA5")</f>
        <v>Q8BVA5</v>
      </c>
      <c r="M1779" t="s">
        <v>20696</v>
      </c>
      <c r="N1779" t="str">
        <f>"Ldah"</f>
        <v>Ldah</v>
      </c>
      <c r="O1779" s="3" t="str">
        <f>HYPERLINK("http://www.informatics.jax.org/marker/MGI:1916082", "MGI:1916082")</f>
        <v>MGI:1916082</v>
      </c>
      <c r="P1779" t="s">
        <v>20697</v>
      </c>
      <c r="Q1779" t="s">
        <v>32</v>
      </c>
      <c r="R1779" t="s">
        <v>20698</v>
      </c>
      <c r="S1779" t="s">
        <v>41</v>
      </c>
      <c r="T1779" t="s">
        <v>32</v>
      </c>
      <c r="U1779" t="s">
        <v>32</v>
      </c>
      <c r="V1779" t="s">
        <v>32</v>
      </c>
      <c r="W1779" t="s">
        <v>32</v>
      </c>
      <c r="X1779" t="s">
        <v>343</v>
      </c>
      <c r="Y1779" t="s">
        <v>32</v>
      </c>
      <c r="Z1779" t="s">
        <v>32</v>
      </c>
      <c r="AA1779" t="s">
        <v>20699</v>
      </c>
      <c r="AB1779" t="s">
        <v>20700</v>
      </c>
      <c r="AC1779" t="s">
        <v>20701</v>
      </c>
      <c r="AD1779" t="s">
        <v>32</v>
      </c>
      <c r="AE1779" t="s">
        <v>32</v>
      </c>
      <c r="AF1779" t="s">
        <v>46835</v>
      </c>
    </row>
    <row r="1780" spans="1:32" x14ac:dyDescent="0.2">
      <c r="A1780">
        <v>1775</v>
      </c>
      <c r="B1780" t="s">
        <v>20702</v>
      </c>
      <c r="C1780" t="s">
        <v>20703</v>
      </c>
      <c r="D1780" t="s">
        <v>20704</v>
      </c>
      <c r="E1780" t="s">
        <v>20705</v>
      </c>
      <c r="F1780" t="s">
        <v>20706</v>
      </c>
      <c r="G1780" t="s">
        <v>20707</v>
      </c>
      <c r="H1780" t="str">
        <f>"Nup214"</f>
        <v>Nup214</v>
      </c>
      <c r="I1780" t="s">
        <v>20708</v>
      </c>
      <c r="J1780" t="s">
        <v>37</v>
      </c>
      <c r="K1780">
        <v>10090</v>
      </c>
      <c r="L1780" s="3" t="str">
        <f>HYPERLINK("http://www.uniprot.org/uniprot/Q80U93", "Q80U93")</f>
        <v>Q80U93</v>
      </c>
      <c r="M1780" t="s">
        <v>20709</v>
      </c>
      <c r="N1780" t="str">
        <f>"Nup214"</f>
        <v>Nup214</v>
      </c>
      <c r="O1780" s="3" t="str">
        <f>HYPERLINK("http://www.informatics.jax.org/marker/MGI:1095411", "MGI:1095411")</f>
        <v>MGI:1095411</v>
      </c>
      <c r="P1780" t="s">
        <v>20710</v>
      </c>
      <c r="Q1780" t="s">
        <v>6423</v>
      </c>
      <c r="R1780" t="s">
        <v>20711</v>
      </c>
      <c r="S1780" t="s">
        <v>32</v>
      </c>
      <c r="T1780" t="s">
        <v>32</v>
      </c>
      <c r="U1780" t="s">
        <v>32</v>
      </c>
      <c r="V1780" t="s">
        <v>137</v>
      </c>
      <c r="W1780" t="s">
        <v>32</v>
      </c>
      <c r="X1780" t="s">
        <v>32</v>
      </c>
      <c r="Y1780" t="s">
        <v>544</v>
      </c>
      <c r="Z1780" t="s">
        <v>32</v>
      </c>
      <c r="AA1780" t="s">
        <v>20712</v>
      </c>
      <c r="AB1780" t="s">
        <v>20713</v>
      </c>
      <c r="AC1780" t="s">
        <v>20714</v>
      </c>
      <c r="AD1780" t="s">
        <v>32</v>
      </c>
      <c r="AE1780" t="s">
        <v>20715</v>
      </c>
      <c r="AF1780" t="s">
        <v>46835</v>
      </c>
    </row>
    <row r="1781" spans="1:32" x14ac:dyDescent="0.2">
      <c r="A1781">
        <v>1776</v>
      </c>
      <c r="B1781" t="s">
        <v>20716</v>
      </c>
      <c r="C1781" t="s">
        <v>20717</v>
      </c>
      <c r="D1781" t="s">
        <v>20718</v>
      </c>
      <c r="E1781" t="s">
        <v>20719</v>
      </c>
      <c r="F1781" t="s">
        <v>20720</v>
      </c>
      <c r="G1781" t="s">
        <v>32</v>
      </c>
      <c r="H1781" t="str">
        <f>"Jag1"</f>
        <v>Jag1</v>
      </c>
      <c r="I1781" t="s">
        <v>32</v>
      </c>
      <c r="J1781" t="s">
        <v>37</v>
      </c>
      <c r="K1781">
        <v>10090</v>
      </c>
      <c r="L1781" s="3" t="str">
        <f>HYPERLINK("http://www.uniprot.org/uniprot/Q9QXX0", "Q9QXX0")</f>
        <v>Q9QXX0</v>
      </c>
      <c r="M1781" t="s">
        <v>20721</v>
      </c>
      <c r="N1781" t="str">
        <f>"Jag1"</f>
        <v>Jag1</v>
      </c>
      <c r="O1781" s="3" t="str">
        <f>HYPERLINK("http://www.informatics.jax.org/marker/MGI:1095416", "MGI:1095416")</f>
        <v>MGI:1095416</v>
      </c>
      <c r="P1781" t="s">
        <v>20722</v>
      </c>
      <c r="Q1781" t="s">
        <v>18780</v>
      </c>
      <c r="R1781" t="s">
        <v>2474</v>
      </c>
      <c r="S1781" t="s">
        <v>32</v>
      </c>
      <c r="T1781" t="s">
        <v>32</v>
      </c>
      <c r="U1781" t="s">
        <v>32</v>
      </c>
      <c r="V1781" t="s">
        <v>9013</v>
      </c>
      <c r="W1781" t="s">
        <v>1380</v>
      </c>
      <c r="X1781" t="s">
        <v>2029</v>
      </c>
      <c r="Y1781" t="s">
        <v>5275</v>
      </c>
      <c r="Z1781" t="s">
        <v>32</v>
      </c>
      <c r="AA1781" t="s">
        <v>20723</v>
      </c>
      <c r="AB1781" t="s">
        <v>20724</v>
      </c>
      <c r="AC1781" t="s">
        <v>20725</v>
      </c>
      <c r="AD1781" t="s">
        <v>32</v>
      </c>
      <c r="AE1781" t="s">
        <v>20726</v>
      </c>
      <c r="AF1781" t="s">
        <v>46835</v>
      </c>
    </row>
    <row r="1782" spans="1:32" x14ac:dyDescent="0.2">
      <c r="A1782">
        <v>1777</v>
      </c>
      <c r="B1782" t="s">
        <v>20727</v>
      </c>
      <c r="C1782" t="s">
        <v>20728</v>
      </c>
      <c r="D1782" t="s">
        <v>20729</v>
      </c>
      <c r="E1782" t="s">
        <v>20730</v>
      </c>
      <c r="F1782" t="s">
        <v>20731</v>
      </c>
      <c r="G1782" t="s">
        <v>20732</v>
      </c>
      <c r="H1782" t="str">
        <f>"Ciao1"</f>
        <v>Ciao1</v>
      </c>
      <c r="I1782" t="s">
        <v>20733</v>
      </c>
      <c r="J1782" t="s">
        <v>37</v>
      </c>
      <c r="K1782">
        <v>10090</v>
      </c>
      <c r="L1782" s="3" t="str">
        <f>HYPERLINK("http://www.uniprot.org/uniprot/Q99KN2", "Q99KN2")</f>
        <v>Q99KN2</v>
      </c>
      <c r="M1782" t="s">
        <v>20734</v>
      </c>
      <c r="N1782" t="str">
        <f>"Ciao1"</f>
        <v>Ciao1</v>
      </c>
      <c r="O1782" s="3" t="str">
        <f>HYPERLINK("http://www.informatics.jax.org/marker/MGI:1346998", "MGI:1346998")</f>
        <v>MGI:1346998</v>
      </c>
      <c r="P1782" t="s">
        <v>20735</v>
      </c>
      <c r="Q1782" t="s">
        <v>3924</v>
      </c>
      <c r="R1782" t="s">
        <v>418</v>
      </c>
      <c r="S1782" t="s">
        <v>32</v>
      </c>
      <c r="T1782" t="s">
        <v>32</v>
      </c>
      <c r="U1782" t="s">
        <v>32</v>
      </c>
      <c r="V1782" t="s">
        <v>1910</v>
      </c>
      <c r="W1782" t="s">
        <v>32</v>
      </c>
      <c r="X1782" t="s">
        <v>32</v>
      </c>
      <c r="Y1782" t="s">
        <v>32</v>
      </c>
      <c r="Z1782" t="s">
        <v>32</v>
      </c>
      <c r="AA1782" t="s">
        <v>20736</v>
      </c>
      <c r="AB1782" t="s">
        <v>20737</v>
      </c>
      <c r="AC1782" t="s">
        <v>20738</v>
      </c>
      <c r="AD1782" t="s">
        <v>32</v>
      </c>
      <c r="AE1782" t="s">
        <v>32</v>
      </c>
      <c r="AF1782" t="s">
        <v>46835</v>
      </c>
    </row>
    <row r="1783" spans="1:32" x14ac:dyDescent="0.2">
      <c r="A1783">
        <v>1778</v>
      </c>
      <c r="B1783" t="s">
        <v>20739</v>
      </c>
      <c r="C1783" t="s">
        <v>20740</v>
      </c>
      <c r="D1783" t="s">
        <v>20741</v>
      </c>
      <c r="E1783" t="s">
        <v>20742</v>
      </c>
      <c r="F1783" t="s">
        <v>20743</v>
      </c>
      <c r="G1783" t="s">
        <v>32</v>
      </c>
      <c r="H1783" t="str">
        <f>"Crip2"</f>
        <v>Crip2</v>
      </c>
      <c r="I1783" t="s">
        <v>20744</v>
      </c>
      <c r="J1783" t="s">
        <v>37</v>
      </c>
      <c r="K1783">
        <v>10090</v>
      </c>
      <c r="L1783" s="3" t="str">
        <f>HYPERLINK("http://www.uniprot.org/uniprot/Q9DCT8", "Q9DCT8")</f>
        <v>Q9DCT8</v>
      </c>
      <c r="M1783" t="s">
        <v>20745</v>
      </c>
      <c r="N1783" t="str">
        <f>"Crip2"</f>
        <v>Crip2</v>
      </c>
      <c r="O1783" s="3" t="str">
        <f>HYPERLINK("http://www.informatics.jax.org/marker/MGI:1915587", "MGI:1915587")</f>
        <v>MGI:1915587</v>
      </c>
      <c r="P1783" t="s">
        <v>20746</v>
      </c>
      <c r="Q1783" t="s">
        <v>32</v>
      </c>
      <c r="R1783" t="s">
        <v>32</v>
      </c>
      <c r="S1783" t="s">
        <v>32</v>
      </c>
      <c r="T1783" t="s">
        <v>32</v>
      </c>
      <c r="U1783" t="s">
        <v>32</v>
      </c>
      <c r="V1783" t="s">
        <v>11332</v>
      </c>
      <c r="W1783" t="s">
        <v>42</v>
      </c>
      <c r="X1783" t="s">
        <v>32</v>
      </c>
      <c r="Y1783" t="s">
        <v>157</v>
      </c>
      <c r="Z1783" t="s">
        <v>32</v>
      </c>
      <c r="AA1783" t="s">
        <v>20747</v>
      </c>
      <c r="AB1783" t="s">
        <v>20748</v>
      </c>
      <c r="AC1783" t="s">
        <v>4525</v>
      </c>
      <c r="AD1783" t="s">
        <v>32</v>
      </c>
      <c r="AE1783" t="s">
        <v>32</v>
      </c>
      <c r="AF1783" t="s">
        <v>46835</v>
      </c>
    </row>
    <row r="1784" spans="1:32" x14ac:dyDescent="0.2">
      <c r="A1784">
        <v>1779</v>
      </c>
      <c r="B1784" t="s">
        <v>20749</v>
      </c>
      <c r="C1784" t="s">
        <v>20750</v>
      </c>
      <c r="D1784" t="s">
        <v>20751</v>
      </c>
      <c r="E1784" t="s">
        <v>20752</v>
      </c>
      <c r="F1784" t="s">
        <v>20753</v>
      </c>
      <c r="G1784" t="s">
        <v>20754</v>
      </c>
      <c r="H1784" t="str">
        <f>"Znf330"</f>
        <v>Znf330</v>
      </c>
      <c r="I1784" t="s">
        <v>20755</v>
      </c>
      <c r="J1784" t="s">
        <v>37</v>
      </c>
      <c r="K1784">
        <v>10090</v>
      </c>
      <c r="L1784" s="3" t="str">
        <f>HYPERLINK("http://www.uniprot.org/uniprot/Q922H9", "Q922H9")</f>
        <v>Q922H9</v>
      </c>
      <c r="M1784" t="s">
        <v>20756</v>
      </c>
      <c r="N1784" t="str">
        <f>"Zfp330"</f>
        <v>Zfp330</v>
      </c>
      <c r="O1784" s="3" t="str">
        <f>HYPERLINK("http://www.informatics.jax.org/marker/MGI:1353574", "MGI:1353574")</f>
        <v>MGI:1353574</v>
      </c>
      <c r="P1784" t="s">
        <v>20757</v>
      </c>
      <c r="Q1784" t="s">
        <v>32</v>
      </c>
      <c r="R1784" t="s">
        <v>7397</v>
      </c>
      <c r="S1784" t="s">
        <v>41</v>
      </c>
      <c r="T1784" t="s">
        <v>32</v>
      </c>
      <c r="U1784" t="s">
        <v>32</v>
      </c>
      <c r="V1784" t="s">
        <v>3791</v>
      </c>
      <c r="W1784" t="s">
        <v>42</v>
      </c>
      <c r="X1784" t="s">
        <v>32</v>
      </c>
      <c r="Y1784" t="s">
        <v>618</v>
      </c>
      <c r="Z1784" t="s">
        <v>32</v>
      </c>
      <c r="AA1784" t="s">
        <v>32</v>
      </c>
      <c r="AB1784" t="s">
        <v>20758</v>
      </c>
      <c r="AC1784" t="s">
        <v>14560</v>
      </c>
      <c r="AD1784" t="s">
        <v>32</v>
      </c>
      <c r="AE1784" t="s">
        <v>32</v>
      </c>
      <c r="AF1784" t="s">
        <v>46835</v>
      </c>
    </row>
    <row r="1785" spans="1:32" x14ac:dyDescent="0.2">
      <c r="A1785">
        <v>1780</v>
      </c>
      <c r="B1785" t="s">
        <v>20759</v>
      </c>
      <c r="C1785" t="s">
        <v>20760</v>
      </c>
      <c r="D1785" t="s">
        <v>20761</v>
      </c>
      <c r="E1785" t="s">
        <v>20762</v>
      </c>
      <c r="F1785" t="s">
        <v>20763</v>
      </c>
      <c r="G1785" t="s">
        <v>20764</v>
      </c>
      <c r="H1785" t="str">
        <f>"Rnf25"</f>
        <v>Rnf25</v>
      </c>
      <c r="I1785" t="s">
        <v>32</v>
      </c>
      <c r="J1785" t="s">
        <v>37</v>
      </c>
      <c r="K1785">
        <v>10090</v>
      </c>
      <c r="L1785" s="3" t="str">
        <f>HYPERLINK("http://www.uniprot.org/uniprot/Q9QZR0", "Q9QZR0")</f>
        <v>Q9QZR0</v>
      </c>
      <c r="M1785" t="s">
        <v>20765</v>
      </c>
      <c r="N1785" t="str">
        <f>"Rnf25"</f>
        <v>Rnf25</v>
      </c>
      <c r="O1785" s="3" t="str">
        <f>HYPERLINK("http://www.informatics.jax.org/marker/MGI:1890215", "MGI:1890215")</f>
        <v>MGI:1890215</v>
      </c>
      <c r="P1785" t="s">
        <v>20766</v>
      </c>
      <c r="Q1785" t="s">
        <v>1020</v>
      </c>
      <c r="R1785" t="s">
        <v>32</v>
      </c>
      <c r="S1785" t="s">
        <v>32</v>
      </c>
      <c r="T1785" t="s">
        <v>32</v>
      </c>
      <c r="U1785" t="s">
        <v>32</v>
      </c>
      <c r="V1785" t="s">
        <v>446</v>
      </c>
      <c r="W1785" t="s">
        <v>42</v>
      </c>
      <c r="X1785" t="s">
        <v>515</v>
      </c>
      <c r="Y1785" t="s">
        <v>5599</v>
      </c>
      <c r="Z1785" t="s">
        <v>32</v>
      </c>
      <c r="AA1785" t="s">
        <v>20767</v>
      </c>
      <c r="AB1785" t="s">
        <v>928</v>
      </c>
      <c r="AC1785" t="s">
        <v>20768</v>
      </c>
      <c r="AD1785" t="s">
        <v>1027</v>
      </c>
      <c r="AE1785" t="s">
        <v>4220</v>
      </c>
      <c r="AF1785" t="s">
        <v>46835</v>
      </c>
    </row>
    <row r="1786" spans="1:32" x14ac:dyDescent="0.2">
      <c r="A1786">
        <v>1781</v>
      </c>
      <c r="B1786" t="s">
        <v>20769</v>
      </c>
      <c r="C1786" t="s">
        <v>20770</v>
      </c>
      <c r="D1786" t="s">
        <v>20771</v>
      </c>
      <c r="E1786" t="s">
        <v>20772</v>
      </c>
      <c r="F1786" t="s">
        <v>20773</v>
      </c>
      <c r="G1786" t="s">
        <v>32</v>
      </c>
      <c r="H1786" t="str">
        <f>"Polr2b"</f>
        <v>Polr2b</v>
      </c>
      <c r="I1786" t="s">
        <v>32</v>
      </c>
      <c r="J1786" t="s">
        <v>37</v>
      </c>
      <c r="K1786">
        <v>10090</v>
      </c>
      <c r="L1786" s="3" t="str">
        <f>HYPERLINK("http://www.uniprot.org/uniprot/Q8CFI7", "Q8CFI7")</f>
        <v>Q8CFI7</v>
      </c>
      <c r="M1786" t="s">
        <v>20774</v>
      </c>
      <c r="N1786" t="str">
        <f>"Polr2b"</f>
        <v>Polr2b</v>
      </c>
      <c r="O1786" s="3" t="str">
        <f>HYPERLINK("http://www.informatics.jax.org/marker/MGI:2388280", "MGI:2388280")</f>
        <v>MGI:2388280</v>
      </c>
      <c r="P1786" t="s">
        <v>20775</v>
      </c>
      <c r="Q1786" t="s">
        <v>16415</v>
      </c>
      <c r="R1786" t="s">
        <v>19800</v>
      </c>
      <c r="S1786" t="s">
        <v>32</v>
      </c>
      <c r="T1786" t="s">
        <v>32</v>
      </c>
      <c r="U1786" t="s">
        <v>32</v>
      </c>
      <c r="V1786" t="s">
        <v>446</v>
      </c>
      <c r="W1786" t="s">
        <v>16417</v>
      </c>
      <c r="X1786" t="s">
        <v>7489</v>
      </c>
      <c r="Y1786" t="s">
        <v>2734</v>
      </c>
      <c r="Z1786" t="s">
        <v>32</v>
      </c>
      <c r="AA1786" t="s">
        <v>20776</v>
      </c>
      <c r="AB1786" t="s">
        <v>20777</v>
      </c>
      <c r="AC1786" t="s">
        <v>20778</v>
      </c>
      <c r="AD1786" t="s">
        <v>32</v>
      </c>
      <c r="AE1786" t="s">
        <v>16422</v>
      </c>
      <c r="AF1786" t="s">
        <v>46835</v>
      </c>
    </row>
    <row r="1787" spans="1:32" x14ac:dyDescent="0.2">
      <c r="A1787">
        <v>1782</v>
      </c>
      <c r="B1787" t="s">
        <v>20779</v>
      </c>
      <c r="C1787" t="s">
        <v>20780</v>
      </c>
      <c r="D1787" t="s">
        <v>20781</v>
      </c>
      <c r="E1787" t="s">
        <v>20782</v>
      </c>
      <c r="F1787" t="s">
        <v>20783</v>
      </c>
      <c r="G1787" t="s">
        <v>20784</v>
      </c>
      <c r="H1787" t="str">
        <f>"Cask"</f>
        <v>Cask</v>
      </c>
      <c r="I1787" t="s">
        <v>32</v>
      </c>
      <c r="J1787" t="s">
        <v>37</v>
      </c>
      <c r="K1787">
        <v>10090</v>
      </c>
      <c r="L1787" s="3" t="str">
        <f>HYPERLINK("http://www.uniprot.org/uniprot/O70589", "O70589")</f>
        <v>O70589</v>
      </c>
      <c r="M1787" t="s">
        <v>20785</v>
      </c>
      <c r="N1787" t="str">
        <f>"Cask"</f>
        <v>Cask</v>
      </c>
      <c r="O1787" s="3" t="str">
        <f>HYPERLINK("http://www.informatics.jax.org/marker/MGI:1309489", "MGI:1309489")</f>
        <v>MGI:1309489</v>
      </c>
      <c r="P1787" t="s">
        <v>20786</v>
      </c>
      <c r="Q1787" t="s">
        <v>32</v>
      </c>
      <c r="R1787" t="s">
        <v>276</v>
      </c>
      <c r="S1787" t="s">
        <v>41</v>
      </c>
      <c r="T1787" t="s">
        <v>32</v>
      </c>
      <c r="U1787" t="s">
        <v>32</v>
      </c>
      <c r="V1787" t="s">
        <v>187</v>
      </c>
      <c r="W1787" t="s">
        <v>205</v>
      </c>
      <c r="X1787" t="s">
        <v>20787</v>
      </c>
      <c r="Y1787" t="s">
        <v>618</v>
      </c>
      <c r="Z1787" t="s">
        <v>126</v>
      </c>
      <c r="AA1787" t="s">
        <v>20788</v>
      </c>
      <c r="AB1787" t="s">
        <v>20789</v>
      </c>
      <c r="AC1787" t="s">
        <v>20790</v>
      </c>
      <c r="AD1787" t="s">
        <v>32</v>
      </c>
      <c r="AE1787" t="s">
        <v>20791</v>
      </c>
      <c r="AF1787" t="s">
        <v>46835</v>
      </c>
    </row>
    <row r="1788" spans="1:32" x14ac:dyDescent="0.2">
      <c r="A1788">
        <v>1783</v>
      </c>
      <c r="B1788" t="s">
        <v>20792</v>
      </c>
      <c r="C1788" t="s">
        <v>20793</v>
      </c>
      <c r="D1788" t="s">
        <v>20794</v>
      </c>
      <c r="E1788" t="s">
        <v>20795</v>
      </c>
      <c r="F1788" t="s">
        <v>20796</v>
      </c>
      <c r="G1788" t="s">
        <v>20797</v>
      </c>
      <c r="H1788" t="str">
        <f>"Sec22b"</f>
        <v>Sec22b</v>
      </c>
      <c r="I1788" t="s">
        <v>20798</v>
      </c>
      <c r="J1788" t="s">
        <v>37</v>
      </c>
      <c r="K1788">
        <v>10090</v>
      </c>
      <c r="L1788" s="3" t="str">
        <f>HYPERLINK("http://www.uniprot.org/uniprot/O08547", "O08547")</f>
        <v>O08547</v>
      </c>
      <c r="M1788" t="s">
        <v>20799</v>
      </c>
      <c r="N1788" t="str">
        <f>"Sec22b"</f>
        <v>Sec22b</v>
      </c>
      <c r="O1788" s="3" t="str">
        <f>HYPERLINK("http://www.informatics.jax.org/marker/MGI:1338759", "MGI:1338759")</f>
        <v>MGI:1338759</v>
      </c>
      <c r="P1788" t="s">
        <v>20800</v>
      </c>
      <c r="Q1788" t="s">
        <v>2916</v>
      </c>
      <c r="R1788" t="s">
        <v>11259</v>
      </c>
      <c r="S1788" t="s">
        <v>32</v>
      </c>
      <c r="T1788" t="s">
        <v>32</v>
      </c>
      <c r="U1788" t="s">
        <v>32</v>
      </c>
      <c r="V1788" t="s">
        <v>6500</v>
      </c>
      <c r="W1788" t="s">
        <v>32</v>
      </c>
      <c r="X1788" t="s">
        <v>32</v>
      </c>
      <c r="Y1788" t="s">
        <v>157</v>
      </c>
      <c r="Z1788" t="s">
        <v>126</v>
      </c>
      <c r="AA1788" t="s">
        <v>20801</v>
      </c>
      <c r="AB1788" t="s">
        <v>20802</v>
      </c>
      <c r="AC1788" t="s">
        <v>14493</v>
      </c>
      <c r="AD1788" t="s">
        <v>32</v>
      </c>
      <c r="AE1788" t="s">
        <v>20803</v>
      </c>
      <c r="AF1788" t="s">
        <v>46835</v>
      </c>
    </row>
    <row r="1789" spans="1:32" x14ac:dyDescent="0.2">
      <c r="A1789">
        <v>1784</v>
      </c>
      <c r="B1789" t="s">
        <v>20804</v>
      </c>
      <c r="C1789" t="s">
        <v>20805</v>
      </c>
      <c r="D1789" t="s">
        <v>20806</v>
      </c>
      <c r="E1789" t="s">
        <v>20807</v>
      </c>
      <c r="F1789" t="s">
        <v>20808</v>
      </c>
      <c r="G1789" t="s">
        <v>20809</v>
      </c>
      <c r="H1789" t="str">
        <f>"Ppil1"</f>
        <v>Ppil1</v>
      </c>
      <c r="I1789" t="s">
        <v>32</v>
      </c>
      <c r="J1789" t="s">
        <v>37</v>
      </c>
      <c r="K1789">
        <v>10090</v>
      </c>
      <c r="L1789" s="3" t="str">
        <f>HYPERLINK("http://www.uniprot.org/uniprot/Q9D0W5", "Q9D0W5")</f>
        <v>Q9D0W5</v>
      </c>
      <c r="M1789" t="s">
        <v>20810</v>
      </c>
      <c r="N1789" t="str">
        <f>"Ppil1"</f>
        <v>Ppil1</v>
      </c>
      <c r="O1789" s="3" t="str">
        <f>HYPERLINK("http://www.informatics.jax.org/marker/MGI:1916066", "MGI:1916066")</f>
        <v>MGI:1916066</v>
      </c>
      <c r="P1789" t="s">
        <v>20811</v>
      </c>
      <c r="Q1789" t="s">
        <v>2139</v>
      </c>
      <c r="R1789" t="s">
        <v>2140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543</v>
      </c>
      <c r="Y1789" t="s">
        <v>618</v>
      </c>
      <c r="Z1789" t="s">
        <v>32</v>
      </c>
      <c r="AA1789" t="s">
        <v>20812</v>
      </c>
      <c r="AB1789" t="s">
        <v>20813</v>
      </c>
      <c r="AC1789" t="s">
        <v>20814</v>
      </c>
      <c r="AD1789" t="s">
        <v>32</v>
      </c>
      <c r="AE1789" t="s">
        <v>946</v>
      </c>
      <c r="AF1789" t="s">
        <v>46835</v>
      </c>
    </row>
    <row r="1790" spans="1:32" x14ac:dyDescent="0.2">
      <c r="A1790">
        <v>1785</v>
      </c>
      <c r="B1790" t="s">
        <v>20815</v>
      </c>
      <c r="C1790" t="s">
        <v>20816</v>
      </c>
      <c r="D1790" t="s">
        <v>20817</v>
      </c>
      <c r="E1790" t="s">
        <v>20818</v>
      </c>
      <c r="F1790" t="s">
        <v>20819</v>
      </c>
      <c r="G1790" t="s">
        <v>20820</v>
      </c>
      <c r="H1790" t="str">
        <f>"Gstm6"</f>
        <v>Gstm6</v>
      </c>
      <c r="I1790" t="s">
        <v>20821</v>
      </c>
      <c r="J1790" t="s">
        <v>37</v>
      </c>
      <c r="K1790">
        <v>10090</v>
      </c>
      <c r="L1790" s="3" t="str">
        <f>HYPERLINK("http://www.uniprot.org/uniprot/O35660", "O35660")</f>
        <v>O35660</v>
      </c>
      <c r="M1790" t="s">
        <v>20822</v>
      </c>
      <c r="N1790" t="str">
        <f>"Gstm6"</f>
        <v>Gstm6</v>
      </c>
      <c r="O1790" s="3" t="str">
        <f>HYPERLINK("http://www.informatics.jax.org/marker/MGI:1309467", "MGI:1309467")</f>
        <v>MGI:1309467</v>
      </c>
      <c r="P1790" t="s">
        <v>20823</v>
      </c>
      <c r="Q1790" t="s">
        <v>32</v>
      </c>
      <c r="R1790" t="s">
        <v>418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515</v>
      </c>
      <c r="Y1790" t="s">
        <v>32</v>
      </c>
      <c r="Z1790" t="s">
        <v>32</v>
      </c>
      <c r="AA1790" t="s">
        <v>20824</v>
      </c>
      <c r="AB1790" t="s">
        <v>20825</v>
      </c>
      <c r="AC1790" t="s">
        <v>20826</v>
      </c>
      <c r="AD1790" t="s">
        <v>32</v>
      </c>
      <c r="AE1790" t="s">
        <v>3121</v>
      </c>
      <c r="AF1790" t="s">
        <v>46835</v>
      </c>
    </row>
    <row r="1791" spans="1:32" x14ac:dyDescent="0.2">
      <c r="A1791">
        <v>1786</v>
      </c>
      <c r="B1791" t="s">
        <v>20827</v>
      </c>
      <c r="C1791" t="s">
        <v>20828</v>
      </c>
      <c r="D1791" t="s">
        <v>32</v>
      </c>
      <c r="E1791" t="s">
        <v>20829</v>
      </c>
      <c r="F1791" t="s">
        <v>20830</v>
      </c>
      <c r="G1791" t="s">
        <v>20831</v>
      </c>
      <c r="H1791" t="str">
        <f>"Supt6h"</f>
        <v>Supt6h</v>
      </c>
      <c r="I1791" t="s">
        <v>20832</v>
      </c>
      <c r="J1791" t="s">
        <v>37</v>
      </c>
      <c r="K1791">
        <v>10090</v>
      </c>
      <c r="L1791" s="3" t="str">
        <f>HYPERLINK("http://www.uniprot.org/uniprot/Q62383", "Q62383")</f>
        <v>Q62383</v>
      </c>
      <c r="M1791" t="s">
        <v>20833</v>
      </c>
      <c r="N1791" t="str">
        <f>"Supt6"</f>
        <v>Supt6</v>
      </c>
      <c r="O1791" s="3" t="str">
        <f>HYPERLINK("http://www.informatics.jax.org/marker/MGI:107726", "MGI:107726")</f>
        <v>MGI:107726</v>
      </c>
      <c r="P1791" t="s">
        <v>20834</v>
      </c>
      <c r="Q1791" t="s">
        <v>7568</v>
      </c>
      <c r="R1791" t="s">
        <v>2279</v>
      </c>
      <c r="S1791" t="s">
        <v>32</v>
      </c>
      <c r="T1791" t="s">
        <v>32</v>
      </c>
      <c r="U1791" t="s">
        <v>32</v>
      </c>
      <c r="V1791" t="s">
        <v>290</v>
      </c>
      <c r="W1791" t="s">
        <v>32</v>
      </c>
      <c r="X1791" t="s">
        <v>388</v>
      </c>
      <c r="Y1791" t="s">
        <v>157</v>
      </c>
      <c r="Z1791" t="s">
        <v>32</v>
      </c>
      <c r="AA1791" t="s">
        <v>20835</v>
      </c>
      <c r="AB1791" t="s">
        <v>20836</v>
      </c>
      <c r="AC1791" t="s">
        <v>20837</v>
      </c>
      <c r="AD1791" t="s">
        <v>32</v>
      </c>
      <c r="AE1791" t="s">
        <v>20838</v>
      </c>
      <c r="AF1791" t="s">
        <v>46835</v>
      </c>
    </row>
    <row r="1792" spans="1:32" x14ac:dyDescent="0.2">
      <c r="A1792">
        <v>1787</v>
      </c>
      <c r="B1792" t="s">
        <v>20839</v>
      </c>
      <c r="C1792" t="s">
        <v>20840</v>
      </c>
      <c r="D1792" t="s">
        <v>32</v>
      </c>
      <c r="E1792" t="s">
        <v>20841</v>
      </c>
      <c r="F1792" t="s">
        <v>20842</v>
      </c>
      <c r="G1792" t="s">
        <v>20843</v>
      </c>
      <c r="H1792" t="str">
        <f>"Stat5b"</f>
        <v>Stat5b</v>
      </c>
      <c r="I1792" t="s">
        <v>32</v>
      </c>
      <c r="J1792" t="s">
        <v>37</v>
      </c>
      <c r="K1792">
        <v>10090</v>
      </c>
      <c r="L1792" s="3" t="str">
        <f>HYPERLINK("http://www.uniprot.org/uniprot/P42232", "P42232")</f>
        <v>P42232</v>
      </c>
      <c r="M1792" t="s">
        <v>20844</v>
      </c>
      <c r="N1792" t="str">
        <f>"Stat5b"</f>
        <v>Stat5b</v>
      </c>
      <c r="O1792" s="3" t="str">
        <f>HYPERLINK("http://www.informatics.jax.org/marker/MGI:103035", "MGI:103035")</f>
        <v>MGI:103035</v>
      </c>
      <c r="P1792" t="s">
        <v>20845</v>
      </c>
      <c r="Q1792" t="s">
        <v>4152</v>
      </c>
      <c r="R1792" t="s">
        <v>40</v>
      </c>
      <c r="S1792" t="s">
        <v>32</v>
      </c>
      <c r="T1792" t="s">
        <v>32</v>
      </c>
      <c r="U1792" t="s">
        <v>32</v>
      </c>
      <c r="V1792" t="s">
        <v>12625</v>
      </c>
      <c r="W1792" t="s">
        <v>32</v>
      </c>
      <c r="X1792" t="s">
        <v>2350</v>
      </c>
      <c r="Y1792" t="s">
        <v>618</v>
      </c>
      <c r="Z1792" t="s">
        <v>32</v>
      </c>
      <c r="AA1792" t="s">
        <v>20846</v>
      </c>
      <c r="AB1792" t="s">
        <v>4884</v>
      </c>
      <c r="AC1792" t="s">
        <v>20847</v>
      </c>
      <c r="AD1792" t="s">
        <v>32</v>
      </c>
      <c r="AE1792" t="s">
        <v>20848</v>
      </c>
      <c r="AF1792" t="s">
        <v>46835</v>
      </c>
    </row>
    <row r="1793" spans="1:33" x14ac:dyDescent="0.2">
      <c r="A1793">
        <v>1788</v>
      </c>
      <c r="B1793" t="s">
        <v>20849</v>
      </c>
      <c r="C1793" t="s">
        <v>47118</v>
      </c>
      <c r="D1793" t="s">
        <v>32</v>
      </c>
      <c r="E1793" t="s">
        <v>46924</v>
      </c>
      <c r="F1793" t="s">
        <v>46923</v>
      </c>
      <c r="G1793" t="s">
        <v>32</v>
      </c>
      <c r="H1793" t="s">
        <v>47249</v>
      </c>
      <c r="I1793" t="s">
        <v>32</v>
      </c>
      <c r="J1793" t="s">
        <v>37</v>
      </c>
      <c r="K1793">
        <v>10090</v>
      </c>
      <c r="L1793" s="3" t="str">
        <f>HYPERLINK(CONCATENATE("https://www.uniprot.org/uniprotkb/", AG1793, "/entry"), AG1793)</f>
        <v>Q9CQ73</v>
      </c>
      <c r="M1793" t="s">
        <v>32</v>
      </c>
      <c r="N1793" t="s">
        <v>32</v>
      </c>
      <c r="O1793" s="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t="s">
        <v>32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t="s">
        <v>46835</v>
      </c>
      <c r="AG1793" t="s">
        <v>46923</v>
      </c>
    </row>
    <row r="1794" spans="1:33" x14ac:dyDescent="0.2">
      <c r="A1794">
        <v>1789</v>
      </c>
      <c r="B1794" t="s">
        <v>20850</v>
      </c>
      <c r="C1794" t="s">
        <v>20851</v>
      </c>
      <c r="D1794" t="s">
        <v>20852</v>
      </c>
      <c r="E1794" t="s">
        <v>20853</v>
      </c>
      <c r="F1794" t="s">
        <v>20854</v>
      </c>
      <c r="G1794" t="s">
        <v>20855</v>
      </c>
      <c r="H1794" t="str">
        <f>"Cdkn1c"</f>
        <v>Cdkn1c</v>
      </c>
      <c r="I1794" t="s">
        <v>20856</v>
      </c>
      <c r="J1794" t="s">
        <v>37</v>
      </c>
      <c r="K1794">
        <v>10090</v>
      </c>
      <c r="L1794" s="3" t="str">
        <f>HYPERLINK("http://www.uniprot.org/uniprot/P49919", "P49919")</f>
        <v>P49919</v>
      </c>
      <c r="M1794" t="s">
        <v>20857</v>
      </c>
      <c r="N1794" t="str">
        <f>"Cdkn1c"</f>
        <v>Cdkn1c</v>
      </c>
      <c r="O1794" s="3" t="str">
        <f>HYPERLINK("http://www.informatics.jax.org/marker/MGI:104564", "MGI:104564")</f>
        <v>MGI:104564</v>
      </c>
      <c r="P1794" t="s">
        <v>20858</v>
      </c>
      <c r="Q1794" t="s">
        <v>9824</v>
      </c>
      <c r="R1794" t="s">
        <v>2279</v>
      </c>
      <c r="S1794" t="s">
        <v>41</v>
      </c>
      <c r="T1794" t="s">
        <v>32</v>
      </c>
      <c r="U1794" t="s">
        <v>32</v>
      </c>
      <c r="V1794" t="s">
        <v>32</v>
      </c>
      <c r="W1794" t="s">
        <v>32</v>
      </c>
      <c r="X1794" t="s">
        <v>20859</v>
      </c>
      <c r="Y1794" t="s">
        <v>175</v>
      </c>
      <c r="Z1794" t="s">
        <v>32</v>
      </c>
      <c r="AA1794" t="s">
        <v>20860</v>
      </c>
      <c r="AB1794" t="s">
        <v>110</v>
      </c>
      <c r="AC1794" t="s">
        <v>20861</v>
      </c>
      <c r="AD1794" t="s">
        <v>32</v>
      </c>
      <c r="AE1794" t="s">
        <v>20862</v>
      </c>
      <c r="AF1794" t="s">
        <v>46835</v>
      </c>
    </row>
    <row r="1795" spans="1:33" x14ac:dyDescent="0.2">
      <c r="A1795">
        <v>1790</v>
      </c>
      <c r="B1795" t="s">
        <v>20863</v>
      </c>
      <c r="C1795" t="s">
        <v>20864</v>
      </c>
      <c r="D1795" t="s">
        <v>20865</v>
      </c>
      <c r="E1795" t="s">
        <v>20866</v>
      </c>
      <c r="F1795" t="s">
        <v>20867</v>
      </c>
      <c r="G1795" t="s">
        <v>20868</v>
      </c>
      <c r="H1795" t="str">
        <f>"Gcsh"</f>
        <v>Gcsh</v>
      </c>
      <c r="I1795" t="s">
        <v>32</v>
      </c>
      <c r="J1795" t="s">
        <v>37</v>
      </c>
      <c r="K1795">
        <v>10090</v>
      </c>
      <c r="L1795" s="3" t="str">
        <f>HYPERLINK("http://www.uniprot.org/uniprot/Q91WK5", "Q91WK5")</f>
        <v>Q91WK5</v>
      </c>
      <c r="M1795" t="s">
        <v>20869</v>
      </c>
      <c r="N1795" t="str">
        <f>"Gcsh"</f>
        <v>Gcsh</v>
      </c>
      <c r="O1795" s="3" t="str">
        <f>HYPERLINK("http://www.informatics.jax.org/marker/MGI:1915383", "MGI:1915383")</f>
        <v>MGI:1915383</v>
      </c>
      <c r="P1795" t="s">
        <v>20870</v>
      </c>
      <c r="Q1795" t="s">
        <v>32</v>
      </c>
      <c r="R1795" t="s">
        <v>1038</v>
      </c>
      <c r="S1795" t="s">
        <v>32</v>
      </c>
      <c r="T1795" t="s">
        <v>32</v>
      </c>
      <c r="U1795" t="s">
        <v>32</v>
      </c>
      <c r="V1795" t="s">
        <v>10652</v>
      </c>
      <c r="W1795" t="s">
        <v>32</v>
      </c>
      <c r="X1795" t="s">
        <v>32</v>
      </c>
      <c r="Y1795" t="s">
        <v>32</v>
      </c>
      <c r="Z1795" t="s">
        <v>126</v>
      </c>
      <c r="AA1795" t="s">
        <v>20871</v>
      </c>
      <c r="AB1795" t="s">
        <v>20872</v>
      </c>
      <c r="AC1795" t="s">
        <v>20873</v>
      </c>
      <c r="AD1795" t="s">
        <v>32</v>
      </c>
      <c r="AE1795" t="s">
        <v>20874</v>
      </c>
      <c r="AF1795" t="s">
        <v>46835</v>
      </c>
    </row>
    <row r="1796" spans="1:33" x14ac:dyDescent="0.2">
      <c r="A1796">
        <v>1791</v>
      </c>
      <c r="B1796" t="s">
        <v>20875</v>
      </c>
      <c r="C1796" t="s">
        <v>20876</v>
      </c>
      <c r="D1796" t="s">
        <v>20877</v>
      </c>
      <c r="E1796" t="s">
        <v>20878</v>
      </c>
      <c r="F1796" t="s">
        <v>20879</v>
      </c>
      <c r="G1796" t="s">
        <v>20880</v>
      </c>
      <c r="H1796" t="str">
        <f>"Tbc1d15"</f>
        <v>Tbc1d15</v>
      </c>
      <c r="I1796" t="s">
        <v>32</v>
      </c>
      <c r="J1796" t="s">
        <v>37</v>
      </c>
      <c r="K1796">
        <v>10090</v>
      </c>
      <c r="L1796" s="3" t="str">
        <f>HYPERLINK("http://www.uniprot.org/uniprot/Q9CXF4", "Q9CXF4")</f>
        <v>Q9CXF4</v>
      </c>
      <c r="M1796" t="s">
        <v>20881</v>
      </c>
      <c r="N1796" t="str">
        <f>"Tbc1d15"</f>
        <v>Tbc1d15</v>
      </c>
      <c r="O1796" s="3" t="str">
        <f>HYPERLINK("http://www.informatics.jax.org/marker/MGI:1913937", "MGI:1913937")</f>
        <v>MGI:1913937</v>
      </c>
      <c r="P1796" t="s">
        <v>20882</v>
      </c>
      <c r="Q1796" t="s">
        <v>32</v>
      </c>
      <c r="R1796" t="s">
        <v>418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715</v>
      </c>
      <c r="Y1796" t="s">
        <v>157</v>
      </c>
      <c r="Z1796" t="s">
        <v>32</v>
      </c>
      <c r="AA1796" t="s">
        <v>20883</v>
      </c>
      <c r="AB1796" t="s">
        <v>19041</v>
      </c>
      <c r="AC1796" t="s">
        <v>14857</v>
      </c>
      <c r="AD1796" t="s">
        <v>32</v>
      </c>
      <c r="AE1796" t="s">
        <v>20884</v>
      </c>
      <c r="AF1796" t="s">
        <v>46835</v>
      </c>
    </row>
    <row r="1797" spans="1:33" x14ac:dyDescent="0.2">
      <c r="A1797">
        <v>1792</v>
      </c>
      <c r="B1797" t="s">
        <v>20885</v>
      </c>
      <c r="C1797" t="s">
        <v>20886</v>
      </c>
      <c r="D1797" t="s">
        <v>20887</v>
      </c>
      <c r="E1797" t="s">
        <v>20888</v>
      </c>
      <c r="F1797" t="s">
        <v>20889</v>
      </c>
      <c r="G1797" t="s">
        <v>20890</v>
      </c>
      <c r="H1797" t="str">
        <f>"Tcea1"</f>
        <v>Tcea1</v>
      </c>
      <c r="I1797" t="s">
        <v>20891</v>
      </c>
      <c r="J1797" t="s">
        <v>37</v>
      </c>
      <c r="K1797">
        <v>10090</v>
      </c>
      <c r="L1797" s="3" t="str">
        <f>HYPERLINK("http://www.uniprot.org/uniprot/P10711", "P10711")</f>
        <v>P10711</v>
      </c>
      <c r="M1797" t="s">
        <v>20892</v>
      </c>
      <c r="N1797" t="str">
        <f>"Tcea1"</f>
        <v>Tcea1</v>
      </c>
      <c r="O1797" s="3" t="str">
        <f>HYPERLINK("http://www.informatics.jax.org/marker/MGI:1196624", "MGI:1196624")</f>
        <v>MGI:1196624</v>
      </c>
      <c r="P1797" t="s">
        <v>20893</v>
      </c>
      <c r="Q1797" t="s">
        <v>4152</v>
      </c>
      <c r="R1797" t="s">
        <v>2279</v>
      </c>
      <c r="S1797" t="s">
        <v>41</v>
      </c>
      <c r="T1797" t="s">
        <v>32</v>
      </c>
      <c r="U1797" t="s">
        <v>32</v>
      </c>
      <c r="V1797" t="s">
        <v>446</v>
      </c>
      <c r="W1797" t="s">
        <v>42</v>
      </c>
      <c r="X1797" t="s">
        <v>247</v>
      </c>
      <c r="Y1797" t="s">
        <v>516</v>
      </c>
      <c r="Z1797" t="s">
        <v>32</v>
      </c>
      <c r="AA1797" t="s">
        <v>20894</v>
      </c>
      <c r="AB1797" t="s">
        <v>20895</v>
      </c>
      <c r="AC1797" t="s">
        <v>20896</v>
      </c>
      <c r="AD1797" t="s">
        <v>32</v>
      </c>
      <c r="AE1797" t="s">
        <v>20897</v>
      </c>
      <c r="AF1797" t="s">
        <v>46835</v>
      </c>
    </row>
    <row r="1798" spans="1:33" x14ac:dyDescent="0.2">
      <c r="A1798">
        <v>1793</v>
      </c>
      <c r="B1798" t="s">
        <v>20898</v>
      </c>
      <c r="C1798" t="s">
        <v>20899</v>
      </c>
      <c r="D1798" t="s">
        <v>32</v>
      </c>
      <c r="E1798" t="s">
        <v>20900</v>
      </c>
      <c r="F1798" t="s">
        <v>20901</v>
      </c>
      <c r="G1798" t="s">
        <v>20902</v>
      </c>
      <c r="H1798" t="str">
        <f>"Rab5c"</f>
        <v>Rab5c</v>
      </c>
      <c r="I1798" t="s">
        <v>32</v>
      </c>
      <c r="J1798" t="s">
        <v>37</v>
      </c>
      <c r="K1798">
        <v>10090</v>
      </c>
      <c r="L1798" s="3" t="str">
        <f>HYPERLINK("http://www.uniprot.org/uniprot/P35278", "P35278")</f>
        <v>P35278</v>
      </c>
      <c r="M1798" t="s">
        <v>20903</v>
      </c>
      <c r="N1798" t="str">
        <f>"Rab5c"</f>
        <v>Rab5c</v>
      </c>
      <c r="O1798" s="3" t="str">
        <f>HYPERLINK("http://www.informatics.jax.org/marker/MGI:105306", "MGI:105306")</f>
        <v>MGI:105306</v>
      </c>
      <c r="P1798" t="s">
        <v>20904</v>
      </c>
      <c r="Q1798" t="s">
        <v>434</v>
      </c>
      <c r="R1798" t="s">
        <v>11564</v>
      </c>
      <c r="S1798" t="s">
        <v>32</v>
      </c>
      <c r="T1798" t="s">
        <v>32</v>
      </c>
      <c r="U1798" t="s">
        <v>32</v>
      </c>
      <c r="V1798" t="s">
        <v>32</v>
      </c>
      <c r="W1798" t="s">
        <v>261</v>
      </c>
      <c r="X1798" t="s">
        <v>343</v>
      </c>
      <c r="Y1798" t="s">
        <v>17897</v>
      </c>
      <c r="Z1798" t="s">
        <v>126</v>
      </c>
      <c r="AA1798" t="s">
        <v>20905</v>
      </c>
      <c r="AB1798" t="s">
        <v>20906</v>
      </c>
      <c r="AC1798" t="s">
        <v>20907</v>
      </c>
      <c r="AD1798" t="s">
        <v>32</v>
      </c>
      <c r="AE1798" t="s">
        <v>20908</v>
      </c>
      <c r="AF1798" t="s">
        <v>46835</v>
      </c>
    </row>
    <row r="1799" spans="1:33" x14ac:dyDescent="0.2">
      <c r="A1799">
        <v>1794</v>
      </c>
      <c r="B1799" t="s">
        <v>20909</v>
      </c>
      <c r="C1799" t="s">
        <v>20910</v>
      </c>
      <c r="D1799" t="s">
        <v>20911</v>
      </c>
      <c r="E1799" t="s">
        <v>20912</v>
      </c>
      <c r="F1799" t="s">
        <v>20913</v>
      </c>
      <c r="G1799" t="s">
        <v>20914</v>
      </c>
      <c r="H1799" t="str">
        <f>"Clasp1"</f>
        <v>Clasp1</v>
      </c>
      <c r="I1799" t="s">
        <v>20915</v>
      </c>
      <c r="J1799" t="s">
        <v>37</v>
      </c>
      <c r="K1799">
        <v>10090</v>
      </c>
      <c r="L1799" s="3" t="str">
        <f>HYPERLINK("http://www.uniprot.org/uniprot/Q80TV8", "Q80TV8")</f>
        <v>Q80TV8</v>
      </c>
      <c r="M1799" t="s">
        <v>20916</v>
      </c>
      <c r="N1799" t="str">
        <f>"Clasp1"</f>
        <v>Clasp1</v>
      </c>
      <c r="O1799" s="3" t="str">
        <f>HYPERLINK("http://www.informatics.jax.org/marker/MGI:1923957", "MGI:1923957")</f>
        <v>MGI:1923957</v>
      </c>
      <c r="P1799" t="s">
        <v>20917</v>
      </c>
      <c r="Q1799" t="s">
        <v>2968</v>
      </c>
      <c r="R1799" t="s">
        <v>20918</v>
      </c>
      <c r="S1799" t="s">
        <v>41</v>
      </c>
      <c r="T1799" t="s">
        <v>32</v>
      </c>
      <c r="U1799" t="s">
        <v>32</v>
      </c>
      <c r="V1799" t="s">
        <v>137</v>
      </c>
      <c r="W1799" t="s">
        <v>32</v>
      </c>
      <c r="X1799" t="s">
        <v>32</v>
      </c>
      <c r="Y1799" t="s">
        <v>618</v>
      </c>
      <c r="Z1799" t="s">
        <v>32</v>
      </c>
      <c r="AA1799" t="s">
        <v>20919</v>
      </c>
      <c r="AB1799" t="s">
        <v>20920</v>
      </c>
      <c r="AC1799" t="s">
        <v>20921</v>
      </c>
      <c r="AD1799" t="s">
        <v>32</v>
      </c>
      <c r="AE1799" t="s">
        <v>4923</v>
      </c>
      <c r="AF1799" t="s">
        <v>46835</v>
      </c>
    </row>
    <row r="1800" spans="1:33" x14ac:dyDescent="0.2">
      <c r="A1800">
        <v>1795</v>
      </c>
      <c r="B1800" t="s">
        <v>20922</v>
      </c>
      <c r="C1800" t="s">
        <v>20923</v>
      </c>
      <c r="D1800" t="s">
        <v>20924</v>
      </c>
      <c r="E1800" t="s">
        <v>20925</v>
      </c>
      <c r="F1800" t="s">
        <v>20926</v>
      </c>
      <c r="G1800" t="s">
        <v>32</v>
      </c>
      <c r="H1800" t="str">
        <f>"Map2k4"</f>
        <v>Map2k4</v>
      </c>
      <c r="I1800" t="s">
        <v>20927</v>
      </c>
      <c r="J1800" t="s">
        <v>37</v>
      </c>
      <c r="K1800">
        <v>10090</v>
      </c>
      <c r="L1800" s="3" t="str">
        <f>HYPERLINK("http://www.uniprot.org/uniprot/P47809", "P47809")</f>
        <v>P47809</v>
      </c>
      <c r="M1800" t="s">
        <v>20928</v>
      </c>
      <c r="N1800" t="str">
        <f>"Map2k4"</f>
        <v>Map2k4</v>
      </c>
      <c r="O1800" s="3" t="str">
        <f>HYPERLINK("http://www.informatics.jax.org/marker/MGI:1346869", "MGI:1346869")</f>
        <v>MGI:1346869</v>
      </c>
      <c r="P1800" t="s">
        <v>20929</v>
      </c>
      <c r="Q1800" t="s">
        <v>20930</v>
      </c>
      <c r="R1800" t="s">
        <v>40</v>
      </c>
      <c r="S1800" t="s">
        <v>32</v>
      </c>
      <c r="T1800" t="s">
        <v>32</v>
      </c>
      <c r="U1800" t="s">
        <v>32</v>
      </c>
      <c r="V1800" t="s">
        <v>32</v>
      </c>
      <c r="W1800" t="s">
        <v>205</v>
      </c>
      <c r="X1800" t="s">
        <v>16915</v>
      </c>
      <c r="Y1800" t="s">
        <v>97</v>
      </c>
      <c r="Z1800" t="s">
        <v>32</v>
      </c>
      <c r="AA1800" t="s">
        <v>20931</v>
      </c>
      <c r="AB1800" t="s">
        <v>20932</v>
      </c>
      <c r="AC1800" t="s">
        <v>20933</v>
      </c>
      <c r="AD1800" t="s">
        <v>32</v>
      </c>
      <c r="AE1800" t="s">
        <v>20934</v>
      </c>
      <c r="AF1800" t="s">
        <v>46835</v>
      </c>
    </row>
    <row r="1801" spans="1:33" x14ac:dyDescent="0.2">
      <c r="A1801">
        <v>1796</v>
      </c>
      <c r="B1801" t="s">
        <v>20935</v>
      </c>
      <c r="C1801" t="s">
        <v>20936</v>
      </c>
      <c r="D1801" t="s">
        <v>20937</v>
      </c>
      <c r="E1801" t="s">
        <v>20938</v>
      </c>
      <c r="F1801" t="s">
        <v>20939</v>
      </c>
      <c r="G1801" t="s">
        <v>20940</v>
      </c>
      <c r="H1801" t="str">
        <f>"Asph"</f>
        <v>Asph</v>
      </c>
      <c r="I1801" t="s">
        <v>20941</v>
      </c>
      <c r="J1801" t="s">
        <v>37</v>
      </c>
      <c r="K1801">
        <v>10090</v>
      </c>
      <c r="L1801" s="3" t="str">
        <f>HYPERLINK("http://www.uniprot.org/uniprot/Q8BSY0", "Q8BSY0")</f>
        <v>Q8BSY0</v>
      </c>
      <c r="M1801" t="s">
        <v>20942</v>
      </c>
      <c r="N1801" t="str">
        <f>"Asph"</f>
        <v>Asph</v>
      </c>
      <c r="O1801" s="3" t="str">
        <f>HYPERLINK("http://www.informatics.jax.org/marker/MGI:1914186", "MGI:1914186")</f>
        <v>MGI:1914186</v>
      </c>
      <c r="P1801" t="s">
        <v>20943</v>
      </c>
      <c r="Q1801" t="s">
        <v>32</v>
      </c>
      <c r="R1801" t="s">
        <v>4053</v>
      </c>
      <c r="S1801" t="s">
        <v>41</v>
      </c>
      <c r="T1801" t="s">
        <v>32</v>
      </c>
      <c r="U1801" t="s">
        <v>32</v>
      </c>
      <c r="V1801" t="s">
        <v>20944</v>
      </c>
      <c r="W1801" t="s">
        <v>20945</v>
      </c>
      <c r="X1801" t="s">
        <v>3732</v>
      </c>
      <c r="Y1801" t="s">
        <v>2865</v>
      </c>
      <c r="Z1801" t="s">
        <v>32</v>
      </c>
      <c r="AA1801" t="s">
        <v>20946</v>
      </c>
      <c r="AB1801" t="s">
        <v>20947</v>
      </c>
      <c r="AC1801" t="s">
        <v>20948</v>
      </c>
      <c r="AD1801" t="s">
        <v>32</v>
      </c>
      <c r="AE1801" t="s">
        <v>20949</v>
      </c>
      <c r="AF1801" t="s">
        <v>46835</v>
      </c>
    </row>
    <row r="1802" spans="1:33" x14ac:dyDescent="0.2">
      <c r="A1802">
        <v>1797</v>
      </c>
      <c r="B1802" t="s">
        <v>20950</v>
      </c>
      <c r="C1802" t="s">
        <v>20951</v>
      </c>
      <c r="D1802" t="s">
        <v>20952</v>
      </c>
      <c r="E1802" t="s">
        <v>20953</v>
      </c>
      <c r="F1802" t="s">
        <v>20954</v>
      </c>
      <c r="G1802" t="s">
        <v>20955</v>
      </c>
      <c r="H1802" t="str">
        <f>"Mtx2"</f>
        <v>Mtx2</v>
      </c>
      <c r="I1802" t="s">
        <v>32</v>
      </c>
      <c r="J1802" t="s">
        <v>37</v>
      </c>
      <c r="K1802">
        <v>10090</v>
      </c>
      <c r="L1802" s="3" t="str">
        <f>HYPERLINK("http://www.uniprot.org/uniprot/O88441", "O88441")</f>
        <v>O88441</v>
      </c>
      <c r="M1802" t="s">
        <v>20956</v>
      </c>
      <c r="N1802" t="str">
        <f>"Mtx2"</f>
        <v>Mtx2</v>
      </c>
      <c r="O1802" s="3" t="str">
        <f>HYPERLINK("http://www.informatics.jax.org/marker/MGI:1859652", "MGI:1859652")</f>
        <v>MGI:1859652</v>
      </c>
      <c r="P1802" t="s">
        <v>20957</v>
      </c>
      <c r="Q1802" t="s">
        <v>434</v>
      </c>
      <c r="R1802" t="s">
        <v>4782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32</v>
      </c>
      <c r="Y1802" t="s">
        <v>78</v>
      </c>
      <c r="Z1802" t="s">
        <v>32</v>
      </c>
      <c r="AA1802" t="s">
        <v>20958</v>
      </c>
      <c r="AB1802" t="s">
        <v>20959</v>
      </c>
      <c r="AC1802" t="s">
        <v>32</v>
      </c>
      <c r="AD1802" t="s">
        <v>32</v>
      </c>
      <c r="AE1802" t="s">
        <v>32</v>
      </c>
      <c r="AF1802" t="s">
        <v>46835</v>
      </c>
    </row>
    <row r="1803" spans="1:33" x14ac:dyDescent="0.2">
      <c r="A1803">
        <v>1798</v>
      </c>
      <c r="B1803" t="s">
        <v>20960</v>
      </c>
      <c r="C1803" t="s">
        <v>20961</v>
      </c>
      <c r="D1803" t="s">
        <v>20962</v>
      </c>
      <c r="E1803" t="s">
        <v>20963</v>
      </c>
      <c r="F1803" t="s">
        <v>20964</v>
      </c>
      <c r="G1803" t="s">
        <v>20965</v>
      </c>
      <c r="H1803" t="str">
        <f>"Kdm1a"</f>
        <v>Kdm1a</v>
      </c>
      <c r="I1803" t="s">
        <v>20966</v>
      </c>
      <c r="J1803" t="s">
        <v>37</v>
      </c>
      <c r="K1803">
        <v>10090</v>
      </c>
      <c r="L1803" s="3" t="str">
        <f>HYPERLINK("http://www.uniprot.org/uniprot/Q6ZQ88", "Q6ZQ88")</f>
        <v>Q6ZQ88</v>
      </c>
      <c r="M1803" t="s">
        <v>20967</v>
      </c>
      <c r="N1803" t="str">
        <f>"Kdm1a"</f>
        <v>Kdm1a</v>
      </c>
      <c r="O1803" s="3" t="str">
        <f>HYPERLINK("http://www.informatics.jax.org/marker/MGI:1196256", "MGI:1196256")</f>
        <v>MGI:1196256</v>
      </c>
      <c r="P1803" t="s">
        <v>20968</v>
      </c>
      <c r="Q1803" t="s">
        <v>4152</v>
      </c>
      <c r="R1803" t="s">
        <v>2279</v>
      </c>
      <c r="S1803" t="s">
        <v>32</v>
      </c>
      <c r="T1803" t="s">
        <v>32</v>
      </c>
      <c r="U1803" t="s">
        <v>32</v>
      </c>
      <c r="V1803" t="s">
        <v>290</v>
      </c>
      <c r="W1803" t="s">
        <v>4600</v>
      </c>
      <c r="X1803" t="s">
        <v>20969</v>
      </c>
      <c r="Y1803" t="s">
        <v>1007</v>
      </c>
      <c r="Z1803" t="s">
        <v>32</v>
      </c>
      <c r="AA1803" t="s">
        <v>20970</v>
      </c>
      <c r="AB1803" t="s">
        <v>20971</v>
      </c>
      <c r="AC1803" t="s">
        <v>20972</v>
      </c>
      <c r="AD1803" t="s">
        <v>32</v>
      </c>
      <c r="AE1803" t="s">
        <v>20973</v>
      </c>
      <c r="AF1803" t="s">
        <v>46835</v>
      </c>
    </row>
    <row r="1804" spans="1:33" x14ac:dyDescent="0.2">
      <c r="A1804">
        <v>1799</v>
      </c>
      <c r="B1804" t="s">
        <v>20974</v>
      </c>
      <c r="C1804" t="s">
        <v>20975</v>
      </c>
      <c r="D1804" t="s">
        <v>20976</v>
      </c>
      <c r="E1804" t="s">
        <v>20977</v>
      </c>
      <c r="F1804" t="s">
        <v>20978</v>
      </c>
      <c r="G1804" t="s">
        <v>20979</v>
      </c>
      <c r="H1804" t="str">
        <f>"Pofut2"</f>
        <v>Pofut2</v>
      </c>
      <c r="I1804" t="s">
        <v>32</v>
      </c>
      <c r="J1804" t="s">
        <v>37</v>
      </c>
      <c r="K1804">
        <v>10090</v>
      </c>
      <c r="L1804" s="3" t="str">
        <f>HYPERLINK("http://www.uniprot.org/uniprot/Q8VHI3", "Q8VHI3")</f>
        <v>Q8VHI3</v>
      </c>
      <c r="M1804" t="s">
        <v>20980</v>
      </c>
      <c r="N1804" t="str">
        <f>"Pofut2"</f>
        <v>Pofut2</v>
      </c>
      <c r="O1804" s="3" t="str">
        <f>HYPERLINK("http://www.informatics.jax.org/marker/MGI:1916863", "MGI:1916863")</f>
        <v>MGI:1916863</v>
      </c>
      <c r="P1804" t="s">
        <v>20981</v>
      </c>
      <c r="Q1804" t="s">
        <v>20982</v>
      </c>
      <c r="R1804" t="s">
        <v>4315</v>
      </c>
      <c r="S1804" t="s">
        <v>32</v>
      </c>
      <c r="T1804" t="s">
        <v>32</v>
      </c>
      <c r="U1804" t="s">
        <v>32</v>
      </c>
      <c r="V1804" t="s">
        <v>811</v>
      </c>
      <c r="W1804" t="s">
        <v>32</v>
      </c>
      <c r="X1804" t="s">
        <v>2362</v>
      </c>
      <c r="Y1804" t="s">
        <v>5275</v>
      </c>
      <c r="Z1804" t="s">
        <v>32</v>
      </c>
      <c r="AA1804" t="s">
        <v>20983</v>
      </c>
      <c r="AB1804" t="s">
        <v>20984</v>
      </c>
      <c r="AC1804" t="s">
        <v>20985</v>
      </c>
      <c r="AD1804" t="s">
        <v>3952</v>
      </c>
      <c r="AE1804" t="s">
        <v>20490</v>
      </c>
      <c r="AF1804" t="s">
        <v>46835</v>
      </c>
    </row>
    <row r="1805" spans="1:33" x14ac:dyDescent="0.2">
      <c r="A1805">
        <v>1800</v>
      </c>
      <c r="B1805" t="s">
        <v>20986</v>
      </c>
      <c r="C1805" t="s">
        <v>20987</v>
      </c>
      <c r="D1805" t="s">
        <v>32</v>
      </c>
      <c r="E1805" t="s">
        <v>20988</v>
      </c>
      <c r="F1805" t="s">
        <v>20989</v>
      </c>
      <c r="G1805" t="s">
        <v>20990</v>
      </c>
      <c r="H1805" t="str">
        <f>"Denr"</f>
        <v>Denr</v>
      </c>
      <c r="I1805" t="s">
        <v>32</v>
      </c>
      <c r="J1805" t="s">
        <v>37</v>
      </c>
      <c r="K1805">
        <v>10090</v>
      </c>
      <c r="L1805" s="3" t="str">
        <f>HYPERLINK("http://www.uniprot.org/uniprot/Q9CQJ6", "Q9CQJ6")</f>
        <v>Q9CQJ6</v>
      </c>
      <c r="M1805" t="s">
        <v>20991</v>
      </c>
      <c r="N1805" t="str">
        <f>"Denr"</f>
        <v>Denr</v>
      </c>
      <c r="O1805" s="3" t="str">
        <f>HYPERLINK("http://www.informatics.jax.org/marker/MGI:1915434", "MGI:1915434")</f>
        <v>MGI:1915434</v>
      </c>
      <c r="P1805" t="s">
        <v>20992</v>
      </c>
      <c r="Q1805" t="s">
        <v>260</v>
      </c>
      <c r="R1805" t="s">
        <v>32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2675</v>
      </c>
      <c r="Y1805" t="s">
        <v>157</v>
      </c>
      <c r="Z1805" t="s">
        <v>32</v>
      </c>
      <c r="AA1805" t="s">
        <v>20993</v>
      </c>
      <c r="AB1805" t="s">
        <v>32</v>
      </c>
      <c r="AC1805" t="s">
        <v>20994</v>
      </c>
      <c r="AD1805" t="s">
        <v>32</v>
      </c>
      <c r="AE1805" t="s">
        <v>32</v>
      </c>
      <c r="AF1805" t="s">
        <v>46835</v>
      </c>
    </row>
    <row r="1806" spans="1:33" x14ac:dyDescent="0.2">
      <c r="A1806">
        <v>1801</v>
      </c>
      <c r="B1806" t="s">
        <v>20995</v>
      </c>
      <c r="C1806" t="s">
        <v>20996</v>
      </c>
      <c r="D1806" t="s">
        <v>20997</v>
      </c>
      <c r="E1806" t="s">
        <v>20998</v>
      </c>
      <c r="F1806" t="s">
        <v>20999</v>
      </c>
      <c r="G1806" t="s">
        <v>21000</v>
      </c>
      <c r="H1806" t="str">
        <f>"Prkcd"</f>
        <v>Prkcd</v>
      </c>
      <c r="I1806" t="s">
        <v>21001</v>
      </c>
      <c r="J1806" t="s">
        <v>37</v>
      </c>
      <c r="K1806">
        <v>10090</v>
      </c>
      <c r="L1806" s="3" t="str">
        <f>HYPERLINK("http://www.uniprot.org/uniprot/P28867", "P28867")</f>
        <v>P28867</v>
      </c>
      <c r="M1806" t="s">
        <v>21002</v>
      </c>
      <c r="N1806" t="str">
        <f>"Prkcd"</f>
        <v>Prkcd</v>
      </c>
      <c r="O1806" s="3" t="str">
        <f>HYPERLINK("http://www.informatics.jax.org/marker/MGI:97598", "MGI:97598")</f>
        <v>MGI:97598</v>
      </c>
      <c r="P1806" t="s">
        <v>21003</v>
      </c>
      <c r="Q1806" t="s">
        <v>5417</v>
      </c>
      <c r="R1806" t="s">
        <v>859</v>
      </c>
      <c r="S1806" t="s">
        <v>41</v>
      </c>
      <c r="T1806" t="s">
        <v>32</v>
      </c>
      <c r="U1806" t="s">
        <v>1636</v>
      </c>
      <c r="V1806" t="s">
        <v>3791</v>
      </c>
      <c r="W1806" t="s">
        <v>2325</v>
      </c>
      <c r="X1806" t="s">
        <v>5419</v>
      </c>
      <c r="Y1806" t="s">
        <v>618</v>
      </c>
      <c r="Z1806" t="s">
        <v>126</v>
      </c>
      <c r="AA1806" t="s">
        <v>21004</v>
      </c>
      <c r="AB1806" t="s">
        <v>21005</v>
      </c>
      <c r="AC1806" t="s">
        <v>21006</v>
      </c>
      <c r="AD1806" t="s">
        <v>32</v>
      </c>
      <c r="AE1806" t="s">
        <v>21007</v>
      </c>
      <c r="AF1806" t="s">
        <v>46835</v>
      </c>
    </row>
    <row r="1807" spans="1:33" x14ac:dyDescent="0.2">
      <c r="A1807">
        <v>1802</v>
      </c>
      <c r="B1807" t="s">
        <v>21008</v>
      </c>
      <c r="C1807" t="s">
        <v>21009</v>
      </c>
      <c r="D1807" t="s">
        <v>21010</v>
      </c>
      <c r="E1807" t="s">
        <v>21011</v>
      </c>
      <c r="F1807" t="s">
        <v>21012</v>
      </c>
      <c r="G1807" t="s">
        <v>21013</v>
      </c>
      <c r="H1807" t="str">
        <f>"Hspbp1"</f>
        <v>Hspbp1</v>
      </c>
      <c r="I1807" t="s">
        <v>21014</v>
      </c>
      <c r="J1807" t="s">
        <v>37</v>
      </c>
      <c r="K1807">
        <v>10090</v>
      </c>
      <c r="L1807" s="3" t="str">
        <f>HYPERLINK("http://www.uniprot.org/uniprot/Q99P31", "Q99P31")</f>
        <v>Q99P31</v>
      </c>
      <c r="M1807" t="s">
        <v>21015</v>
      </c>
      <c r="N1807" t="str">
        <f>"Hspbp1"</f>
        <v>Hspbp1</v>
      </c>
      <c r="O1807" s="3" t="str">
        <f>HYPERLINK("http://www.informatics.jax.org/marker/MGI:1913495", "MGI:1913495")</f>
        <v>MGI:1913495</v>
      </c>
      <c r="P1807" t="s">
        <v>21016</v>
      </c>
      <c r="Q1807" t="s">
        <v>32</v>
      </c>
      <c r="R1807" t="s">
        <v>32</v>
      </c>
      <c r="S1807" t="s">
        <v>32</v>
      </c>
      <c r="T1807" t="s">
        <v>32</v>
      </c>
      <c r="U1807" t="s">
        <v>32</v>
      </c>
      <c r="V1807" t="s">
        <v>55</v>
      </c>
      <c r="W1807" t="s">
        <v>32</v>
      </c>
      <c r="X1807" t="s">
        <v>32</v>
      </c>
      <c r="Y1807" t="s">
        <v>618</v>
      </c>
      <c r="Z1807" t="s">
        <v>32</v>
      </c>
      <c r="AA1807" t="s">
        <v>21017</v>
      </c>
      <c r="AB1807" t="s">
        <v>32</v>
      </c>
      <c r="AC1807" t="s">
        <v>21018</v>
      </c>
      <c r="AD1807" t="s">
        <v>32</v>
      </c>
      <c r="AE1807" t="s">
        <v>32</v>
      </c>
      <c r="AF1807" t="s">
        <v>46835</v>
      </c>
    </row>
    <row r="1808" spans="1:33" x14ac:dyDescent="0.2">
      <c r="A1808">
        <v>1803</v>
      </c>
      <c r="B1808" t="s">
        <v>21019</v>
      </c>
      <c r="C1808" t="s">
        <v>47213</v>
      </c>
      <c r="D1808" t="s">
        <v>32</v>
      </c>
      <c r="E1808" t="s">
        <v>46926</v>
      </c>
      <c r="F1808" t="s">
        <v>46925</v>
      </c>
      <c r="G1808" t="s">
        <v>32</v>
      </c>
      <c r="H1808" t="s">
        <v>47346</v>
      </c>
      <c r="I1808" t="s">
        <v>32</v>
      </c>
      <c r="J1808" t="s">
        <v>37</v>
      </c>
      <c r="K1808">
        <v>10090</v>
      </c>
      <c r="L1808" s="3" t="str">
        <f>HYPERLINK(CONCATENATE("https://www.uniprot.org/uniprotkb/", AG1808, "/entry"), AG1808)</f>
        <v>B9EJR8</v>
      </c>
      <c r="M1808" t="s">
        <v>32</v>
      </c>
      <c r="N1808" t="s">
        <v>32</v>
      </c>
      <c r="O1808" s="3" t="s">
        <v>32</v>
      </c>
      <c r="P1808" t="s">
        <v>32</v>
      </c>
      <c r="Q1808" t="s">
        <v>32</v>
      </c>
      <c r="R1808" t="s">
        <v>32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32</v>
      </c>
      <c r="Y1808" t="s">
        <v>32</v>
      </c>
      <c r="Z1808" t="s">
        <v>32</v>
      </c>
      <c r="AA1808" t="s">
        <v>32</v>
      </c>
      <c r="AB1808" t="s">
        <v>32</v>
      </c>
      <c r="AC1808" t="s">
        <v>32</v>
      </c>
      <c r="AD1808" t="s">
        <v>32</v>
      </c>
      <c r="AE1808" t="s">
        <v>32</v>
      </c>
      <c r="AF1808" t="s">
        <v>46835</v>
      </c>
      <c r="AG1808" t="s">
        <v>46925</v>
      </c>
    </row>
    <row r="1809" spans="1:33" x14ac:dyDescent="0.2">
      <c r="A1809">
        <v>1804</v>
      </c>
      <c r="B1809" t="s">
        <v>21020</v>
      </c>
      <c r="C1809" t="s">
        <v>21021</v>
      </c>
      <c r="D1809" t="s">
        <v>32</v>
      </c>
      <c r="E1809" t="s">
        <v>21022</v>
      </c>
      <c r="F1809" t="s">
        <v>21023</v>
      </c>
      <c r="G1809" t="s">
        <v>21024</v>
      </c>
      <c r="H1809" t="str">
        <f>"Safb2"</f>
        <v>Safb2</v>
      </c>
      <c r="I1809" t="s">
        <v>32</v>
      </c>
      <c r="J1809" t="s">
        <v>37</v>
      </c>
      <c r="K1809">
        <v>10090</v>
      </c>
      <c r="L1809" s="3" t="str">
        <f>HYPERLINK("http://www.uniprot.org/uniprot/Q80YR5", "Q80YR5")</f>
        <v>Q80YR5</v>
      </c>
      <c r="M1809" t="s">
        <v>21025</v>
      </c>
      <c r="N1809" t="str">
        <f>"Safb2"</f>
        <v>Safb2</v>
      </c>
      <c r="O1809" s="3" t="str">
        <f>HYPERLINK("http://www.informatics.jax.org/marker/MGI:2146808", "MGI:2146808")</f>
        <v>MGI:2146808</v>
      </c>
      <c r="P1809" t="s">
        <v>21026</v>
      </c>
      <c r="Q1809" t="s">
        <v>4152</v>
      </c>
      <c r="R1809" t="s">
        <v>40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5759</v>
      </c>
      <c r="Y1809" t="s">
        <v>207</v>
      </c>
      <c r="Z1809" t="s">
        <v>32</v>
      </c>
      <c r="AA1809" t="s">
        <v>21027</v>
      </c>
      <c r="AB1809" t="s">
        <v>21028</v>
      </c>
      <c r="AC1809" t="s">
        <v>21029</v>
      </c>
      <c r="AD1809" t="s">
        <v>32</v>
      </c>
      <c r="AE1809" t="s">
        <v>32</v>
      </c>
      <c r="AF1809" t="s">
        <v>46835</v>
      </c>
    </row>
    <row r="1810" spans="1:33" x14ac:dyDescent="0.2">
      <c r="A1810">
        <v>1805</v>
      </c>
      <c r="B1810" t="s">
        <v>21030</v>
      </c>
      <c r="C1810" t="s">
        <v>21031</v>
      </c>
      <c r="D1810" t="s">
        <v>21032</v>
      </c>
      <c r="E1810" t="s">
        <v>21033</v>
      </c>
      <c r="F1810" t="s">
        <v>21034</v>
      </c>
      <c r="G1810" t="s">
        <v>21035</v>
      </c>
      <c r="H1810" t="str">
        <f>"RtcA"</f>
        <v>RtcA</v>
      </c>
      <c r="I1810" t="s">
        <v>21036</v>
      </c>
      <c r="J1810" t="s">
        <v>37</v>
      </c>
      <c r="K1810">
        <v>10090</v>
      </c>
      <c r="L1810" s="3" t="str">
        <f>HYPERLINK("http://www.uniprot.org/uniprot/Q9D7H3", "Q9D7H3")</f>
        <v>Q9D7H3</v>
      </c>
      <c r="M1810" t="s">
        <v>21037</v>
      </c>
      <c r="N1810" t="str">
        <f>"Rtca"</f>
        <v>Rtca</v>
      </c>
      <c r="O1810" s="3" t="str">
        <f>HYPERLINK("http://www.informatics.jax.org/marker/MGI:1913618", "MGI:1913618")</f>
        <v>MGI:1913618</v>
      </c>
      <c r="P1810" t="s">
        <v>21038</v>
      </c>
      <c r="Q1810" t="s">
        <v>32</v>
      </c>
      <c r="R1810" t="s">
        <v>2279</v>
      </c>
      <c r="S1810" t="s">
        <v>32</v>
      </c>
      <c r="T1810" t="s">
        <v>32</v>
      </c>
      <c r="U1810" t="s">
        <v>32</v>
      </c>
      <c r="V1810" t="s">
        <v>32</v>
      </c>
      <c r="W1810" t="s">
        <v>205</v>
      </c>
      <c r="X1810" t="s">
        <v>1022</v>
      </c>
      <c r="Y1810" t="s">
        <v>32</v>
      </c>
      <c r="Z1810" t="s">
        <v>32</v>
      </c>
      <c r="AA1810" t="s">
        <v>21039</v>
      </c>
      <c r="AB1810" t="s">
        <v>7318</v>
      </c>
      <c r="AC1810" t="s">
        <v>21040</v>
      </c>
      <c r="AD1810" t="s">
        <v>32</v>
      </c>
      <c r="AE1810" t="s">
        <v>32</v>
      </c>
      <c r="AF1810" t="s">
        <v>46835</v>
      </c>
    </row>
    <row r="1811" spans="1:33" x14ac:dyDescent="0.2">
      <c r="A1811">
        <v>1806</v>
      </c>
      <c r="B1811" t="s">
        <v>21041</v>
      </c>
      <c r="C1811" t="s">
        <v>21042</v>
      </c>
      <c r="D1811" t="s">
        <v>21043</v>
      </c>
      <c r="E1811" t="s">
        <v>21044</v>
      </c>
      <c r="F1811" t="s">
        <v>21045</v>
      </c>
      <c r="G1811" t="s">
        <v>21046</v>
      </c>
      <c r="H1811" t="str">
        <f>"Tmx3"</f>
        <v>Tmx3</v>
      </c>
      <c r="I1811" t="s">
        <v>21047</v>
      </c>
      <c r="J1811" t="s">
        <v>37</v>
      </c>
      <c r="K1811">
        <v>10090</v>
      </c>
      <c r="L1811" s="3" t="str">
        <f>HYPERLINK("http://www.uniprot.org/uniprot/Q8BXZ1", "Q8BXZ1")</f>
        <v>Q8BXZ1</v>
      </c>
      <c r="M1811" t="s">
        <v>21048</v>
      </c>
      <c r="N1811" t="str">
        <f>"Tmx3"</f>
        <v>Tmx3</v>
      </c>
      <c r="O1811" s="3" t="str">
        <f>HYPERLINK("http://www.informatics.jax.org/marker/MGI:2442418", "MGI:2442418")</f>
        <v>MGI:2442418</v>
      </c>
      <c r="P1811" t="s">
        <v>21049</v>
      </c>
      <c r="Q1811" t="s">
        <v>32</v>
      </c>
      <c r="R1811" t="s">
        <v>1664</v>
      </c>
      <c r="S1811" t="s">
        <v>32</v>
      </c>
      <c r="T1811" t="s">
        <v>32</v>
      </c>
      <c r="U1811" t="s">
        <v>32</v>
      </c>
      <c r="V1811" t="s">
        <v>19648</v>
      </c>
      <c r="W1811" t="s">
        <v>32</v>
      </c>
      <c r="X1811" t="s">
        <v>673</v>
      </c>
      <c r="Y1811" t="s">
        <v>5275</v>
      </c>
      <c r="Z1811" t="s">
        <v>32</v>
      </c>
      <c r="AA1811" t="s">
        <v>21050</v>
      </c>
      <c r="AB1811" t="s">
        <v>21051</v>
      </c>
      <c r="AC1811" t="s">
        <v>1069</v>
      </c>
      <c r="AD1811" t="s">
        <v>32</v>
      </c>
      <c r="AE1811" t="s">
        <v>2235</v>
      </c>
      <c r="AF1811" t="s">
        <v>46835</v>
      </c>
    </row>
    <row r="1812" spans="1:33" x14ac:dyDescent="0.2">
      <c r="A1812">
        <v>1807</v>
      </c>
      <c r="B1812" t="s">
        <v>21052</v>
      </c>
      <c r="C1812" t="s">
        <v>21053</v>
      </c>
      <c r="D1812" t="s">
        <v>32</v>
      </c>
      <c r="E1812" t="s">
        <v>21054</v>
      </c>
      <c r="F1812" t="s">
        <v>21055</v>
      </c>
      <c r="G1812" t="s">
        <v>21056</v>
      </c>
      <c r="H1812" t="str">
        <f>"Sdf2"</f>
        <v>Sdf2</v>
      </c>
      <c r="I1812" t="s">
        <v>32</v>
      </c>
      <c r="J1812" t="s">
        <v>37</v>
      </c>
      <c r="K1812">
        <v>10090</v>
      </c>
      <c r="L1812" s="3" t="str">
        <f>HYPERLINK("http://www.uniprot.org/uniprot/Q9DCT5", "Q9DCT5")</f>
        <v>Q9DCT5</v>
      </c>
      <c r="M1812" t="s">
        <v>21057</v>
      </c>
      <c r="N1812" t="str">
        <f>"Sdf2"</f>
        <v>Sdf2</v>
      </c>
      <c r="O1812" s="3" t="str">
        <f>HYPERLINK("http://www.informatics.jax.org/marker/MGI:108019", "MGI:108019")</f>
        <v>MGI:108019</v>
      </c>
      <c r="P1812" t="s">
        <v>21058</v>
      </c>
      <c r="Q1812" t="s">
        <v>32</v>
      </c>
      <c r="R1812" t="s">
        <v>630</v>
      </c>
      <c r="S1812" t="s">
        <v>32</v>
      </c>
      <c r="T1812" t="s">
        <v>32</v>
      </c>
      <c r="U1812" t="s">
        <v>32</v>
      </c>
      <c r="V1812" t="s">
        <v>478</v>
      </c>
      <c r="W1812" t="s">
        <v>32</v>
      </c>
      <c r="X1812" t="s">
        <v>32</v>
      </c>
      <c r="Y1812" t="s">
        <v>32</v>
      </c>
      <c r="Z1812" t="s">
        <v>32</v>
      </c>
      <c r="AA1812" t="s">
        <v>2127</v>
      </c>
      <c r="AB1812" t="s">
        <v>21059</v>
      </c>
      <c r="AC1812" t="s">
        <v>21060</v>
      </c>
      <c r="AD1812" t="s">
        <v>32</v>
      </c>
      <c r="AE1812" t="s">
        <v>32</v>
      </c>
      <c r="AF1812" t="s">
        <v>46835</v>
      </c>
    </row>
    <row r="1813" spans="1:33" x14ac:dyDescent="0.2">
      <c r="A1813">
        <v>1808</v>
      </c>
      <c r="B1813" t="s">
        <v>21061</v>
      </c>
      <c r="C1813" t="s">
        <v>21062</v>
      </c>
      <c r="D1813" t="s">
        <v>21063</v>
      </c>
      <c r="E1813" t="s">
        <v>21064</v>
      </c>
      <c r="F1813" t="s">
        <v>21065</v>
      </c>
      <c r="G1813" t="s">
        <v>32</v>
      </c>
      <c r="H1813" t="str">
        <f>"Slc25a11"</f>
        <v>Slc25a11</v>
      </c>
      <c r="I1813" t="s">
        <v>32</v>
      </c>
      <c r="J1813" t="s">
        <v>37</v>
      </c>
      <c r="K1813">
        <v>10090</v>
      </c>
      <c r="L1813" s="3" t="str">
        <f>HYPERLINK("http://www.uniprot.org/uniprot/Q9CR62", "Q9CR62")</f>
        <v>Q9CR62</v>
      </c>
      <c r="M1813" t="s">
        <v>21066</v>
      </c>
      <c r="N1813" t="str">
        <f>"Slc25a11"</f>
        <v>Slc25a11</v>
      </c>
      <c r="O1813" s="3" t="str">
        <f>HYPERLINK("http://www.informatics.jax.org/marker/MGI:1915113", "MGI:1915113")</f>
        <v>MGI:1915113</v>
      </c>
      <c r="P1813" t="s">
        <v>21067</v>
      </c>
      <c r="Q1813" t="s">
        <v>21068</v>
      </c>
      <c r="R1813" t="s">
        <v>3858</v>
      </c>
      <c r="S1813" t="s">
        <v>32</v>
      </c>
      <c r="T1813" t="s">
        <v>32</v>
      </c>
      <c r="U1813" t="s">
        <v>32</v>
      </c>
      <c r="V1813" t="s">
        <v>1620</v>
      </c>
      <c r="W1813" t="s">
        <v>32</v>
      </c>
      <c r="X1813" t="s">
        <v>32</v>
      </c>
      <c r="Y1813" t="s">
        <v>157</v>
      </c>
      <c r="Z1813" t="s">
        <v>32</v>
      </c>
      <c r="AA1813" t="s">
        <v>21069</v>
      </c>
      <c r="AB1813" t="s">
        <v>21070</v>
      </c>
      <c r="AC1813" t="s">
        <v>21071</v>
      </c>
      <c r="AD1813" t="s">
        <v>32</v>
      </c>
      <c r="AE1813" t="s">
        <v>2428</v>
      </c>
      <c r="AF1813" t="s">
        <v>46835</v>
      </c>
    </row>
    <row r="1814" spans="1:33" x14ac:dyDescent="0.2">
      <c r="A1814">
        <v>1809</v>
      </c>
      <c r="B1814" t="s">
        <v>21072</v>
      </c>
      <c r="C1814" t="s">
        <v>21073</v>
      </c>
      <c r="D1814" t="s">
        <v>21074</v>
      </c>
      <c r="E1814" t="s">
        <v>21075</v>
      </c>
      <c r="F1814" t="s">
        <v>21076</v>
      </c>
      <c r="G1814" t="s">
        <v>21077</v>
      </c>
      <c r="H1814" t="str">
        <f>"S100a11"</f>
        <v>S100a11</v>
      </c>
      <c r="I1814" t="s">
        <v>21078</v>
      </c>
      <c r="J1814" t="s">
        <v>37</v>
      </c>
      <c r="K1814">
        <v>10090</v>
      </c>
      <c r="L1814" s="3" t="str">
        <f>HYPERLINK("http://www.uniprot.org/uniprot/P50543", "P50543")</f>
        <v>P50543</v>
      </c>
      <c r="M1814" t="s">
        <v>21079</v>
      </c>
      <c r="N1814" t="str">
        <f>"S100a11"</f>
        <v>S100a11</v>
      </c>
      <c r="O1814" s="3" t="str">
        <f>HYPERLINK("http://www.informatics.jax.org/marker/MGI:1338798", "MGI:1338798")</f>
        <v>MGI:1338798</v>
      </c>
      <c r="P1814" t="s">
        <v>21080</v>
      </c>
      <c r="Q1814" t="s">
        <v>32</v>
      </c>
      <c r="R1814" t="s">
        <v>40</v>
      </c>
      <c r="S1814" t="s">
        <v>32</v>
      </c>
      <c r="T1814" t="s">
        <v>32</v>
      </c>
      <c r="U1814" t="s">
        <v>32</v>
      </c>
      <c r="V1814" t="s">
        <v>55</v>
      </c>
      <c r="W1814" t="s">
        <v>188</v>
      </c>
      <c r="X1814" t="s">
        <v>32</v>
      </c>
      <c r="Y1814" t="s">
        <v>480</v>
      </c>
      <c r="Z1814" t="s">
        <v>32</v>
      </c>
      <c r="AA1814" t="s">
        <v>21081</v>
      </c>
      <c r="AB1814" t="s">
        <v>21082</v>
      </c>
      <c r="AC1814" t="s">
        <v>21083</v>
      </c>
      <c r="AD1814" t="s">
        <v>32</v>
      </c>
      <c r="AE1814" t="s">
        <v>548</v>
      </c>
      <c r="AF1814" t="s">
        <v>46835</v>
      </c>
    </row>
    <row r="1815" spans="1:33" x14ac:dyDescent="0.2">
      <c r="A1815">
        <v>1810</v>
      </c>
      <c r="B1815" t="s">
        <v>21084</v>
      </c>
      <c r="C1815" t="s">
        <v>47166</v>
      </c>
      <c r="D1815" t="s">
        <v>32</v>
      </c>
      <c r="E1815" t="s">
        <v>46928</v>
      </c>
      <c r="F1815" t="s">
        <v>46927</v>
      </c>
      <c r="G1815" t="s">
        <v>32</v>
      </c>
      <c r="H1815" t="s">
        <v>47297</v>
      </c>
      <c r="I1815" t="s">
        <v>32</v>
      </c>
      <c r="J1815" t="s">
        <v>37</v>
      </c>
      <c r="K1815">
        <v>10090</v>
      </c>
      <c r="L1815" s="3" t="str">
        <f>HYPERLINK(CONCATENATE("https://www.uniprot.org/uniprotkb/", AG1815, "/entry"), AG1815)</f>
        <v>O35176</v>
      </c>
      <c r="M1815" t="s">
        <v>32</v>
      </c>
      <c r="N1815" t="s">
        <v>32</v>
      </c>
      <c r="O1815" s="3" t="s">
        <v>32</v>
      </c>
      <c r="P1815" t="s">
        <v>32</v>
      </c>
      <c r="Q1815" t="s">
        <v>32</v>
      </c>
      <c r="R1815" t="s">
        <v>32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32</v>
      </c>
      <c r="Y1815" t="s">
        <v>32</v>
      </c>
      <c r="Z1815" t="s">
        <v>32</v>
      </c>
      <c r="AA1815" t="s">
        <v>32</v>
      </c>
      <c r="AB1815" t="s">
        <v>32</v>
      </c>
      <c r="AC1815" t="s">
        <v>32</v>
      </c>
      <c r="AD1815" t="s">
        <v>32</v>
      </c>
      <c r="AE1815" t="s">
        <v>32</v>
      </c>
      <c r="AF1815" t="s">
        <v>46835</v>
      </c>
      <c r="AG1815" t="s">
        <v>46927</v>
      </c>
    </row>
    <row r="1816" spans="1:33" x14ac:dyDescent="0.2">
      <c r="A1816">
        <v>1811</v>
      </c>
      <c r="B1816" t="s">
        <v>21085</v>
      </c>
      <c r="C1816" t="s">
        <v>21086</v>
      </c>
      <c r="D1816" t="s">
        <v>21087</v>
      </c>
      <c r="E1816" t="s">
        <v>21088</v>
      </c>
      <c r="F1816" t="s">
        <v>21089</v>
      </c>
      <c r="G1816" t="s">
        <v>21090</v>
      </c>
      <c r="H1816" t="str">
        <f>"Atp13a1"</f>
        <v>Atp13a1</v>
      </c>
      <c r="I1816" t="s">
        <v>32</v>
      </c>
      <c r="J1816" t="s">
        <v>37</v>
      </c>
      <c r="K1816">
        <v>10090</v>
      </c>
      <c r="L1816" s="3" t="str">
        <f>HYPERLINK("http://www.uniprot.org/uniprot/Q9EPE9", "Q9EPE9")</f>
        <v>Q9EPE9</v>
      </c>
      <c r="M1816" t="s">
        <v>21091</v>
      </c>
      <c r="N1816" t="str">
        <f>"Atp13a1"</f>
        <v>Atp13a1</v>
      </c>
      <c r="O1816" s="3" t="str">
        <f>HYPERLINK("http://www.informatics.jax.org/marker/MGI:2180801", "MGI:2180801")</f>
        <v>MGI:2180801</v>
      </c>
      <c r="P1816" t="s">
        <v>21092</v>
      </c>
      <c r="Q1816" t="s">
        <v>434</v>
      </c>
      <c r="R1816" t="s">
        <v>1664</v>
      </c>
      <c r="S1816" t="s">
        <v>32</v>
      </c>
      <c r="T1816" t="s">
        <v>32</v>
      </c>
      <c r="U1816" t="s">
        <v>32</v>
      </c>
      <c r="V1816" t="s">
        <v>493</v>
      </c>
      <c r="W1816" t="s">
        <v>1266</v>
      </c>
      <c r="X1816" t="s">
        <v>1506</v>
      </c>
      <c r="Y1816" t="s">
        <v>4720</v>
      </c>
      <c r="Z1816" t="s">
        <v>32</v>
      </c>
      <c r="AA1816" t="s">
        <v>21093</v>
      </c>
      <c r="AB1816" t="s">
        <v>21094</v>
      </c>
      <c r="AC1816" t="s">
        <v>21095</v>
      </c>
      <c r="AD1816" t="s">
        <v>32</v>
      </c>
      <c r="AE1816" t="s">
        <v>21096</v>
      </c>
      <c r="AF1816" t="s">
        <v>46835</v>
      </c>
    </row>
    <row r="1817" spans="1:33" x14ac:dyDescent="0.2">
      <c r="A1817">
        <v>1812</v>
      </c>
      <c r="B1817" t="s">
        <v>21097</v>
      </c>
      <c r="C1817" t="s">
        <v>21098</v>
      </c>
      <c r="D1817" t="s">
        <v>21099</v>
      </c>
      <c r="E1817" t="s">
        <v>21100</v>
      </c>
      <c r="F1817" t="s">
        <v>21101</v>
      </c>
      <c r="G1817" t="s">
        <v>21102</v>
      </c>
      <c r="H1817" t="str">
        <f>"Ctnnd2"</f>
        <v>Ctnnd2</v>
      </c>
      <c r="I1817" t="s">
        <v>21103</v>
      </c>
      <c r="J1817" t="s">
        <v>37</v>
      </c>
      <c r="K1817">
        <v>10090</v>
      </c>
      <c r="L1817" s="3" t="str">
        <f>HYPERLINK("http://www.uniprot.org/uniprot/O35927", "O35927")</f>
        <v>O35927</v>
      </c>
      <c r="M1817" t="s">
        <v>21104</v>
      </c>
      <c r="N1817" t="str">
        <f>"Ctnnd2"</f>
        <v>Ctnnd2</v>
      </c>
      <c r="O1817" s="3" t="str">
        <f>HYPERLINK("http://www.informatics.jax.org/marker/MGI:1195966", "MGI:1195966")</f>
        <v>MGI:1195966</v>
      </c>
      <c r="P1817" t="s">
        <v>21105</v>
      </c>
      <c r="Q1817" t="s">
        <v>21106</v>
      </c>
      <c r="R1817" t="s">
        <v>21107</v>
      </c>
      <c r="S1817" t="s">
        <v>41</v>
      </c>
      <c r="T1817" t="s">
        <v>32</v>
      </c>
      <c r="U1817" t="s">
        <v>32</v>
      </c>
      <c r="V1817" t="s">
        <v>137</v>
      </c>
      <c r="W1817" t="s">
        <v>32</v>
      </c>
      <c r="X1817" t="s">
        <v>2029</v>
      </c>
      <c r="Y1817" t="s">
        <v>14268</v>
      </c>
      <c r="Z1817" t="s">
        <v>32</v>
      </c>
      <c r="AA1817" t="s">
        <v>21108</v>
      </c>
      <c r="AB1817" t="s">
        <v>21109</v>
      </c>
      <c r="AC1817" t="s">
        <v>21110</v>
      </c>
      <c r="AD1817" t="s">
        <v>32</v>
      </c>
      <c r="AE1817" t="s">
        <v>32</v>
      </c>
      <c r="AF1817" t="s">
        <v>46835</v>
      </c>
    </row>
    <row r="1818" spans="1:33" x14ac:dyDescent="0.2">
      <c r="A1818">
        <v>1813</v>
      </c>
      <c r="B1818" t="s">
        <v>21111</v>
      </c>
      <c r="C1818" t="s">
        <v>21112</v>
      </c>
      <c r="D1818" t="s">
        <v>21113</v>
      </c>
      <c r="E1818" t="s">
        <v>21114</v>
      </c>
      <c r="F1818" t="s">
        <v>21115</v>
      </c>
      <c r="G1818" t="s">
        <v>21116</v>
      </c>
      <c r="H1818" t="str">
        <f>"Scrib"</f>
        <v>Scrib</v>
      </c>
      <c r="I1818" t="s">
        <v>21117</v>
      </c>
      <c r="J1818" t="s">
        <v>37</v>
      </c>
      <c r="K1818">
        <v>10090</v>
      </c>
      <c r="L1818" s="3" t="str">
        <f>HYPERLINK("http://www.uniprot.org/uniprot/Q80U72", "Q80U72")</f>
        <v>Q80U72</v>
      </c>
      <c r="M1818" t="s">
        <v>21118</v>
      </c>
      <c r="N1818" t="str">
        <f>"Scrib"</f>
        <v>Scrib</v>
      </c>
      <c r="O1818" s="3" t="str">
        <f>HYPERLINK("http://www.informatics.jax.org/marker/MGI:2145950", "MGI:2145950")</f>
        <v>MGI:2145950</v>
      </c>
      <c r="P1818" t="s">
        <v>21119</v>
      </c>
      <c r="Q1818" t="s">
        <v>687</v>
      </c>
      <c r="R1818" t="s">
        <v>21120</v>
      </c>
      <c r="S1818" t="s">
        <v>41</v>
      </c>
      <c r="T1818" t="s">
        <v>32</v>
      </c>
      <c r="U1818" t="s">
        <v>32</v>
      </c>
      <c r="V1818" t="s">
        <v>10018</v>
      </c>
      <c r="W1818" t="s">
        <v>32</v>
      </c>
      <c r="X1818" t="s">
        <v>2029</v>
      </c>
      <c r="Y1818" t="s">
        <v>21121</v>
      </c>
      <c r="Z1818" t="s">
        <v>32</v>
      </c>
      <c r="AA1818" t="s">
        <v>21122</v>
      </c>
      <c r="AB1818" t="s">
        <v>21123</v>
      </c>
      <c r="AC1818" t="s">
        <v>32</v>
      </c>
      <c r="AD1818" t="s">
        <v>32</v>
      </c>
      <c r="AE1818" t="s">
        <v>21124</v>
      </c>
      <c r="AF1818" t="s">
        <v>46835</v>
      </c>
    </row>
    <row r="1819" spans="1:33" x14ac:dyDescent="0.2">
      <c r="A1819">
        <v>1814</v>
      </c>
      <c r="B1819" t="s">
        <v>21125</v>
      </c>
      <c r="C1819" t="s">
        <v>21126</v>
      </c>
      <c r="D1819" t="s">
        <v>21127</v>
      </c>
      <c r="E1819" t="s">
        <v>21128</v>
      </c>
      <c r="F1819" t="s">
        <v>21129</v>
      </c>
      <c r="G1819" t="s">
        <v>21130</v>
      </c>
      <c r="H1819" t="str">
        <f>"Letm1"</f>
        <v>Letm1</v>
      </c>
      <c r="I1819" t="s">
        <v>32</v>
      </c>
      <c r="J1819" t="s">
        <v>37</v>
      </c>
      <c r="K1819">
        <v>10090</v>
      </c>
      <c r="L1819" s="3" t="str">
        <f>HYPERLINK("http://www.uniprot.org/uniprot/Q9Z2I0", "Q9Z2I0")</f>
        <v>Q9Z2I0</v>
      </c>
      <c r="M1819" t="s">
        <v>21131</v>
      </c>
      <c r="N1819" t="str">
        <f>"Letm1"</f>
        <v>Letm1</v>
      </c>
      <c r="O1819" s="3" t="str">
        <f>HYPERLINK("http://www.informatics.jax.org/marker/MGI:1932557", "MGI:1932557")</f>
        <v>MGI:1932557</v>
      </c>
      <c r="P1819" t="s">
        <v>21132</v>
      </c>
      <c r="Q1819" t="s">
        <v>21133</v>
      </c>
      <c r="R1819" t="s">
        <v>3858</v>
      </c>
      <c r="S1819" t="s">
        <v>32</v>
      </c>
      <c r="T1819" t="s">
        <v>32</v>
      </c>
      <c r="U1819" t="s">
        <v>32</v>
      </c>
      <c r="V1819" t="s">
        <v>5433</v>
      </c>
      <c r="W1819" t="s">
        <v>188</v>
      </c>
      <c r="X1819" t="s">
        <v>32</v>
      </c>
      <c r="Y1819" t="s">
        <v>78</v>
      </c>
      <c r="Z1819" t="s">
        <v>32</v>
      </c>
      <c r="AA1819" t="s">
        <v>21134</v>
      </c>
      <c r="AB1819" t="s">
        <v>21070</v>
      </c>
      <c r="AC1819" t="s">
        <v>21135</v>
      </c>
      <c r="AD1819" t="s">
        <v>32</v>
      </c>
      <c r="AE1819" t="s">
        <v>2130</v>
      </c>
      <c r="AF1819" t="s">
        <v>46835</v>
      </c>
    </row>
    <row r="1820" spans="1:33" x14ac:dyDescent="0.2">
      <c r="A1820">
        <v>1815</v>
      </c>
      <c r="B1820" t="s">
        <v>21136</v>
      </c>
      <c r="C1820" t="s">
        <v>21137</v>
      </c>
      <c r="D1820" t="s">
        <v>21138</v>
      </c>
      <c r="E1820" t="s">
        <v>21139</v>
      </c>
      <c r="F1820" t="s">
        <v>21140</v>
      </c>
      <c r="G1820" t="s">
        <v>21141</v>
      </c>
      <c r="H1820" t="str">
        <f>"Rbm12"</f>
        <v>Rbm12</v>
      </c>
      <c r="I1820" t="s">
        <v>32</v>
      </c>
      <c r="J1820" t="s">
        <v>37</v>
      </c>
      <c r="K1820">
        <v>10090</v>
      </c>
      <c r="L1820" s="3" t="str">
        <f>HYPERLINK("http://www.uniprot.org/uniprot/Q8R4X3", "Q8R4X3")</f>
        <v>Q8R4X3</v>
      </c>
      <c r="M1820" t="s">
        <v>21142</v>
      </c>
      <c r="N1820" t="str">
        <f>"Rbm12"</f>
        <v>Rbm12</v>
      </c>
      <c r="O1820" s="3" t="str">
        <f>HYPERLINK("http://www.informatics.jax.org/marker/MGI:1922960", "MGI:1922960")</f>
        <v>MGI:1922960</v>
      </c>
      <c r="P1820" t="s">
        <v>21143</v>
      </c>
      <c r="Q1820" t="s">
        <v>32</v>
      </c>
      <c r="R1820" t="s">
        <v>2279</v>
      </c>
      <c r="S1820" t="s">
        <v>32</v>
      </c>
      <c r="T1820" t="s">
        <v>32</v>
      </c>
      <c r="U1820" t="s">
        <v>32</v>
      </c>
      <c r="V1820" t="s">
        <v>55</v>
      </c>
      <c r="W1820" t="s">
        <v>32</v>
      </c>
      <c r="X1820" t="s">
        <v>1282</v>
      </c>
      <c r="Y1820" t="s">
        <v>618</v>
      </c>
      <c r="Z1820" t="s">
        <v>126</v>
      </c>
      <c r="AA1820" t="s">
        <v>17832</v>
      </c>
      <c r="AB1820" t="s">
        <v>21144</v>
      </c>
      <c r="AC1820" t="s">
        <v>4711</v>
      </c>
      <c r="AD1820" t="s">
        <v>32</v>
      </c>
      <c r="AE1820" t="s">
        <v>32</v>
      </c>
      <c r="AF1820" t="s">
        <v>46835</v>
      </c>
    </row>
    <row r="1821" spans="1:33" x14ac:dyDescent="0.2">
      <c r="A1821">
        <v>1816</v>
      </c>
      <c r="B1821" t="s">
        <v>21145</v>
      </c>
      <c r="C1821" t="s">
        <v>21146</v>
      </c>
      <c r="D1821" t="s">
        <v>21147</v>
      </c>
      <c r="E1821" t="s">
        <v>21148</v>
      </c>
      <c r="F1821" t="s">
        <v>21149</v>
      </c>
      <c r="G1821" t="s">
        <v>21150</v>
      </c>
      <c r="H1821" t="str">
        <f>"Rabep1"</f>
        <v>Rabep1</v>
      </c>
      <c r="I1821" t="s">
        <v>21151</v>
      </c>
      <c r="J1821" t="s">
        <v>37</v>
      </c>
      <c r="K1821">
        <v>10090</v>
      </c>
      <c r="L1821" s="3" t="str">
        <f>HYPERLINK("http://www.uniprot.org/uniprot/O35551", "O35551")</f>
        <v>O35551</v>
      </c>
      <c r="M1821" t="s">
        <v>21152</v>
      </c>
      <c r="N1821" t="str">
        <f>"Rabep1"</f>
        <v>Rabep1</v>
      </c>
      <c r="O1821" s="3" t="str">
        <f>HYPERLINK("http://www.informatics.jax.org/marker/MGI:1860236", "MGI:1860236")</f>
        <v>MGI:1860236</v>
      </c>
      <c r="P1821" t="s">
        <v>21153</v>
      </c>
      <c r="Q1821" t="s">
        <v>21154</v>
      </c>
      <c r="R1821" t="s">
        <v>21155</v>
      </c>
      <c r="S1821" t="s">
        <v>41</v>
      </c>
      <c r="T1821" t="s">
        <v>32</v>
      </c>
      <c r="U1821" t="s">
        <v>32</v>
      </c>
      <c r="V1821" t="s">
        <v>290</v>
      </c>
      <c r="W1821" t="s">
        <v>32</v>
      </c>
      <c r="X1821" t="s">
        <v>32</v>
      </c>
      <c r="Y1821" t="s">
        <v>157</v>
      </c>
      <c r="Z1821" t="s">
        <v>32</v>
      </c>
      <c r="AA1821" t="s">
        <v>21156</v>
      </c>
      <c r="AB1821" t="s">
        <v>21157</v>
      </c>
      <c r="AC1821" t="s">
        <v>21158</v>
      </c>
      <c r="AD1821" t="s">
        <v>32</v>
      </c>
      <c r="AE1821" t="s">
        <v>32</v>
      </c>
      <c r="AF1821" t="s">
        <v>46835</v>
      </c>
    </row>
    <row r="1822" spans="1:33" x14ac:dyDescent="0.2">
      <c r="A1822">
        <v>1817</v>
      </c>
      <c r="B1822" t="s">
        <v>21159</v>
      </c>
      <c r="C1822" t="s">
        <v>47226</v>
      </c>
      <c r="D1822" t="s">
        <v>32</v>
      </c>
      <c r="E1822" t="s">
        <v>46930</v>
      </c>
      <c r="F1822" t="s">
        <v>46929</v>
      </c>
      <c r="G1822" t="s">
        <v>32</v>
      </c>
      <c r="H1822" t="s">
        <v>47359</v>
      </c>
      <c r="I1822" t="s">
        <v>32</v>
      </c>
      <c r="J1822" t="s">
        <v>37</v>
      </c>
      <c r="K1822">
        <v>10090</v>
      </c>
      <c r="L1822" s="3" t="str">
        <f>HYPERLINK(CONCATENATE("https://www.uniprot.org/uniprotkb/", AG1822, "/entry"), AG1822)</f>
        <v>A0A8I4SYN6</v>
      </c>
      <c r="M1822" t="s">
        <v>32</v>
      </c>
      <c r="N1822" t="s">
        <v>32</v>
      </c>
      <c r="O1822" s="3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32</v>
      </c>
      <c r="Y1822" t="s">
        <v>32</v>
      </c>
      <c r="Z1822" t="s">
        <v>32</v>
      </c>
      <c r="AA1822" t="s">
        <v>32</v>
      </c>
      <c r="AB1822" t="s">
        <v>32</v>
      </c>
      <c r="AC1822" t="s">
        <v>32</v>
      </c>
      <c r="AD1822" t="s">
        <v>32</v>
      </c>
      <c r="AE1822" t="s">
        <v>32</v>
      </c>
      <c r="AF1822" t="s">
        <v>46835</v>
      </c>
      <c r="AG1822" t="s">
        <v>46929</v>
      </c>
    </row>
    <row r="1823" spans="1:33" x14ac:dyDescent="0.2">
      <c r="A1823">
        <v>1818</v>
      </c>
      <c r="B1823" t="s">
        <v>21160</v>
      </c>
      <c r="C1823" t="s">
        <v>21161</v>
      </c>
      <c r="D1823" t="s">
        <v>32</v>
      </c>
      <c r="E1823" t="s">
        <v>21162</v>
      </c>
      <c r="F1823" t="s">
        <v>21163</v>
      </c>
      <c r="G1823" t="s">
        <v>21164</v>
      </c>
      <c r="H1823" t="str">
        <f>"Paip1"</f>
        <v>Paip1</v>
      </c>
      <c r="I1823" t="s">
        <v>32</v>
      </c>
      <c r="J1823" t="s">
        <v>37</v>
      </c>
      <c r="K1823">
        <v>10090</v>
      </c>
      <c r="L1823" s="3" t="str">
        <f>HYPERLINK("http://www.uniprot.org/uniprot/Q8VE62", "Q8VE62")</f>
        <v>Q8VE62</v>
      </c>
      <c r="M1823" t="s">
        <v>21165</v>
      </c>
      <c r="N1823" t="str">
        <f>"Paip1"</f>
        <v>Paip1</v>
      </c>
      <c r="O1823" s="3" t="str">
        <f>HYPERLINK("http://www.informatics.jax.org/marker/MGI:2384993", "MGI:2384993")</f>
        <v>MGI:2384993</v>
      </c>
      <c r="P1823" t="s">
        <v>21166</v>
      </c>
      <c r="Q1823" t="s">
        <v>1680</v>
      </c>
      <c r="R1823" t="s">
        <v>418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32</v>
      </c>
      <c r="Y1823" t="s">
        <v>32</v>
      </c>
      <c r="Z1823" t="s">
        <v>32</v>
      </c>
      <c r="AA1823" t="s">
        <v>21167</v>
      </c>
      <c r="AB1823" t="s">
        <v>21168</v>
      </c>
      <c r="AC1823" t="s">
        <v>21169</v>
      </c>
      <c r="AD1823" t="s">
        <v>32</v>
      </c>
      <c r="AE1823" t="s">
        <v>21170</v>
      </c>
      <c r="AF1823" t="s">
        <v>46835</v>
      </c>
    </row>
    <row r="1824" spans="1:33" x14ac:dyDescent="0.2">
      <c r="A1824">
        <v>1819</v>
      </c>
      <c r="B1824" t="s">
        <v>21171</v>
      </c>
      <c r="C1824" t="s">
        <v>21172</v>
      </c>
      <c r="D1824" t="s">
        <v>32</v>
      </c>
      <c r="E1824" t="s">
        <v>21173</v>
      </c>
      <c r="F1824" t="s">
        <v>21174</v>
      </c>
      <c r="G1824" t="s">
        <v>21175</v>
      </c>
      <c r="H1824" t="str">
        <f>"Fam136a"</f>
        <v>Fam136a</v>
      </c>
      <c r="I1824" t="s">
        <v>32</v>
      </c>
      <c r="J1824" t="s">
        <v>37</v>
      </c>
      <c r="K1824">
        <v>10090</v>
      </c>
      <c r="L1824" s="3" t="str">
        <f>HYPERLINK("http://www.uniprot.org/uniprot/Q9CR98", "Q9CR98")</f>
        <v>Q9CR98</v>
      </c>
      <c r="M1824" t="s">
        <v>21176</v>
      </c>
      <c r="N1824" t="str">
        <f>"Fam136a"</f>
        <v>Fam136a</v>
      </c>
      <c r="O1824" s="3" t="str">
        <f>HYPERLINK("http://www.informatics.jax.org/marker/MGI:1913738", "MGI:1913738")</f>
        <v>MGI:1913738</v>
      </c>
      <c r="P1824" t="s">
        <v>157</v>
      </c>
      <c r="Q1824" t="s">
        <v>32</v>
      </c>
      <c r="R1824" t="s">
        <v>32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32</v>
      </c>
      <c r="Y1824" t="s">
        <v>157</v>
      </c>
      <c r="Z1824" t="s">
        <v>32</v>
      </c>
      <c r="AA1824" t="s">
        <v>32</v>
      </c>
      <c r="AB1824" t="s">
        <v>3490</v>
      </c>
      <c r="AC1824" t="s">
        <v>32</v>
      </c>
      <c r="AD1824" t="s">
        <v>32</v>
      </c>
      <c r="AE1824" t="s">
        <v>32</v>
      </c>
      <c r="AF1824" t="s">
        <v>46835</v>
      </c>
    </row>
    <row r="1825" spans="1:33" x14ac:dyDescent="0.2">
      <c r="A1825">
        <v>1820</v>
      </c>
      <c r="B1825" t="s">
        <v>21177</v>
      </c>
      <c r="C1825" t="s">
        <v>21178</v>
      </c>
      <c r="D1825" t="s">
        <v>21179</v>
      </c>
      <c r="E1825" t="s">
        <v>21180</v>
      </c>
      <c r="F1825" t="s">
        <v>21181</v>
      </c>
      <c r="G1825" t="s">
        <v>21182</v>
      </c>
      <c r="H1825" t="str">
        <f>"Scyl1"</f>
        <v>Scyl1</v>
      </c>
      <c r="I1825" t="s">
        <v>32</v>
      </c>
      <c r="J1825" t="s">
        <v>37</v>
      </c>
      <c r="K1825">
        <v>10090</v>
      </c>
      <c r="L1825" s="3" t="str">
        <f>HYPERLINK("http://www.uniprot.org/uniprot/Q9EQC5", "Q9EQC5")</f>
        <v>Q9EQC5</v>
      </c>
      <c r="M1825" t="s">
        <v>21183</v>
      </c>
      <c r="N1825" t="str">
        <f>"Scyl1"</f>
        <v>Scyl1</v>
      </c>
      <c r="O1825" s="3" t="str">
        <f>HYPERLINK("http://www.informatics.jax.org/marker/MGI:1931787", "MGI:1931787")</f>
        <v>MGI:1931787</v>
      </c>
      <c r="P1825" t="s">
        <v>21184</v>
      </c>
      <c r="Q1825" t="s">
        <v>14011</v>
      </c>
      <c r="R1825" t="s">
        <v>19585</v>
      </c>
      <c r="S1825" t="s">
        <v>32</v>
      </c>
      <c r="T1825" t="s">
        <v>32</v>
      </c>
      <c r="U1825" t="s">
        <v>32</v>
      </c>
      <c r="V1825" t="s">
        <v>137</v>
      </c>
      <c r="W1825" t="s">
        <v>32</v>
      </c>
      <c r="X1825" t="s">
        <v>32</v>
      </c>
      <c r="Y1825" t="s">
        <v>618</v>
      </c>
      <c r="Z1825" t="s">
        <v>32</v>
      </c>
      <c r="AA1825" t="s">
        <v>21185</v>
      </c>
      <c r="AB1825" t="s">
        <v>21186</v>
      </c>
      <c r="AC1825" t="s">
        <v>21187</v>
      </c>
      <c r="AD1825" t="s">
        <v>32</v>
      </c>
      <c r="AE1825" t="s">
        <v>32</v>
      </c>
      <c r="AF1825" t="s">
        <v>46835</v>
      </c>
    </row>
    <row r="1826" spans="1:33" x14ac:dyDescent="0.2">
      <c r="A1826">
        <v>1821</v>
      </c>
      <c r="B1826" t="s">
        <v>21188</v>
      </c>
      <c r="C1826" t="s">
        <v>21189</v>
      </c>
      <c r="D1826" t="s">
        <v>21190</v>
      </c>
      <c r="E1826" t="s">
        <v>21191</v>
      </c>
      <c r="F1826" t="s">
        <v>21192</v>
      </c>
      <c r="G1826" t="s">
        <v>21193</v>
      </c>
      <c r="H1826" t="str">
        <f>"Psmg1"</f>
        <v>Psmg1</v>
      </c>
      <c r="I1826" t="s">
        <v>32</v>
      </c>
      <c r="J1826" t="s">
        <v>37</v>
      </c>
      <c r="K1826">
        <v>10090</v>
      </c>
      <c r="L1826" s="3" t="str">
        <f>HYPERLINK("http://www.uniprot.org/uniprot/Q9JK23", "Q9JK23")</f>
        <v>Q9JK23</v>
      </c>
      <c r="M1826" t="s">
        <v>21194</v>
      </c>
      <c r="N1826" t="str">
        <f>"Psmg1"</f>
        <v>Psmg1</v>
      </c>
      <c r="O1826" s="3" t="str">
        <f>HYPERLINK("http://www.informatics.jax.org/marker/MGI:1860263", "MGI:1860263")</f>
        <v>MGI:1860263</v>
      </c>
      <c r="P1826" t="s">
        <v>21195</v>
      </c>
      <c r="Q1826" t="s">
        <v>32</v>
      </c>
      <c r="R1826" t="s">
        <v>874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388</v>
      </c>
      <c r="Y1826" t="s">
        <v>157</v>
      </c>
      <c r="Z1826" t="s">
        <v>32</v>
      </c>
      <c r="AA1826" t="s">
        <v>21196</v>
      </c>
      <c r="AB1826" t="s">
        <v>21197</v>
      </c>
      <c r="AC1826" t="s">
        <v>14092</v>
      </c>
      <c r="AD1826" t="s">
        <v>32</v>
      </c>
      <c r="AE1826" t="s">
        <v>32</v>
      </c>
      <c r="AF1826" t="s">
        <v>46835</v>
      </c>
    </row>
    <row r="1827" spans="1:33" x14ac:dyDescent="0.2">
      <c r="A1827">
        <v>1822</v>
      </c>
      <c r="B1827" t="s">
        <v>21198</v>
      </c>
      <c r="C1827" t="s">
        <v>21199</v>
      </c>
      <c r="D1827" t="s">
        <v>21200</v>
      </c>
      <c r="E1827" t="s">
        <v>21201</v>
      </c>
      <c r="F1827" t="s">
        <v>21202</v>
      </c>
      <c r="G1827" t="s">
        <v>21203</v>
      </c>
      <c r="H1827" t="str">
        <f>"Mapre2"</f>
        <v>Mapre2</v>
      </c>
      <c r="I1827" t="s">
        <v>32</v>
      </c>
      <c r="J1827" t="s">
        <v>37</v>
      </c>
      <c r="K1827">
        <v>10090</v>
      </c>
      <c r="L1827" s="3" t="str">
        <f>HYPERLINK("http://www.uniprot.org/uniprot/Q8R001", "Q8R001")</f>
        <v>Q8R001</v>
      </c>
      <c r="M1827" t="s">
        <v>21204</v>
      </c>
      <c r="N1827" t="str">
        <f>"Mapre2"</f>
        <v>Mapre2</v>
      </c>
      <c r="O1827" s="3" t="str">
        <f>HYPERLINK("http://www.informatics.jax.org/marker/MGI:106271", "MGI:106271")</f>
        <v>MGI:106271</v>
      </c>
      <c r="P1827" t="s">
        <v>21205</v>
      </c>
      <c r="Q1827" t="s">
        <v>2968</v>
      </c>
      <c r="R1827" t="s">
        <v>341</v>
      </c>
      <c r="S1827" t="s">
        <v>41</v>
      </c>
      <c r="T1827" t="s">
        <v>32</v>
      </c>
      <c r="U1827" t="s">
        <v>32</v>
      </c>
      <c r="V1827" t="s">
        <v>32</v>
      </c>
      <c r="W1827" t="s">
        <v>32</v>
      </c>
      <c r="X1827" t="s">
        <v>32</v>
      </c>
      <c r="Y1827" t="s">
        <v>618</v>
      </c>
      <c r="Z1827" t="s">
        <v>32</v>
      </c>
      <c r="AA1827" t="s">
        <v>21206</v>
      </c>
      <c r="AB1827" t="s">
        <v>21207</v>
      </c>
      <c r="AC1827" t="s">
        <v>21208</v>
      </c>
      <c r="AD1827" t="s">
        <v>32</v>
      </c>
      <c r="AE1827" t="s">
        <v>32</v>
      </c>
      <c r="AF1827" t="s">
        <v>46835</v>
      </c>
    </row>
    <row r="1828" spans="1:33" x14ac:dyDescent="0.2">
      <c r="A1828">
        <v>1823</v>
      </c>
      <c r="B1828" t="s">
        <v>21209</v>
      </c>
      <c r="C1828" t="s">
        <v>21210</v>
      </c>
      <c r="D1828" t="s">
        <v>21211</v>
      </c>
      <c r="E1828" t="s">
        <v>21212</v>
      </c>
      <c r="F1828" t="s">
        <v>21213</v>
      </c>
      <c r="G1828" t="s">
        <v>21214</v>
      </c>
      <c r="H1828" t="str">
        <f>"Dpysl4"</f>
        <v>Dpysl4</v>
      </c>
      <c r="I1828" t="s">
        <v>21215</v>
      </c>
      <c r="J1828" t="s">
        <v>37</v>
      </c>
      <c r="K1828">
        <v>10090</v>
      </c>
      <c r="L1828" s="3" t="str">
        <f>HYPERLINK("http://www.uniprot.org/uniprot/O35098", "O35098")</f>
        <v>O35098</v>
      </c>
      <c r="M1828" t="s">
        <v>21216</v>
      </c>
      <c r="N1828" t="str">
        <f>"Dpysl4"</f>
        <v>Dpysl4</v>
      </c>
      <c r="O1828" s="3" t="str">
        <f>HYPERLINK("http://www.informatics.jax.org/marker/MGI:1349764", "MGI:1349764")</f>
        <v>MGI:1349764</v>
      </c>
      <c r="P1828" t="s">
        <v>21217</v>
      </c>
      <c r="Q1828" t="s">
        <v>32</v>
      </c>
      <c r="R1828" t="s">
        <v>418</v>
      </c>
      <c r="S1828" t="s">
        <v>41</v>
      </c>
      <c r="T1828" t="s">
        <v>32</v>
      </c>
      <c r="U1828" t="s">
        <v>32</v>
      </c>
      <c r="V1828" t="s">
        <v>32</v>
      </c>
      <c r="W1828" t="s">
        <v>32</v>
      </c>
      <c r="X1828" t="s">
        <v>32</v>
      </c>
      <c r="Y1828" t="s">
        <v>618</v>
      </c>
      <c r="Z1828" t="s">
        <v>32</v>
      </c>
      <c r="AA1828" t="s">
        <v>21218</v>
      </c>
      <c r="AB1828" t="s">
        <v>2172</v>
      </c>
      <c r="AC1828" t="s">
        <v>21219</v>
      </c>
      <c r="AD1828" t="s">
        <v>32</v>
      </c>
      <c r="AE1828" t="s">
        <v>9213</v>
      </c>
      <c r="AF1828" t="s">
        <v>46835</v>
      </c>
    </row>
    <row r="1829" spans="1:33" x14ac:dyDescent="0.2">
      <c r="A1829">
        <v>1824</v>
      </c>
      <c r="B1829" t="s">
        <v>21220</v>
      </c>
      <c r="C1829" t="s">
        <v>47165</v>
      </c>
      <c r="D1829" t="s">
        <v>32</v>
      </c>
      <c r="E1829" t="s">
        <v>46932</v>
      </c>
      <c r="F1829" t="s">
        <v>46931</v>
      </c>
      <c r="G1829" t="s">
        <v>32</v>
      </c>
      <c r="H1829" t="s">
        <v>47296</v>
      </c>
      <c r="I1829" t="s">
        <v>32</v>
      </c>
      <c r="J1829" t="s">
        <v>37</v>
      </c>
      <c r="K1829">
        <v>10090</v>
      </c>
      <c r="L1829" s="3" t="str">
        <f>HYPERLINK(CONCATENATE("https://www.uniprot.org/uniprotkb/", AG1829, "/entry"), AG1829)</f>
        <v>P83741</v>
      </c>
      <c r="M1829" t="s">
        <v>32</v>
      </c>
      <c r="N1829" t="s">
        <v>32</v>
      </c>
      <c r="O1829" s="3" t="s">
        <v>32</v>
      </c>
      <c r="P1829" t="s">
        <v>32</v>
      </c>
      <c r="Q1829" t="s">
        <v>32</v>
      </c>
      <c r="R1829" t="s">
        <v>32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32</v>
      </c>
      <c r="Y1829" t="s">
        <v>32</v>
      </c>
      <c r="Z1829" t="s">
        <v>32</v>
      </c>
      <c r="AA1829" t="s">
        <v>32</v>
      </c>
      <c r="AB1829" t="s">
        <v>32</v>
      </c>
      <c r="AC1829" t="s">
        <v>32</v>
      </c>
      <c r="AD1829" t="s">
        <v>32</v>
      </c>
      <c r="AE1829" t="s">
        <v>32</v>
      </c>
      <c r="AF1829" t="s">
        <v>46835</v>
      </c>
      <c r="AG1829" t="s">
        <v>46931</v>
      </c>
    </row>
    <row r="1830" spans="1:33" x14ac:dyDescent="0.2">
      <c r="A1830">
        <v>1825</v>
      </c>
      <c r="B1830" t="s">
        <v>21221</v>
      </c>
      <c r="C1830" t="s">
        <v>21222</v>
      </c>
      <c r="D1830" t="s">
        <v>21223</v>
      </c>
      <c r="E1830" t="s">
        <v>21224</v>
      </c>
      <c r="F1830" t="s">
        <v>21225</v>
      </c>
      <c r="G1830" t="s">
        <v>32</v>
      </c>
      <c r="H1830" t="str">
        <f>"Qrich1"</f>
        <v>Qrich1</v>
      </c>
      <c r="I1830" t="s">
        <v>32</v>
      </c>
      <c r="J1830" t="s">
        <v>37</v>
      </c>
      <c r="K1830">
        <v>10090</v>
      </c>
      <c r="L1830" s="3" t="str">
        <f>HYPERLINK("http://www.uniprot.org/uniprot/Q3UA37", "Q3UA37")</f>
        <v>Q3UA37</v>
      </c>
      <c r="M1830" t="s">
        <v>21226</v>
      </c>
      <c r="N1830" t="str">
        <f>"Qrich1"</f>
        <v>Qrich1</v>
      </c>
      <c r="O1830" s="3" t="str">
        <f>HYPERLINK("http://www.informatics.jax.org/marker/MGI:1916482", "MGI:1916482")</f>
        <v>MGI:1916482</v>
      </c>
      <c r="P1830" t="s">
        <v>21227</v>
      </c>
      <c r="Q1830" t="s">
        <v>21228</v>
      </c>
      <c r="R1830" t="s">
        <v>276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32</v>
      </c>
      <c r="Y1830" t="s">
        <v>516</v>
      </c>
      <c r="Z1830" t="s">
        <v>32</v>
      </c>
      <c r="AA1830" t="s">
        <v>21229</v>
      </c>
      <c r="AB1830" t="s">
        <v>21230</v>
      </c>
      <c r="AC1830" t="s">
        <v>13572</v>
      </c>
      <c r="AD1830" t="s">
        <v>32</v>
      </c>
      <c r="AE1830" t="s">
        <v>32</v>
      </c>
      <c r="AF1830" t="s">
        <v>46835</v>
      </c>
    </row>
    <row r="1831" spans="1:33" x14ac:dyDescent="0.2">
      <c r="A1831">
        <v>1826</v>
      </c>
      <c r="B1831" t="s">
        <v>21231</v>
      </c>
      <c r="C1831" t="s">
        <v>21232</v>
      </c>
      <c r="D1831" t="s">
        <v>32</v>
      </c>
      <c r="E1831" t="s">
        <v>21233</v>
      </c>
      <c r="F1831" t="s">
        <v>21234</v>
      </c>
      <c r="G1831" t="s">
        <v>21235</v>
      </c>
      <c r="H1831" t="str">
        <f>"Znf512"</f>
        <v>Znf512</v>
      </c>
      <c r="I1831" t="s">
        <v>21236</v>
      </c>
      <c r="J1831" t="s">
        <v>37</v>
      </c>
      <c r="K1831">
        <v>10090</v>
      </c>
      <c r="L1831" s="3" t="str">
        <f>HYPERLINK("http://www.uniprot.org/uniprot/Q69Z99", "Q69Z99")</f>
        <v>Q69Z99</v>
      </c>
      <c r="M1831" t="s">
        <v>21237</v>
      </c>
      <c r="N1831" t="str">
        <f>"Zfp512"</f>
        <v>Zfp512</v>
      </c>
      <c r="O1831" s="3" t="str">
        <f>HYPERLINK("http://www.informatics.jax.org/marker/MGI:1917345", "MGI:1917345")</f>
        <v>MGI:1917345</v>
      </c>
      <c r="P1831" t="s">
        <v>21238</v>
      </c>
      <c r="Q1831" t="s">
        <v>4152</v>
      </c>
      <c r="R1831" t="s">
        <v>2279</v>
      </c>
      <c r="S1831" t="s">
        <v>32</v>
      </c>
      <c r="T1831" t="s">
        <v>32</v>
      </c>
      <c r="U1831" t="s">
        <v>32</v>
      </c>
      <c r="V1831" t="s">
        <v>3791</v>
      </c>
      <c r="W1831" t="s">
        <v>42</v>
      </c>
      <c r="X1831" t="s">
        <v>247</v>
      </c>
      <c r="Y1831" t="s">
        <v>7792</v>
      </c>
      <c r="Z1831" t="s">
        <v>32</v>
      </c>
      <c r="AA1831" t="s">
        <v>32</v>
      </c>
      <c r="AB1831" t="s">
        <v>3606</v>
      </c>
      <c r="AC1831" t="s">
        <v>21239</v>
      </c>
      <c r="AD1831" t="s">
        <v>32</v>
      </c>
      <c r="AE1831" t="s">
        <v>32</v>
      </c>
      <c r="AF1831" t="s">
        <v>46835</v>
      </c>
    </row>
    <row r="1832" spans="1:33" x14ac:dyDescent="0.2">
      <c r="A1832">
        <v>1827</v>
      </c>
      <c r="B1832" t="s">
        <v>21240</v>
      </c>
      <c r="C1832" t="s">
        <v>21241</v>
      </c>
      <c r="D1832" t="s">
        <v>21242</v>
      </c>
      <c r="E1832" t="s">
        <v>21243</v>
      </c>
      <c r="F1832" t="s">
        <v>21244</v>
      </c>
      <c r="G1832" t="s">
        <v>21245</v>
      </c>
      <c r="H1832" t="str">
        <f>"Eef1akmt1"</f>
        <v>Eef1akmt1</v>
      </c>
      <c r="I1832" t="s">
        <v>32</v>
      </c>
      <c r="J1832" t="s">
        <v>37</v>
      </c>
      <c r="K1832">
        <v>10090</v>
      </c>
      <c r="L1832" s="3" t="str">
        <f>HYPERLINK("http://www.uniprot.org/uniprot/Q9CY45", "Q9CY45")</f>
        <v>Q9CY45</v>
      </c>
      <c r="M1832" t="s">
        <v>21246</v>
      </c>
      <c r="N1832" t="str">
        <f>"Eef1akmt1"</f>
        <v>Eef1akmt1</v>
      </c>
      <c r="O1832" s="3" t="str">
        <f>HYPERLINK("http://www.informatics.jax.org/marker/MGI:1915293", "MGI:1915293")</f>
        <v>MGI:1915293</v>
      </c>
      <c r="P1832" t="s">
        <v>21247</v>
      </c>
      <c r="Q1832" t="s">
        <v>32</v>
      </c>
      <c r="R1832" t="s">
        <v>418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1706</v>
      </c>
      <c r="Y1832" t="s">
        <v>157</v>
      </c>
      <c r="Z1832" t="s">
        <v>32</v>
      </c>
      <c r="AA1832" t="s">
        <v>21248</v>
      </c>
      <c r="AB1832" t="s">
        <v>2172</v>
      </c>
      <c r="AC1832" t="s">
        <v>21249</v>
      </c>
      <c r="AD1832" t="s">
        <v>32</v>
      </c>
      <c r="AE1832" t="s">
        <v>21250</v>
      </c>
      <c r="AF1832" t="s">
        <v>46835</v>
      </c>
    </row>
    <row r="1833" spans="1:33" x14ac:dyDescent="0.2">
      <c r="A1833">
        <v>1828</v>
      </c>
      <c r="B1833" t="s">
        <v>21251</v>
      </c>
      <c r="C1833" t="s">
        <v>21252</v>
      </c>
      <c r="D1833" t="s">
        <v>32</v>
      </c>
      <c r="E1833" t="s">
        <v>21253</v>
      </c>
      <c r="F1833" t="s">
        <v>21254</v>
      </c>
      <c r="G1833" t="s">
        <v>21255</v>
      </c>
      <c r="H1833" t="str">
        <f>"Eea1"</f>
        <v>Eea1</v>
      </c>
      <c r="I1833" t="s">
        <v>32</v>
      </c>
      <c r="J1833" t="s">
        <v>37</v>
      </c>
      <c r="K1833">
        <v>10090</v>
      </c>
      <c r="L1833" s="3" t="str">
        <f>HYPERLINK("http://www.uniprot.org/uniprot/Q8BL66", "Q8BL66")</f>
        <v>Q8BL66</v>
      </c>
      <c r="M1833" t="s">
        <v>21256</v>
      </c>
      <c r="N1833" t="str">
        <f>"Eea1"</f>
        <v>Eea1</v>
      </c>
      <c r="O1833" s="3" t="str">
        <f>HYPERLINK("http://www.informatics.jax.org/marker/MGI:2442192", "MGI:2442192")</f>
        <v>MGI:2442192</v>
      </c>
      <c r="P1833" t="s">
        <v>21257</v>
      </c>
      <c r="Q1833" t="s">
        <v>32</v>
      </c>
      <c r="R1833" t="s">
        <v>6558</v>
      </c>
      <c r="S1833" t="s">
        <v>32</v>
      </c>
      <c r="T1833" t="s">
        <v>32</v>
      </c>
      <c r="U1833" t="s">
        <v>32</v>
      </c>
      <c r="V1833" t="s">
        <v>11171</v>
      </c>
      <c r="W1833" t="s">
        <v>42</v>
      </c>
      <c r="X1833" t="s">
        <v>32</v>
      </c>
      <c r="Y1833" t="s">
        <v>618</v>
      </c>
      <c r="Z1833" t="s">
        <v>32</v>
      </c>
      <c r="AA1833" t="s">
        <v>21258</v>
      </c>
      <c r="AB1833" t="s">
        <v>21259</v>
      </c>
      <c r="AC1833" t="s">
        <v>21260</v>
      </c>
      <c r="AD1833" t="s">
        <v>32</v>
      </c>
      <c r="AE1833" t="s">
        <v>21261</v>
      </c>
      <c r="AF1833" t="s">
        <v>46835</v>
      </c>
    </row>
    <row r="1834" spans="1:33" x14ac:dyDescent="0.2">
      <c r="A1834">
        <v>1829</v>
      </c>
      <c r="B1834" t="s">
        <v>21262</v>
      </c>
      <c r="C1834" t="s">
        <v>21263</v>
      </c>
      <c r="D1834" t="s">
        <v>21264</v>
      </c>
      <c r="E1834" t="s">
        <v>21265</v>
      </c>
      <c r="F1834" t="s">
        <v>21266</v>
      </c>
      <c r="G1834" t="s">
        <v>21267</v>
      </c>
      <c r="H1834" t="str">
        <f>"Ankrd17"</f>
        <v>Ankrd17</v>
      </c>
      <c r="I1834" t="s">
        <v>21268</v>
      </c>
      <c r="J1834" t="s">
        <v>37</v>
      </c>
      <c r="K1834">
        <v>10090</v>
      </c>
      <c r="L1834" s="3" t="str">
        <f>HYPERLINK("http://www.uniprot.org/uniprot/Q99NH0", "Q99NH0")</f>
        <v>Q99NH0</v>
      </c>
      <c r="M1834" t="s">
        <v>21269</v>
      </c>
      <c r="N1834" t="str">
        <f>"Ankrd17"</f>
        <v>Ankrd17</v>
      </c>
      <c r="O1834" s="3" t="str">
        <f>HYPERLINK("http://www.informatics.jax.org/marker/MGI:1932101", "MGI:1932101")</f>
        <v>MGI:1932101</v>
      </c>
      <c r="P1834" t="s">
        <v>21270</v>
      </c>
      <c r="Q1834" t="s">
        <v>5475</v>
      </c>
      <c r="R1834" t="s">
        <v>40</v>
      </c>
      <c r="S1834" t="s">
        <v>41</v>
      </c>
      <c r="T1834" t="s">
        <v>32</v>
      </c>
      <c r="U1834" t="s">
        <v>32</v>
      </c>
      <c r="V1834" t="s">
        <v>9693</v>
      </c>
      <c r="W1834" t="s">
        <v>32</v>
      </c>
      <c r="X1834" t="s">
        <v>1282</v>
      </c>
      <c r="Y1834" t="s">
        <v>207</v>
      </c>
      <c r="Z1834" t="s">
        <v>32</v>
      </c>
      <c r="AA1834" t="s">
        <v>21271</v>
      </c>
      <c r="AB1834" t="s">
        <v>21272</v>
      </c>
      <c r="AC1834" t="s">
        <v>21273</v>
      </c>
      <c r="AD1834" t="s">
        <v>32</v>
      </c>
      <c r="AE1834" t="s">
        <v>32</v>
      </c>
      <c r="AF1834" t="s">
        <v>46835</v>
      </c>
    </row>
    <row r="1835" spans="1:33" x14ac:dyDescent="0.2">
      <c r="A1835">
        <v>1830</v>
      </c>
      <c r="B1835" t="s">
        <v>21274</v>
      </c>
      <c r="C1835" t="s">
        <v>21275</v>
      </c>
      <c r="D1835" t="s">
        <v>21276</v>
      </c>
      <c r="E1835" t="s">
        <v>21277</v>
      </c>
      <c r="F1835" t="s">
        <v>21278</v>
      </c>
      <c r="G1835" t="s">
        <v>21279</v>
      </c>
      <c r="H1835" t="str">
        <f>"Pigt"</f>
        <v>Pigt</v>
      </c>
      <c r="I1835" t="s">
        <v>21280</v>
      </c>
      <c r="J1835" t="s">
        <v>37</v>
      </c>
      <c r="K1835">
        <v>10090</v>
      </c>
      <c r="L1835" s="3" t="str">
        <f>HYPERLINK("http://www.uniprot.org/uniprot/Q8BXQ2", "Q8BXQ2")</f>
        <v>Q8BXQ2</v>
      </c>
      <c r="M1835" t="s">
        <v>21281</v>
      </c>
      <c r="N1835" t="str">
        <f>"Pigt"</f>
        <v>Pigt</v>
      </c>
      <c r="O1835" s="3" t="str">
        <f>HYPERLINK("http://www.informatics.jax.org/marker/MGI:1926178", "MGI:1926178")</f>
        <v>MGI:1926178</v>
      </c>
      <c r="P1835" t="s">
        <v>21282</v>
      </c>
      <c r="Q1835" t="s">
        <v>21283</v>
      </c>
      <c r="R1835" t="s">
        <v>1664</v>
      </c>
      <c r="S1835" t="s">
        <v>32</v>
      </c>
      <c r="T1835" t="s">
        <v>32</v>
      </c>
      <c r="U1835" t="s">
        <v>32</v>
      </c>
      <c r="V1835" t="s">
        <v>3948</v>
      </c>
      <c r="W1835" t="s">
        <v>32</v>
      </c>
      <c r="X1835" t="s">
        <v>32</v>
      </c>
      <c r="Y1835" t="s">
        <v>5275</v>
      </c>
      <c r="Z1835" t="s">
        <v>32</v>
      </c>
      <c r="AA1835" t="s">
        <v>21284</v>
      </c>
      <c r="AB1835" t="s">
        <v>21285</v>
      </c>
      <c r="AC1835" t="s">
        <v>32</v>
      </c>
      <c r="AD1835" t="s">
        <v>21286</v>
      </c>
      <c r="AE1835" t="s">
        <v>21287</v>
      </c>
      <c r="AF1835" t="s">
        <v>46835</v>
      </c>
    </row>
    <row r="1836" spans="1:33" x14ac:dyDescent="0.2">
      <c r="A1836">
        <v>1831</v>
      </c>
      <c r="B1836" t="s">
        <v>21288</v>
      </c>
      <c r="C1836" t="s">
        <v>21289</v>
      </c>
      <c r="D1836" t="s">
        <v>21290</v>
      </c>
      <c r="E1836" t="s">
        <v>21291</v>
      </c>
      <c r="F1836" t="s">
        <v>21292</v>
      </c>
      <c r="G1836" t="s">
        <v>21293</v>
      </c>
      <c r="H1836" t="str">
        <f>"Trnt1"</f>
        <v>Trnt1</v>
      </c>
      <c r="I1836" t="s">
        <v>32</v>
      </c>
      <c r="J1836" t="s">
        <v>37</v>
      </c>
      <c r="K1836">
        <v>10090</v>
      </c>
      <c r="L1836" s="3" t="str">
        <f>HYPERLINK("http://www.uniprot.org/uniprot/Q8K1J6", "Q8K1J6")</f>
        <v>Q8K1J6</v>
      </c>
      <c r="M1836" t="s">
        <v>21294</v>
      </c>
      <c r="N1836" t="str">
        <f>"Trnt1"</f>
        <v>Trnt1</v>
      </c>
      <c r="O1836" s="3" t="str">
        <f>HYPERLINK("http://www.informatics.jax.org/marker/MGI:1917297", "MGI:1917297")</f>
        <v>MGI:1917297</v>
      </c>
      <c r="P1836" t="s">
        <v>21295</v>
      </c>
      <c r="Q1836" t="s">
        <v>4386</v>
      </c>
      <c r="R1836" t="s">
        <v>1038</v>
      </c>
      <c r="S1836" t="s">
        <v>41</v>
      </c>
      <c r="T1836" t="s">
        <v>32</v>
      </c>
      <c r="U1836" t="s">
        <v>32</v>
      </c>
      <c r="V1836" t="s">
        <v>1039</v>
      </c>
      <c r="W1836" t="s">
        <v>21296</v>
      </c>
      <c r="X1836" t="s">
        <v>21297</v>
      </c>
      <c r="Y1836" t="s">
        <v>157</v>
      </c>
      <c r="Z1836" t="s">
        <v>32</v>
      </c>
      <c r="AA1836" t="s">
        <v>21298</v>
      </c>
      <c r="AB1836" t="s">
        <v>3721</v>
      </c>
      <c r="AC1836" t="s">
        <v>21299</v>
      </c>
      <c r="AD1836" t="s">
        <v>32</v>
      </c>
      <c r="AE1836" t="s">
        <v>32</v>
      </c>
      <c r="AF1836" t="s">
        <v>46835</v>
      </c>
    </row>
    <row r="1837" spans="1:33" x14ac:dyDescent="0.2">
      <c r="A1837">
        <v>1832</v>
      </c>
      <c r="B1837" t="s">
        <v>21300</v>
      </c>
      <c r="C1837" t="s">
        <v>21301</v>
      </c>
      <c r="D1837" t="s">
        <v>32</v>
      </c>
      <c r="E1837" t="s">
        <v>21302</v>
      </c>
      <c r="F1837" t="s">
        <v>21303</v>
      </c>
      <c r="G1837" t="s">
        <v>21304</v>
      </c>
      <c r="H1837" t="str">
        <f>"Urod"</f>
        <v>Urod</v>
      </c>
      <c r="I1837" t="s">
        <v>32</v>
      </c>
      <c r="J1837" t="s">
        <v>37</v>
      </c>
      <c r="K1837">
        <v>10090</v>
      </c>
      <c r="L1837" s="3" t="str">
        <f>HYPERLINK("http://www.uniprot.org/uniprot/P70697", "P70697")</f>
        <v>P70697</v>
      </c>
      <c r="M1837" t="s">
        <v>21305</v>
      </c>
      <c r="N1837" t="str">
        <f>"Urod"</f>
        <v>Urod</v>
      </c>
      <c r="O1837" s="3" t="str">
        <f>HYPERLINK("http://www.informatics.jax.org/marker/MGI:98916", "MGI:98916")</f>
        <v>MGI:98916</v>
      </c>
      <c r="P1837" t="s">
        <v>21306</v>
      </c>
      <c r="Q1837" t="s">
        <v>10156</v>
      </c>
      <c r="R1837" t="s">
        <v>418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19521</v>
      </c>
      <c r="Y1837" t="s">
        <v>78</v>
      </c>
      <c r="Z1837" t="s">
        <v>32</v>
      </c>
      <c r="AA1837" t="s">
        <v>21307</v>
      </c>
      <c r="AB1837" t="s">
        <v>4202</v>
      </c>
      <c r="AC1837" t="s">
        <v>21308</v>
      </c>
      <c r="AD1837" t="s">
        <v>21309</v>
      </c>
      <c r="AE1837" t="s">
        <v>10161</v>
      </c>
      <c r="AF1837" t="s">
        <v>46835</v>
      </c>
    </row>
    <row r="1838" spans="1:33" x14ac:dyDescent="0.2">
      <c r="A1838">
        <v>1833</v>
      </c>
      <c r="B1838" t="s">
        <v>21310</v>
      </c>
      <c r="C1838" t="s">
        <v>21311</v>
      </c>
      <c r="D1838" t="s">
        <v>21312</v>
      </c>
      <c r="E1838" t="s">
        <v>21313</v>
      </c>
      <c r="F1838" t="s">
        <v>21314</v>
      </c>
      <c r="G1838" t="s">
        <v>21315</v>
      </c>
      <c r="H1838" t="str">
        <f>"Gga1"</f>
        <v>Gga1</v>
      </c>
      <c r="I1838" t="s">
        <v>32</v>
      </c>
      <c r="J1838" t="s">
        <v>37</v>
      </c>
      <c r="K1838">
        <v>10090</v>
      </c>
      <c r="L1838" s="3" t="str">
        <f>HYPERLINK("http://www.uniprot.org/uniprot/Q8R0H9", "Q8R0H9")</f>
        <v>Q8R0H9</v>
      </c>
      <c r="M1838" t="s">
        <v>21316</v>
      </c>
      <c r="N1838" t="str">
        <f>"Gga1"</f>
        <v>Gga1</v>
      </c>
      <c r="O1838" s="3" t="str">
        <f>HYPERLINK("http://www.informatics.jax.org/marker/MGI:2146207", "MGI:2146207")</f>
        <v>MGI:2146207</v>
      </c>
      <c r="P1838" t="s">
        <v>21317</v>
      </c>
      <c r="Q1838" t="s">
        <v>434</v>
      </c>
      <c r="R1838" t="s">
        <v>6982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t="s">
        <v>1023</v>
      </c>
      <c r="Z1838" t="s">
        <v>32</v>
      </c>
      <c r="AA1838" t="s">
        <v>21318</v>
      </c>
      <c r="AB1838" t="s">
        <v>21319</v>
      </c>
      <c r="AC1838" t="s">
        <v>21320</v>
      </c>
      <c r="AD1838" t="s">
        <v>32</v>
      </c>
      <c r="AE1838" t="s">
        <v>32</v>
      </c>
      <c r="AF1838" t="s">
        <v>46835</v>
      </c>
    </row>
    <row r="1839" spans="1:33" x14ac:dyDescent="0.2">
      <c r="A1839">
        <v>1834</v>
      </c>
      <c r="B1839" t="s">
        <v>21321</v>
      </c>
      <c r="C1839" t="s">
        <v>21322</v>
      </c>
      <c r="D1839" t="s">
        <v>21323</v>
      </c>
      <c r="E1839" t="s">
        <v>21324</v>
      </c>
      <c r="F1839" t="s">
        <v>21325</v>
      </c>
      <c r="G1839" t="s">
        <v>21326</v>
      </c>
      <c r="H1839" t="str">
        <f>"Lig3"</f>
        <v>Lig3</v>
      </c>
      <c r="I1839" t="s">
        <v>32</v>
      </c>
      <c r="J1839" t="s">
        <v>37</v>
      </c>
      <c r="K1839">
        <v>10090</v>
      </c>
      <c r="L1839" s="3" t="str">
        <f>HYPERLINK("http://www.uniprot.org/uniprot/P97386", "P97386")</f>
        <v>P97386</v>
      </c>
      <c r="M1839" t="s">
        <v>21327</v>
      </c>
      <c r="N1839" t="str">
        <f>"Lig3"</f>
        <v>Lig3</v>
      </c>
      <c r="O1839" s="3" t="str">
        <f>HYPERLINK("http://www.informatics.jax.org/marker/MGI:109152", "MGI:109152")</f>
        <v>MGI:109152</v>
      </c>
      <c r="P1839" t="s">
        <v>21328</v>
      </c>
      <c r="Q1839" t="s">
        <v>21329</v>
      </c>
      <c r="R1839" t="s">
        <v>2279</v>
      </c>
      <c r="S1839" t="s">
        <v>41</v>
      </c>
      <c r="T1839" t="s">
        <v>32</v>
      </c>
      <c r="U1839" t="s">
        <v>32</v>
      </c>
      <c r="V1839" t="s">
        <v>446</v>
      </c>
      <c r="W1839" t="s">
        <v>17726</v>
      </c>
      <c r="X1839" t="s">
        <v>1022</v>
      </c>
      <c r="Y1839" t="s">
        <v>618</v>
      </c>
      <c r="Z1839" t="s">
        <v>32</v>
      </c>
      <c r="AA1839" t="s">
        <v>21330</v>
      </c>
      <c r="AB1839" t="s">
        <v>21331</v>
      </c>
      <c r="AC1839" t="s">
        <v>21332</v>
      </c>
      <c r="AD1839" t="s">
        <v>32</v>
      </c>
      <c r="AE1839" t="s">
        <v>21333</v>
      </c>
      <c r="AF1839" t="s">
        <v>46835</v>
      </c>
    </row>
    <row r="1840" spans="1:33" x14ac:dyDescent="0.2">
      <c r="A1840">
        <v>1835</v>
      </c>
      <c r="B1840" t="s">
        <v>21334</v>
      </c>
      <c r="C1840" t="s">
        <v>21335</v>
      </c>
      <c r="D1840" t="s">
        <v>21336</v>
      </c>
      <c r="E1840" t="s">
        <v>21337</v>
      </c>
      <c r="F1840" t="s">
        <v>21338</v>
      </c>
      <c r="G1840" t="s">
        <v>21339</v>
      </c>
      <c r="H1840" t="str">
        <f>"Tpm2"</f>
        <v>Tpm2</v>
      </c>
      <c r="I1840" t="s">
        <v>21340</v>
      </c>
      <c r="J1840" t="s">
        <v>37</v>
      </c>
      <c r="K1840">
        <v>10090</v>
      </c>
      <c r="L1840" s="3" t="str">
        <f>HYPERLINK("http://www.uniprot.org/uniprot/P58774", "P58774")</f>
        <v>P58774</v>
      </c>
      <c r="M1840" t="s">
        <v>21341</v>
      </c>
      <c r="N1840" t="str">
        <f>"Tpm2"</f>
        <v>Tpm2</v>
      </c>
      <c r="O1840" s="3" t="str">
        <f>HYPERLINK("http://www.informatics.jax.org/marker/MGI:98810", "MGI:98810")</f>
        <v>MGI:98810</v>
      </c>
      <c r="P1840" t="s">
        <v>14971</v>
      </c>
      <c r="Q1840" t="s">
        <v>32</v>
      </c>
      <c r="R1840" t="s">
        <v>186</v>
      </c>
      <c r="S1840" t="s">
        <v>41</v>
      </c>
      <c r="T1840" t="s">
        <v>32</v>
      </c>
      <c r="U1840" t="s">
        <v>32</v>
      </c>
      <c r="V1840" t="s">
        <v>290</v>
      </c>
      <c r="W1840" t="s">
        <v>32</v>
      </c>
      <c r="X1840" t="s">
        <v>9286</v>
      </c>
      <c r="Y1840" t="s">
        <v>157</v>
      </c>
      <c r="Z1840" t="s">
        <v>32</v>
      </c>
      <c r="AA1840" t="s">
        <v>21342</v>
      </c>
      <c r="AB1840" t="s">
        <v>21343</v>
      </c>
      <c r="AC1840" t="s">
        <v>21344</v>
      </c>
      <c r="AD1840" t="s">
        <v>32</v>
      </c>
      <c r="AE1840" t="s">
        <v>21345</v>
      </c>
      <c r="AF1840" t="s">
        <v>46835</v>
      </c>
    </row>
    <row r="1841" spans="1:32" x14ac:dyDescent="0.2">
      <c r="A1841">
        <v>1836</v>
      </c>
      <c r="B1841" t="s">
        <v>21346</v>
      </c>
      <c r="C1841" t="s">
        <v>21347</v>
      </c>
      <c r="D1841" t="s">
        <v>21348</v>
      </c>
      <c r="E1841" t="s">
        <v>21349</v>
      </c>
      <c r="F1841" t="s">
        <v>21350</v>
      </c>
      <c r="G1841" t="s">
        <v>21351</v>
      </c>
      <c r="H1841" t="str">
        <f>"Enah"</f>
        <v>Enah</v>
      </c>
      <c r="I1841" t="s">
        <v>21352</v>
      </c>
      <c r="J1841" t="s">
        <v>37</v>
      </c>
      <c r="K1841">
        <v>10090</v>
      </c>
      <c r="L1841" s="3" t="str">
        <f>HYPERLINK("http://www.uniprot.org/uniprot/Q03173", "Q03173")</f>
        <v>Q03173</v>
      </c>
      <c r="M1841" t="s">
        <v>21353</v>
      </c>
      <c r="N1841" t="str">
        <f>"Enah"</f>
        <v>Enah</v>
      </c>
      <c r="O1841" s="3" t="str">
        <f>HYPERLINK("http://www.informatics.jax.org/marker/MGI:108360", "MGI:108360")</f>
        <v>MGI:108360</v>
      </c>
      <c r="P1841" t="s">
        <v>21354</v>
      </c>
      <c r="Q1841" t="s">
        <v>2027</v>
      </c>
      <c r="R1841" t="s">
        <v>21355</v>
      </c>
      <c r="S1841" t="s">
        <v>41</v>
      </c>
      <c r="T1841" t="s">
        <v>32</v>
      </c>
      <c r="U1841" t="s">
        <v>32</v>
      </c>
      <c r="V1841" t="s">
        <v>21356</v>
      </c>
      <c r="W1841" t="s">
        <v>32</v>
      </c>
      <c r="X1841" t="s">
        <v>5157</v>
      </c>
      <c r="Y1841" t="s">
        <v>618</v>
      </c>
      <c r="Z1841" t="s">
        <v>126</v>
      </c>
      <c r="AA1841" t="s">
        <v>21357</v>
      </c>
      <c r="AB1841" t="s">
        <v>21358</v>
      </c>
      <c r="AC1841" t="s">
        <v>21359</v>
      </c>
      <c r="AD1841" t="s">
        <v>32</v>
      </c>
      <c r="AE1841" t="s">
        <v>21360</v>
      </c>
      <c r="AF1841" t="s">
        <v>46835</v>
      </c>
    </row>
    <row r="1842" spans="1:32" x14ac:dyDescent="0.2">
      <c r="A1842">
        <v>1837</v>
      </c>
      <c r="B1842" t="s">
        <v>21361</v>
      </c>
      <c r="C1842" t="s">
        <v>21362</v>
      </c>
      <c r="D1842" t="s">
        <v>32</v>
      </c>
      <c r="E1842" t="s">
        <v>21363</v>
      </c>
      <c r="F1842" t="s">
        <v>21364</v>
      </c>
      <c r="G1842" t="s">
        <v>21365</v>
      </c>
      <c r="H1842" t="str">
        <f>"Snx27"</f>
        <v>Snx27</v>
      </c>
      <c r="I1842" t="s">
        <v>21366</v>
      </c>
      <c r="J1842" t="s">
        <v>37</v>
      </c>
      <c r="K1842">
        <v>10090</v>
      </c>
      <c r="L1842" s="3" t="str">
        <f>HYPERLINK("http://www.uniprot.org/uniprot/Q3UHD6", "Q3UHD6")</f>
        <v>Q3UHD6</v>
      </c>
      <c r="M1842" t="s">
        <v>21367</v>
      </c>
      <c r="N1842" t="str">
        <f>"Snx27"</f>
        <v>Snx27</v>
      </c>
      <c r="O1842" s="3" t="str">
        <f>HYPERLINK("http://www.informatics.jax.org/marker/MGI:1923992", "MGI:1923992")</f>
        <v>MGI:1923992</v>
      </c>
      <c r="P1842" t="s">
        <v>21368</v>
      </c>
      <c r="Q1842" t="s">
        <v>434</v>
      </c>
      <c r="R1842" t="s">
        <v>6558</v>
      </c>
      <c r="S1842" t="s">
        <v>41</v>
      </c>
      <c r="T1842" t="s">
        <v>32</v>
      </c>
      <c r="U1842" t="s">
        <v>32</v>
      </c>
      <c r="V1842" t="s">
        <v>32</v>
      </c>
      <c r="W1842" t="s">
        <v>584</v>
      </c>
      <c r="X1842" t="s">
        <v>32</v>
      </c>
      <c r="Y1842" t="s">
        <v>618</v>
      </c>
      <c r="Z1842" t="s">
        <v>32</v>
      </c>
      <c r="AA1842" t="s">
        <v>21369</v>
      </c>
      <c r="AB1842" t="s">
        <v>21370</v>
      </c>
      <c r="AC1842" t="s">
        <v>21371</v>
      </c>
      <c r="AD1842" t="s">
        <v>32</v>
      </c>
      <c r="AE1842" t="s">
        <v>32</v>
      </c>
      <c r="AF1842" t="s">
        <v>46835</v>
      </c>
    </row>
    <row r="1843" spans="1:32" x14ac:dyDescent="0.2">
      <c r="A1843">
        <v>1838</v>
      </c>
      <c r="B1843" t="s">
        <v>21372</v>
      </c>
      <c r="C1843" t="s">
        <v>21373</v>
      </c>
      <c r="D1843" t="s">
        <v>32</v>
      </c>
      <c r="E1843" t="s">
        <v>21374</v>
      </c>
      <c r="F1843" t="s">
        <v>21375</v>
      </c>
      <c r="G1843" t="s">
        <v>32</v>
      </c>
      <c r="H1843" t="str">
        <f>"Csnk2a2"</f>
        <v>Csnk2a2</v>
      </c>
      <c r="I1843" t="s">
        <v>32</v>
      </c>
      <c r="J1843" t="s">
        <v>37</v>
      </c>
      <c r="K1843">
        <v>10090</v>
      </c>
      <c r="L1843" s="3" t="str">
        <f>HYPERLINK("http://www.uniprot.org/uniprot/O54833", "O54833")</f>
        <v>O54833</v>
      </c>
      <c r="M1843" t="s">
        <v>21376</v>
      </c>
      <c r="N1843" t="str">
        <f>"Csnk2a2"</f>
        <v>Csnk2a2</v>
      </c>
      <c r="O1843" s="3" t="str">
        <f>HYPERLINK("http://www.informatics.jax.org/marker/MGI:88547", "MGI:88547")</f>
        <v>MGI:88547</v>
      </c>
      <c r="P1843" t="s">
        <v>21377</v>
      </c>
      <c r="Q1843" t="s">
        <v>21378</v>
      </c>
      <c r="R1843" t="s">
        <v>40</v>
      </c>
      <c r="S1843" t="s">
        <v>32</v>
      </c>
      <c r="T1843" t="s">
        <v>32</v>
      </c>
      <c r="U1843" t="s">
        <v>32</v>
      </c>
      <c r="V1843" t="s">
        <v>32</v>
      </c>
      <c r="W1843" t="s">
        <v>205</v>
      </c>
      <c r="X1843" t="s">
        <v>5419</v>
      </c>
      <c r="Y1843" t="s">
        <v>157</v>
      </c>
      <c r="Z1843" t="s">
        <v>32</v>
      </c>
      <c r="AA1843" t="s">
        <v>21379</v>
      </c>
      <c r="AB1843" t="s">
        <v>21380</v>
      </c>
      <c r="AC1843" t="s">
        <v>21381</v>
      </c>
      <c r="AD1843" t="s">
        <v>32</v>
      </c>
      <c r="AE1843" t="s">
        <v>9851</v>
      </c>
      <c r="AF1843" t="s">
        <v>46835</v>
      </c>
    </row>
    <row r="1844" spans="1:32" x14ac:dyDescent="0.2">
      <c r="A1844">
        <v>1839</v>
      </c>
      <c r="B1844" t="s">
        <v>21382</v>
      </c>
      <c r="C1844" t="s">
        <v>21383</v>
      </c>
      <c r="D1844" t="s">
        <v>21384</v>
      </c>
      <c r="E1844" t="s">
        <v>21385</v>
      </c>
      <c r="F1844" t="s">
        <v>21386</v>
      </c>
      <c r="G1844" t="s">
        <v>21387</v>
      </c>
      <c r="H1844" t="str">
        <f>"Hdac6"</f>
        <v>Hdac6</v>
      </c>
      <c r="I1844" t="s">
        <v>32</v>
      </c>
      <c r="J1844" t="s">
        <v>37</v>
      </c>
      <c r="K1844">
        <v>10090</v>
      </c>
      <c r="L1844" s="3" t="str">
        <f>HYPERLINK("http://www.uniprot.org/uniprot/Q9Z2V5", "Q9Z2V5")</f>
        <v>Q9Z2V5</v>
      </c>
      <c r="M1844" t="s">
        <v>21388</v>
      </c>
      <c r="N1844" t="str">
        <f>"Hdac6"</f>
        <v>Hdac6</v>
      </c>
      <c r="O1844" s="3" t="str">
        <f>HYPERLINK("http://www.informatics.jax.org/marker/MGI:1333752", "MGI:1333752")</f>
        <v>MGI:1333752</v>
      </c>
      <c r="P1844" t="s">
        <v>21389</v>
      </c>
      <c r="Q1844" t="s">
        <v>4152</v>
      </c>
      <c r="R1844" t="s">
        <v>7920</v>
      </c>
      <c r="S1844" t="s">
        <v>32</v>
      </c>
      <c r="T1844" t="s">
        <v>32</v>
      </c>
      <c r="U1844" t="s">
        <v>32</v>
      </c>
      <c r="V1844" t="s">
        <v>3791</v>
      </c>
      <c r="W1844" t="s">
        <v>42</v>
      </c>
      <c r="X1844" t="s">
        <v>21390</v>
      </c>
      <c r="Y1844" t="s">
        <v>18842</v>
      </c>
      <c r="Z1844" t="s">
        <v>32</v>
      </c>
      <c r="AA1844" t="s">
        <v>21391</v>
      </c>
      <c r="AB1844" t="s">
        <v>21392</v>
      </c>
      <c r="AC1844" t="s">
        <v>21393</v>
      </c>
      <c r="AD1844" t="s">
        <v>32</v>
      </c>
      <c r="AE1844" t="s">
        <v>21394</v>
      </c>
      <c r="AF1844" t="s">
        <v>46835</v>
      </c>
    </row>
    <row r="1845" spans="1:32" x14ac:dyDescent="0.2">
      <c r="A1845">
        <v>1840</v>
      </c>
      <c r="B1845" t="s">
        <v>21395</v>
      </c>
      <c r="C1845" t="s">
        <v>21396</v>
      </c>
      <c r="D1845" t="s">
        <v>17707</v>
      </c>
      <c r="E1845" t="s">
        <v>21397</v>
      </c>
      <c r="F1845" t="s">
        <v>21398</v>
      </c>
      <c r="G1845" t="s">
        <v>21399</v>
      </c>
      <c r="H1845" t="str">
        <f>"Acads"</f>
        <v>Acads</v>
      </c>
      <c r="I1845" t="s">
        <v>32</v>
      </c>
      <c r="J1845" t="s">
        <v>37</v>
      </c>
      <c r="K1845">
        <v>10090</v>
      </c>
      <c r="L1845" s="3" t="str">
        <f>HYPERLINK("http://www.uniprot.org/uniprot/Q07417", "Q07417")</f>
        <v>Q07417</v>
      </c>
      <c r="M1845" t="s">
        <v>21400</v>
      </c>
      <c r="N1845" t="str">
        <f>"Acads"</f>
        <v>Acads</v>
      </c>
      <c r="O1845" s="3" t="str">
        <f>HYPERLINK("http://www.informatics.jax.org/marker/MGI:87868", "MGI:87868")</f>
        <v>MGI:87868</v>
      </c>
      <c r="P1845" t="s">
        <v>8314</v>
      </c>
      <c r="Q1845" t="s">
        <v>6214</v>
      </c>
      <c r="R1845" t="s">
        <v>1038</v>
      </c>
      <c r="S1845" t="s">
        <v>32</v>
      </c>
      <c r="T1845" t="s">
        <v>32</v>
      </c>
      <c r="U1845" t="s">
        <v>32</v>
      </c>
      <c r="V1845" t="s">
        <v>1039</v>
      </c>
      <c r="W1845" t="s">
        <v>4600</v>
      </c>
      <c r="X1845" t="s">
        <v>600</v>
      </c>
      <c r="Y1845" t="s">
        <v>157</v>
      </c>
      <c r="Z1845" t="s">
        <v>32</v>
      </c>
      <c r="AA1845" t="s">
        <v>21401</v>
      </c>
      <c r="AB1845" t="s">
        <v>21402</v>
      </c>
      <c r="AC1845" t="s">
        <v>21403</v>
      </c>
      <c r="AD1845" t="s">
        <v>8318</v>
      </c>
      <c r="AE1845" t="s">
        <v>21404</v>
      </c>
      <c r="AF1845" t="s">
        <v>46835</v>
      </c>
    </row>
    <row r="1846" spans="1:32" x14ac:dyDescent="0.2">
      <c r="A1846">
        <v>1841</v>
      </c>
      <c r="B1846" t="s">
        <v>21405</v>
      </c>
      <c r="C1846" t="s">
        <v>21406</v>
      </c>
      <c r="D1846" t="s">
        <v>21407</v>
      </c>
      <c r="E1846" t="s">
        <v>21408</v>
      </c>
      <c r="F1846" t="s">
        <v>21409</v>
      </c>
      <c r="G1846" t="s">
        <v>21410</v>
      </c>
      <c r="H1846" t="str">
        <f>"Ankle2"</f>
        <v>Ankle2</v>
      </c>
      <c r="I1846" t="s">
        <v>21411</v>
      </c>
      <c r="J1846" t="s">
        <v>37</v>
      </c>
      <c r="K1846">
        <v>10090</v>
      </c>
      <c r="L1846" s="3" t="str">
        <f>HYPERLINK("http://www.uniprot.org/uniprot/Q6P1H6", "Q6P1H6")</f>
        <v>Q6P1H6</v>
      </c>
      <c r="M1846" t="s">
        <v>21412</v>
      </c>
      <c r="N1846" t="str">
        <f>"Ankle2"</f>
        <v>Ankle2</v>
      </c>
      <c r="O1846" s="3" t="str">
        <f>HYPERLINK("http://www.informatics.jax.org/marker/MGI:1261856", "MGI:1261856")</f>
        <v>MGI:1261856</v>
      </c>
      <c r="P1846" t="s">
        <v>21413</v>
      </c>
      <c r="Q1846" t="s">
        <v>2968</v>
      </c>
      <c r="R1846" t="s">
        <v>1664</v>
      </c>
      <c r="S1846" t="s">
        <v>41</v>
      </c>
      <c r="T1846" t="s">
        <v>32</v>
      </c>
      <c r="U1846" t="s">
        <v>32</v>
      </c>
      <c r="V1846" t="s">
        <v>21414</v>
      </c>
      <c r="W1846" t="s">
        <v>32</v>
      </c>
      <c r="X1846" t="s">
        <v>32</v>
      </c>
      <c r="Y1846" t="s">
        <v>618</v>
      </c>
      <c r="Z1846" t="s">
        <v>32</v>
      </c>
      <c r="AA1846" t="s">
        <v>21415</v>
      </c>
      <c r="AB1846" t="s">
        <v>4272</v>
      </c>
      <c r="AC1846" t="s">
        <v>21416</v>
      </c>
      <c r="AD1846" t="s">
        <v>32</v>
      </c>
      <c r="AE1846" t="s">
        <v>21417</v>
      </c>
      <c r="AF1846" t="s">
        <v>46835</v>
      </c>
    </row>
    <row r="1847" spans="1:32" x14ac:dyDescent="0.2">
      <c r="A1847">
        <v>1842</v>
      </c>
      <c r="B1847" t="s">
        <v>21418</v>
      </c>
      <c r="C1847" t="s">
        <v>21419</v>
      </c>
      <c r="D1847" t="s">
        <v>32</v>
      </c>
      <c r="E1847" t="s">
        <v>21420</v>
      </c>
      <c r="F1847" t="s">
        <v>21421</v>
      </c>
      <c r="G1847" t="s">
        <v>21422</v>
      </c>
      <c r="H1847" t="str">
        <f>"Dnajc9"</f>
        <v>Dnajc9</v>
      </c>
      <c r="I1847" t="s">
        <v>32</v>
      </c>
      <c r="J1847" t="s">
        <v>37</v>
      </c>
      <c r="K1847">
        <v>10090</v>
      </c>
      <c r="L1847" s="3" t="str">
        <f>HYPERLINK("http://www.uniprot.org/uniprot/Q91WN1", "Q91WN1")</f>
        <v>Q91WN1</v>
      </c>
      <c r="M1847" t="s">
        <v>21423</v>
      </c>
      <c r="N1847" t="str">
        <f>"Dnajc9"</f>
        <v>Dnajc9</v>
      </c>
      <c r="O1847" s="3" t="str">
        <f>HYPERLINK("http://www.informatics.jax.org/marker/MGI:1915326", "MGI:1915326")</f>
        <v>MGI:1915326</v>
      </c>
      <c r="P1847" t="s">
        <v>21424</v>
      </c>
      <c r="Q1847" t="s">
        <v>32</v>
      </c>
      <c r="R1847" t="s">
        <v>276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388</v>
      </c>
      <c r="Y1847" t="s">
        <v>618</v>
      </c>
      <c r="Z1847" t="s">
        <v>32</v>
      </c>
      <c r="AA1847" t="s">
        <v>21425</v>
      </c>
      <c r="AB1847" t="s">
        <v>21426</v>
      </c>
      <c r="AC1847" t="s">
        <v>21427</v>
      </c>
      <c r="AD1847" t="s">
        <v>32</v>
      </c>
      <c r="AE1847" t="s">
        <v>32</v>
      </c>
      <c r="AF1847" t="s">
        <v>46835</v>
      </c>
    </row>
    <row r="1848" spans="1:32" x14ac:dyDescent="0.2">
      <c r="A1848">
        <v>1843</v>
      </c>
      <c r="B1848" t="s">
        <v>21428</v>
      </c>
      <c r="C1848" t="s">
        <v>21429</v>
      </c>
      <c r="D1848" t="s">
        <v>21430</v>
      </c>
      <c r="E1848" t="s">
        <v>21431</v>
      </c>
      <c r="F1848" t="s">
        <v>21432</v>
      </c>
      <c r="G1848" t="s">
        <v>32</v>
      </c>
      <c r="H1848" t="str">
        <f>"Cdk5"</f>
        <v>Cdk5</v>
      </c>
      <c r="I1848" t="s">
        <v>32</v>
      </c>
      <c r="J1848" t="s">
        <v>37</v>
      </c>
      <c r="K1848">
        <v>10090</v>
      </c>
      <c r="L1848" s="3" t="str">
        <f>HYPERLINK("http://www.uniprot.org/uniprot/P49615", "P49615")</f>
        <v>P49615</v>
      </c>
      <c r="M1848" t="s">
        <v>21433</v>
      </c>
      <c r="N1848" t="str">
        <f>"Cdk5"</f>
        <v>Cdk5</v>
      </c>
      <c r="O1848" s="3" t="str">
        <f>HYPERLINK("http://www.informatics.jax.org/marker/MGI:101765", "MGI:101765")</f>
        <v>MGI:101765</v>
      </c>
      <c r="P1848" t="s">
        <v>21434</v>
      </c>
      <c r="Q1848" t="s">
        <v>21435</v>
      </c>
      <c r="R1848" t="s">
        <v>3708</v>
      </c>
      <c r="S1848" t="s">
        <v>32</v>
      </c>
      <c r="T1848" t="s">
        <v>32</v>
      </c>
      <c r="U1848" t="s">
        <v>6515</v>
      </c>
      <c r="V1848" t="s">
        <v>32</v>
      </c>
      <c r="W1848" t="s">
        <v>205</v>
      </c>
      <c r="X1848" t="s">
        <v>5419</v>
      </c>
      <c r="Y1848" t="s">
        <v>157</v>
      </c>
      <c r="Z1848" t="s">
        <v>32</v>
      </c>
      <c r="AA1848" t="s">
        <v>21436</v>
      </c>
      <c r="AB1848" t="s">
        <v>21437</v>
      </c>
      <c r="AC1848" t="s">
        <v>21438</v>
      </c>
      <c r="AD1848" t="s">
        <v>32</v>
      </c>
      <c r="AE1848" t="s">
        <v>21439</v>
      </c>
      <c r="AF1848" t="s">
        <v>46835</v>
      </c>
    </row>
    <row r="1849" spans="1:32" x14ac:dyDescent="0.2">
      <c r="A1849">
        <v>1844</v>
      </c>
      <c r="B1849" t="s">
        <v>21440</v>
      </c>
      <c r="C1849" t="s">
        <v>21441</v>
      </c>
      <c r="D1849" t="s">
        <v>21442</v>
      </c>
      <c r="E1849" t="s">
        <v>21443</v>
      </c>
      <c r="F1849" t="s">
        <v>21444</v>
      </c>
      <c r="G1849" t="s">
        <v>21445</v>
      </c>
      <c r="H1849" t="str">
        <f>"Clasp2"</f>
        <v>Clasp2</v>
      </c>
      <c r="I1849" t="s">
        <v>21446</v>
      </c>
      <c r="J1849" t="s">
        <v>37</v>
      </c>
      <c r="K1849">
        <v>10090</v>
      </c>
      <c r="L1849" s="3" t="str">
        <f>HYPERLINK("http://www.uniprot.org/uniprot/Q8BRT1", "Q8BRT1")</f>
        <v>Q8BRT1</v>
      </c>
      <c r="M1849" t="s">
        <v>21447</v>
      </c>
      <c r="N1849" t="str">
        <f>"Clasp2"</f>
        <v>Clasp2</v>
      </c>
      <c r="O1849" s="3" t="str">
        <f>HYPERLINK("http://www.informatics.jax.org/marker/MGI:1923749", "MGI:1923749")</f>
        <v>MGI:1923749</v>
      </c>
      <c r="P1849" t="s">
        <v>21448</v>
      </c>
      <c r="Q1849" t="s">
        <v>21449</v>
      </c>
      <c r="R1849" t="s">
        <v>21450</v>
      </c>
      <c r="S1849" t="s">
        <v>41</v>
      </c>
      <c r="T1849" t="s">
        <v>32</v>
      </c>
      <c r="U1849" t="s">
        <v>32</v>
      </c>
      <c r="V1849" t="s">
        <v>55</v>
      </c>
      <c r="W1849" t="s">
        <v>32</v>
      </c>
      <c r="X1849" t="s">
        <v>32</v>
      </c>
      <c r="Y1849" t="s">
        <v>618</v>
      </c>
      <c r="Z1849" t="s">
        <v>126</v>
      </c>
      <c r="AA1849" t="s">
        <v>21451</v>
      </c>
      <c r="AB1849" t="s">
        <v>21452</v>
      </c>
      <c r="AC1849" t="s">
        <v>21453</v>
      </c>
      <c r="AD1849" t="s">
        <v>32</v>
      </c>
      <c r="AE1849" t="s">
        <v>5015</v>
      </c>
      <c r="AF1849" t="s">
        <v>46835</v>
      </c>
    </row>
    <row r="1850" spans="1:32" x14ac:dyDescent="0.2">
      <c r="A1850">
        <v>1845</v>
      </c>
      <c r="B1850" t="s">
        <v>21454</v>
      </c>
      <c r="C1850" t="s">
        <v>21455</v>
      </c>
      <c r="D1850" t="s">
        <v>21456</v>
      </c>
      <c r="E1850" t="s">
        <v>21457</v>
      </c>
      <c r="F1850" t="s">
        <v>21458</v>
      </c>
      <c r="G1850" t="s">
        <v>21459</v>
      </c>
      <c r="H1850" t="str">
        <f>"Lrrfip1"</f>
        <v>Lrrfip1</v>
      </c>
      <c r="I1850" t="s">
        <v>21460</v>
      </c>
      <c r="J1850" t="s">
        <v>37</v>
      </c>
      <c r="K1850">
        <v>10090</v>
      </c>
      <c r="L1850" s="3" t="str">
        <f>HYPERLINK("http://www.uniprot.org/uniprot/Q3UZ39", "Q3UZ39")</f>
        <v>Q3UZ39</v>
      </c>
      <c r="M1850" t="s">
        <v>21461</v>
      </c>
      <c r="N1850" t="str">
        <f>"Lrrfip1"</f>
        <v>Lrrfip1</v>
      </c>
      <c r="O1850" s="3" t="str">
        <f>HYPERLINK("http://www.informatics.jax.org/marker/MGI:1342770", "MGI:1342770")</f>
        <v>MGI:1342770</v>
      </c>
      <c r="P1850" t="s">
        <v>21462</v>
      </c>
      <c r="Q1850" t="s">
        <v>4152</v>
      </c>
      <c r="R1850" t="s">
        <v>40</v>
      </c>
      <c r="S1850" t="s">
        <v>41</v>
      </c>
      <c r="T1850" t="s">
        <v>32</v>
      </c>
      <c r="U1850" t="s">
        <v>32</v>
      </c>
      <c r="V1850" t="s">
        <v>290</v>
      </c>
      <c r="W1850" t="s">
        <v>32</v>
      </c>
      <c r="X1850" t="s">
        <v>7046</v>
      </c>
      <c r="Y1850" t="s">
        <v>516</v>
      </c>
      <c r="Z1850" t="s">
        <v>32</v>
      </c>
      <c r="AA1850" t="s">
        <v>21463</v>
      </c>
      <c r="AB1850" t="s">
        <v>12663</v>
      </c>
      <c r="AC1850" t="s">
        <v>21464</v>
      </c>
      <c r="AD1850" t="s">
        <v>32</v>
      </c>
      <c r="AE1850" t="s">
        <v>32</v>
      </c>
      <c r="AF1850" t="s">
        <v>46835</v>
      </c>
    </row>
    <row r="1851" spans="1:32" x14ac:dyDescent="0.2">
      <c r="A1851">
        <v>1846</v>
      </c>
      <c r="B1851" t="s">
        <v>21465</v>
      </c>
      <c r="C1851" t="s">
        <v>21466</v>
      </c>
      <c r="D1851" t="s">
        <v>21467</v>
      </c>
      <c r="E1851" t="s">
        <v>21468</v>
      </c>
      <c r="F1851" t="s">
        <v>21469</v>
      </c>
      <c r="G1851" t="s">
        <v>21470</v>
      </c>
      <c r="H1851" t="str">
        <f>"Dync1i1"</f>
        <v>Dync1i1</v>
      </c>
      <c r="I1851" t="s">
        <v>21471</v>
      </c>
      <c r="J1851" t="s">
        <v>37</v>
      </c>
      <c r="K1851">
        <v>10090</v>
      </c>
      <c r="L1851" s="3" t="str">
        <f>HYPERLINK("http://www.uniprot.org/uniprot/O88485", "O88485")</f>
        <v>O88485</v>
      </c>
      <c r="M1851" t="s">
        <v>21472</v>
      </c>
      <c r="N1851" t="str">
        <f>"Dync1i1"</f>
        <v>Dync1i1</v>
      </c>
      <c r="O1851" s="3" t="str">
        <f>HYPERLINK("http://www.informatics.jax.org/marker/MGI:107743", "MGI:107743")</f>
        <v>MGI:107743</v>
      </c>
      <c r="P1851" t="s">
        <v>21473</v>
      </c>
      <c r="Q1851" t="s">
        <v>4425</v>
      </c>
      <c r="R1851" t="s">
        <v>8961</v>
      </c>
      <c r="S1851" t="s">
        <v>41</v>
      </c>
      <c r="T1851" t="s">
        <v>32</v>
      </c>
      <c r="U1851" t="s">
        <v>32</v>
      </c>
      <c r="V1851" t="s">
        <v>1910</v>
      </c>
      <c r="W1851" t="s">
        <v>32</v>
      </c>
      <c r="X1851" t="s">
        <v>830</v>
      </c>
      <c r="Y1851" t="s">
        <v>157</v>
      </c>
      <c r="Z1851" t="s">
        <v>32</v>
      </c>
      <c r="AA1851" t="s">
        <v>21474</v>
      </c>
      <c r="AB1851" t="s">
        <v>21475</v>
      </c>
      <c r="AC1851" t="s">
        <v>21476</v>
      </c>
      <c r="AD1851" t="s">
        <v>32</v>
      </c>
      <c r="AE1851" t="s">
        <v>11466</v>
      </c>
      <c r="AF1851" t="s">
        <v>46835</v>
      </c>
    </row>
    <row r="1852" spans="1:32" x14ac:dyDescent="0.2">
      <c r="A1852">
        <v>1847</v>
      </c>
      <c r="B1852" t="s">
        <v>21477</v>
      </c>
      <c r="C1852" t="s">
        <v>21478</v>
      </c>
      <c r="D1852" t="s">
        <v>21479</v>
      </c>
      <c r="E1852" t="s">
        <v>21480</v>
      </c>
      <c r="F1852" t="s">
        <v>21481</v>
      </c>
      <c r="G1852" t="s">
        <v>32</v>
      </c>
      <c r="H1852" t="str">
        <f>"Arpc5l"</f>
        <v>Arpc5l</v>
      </c>
      <c r="I1852" t="s">
        <v>32</v>
      </c>
      <c r="J1852" t="s">
        <v>37</v>
      </c>
      <c r="K1852">
        <v>10090</v>
      </c>
      <c r="L1852" s="3" t="str">
        <f>HYPERLINK("http://www.uniprot.org/uniprot/Q9D898", "Q9D898")</f>
        <v>Q9D898</v>
      </c>
      <c r="M1852" t="s">
        <v>21482</v>
      </c>
      <c r="N1852" t="str">
        <f>"Arpc5l"</f>
        <v>Arpc5l</v>
      </c>
      <c r="O1852" s="3" t="str">
        <f>HYPERLINK("http://www.informatics.jax.org/marker/MGI:1921442", "MGI:1921442")</f>
        <v>MGI:1921442</v>
      </c>
      <c r="P1852" t="s">
        <v>21483</v>
      </c>
      <c r="Q1852" t="s">
        <v>32</v>
      </c>
      <c r="R1852" t="s">
        <v>186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405</v>
      </c>
      <c r="Y1852" t="s">
        <v>618</v>
      </c>
      <c r="Z1852" t="s">
        <v>32</v>
      </c>
      <c r="AA1852" t="s">
        <v>21484</v>
      </c>
      <c r="AB1852" t="s">
        <v>21485</v>
      </c>
      <c r="AC1852" t="s">
        <v>2119</v>
      </c>
      <c r="AD1852" t="s">
        <v>32</v>
      </c>
      <c r="AE1852" t="s">
        <v>32</v>
      </c>
      <c r="AF1852" t="s">
        <v>46835</v>
      </c>
    </row>
    <row r="1853" spans="1:32" x14ac:dyDescent="0.2">
      <c r="A1853">
        <v>1848</v>
      </c>
      <c r="B1853" t="s">
        <v>21486</v>
      </c>
      <c r="C1853" t="s">
        <v>21487</v>
      </c>
      <c r="D1853" t="s">
        <v>21488</v>
      </c>
      <c r="E1853" t="s">
        <v>21489</v>
      </c>
      <c r="F1853" t="s">
        <v>21490</v>
      </c>
      <c r="G1853" t="s">
        <v>21491</v>
      </c>
      <c r="H1853" t="str">
        <f>"Plod3"</f>
        <v>Plod3</v>
      </c>
      <c r="I1853" t="s">
        <v>32</v>
      </c>
      <c r="J1853" t="s">
        <v>37</v>
      </c>
      <c r="K1853">
        <v>10090</v>
      </c>
      <c r="L1853" s="3" t="str">
        <f>HYPERLINK("http://www.uniprot.org/uniprot/Q9R0E1", "Q9R0E1")</f>
        <v>Q9R0E1</v>
      </c>
      <c r="M1853" t="s">
        <v>21492</v>
      </c>
      <c r="N1853" t="str">
        <f>"Plod3"</f>
        <v>Plod3</v>
      </c>
      <c r="O1853" s="3" t="str">
        <f>HYPERLINK("http://www.informatics.jax.org/marker/MGI:1347008", "MGI:1347008")</f>
        <v>MGI:1347008</v>
      </c>
      <c r="P1853" t="s">
        <v>21493</v>
      </c>
      <c r="Q1853" t="s">
        <v>32</v>
      </c>
      <c r="R1853" t="s">
        <v>21494</v>
      </c>
      <c r="S1853" t="s">
        <v>32</v>
      </c>
      <c r="T1853" t="s">
        <v>32</v>
      </c>
      <c r="U1853" t="s">
        <v>32</v>
      </c>
      <c r="V1853" t="s">
        <v>811</v>
      </c>
      <c r="W1853" t="s">
        <v>21495</v>
      </c>
      <c r="X1853" t="s">
        <v>21496</v>
      </c>
      <c r="Y1853" t="s">
        <v>5275</v>
      </c>
      <c r="Z1853" t="s">
        <v>32</v>
      </c>
      <c r="AA1853" t="s">
        <v>21497</v>
      </c>
      <c r="AB1853" t="s">
        <v>21498</v>
      </c>
      <c r="AC1853" t="s">
        <v>21499</v>
      </c>
      <c r="AD1853" t="s">
        <v>32</v>
      </c>
      <c r="AE1853" t="s">
        <v>2061</v>
      </c>
      <c r="AF1853" t="s">
        <v>46835</v>
      </c>
    </row>
    <row r="1854" spans="1:32" x14ac:dyDescent="0.2">
      <c r="A1854">
        <v>1849</v>
      </c>
      <c r="B1854" t="s">
        <v>21500</v>
      </c>
      <c r="C1854" t="s">
        <v>21501</v>
      </c>
      <c r="D1854" t="s">
        <v>21502</v>
      </c>
      <c r="E1854" t="s">
        <v>21503</v>
      </c>
      <c r="F1854" t="s">
        <v>21504</v>
      </c>
      <c r="G1854" t="s">
        <v>21505</v>
      </c>
      <c r="H1854" t="str">
        <f>"Snrpe"</f>
        <v>Snrpe</v>
      </c>
      <c r="I1854" t="s">
        <v>32</v>
      </c>
      <c r="J1854" t="s">
        <v>37</v>
      </c>
      <c r="K1854">
        <v>10090</v>
      </c>
      <c r="L1854" s="3" t="str">
        <f>HYPERLINK("http://www.uniprot.org/uniprot/P62305", "P62305")</f>
        <v>P62305</v>
      </c>
      <c r="M1854" t="s">
        <v>21506</v>
      </c>
      <c r="N1854" t="str">
        <f>"Snrpe"</f>
        <v>Snrpe</v>
      </c>
      <c r="O1854" s="3" t="str">
        <f>HYPERLINK("http://www.informatics.jax.org/marker/MGI:98346", "MGI:98346")</f>
        <v>MGI:98346</v>
      </c>
      <c r="P1854" t="s">
        <v>8078</v>
      </c>
      <c r="Q1854" t="s">
        <v>2139</v>
      </c>
      <c r="R1854" t="s">
        <v>2219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1129</v>
      </c>
      <c r="Y1854" t="s">
        <v>32</v>
      </c>
      <c r="Z1854" t="s">
        <v>32</v>
      </c>
      <c r="AA1854" t="s">
        <v>8079</v>
      </c>
      <c r="AB1854" t="s">
        <v>21507</v>
      </c>
      <c r="AC1854" t="s">
        <v>8081</v>
      </c>
      <c r="AD1854" t="s">
        <v>32</v>
      </c>
      <c r="AE1854" t="s">
        <v>8082</v>
      </c>
      <c r="AF1854" t="s">
        <v>46835</v>
      </c>
    </row>
    <row r="1855" spans="1:32" x14ac:dyDescent="0.2">
      <c r="A1855">
        <v>1850</v>
      </c>
      <c r="B1855" t="s">
        <v>21508</v>
      </c>
      <c r="C1855" t="s">
        <v>21509</v>
      </c>
      <c r="D1855" t="s">
        <v>32</v>
      </c>
      <c r="E1855" t="s">
        <v>21510</v>
      </c>
      <c r="F1855" t="s">
        <v>21511</v>
      </c>
      <c r="G1855" t="s">
        <v>32</v>
      </c>
      <c r="H1855" t="str">
        <f>"Commd6"</f>
        <v>Commd6</v>
      </c>
      <c r="I1855" t="s">
        <v>32</v>
      </c>
      <c r="J1855" t="s">
        <v>37</v>
      </c>
      <c r="K1855">
        <v>10090</v>
      </c>
      <c r="L1855" s="3" t="str">
        <f>HYPERLINK("http://www.uniprot.org/uniprot/Q3V4B5", "Q3V4B5")</f>
        <v>Q3V4B5</v>
      </c>
      <c r="M1855" t="s">
        <v>21512</v>
      </c>
      <c r="N1855" t="str">
        <f>"Commd6"</f>
        <v>Commd6</v>
      </c>
      <c r="O1855" s="3" t="str">
        <f>HYPERLINK("http://www.informatics.jax.org/marker/MGI:1913450", "MGI:1913450")</f>
        <v>MGI:1913450</v>
      </c>
      <c r="P1855" t="s">
        <v>21513</v>
      </c>
      <c r="Q1855" t="s">
        <v>2278</v>
      </c>
      <c r="R1855" t="s">
        <v>40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32</v>
      </c>
      <c r="Y1855" t="s">
        <v>78</v>
      </c>
      <c r="Z1855" t="s">
        <v>32</v>
      </c>
      <c r="AA1855" t="s">
        <v>21514</v>
      </c>
      <c r="AB1855" t="s">
        <v>110</v>
      </c>
      <c r="AC1855" t="s">
        <v>21515</v>
      </c>
      <c r="AD1855" t="s">
        <v>32</v>
      </c>
      <c r="AE1855" t="s">
        <v>14635</v>
      </c>
      <c r="AF1855" t="s">
        <v>46835</v>
      </c>
    </row>
    <row r="1856" spans="1:32" x14ac:dyDescent="0.2">
      <c r="A1856">
        <v>1851</v>
      </c>
      <c r="B1856" t="s">
        <v>21516</v>
      </c>
      <c r="C1856" t="s">
        <v>21517</v>
      </c>
      <c r="D1856" t="s">
        <v>21518</v>
      </c>
      <c r="E1856" t="s">
        <v>21519</v>
      </c>
      <c r="F1856" t="s">
        <v>21520</v>
      </c>
      <c r="G1856" t="s">
        <v>21521</v>
      </c>
      <c r="H1856" t="str">
        <f>"Rnaset2a"</f>
        <v>Rnaset2a</v>
      </c>
      <c r="I1856" t="s">
        <v>21522</v>
      </c>
      <c r="J1856" t="s">
        <v>37</v>
      </c>
      <c r="K1856">
        <v>10090</v>
      </c>
      <c r="L1856" s="3" t="str">
        <f>HYPERLINK("http://www.uniprot.org/uniprot/C0HKG5", "C0HKG5")</f>
        <v>C0HKG5</v>
      </c>
      <c r="M1856" t="s">
        <v>21523</v>
      </c>
      <c r="N1856" t="str">
        <f>"Rnaset2a"</f>
        <v>Rnaset2a</v>
      </c>
      <c r="O1856" s="3" t="str">
        <f>HYPERLINK("http://www.informatics.jax.org/marker/MGI:1915445", "MGI:1915445")</f>
        <v>MGI:1915445</v>
      </c>
      <c r="P1856" t="s">
        <v>21524</v>
      </c>
      <c r="Q1856" t="s">
        <v>5475</v>
      </c>
      <c r="R1856" t="s">
        <v>21525</v>
      </c>
      <c r="S1856" t="s">
        <v>32</v>
      </c>
      <c r="T1856" t="s">
        <v>32</v>
      </c>
      <c r="U1856" t="s">
        <v>32</v>
      </c>
      <c r="V1856" t="s">
        <v>811</v>
      </c>
      <c r="W1856" t="s">
        <v>32</v>
      </c>
      <c r="X1856" t="s">
        <v>21526</v>
      </c>
      <c r="Y1856" t="s">
        <v>5275</v>
      </c>
      <c r="Z1856" t="s">
        <v>32</v>
      </c>
      <c r="AA1856" t="s">
        <v>21527</v>
      </c>
      <c r="AB1856" t="s">
        <v>21528</v>
      </c>
      <c r="AC1856" t="s">
        <v>21529</v>
      </c>
      <c r="AD1856" t="s">
        <v>32</v>
      </c>
      <c r="AE1856" t="s">
        <v>548</v>
      </c>
      <c r="AF1856" t="s">
        <v>46835</v>
      </c>
    </row>
    <row r="1857" spans="1:33" x14ac:dyDescent="0.2">
      <c r="A1857">
        <v>1852</v>
      </c>
      <c r="B1857" t="s">
        <v>21530</v>
      </c>
      <c r="C1857" t="s">
        <v>21531</v>
      </c>
      <c r="D1857" t="s">
        <v>32</v>
      </c>
      <c r="E1857" t="s">
        <v>21532</v>
      </c>
      <c r="F1857" t="s">
        <v>21533</v>
      </c>
      <c r="G1857" t="s">
        <v>32</v>
      </c>
      <c r="H1857" t="str">
        <f>"Isoc2a"</f>
        <v>Isoc2a</v>
      </c>
      <c r="I1857" t="s">
        <v>32</v>
      </c>
      <c r="J1857" t="s">
        <v>37</v>
      </c>
      <c r="K1857">
        <v>10090</v>
      </c>
      <c r="L1857" s="3" t="str">
        <f>HYPERLINK("http://www.uniprot.org/uniprot/P85094", "P85094")</f>
        <v>P85094</v>
      </c>
      <c r="M1857" t="s">
        <v>21534</v>
      </c>
      <c r="N1857" t="str">
        <f>"Isoc2a"</f>
        <v>Isoc2a</v>
      </c>
      <c r="O1857" s="3" t="str">
        <f>HYPERLINK("http://www.informatics.jax.org/marker/MGI:3609243", "MGI:3609243")</f>
        <v>MGI:3609243</v>
      </c>
      <c r="P1857" t="s">
        <v>21535</v>
      </c>
      <c r="Q1857" t="s">
        <v>32</v>
      </c>
      <c r="R1857" t="s">
        <v>40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32</v>
      </c>
      <c r="Y1857" t="s">
        <v>78</v>
      </c>
      <c r="Z1857" t="s">
        <v>32</v>
      </c>
      <c r="AA1857" t="s">
        <v>21536</v>
      </c>
      <c r="AB1857" t="s">
        <v>12211</v>
      </c>
      <c r="AC1857" t="s">
        <v>32</v>
      </c>
      <c r="AD1857" t="s">
        <v>32</v>
      </c>
      <c r="AE1857" t="s">
        <v>32</v>
      </c>
      <c r="AF1857" t="s">
        <v>46835</v>
      </c>
    </row>
    <row r="1858" spans="1:33" x14ac:dyDescent="0.2">
      <c r="A1858">
        <v>1853</v>
      </c>
      <c r="B1858" t="s">
        <v>21537</v>
      </c>
      <c r="C1858" t="s">
        <v>21538</v>
      </c>
      <c r="D1858" t="s">
        <v>32</v>
      </c>
      <c r="E1858" t="s">
        <v>21539</v>
      </c>
      <c r="F1858" t="s">
        <v>21540</v>
      </c>
      <c r="G1858" t="s">
        <v>21541</v>
      </c>
      <c r="H1858" t="str">
        <f>"Htatsf1"</f>
        <v>Htatsf1</v>
      </c>
      <c r="I1858" t="s">
        <v>32</v>
      </c>
      <c r="J1858" t="s">
        <v>37</v>
      </c>
      <c r="K1858">
        <v>10090</v>
      </c>
      <c r="L1858" s="3" t="str">
        <f>HYPERLINK("http://www.uniprot.org/uniprot/Q8BGC0", "Q8BGC0")</f>
        <v>Q8BGC0</v>
      </c>
      <c r="M1858" t="s">
        <v>21542</v>
      </c>
      <c r="N1858" t="str">
        <f>"Htatsf1"</f>
        <v>Htatsf1</v>
      </c>
      <c r="O1858" s="3" t="str">
        <f>HYPERLINK("http://www.informatics.jax.org/marker/MGI:1919709", "MGI:1919709")</f>
        <v>MGI:1919709</v>
      </c>
      <c r="P1858" t="s">
        <v>21543</v>
      </c>
      <c r="Q1858" t="s">
        <v>4152</v>
      </c>
      <c r="R1858" t="s">
        <v>2279</v>
      </c>
      <c r="S1858" t="s">
        <v>41</v>
      </c>
      <c r="T1858" t="s">
        <v>32</v>
      </c>
      <c r="U1858" t="s">
        <v>32</v>
      </c>
      <c r="V1858" t="s">
        <v>55</v>
      </c>
      <c r="W1858" t="s">
        <v>32</v>
      </c>
      <c r="X1858" t="s">
        <v>4869</v>
      </c>
      <c r="Y1858" t="s">
        <v>516</v>
      </c>
      <c r="Z1858" t="s">
        <v>32</v>
      </c>
      <c r="AA1858" t="s">
        <v>8104</v>
      </c>
      <c r="AB1858" t="s">
        <v>21544</v>
      </c>
      <c r="AC1858" t="s">
        <v>4711</v>
      </c>
      <c r="AD1858" t="s">
        <v>32</v>
      </c>
      <c r="AE1858" t="s">
        <v>32</v>
      </c>
      <c r="AF1858" t="s">
        <v>46835</v>
      </c>
    </row>
    <row r="1859" spans="1:33" x14ac:dyDescent="0.2">
      <c r="A1859">
        <v>1854</v>
      </c>
      <c r="B1859" t="s">
        <v>21545</v>
      </c>
      <c r="C1859" t="s">
        <v>21546</v>
      </c>
      <c r="D1859" t="s">
        <v>21547</v>
      </c>
      <c r="E1859" t="s">
        <v>21548</v>
      </c>
      <c r="F1859" t="s">
        <v>21549</v>
      </c>
      <c r="G1859" t="s">
        <v>21550</v>
      </c>
      <c r="H1859" t="str">
        <f>"Ablim1"</f>
        <v>Ablim1</v>
      </c>
      <c r="I1859" t="s">
        <v>21551</v>
      </c>
      <c r="J1859" t="s">
        <v>37</v>
      </c>
      <c r="K1859">
        <v>10090</v>
      </c>
      <c r="L1859" s="3" t="str">
        <f>HYPERLINK("http://www.uniprot.org/uniprot/Q8K4G5", "Q8K4G5")</f>
        <v>Q8K4G5</v>
      </c>
      <c r="M1859" t="s">
        <v>21552</v>
      </c>
      <c r="N1859" t="str">
        <f>"Ablim1"</f>
        <v>Ablim1</v>
      </c>
      <c r="O1859" s="3" t="str">
        <f>HYPERLINK("http://www.informatics.jax.org/marker/MGI:1194500", "MGI:1194500")</f>
        <v>MGI:1194500</v>
      </c>
      <c r="P1859" t="s">
        <v>21553</v>
      </c>
      <c r="Q1859" t="s">
        <v>32</v>
      </c>
      <c r="R1859" t="s">
        <v>186</v>
      </c>
      <c r="S1859" t="s">
        <v>41</v>
      </c>
      <c r="T1859" t="s">
        <v>32</v>
      </c>
      <c r="U1859" t="s">
        <v>32</v>
      </c>
      <c r="V1859" t="s">
        <v>21554</v>
      </c>
      <c r="W1859" t="s">
        <v>42</v>
      </c>
      <c r="X1859" t="s">
        <v>405</v>
      </c>
      <c r="Y1859" t="s">
        <v>1007</v>
      </c>
      <c r="Z1859" t="s">
        <v>32</v>
      </c>
      <c r="AA1859" t="s">
        <v>21555</v>
      </c>
      <c r="AB1859" t="s">
        <v>21556</v>
      </c>
      <c r="AC1859" t="s">
        <v>21557</v>
      </c>
      <c r="AD1859" t="s">
        <v>32</v>
      </c>
      <c r="AE1859" t="s">
        <v>32</v>
      </c>
      <c r="AF1859" t="s">
        <v>46835</v>
      </c>
    </row>
    <row r="1860" spans="1:33" x14ac:dyDescent="0.2">
      <c r="A1860">
        <v>1855</v>
      </c>
      <c r="B1860" t="s">
        <v>21558</v>
      </c>
      <c r="C1860" t="s">
        <v>21559</v>
      </c>
      <c r="D1860" t="s">
        <v>21560</v>
      </c>
      <c r="E1860" t="s">
        <v>21561</v>
      </c>
      <c r="F1860" t="s">
        <v>21562</v>
      </c>
      <c r="G1860" t="s">
        <v>21563</v>
      </c>
      <c r="H1860" t="str">
        <f>"Mtmr7"</f>
        <v>Mtmr7</v>
      </c>
      <c r="I1860" t="s">
        <v>32</v>
      </c>
      <c r="J1860" t="s">
        <v>37</v>
      </c>
      <c r="K1860">
        <v>10090</v>
      </c>
      <c r="L1860" s="3" t="str">
        <f>HYPERLINK("http://www.uniprot.org/uniprot/Q9Z2C9", "Q9Z2C9")</f>
        <v>Q9Z2C9</v>
      </c>
      <c r="M1860" t="s">
        <v>21564</v>
      </c>
      <c r="N1860" t="str">
        <f>"Mtmr7"</f>
        <v>Mtmr7</v>
      </c>
      <c r="O1860" s="3" t="str">
        <f>HYPERLINK("http://www.informatics.jax.org/marker/MGI:1891693", "MGI:1891693")</f>
        <v>MGI:1891693</v>
      </c>
      <c r="P1860" t="s">
        <v>21565</v>
      </c>
      <c r="Q1860" t="s">
        <v>598</v>
      </c>
      <c r="R1860" t="s">
        <v>714</v>
      </c>
      <c r="S1860" t="s">
        <v>32</v>
      </c>
      <c r="T1860" t="s">
        <v>32</v>
      </c>
      <c r="U1860" t="s">
        <v>32</v>
      </c>
      <c r="V1860" t="s">
        <v>290</v>
      </c>
      <c r="W1860" t="s">
        <v>32</v>
      </c>
      <c r="X1860" t="s">
        <v>343</v>
      </c>
      <c r="Y1860" t="s">
        <v>618</v>
      </c>
      <c r="Z1860" t="s">
        <v>32</v>
      </c>
      <c r="AA1860" t="s">
        <v>21566</v>
      </c>
      <c r="AB1860" t="s">
        <v>21567</v>
      </c>
      <c r="AC1860" t="s">
        <v>21568</v>
      </c>
      <c r="AD1860" t="s">
        <v>32</v>
      </c>
      <c r="AE1860" t="s">
        <v>21569</v>
      </c>
      <c r="AF1860" t="s">
        <v>46835</v>
      </c>
    </row>
    <row r="1861" spans="1:33" x14ac:dyDescent="0.2">
      <c r="A1861">
        <v>1856</v>
      </c>
      <c r="B1861" t="s">
        <v>21570</v>
      </c>
      <c r="C1861" t="s">
        <v>21571</v>
      </c>
      <c r="D1861" t="s">
        <v>21572</v>
      </c>
      <c r="E1861" t="s">
        <v>21573</v>
      </c>
      <c r="F1861" t="s">
        <v>21574</v>
      </c>
      <c r="G1861" t="s">
        <v>21575</v>
      </c>
      <c r="H1861" t="str">
        <f>"Cd2ap"</f>
        <v>Cd2ap</v>
      </c>
      <c r="I1861" t="s">
        <v>21576</v>
      </c>
      <c r="J1861" t="s">
        <v>37</v>
      </c>
      <c r="K1861">
        <v>10090</v>
      </c>
      <c r="L1861" s="3" t="str">
        <f>HYPERLINK("http://www.uniprot.org/uniprot/Q9JLQ0", "Q9JLQ0")</f>
        <v>Q9JLQ0</v>
      </c>
      <c r="M1861" t="s">
        <v>21577</v>
      </c>
      <c r="N1861" t="str">
        <f>"Cd2ap"</f>
        <v>Cd2ap</v>
      </c>
      <c r="O1861" s="3" t="str">
        <f>HYPERLINK("http://www.informatics.jax.org/marker/MGI:1330281", "MGI:1330281")</f>
        <v>MGI:1330281</v>
      </c>
      <c r="P1861" t="s">
        <v>21578</v>
      </c>
      <c r="Q1861" t="s">
        <v>2968</v>
      </c>
      <c r="R1861" t="s">
        <v>2231</v>
      </c>
      <c r="S1861" t="s">
        <v>32</v>
      </c>
      <c r="T1861" t="s">
        <v>32</v>
      </c>
      <c r="U1861" t="s">
        <v>32</v>
      </c>
      <c r="V1861" t="s">
        <v>21579</v>
      </c>
      <c r="W1861" t="s">
        <v>32</v>
      </c>
      <c r="X1861" t="s">
        <v>32</v>
      </c>
      <c r="Y1861" t="s">
        <v>1007</v>
      </c>
      <c r="Z1861" t="s">
        <v>126</v>
      </c>
      <c r="AA1861" t="s">
        <v>21580</v>
      </c>
      <c r="AB1861" t="s">
        <v>21581</v>
      </c>
      <c r="AC1861" t="s">
        <v>21582</v>
      </c>
      <c r="AD1861" t="s">
        <v>32</v>
      </c>
      <c r="AE1861" t="s">
        <v>32</v>
      </c>
      <c r="AF1861" t="s">
        <v>46835</v>
      </c>
    </row>
    <row r="1862" spans="1:33" x14ac:dyDescent="0.2">
      <c r="A1862">
        <v>1857</v>
      </c>
      <c r="B1862" t="s">
        <v>21583</v>
      </c>
      <c r="C1862" t="s">
        <v>21584</v>
      </c>
      <c r="D1862" t="s">
        <v>21585</v>
      </c>
      <c r="E1862" t="s">
        <v>21586</v>
      </c>
      <c r="F1862" t="s">
        <v>21587</v>
      </c>
      <c r="G1862" t="s">
        <v>21588</v>
      </c>
      <c r="H1862" t="str">
        <f>"Dtd2"</f>
        <v>Dtd2</v>
      </c>
      <c r="I1862" t="s">
        <v>32</v>
      </c>
      <c r="J1862" t="s">
        <v>37</v>
      </c>
      <c r="K1862">
        <v>10090</v>
      </c>
      <c r="L1862" s="3" t="str">
        <f>HYPERLINK("http://www.uniprot.org/uniprot/Q8BHA3", "Q8BHA3")</f>
        <v>Q8BHA3</v>
      </c>
      <c r="M1862" t="s">
        <v>21589</v>
      </c>
      <c r="N1862" t="str">
        <f>"Dtd2"</f>
        <v>Dtd2</v>
      </c>
      <c r="O1862" s="3" t="str">
        <f>HYPERLINK("http://www.informatics.jax.org/marker/MGI:1923485", "MGI:1923485")</f>
        <v>MGI:1923485</v>
      </c>
      <c r="P1862" t="s">
        <v>21590</v>
      </c>
      <c r="Q1862" t="s">
        <v>32</v>
      </c>
      <c r="R1862" t="s">
        <v>418</v>
      </c>
      <c r="S1862" t="s">
        <v>41</v>
      </c>
      <c r="T1862" t="s">
        <v>32</v>
      </c>
      <c r="U1862" t="s">
        <v>32</v>
      </c>
      <c r="V1862" t="s">
        <v>32</v>
      </c>
      <c r="W1862" t="s">
        <v>32</v>
      </c>
      <c r="X1862" t="s">
        <v>21591</v>
      </c>
      <c r="Y1862" t="s">
        <v>32</v>
      </c>
      <c r="Z1862" t="s">
        <v>126</v>
      </c>
      <c r="AA1862" t="s">
        <v>21592</v>
      </c>
      <c r="AB1862" t="s">
        <v>2172</v>
      </c>
      <c r="AC1862" t="s">
        <v>21593</v>
      </c>
      <c r="AD1862" t="s">
        <v>32</v>
      </c>
      <c r="AE1862" t="s">
        <v>32</v>
      </c>
      <c r="AF1862" t="s">
        <v>46835</v>
      </c>
    </row>
    <row r="1863" spans="1:33" x14ac:dyDescent="0.2">
      <c r="A1863">
        <v>1858</v>
      </c>
      <c r="B1863" t="s">
        <v>21594</v>
      </c>
      <c r="C1863" t="s">
        <v>21595</v>
      </c>
      <c r="D1863" t="s">
        <v>21596</v>
      </c>
      <c r="E1863" t="s">
        <v>21597</v>
      </c>
      <c r="F1863" t="s">
        <v>21598</v>
      </c>
      <c r="G1863" t="s">
        <v>21599</v>
      </c>
      <c r="H1863" t="str">
        <f>"Nemf"</f>
        <v>Nemf</v>
      </c>
      <c r="I1863" t="s">
        <v>21600</v>
      </c>
      <c r="J1863" t="s">
        <v>37</v>
      </c>
      <c r="K1863">
        <v>10090</v>
      </c>
      <c r="L1863" s="3" t="str">
        <f>HYPERLINK("http://www.uniprot.org/uniprot/Q8CCP0", "Q8CCP0")</f>
        <v>Q8CCP0</v>
      </c>
      <c r="M1863" t="s">
        <v>21601</v>
      </c>
      <c r="N1863" t="str">
        <f>"Nemf"</f>
        <v>Nemf</v>
      </c>
      <c r="O1863" s="3" t="str">
        <f>HYPERLINK("http://www.informatics.jax.org/marker/MGI:1918305", "MGI:1918305")</f>
        <v>MGI:1918305</v>
      </c>
      <c r="P1863" t="s">
        <v>21602</v>
      </c>
      <c r="Q1863" t="s">
        <v>32</v>
      </c>
      <c r="R1863" t="s">
        <v>2279</v>
      </c>
      <c r="S1863" t="s">
        <v>41</v>
      </c>
      <c r="T1863" t="s">
        <v>32</v>
      </c>
      <c r="U1863" t="s">
        <v>32</v>
      </c>
      <c r="V1863" t="s">
        <v>290</v>
      </c>
      <c r="W1863" t="s">
        <v>32</v>
      </c>
      <c r="X1863" t="s">
        <v>32</v>
      </c>
      <c r="Y1863" t="s">
        <v>618</v>
      </c>
      <c r="Z1863" t="s">
        <v>32</v>
      </c>
      <c r="AA1863" t="s">
        <v>21603</v>
      </c>
      <c r="AB1863" t="s">
        <v>21604</v>
      </c>
      <c r="AC1863" t="s">
        <v>21605</v>
      </c>
      <c r="AD1863" t="s">
        <v>32</v>
      </c>
      <c r="AE1863" t="s">
        <v>32</v>
      </c>
      <c r="AF1863" t="s">
        <v>46835</v>
      </c>
    </row>
    <row r="1864" spans="1:33" x14ac:dyDescent="0.2">
      <c r="A1864">
        <v>1859</v>
      </c>
      <c r="B1864" t="s">
        <v>21606</v>
      </c>
      <c r="C1864" t="s">
        <v>21607</v>
      </c>
      <c r="D1864" t="s">
        <v>21608</v>
      </c>
      <c r="E1864" t="s">
        <v>21609</v>
      </c>
      <c r="F1864" t="s">
        <v>21610</v>
      </c>
      <c r="G1864" t="s">
        <v>21611</v>
      </c>
      <c r="H1864" t="str">
        <f>"Guk1"</f>
        <v>Guk1</v>
      </c>
      <c r="I1864" t="s">
        <v>32</v>
      </c>
      <c r="J1864" t="s">
        <v>37</v>
      </c>
      <c r="K1864">
        <v>10090</v>
      </c>
      <c r="L1864" s="3" t="str">
        <f>HYPERLINK("http://www.uniprot.org/uniprot/Q64520", "Q64520")</f>
        <v>Q64520</v>
      </c>
      <c r="M1864" t="s">
        <v>21612</v>
      </c>
      <c r="N1864" t="str">
        <f>"Guk1"</f>
        <v>Guk1</v>
      </c>
      <c r="O1864" s="3" t="str">
        <f>HYPERLINK("http://www.informatics.jax.org/marker/MGI:95871", "MGI:95871")</f>
        <v>MGI:95871</v>
      </c>
      <c r="P1864" t="s">
        <v>21613</v>
      </c>
      <c r="Q1864" t="s">
        <v>32</v>
      </c>
      <c r="R1864" t="s">
        <v>418</v>
      </c>
      <c r="S1864" t="s">
        <v>41</v>
      </c>
      <c r="T1864" t="s">
        <v>32</v>
      </c>
      <c r="U1864" t="s">
        <v>32</v>
      </c>
      <c r="V1864" t="s">
        <v>32</v>
      </c>
      <c r="W1864" t="s">
        <v>205</v>
      </c>
      <c r="X1864" t="s">
        <v>419</v>
      </c>
      <c r="Y1864" t="s">
        <v>32</v>
      </c>
      <c r="Z1864" t="s">
        <v>126</v>
      </c>
      <c r="AA1864" t="s">
        <v>21614</v>
      </c>
      <c r="AB1864" t="s">
        <v>21615</v>
      </c>
      <c r="AC1864" t="s">
        <v>21616</v>
      </c>
      <c r="AD1864" t="s">
        <v>32</v>
      </c>
      <c r="AE1864" t="s">
        <v>5503</v>
      </c>
      <c r="AF1864" t="s">
        <v>46835</v>
      </c>
    </row>
    <row r="1865" spans="1:33" x14ac:dyDescent="0.2">
      <c r="A1865">
        <v>1860</v>
      </c>
      <c r="B1865" t="s">
        <v>21617</v>
      </c>
      <c r="C1865" t="s">
        <v>21618</v>
      </c>
      <c r="D1865" t="s">
        <v>21619</v>
      </c>
      <c r="E1865" t="s">
        <v>21620</v>
      </c>
      <c r="F1865" t="s">
        <v>21621</v>
      </c>
      <c r="G1865" t="s">
        <v>32</v>
      </c>
      <c r="H1865" t="str">
        <f>"Prpf4"</f>
        <v>Prpf4</v>
      </c>
      <c r="I1865" t="s">
        <v>32</v>
      </c>
      <c r="J1865" t="s">
        <v>37</v>
      </c>
      <c r="K1865">
        <v>10090</v>
      </c>
      <c r="L1865" s="3" t="str">
        <f>HYPERLINK("http://www.uniprot.org/uniprot/Q9DAW6", "Q9DAW6")</f>
        <v>Q9DAW6</v>
      </c>
      <c r="M1865" t="s">
        <v>21622</v>
      </c>
      <c r="N1865" t="str">
        <f>"Prpf4"</f>
        <v>Prpf4</v>
      </c>
      <c r="O1865" s="3" t="str">
        <f>HYPERLINK("http://www.informatics.jax.org/marker/MGI:1917302", "MGI:1917302")</f>
        <v>MGI:1917302</v>
      </c>
      <c r="P1865" t="s">
        <v>21623</v>
      </c>
      <c r="Q1865" t="s">
        <v>2139</v>
      </c>
      <c r="R1865" t="s">
        <v>2140</v>
      </c>
      <c r="S1865" t="s">
        <v>32</v>
      </c>
      <c r="T1865" t="s">
        <v>32</v>
      </c>
      <c r="U1865" t="s">
        <v>32</v>
      </c>
      <c r="V1865" t="s">
        <v>1910</v>
      </c>
      <c r="W1865" t="s">
        <v>32</v>
      </c>
      <c r="X1865" t="s">
        <v>32</v>
      </c>
      <c r="Y1865" t="s">
        <v>78</v>
      </c>
      <c r="Z1865" t="s">
        <v>32</v>
      </c>
      <c r="AA1865" t="s">
        <v>8104</v>
      </c>
      <c r="AB1865" t="s">
        <v>21624</v>
      </c>
      <c r="AC1865" t="s">
        <v>21625</v>
      </c>
      <c r="AD1865" t="s">
        <v>32</v>
      </c>
      <c r="AE1865" t="s">
        <v>946</v>
      </c>
      <c r="AF1865" t="s">
        <v>46835</v>
      </c>
    </row>
    <row r="1866" spans="1:33" x14ac:dyDescent="0.2">
      <c r="A1866">
        <v>1861</v>
      </c>
      <c r="B1866" t="s">
        <v>21626</v>
      </c>
      <c r="C1866" t="s">
        <v>21627</v>
      </c>
      <c r="D1866" t="s">
        <v>21628</v>
      </c>
      <c r="E1866" t="s">
        <v>21629</v>
      </c>
      <c r="F1866" t="s">
        <v>21630</v>
      </c>
      <c r="G1866" t="s">
        <v>21631</v>
      </c>
      <c r="H1866" t="str">
        <f>"Smarce1"</f>
        <v>Smarce1</v>
      </c>
      <c r="I1866" t="s">
        <v>21632</v>
      </c>
      <c r="J1866" t="s">
        <v>37</v>
      </c>
      <c r="K1866">
        <v>10090</v>
      </c>
      <c r="L1866" s="3" t="str">
        <f>HYPERLINK("http://www.uniprot.org/uniprot/O54941", "O54941")</f>
        <v>O54941</v>
      </c>
      <c r="M1866" t="s">
        <v>21633</v>
      </c>
      <c r="N1866" t="str">
        <f>"Smarce1"</f>
        <v>Smarce1</v>
      </c>
      <c r="O1866" s="3" t="str">
        <f>HYPERLINK("http://www.informatics.jax.org/marker/MGI:1927347", "MGI:1927347")</f>
        <v>MGI:1927347</v>
      </c>
      <c r="P1866" t="s">
        <v>21634</v>
      </c>
      <c r="Q1866" t="s">
        <v>1429</v>
      </c>
      <c r="R1866" t="s">
        <v>2279</v>
      </c>
      <c r="S1866" t="s">
        <v>32</v>
      </c>
      <c r="T1866" t="s">
        <v>32</v>
      </c>
      <c r="U1866" t="s">
        <v>32</v>
      </c>
      <c r="V1866" t="s">
        <v>290</v>
      </c>
      <c r="W1866" t="s">
        <v>32</v>
      </c>
      <c r="X1866" t="s">
        <v>5712</v>
      </c>
      <c r="Y1866" t="s">
        <v>2192</v>
      </c>
      <c r="Z1866" t="s">
        <v>32</v>
      </c>
      <c r="AA1866" t="s">
        <v>21635</v>
      </c>
      <c r="AB1866" t="s">
        <v>21636</v>
      </c>
      <c r="AC1866" t="s">
        <v>21637</v>
      </c>
      <c r="AD1866" t="s">
        <v>32</v>
      </c>
      <c r="AE1866" t="s">
        <v>9992</v>
      </c>
      <c r="AF1866" t="s">
        <v>46835</v>
      </c>
    </row>
    <row r="1867" spans="1:33" x14ac:dyDescent="0.2">
      <c r="A1867">
        <v>1862</v>
      </c>
      <c r="B1867" t="s">
        <v>21638</v>
      </c>
      <c r="C1867" t="s">
        <v>21639</v>
      </c>
      <c r="D1867" t="s">
        <v>21640</v>
      </c>
      <c r="E1867" t="s">
        <v>21641</v>
      </c>
      <c r="F1867" t="s">
        <v>21642</v>
      </c>
      <c r="G1867" t="s">
        <v>21643</v>
      </c>
      <c r="H1867" t="str">
        <f>"Lamp1"</f>
        <v>Lamp1</v>
      </c>
      <c r="I1867" t="s">
        <v>21644</v>
      </c>
      <c r="J1867" t="s">
        <v>37</v>
      </c>
      <c r="K1867">
        <v>10090</v>
      </c>
      <c r="L1867" s="3" t="str">
        <f>HYPERLINK("http://www.uniprot.org/uniprot/P11438", "P11438")</f>
        <v>P11438</v>
      </c>
      <c r="M1867" t="s">
        <v>21645</v>
      </c>
      <c r="N1867" t="str">
        <f>"Lamp1"</f>
        <v>Lamp1</v>
      </c>
      <c r="O1867" s="3" t="str">
        <f>HYPERLINK("http://www.informatics.jax.org/marker/MGI:96745", "MGI:96745")</f>
        <v>MGI:96745</v>
      </c>
      <c r="P1867" t="s">
        <v>21646</v>
      </c>
      <c r="Q1867" t="s">
        <v>32</v>
      </c>
      <c r="R1867" t="s">
        <v>21647</v>
      </c>
      <c r="S1867" t="s">
        <v>32</v>
      </c>
      <c r="T1867" t="s">
        <v>32</v>
      </c>
      <c r="U1867" t="s">
        <v>32</v>
      </c>
      <c r="V1867" t="s">
        <v>3948</v>
      </c>
      <c r="W1867" t="s">
        <v>32</v>
      </c>
      <c r="X1867" t="s">
        <v>32</v>
      </c>
      <c r="Y1867" t="s">
        <v>5275</v>
      </c>
      <c r="Z1867" t="s">
        <v>126</v>
      </c>
      <c r="AA1867" t="s">
        <v>21648</v>
      </c>
      <c r="AB1867" t="s">
        <v>21649</v>
      </c>
      <c r="AC1867" t="s">
        <v>19318</v>
      </c>
      <c r="AD1867" t="s">
        <v>32</v>
      </c>
      <c r="AE1867" t="s">
        <v>548</v>
      </c>
      <c r="AF1867" t="s">
        <v>46835</v>
      </c>
    </row>
    <row r="1868" spans="1:33" x14ac:dyDescent="0.2">
      <c r="A1868">
        <v>1863</v>
      </c>
      <c r="B1868" t="s">
        <v>21650</v>
      </c>
      <c r="C1868" t="s">
        <v>21651</v>
      </c>
      <c r="D1868" t="s">
        <v>21652</v>
      </c>
      <c r="E1868" t="s">
        <v>21653</v>
      </c>
      <c r="F1868" t="s">
        <v>21654</v>
      </c>
      <c r="G1868" t="s">
        <v>21655</v>
      </c>
      <c r="H1868" t="str">
        <f>"Ncln"</f>
        <v>Ncln</v>
      </c>
      <c r="I1868" t="s">
        <v>32</v>
      </c>
      <c r="J1868" t="s">
        <v>37</v>
      </c>
      <c r="K1868">
        <v>10090</v>
      </c>
      <c r="L1868" s="3" t="str">
        <f>HYPERLINK("http://www.uniprot.org/uniprot/Q8VCM8", "Q8VCM8")</f>
        <v>Q8VCM8</v>
      </c>
      <c r="M1868" t="s">
        <v>21656</v>
      </c>
      <c r="N1868" t="str">
        <f>"Ncln"</f>
        <v>Ncln</v>
      </c>
      <c r="O1868" s="3" t="str">
        <f>HYPERLINK("http://www.informatics.jax.org/marker/MGI:1926081", "MGI:1926081")</f>
        <v>MGI:1926081</v>
      </c>
      <c r="P1868" t="s">
        <v>21657</v>
      </c>
      <c r="Q1868" t="s">
        <v>32</v>
      </c>
      <c r="R1868" t="s">
        <v>1664</v>
      </c>
      <c r="S1868" t="s">
        <v>32</v>
      </c>
      <c r="T1868" t="s">
        <v>32</v>
      </c>
      <c r="U1868" t="s">
        <v>32</v>
      </c>
      <c r="V1868" t="s">
        <v>3948</v>
      </c>
      <c r="W1868" t="s">
        <v>32</v>
      </c>
      <c r="X1868" t="s">
        <v>32</v>
      </c>
      <c r="Y1868" t="s">
        <v>3733</v>
      </c>
      <c r="Z1868" t="s">
        <v>32</v>
      </c>
      <c r="AA1868" t="s">
        <v>21658</v>
      </c>
      <c r="AB1868" t="s">
        <v>15640</v>
      </c>
      <c r="AC1868" t="s">
        <v>6949</v>
      </c>
      <c r="AD1868" t="s">
        <v>32</v>
      </c>
      <c r="AE1868" t="s">
        <v>32</v>
      </c>
      <c r="AF1868" t="s">
        <v>46835</v>
      </c>
    </row>
    <row r="1869" spans="1:33" x14ac:dyDescent="0.2">
      <c r="A1869">
        <v>1864</v>
      </c>
      <c r="B1869" t="s">
        <v>21659</v>
      </c>
      <c r="C1869" t="s">
        <v>21660</v>
      </c>
      <c r="D1869" t="s">
        <v>21661</v>
      </c>
      <c r="E1869" t="s">
        <v>21662</v>
      </c>
      <c r="F1869" t="s">
        <v>21663</v>
      </c>
      <c r="G1869" t="s">
        <v>21664</v>
      </c>
      <c r="H1869" t="str">
        <f>"Nxf1"</f>
        <v>Nxf1</v>
      </c>
      <c r="I1869" t="s">
        <v>21665</v>
      </c>
      <c r="J1869" t="s">
        <v>37</v>
      </c>
      <c r="K1869">
        <v>10090</v>
      </c>
      <c r="L1869" s="3" t="str">
        <f>HYPERLINK("http://www.uniprot.org/uniprot/Q99JX7", "Q99JX7")</f>
        <v>Q99JX7</v>
      </c>
      <c r="M1869" t="s">
        <v>21666</v>
      </c>
      <c r="N1869" t="str">
        <f>"Nxf1"</f>
        <v>Nxf1</v>
      </c>
      <c r="O1869" s="3" t="str">
        <f>HYPERLINK("http://www.informatics.jax.org/marker/MGI:1858330", "MGI:1858330")</f>
        <v>MGI:1858330</v>
      </c>
      <c r="P1869" t="s">
        <v>21667</v>
      </c>
      <c r="Q1869" t="s">
        <v>6423</v>
      </c>
      <c r="R1869" t="s">
        <v>21668</v>
      </c>
      <c r="S1869" t="s">
        <v>32</v>
      </c>
      <c r="T1869" t="s">
        <v>32</v>
      </c>
      <c r="U1869" t="s">
        <v>32</v>
      </c>
      <c r="V1869" t="s">
        <v>2701</v>
      </c>
      <c r="W1869" t="s">
        <v>32</v>
      </c>
      <c r="X1869" t="s">
        <v>1282</v>
      </c>
      <c r="Y1869" t="s">
        <v>21669</v>
      </c>
      <c r="Z1869" t="s">
        <v>32</v>
      </c>
      <c r="AA1869" t="s">
        <v>21670</v>
      </c>
      <c r="AB1869" t="s">
        <v>21671</v>
      </c>
      <c r="AC1869" t="s">
        <v>18770</v>
      </c>
      <c r="AD1869" t="s">
        <v>32</v>
      </c>
      <c r="AE1869" t="s">
        <v>21672</v>
      </c>
      <c r="AF1869" t="s">
        <v>46835</v>
      </c>
    </row>
    <row r="1870" spans="1:33" x14ac:dyDescent="0.2">
      <c r="A1870">
        <v>1865</v>
      </c>
      <c r="B1870" t="s">
        <v>21673</v>
      </c>
      <c r="C1870" t="s">
        <v>47157</v>
      </c>
      <c r="D1870" t="s">
        <v>32</v>
      </c>
      <c r="E1870" t="s">
        <v>46934</v>
      </c>
      <c r="F1870" t="s">
        <v>46933</v>
      </c>
      <c r="G1870" t="s">
        <v>32</v>
      </c>
      <c r="H1870" t="s">
        <v>47288</v>
      </c>
      <c r="I1870" t="s">
        <v>32</v>
      </c>
      <c r="J1870" t="s">
        <v>37</v>
      </c>
      <c r="K1870">
        <v>10090</v>
      </c>
      <c r="L1870" s="3" t="str">
        <f>HYPERLINK(CONCATENATE("https://www.uniprot.org/uniprotkb/", AG1870, "/entry"), AG1870)</f>
        <v>Q3ULL6</v>
      </c>
      <c r="M1870" t="s">
        <v>32</v>
      </c>
      <c r="N1870" t="s">
        <v>32</v>
      </c>
      <c r="O1870" s="3" t="s">
        <v>32</v>
      </c>
      <c r="P1870" t="s">
        <v>32</v>
      </c>
      <c r="Q1870" t="s">
        <v>32</v>
      </c>
      <c r="R1870" t="s">
        <v>32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32</v>
      </c>
      <c r="Y1870" t="s">
        <v>32</v>
      </c>
      <c r="Z1870" t="s">
        <v>32</v>
      </c>
      <c r="AA1870" t="s">
        <v>32</v>
      </c>
      <c r="AB1870" t="s">
        <v>32</v>
      </c>
      <c r="AC1870" t="s">
        <v>32</v>
      </c>
      <c r="AD1870" t="s">
        <v>32</v>
      </c>
      <c r="AE1870" t="s">
        <v>32</v>
      </c>
      <c r="AF1870" t="s">
        <v>46835</v>
      </c>
      <c r="AG1870" t="s">
        <v>46933</v>
      </c>
    </row>
    <row r="1871" spans="1:33" x14ac:dyDescent="0.2">
      <c r="A1871">
        <v>1866</v>
      </c>
      <c r="B1871" t="s">
        <v>21674</v>
      </c>
      <c r="C1871" t="s">
        <v>21675</v>
      </c>
      <c r="D1871" t="s">
        <v>21676</v>
      </c>
      <c r="E1871" t="s">
        <v>21677</v>
      </c>
      <c r="F1871" t="s">
        <v>21678</v>
      </c>
      <c r="G1871" t="s">
        <v>21679</v>
      </c>
      <c r="H1871" t="str">
        <f>"Rock1"</f>
        <v>Rock1</v>
      </c>
      <c r="I1871" t="s">
        <v>32</v>
      </c>
      <c r="J1871" t="s">
        <v>37</v>
      </c>
      <c r="K1871">
        <v>10090</v>
      </c>
      <c r="L1871" s="3" t="str">
        <f>HYPERLINK("http://www.uniprot.org/uniprot/P70335", "P70335")</f>
        <v>P70335</v>
      </c>
      <c r="M1871" t="s">
        <v>21680</v>
      </c>
      <c r="N1871" t="str">
        <f>"Rock1"</f>
        <v>Rock1</v>
      </c>
      <c r="O1871" s="3" t="str">
        <f>HYPERLINK("http://www.informatics.jax.org/marker/MGI:107927", "MGI:107927")</f>
        <v>MGI:107927</v>
      </c>
      <c r="P1871" t="s">
        <v>21681</v>
      </c>
      <c r="Q1871" t="s">
        <v>541</v>
      </c>
      <c r="R1871" t="s">
        <v>21682</v>
      </c>
      <c r="S1871" t="s">
        <v>41</v>
      </c>
      <c r="T1871" t="s">
        <v>32</v>
      </c>
      <c r="U1871" t="s">
        <v>32</v>
      </c>
      <c r="V1871" t="s">
        <v>11171</v>
      </c>
      <c r="W1871" t="s">
        <v>17726</v>
      </c>
      <c r="X1871" t="s">
        <v>5419</v>
      </c>
      <c r="Y1871" t="s">
        <v>157</v>
      </c>
      <c r="Z1871" t="s">
        <v>32</v>
      </c>
      <c r="AA1871" t="s">
        <v>21683</v>
      </c>
      <c r="AB1871" t="s">
        <v>21684</v>
      </c>
      <c r="AC1871" t="s">
        <v>21685</v>
      </c>
      <c r="AD1871" t="s">
        <v>32</v>
      </c>
      <c r="AE1871" t="s">
        <v>21686</v>
      </c>
      <c r="AF1871" t="s">
        <v>46835</v>
      </c>
    </row>
    <row r="1872" spans="1:33" x14ac:dyDescent="0.2">
      <c r="A1872">
        <v>1867</v>
      </c>
      <c r="B1872" t="s">
        <v>21687</v>
      </c>
      <c r="C1872" t="s">
        <v>21688</v>
      </c>
      <c r="D1872" t="s">
        <v>32</v>
      </c>
      <c r="E1872" t="s">
        <v>21689</v>
      </c>
      <c r="F1872" t="s">
        <v>21690</v>
      </c>
      <c r="G1872" t="s">
        <v>21691</v>
      </c>
      <c r="H1872" t="str">
        <f>"Srp9"</f>
        <v>Srp9</v>
      </c>
      <c r="I1872" t="s">
        <v>32</v>
      </c>
      <c r="J1872" t="s">
        <v>37</v>
      </c>
      <c r="K1872">
        <v>10090</v>
      </c>
      <c r="L1872" s="3" t="str">
        <f>HYPERLINK("http://www.uniprot.org/uniprot/P49962", "P49962")</f>
        <v>P49962</v>
      </c>
      <c r="M1872" t="s">
        <v>21692</v>
      </c>
      <c r="N1872" t="str">
        <f>"Srp9"</f>
        <v>Srp9</v>
      </c>
      <c r="O1872" s="3" t="str">
        <f>HYPERLINK("http://www.informatics.jax.org/marker/MGI:1350930", "MGI:1350930")</f>
        <v>MGI:1350930</v>
      </c>
      <c r="P1872" t="s">
        <v>21693</v>
      </c>
      <c r="Q1872" t="s">
        <v>32</v>
      </c>
      <c r="R1872" t="s">
        <v>21694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1129</v>
      </c>
      <c r="Y1872" t="s">
        <v>32</v>
      </c>
      <c r="Z1872" t="s">
        <v>126</v>
      </c>
      <c r="AA1872" t="s">
        <v>21695</v>
      </c>
      <c r="AB1872" t="s">
        <v>21696</v>
      </c>
      <c r="AC1872" t="s">
        <v>21697</v>
      </c>
      <c r="AD1872" t="s">
        <v>32</v>
      </c>
      <c r="AE1872" t="s">
        <v>8789</v>
      </c>
      <c r="AF1872" t="s">
        <v>46835</v>
      </c>
    </row>
    <row r="1873" spans="1:33" x14ac:dyDescent="0.2">
      <c r="A1873">
        <v>1868</v>
      </c>
      <c r="B1873" t="s">
        <v>21698</v>
      </c>
      <c r="C1873" t="s">
        <v>21699</v>
      </c>
      <c r="D1873" t="s">
        <v>32</v>
      </c>
      <c r="E1873" t="s">
        <v>21700</v>
      </c>
      <c r="F1873" t="s">
        <v>21701</v>
      </c>
      <c r="G1873" t="s">
        <v>21702</v>
      </c>
      <c r="H1873" t="str">
        <f>"Cpsf7"</f>
        <v>Cpsf7</v>
      </c>
      <c r="I1873" t="s">
        <v>32</v>
      </c>
      <c r="J1873" t="s">
        <v>37</v>
      </c>
      <c r="K1873">
        <v>10090</v>
      </c>
      <c r="L1873" s="3" t="str">
        <f>HYPERLINK("http://www.uniprot.org/uniprot/Q8BTV2", "Q8BTV2")</f>
        <v>Q8BTV2</v>
      </c>
      <c r="M1873" t="s">
        <v>21703</v>
      </c>
      <c r="N1873" t="str">
        <f>"Cpsf7"</f>
        <v>Cpsf7</v>
      </c>
      <c r="O1873" s="3" t="str">
        <f>HYPERLINK("http://www.informatics.jax.org/marker/MGI:1917826", "MGI:1917826")</f>
        <v>MGI:1917826</v>
      </c>
      <c r="P1873" t="s">
        <v>21704</v>
      </c>
      <c r="Q1873" t="s">
        <v>16601</v>
      </c>
      <c r="R1873" t="s">
        <v>40</v>
      </c>
      <c r="S1873" t="s">
        <v>41</v>
      </c>
      <c r="T1873" t="s">
        <v>32</v>
      </c>
      <c r="U1873" t="s">
        <v>32</v>
      </c>
      <c r="V1873" t="s">
        <v>32</v>
      </c>
      <c r="W1873" t="s">
        <v>32</v>
      </c>
      <c r="X1873" t="s">
        <v>1282</v>
      </c>
      <c r="Y1873" t="s">
        <v>1007</v>
      </c>
      <c r="Z1873" t="s">
        <v>32</v>
      </c>
      <c r="AA1873" t="s">
        <v>21705</v>
      </c>
      <c r="AB1873" t="s">
        <v>21706</v>
      </c>
      <c r="AC1873" t="s">
        <v>4168</v>
      </c>
      <c r="AD1873" t="s">
        <v>32</v>
      </c>
      <c r="AE1873" t="s">
        <v>21707</v>
      </c>
      <c r="AF1873" t="s">
        <v>46835</v>
      </c>
    </row>
    <row r="1874" spans="1:33" x14ac:dyDescent="0.2">
      <c r="A1874">
        <v>1869</v>
      </c>
      <c r="B1874" t="s">
        <v>21708</v>
      </c>
      <c r="C1874" t="s">
        <v>21709</v>
      </c>
      <c r="D1874" t="s">
        <v>21710</v>
      </c>
      <c r="E1874" t="s">
        <v>21711</v>
      </c>
      <c r="F1874" t="s">
        <v>21712</v>
      </c>
      <c r="G1874" t="s">
        <v>21713</v>
      </c>
      <c r="H1874" t="str">
        <f>"Smarca1"</f>
        <v>Smarca1</v>
      </c>
      <c r="I1874" t="s">
        <v>21714</v>
      </c>
      <c r="J1874" t="s">
        <v>37</v>
      </c>
      <c r="K1874">
        <v>10090</v>
      </c>
      <c r="L1874" s="3" t="str">
        <f>HYPERLINK("http://www.uniprot.org/uniprot/Q6PGB8", "Q6PGB8")</f>
        <v>Q6PGB8</v>
      </c>
      <c r="M1874" t="s">
        <v>21715</v>
      </c>
      <c r="N1874" t="str">
        <f>"Smarca1"</f>
        <v>Smarca1</v>
      </c>
      <c r="O1874" s="3" t="str">
        <f>HYPERLINK("http://www.informatics.jax.org/marker/MGI:1935127", "MGI:1935127")</f>
        <v>MGI:1935127</v>
      </c>
      <c r="P1874" t="s">
        <v>21716</v>
      </c>
      <c r="Q1874" t="s">
        <v>4152</v>
      </c>
      <c r="R1874" t="s">
        <v>2279</v>
      </c>
      <c r="S1874" t="s">
        <v>41</v>
      </c>
      <c r="T1874" t="s">
        <v>32</v>
      </c>
      <c r="U1874" t="s">
        <v>32</v>
      </c>
      <c r="V1874" t="s">
        <v>137</v>
      </c>
      <c r="W1874" t="s">
        <v>205</v>
      </c>
      <c r="X1874" t="s">
        <v>21717</v>
      </c>
      <c r="Y1874" t="s">
        <v>1007</v>
      </c>
      <c r="Z1874" t="s">
        <v>32</v>
      </c>
      <c r="AA1874" t="s">
        <v>21718</v>
      </c>
      <c r="AB1874" t="s">
        <v>21719</v>
      </c>
      <c r="AC1874" t="s">
        <v>21720</v>
      </c>
      <c r="AD1874" t="s">
        <v>32</v>
      </c>
      <c r="AE1874" t="s">
        <v>32</v>
      </c>
      <c r="AF1874" t="s">
        <v>46835</v>
      </c>
    </row>
    <row r="1875" spans="1:33" x14ac:dyDescent="0.2">
      <c r="A1875">
        <v>1870</v>
      </c>
      <c r="B1875" t="s">
        <v>21721</v>
      </c>
      <c r="C1875" t="s">
        <v>21722</v>
      </c>
      <c r="D1875" t="s">
        <v>21723</v>
      </c>
      <c r="E1875" t="s">
        <v>21724</v>
      </c>
      <c r="F1875" t="s">
        <v>21725</v>
      </c>
      <c r="G1875" t="s">
        <v>21726</v>
      </c>
      <c r="H1875" t="str">
        <f>"Atg12"</f>
        <v>Atg12</v>
      </c>
      <c r="I1875" t="s">
        <v>21727</v>
      </c>
      <c r="J1875" t="s">
        <v>37</v>
      </c>
      <c r="K1875">
        <v>10090</v>
      </c>
      <c r="L1875" s="3" t="str">
        <f>HYPERLINK("http://www.uniprot.org/uniprot/Q9CQY1", "Q9CQY1")</f>
        <v>Q9CQY1</v>
      </c>
      <c r="M1875" t="s">
        <v>21728</v>
      </c>
      <c r="N1875" t="str">
        <f>"Atg12"</f>
        <v>Atg12</v>
      </c>
      <c r="O1875" s="3" t="str">
        <f>HYPERLINK("http://www.informatics.jax.org/marker/MGI:1914776", "MGI:1914776")</f>
        <v>MGI:1914776</v>
      </c>
      <c r="P1875" t="s">
        <v>21729</v>
      </c>
      <c r="Q1875" t="s">
        <v>15059</v>
      </c>
      <c r="R1875" t="s">
        <v>714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32</v>
      </c>
      <c r="Y1875" t="s">
        <v>16940</v>
      </c>
      <c r="Z1875" t="s">
        <v>32</v>
      </c>
      <c r="AA1875" t="s">
        <v>21730</v>
      </c>
      <c r="AB1875" t="s">
        <v>21731</v>
      </c>
      <c r="AC1875" t="s">
        <v>32</v>
      </c>
      <c r="AD1875" t="s">
        <v>32</v>
      </c>
      <c r="AE1875" t="s">
        <v>21732</v>
      </c>
      <c r="AF1875" t="s">
        <v>46835</v>
      </c>
    </row>
    <row r="1876" spans="1:33" x14ac:dyDescent="0.2">
      <c r="A1876">
        <v>1871</v>
      </c>
      <c r="B1876" t="s">
        <v>21733</v>
      </c>
      <c r="C1876" t="s">
        <v>21734</v>
      </c>
      <c r="D1876" t="s">
        <v>21735</v>
      </c>
      <c r="E1876" t="s">
        <v>21736</v>
      </c>
      <c r="F1876" t="s">
        <v>21737</v>
      </c>
      <c r="G1876" t="s">
        <v>32</v>
      </c>
      <c r="H1876" t="str">
        <f>"Grn"</f>
        <v>Grn</v>
      </c>
      <c r="I1876" t="s">
        <v>32</v>
      </c>
      <c r="J1876" t="s">
        <v>37</v>
      </c>
      <c r="K1876">
        <v>10090</v>
      </c>
      <c r="L1876" s="3" t="str">
        <f>HYPERLINK("http://www.uniprot.org/uniprot/P28798", "P28798")</f>
        <v>P28798</v>
      </c>
      <c r="M1876" t="s">
        <v>21738</v>
      </c>
      <c r="N1876" t="str">
        <f>"Grn"</f>
        <v>Grn</v>
      </c>
      <c r="O1876" s="3" t="str">
        <f>HYPERLINK("http://www.informatics.jax.org/marker/MGI:95832", "MGI:95832")</f>
        <v>MGI:95832</v>
      </c>
      <c r="P1876" t="s">
        <v>21739</v>
      </c>
      <c r="Q1876" t="s">
        <v>32</v>
      </c>
      <c r="R1876" t="s">
        <v>5274</v>
      </c>
      <c r="S1876" t="s">
        <v>32</v>
      </c>
      <c r="T1876" t="s">
        <v>32</v>
      </c>
      <c r="U1876" t="s">
        <v>32</v>
      </c>
      <c r="V1876" t="s">
        <v>478</v>
      </c>
      <c r="W1876" t="s">
        <v>32</v>
      </c>
      <c r="X1876" t="s">
        <v>21740</v>
      </c>
      <c r="Y1876" t="s">
        <v>5275</v>
      </c>
      <c r="Z1876" t="s">
        <v>32</v>
      </c>
      <c r="AA1876" t="s">
        <v>21741</v>
      </c>
      <c r="AB1876" t="s">
        <v>21742</v>
      </c>
      <c r="AC1876" t="s">
        <v>21743</v>
      </c>
      <c r="AD1876" t="s">
        <v>32</v>
      </c>
      <c r="AE1876" t="s">
        <v>548</v>
      </c>
      <c r="AF1876" t="s">
        <v>46835</v>
      </c>
    </row>
    <row r="1877" spans="1:33" x14ac:dyDescent="0.2">
      <c r="A1877">
        <v>1872</v>
      </c>
      <c r="B1877" t="s">
        <v>21744</v>
      </c>
      <c r="C1877" t="s">
        <v>21745</v>
      </c>
      <c r="D1877" t="s">
        <v>21746</v>
      </c>
      <c r="E1877" t="s">
        <v>21747</v>
      </c>
      <c r="F1877" t="s">
        <v>21748</v>
      </c>
      <c r="G1877" t="s">
        <v>32</v>
      </c>
      <c r="H1877" t="str">
        <f>"Emc8"</f>
        <v>Emc8</v>
      </c>
      <c r="I1877" t="s">
        <v>21749</v>
      </c>
      <c r="J1877" t="s">
        <v>37</v>
      </c>
      <c r="K1877">
        <v>10090</v>
      </c>
      <c r="L1877" s="3" t="str">
        <f>HYPERLINK("http://www.uniprot.org/uniprot/O70378", "O70378")</f>
        <v>O70378</v>
      </c>
      <c r="M1877" t="s">
        <v>21750</v>
      </c>
      <c r="N1877" t="str">
        <f>"Emc8"</f>
        <v>Emc8</v>
      </c>
      <c r="O1877" s="3" t="str">
        <f>HYPERLINK("http://www.informatics.jax.org/marker/MGI:1343095", "MGI:1343095")</f>
        <v>MGI:1343095</v>
      </c>
      <c r="P1877" t="s">
        <v>1664</v>
      </c>
      <c r="Q1877" t="s">
        <v>32</v>
      </c>
      <c r="R1877" t="s">
        <v>1664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32</v>
      </c>
      <c r="Y1877" t="s">
        <v>32</v>
      </c>
      <c r="Z1877" t="s">
        <v>32</v>
      </c>
      <c r="AA1877" t="s">
        <v>21751</v>
      </c>
      <c r="AB1877" t="s">
        <v>21752</v>
      </c>
      <c r="AC1877" t="s">
        <v>21753</v>
      </c>
      <c r="AD1877" t="s">
        <v>32</v>
      </c>
      <c r="AE1877" t="s">
        <v>32</v>
      </c>
      <c r="AF1877" t="s">
        <v>46835</v>
      </c>
    </row>
    <row r="1878" spans="1:33" x14ac:dyDescent="0.2">
      <c r="A1878">
        <v>1873</v>
      </c>
      <c r="B1878" t="s">
        <v>21754</v>
      </c>
      <c r="C1878" t="s">
        <v>21755</v>
      </c>
      <c r="D1878" t="s">
        <v>21756</v>
      </c>
      <c r="E1878" t="s">
        <v>21757</v>
      </c>
      <c r="F1878" t="s">
        <v>21758</v>
      </c>
      <c r="G1878" t="s">
        <v>21759</v>
      </c>
      <c r="H1878" t="str">
        <f>"U2surp"</f>
        <v>U2surp</v>
      </c>
      <c r="I1878" t="s">
        <v>21760</v>
      </c>
      <c r="J1878" t="s">
        <v>37</v>
      </c>
      <c r="K1878">
        <v>10090</v>
      </c>
      <c r="L1878" s="3" t="str">
        <f>HYPERLINK("http://www.uniprot.org/uniprot/Q6NV83", "Q6NV83")</f>
        <v>Q6NV83</v>
      </c>
      <c r="M1878" t="s">
        <v>21761</v>
      </c>
      <c r="N1878" t="str">
        <f>"U2surp"</f>
        <v>U2surp</v>
      </c>
      <c r="O1878" s="3" t="str">
        <f>HYPERLINK("http://www.informatics.jax.org/marker/MGI:1915208", "MGI:1915208")</f>
        <v>MGI:1915208</v>
      </c>
      <c r="P1878" t="s">
        <v>21762</v>
      </c>
      <c r="Q1878" t="s">
        <v>32</v>
      </c>
      <c r="R1878" t="s">
        <v>2279</v>
      </c>
      <c r="S1878" t="s">
        <v>41</v>
      </c>
      <c r="T1878" t="s">
        <v>32</v>
      </c>
      <c r="U1878" t="s">
        <v>32</v>
      </c>
      <c r="V1878" t="s">
        <v>290</v>
      </c>
      <c r="W1878" t="s">
        <v>32</v>
      </c>
      <c r="X1878" t="s">
        <v>1282</v>
      </c>
      <c r="Y1878" t="s">
        <v>516</v>
      </c>
      <c r="Z1878" t="s">
        <v>32</v>
      </c>
      <c r="AA1878" t="s">
        <v>21039</v>
      </c>
      <c r="AB1878" t="s">
        <v>7318</v>
      </c>
      <c r="AC1878" t="s">
        <v>4711</v>
      </c>
      <c r="AD1878" t="s">
        <v>32</v>
      </c>
      <c r="AE1878" t="s">
        <v>946</v>
      </c>
      <c r="AF1878" t="s">
        <v>46835</v>
      </c>
    </row>
    <row r="1879" spans="1:33" x14ac:dyDescent="0.2">
      <c r="A1879">
        <v>1874</v>
      </c>
      <c r="B1879" t="s">
        <v>21763</v>
      </c>
      <c r="C1879" t="s">
        <v>21764</v>
      </c>
      <c r="D1879" t="s">
        <v>32</v>
      </c>
      <c r="E1879" t="s">
        <v>21765</v>
      </c>
      <c r="F1879" t="s">
        <v>21766</v>
      </c>
      <c r="G1879" t="s">
        <v>21767</v>
      </c>
      <c r="H1879" t="str">
        <f>"Gpm6b"</f>
        <v>Gpm6b</v>
      </c>
      <c r="I1879" t="s">
        <v>21768</v>
      </c>
      <c r="J1879" t="s">
        <v>37</v>
      </c>
      <c r="K1879">
        <v>10090</v>
      </c>
      <c r="L1879" s="3" t="str">
        <f>HYPERLINK("http://www.uniprot.org/uniprot/P35803", "P35803")</f>
        <v>P35803</v>
      </c>
      <c r="M1879" t="s">
        <v>21769</v>
      </c>
      <c r="N1879" t="str">
        <f>"Gpm6b"</f>
        <v>Gpm6b</v>
      </c>
      <c r="O1879" s="3" t="str">
        <f>HYPERLINK("http://www.informatics.jax.org/marker/MGI:107672", "MGI:107672")</f>
        <v>MGI:107672</v>
      </c>
      <c r="P1879" t="s">
        <v>21770</v>
      </c>
      <c r="Q1879" t="s">
        <v>21771</v>
      </c>
      <c r="R1879" t="s">
        <v>2474</v>
      </c>
      <c r="S1879" t="s">
        <v>41</v>
      </c>
      <c r="T1879" t="s">
        <v>32</v>
      </c>
      <c r="U1879" t="s">
        <v>32</v>
      </c>
      <c r="V1879" t="s">
        <v>493</v>
      </c>
      <c r="W1879" t="s">
        <v>32</v>
      </c>
      <c r="X1879" t="s">
        <v>32</v>
      </c>
      <c r="Y1879" t="s">
        <v>4720</v>
      </c>
      <c r="Z1879" t="s">
        <v>32</v>
      </c>
      <c r="AA1879" t="s">
        <v>21772</v>
      </c>
      <c r="AB1879" t="s">
        <v>21773</v>
      </c>
      <c r="AC1879" t="s">
        <v>32</v>
      </c>
      <c r="AD1879" t="s">
        <v>32</v>
      </c>
      <c r="AE1879" t="s">
        <v>32</v>
      </c>
      <c r="AF1879" t="s">
        <v>46835</v>
      </c>
    </row>
    <row r="1880" spans="1:33" x14ac:dyDescent="0.2">
      <c r="A1880">
        <v>1875</v>
      </c>
      <c r="B1880" t="s">
        <v>21774</v>
      </c>
      <c r="C1880" t="s">
        <v>21775</v>
      </c>
      <c r="D1880" t="s">
        <v>32</v>
      </c>
      <c r="E1880" t="s">
        <v>21776</v>
      </c>
      <c r="F1880" t="s">
        <v>21777</v>
      </c>
      <c r="G1880" t="s">
        <v>21778</v>
      </c>
      <c r="H1880" t="s">
        <v>32</v>
      </c>
      <c r="I1880" t="s">
        <v>32</v>
      </c>
      <c r="J1880" t="s">
        <v>37</v>
      </c>
      <c r="K1880">
        <v>10090</v>
      </c>
      <c r="L1880" s="3" t="str">
        <f>HYPERLINK("http://www.uniprot.org/uniprot/Q9D727", "Q9D727")</f>
        <v>Q9D727</v>
      </c>
      <c r="M1880" t="s">
        <v>21779</v>
      </c>
      <c r="N1880" t="str">
        <f>"2310039H08Rik"</f>
        <v>2310039H08Rik</v>
      </c>
      <c r="O1880" s="3" t="str">
        <f>HYPERLINK("http://www.informatics.jax.org/marker/MGI:1914351", "MGI:1914351")</f>
        <v>MGI:1914351</v>
      </c>
      <c r="P1880" t="s">
        <v>618</v>
      </c>
      <c r="Q1880" t="s">
        <v>32</v>
      </c>
      <c r="R1880" t="s">
        <v>32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32</v>
      </c>
      <c r="Y1880" t="s">
        <v>618</v>
      </c>
      <c r="Z1880" t="s">
        <v>32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t="s">
        <v>46835</v>
      </c>
    </row>
    <row r="1881" spans="1:33" x14ac:dyDescent="0.2">
      <c r="A1881">
        <v>1876</v>
      </c>
      <c r="B1881" t="s">
        <v>21780</v>
      </c>
      <c r="C1881" t="s">
        <v>21781</v>
      </c>
      <c r="D1881" t="s">
        <v>21782</v>
      </c>
      <c r="E1881" t="s">
        <v>21783</v>
      </c>
      <c r="F1881" t="s">
        <v>21784</v>
      </c>
      <c r="G1881" t="s">
        <v>21785</v>
      </c>
      <c r="H1881" t="str">
        <f>"Nup37"</f>
        <v>Nup37</v>
      </c>
      <c r="I1881" t="s">
        <v>32</v>
      </c>
      <c r="J1881" t="s">
        <v>37</v>
      </c>
      <c r="K1881">
        <v>10090</v>
      </c>
      <c r="L1881" s="3" t="str">
        <f>HYPERLINK("http://www.uniprot.org/uniprot/Q9CWU9", "Q9CWU9")</f>
        <v>Q9CWU9</v>
      </c>
      <c r="M1881" t="s">
        <v>21786</v>
      </c>
      <c r="N1881" t="str">
        <f>"Nup37"</f>
        <v>Nup37</v>
      </c>
      <c r="O1881" s="3" t="str">
        <f>HYPERLINK("http://www.informatics.jax.org/marker/MGI:1919964", "MGI:1919964")</f>
        <v>MGI:1919964</v>
      </c>
      <c r="P1881" t="s">
        <v>21787</v>
      </c>
      <c r="Q1881" t="s">
        <v>21788</v>
      </c>
      <c r="R1881" t="s">
        <v>21789</v>
      </c>
      <c r="S1881" t="s">
        <v>32</v>
      </c>
      <c r="T1881" t="s">
        <v>32</v>
      </c>
      <c r="U1881" t="s">
        <v>32</v>
      </c>
      <c r="V1881" t="s">
        <v>1910</v>
      </c>
      <c r="W1881" t="s">
        <v>32</v>
      </c>
      <c r="X1881" t="s">
        <v>32</v>
      </c>
      <c r="Y1881" t="s">
        <v>32</v>
      </c>
      <c r="Z1881" t="s">
        <v>32</v>
      </c>
      <c r="AA1881" t="s">
        <v>21790</v>
      </c>
      <c r="AB1881" t="s">
        <v>21791</v>
      </c>
      <c r="AC1881" t="s">
        <v>32</v>
      </c>
      <c r="AD1881" t="s">
        <v>32</v>
      </c>
      <c r="AE1881" t="s">
        <v>15358</v>
      </c>
      <c r="AF1881" t="s">
        <v>46835</v>
      </c>
    </row>
    <row r="1882" spans="1:33" x14ac:dyDescent="0.2">
      <c r="A1882">
        <v>1877</v>
      </c>
      <c r="B1882" t="s">
        <v>21792</v>
      </c>
      <c r="C1882" t="s">
        <v>21793</v>
      </c>
      <c r="D1882" t="s">
        <v>21794</v>
      </c>
      <c r="E1882" t="s">
        <v>21795</v>
      </c>
      <c r="F1882" t="s">
        <v>21796</v>
      </c>
      <c r="G1882" t="s">
        <v>21797</v>
      </c>
      <c r="H1882" t="str">
        <f>"Prps1"</f>
        <v>Prps1</v>
      </c>
      <c r="I1882" t="s">
        <v>32</v>
      </c>
      <c r="J1882" t="s">
        <v>37</v>
      </c>
      <c r="K1882">
        <v>10090</v>
      </c>
      <c r="L1882" s="3" t="str">
        <f>HYPERLINK("http://www.uniprot.org/uniprot/Q9D7G0", "Q9D7G0")</f>
        <v>Q9D7G0</v>
      </c>
      <c r="M1882" t="s">
        <v>21798</v>
      </c>
      <c r="N1882" t="str">
        <f>"Prps1"</f>
        <v>Prps1</v>
      </c>
      <c r="O1882" s="3" t="str">
        <f>HYPERLINK("http://www.informatics.jax.org/marker/MGI:97775", "MGI:97775")</f>
        <v>MGI:97775</v>
      </c>
      <c r="P1882" t="s">
        <v>21799</v>
      </c>
      <c r="Q1882" t="s">
        <v>16817</v>
      </c>
      <c r="R1882" t="s">
        <v>32</v>
      </c>
      <c r="S1882" t="s">
        <v>32</v>
      </c>
      <c r="T1882" t="s">
        <v>32</v>
      </c>
      <c r="U1882" t="s">
        <v>32</v>
      </c>
      <c r="V1882" t="s">
        <v>32</v>
      </c>
      <c r="W1882" t="s">
        <v>1266</v>
      </c>
      <c r="X1882" t="s">
        <v>419</v>
      </c>
      <c r="Y1882" t="s">
        <v>32</v>
      </c>
      <c r="Z1882" t="s">
        <v>32</v>
      </c>
      <c r="AA1882" t="s">
        <v>21800</v>
      </c>
      <c r="AB1882" t="s">
        <v>21801</v>
      </c>
      <c r="AC1882" t="s">
        <v>21802</v>
      </c>
      <c r="AD1882" t="s">
        <v>21803</v>
      </c>
      <c r="AE1882" t="s">
        <v>21804</v>
      </c>
      <c r="AF1882" t="s">
        <v>46835</v>
      </c>
    </row>
    <row r="1883" spans="1:33" x14ac:dyDescent="0.2">
      <c r="A1883">
        <v>1878</v>
      </c>
      <c r="B1883" t="s">
        <v>21805</v>
      </c>
      <c r="C1883" t="s">
        <v>21806</v>
      </c>
      <c r="D1883" t="s">
        <v>21807</v>
      </c>
      <c r="E1883" t="s">
        <v>21808</v>
      </c>
      <c r="F1883" t="s">
        <v>21809</v>
      </c>
      <c r="G1883" t="s">
        <v>21810</v>
      </c>
      <c r="H1883" t="str">
        <f>"Cyfip2"</f>
        <v>Cyfip2</v>
      </c>
      <c r="I1883" t="s">
        <v>32</v>
      </c>
      <c r="J1883" t="s">
        <v>37</v>
      </c>
      <c r="K1883">
        <v>10090</v>
      </c>
      <c r="L1883" s="3" t="str">
        <f>HYPERLINK("http://www.uniprot.org/uniprot/Q5SQX6", "Q5SQX6")</f>
        <v>Q5SQX6</v>
      </c>
      <c r="M1883" t="s">
        <v>21811</v>
      </c>
      <c r="N1883" t="str">
        <f>"Cyfip2"</f>
        <v>Cyfip2</v>
      </c>
      <c r="O1883" s="3" t="str">
        <f>HYPERLINK("http://www.informatics.jax.org/marker/MGI:1924134", "MGI:1924134")</f>
        <v>MGI:1924134</v>
      </c>
      <c r="P1883" t="s">
        <v>21812</v>
      </c>
      <c r="Q1883" t="s">
        <v>21813</v>
      </c>
      <c r="R1883" t="s">
        <v>21814</v>
      </c>
      <c r="S1883" t="s">
        <v>1565</v>
      </c>
      <c r="T1883" t="s">
        <v>32</v>
      </c>
      <c r="U1883" t="s">
        <v>32</v>
      </c>
      <c r="V1883" t="s">
        <v>32</v>
      </c>
      <c r="W1883" t="s">
        <v>32</v>
      </c>
      <c r="X1883" t="s">
        <v>32</v>
      </c>
      <c r="Y1883" t="s">
        <v>78</v>
      </c>
      <c r="Z1883" t="s">
        <v>32</v>
      </c>
      <c r="AA1883" t="s">
        <v>21815</v>
      </c>
      <c r="AB1883" t="s">
        <v>21816</v>
      </c>
      <c r="AC1883" t="s">
        <v>10905</v>
      </c>
      <c r="AD1883" t="s">
        <v>32</v>
      </c>
      <c r="AE1883" t="s">
        <v>21817</v>
      </c>
      <c r="AF1883" t="s">
        <v>46835</v>
      </c>
    </row>
    <row r="1884" spans="1:33" x14ac:dyDescent="0.2">
      <c r="A1884">
        <v>1879</v>
      </c>
      <c r="B1884" t="s">
        <v>21818</v>
      </c>
      <c r="C1884" t="s">
        <v>21819</v>
      </c>
      <c r="D1884" t="s">
        <v>21820</v>
      </c>
      <c r="E1884" t="s">
        <v>21821</v>
      </c>
      <c r="F1884" t="s">
        <v>21822</v>
      </c>
      <c r="G1884" t="s">
        <v>21823</v>
      </c>
      <c r="H1884" t="str">
        <f>"Cnpy4"</f>
        <v>Cnpy4</v>
      </c>
      <c r="I1884" t="s">
        <v>21824</v>
      </c>
      <c r="J1884" t="s">
        <v>37</v>
      </c>
      <c r="K1884">
        <v>10090</v>
      </c>
      <c r="L1884" s="3" t="str">
        <f>HYPERLINK("http://www.uniprot.org/uniprot/Q8BQ47", "Q8BQ47")</f>
        <v>Q8BQ47</v>
      </c>
      <c r="M1884" t="s">
        <v>21825</v>
      </c>
      <c r="N1884" t="str">
        <f>"Cnpy4"</f>
        <v>Cnpy4</v>
      </c>
      <c r="O1884" s="3" t="str">
        <f>HYPERLINK("http://www.informatics.jax.org/marker/MGI:1913705", "MGI:1913705")</f>
        <v>MGI:1913705</v>
      </c>
      <c r="P1884" t="s">
        <v>21826</v>
      </c>
      <c r="Q1884" t="s">
        <v>32</v>
      </c>
      <c r="R1884" t="s">
        <v>630</v>
      </c>
      <c r="S1884" t="s">
        <v>32</v>
      </c>
      <c r="T1884" t="s">
        <v>32</v>
      </c>
      <c r="U1884" t="s">
        <v>32</v>
      </c>
      <c r="V1884" t="s">
        <v>5956</v>
      </c>
      <c r="W1884" t="s">
        <v>32</v>
      </c>
      <c r="X1884" t="s">
        <v>32</v>
      </c>
      <c r="Y1884" t="s">
        <v>494</v>
      </c>
      <c r="Z1884" t="s">
        <v>32</v>
      </c>
      <c r="AA1884" t="s">
        <v>21827</v>
      </c>
      <c r="AB1884" t="s">
        <v>21828</v>
      </c>
      <c r="AC1884" t="s">
        <v>15323</v>
      </c>
      <c r="AD1884" t="s">
        <v>32</v>
      </c>
      <c r="AE1884" t="s">
        <v>32</v>
      </c>
      <c r="AF1884" t="s">
        <v>46835</v>
      </c>
    </row>
    <row r="1885" spans="1:33" x14ac:dyDescent="0.2">
      <c r="A1885">
        <v>1880</v>
      </c>
      <c r="B1885" t="s">
        <v>21829</v>
      </c>
      <c r="C1885" t="s">
        <v>21830</v>
      </c>
      <c r="D1885" t="s">
        <v>21831</v>
      </c>
      <c r="E1885" t="s">
        <v>21832</v>
      </c>
      <c r="F1885" t="s">
        <v>21833</v>
      </c>
      <c r="G1885" t="s">
        <v>21834</v>
      </c>
      <c r="H1885" t="str">
        <f>"Wdr5"</f>
        <v>Wdr5</v>
      </c>
      <c r="I1885" t="s">
        <v>21835</v>
      </c>
      <c r="J1885" t="s">
        <v>37</v>
      </c>
      <c r="K1885">
        <v>10090</v>
      </c>
      <c r="L1885" s="3" t="str">
        <f>HYPERLINK("http://www.uniprot.org/uniprot/P61965", "P61965")</f>
        <v>P61965</v>
      </c>
      <c r="M1885" t="s">
        <v>21836</v>
      </c>
      <c r="N1885" t="str">
        <f>"Wdr5"</f>
        <v>Wdr5</v>
      </c>
      <c r="O1885" s="3" t="str">
        <f>HYPERLINK("http://www.informatics.jax.org/marker/MGI:2155884", "MGI:2155884")</f>
        <v>MGI:2155884</v>
      </c>
      <c r="P1885" t="s">
        <v>21837</v>
      </c>
      <c r="Q1885" t="s">
        <v>4152</v>
      </c>
      <c r="R1885" t="s">
        <v>2279</v>
      </c>
      <c r="S1885" t="s">
        <v>32</v>
      </c>
      <c r="T1885" t="s">
        <v>32</v>
      </c>
      <c r="U1885" t="s">
        <v>32</v>
      </c>
      <c r="V1885" t="s">
        <v>1910</v>
      </c>
      <c r="W1885" t="s">
        <v>32</v>
      </c>
      <c r="X1885" t="s">
        <v>9988</v>
      </c>
      <c r="Y1885" t="s">
        <v>461</v>
      </c>
      <c r="Z1885" t="s">
        <v>126</v>
      </c>
      <c r="AA1885" t="s">
        <v>21838</v>
      </c>
      <c r="AB1885" t="s">
        <v>21839</v>
      </c>
      <c r="AC1885" t="s">
        <v>21840</v>
      </c>
      <c r="AD1885" t="s">
        <v>32</v>
      </c>
      <c r="AE1885" t="s">
        <v>21841</v>
      </c>
      <c r="AF1885" t="s">
        <v>46835</v>
      </c>
    </row>
    <row r="1886" spans="1:33" x14ac:dyDescent="0.2">
      <c r="A1886">
        <v>1881</v>
      </c>
      <c r="B1886" t="s">
        <v>21842</v>
      </c>
      <c r="C1886" t="s">
        <v>47108</v>
      </c>
      <c r="D1886" t="s">
        <v>32</v>
      </c>
      <c r="E1886" t="s">
        <v>46936</v>
      </c>
      <c r="F1886" t="s">
        <v>46935</v>
      </c>
      <c r="G1886" t="s">
        <v>32</v>
      </c>
      <c r="H1886" t="s">
        <v>47239</v>
      </c>
      <c r="I1886" t="s">
        <v>32</v>
      </c>
      <c r="J1886" t="s">
        <v>37</v>
      </c>
      <c r="K1886">
        <v>10090</v>
      </c>
      <c r="L1886" s="3" t="str">
        <f>HYPERLINK(CONCATENATE("https://www.uniprot.org/uniprotkb/", AG1886, "/entry"), AG1886)</f>
        <v>Q9ES00</v>
      </c>
      <c r="M1886" t="s">
        <v>32</v>
      </c>
      <c r="N1886" t="s">
        <v>32</v>
      </c>
      <c r="O1886" s="3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32</v>
      </c>
      <c r="Y1886" t="s">
        <v>32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t="s">
        <v>46835</v>
      </c>
      <c r="AG1886" t="s">
        <v>46935</v>
      </c>
    </row>
    <row r="1887" spans="1:33" x14ac:dyDescent="0.2">
      <c r="A1887">
        <v>1882</v>
      </c>
      <c r="B1887" t="s">
        <v>21843</v>
      </c>
      <c r="C1887" t="s">
        <v>21844</v>
      </c>
      <c r="D1887" t="s">
        <v>21845</v>
      </c>
      <c r="E1887" t="s">
        <v>21846</v>
      </c>
      <c r="F1887" t="s">
        <v>21847</v>
      </c>
      <c r="G1887" t="s">
        <v>21848</v>
      </c>
      <c r="H1887" t="str">
        <f>"Spag9"</f>
        <v>Spag9</v>
      </c>
      <c r="I1887" t="s">
        <v>32</v>
      </c>
      <c r="J1887" t="s">
        <v>37</v>
      </c>
      <c r="K1887">
        <v>10090</v>
      </c>
      <c r="L1887" s="3" t="str">
        <f>HYPERLINK("http://www.uniprot.org/uniprot/Q58A65", "Q58A65")</f>
        <v>Q58A65</v>
      </c>
      <c r="M1887" t="s">
        <v>21849</v>
      </c>
      <c r="N1887" t="str">
        <f>"Spag9"</f>
        <v>Spag9</v>
      </c>
      <c r="O1887" s="3" t="str">
        <f>HYPERLINK("http://www.informatics.jax.org/marker/MGI:1918084", "MGI:1918084")</f>
        <v>MGI:1918084</v>
      </c>
      <c r="P1887" t="s">
        <v>21850</v>
      </c>
      <c r="Q1887" t="s">
        <v>32</v>
      </c>
      <c r="R1887" t="s">
        <v>21851</v>
      </c>
      <c r="S1887" t="s">
        <v>41</v>
      </c>
      <c r="T1887" t="s">
        <v>32</v>
      </c>
      <c r="U1887" t="s">
        <v>32</v>
      </c>
      <c r="V1887" t="s">
        <v>290</v>
      </c>
      <c r="W1887" t="s">
        <v>32</v>
      </c>
      <c r="X1887" t="s">
        <v>32</v>
      </c>
      <c r="Y1887" t="s">
        <v>157</v>
      </c>
      <c r="Z1887" t="s">
        <v>32</v>
      </c>
      <c r="AA1887" t="s">
        <v>21852</v>
      </c>
      <c r="AB1887" t="s">
        <v>21853</v>
      </c>
      <c r="AC1887" t="s">
        <v>21854</v>
      </c>
      <c r="AD1887" t="s">
        <v>32</v>
      </c>
      <c r="AE1887" t="s">
        <v>8939</v>
      </c>
      <c r="AF1887" t="s">
        <v>46835</v>
      </c>
    </row>
    <row r="1888" spans="1:33" x14ac:dyDescent="0.2">
      <c r="A1888">
        <v>1883</v>
      </c>
      <c r="B1888" t="s">
        <v>21855</v>
      </c>
      <c r="C1888" t="s">
        <v>21856</v>
      </c>
      <c r="D1888" t="s">
        <v>21857</v>
      </c>
      <c r="E1888" t="s">
        <v>21858</v>
      </c>
      <c r="F1888" t="s">
        <v>21859</v>
      </c>
      <c r="G1888" t="s">
        <v>21860</v>
      </c>
      <c r="H1888" t="str">
        <f>"Champ1"</f>
        <v>Champ1</v>
      </c>
      <c r="I1888" t="s">
        <v>21861</v>
      </c>
      <c r="J1888" t="s">
        <v>37</v>
      </c>
      <c r="K1888">
        <v>10090</v>
      </c>
      <c r="L1888" s="3" t="str">
        <f>HYPERLINK("http://www.uniprot.org/uniprot/Q8K327", "Q8K327")</f>
        <v>Q8K327</v>
      </c>
      <c r="M1888" t="s">
        <v>21862</v>
      </c>
      <c r="N1888" t="str">
        <f>"Champ1"</f>
        <v>Champ1</v>
      </c>
      <c r="O1888" s="3" t="str">
        <f>HYPERLINK("http://www.informatics.jax.org/marker/MGI:1196398", "MGI:1196398")</f>
        <v>MGI:1196398</v>
      </c>
      <c r="P1888" t="s">
        <v>21863</v>
      </c>
      <c r="Q1888" t="s">
        <v>32</v>
      </c>
      <c r="R1888" t="s">
        <v>9238</v>
      </c>
      <c r="S1888" t="s">
        <v>32</v>
      </c>
      <c r="T1888" t="s">
        <v>32</v>
      </c>
      <c r="U1888" t="s">
        <v>32</v>
      </c>
      <c r="V1888" t="s">
        <v>446</v>
      </c>
      <c r="W1888" t="s">
        <v>42</v>
      </c>
      <c r="X1888" t="s">
        <v>32</v>
      </c>
      <c r="Y1888" t="s">
        <v>516</v>
      </c>
      <c r="Z1888" t="s">
        <v>32</v>
      </c>
      <c r="AA1888" t="s">
        <v>21864</v>
      </c>
      <c r="AB1888" t="s">
        <v>21865</v>
      </c>
      <c r="AC1888" t="s">
        <v>4525</v>
      </c>
      <c r="AD1888" t="s">
        <v>32</v>
      </c>
      <c r="AE1888" t="s">
        <v>32</v>
      </c>
      <c r="AF1888" t="s">
        <v>46835</v>
      </c>
    </row>
    <row r="1889" spans="1:32" x14ac:dyDescent="0.2">
      <c r="A1889">
        <v>1884</v>
      </c>
      <c r="B1889" t="s">
        <v>21866</v>
      </c>
      <c r="C1889" t="s">
        <v>21867</v>
      </c>
      <c r="D1889" t="s">
        <v>32</v>
      </c>
      <c r="E1889" t="s">
        <v>21868</v>
      </c>
      <c r="F1889" t="s">
        <v>21869</v>
      </c>
      <c r="G1889" t="s">
        <v>21870</v>
      </c>
      <c r="H1889" t="str">
        <f>"Ctbp2"</f>
        <v>Ctbp2</v>
      </c>
      <c r="I1889" t="s">
        <v>32</v>
      </c>
      <c r="J1889" t="s">
        <v>37</v>
      </c>
      <c r="K1889">
        <v>10090</v>
      </c>
      <c r="L1889" s="3" t="str">
        <f>HYPERLINK("http://www.uniprot.org/uniprot/P56546", "P56546")</f>
        <v>P56546</v>
      </c>
      <c r="M1889" t="s">
        <v>21871</v>
      </c>
      <c r="N1889" t="str">
        <f>"Ctbp2"</f>
        <v>Ctbp2</v>
      </c>
      <c r="O1889" s="3" t="str">
        <f>HYPERLINK("http://www.informatics.jax.org/marker/MGI:1201686", "MGI:1201686")</f>
        <v>MGI:1201686</v>
      </c>
      <c r="P1889" t="s">
        <v>21872</v>
      </c>
      <c r="Q1889" t="s">
        <v>13865</v>
      </c>
      <c r="R1889" t="s">
        <v>21873</v>
      </c>
      <c r="S1889" t="s">
        <v>41</v>
      </c>
      <c r="T1889" t="s">
        <v>32</v>
      </c>
      <c r="U1889" t="s">
        <v>32</v>
      </c>
      <c r="V1889" t="s">
        <v>32</v>
      </c>
      <c r="W1889" t="s">
        <v>325</v>
      </c>
      <c r="X1889" t="s">
        <v>21874</v>
      </c>
      <c r="Y1889" t="s">
        <v>2734</v>
      </c>
      <c r="Z1889" t="s">
        <v>32</v>
      </c>
      <c r="AA1889" t="s">
        <v>21875</v>
      </c>
      <c r="AB1889" t="s">
        <v>21876</v>
      </c>
      <c r="AC1889" t="s">
        <v>21877</v>
      </c>
      <c r="AD1889" t="s">
        <v>32</v>
      </c>
      <c r="AE1889" t="s">
        <v>21878</v>
      </c>
      <c r="AF1889" t="s">
        <v>46835</v>
      </c>
    </row>
    <row r="1890" spans="1:32" x14ac:dyDescent="0.2">
      <c r="A1890">
        <v>1885</v>
      </c>
      <c r="B1890" t="s">
        <v>21879</v>
      </c>
      <c r="C1890" t="s">
        <v>21880</v>
      </c>
      <c r="D1890" t="s">
        <v>21881</v>
      </c>
      <c r="E1890" t="s">
        <v>21882</v>
      </c>
      <c r="F1890" t="s">
        <v>21883</v>
      </c>
      <c r="G1890" t="s">
        <v>21884</v>
      </c>
      <c r="H1890" t="str">
        <f>"Tmod2"</f>
        <v>Tmod2</v>
      </c>
      <c r="I1890" t="s">
        <v>32</v>
      </c>
      <c r="J1890" t="s">
        <v>37</v>
      </c>
      <c r="K1890">
        <v>10090</v>
      </c>
      <c r="L1890" s="3" t="str">
        <f>HYPERLINK("http://www.uniprot.org/uniprot/Q9JKK7", "Q9JKK7")</f>
        <v>Q9JKK7</v>
      </c>
      <c r="M1890" t="s">
        <v>21885</v>
      </c>
      <c r="N1890" t="str">
        <f>"Tmod2"</f>
        <v>Tmod2</v>
      </c>
      <c r="O1890" s="3" t="str">
        <f>HYPERLINK("http://www.informatics.jax.org/marker/MGI:1355335", "MGI:1355335")</f>
        <v>MGI:1355335</v>
      </c>
      <c r="P1890" t="s">
        <v>21886</v>
      </c>
      <c r="Q1890" t="s">
        <v>32</v>
      </c>
      <c r="R1890" t="s">
        <v>186</v>
      </c>
      <c r="S1890" t="s">
        <v>41</v>
      </c>
      <c r="T1890" t="s">
        <v>32</v>
      </c>
      <c r="U1890" t="s">
        <v>32</v>
      </c>
      <c r="V1890" t="s">
        <v>32</v>
      </c>
      <c r="W1890" t="s">
        <v>32</v>
      </c>
      <c r="X1890" t="s">
        <v>405</v>
      </c>
      <c r="Y1890" t="s">
        <v>618</v>
      </c>
      <c r="Z1890" t="s">
        <v>32</v>
      </c>
      <c r="AA1890" t="s">
        <v>21887</v>
      </c>
      <c r="AB1890" t="s">
        <v>21888</v>
      </c>
      <c r="AC1890" t="s">
        <v>21889</v>
      </c>
      <c r="AD1890" t="s">
        <v>32</v>
      </c>
      <c r="AE1890" t="s">
        <v>10605</v>
      </c>
      <c r="AF1890" t="s">
        <v>46835</v>
      </c>
    </row>
    <row r="1891" spans="1:32" x14ac:dyDescent="0.2">
      <c r="A1891">
        <v>1886</v>
      </c>
      <c r="B1891" t="s">
        <v>21890</v>
      </c>
      <c r="C1891" t="s">
        <v>21891</v>
      </c>
      <c r="D1891" t="s">
        <v>32</v>
      </c>
      <c r="E1891" t="s">
        <v>21892</v>
      </c>
      <c r="F1891" t="s">
        <v>21893</v>
      </c>
      <c r="G1891" t="s">
        <v>21894</v>
      </c>
      <c r="H1891" t="str">
        <f>"Gna13"</f>
        <v>Gna13</v>
      </c>
      <c r="I1891" t="s">
        <v>21895</v>
      </c>
      <c r="J1891" t="s">
        <v>37</v>
      </c>
      <c r="K1891">
        <v>10090</v>
      </c>
      <c r="L1891" s="3" t="str">
        <f>HYPERLINK("http://www.uniprot.org/uniprot/P27601", "P27601")</f>
        <v>P27601</v>
      </c>
      <c r="M1891" t="s">
        <v>21896</v>
      </c>
      <c r="N1891" t="str">
        <f>"Gna13"</f>
        <v>Gna13</v>
      </c>
      <c r="O1891" s="3" t="str">
        <f>HYPERLINK("http://www.informatics.jax.org/marker/MGI:95768", "MGI:95768")</f>
        <v>MGI:95768</v>
      </c>
      <c r="P1891" t="s">
        <v>21897</v>
      </c>
      <c r="Q1891" t="s">
        <v>32</v>
      </c>
      <c r="R1891" t="s">
        <v>5943</v>
      </c>
      <c r="S1891" t="s">
        <v>32</v>
      </c>
      <c r="T1891" t="s">
        <v>32</v>
      </c>
      <c r="U1891" t="s">
        <v>32</v>
      </c>
      <c r="V1891" t="s">
        <v>32</v>
      </c>
      <c r="W1891" t="s">
        <v>342</v>
      </c>
      <c r="X1891" t="s">
        <v>10391</v>
      </c>
      <c r="Y1891" t="s">
        <v>15840</v>
      </c>
      <c r="Z1891" t="s">
        <v>126</v>
      </c>
      <c r="AA1891" t="s">
        <v>21898</v>
      </c>
      <c r="AB1891" t="s">
        <v>21899</v>
      </c>
      <c r="AC1891" t="s">
        <v>21900</v>
      </c>
      <c r="AD1891" t="s">
        <v>32</v>
      </c>
      <c r="AE1891" t="s">
        <v>21901</v>
      </c>
      <c r="AF1891" t="s">
        <v>46835</v>
      </c>
    </row>
    <row r="1892" spans="1:32" x14ac:dyDescent="0.2">
      <c r="A1892">
        <v>1887</v>
      </c>
      <c r="B1892" t="s">
        <v>21902</v>
      </c>
      <c r="C1892" t="s">
        <v>21903</v>
      </c>
      <c r="D1892" t="s">
        <v>32</v>
      </c>
      <c r="E1892" t="s">
        <v>21904</v>
      </c>
      <c r="F1892" t="s">
        <v>21905</v>
      </c>
      <c r="G1892" t="s">
        <v>21906</v>
      </c>
      <c r="H1892" t="str">
        <f>"Gprasp1"</f>
        <v>Gprasp1</v>
      </c>
      <c r="I1892" t="s">
        <v>21907</v>
      </c>
      <c r="J1892" t="s">
        <v>37</v>
      </c>
      <c r="K1892">
        <v>10090</v>
      </c>
      <c r="L1892" s="3" t="str">
        <f>HYPERLINK("http://www.uniprot.org/uniprot/Q5U4C1", "Q5U4C1")</f>
        <v>Q5U4C1</v>
      </c>
      <c r="M1892" t="s">
        <v>21908</v>
      </c>
      <c r="N1892" t="str">
        <f>"Gprasp1"</f>
        <v>Gprasp1</v>
      </c>
      <c r="O1892" s="3" t="str">
        <f>HYPERLINK("http://www.informatics.jax.org/marker/MGI:1917418", "MGI:1917418")</f>
        <v>MGI:1917418</v>
      </c>
      <c r="P1892" t="s">
        <v>21217</v>
      </c>
      <c r="Q1892" t="s">
        <v>32</v>
      </c>
      <c r="R1892" t="s">
        <v>418</v>
      </c>
      <c r="S1892" t="s">
        <v>41</v>
      </c>
      <c r="T1892" t="s">
        <v>32</v>
      </c>
      <c r="U1892" t="s">
        <v>32</v>
      </c>
      <c r="V1892" t="s">
        <v>32</v>
      </c>
      <c r="W1892" t="s">
        <v>32</v>
      </c>
      <c r="X1892" t="s">
        <v>32</v>
      </c>
      <c r="Y1892" t="s">
        <v>618</v>
      </c>
      <c r="Z1892" t="s">
        <v>32</v>
      </c>
      <c r="AA1892" t="s">
        <v>21909</v>
      </c>
      <c r="AB1892" t="s">
        <v>4218</v>
      </c>
      <c r="AC1892" t="s">
        <v>32</v>
      </c>
      <c r="AD1892" t="s">
        <v>32</v>
      </c>
      <c r="AE1892" t="s">
        <v>32</v>
      </c>
      <c r="AF1892" t="s">
        <v>46835</v>
      </c>
    </row>
    <row r="1893" spans="1:32" x14ac:dyDescent="0.2">
      <c r="A1893">
        <v>1888</v>
      </c>
      <c r="B1893" t="s">
        <v>21910</v>
      </c>
      <c r="C1893" t="s">
        <v>21911</v>
      </c>
      <c r="D1893" t="s">
        <v>21912</v>
      </c>
      <c r="E1893" t="s">
        <v>21913</v>
      </c>
      <c r="F1893" t="s">
        <v>21914</v>
      </c>
      <c r="G1893" t="s">
        <v>21915</v>
      </c>
      <c r="H1893" t="str">
        <f>"Nubp1"</f>
        <v>Nubp1</v>
      </c>
      <c r="I1893" t="s">
        <v>32</v>
      </c>
      <c r="J1893" t="s">
        <v>37</v>
      </c>
      <c r="K1893">
        <v>10090</v>
      </c>
      <c r="L1893" s="3" t="str">
        <f>HYPERLINK("http://www.uniprot.org/uniprot/Q9R060", "Q9R060")</f>
        <v>Q9R060</v>
      </c>
      <c r="M1893" t="s">
        <v>21916</v>
      </c>
      <c r="N1893" t="str">
        <f>"Nubp1"</f>
        <v>Nubp1</v>
      </c>
      <c r="O1893" s="3" t="str">
        <f>HYPERLINK("http://www.informatics.jax.org/marker/MGI:1347073", "MGI:1347073")</f>
        <v>MGI:1347073</v>
      </c>
      <c r="P1893" t="s">
        <v>21917</v>
      </c>
      <c r="Q1893" t="s">
        <v>475</v>
      </c>
      <c r="R1893" t="s">
        <v>21918</v>
      </c>
      <c r="S1893" t="s">
        <v>32</v>
      </c>
      <c r="T1893" t="s">
        <v>32</v>
      </c>
      <c r="U1893" t="s">
        <v>32</v>
      </c>
      <c r="V1893" t="s">
        <v>32</v>
      </c>
      <c r="W1893" t="s">
        <v>6067</v>
      </c>
      <c r="X1893" t="s">
        <v>32</v>
      </c>
      <c r="Y1893" t="s">
        <v>157</v>
      </c>
      <c r="Z1893" t="s">
        <v>32</v>
      </c>
      <c r="AA1893" t="s">
        <v>21919</v>
      </c>
      <c r="AB1893" t="s">
        <v>21920</v>
      </c>
      <c r="AC1893" t="s">
        <v>21921</v>
      </c>
      <c r="AD1893" t="s">
        <v>32</v>
      </c>
      <c r="AE1893" t="s">
        <v>32</v>
      </c>
      <c r="AF1893" t="s">
        <v>46835</v>
      </c>
    </row>
    <row r="1894" spans="1:32" x14ac:dyDescent="0.2">
      <c r="A1894">
        <v>1889</v>
      </c>
      <c r="B1894" t="s">
        <v>21922</v>
      </c>
      <c r="C1894" t="s">
        <v>21923</v>
      </c>
      <c r="D1894" t="s">
        <v>21924</v>
      </c>
      <c r="E1894" t="s">
        <v>21925</v>
      </c>
      <c r="F1894" t="s">
        <v>21926</v>
      </c>
      <c r="G1894" t="s">
        <v>21927</v>
      </c>
      <c r="H1894" t="str">
        <f>"Nkiras2"</f>
        <v>Nkiras2</v>
      </c>
      <c r="I1894" t="s">
        <v>32</v>
      </c>
      <c r="J1894" t="s">
        <v>37</v>
      </c>
      <c r="K1894">
        <v>10090</v>
      </c>
      <c r="L1894" s="3" t="str">
        <f>HYPERLINK("http://www.uniprot.org/uniprot/Q9CR56", "Q9CR56")</f>
        <v>Q9CR56</v>
      </c>
      <c r="M1894" t="s">
        <v>21928</v>
      </c>
      <c r="N1894" t="str">
        <f>"Nkiras2"</f>
        <v>Nkiras2</v>
      </c>
      <c r="O1894" s="3" t="str">
        <f>HYPERLINK("http://www.informatics.jax.org/marker/MGI:1919216", "MGI:1919216")</f>
        <v>MGI:1919216</v>
      </c>
      <c r="P1894" t="s">
        <v>21929</v>
      </c>
      <c r="Q1894" t="s">
        <v>32</v>
      </c>
      <c r="R1894" t="s">
        <v>418</v>
      </c>
      <c r="S1894" t="s">
        <v>32</v>
      </c>
      <c r="T1894" t="s">
        <v>32</v>
      </c>
      <c r="U1894" t="s">
        <v>32</v>
      </c>
      <c r="V1894" t="s">
        <v>32</v>
      </c>
      <c r="W1894" t="s">
        <v>261</v>
      </c>
      <c r="X1894" t="s">
        <v>32</v>
      </c>
      <c r="Y1894" t="s">
        <v>32</v>
      </c>
      <c r="Z1894" t="s">
        <v>32</v>
      </c>
      <c r="AA1894" t="s">
        <v>21930</v>
      </c>
      <c r="AB1894" t="s">
        <v>2172</v>
      </c>
      <c r="AC1894" t="s">
        <v>21931</v>
      </c>
      <c r="AD1894" t="s">
        <v>32</v>
      </c>
      <c r="AE1894" t="s">
        <v>21932</v>
      </c>
      <c r="AF1894" t="s">
        <v>46835</v>
      </c>
    </row>
    <row r="1895" spans="1:32" x14ac:dyDescent="0.2">
      <c r="A1895">
        <v>1890</v>
      </c>
      <c r="B1895" t="s">
        <v>21933</v>
      </c>
      <c r="C1895" t="s">
        <v>21934</v>
      </c>
      <c r="D1895" t="s">
        <v>21935</v>
      </c>
      <c r="E1895" t="s">
        <v>21936</v>
      </c>
      <c r="F1895" t="s">
        <v>21937</v>
      </c>
      <c r="G1895" t="s">
        <v>21938</v>
      </c>
      <c r="H1895" t="str">
        <f>"Elp4"</f>
        <v>Elp4</v>
      </c>
      <c r="I1895" t="s">
        <v>21939</v>
      </c>
      <c r="J1895" t="s">
        <v>37</v>
      </c>
      <c r="K1895">
        <v>10090</v>
      </c>
      <c r="L1895" s="3" t="str">
        <f>HYPERLINK("http://www.uniprot.org/uniprot/Q9ER73", "Q9ER73")</f>
        <v>Q9ER73</v>
      </c>
      <c r="M1895" t="s">
        <v>21940</v>
      </c>
      <c r="N1895" t="str">
        <f>"Elp4"</f>
        <v>Elp4</v>
      </c>
      <c r="O1895" s="3" t="str">
        <f>HYPERLINK("http://www.informatics.jax.org/marker/MGI:1925016", "MGI:1925016")</f>
        <v>MGI:1925016</v>
      </c>
      <c r="P1895" t="s">
        <v>21941</v>
      </c>
      <c r="Q1895" t="s">
        <v>4386</v>
      </c>
      <c r="R1895" t="s">
        <v>40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32</v>
      </c>
      <c r="Y1895" t="s">
        <v>32</v>
      </c>
      <c r="Z1895" t="s">
        <v>32</v>
      </c>
      <c r="AA1895" t="s">
        <v>21942</v>
      </c>
      <c r="AB1895" t="s">
        <v>21943</v>
      </c>
      <c r="AC1895" t="s">
        <v>21944</v>
      </c>
      <c r="AD1895" t="s">
        <v>7480</v>
      </c>
      <c r="AE1895" t="s">
        <v>32</v>
      </c>
      <c r="AF1895" t="s">
        <v>46835</v>
      </c>
    </row>
    <row r="1896" spans="1:32" x14ac:dyDescent="0.2">
      <c r="A1896">
        <v>1891</v>
      </c>
      <c r="B1896" t="s">
        <v>21945</v>
      </c>
      <c r="C1896" t="s">
        <v>21946</v>
      </c>
      <c r="D1896" t="s">
        <v>32</v>
      </c>
      <c r="E1896" t="s">
        <v>21947</v>
      </c>
      <c r="F1896" t="s">
        <v>21948</v>
      </c>
      <c r="G1896" t="s">
        <v>21949</v>
      </c>
      <c r="H1896" t="str">
        <f>"Tubb3"</f>
        <v>Tubb3</v>
      </c>
      <c r="I1896" t="s">
        <v>32</v>
      </c>
      <c r="J1896" t="s">
        <v>37</v>
      </c>
      <c r="K1896">
        <v>10090</v>
      </c>
      <c r="L1896" s="3" t="str">
        <f>HYPERLINK("http://www.uniprot.org/uniprot/Q9ERD7", "Q9ERD7")</f>
        <v>Q9ERD7</v>
      </c>
      <c r="M1896" t="s">
        <v>21950</v>
      </c>
      <c r="N1896" t="str">
        <f>"Tubb3"</f>
        <v>Tubb3</v>
      </c>
      <c r="O1896" s="3" t="str">
        <f>HYPERLINK("http://www.informatics.jax.org/marker/MGI:107813", "MGI:107813")</f>
        <v>MGI:107813</v>
      </c>
      <c r="P1896" t="s">
        <v>21951</v>
      </c>
      <c r="Q1896" t="s">
        <v>32</v>
      </c>
      <c r="R1896" t="s">
        <v>13003</v>
      </c>
      <c r="S1896" t="s">
        <v>32</v>
      </c>
      <c r="T1896" t="s">
        <v>32</v>
      </c>
      <c r="U1896" t="s">
        <v>32</v>
      </c>
      <c r="V1896" t="s">
        <v>32</v>
      </c>
      <c r="W1896" t="s">
        <v>342</v>
      </c>
      <c r="X1896" t="s">
        <v>32</v>
      </c>
      <c r="Y1896" t="s">
        <v>12752</v>
      </c>
      <c r="Z1896" t="s">
        <v>32</v>
      </c>
      <c r="AA1896" t="s">
        <v>21952</v>
      </c>
      <c r="AB1896" t="s">
        <v>21953</v>
      </c>
      <c r="AC1896" t="s">
        <v>21954</v>
      </c>
      <c r="AD1896" t="s">
        <v>32</v>
      </c>
      <c r="AE1896" t="s">
        <v>6105</v>
      </c>
      <c r="AF1896" t="s">
        <v>46835</v>
      </c>
    </row>
    <row r="1897" spans="1:32" x14ac:dyDescent="0.2">
      <c r="A1897">
        <v>1892</v>
      </c>
      <c r="B1897" t="s">
        <v>21955</v>
      </c>
      <c r="C1897" t="s">
        <v>21956</v>
      </c>
      <c r="D1897" t="s">
        <v>21957</v>
      </c>
      <c r="E1897" t="s">
        <v>21958</v>
      </c>
      <c r="F1897" t="s">
        <v>21959</v>
      </c>
      <c r="G1897" t="s">
        <v>21960</v>
      </c>
      <c r="H1897" t="str">
        <f>"Naa35"</f>
        <v>Naa35</v>
      </c>
      <c r="I1897" t="s">
        <v>21961</v>
      </c>
      <c r="J1897" t="s">
        <v>37</v>
      </c>
      <c r="K1897">
        <v>10090</v>
      </c>
      <c r="L1897" s="3" t="str">
        <f>HYPERLINK("http://www.uniprot.org/uniprot/Q6PHQ8", "Q6PHQ8")</f>
        <v>Q6PHQ8</v>
      </c>
      <c r="M1897" t="s">
        <v>21962</v>
      </c>
      <c r="N1897" t="str">
        <f>"Naa35"</f>
        <v>Naa35</v>
      </c>
      <c r="O1897" s="3" t="str">
        <f>HYPERLINK("http://www.informatics.jax.org/marker/MGI:1925939", "MGI:1925939")</f>
        <v>MGI:1925939</v>
      </c>
      <c r="P1897" t="s">
        <v>21963</v>
      </c>
      <c r="Q1897" t="s">
        <v>32</v>
      </c>
      <c r="R1897" t="s">
        <v>418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32</v>
      </c>
      <c r="Y1897" t="s">
        <v>618</v>
      </c>
      <c r="Z1897" t="s">
        <v>32</v>
      </c>
      <c r="AA1897" t="s">
        <v>21964</v>
      </c>
      <c r="AB1897" t="s">
        <v>21965</v>
      </c>
      <c r="AC1897" t="s">
        <v>32</v>
      </c>
      <c r="AD1897" t="s">
        <v>32</v>
      </c>
      <c r="AE1897" t="s">
        <v>32</v>
      </c>
      <c r="AF1897" t="s">
        <v>46835</v>
      </c>
    </row>
    <row r="1898" spans="1:32" x14ac:dyDescent="0.2">
      <c r="A1898">
        <v>1893</v>
      </c>
      <c r="B1898" t="s">
        <v>21966</v>
      </c>
      <c r="C1898" t="s">
        <v>21967</v>
      </c>
      <c r="D1898" t="s">
        <v>21968</v>
      </c>
      <c r="E1898" t="s">
        <v>21969</v>
      </c>
      <c r="F1898" t="s">
        <v>21970</v>
      </c>
      <c r="G1898" t="s">
        <v>32</v>
      </c>
      <c r="H1898" t="str">
        <f>"Gfus"</f>
        <v>Gfus</v>
      </c>
      <c r="I1898" t="s">
        <v>32</v>
      </c>
      <c r="J1898" t="s">
        <v>37</v>
      </c>
      <c r="K1898">
        <v>10090</v>
      </c>
      <c r="L1898" s="3" t="str">
        <f>HYPERLINK("http://www.uniprot.org/uniprot/P23591", "P23591")</f>
        <v>P23591</v>
      </c>
      <c r="M1898" t="s">
        <v>21971</v>
      </c>
      <c r="N1898" t="str">
        <f>"Gfus"</f>
        <v>Gfus</v>
      </c>
      <c r="O1898" s="3" t="str">
        <f>HYPERLINK("http://www.informatics.jax.org/marker/MGI:98857", "MGI:98857")</f>
        <v>MGI:98857</v>
      </c>
      <c r="P1898" t="s">
        <v>21972</v>
      </c>
      <c r="Q1898" t="s">
        <v>32</v>
      </c>
      <c r="R1898" t="s">
        <v>32</v>
      </c>
      <c r="S1898" t="s">
        <v>32</v>
      </c>
      <c r="T1898" t="s">
        <v>32</v>
      </c>
      <c r="U1898" t="s">
        <v>32</v>
      </c>
      <c r="V1898" t="s">
        <v>32</v>
      </c>
      <c r="W1898" t="s">
        <v>3204</v>
      </c>
      <c r="X1898" t="s">
        <v>21973</v>
      </c>
      <c r="Y1898" t="s">
        <v>32</v>
      </c>
      <c r="Z1898" t="s">
        <v>32</v>
      </c>
      <c r="AA1898" t="s">
        <v>21974</v>
      </c>
      <c r="AB1898" t="s">
        <v>32</v>
      </c>
      <c r="AC1898" t="s">
        <v>21975</v>
      </c>
      <c r="AD1898" t="s">
        <v>21976</v>
      </c>
      <c r="AE1898" t="s">
        <v>21977</v>
      </c>
      <c r="AF1898" t="s">
        <v>46835</v>
      </c>
    </row>
    <row r="1899" spans="1:32" x14ac:dyDescent="0.2">
      <c r="A1899">
        <v>1894</v>
      </c>
      <c r="B1899" t="s">
        <v>21978</v>
      </c>
      <c r="C1899" t="s">
        <v>21979</v>
      </c>
      <c r="D1899" t="s">
        <v>21980</v>
      </c>
      <c r="E1899" t="s">
        <v>21981</v>
      </c>
      <c r="F1899" t="s">
        <v>21982</v>
      </c>
      <c r="G1899" t="s">
        <v>21983</v>
      </c>
      <c r="H1899" t="str">
        <f>"Xpo5"</f>
        <v>Xpo5</v>
      </c>
      <c r="I1899" t="s">
        <v>21984</v>
      </c>
      <c r="J1899" t="s">
        <v>37</v>
      </c>
      <c r="K1899">
        <v>10090</v>
      </c>
      <c r="L1899" s="3" t="str">
        <f>HYPERLINK("http://www.uniprot.org/uniprot/Q924C1", "Q924C1")</f>
        <v>Q924C1</v>
      </c>
      <c r="M1899" t="s">
        <v>21985</v>
      </c>
      <c r="N1899" t="str">
        <f>"Xpo5"</f>
        <v>Xpo5</v>
      </c>
      <c r="O1899" s="3" t="str">
        <f>HYPERLINK("http://www.informatics.jax.org/marker/MGI:1913789", "MGI:1913789")</f>
        <v>MGI:1913789</v>
      </c>
      <c r="P1899" t="s">
        <v>21986</v>
      </c>
      <c r="Q1899" t="s">
        <v>21987</v>
      </c>
      <c r="R1899" t="s">
        <v>40</v>
      </c>
      <c r="S1899" t="s">
        <v>41</v>
      </c>
      <c r="T1899" t="s">
        <v>32</v>
      </c>
      <c r="U1899" t="s">
        <v>32</v>
      </c>
      <c r="V1899" t="s">
        <v>32</v>
      </c>
      <c r="W1899" t="s">
        <v>32</v>
      </c>
      <c r="X1899" t="s">
        <v>21988</v>
      </c>
      <c r="Y1899" t="s">
        <v>78</v>
      </c>
      <c r="Z1899" t="s">
        <v>32</v>
      </c>
      <c r="AA1899" t="s">
        <v>21989</v>
      </c>
      <c r="AB1899" t="s">
        <v>21990</v>
      </c>
      <c r="AC1899" t="s">
        <v>21991</v>
      </c>
      <c r="AD1899" t="s">
        <v>32</v>
      </c>
      <c r="AE1899" t="s">
        <v>32</v>
      </c>
      <c r="AF1899" t="s">
        <v>46835</v>
      </c>
    </row>
    <row r="1900" spans="1:32" x14ac:dyDescent="0.2">
      <c r="A1900">
        <v>1895</v>
      </c>
      <c r="B1900" t="s">
        <v>21992</v>
      </c>
      <c r="C1900" t="s">
        <v>21993</v>
      </c>
      <c r="D1900" t="s">
        <v>21994</v>
      </c>
      <c r="E1900" t="s">
        <v>21995</v>
      </c>
      <c r="F1900" t="s">
        <v>21996</v>
      </c>
      <c r="G1900" t="s">
        <v>21997</v>
      </c>
      <c r="H1900" t="str">
        <f>"Lzic"</f>
        <v>Lzic</v>
      </c>
      <c r="I1900" t="s">
        <v>32</v>
      </c>
      <c r="J1900" t="s">
        <v>37</v>
      </c>
      <c r="K1900">
        <v>10090</v>
      </c>
      <c r="L1900" s="3" t="str">
        <f>HYPERLINK("http://www.uniprot.org/uniprot/Q8K3C3", "Q8K3C3")</f>
        <v>Q8K3C3</v>
      </c>
      <c r="M1900" t="s">
        <v>21998</v>
      </c>
      <c r="N1900" t="str">
        <f>"Lzic"</f>
        <v>Lzic</v>
      </c>
      <c r="O1900" s="3" t="str">
        <f>HYPERLINK("http://www.informatics.jax.org/marker/MGI:1916401", "MGI:1916401")</f>
        <v>MGI:1916401</v>
      </c>
      <c r="P1900" t="s">
        <v>290</v>
      </c>
      <c r="Q1900" t="s">
        <v>32</v>
      </c>
      <c r="R1900" t="s">
        <v>32</v>
      </c>
      <c r="S1900" t="s">
        <v>32</v>
      </c>
      <c r="T1900" t="s">
        <v>32</v>
      </c>
      <c r="U1900" t="s">
        <v>32</v>
      </c>
      <c r="V1900" t="s">
        <v>290</v>
      </c>
      <c r="W1900" t="s">
        <v>32</v>
      </c>
      <c r="X1900" t="s">
        <v>32</v>
      </c>
      <c r="Y1900" t="s">
        <v>32</v>
      </c>
      <c r="Z1900" t="s">
        <v>32</v>
      </c>
      <c r="AA1900" t="s">
        <v>32</v>
      </c>
      <c r="AB1900" t="s">
        <v>32</v>
      </c>
      <c r="AC1900" t="s">
        <v>21999</v>
      </c>
      <c r="AD1900" t="s">
        <v>32</v>
      </c>
      <c r="AE1900" t="s">
        <v>32</v>
      </c>
      <c r="AF1900" t="s">
        <v>46835</v>
      </c>
    </row>
    <row r="1901" spans="1:32" x14ac:dyDescent="0.2">
      <c r="A1901">
        <v>1896</v>
      </c>
      <c r="B1901" t="s">
        <v>22000</v>
      </c>
      <c r="C1901" t="s">
        <v>22001</v>
      </c>
      <c r="D1901" t="s">
        <v>22002</v>
      </c>
      <c r="E1901" t="s">
        <v>22003</v>
      </c>
      <c r="F1901" t="s">
        <v>22004</v>
      </c>
      <c r="G1901" t="s">
        <v>22005</v>
      </c>
      <c r="H1901" t="str">
        <f>"Erc1"</f>
        <v>Erc1</v>
      </c>
      <c r="I1901" t="s">
        <v>32</v>
      </c>
      <c r="J1901" t="s">
        <v>37</v>
      </c>
      <c r="K1901">
        <v>10090</v>
      </c>
      <c r="L1901" s="3" t="str">
        <f>HYPERLINK("http://www.uniprot.org/uniprot/Q99MI1", "Q99MI1")</f>
        <v>Q99MI1</v>
      </c>
      <c r="M1901" t="s">
        <v>22006</v>
      </c>
      <c r="N1901" t="str">
        <f>"Erc1"</f>
        <v>Erc1</v>
      </c>
      <c r="O1901" s="3" t="str">
        <f>HYPERLINK("http://www.informatics.jax.org/marker/MGI:2151013", "MGI:2151013")</f>
        <v>MGI:2151013</v>
      </c>
      <c r="P1901" t="s">
        <v>22007</v>
      </c>
      <c r="Q1901" t="s">
        <v>434</v>
      </c>
      <c r="R1901" t="s">
        <v>22008</v>
      </c>
      <c r="S1901" t="s">
        <v>41</v>
      </c>
      <c r="T1901" t="s">
        <v>32</v>
      </c>
      <c r="U1901" t="s">
        <v>32</v>
      </c>
      <c r="V1901" t="s">
        <v>290</v>
      </c>
      <c r="W1901" t="s">
        <v>32</v>
      </c>
      <c r="X1901" t="s">
        <v>32</v>
      </c>
      <c r="Y1901" t="s">
        <v>157</v>
      </c>
      <c r="Z1901" t="s">
        <v>32</v>
      </c>
      <c r="AA1901" t="s">
        <v>22009</v>
      </c>
      <c r="AB1901" t="s">
        <v>22010</v>
      </c>
      <c r="AC1901" t="s">
        <v>22011</v>
      </c>
      <c r="AD1901" t="s">
        <v>32</v>
      </c>
      <c r="AE1901" t="s">
        <v>32</v>
      </c>
      <c r="AF1901" t="s">
        <v>46835</v>
      </c>
    </row>
    <row r="1902" spans="1:32" x14ac:dyDescent="0.2">
      <c r="A1902">
        <v>1897</v>
      </c>
      <c r="B1902" t="s">
        <v>22012</v>
      </c>
      <c r="C1902" t="s">
        <v>22013</v>
      </c>
      <c r="D1902" t="s">
        <v>32</v>
      </c>
      <c r="E1902" t="s">
        <v>22014</v>
      </c>
      <c r="F1902" t="s">
        <v>22015</v>
      </c>
      <c r="G1902" t="s">
        <v>22016</v>
      </c>
      <c r="H1902" t="str">
        <f>"Timm13"</f>
        <v>Timm13</v>
      </c>
      <c r="I1902" t="s">
        <v>22017</v>
      </c>
      <c r="J1902" t="s">
        <v>37</v>
      </c>
      <c r="K1902">
        <v>10090</v>
      </c>
      <c r="L1902" s="3" t="str">
        <f>HYPERLINK("http://www.uniprot.org/uniprot/P62075", "P62075")</f>
        <v>P62075</v>
      </c>
      <c r="M1902" t="s">
        <v>22018</v>
      </c>
      <c r="N1902" t="str">
        <f>"Timm13"</f>
        <v>Timm13</v>
      </c>
      <c r="O1902" s="3" t="str">
        <f>HYPERLINK("http://www.informatics.jax.org/marker/MGI:1353432", "MGI:1353432")</f>
        <v>MGI:1353432</v>
      </c>
      <c r="P1902" t="s">
        <v>22019</v>
      </c>
      <c r="Q1902" t="s">
        <v>4270</v>
      </c>
      <c r="R1902" t="s">
        <v>3858</v>
      </c>
      <c r="S1902" t="s">
        <v>32</v>
      </c>
      <c r="T1902" t="s">
        <v>32</v>
      </c>
      <c r="U1902" t="s">
        <v>32</v>
      </c>
      <c r="V1902" t="s">
        <v>32</v>
      </c>
      <c r="W1902" t="s">
        <v>42</v>
      </c>
      <c r="X1902" t="s">
        <v>388</v>
      </c>
      <c r="Y1902" t="s">
        <v>480</v>
      </c>
      <c r="Z1902" t="s">
        <v>32</v>
      </c>
      <c r="AA1902" t="s">
        <v>19019</v>
      </c>
      <c r="AB1902" t="s">
        <v>22020</v>
      </c>
      <c r="AC1902" t="s">
        <v>4525</v>
      </c>
      <c r="AD1902" t="s">
        <v>32</v>
      </c>
      <c r="AE1902" t="s">
        <v>32</v>
      </c>
      <c r="AF1902" t="s">
        <v>46835</v>
      </c>
    </row>
    <row r="1903" spans="1:32" x14ac:dyDescent="0.2">
      <c r="A1903">
        <v>1898</v>
      </c>
      <c r="B1903" t="s">
        <v>22021</v>
      </c>
      <c r="C1903" t="s">
        <v>22022</v>
      </c>
      <c r="D1903" t="s">
        <v>22023</v>
      </c>
      <c r="E1903" t="s">
        <v>22024</v>
      </c>
      <c r="F1903" t="s">
        <v>22025</v>
      </c>
      <c r="G1903" t="s">
        <v>22026</v>
      </c>
      <c r="H1903" t="str">
        <f>"Srrm1"</f>
        <v>Srrm1</v>
      </c>
      <c r="I1903" t="s">
        <v>22027</v>
      </c>
      <c r="J1903" t="s">
        <v>37</v>
      </c>
      <c r="K1903">
        <v>10090</v>
      </c>
      <c r="L1903" s="3" t="str">
        <f>HYPERLINK("http://www.uniprot.org/uniprot/Q52KI8", "Q52KI8")</f>
        <v>Q52KI8</v>
      </c>
      <c r="M1903" t="s">
        <v>22028</v>
      </c>
      <c r="N1903" t="str">
        <f>"Srrm1"</f>
        <v>Srrm1</v>
      </c>
      <c r="O1903" s="3" t="str">
        <f>HYPERLINK("http://www.informatics.jax.org/marker/MGI:1858303", "MGI:1858303")</f>
        <v>MGI:1858303</v>
      </c>
      <c r="P1903" t="s">
        <v>22029</v>
      </c>
      <c r="Q1903" t="s">
        <v>2139</v>
      </c>
      <c r="R1903" t="s">
        <v>2140</v>
      </c>
      <c r="S1903" t="s">
        <v>41</v>
      </c>
      <c r="T1903" t="s">
        <v>32</v>
      </c>
      <c r="U1903" t="s">
        <v>32</v>
      </c>
      <c r="V1903" t="s">
        <v>32</v>
      </c>
      <c r="W1903" t="s">
        <v>32</v>
      </c>
      <c r="X1903" t="s">
        <v>956</v>
      </c>
      <c r="Y1903" t="s">
        <v>700</v>
      </c>
      <c r="Z1903" t="s">
        <v>32</v>
      </c>
      <c r="AA1903" t="s">
        <v>22030</v>
      </c>
      <c r="AB1903" t="s">
        <v>22031</v>
      </c>
      <c r="AC1903" t="s">
        <v>13572</v>
      </c>
      <c r="AD1903" t="s">
        <v>32</v>
      </c>
      <c r="AE1903" t="s">
        <v>22032</v>
      </c>
      <c r="AF1903" t="s">
        <v>46835</v>
      </c>
    </row>
    <row r="1904" spans="1:32" x14ac:dyDescent="0.2">
      <c r="A1904">
        <v>1899</v>
      </c>
      <c r="B1904" t="s">
        <v>22033</v>
      </c>
      <c r="C1904" t="s">
        <v>22034</v>
      </c>
      <c r="D1904" t="s">
        <v>22035</v>
      </c>
      <c r="E1904" t="s">
        <v>22036</v>
      </c>
      <c r="F1904" t="s">
        <v>22037</v>
      </c>
      <c r="G1904" t="s">
        <v>22038</v>
      </c>
      <c r="H1904" t="str">
        <f>"Pds5b"</f>
        <v>Pds5b</v>
      </c>
      <c r="I1904" t="s">
        <v>32</v>
      </c>
      <c r="J1904" t="s">
        <v>37</v>
      </c>
      <c r="K1904">
        <v>10090</v>
      </c>
      <c r="L1904" s="3" t="str">
        <f>HYPERLINK("http://www.uniprot.org/uniprot/Q4VA53", "Q4VA53")</f>
        <v>Q4VA53</v>
      </c>
      <c r="M1904" t="s">
        <v>22039</v>
      </c>
      <c r="N1904" t="str">
        <f>"Pds5b"</f>
        <v>Pds5b</v>
      </c>
      <c r="O1904" s="3" t="str">
        <f>HYPERLINK("http://www.informatics.jax.org/marker/MGI:2140945", "MGI:2140945")</f>
        <v>MGI:2140945</v>
      </c>
      <c r="P1904" t="s">
        <v>22040</v>
      </c>
      <c r="Q1904" t="s">
        <v>2968</v>
      </c>
      <c r="R1904" t="s">
        <v>2279</v>
      </c>
      <c r="S1904" t="s">
        <v>41</v>
      </c>
      <c r="T1904" t="s">
        <v>32</v>
      </c>
      <c r="U1904" t="s">
        <v>32</v>
      </c>
      <c r="V1904" t="s">
        <v>55</v>
      </c>
      <c r="W1904" t="s">
        <v>32</v>
      </c>
      <c r="X1904" t="s">
        <v>32</v>
      </c>
      <c r="Y1904" t="s">
        <v>157</v>
      </c>
      <c r="Z1904" t="s">
        <v>32</v>
      </c>
      <c r="AA1904" t="s">
        <v>22041</v>
      </c>
      <c r="AB1904" t="s">
        <v>22042</v>
      </c>
      <c r="AC1904" t="s">
        <v>13572</v>
      </c>
      <c r="AD1904" t="s">
        <v>32</v>
      </c>
      <c r="AE1904" t="s">
        <v>22043</v>
      </c>
      <c r="AF1904" t="s">
        <v>46835</v>
      </c>
    </row>
    <row r="1905" spans="1:33" x14ac:dyDescent="0.2">
      <c r="A1905">
        <v>1900</v>
      </c>
      <c r="B1905" t="s">
        <v>22044</v>
      </c>
      <c r="C1905" t="s">
        <v>22045</v>
      </c>
      <c r="D1905" t="s">
        <v>32</v>
      </c>
      <c r="E1905" t="s">
        <v>22046</v>
      </c>
      <c r="F1905" t="s">
        <v>22047</v>
      </c>
      <c r="G1905" t="s">
        <v>22048</v>
      </c>
      <c r="H1905" t="str">
        <f>"Dut"</f>
        <v>Dut</v>
      </c>
      <c r="I1905" t="s">
        <v>22049</v>
      </c>
      <c r="J1905" t="s">
        <v>37</v>
      </c>
      <c r="K1905">
        <v>10090</v>
      </c>
      <c r="L1905" s="3" t="str">
        <f>HYPERLINK("http://www.uniprot.org/uniprot/Q9CQ43", "Q9CQ43")</f>
        <v>Q9CQ43</v>
      </c>
      <c r="M1905" t="s">
        <v>22050</v>
      </c>
      <c r="N1905" t="str">
        <f>"Dut"</f>
        <v>Dut</v>
      </c>
      <c r="O1905" s="3" t="str">
        <f>HYPERLINK("http://www.informatics.jax.org/marker/MGI:1346051", "MGI:1346051")</f>
        <v>MGI:1346051</v>
      </c>
      <c r="P1905" t="s">
        <v>22051</v>
      </c>
      <c r="Q1905" t="s">
        <v>7123</v>
      </c>
      <c r="R1905" t="s">
        <v>2279</v>
      </c>
      <c r="S1905" t="s">
        <v>41</v>
      </c>
      <c r="T1905" t="s">
        <v>32</v>
      </c>
      <c r="U1905" t="s">
        <v>32</v>
      </c>
      <c r="V1905" t="s">
        <v>1039</v>
      </c>
      <c r="W1905" t="s">
        <v>223</v>
      </c>
      <c r="X1905" t="s">
        <v>343</v>
      </c>
      <c r="Y1905" t="s">
        <v>618</v>
      </c>
      <c r="Z1905" t="s">
        <v>32</v>
      </c>
      <c r="AA1905" t="s">
        <v>22052</v>
      </c>
      <c r="AB1905" t="s">
        <v>22053</v>
      </c>
      <c r="AC1905" t="s">
        <v>22054</v>
      </c>
      <c r="AD1905" t="s">
        <v>22055</v>
      </c>
      <c r="AE1905" t="s">
        <v>6139</v>
      </c>
      <c r="AF1905" t="s">
        <v>46835</v>
      </c>
    </row>
    <row r="1906" spans="1:33" x14ac:dyDescent="0.2">
      <c r="A1906">
        <v>1901</v>
      </c>
      <c r="B1906" t="s">
        <v>22056</v>
      </c>
      <c r="C1906" t="s">
        <v>22057</v>
      </c>
      <c r="D1906" t="s">
        <v>22058</v>
      </c>
      <c r="E1906" t="s">
        <v>22059</v>
      </c>
      <c r="F1906" t="s">
        <v>22060</v>
      </c>
      <c r="G1906" t="s">
        <v>32</v>
      </c>
      <c r="H1906" t="str">
        <f>"Map2k6"</f>
        <v>Map2k6</v>
      </c>
      <c r="I1906" t="s">
        <v>22061</v>
      </c>
      <c r="J1906" t="s">
        <v>37</v>
      </c>
      <c r="K1906">
        <v>10090</v>
      </c>
      <c r="L1906" s="3" t="str">
        <f>HYPERLINK("http://www.uniprot.org/uniprot/P70236", "P70236")</f>
        <v>P70236</v>
      </c>
      <c r="M1906" t="s">
        <v>22062</v>
      </c>
      <c r="N1906" t="str">
        <f>"Map2k6"</f>
        <v>Map2k6</v>
      </c>
      <c r="O1906" s="3" t="str">
        <f>HYPERLINK("http://www.informatics.jax.org/marker/MGI:1346870", "MGI:1346870")</f>
        <v>MGI:1346870</v>
      </c>
      <c r="P1906" t="s">
        <v>22063</v>
      </c>
      <c r="Q1906" t="s">
        <v>22064</v>
      </c>
      <c r="R1906" t="s">
        <v>324</v>
      </c>
      <c r="S1906" t="s">
        <v>32</v>
      </c>
      <c r="T1906" t="s">
        <v>32</v>
      </c>
      <c r="U1906" t="s">
        <v>32</v>
      </c>
      <c r="V1906" t="s">
        <v>32</v>
      </c>
      <c r="W1906" t="s">
        <v>205</v>
      </c>
      <c r="X1906" t="s">
        <v>16915</v>
      </c>
      <c r="Y1906" t="s">
        <v>618</v>
      </c>
      <c r="Z1906" t="s">
        <v>32</v>
      </c>
      <c r="AA1906" t="s">
        <v>22065</v>
      </c>
      <c r="AB1906" t="s">
        <v>22066</v>
      </c>
      <c r="AC1906" t="s">
        <v>22067</v>
      </c>
      <c r="AD1906" t="s">
        <v>32</v>
      </c>
      <c r="AE1906" t="s">
        <v>22068</v>
      </c>
      <c r="AF1906" t="s">
        <v>46835</v>
      </c>
    </row>
    <row r="1907" spans="1:33" x14ac:dyDescent="0.2">
      <c r="A1907">
        <v>1902</v>
      </c>
      <c r="B1907" t="s">
        <v>22069</v>
      </c>
      <c r="C1907" t="s">
        <v>22070</v>
      </c>
      <c r="D1907" t="s">
        <v>32</v>
      </c>
      <c r="E1907" t="s">
        <v>22071</v>
      </c>
      <c r="F1907" t="s">
        <v>22072</v>
      </c>
      <c r="G1907" t="s">
        <v>22073</v>
      </c>
      <c r="H1907" t="str">
        <f>"Fam98a"</f>
        <v>Fam98a</v>
      </c>
      <c r="I1907" t="s">
        <v>32</v>
      </c>
      <c r="J1907" t="s">
        <v>37</v>
      </c>
      <c r="K1907">
        <v>10090</v>
      </c>
      <c r="L1907" s="3" t="str">
        <f>HYPERLINK("http://www.uniprot.org/uniprot/Q3TJZ6", "Q3TJZ6")</f>
        <v>Q3TJZ6</v>
      </c>
      <c r="M1907" t="s">
        <v>22074</v>
      </c>
      <c r="N1907" t="str">
        <f>"Fam98a"</f>
        <v>Fam98a</v>
      </c>
      <c r="O1907" s="3" t="str">
        <f>HYPERLINK("http://www.informatics.jax.org/marker/MGI:1919972", "MGI:1919972")</f>
        <v>MGI:1919972</v>
      </c>
      <c r="P1907" t="s">
        <v>32</v>
      </c>
      <c r="Q1907" t="s">
        <v>32</v>
      </c>
      <c r="R1907" t="s">
        <v>32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32</v>
      </c>
      <c r="Y1907" t="s">
        <v>32</v>
      </c>
      <c r="Z1907" t="s">
        <v>32</v>
      </c>
      <c r="AA1907" t="s">
        <v>22075</v>
      </c>
      <c r="AB1907" t="s">
        <v>17004</v>
      </c>
      <c r="AC1907" t="s">
        <v>22076</v>
      </c>
      <c r="AD1907" t="s">
        <v>32</v>
      </c>
      <c r="AE1907" t="s">
        <v>32</v>
      </c>
      <c r="AF1907" t="s">
        <v>46835</v>
      </c>
    </row>
    <row r="1908" spans="1:33" x14ac:dyDescent="0.2">
      <c r="A1908">
        <v>1903</v>
      </c>
      <c r="B1908" t="s">
        <v>22077</v>
      </c>
      <c r="C1908" t="s">
        <v>22078</v>
      </c>
      <c r="D1908" t="s">
        <v>22079</v>
      </c>
      <c r="E1908" t="s">
        <v>22080</v>
      </c>
      <c r="F1908" t="s">
        <v>22081</v>
      </c>
      <c r="G1908" t="s">
        <v>22082</v>
      </c>
      <c r="H1908" t="str">
        <f>"Gpsm1"</f>
        <v>Gpsm1</v>
      </c>
      <c r="I1908" t="s">
        <v>22083</v>
      </c>
      <c r="J1908" t="s">
        <v>37</v>
      </c>
      <c r="K1908">
        <v>10090</v>
      </c>
      <c r="L1908" s="3" t="str">
        <f>HYPERLINK("http://www.uniprot.org/uniprot/Q6IR34", "Q6IR34")</f>
        <v>Q6IR34</v>
      </c>
      <c r="M1908" t="s">
        <v>22084</v>
      </c>
      <c r="N1908" t="str">
        <f>"Gpsm1"</f>
        <v>Gpsm1</v>
      </c>
      <c r="O1908" s="3" t="str">
        <f>HYPERLINK("http://www.informatics.jax.org/marker/MGI:1915089", "MGI:1915089")</f>
        <v>MGI:1915089</v>
      </c>
      <c r="P1908" t="s">
        <v>22085</v>
      </c>
      <c r="Q1908" t="s">
        <v>2027</v>
      </c>
      <c r="R1908" t="s">
        <v>22086</v>
      </c>
      <c r="S1908" t="s">
        <v>41</v>
      </c>
      <c r="T1908" t="s">
        <v>32</v>
      </c>
      <c r="U1908" t="s">
        <v>32</v>
      </c>
      <c r="V1908" t="s">
        <v>995</v>
      </c>
      <c r="W1908" t="s">
        <v>32</v>
      </c>
      <c r="X1908" t="s">
        <v>2029</v>
      </c>
      <c r="Y1908" t="s">
        <v>2734</v>
      </c>
      <c r="Z1908" t="s">
        <v>32</v>
      </c>
      <c r="AA1908" t="s">
        <v>22087</v>
      </c>
      <c r="AB1908" t="s">
        <v>22088</v>
      </c>
      <c r="AC1908" t="s">
        <v>22089</v>
      </c>
      <c r="AD1908" t="s">
        <v>32</v>
      </c>
      <c r="AE1908" t="s">
        <v>22090</v>
      </c>
      <c r="AF1908" t="s">
        <v>46835</v>
      </c>
    </row>
    <row r="1909" spans="1:33" x14ac:dyDescent="0.2">
      <c r="A1909">
        <v>1904</v>
      </c>
      <c r="B1909" t="s">
        <v>22091</v>
      </c>
      <c r="C1909" t="s">
        <v>22092</v>
      </c>
      <c r="D1909" t="s">
        <v>22093</v>
      </c>
      <c r="E1909" t="s">
        <v>22094</v>
      </c>
      <c r="F1909" t="s">
        <v>22095</v>
      </c>
      <c r="G1909" t="s">
        <v>22096</v>
      </c>
      <c r="H1909" t="str">
        <f>"Arl2bp"</f>
        <v>Arl2bp</v>
      </c>
      <c r="I1909" t="s">
        <v>22097</v>
      </c>
      <c r="J1909" t="s">
        <v>37</v>
      </c>
      <c r="K1909">
        <v>10090</v>
      </c>
      <c r="L1909" s="3" t="str">
        <f>HYPERLINK("http://www.uniprot.org/uniprot/Q9D385", "Q9D385")</f>
        <v>Q9D385</v>
      </c>
      <c r="M1909" t="s">
        <v>22098</v>
      </c>
      <c r="N1909" t="str">
        <f>"Arl2bp"</f>
        <v>Arl2bp</v>
      </c>
      <c r="O1909" s="3" t="str">
        <f>HYPERLINK("http://www.informatics.jax.org/marker/MGI:1349429", "MGI:1349429")</f>
        <v>MGI:1349429</v>
      </c>
      <c r="P1909" t="s">
        <v>22099</v>
      </c>
      <c r="Q1909" t="s">
        <v>32</v>
      </c>
      <c r="R1909" t="s">
        <v>22100</v>
      </c>
      <c r="S1909" t="s">
        <v>41</v>
      </c>
      <c r="T1909" t="s">
        <v>32</v>
      </c>
      <c r="U1909" t="s">
        <v>32</v>
      </c>
      <c r="V1909" t="s">
        <v>32</v>
      </c>
      <c r="W1909" t="s">
        <v>32</v>
      </c>
      <c r="X1909" t="s">
        <v>32</v>
      </c>
      <c r="Y1909" t="s">
        <v>32</v>
      </c>
      <c r="Z1909" t="s">
        <v>32</v>
      </c>
      <c r="AA1909" t="s">
        <v>22101</v>
      </c>
      <c r="AB1909" t="s">
        <v>22102</v>
      </c>
      <c r="AC1909" t="s">
        <v>22103</v>
      </c>
      <c r="AD1909" t="s">
        <v>32</v>
      </c>
      <c r="AE1909" t="s">
        <v>4404</v>
      </c>
      <c r="AF1909" t="s">
        <v>46835</v>
      </c>
    </row>
    <row r="1910" spans="1:33" x14ac:dyDescent="0.2">
      <c r="A1910">
        <v>1905</v>
      </c>
      <c r="B1910" t="s">
        <v>22104</v>
      </c>
      <c r="C1910" t="s">
        <v>22105</v>
      </c>
      <c r="D1910" t="s">
        <v>22106</v>
      </c>
      <c r="E1910" t="s">
        <v>22107</v>
      </c>
      <c r="F1910" t="s">
        <v>22108</v>
      </c>
      <c r="G1910" t="s">
        <v>22109</v>
      </c>
      <c r="H1910" t="str">
        <f>"Ppp3ca"</f>
        <v>Ppp3ca</v>
      </c>
      <c r="I1910" t="s">
        <v>22110</v>
      </c>
      <c r="J1910" t="s">
        <v>37</v>
      </c>
      <c r="K1910">
        <v>10090</v>
      </c>
      <c r="L1910" s="3" t="str">
        <f>HYPERLINK("http://www.uniprot.org/uniprot/P63328", "P63328")</f>
        <v>P63328</v>
      </c>
      <c r="M1910" t="s">
        <v>22111</v>
      </c>
      <c r="N1910" t="str">
        <f>"Ppp3ca"</f>
        <v>Ppp3ca</v>
      </c>
      <c r="O1910" s="3" t="str">
        <f>HYPERLINK("http://www.informatics.jax.org/marker/MGI:107164", "MGI:107164")</f>
        <v>MGI:107164</v>
      </c>
      <c r="P1910" t="s">
        <v>22112</v>
      </c>
      <c r="Q1910" t="s">
        <v>32</v>
      </c>
      <c r="R1910" t="s">
        <v>17217</v>
      </c>
      <c r="S1910" t="s">
        <v>41</v>
      </c>
      <c r="T1910" t="s">
        <v>32</v>
      </c>
      <c r="U1910" t="s">
        <v>32</v>
      </c>
      <c r="V1910" t="s">
        <v>32</v>
      </c>
      <c r="W1910" t="s">
        <v>18878</v>
      </c>
      <c r="X1910" t="s">
        <v>22113</v>
      </c>
      <c r="Y1910" t="s">
        <v>22114</v>
      </c>
      <c r="Z1910" t="s">
        <v>126</v>
      </c>
      <c r="AA1910" t="s">
        <v>22115</v>
      </c>
      <c r="AB1910" t="s">
        <v>22116</v>
      </c>
      <c r="AC1910" t="s">
        <v>22117</v>
      </c>
      <c r="AD1910" t="s">
        <v>32</v>
      </c>
      <c r="AE1910" t="s">
        <v>22118</v>
      </c>
      <c r="AF1910" t="s">
        <v>46835</v>
      </c>
    </row>
    <row r="1911" spans="1:33" x14ac:dyDescent="0.2">
      <c r="A1911">
        <v>1906</v>
      </c>
      <c r="B1911" t="s">
        <v>22119</v>
      </c>
      <c r="C1911" t="s">
        <v>22120</v>
      </c>
      <c r="D1911" t="s">
        <v>22121</v>
      </c>
      <c r="E1911" t="s">
        <v>22122</v>
      </c>
      <c r="F1911" t="s">
        <v>22123</v>
      </c>
      <c r="G1911" t="s">
        <v>22124</v>
      </c>
      <c r="H1911" t="str">
        <f>"Gnai3"</f>
        <v>Gnai3</v>
      </c>
      <c r="I1911" t="s">
        <v>32</v>
      </c>
      <c r="J1911" t="s">
        <v>37</v>
      </c>
      <c r="K1911">
        <v>10090</v>
      </c>
      <c r="L1911" s="3" t="str">
        <f>HYPERLINK("http://www.uniprot.org/uniprot/Q9DC51", "Q9DC51")</f>
        <v>Q9DC51</v>
      </c>
      <c r="M1911" t="s">
        <v>22125</v>
      </c>
      <c r="N1911" t="str">
        <f>"Gnai3"</f>
        <v>Gnai3</v>
      </c>
      <c r="O1911" s="3" t="str">
        <f>HYPERLINK("http://www.informatics.jax.org/marker/MGI:95773", "MGI:95773")</f>
        <v>MGI:95773</v>
      </c>
      <c r="P1911" t="s">
        <v>22126</v>
      </c>
      <c r="Q1911" t="s">
        <v>11508</v>
      </c>
      <c r="R1911" t="s">
        <v>371</v>
      </c>
      <c r="S1911" t="s">
        <v>32</v>
      </c>
      <c r="T1911" t="s">
        <v>32</v>
      </c>
      <c r="U1911" t="s">
        <v>32</v>
      </c>
      <c r="V1911" t="s">
        <v>32</v>
      </c>
      <c r="W1911" t="s">
        <v>342</v>
      </c>
      <c r="X1911" t="s">
        <v>10391</v>
      </c>
      <c r="Y1911" t="s">
        <v>12649</v>
      </c>
      <c r="Z1911" t="s">
        <v>126</v>
      </c>
      <c r="AA1911" t="s">
        <v>22127</v>
      </c>
      <c r="AB1911" t="s">
        <v>22128</v>
      </c>
      <c r="AC1911" t="s">
        <v>22129</v>
      </c>
      <c r="AD1911" t="s">
        <v>32</v>
      </c>
      <c r="AE1911" t="s">
        <v>22130</v>
      </c>
      <c r="AF1911" t="s">
        <v>46835</v>
      </c>
    </row>
    <row r="1912" spans="1:33" x14ac:dyDescent="0.2">
      <c r="A1912">
        <v>1907</v>
      </c>
      <c r="B1912" t="s">
        <v>22131</v>
      </c>
      <c r="C1912" t="s">
        <v>22132</v>
      </c>
      <c r="D1912" t="s">
        <v>22133</v>
      </c>
      <c r="E1912" t="s">
        <v>22134</v>
      </c>
      <c r="F1912" t="s">
        <v>22135</v>
      </c>
      <c r="G1912" t="s">
        <v>22136</v>
      </c>
      <c r="H1912" t="str">
        <f>"Ppie"</f>
        <v>Ppie</v>
      </c>
      <c r="I1912" t="s">
        <v>22137</v>
      </c>
      <c r="J1912" t="s">
        <v>37</v>
      </c>
      <c r="K1912">
        <v>10090</v>
      </c>
      <c r="L1912" s="3" t="str">
        <f>HYPERLINK("http://www.uniprot.org/uniprot/Q9QZH3", "Q9QZH3")</f>
        <v>Q9QZH3</v>
      </c>
      <c r="M1912" t="s">
        <v>22138</v>
      </c>
      <c r="N1912" t="str">
        <f>"Ppie"</f>
        <v>Ppie</v>
      </c>
      <c r="O1912" s="3" t="str">
        <f>HYPERLINK("http://www.informatics.jax.org/marker/MGI:1917118", "MGI:1917118")</f>
        <v>MGI:1917118</v>
      </c>
      <c r="P1912" t="s">
        <v>22139</v>
      </c>
      <c r="Q1912" t="s">
        <v>2139</v>
      </c>
      <c r="R1912" t="s">
        <v>2140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22140</v>
      </c>
      <c r="Y1912" t="s">
        <v>618</v>
      </c>
      <c r="Z1912" t="s">
        <v>32</v>
      </c>
      <c r="AA1912" t="s">
        <v>22141</v>
      </c>
      <c r="AB1912" t="s">
        <v>22142</v>
      </c>
      <c r="AC1912" t="s">
        <v>22143</v>
      </c>
      <c r="AD1912" t="s">
        <v>32</v>
      </c>
      <c r="AE1912" t="s">
        <v>22144</v>
      </c>
      <c r="AF1912" t="s">
        <v>46835</v>
      </c>
    </row>
    <row r="1913" spans="1:33" x14ac:dyDescent="0.2">
      <c r="A1913">
        <v>1908</v>
      </c>
      <c r="B1913" t="s">
        <v>22145</v>
      </c>
      <c r="C1913" t="s">
        <v>22146</v>
      </c>
      <c r="D1913" t="s">
        <v>32</v>
      </c>
      <c r="E1913" t="s">
        <v>22147</v>
      </c>
      <c r="F1913" t="s">
        <v>22148</v>
      </c>
      <c r="G1913" t="s">
        <v>32</v>
      </c>
      <c r="H1913" t="str">
        <f>"Tm9sf3"</f>
        <v>Tm9sf3</v>
      </c>
      <c r="I1913" t="s">
        <v>22149</v>
      </c>
      <c r="J1913" t="s">
        <v>37</v>
      </c>
      <c r="K1913">
        <v>10090</v>
      </c>
      <c r="L1913" s="3" t="str">
        <f>HYPERLINK("http://www.uniprot.org/uniprot/Q9ET30", "Q9ET30")</f>
        <v>Q9ET30</v>
      </c>
      <c r="M1913" t="s">
        <v>22150</v>
      </c>
      <c r="N1913" t="str">
        <f>"Tm9sf3"</f>
        <v>Tm9sf3</v>
      </c>
      <c r="O1913" s="3" t="str">
        <f>HYPERLINK("http://www.informatics.jax.org/marker/MGI:1914262", "MGI:1914262")</f>
        <v>MGI:1914262</v>
      </c>
      <c r="P1913" t="s">
        <v>22151</v>
      </c>
      <c r="Q1913" t="s">
        <v>32</v>
      </c>
      <c r="R1913" t="s">
        <v>5989</v>
      </c>
      <c r="S1913" t="s">
        <v>32</v>
      </c>
      <c r="T1913" t="s">
        <v>32</v>
      </c>
      <c r="U1913" t="s">
        <v>32</v>
      </c>
      <c r="V1913" t="s">
        <v>3948</v>
      </c>
      <c r="W1913" t="s">
        <v>32</v>
      </c>
      <c r="X1913" t="s">
        <v>32</v>
      </c>
      <c r="Y1913" t="s">
        <v>3733</v>
      </c>
      <c r="Z1913" t="s">
        <v>32</v>
      </c>
      <c r="AA1913" t="s">
        <v>22152</v>
      </c>
      <c r="AB1913" t="s">
        <v>22153</v>
      </c>
      <c r="AC1913" t="s">
        <v>32</v>
      </c>
      <c r="AD1913" t="s">
        <v>32</v>
      </c>
      <c r="AE1913" t="s">
        <v>32</v>
      </c>
      <c r="AF1913" t="s">
        <v>46835</v>
      </c>
    </row>
    <row r="1914" spans="1:33" x14ac:dyDescent="0.2">
      <c r="A1914">
        <v>1909</v>
      </c>
      <c r="B1914" t="s">
        <v>22154</v>
      </c>
      <c r="C1914" t="s">
        <v>47120</v>
      </c>
      <c r="D1914" t="s">
        <v>32</v>
      </c>
      <c r="E1914" t="s">
        <v>46938</v>
      </c>
      <c r="F1914" t="s">
        <v>46937</v>
      </c>
      <c r="G1914" t="s">
        <v>32</v>
      </c>
      <c r="H1914" t="s">
        <v>47251</v>
      </c>
      <c r="I1914" t="s">
        <v>32</v>
      </c>
      <c r="J1914" t="s">
        <v>37</v>
      </c>
      <c r="K1914">
        <v>10090</v>
      </c>
      <c r="L1914" s="3" t="str">
        <f>HYPERLINK(CONCATENATE("https://www.uniprot.org/uniprotkb/", AG1914, "/entry"), AG1914)</f>
        <v>Q99J77</v>
      </c>
      <c r="M1914" t="s">
        <v>32</v>
      </c>
      <c r="N1914" t="s">
        <v>32</v>
      </c>
      <c r="O1914" s="3" t="s">
        <v>32</v>
      </c>
      <c r="P1914" t="s">
        <v>32</v>
      </c>
      <c r="Q1914" t="s">
        <v>32</v>
      </c>
      <c r="R1914" t="s">
        <v>32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32</v>
      </c>
      <c r="Y1914" t="s">
        <v>32</v>
      </c>
      <c r="Z1914" t="s">
        <v>32</v>
      </c>
      <c r="AA1914" t="s">
        <v>32</v>
      </c>
      <c r="AB1914" t="s">
        <v>32</v>
      </c>
      <c r="AC1914" t="s">
        <v>32</v>
      </c>
      <c r="AD1914" t="s">
        <v>32</v>
      </c>
      <c r="AE1914" t="s">
        <v>32</v>
      </c>
      <c r="AF1914" t="s">
        <v>46835</v>
      </c>
      <c r="AG1914" t="s">
        <v>46937</v>
      </c>
    </row>
    <row r="1915" spans="1:33" x14ac:dyDescent="0.2">
      <c r="A1915">
        <v>1910</v>
      </c>
      <c r="B1915" t="s">
        <v>22155</v>
      </c>
      <c r="C1915" t="s">
        <v>22156</v>
      </c>
      <c r="D1915" t="s">
        <v>32</v>
      </c>
      <c r="E1915" t="s">
        <v>22157</v>
      </c>
      <c r="F1915" t="s">
        <v>22158</v>
      </c>
      <c r="G1915" t="s">
        <v>22159</v>
      </c>
      <c r="H1915" t="str">
        <f>"Fahd2"</f>
        <v>Fahd2</v>
      </c>
      <c r="I1915" t="s">
        <v>22160</v>
      </c>
      <c r="J1915" t="s">
        <v>37</v>
      </c>
      <c r="K1915">
        <v>10090</v>
      </c>
      <c r="L1915" s="3" t="str">
        <f>HYPERLINK("http://www.uniprot.org/uniprot/Q3TC72", "Q3TC72")</f>
        <v>Q3TC72</v>
      </c>
      <c r="M1915" t="s">
        <v>22161</v>
      </c>
      <c r="N1915" t="str">
        <f>"Fahd2a"</f>
        <v>Fahd2a</v>
      </c>
      <c r="O1915" s="3" t="str">
        <f>HYPERLINK("http://www.informatics.jax.org/marker/MGI:1915376", "MGI:1915376")</f>
        <v>MGI:1915376</v>
      </c>
      <c r="P1915" t="s">
        <v>22162</v>
      </c>
      <c r="Q1915" t="s">
        <v>32</v>
      </c>
      <c r="R1915" t="s">
        <v>32</v>
      </c>
      <c r="S1915" t="s">
        <v>32</v>
      </c>
      <c r="T1915" t="s">
        <v>32</v>
      </c>
      <c r="U1915" t="s">
        <v>32</v>
      </c>
      <c r="V1915" t="s">
        <v>32</v>
      </c>
      <c r="W1915" t="s">
        <v>18891</v>
      </c>
      <c r="X1915" t="s">
        <v>343</v>
      </c>
      <c r="Y1915" t="s">
        <v>157</v>
      </c>
      <c r="Z1915" t="s">
        <v>32</v>
      </c>
      <c r="AA1915" t="s">
        <v>32</v>
      </c>
      <c r="AB1915" t="s">
        <v>3721</v>
      </c>
      <c r="AC1915" t="s">
        <v>22163</v>
      </c>
      <c r="AD1915" t="s">
        <v>32</v>
      </c>
      <c r="AE1915" t="s">
        <v>32</v>
      </c>
      <c r="AF1915" t="s">
        <v>46835</v>
      </c>
    </row>
    <row r="1916" spans="1:33" x14ac:dyDescent="0.2">
      <c r="A1916">
        <v>1911</v>
      </c>
      <c r="B1916" t="s">
        <v>22164</v>
      </c>
      <c r="C1916" t="s">
        <v>22165</v>
      </c>
      <c r="D1916" t="s">
        <v>22166</v>
      </c>
      <c r="E1916" t="s">
        <v>22167</v>
      </c>
      <c r="F1916" t="s">
        <v>22168</v>
      </c>
      <c r="G1916" t="s">
        <v>32</v>
      </c>
      <c r="H1916" t="str">
        <f>"Aldh1l1"</f>
        <v>Aldh1l1</v>
      </c>
      <c r="I1916" t="s">
        <v>22169</v>
      </c>
      <c r="J1916" t="s">
        <v>37</v>
      </c>
      <c r="K1916">
        <v>10090</v>
      </c>
      <c r="L1916" s="3" t="str">
        <f>HYPERLINK("http://www.uniprot.org/uniprot/Q8R0Y6", "Q8R0Y6")</f>
        <v>Q8R0Y6</v>
      </c>
      <c r="M1916" t="s">
        <v>22170</v>
      </c>
      <c r="N1916" t="str">
        <f>"Aldh1l1"</f>
        <v>Aldh1l1</v>
      </c>
      <c r="O1916" s="3" t="str">
        <f>HYPERLINK("http://www.informatics.jax.org/marker/MGI:1340024", "MGI:1340024")</f>
        <v>MGI:1340024</v>
      </c>
      <c r="P1916" t="s">
        <v>22171</v>
      </c>
      <c r="Q1916" t="s">
        <v>2308</v>
      </c>
      <c r="R1916" t="s">
        <v>418</v>
      </c>
      <c r="S1916" t="s">
        <v>32</v>
      </c>
      <c r="T1916" t="s">
        <v>32</v>
      </c>
      <c r="U1916" t="s">
        <v>32</v>
      </c>
      <c r="V1916" t="s">
        <v>32</v>
      </c>
      <c r="W1916" t="s">
        <v>3204</v>
      </c>
      <c r="X1916" t="s">
        <v>600</v>
      </c>
      <c r="Y1916" t="s">
        <v>13879</v>
      </c>
      <c r="Z1916" t="s">
        <v>32</v>
      </c>
      <c r="AA1916" t="s">
        <v>22172</v>
      </c>
      <c r="AB1916" t="s">
        <v>14997</v>
      </c>
      <c r="AC1916" t="s">
        <v>22173</v>
      </c>
      <c r="AD1916" t="s">
        <v>32</v>
      </c>
      <c r="AE1916" t="s">
        <v>7202</v>
      </c>
      <c r="AF1916" t="s">
        <v>46835</v>
      </c>
    </row>
    <row r="1917" spans="1:33" x14ac:dyDescent="0.2">
      <c r="A1917">
        <v>1912</v>
      </c>
      <c r="B1917" t="s">
        <v>22174</v>
      </c>
      <c r="C1917" t="s">
        <v>22175</v>
      </c>
      <c r="D1917" t="s">
        <v>22176</v>
      </c>
      <c r="E1917" t="s">
        <v>22177</v>
      </c>
      <c r="F1917" t="s">
        <v>22178</v>
      </c>
      <c r="G1917" t="s">
        <v>32</v>
      </c>
      <c r="H1917" t="str">
        <f>"Lancl1"</f>
        <v>Lancl1</v>
      </c>
      <c r="I1917" t="s">
        <v>32</v>
      </c>
      <c r="J1917" t="s">
        <v>37</v>
      </c>
      <c r="K1917">
        <v>10090</v>
      </c>
      <c r="L1917" s="3" t="str">
        <f>HYPERLINK("http://www.uniprot.org/uniprot/O89112", "O89112")</f>
        <v>O89112</v>
      </c>
      <c r="M1917" t="s">
        <v>22179</v>
      </c>
      <c r="N1917" t="str">
        <f>"Lancl1"</f>
        <v>Lancl1</v>
      </c>
      <c r="O1917" s="3" t="str">
        <f>HYPERLINK("http://www.informatics.jax.org/marker/MGI:1336997", "MGI:1336997")</f>
        <v>MGI:1336997</v>
      </c>
      <c r="P1917" t="s">
        <v>22180</v>
      </c>
      <c r="Q1917" t="s">
        <v>32</v>
      </c>
      <c r="R1917" t="s">
        <v>222</v>
      </c>
      <c r="S1917" t="s">
        <v>32</v>
      </c>
      <c r="T1917" t="s">
        <v>32</v>
      </c>
      <c r="U1917" t="s">
        <v>32</v>
      </c>
      <c r="V1917" t="s">
        <v>32</v>
      </c>
      <c r="W1917" t="s">
        <v>42</v>
      </c>
      <c r="X1917" t="s">
        <v>515</v>
      </c>
      <c r="Y1917" t="s">
        <v>78</v>
      </c>
      <c r="Z1917" t="s">
        <v>32</v>
      </c>
      <c r="AA1917" t="s">
        <v>22181</v>
      </c>
      <c r="AB1917" t="s">
        <v>22182</v>
      </c>
      <c r="AC1917" t="s">
        <v>22183</v>
      </c>
      <c r="AD1917" t="s">
        <v>32</v>
      </c>
      <c r="AE1917" t="s">
        <v>32</v>
      </c>
      <c r="AF1917" t="s">
        <v>46835</v>
      </c>
    </row>
    <row r="1918" spans="1:33" x14ac:dyDescent="0.2">
      <c r="A1918">
        <v>1913</v>
      </c>
      <c r="B1918" t="s">
        <v>22184</v>
      </c>
      <c r="C1918" t="s">
        <v>22185</v>
      </c>
      <c r="D1918" t="s">
        <v>22186</v>
      </c>
      <c r="E1918" t="s">
        <v>22187</v>
      </c>
      <c r="F1918" t="s">
        <v>22188</v>
      </c>
      <c r="G1918" t="s">
        <v>22189</v>
      </c>
      <c r="H1918" t="str">
        <f>"Atad3"</f>
        <v>Atad3</v>
      </c>
      <c r="I1918" t="s">
        <v>22190</v>
      </c>
      <c r="J1918" t="s">
        <v>37</v>
      </c>
      <c r="K1918">
        <v>10090</v>
      </c>
      <c r="L1918" s="3" t="str">
        <f>HYPERLINK("http://www.uniprot.org/uniprot/Q925I1", "Q925I1")</f>
        <v>Q925I1</v>
      </c>
      <c r="M1918" t="s">
        <v>22191</v>
      </c>
      <c r="N1918" t="str">
        <f>"Atad3a"</f>
        <v>Atad3a</v>
      </c>
      <c r="O1918" s="3" t="str">
        <f>HYPERLINK("http://www.informatics.jax.org/marker/MGI:1919214", "MGI:1919214")</f>
        <v>MGI:1919214</v>
      </c>
      <c r="P1918" t="s">
        <v>22192</v>
      </c>
      <c r="Q1918" t="s">
        <v>32</v>
      </c>
      <c r="R1918" t="s">
        <v>22193</v>
      </c>
      <c r="S1918" t="s">
        <v>41</v>
      </c>
      <c r="T1918" t="s">
        <v>32</v>
      </c>
      <c r="U1918" t="s">
        <v>32</v>
      </c>
      <c r="V1918" t="s">
        <v>6500</v>
      </c>
      <c r="W1918" t="s">
        <v>205</v>
      </c>
      <c r="X1918" t="s">
        <v>32</v>
      </c>
      <c r="Y1918" t="s">
        <v>78</v>
      </c>
      <c r="Z1918" t="s">
        <v>32</v>
      </c>
      <c r="AA1918" t="s">
        <v>22194</v>
      </c>
      <c r="AB1918" t="s">
        <v>22195</v>
      </c>
      <c r="AC1918" t="s">
        <v>22196</v>
      </c>
      <c r="AD1918" t="s">
        <v>32</v>
      </c>
      <c r="AE1918" t="s">
        <v>548</v>
      </c>
      <c r="AF1918" t="s">
        <v>46835</v>
      </c>
    </row>
    <row r="1919" spans="1:33" x14ac:dyDescent="0.2">
      <c r="A1919">
        <v>1914</v>
      </c>
      <c r="B1919" t="s">
        <v>22197</v>
      </c>
      <c r="C1919" t="s">
        <v>22198</v>
      </c>
      <c r="D1919" t="s">
        <v>22199</v>
      </c>
      <c r="E1919" t="s">
        <v>22200</v>
      </c>
      <c r="F1919" t="s">
        <v>22201</v>
      </c>
      <c r="G1919" t="s">
        <v>22202</v>
      </c>
      <c r="H1919" t="str">
        <f>"Rbm26"</f>
        <v>Rbm26</v>
      </c>
      <c r="I1919" t="s">
        <v>32</v>
      </c>
      <c r="J1919" t="s">
        <v>37</v>
      </c>
      <c r="K1919">
        <v>10090</v>
      </c>
      <c r="L1919" s="3" t="str">
        <f>HYPERLINK("http://www.uniprot.org/uniprot/Q6NZN0", "Q6NZN0")</f>
        <v>Q6NZN0</v>
      </c>
      <c r="M1919" t="s">
        <v>22203</v>
      </c>
      <c r="N1919" t="str">
        <f>"Rbm26"</f>
        <v>Rbm26</v>
      </c>
      <c r="O1919" s="3" t="str">
        <f>HYPERLINK("http://www.informatics.jax.org/marker/MGI:1921463", "MGI:1921463")</f>
        <v>MGI:1921463</v>
      </c>
      <c r="P1919" t="s">
        <v>22204</v>
      </c>
      <c r="Q1919" t="s">
        <v>32</v>
      </c>
      <c r="R1919" t="s">
        <v>32</v>
      </c>
      <c r="S1919" t="s">
        <v>41</v>
      </c>
      <c r="T1919" t="s">
        <v>32</v>
      </c>
      <c r="U1919" t="s">
        <v>32</v>
      </c>
      <c r="V1919" t="s">
        <v>12028</v>
      </c>
      <c r="W1919" t="s">
        <v>42</v>
      </c>
      <c r="X1919" t="s">
        <v>1282</v>
      </c>
      <c r="Y1919" t="s">
        <v>516</v>
      </c>
      <c r="Z1919" t="s">
        <v>32</v>
      </c>
      <c r="AA1919" t="s">
        <v>22205</v>
      </c>
      <c r="AB1919" t="s">
        <v>3606</v>
      </c>
      <c r="AC1919" t="s">
        <v>22206</v>
      </c>
      <c r="AD1919" t="s">
        <v>32</v>
      </c>
      <c r="AE1919" t="s">
        <v>32</v>
      </c>
      <c r="AF1919" t="s">
        <v>46835</v>
      </c>
    </row>
    <row r="1920" spans="1:33" x14ac:dyDescent="0.2">
      <c r="A1920">
        <v>1915</v>
      </c>
      <c r="B1920" t="s">
        <v>22207</v>
      </c>
      <c r="C1920" t="s">
        <v>22208</v>
      </c>
      <c r="D1920" t="s">
        <v>32</v>
      </c>
      <c r="E1920" t="s">
        <v>22209</v>
      </c>
      <c r="F1920" t="s">
        <v>22210</v>
      </c>
      <c r="G1920" t="s">
        <v>22211</v>
      </c>
      <c r="H1920" t="str">
        <f>"Nudcd3"</f>
        <v>Nudcd3</v>
      </c>
      <c r="I1920" t="s">
        <v>22212</v>
      </c>
      <c r="J1920" t="s">
        <v>37</v>
      </c>
      <c r="K1920">
        <v>10090</v>
      </c>
      <c r="L1920" s="3" t="str">
        <f>HYPERLINK("http://www.uniprot.org/uniprot/Q8R1N4", "Q8R1N4")</f>
        <v>Q8R1N4</v>
      </c>
      <c r="M1920" t="s">
        <v>22213</v>
      </c>
      <c r="N1920" t="str">
        <f>"Nudcd3"</f>
        <v>Nudcd3</v>
      </c>
      <c r="O1920" s="3" t="str">
        <f>HYPERLINK("http://www.informatics.jax.org/marker/MGI:2144158", "MGI:2144158")</f>
        <v>MGI:2144158</v>
      </c>
      <c r="P1920" t="s">
        <v>13974</v>
      </c>
      <c r="Q1920" t="s">
        <v>32</v>
      </c>
      <c r="R1920" t="s">
        <v>32</v>
      </c>
      <c r="S1920" t="s">
        <v>41</v>
      </c>
      <c r="T1920" t="s">
        <v>32</v>
      </c>
      <c r="U1920" t="s">
        <v>32</v>
      </c>
      <c r="V1920" t="s">
        <v>32</v>
      </c>
      <c r="W1920" t="s">
        <v>32</v>
      </c>
      <c r="X1920" t="s">
        <v>32</v>
      </c>
      <c r="Y1920" t="s">
        <v>618</v>
      </c>
      <c r="Z1920" t="s">
        <v>32</v>
      </c>
      <c r="AA1920" t="s">
        <v>22214</v>
      </c>
      <c r="AB1920" t="s">
        <v>22215</v>
      </c>
      <c r="AC1920" t="s">
        <v>2972</v>
      </c>
      <c r="AD1920" t="s">
        <v>32</v>
      </c>
      <c r="AE1920" t="s">
        <v>32</v>
      </c>
      <c r="AF1920" t="s">
        <v>46835</v>
      </c>
    </row>
    <row r="1921" spans="1:32" x14ac:dyDescent="0.2">
      <c r="A1921">
        <v>1916</v>
      </c>
      <c r="B1921" t="s">
        <v>22216</v>
      </c>
      <c r="C1921" t="s">
        <v>22217</v>
      </c>
      <c r="D1921" t="s">
        <v>22218</v>
      </c>
      <c r="E1921" t="s">
        <v>22219</v>
      </c>
      <c r="F1921" t="s">
        <v>22220</v>
      </c>
      <c r="G1921" t="s">
        <v>32</v>
      </c>
      <c r="H1921" t="str">
        <f>"Sncg"</f>
        <v>Sncg</v>
      </c>
      <c r="I1921" t="s">
        <v>22218</v>
      </c>
      <c r="J1921" t="s">
        <v>37</v>
      </c>
      <c r="K1921">
        <v>10090</v>
      </c>
      <c r="L1921" s="3" t="str">
        <f>HYPERLINK("http://www.uniprot.org/uniprot/Q9Z0F7", "Q9Z0F7")</f>
        <v>Q9Z0F7</v>
      </c>
      <c r="M1921" t="s">
        <v>22221</v>
      </c>
      <c r="N1921" t="str">
        <f>"Sncg"</f>
        <v>Sncg</v>
      </c>
      <c r="O1921" s="3" t="str">
        <f>HYPERLINK("http://www.informatics.jax.org/marker/MGI:1298397", "MGI:1298397")</f>
        <v>MGI:1298397</v>
      </c>
      <c r="P1921" t="s">
        <v>22222</v>
      </c>
      <c r="Q1921" t="s">
        <v>32</v>
      </c>
      <c r="R1921" t="s">
        <v>186</v>
      </c>
      <c r="S1921" t="s">
        <v>32</v>
      </c>
      <c r="T1921" t="s">
        <v>32</v>
      </c>
      <c r="U1921" t="s">
        <v>32</v>
      </c>
      <c r="V1921" t="s">
        <v>55</v>
      </c>
      <c r="W1921" t="s">
        <v>32</v>
      </c>
      <c r="X1921" t="s">
        <v>32</v>
      </c>
      <c r="Y1921" t="s">
        <v>618</v>
      </c>
      <c r="Z1921" t="s">
        <v>32</v>
      </c>
      <c r="AA1921" t="s">
        <v>22223</v>
      </c>
      <c r="AB1921" t="s">
        <v>22224</v>
      </c>
      <c r="AC1921" t="s">
        <v>22225</v>
      </c>
      <c r="AD1921" t="s">
        <v>32</v>
      </c>
      <c r="AE1921" t="s">
        <v>32</v>
      </c>
      <c r="AF1921" t="s">
        <v>46835</v>
      </c>
    </row>
    <row r="1922" spans="1:32" x14ac:dyDescent="0.2">
      <c r="A1922">
        <v>1917</v>
      </c>
      <c r="B1922" t="s">
        <v>22226</v>
      </c>
      <c r="C1922" t="s">
        <v>22227</v>
      </c>
      <c r="D1922" t="s">
        <v>22228</v>
      </c>
      <c r="E1922" t="s">
        <v>22229</v>
      </c>
      <c r="F1922" t="s">
        <v>22230</v>
      </c>
      <c r="G1922" t="s">
        <v>22231</v>
      </c>
      <c r="H1922" t="str">
        <f>"Cfdp1"</f>
        <v>Cfdp1</v>
      </c>
      <c r="I1922" t="s">
        <v>22232</v>
      </c>
      <c r="J1922" t="s">
        <v>37</v>
      </c>
      <c r="K1922">
        <v>10090</v>
      </c>
      <c r="L1922" s="3" t="str">
        <f>HYPERLINK("http://www.uniprot.org/uniprot/O88271", "O88271")</f>
        <v>O88271</v>
      </c>
      <c r="M1922" t="s">
        <v>22233</v>
      </c>
      <c r="N1922" t="str">
        <f>"Cfdp1"</f>
        <v>Cfdp1</v>
      </c>
      <c r="O1922" s="3" t="str">
        <f>HYPERLINK("http://www.informatics.jax.org/marker/MGI:1344403", "MGI:1344403")</f>
        <v>MGI:1344403</v>
      </c>
      <c r="P1922" t="s">
        <v>22234</v>
      </c>
      <c r="Q1922" t="s">
        <v>32</v>
      </c>
      <c r="R1922" t="s">
        <v>22235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2029</v>
      </c>
      <c r="Y1922" t="s">
        <v>2192</v>
      </c>
      <c r="Z1922" t="s">
        <v>32</v>
      </c>
      <c r="AA1922" t="s">
        <v>22236</v>
      </c>
      <c r="AB1922" t="s">
        <v>22237</v>
      </c>
      <c r="AC1922" t="s">
        <v>32</v>
      </c>
      <c r="AD1922" t="s">
        <v>32</v>
      </c>
      <c r="AE1922" t="s">
        <v>32</v>
      </c>
      <c r="AF1922" t="s">
        <v>46835</v>
      </c>
    </row>
    <row r="1923" spans="1:32" x14ac:dyDescent="0.2">
      <c r="A1923">
        <v>1918</v>
      </c>
      <c r="B1923" t="s">
        <v>22238</v>
      </c>
      <c r="C1923" t="s">
        <v>22239</v>
      </c>
      <c r="D1923" t="s">
        <v>22240</v>
      </c>
      <c r="E1923" t="s">
        <v>22241</v>
      </c>
      <c r="F1923" t="s">
        <v>22242</v>
      </c>
      <c r="G1923" t="s">
        <v>22243</v>
      </c>
      <c r="H1923" t="str">
        <f>"Ero1a"</f>
        <v>Ero1a</v>
      </c>
      <c r="I1923" t="s">
        <v>22244</v>
      </c>
      <c r="J1923" t="s">
        <v>37</v>
      </c>
      <c r="K1923">
        <v>10090</v>
      </c>
      <c r="L1923" s="3" t="str">
        <f>HYPERLINK("http://www.uniprot.org/uniprot/Q8R180", "Q8R180")</f>
        <v>Q8R180</v>
      </c>
      <c r="M1923" t="s">
        <v>22245</v>
      </c>
      <c r="N1923" t="str">
        <f>"Ero1a"</f>
        <v>Ero1a</v>
      </c>
      <c r="O1923" s="3" t="str">
        <f>HYPERLINK("http://www.informatics.jax.org/marker/MGI:1354385", "MGI:1354385")</f>
        <v>MGI:1354385</v>
      </c>
      <c r="P1923" t="s">
        <v>22246</v>
      </c>
      <c r="Q1923" t="s">
        <v>22247</v>
      </c>
      <c r="R1923" t="s">
        <v>22248</v>
      </c>
      <c r="S1923" t="s">
        <v>32</v>
      </c>
      <c r="T1923" t="s">
        <v>32</v>
      </c>
      <c r="U1923" t="s">
        <v>32</v>
      </c>
      <c r="V1923" t="s">
        <v>10203</v>
      </c>
      <c r="W1923" t="s">
        <v>4600</v>
      </c>
      <c r="X1923" t="s">
        <v>600</v>
      </c>
      <c r="Y1923" t="s">
        <v>2865</v>
      </c>
      <c r="Z1923" t="s">
        <v>32</v>
      </c>
      <c r="AA1923" t="s">
        <v>22249</v>
      </c>
      <c r="AB1923" t="s">
        <v>22250</v>
      </c>
      <c r="AC1923" t="s">
        <v>22251</v>
      </c>
      <c r="AD1923" t="s">
        <v>32</v>
      </c>
      <c r="AE1923" t="s">
        <v>22252</v>
      </c>
      <c r="AF1923" t="s">
        <v>46835</v>
      </c>
    </row>
    <row r="1924" spans="1:32" x14ac:dyDescent="0.2">
      <c r="A1924">
        <v>1919</v>
      </c>
      <c r="B1924" t="s">
        <v>22253</v>
      </c>
      <c r="C1924" t="s">
        <v>22254</v>
      </c>
      <c r="D1924" t="s">
        <v>22255</v>
      </c>
      <c r="E1924" t="s">
        <v>22256</v>
      </c>
      <c r="F1924" t="s">
        <v>22257</v>
      </c>
      <c r="G1924" t="s">
        <v>22258</v>
      </c>
      <c r="H1924" t="str">
        <f>"Ncbp1"</f>
        <v>Ncbp1</v>
      </c>
      <c r="I1924" t="s">
        <v>22259</v>
      </c>
      <c r="J1924" t="s">
        <v>37</v>
      </c>
      <c r="K1924">
        <v>10090</v>
      </c>
      <c r="L1924" s="3" t="str">
        <f>HYPERLINK("http://www.uniprot.org/uniprot/Q3UYV9", "Q3UYV9")</f>
        <v>Q3UYV9</v>
      </c>
      <c r="M1924" t="s">
        <v>22260</v>
      </c>
      <c r="N1924" t="str">
        <f>"Ncbp1"</f>
        <v>Ncbp1</v>
      </c>
      <c r="O1924" s="3" t="str">
        <f>HYPERLINK("http://www.informatics.jax.org/marker/MGI:1891840", "MGI:1891840")</f>
        <v>MGI:1891840</v>
      </c>
      <c r="P1924" t="s">
        <v>22261</v>
      </c>
      <c r="Q1924" t="s">
        <v>22262</v>
      </c>
      <c r="R1924" t="s">
        <v>40</v>
      </c>
      <c r="S1924" t="s">
        <v>32</v>
      </c>
      <c r="T1924" t="s">
        <v>32</v>
      </c>
      <c r="U1924" t="s">
        <v>32</v>
      </c>
      <c r="V1924" t="s">
        <v>290</v>
      </c>
      <c r="W1924" t="s">
        <v>32</v>
      </c>
      <c r="X1924" t="s">
        <v>32</v>
      </c>
      <c r="Y1924" t="s">
        <v>516</v>
      </c>
      <c r="Z1924" t="s">
        <v>126</v>
      </c>
      <c r="AA1924" t="s">
        <v>22263</v>
      </c>
      <c r="AB1924" t="s">
        <v>22264</v>
      </c>
      <c r="AC1924" t="s">
        <v>22265</v>
      </c>
      <c r="AD1924" t="s">
        <v>32</v>
      </c>
      <c r="AE1924" t="s">
        <v>22266</v>
      </c>
      <c r="AF1924" t="s">
        <v>46835</v>
      </c>
    </row>
    <row r="1925" spans="1:32" x14ac:dyDescent="0.2">
      <c r="A1925">
        <v>1920</v>
      </c>
      <c r="B1925" t="s">
        <v>22267</v>
      </c>
      <c r="C1925" t="s">
        <v>22268</v>
      </c>
      <c r="D1925" t="s">
        <v>32</v>
      </c>
      <c r="E1925" t="s">
        <v>22269</v>
      </c>
      <c r="F1925" t="s">
        <v>22270</v>
      </c>
      <c r="G1925" t="s">
        <v>22271</v>
      </c>
      <c r="H1925" t="str">
        <f>"Obsl1"</f>
        <v>Obsl1</v>
      </c>
      <c r="I1925" t="s">
        <v>32</v>
      </c>
      <c r="J1925" t="s">
        <v>37</v>
      </c>
      <c r="K1925">
        <v>10090</v>
      </c>
      <c r="L1925" s="3" t="str">
        <f>HYPERLINK("http://www.uniprot.org/uniprot/D3YYU8", "D3YYU8")</f>
        <v>D3YYU8</v>
      </c>
      <c r="M1925" t="s">
        <v>22272</v>
      </c>
      <c r="N1925" t="str">
        <f>"Obsl1"</f>
        <v>Obsl1</v>
      </c>
      <c r="O1925" s="3" t="str">
        <f>HYPERLINK("http://www.informatics.jax.org/marker/MGI:2138628", "MGI:2138628")</f>
        <v>MGI:2138628</v>
      </c>
      <c r="P1925" t="s">
        <v>22273</v>
      </c>
      <c r="Q1925" t="s">
        <v>32</v>
      </c>
      <c r="R1925" t="s">
        <v>8179</v>
      </c>
      <c r="S1925" t="s">
        <v>41</v>
      </c>
      <c r="T1925" t="s">
        <v>32</v>
      </c>
      <c r="U1925" t="s">
        <v>32</v>
      </c>
      <c r="V1925" t="s">
        <v>22274</v>
      </c>
      <c r="W1925" t="s">
        <v>32</v>
      </c>
      <c r="X1925" t="s">
        <v>32</v>
      </c>
      <c r="Y1925" t="s">
        <v>2080</v>
      </c>
      <c r="Z1925" t="s">
        <v>32</v>
      </c>
      <c r="AA1925" t="s">
        <v>22275</v>
      </c>
      <c r="AB1925" t="s">
        <v>22276</v>
      </c>
      <c r="AC1925" t="s">
        <v>32</v>
      </c>
      <c r="AD1925" t="s">
        <v>32</v>
      </c>
      <c r="AE1925" t="s">
        <v>32</v>
      </c>
      <c r="AF1925" t="s">
        <v>46835</v>
      </c>
    </row>
    <row r="1926" spans="1:32" x14ac:dyDescent="0.2">
      <c r="A1926">
        <v>1921</v>
      </c>
      <c r="B1926" t="s">
        <v>22277</v>
      </c>
      <c r="C1926" t="s">
        <v>22278</v>
      </c>
      <c r="D1926" t="s">
        <v>22279</v>
      </c>
      <c r="E1926" t="s">
        <v>22280</v>
      </c>
      <c r="F1926" t="s">
        <v>22281</v>
      </c>
      <c r="G1926" t="s">
        <v>22282</v>
      </c>
      <c r="H1926" t="str">
        <f>"Epha2"</f>
        <v>Epha2</v>
      </c>
      <c r="I1926" t="s">
        <v>22283</v>
      </c>
      <c r="J1926" t="s">
        <v>37</v>
      </c>
      <c r="K1926">
        <v>10090</v>
      </c>
      <c r="L1926" s="3" t="str">
        <f>HYPERLINK("http://www.uniprot.org/uniprot/Q03145", "Q03145")</f>
        <v>Q03145</v>
      </c>
      <c r="M1926" t="s">
        <v>22284</v>
      </c>
      <c r="N1926" t="str">
        <f>"Epha2"</f>
        <v>Epha2</v>
      </c>
      <c r="O1926" s="3" t="str">
        <f>HYPERLINK("http://www.informatics.jax.org/marker/MGI:95278", "MGI:95278")</f>
        <v>MGI:95278</v>
      </c>
      <c r="P1926" t="s">
        <v>22285</v>
      </c>
      <c r="Q1926" t="s">
        <v>22286</v>
      </c>
      <c r="R1926" t="s">
        <v>22287</v>
      </c>
      <c r="S1926" t="s">
        <v>32</v>
      </c>
      <c r="T1926" t="s">
        <v>32</v>
      </c>
      <c r="U1926" t="s">
        <v>32</v>
      </c>
      <c r="V1926" t="s">
        <v>1665</v>
      </c>
      <c r="W1926" t="s">
        <v>205</v>
      </c>
      <c r="X1926" t="s">
        <v>22288</v>
      </c>
      <c r="Y1926" t="s">
        <v>17081</v>
      </c>
      <c r="Z1926" t="s">
        <v>126</v>
      </c>
      <c r="AA1926" t="s">
        <v>22289</v>
      </c>
      <c r="AB1926" t="s">
        <v>22290</v>
      </c>
      <c r="AC1926" t="s">
        <v>22291</v>
      </c>
      <c r="AD1926" t="s">
        <v>32</v>
      </c>
      <c r="AE1926" t="s">
        <v>22292</v>
      </c>
      <c r="AF1926" t="s">
        <v>46835</v>
      </c>
    </row>
    <row r="1927" spans="1:32" x14ac:dyDescent="0.2">
      <c r="A1927">
        <v>1922</v>
      </c>
      <c r="B1927" t="s">
        <v>22293</v>
      </c>
      <c r="C1927" t="s">
        <v>22294</v>
      </c>
      <c r="D1927" t="s">
        <v>22295</v>
      </c>
      <c r="E1927" t="s">
        <v>22296</v>
      </c>
      <c r="F1927" t="s">
        <v>22297</v>
      </c>
      <c r="G1927" t="s">
        <v>22298</v>
      </c>
      <c r="H1927" t="str">
        <f>"Slc16a3"</f>
        <v>Slc16a3</v>
      </c>
      <c r="I1927" t="s">
        <v>22299</v>
      </c>
      <c r="J1927" t="s">
        <v>37</v>
      </c>
      <c r="K1927">
        <v>10090</v>
      </c>
      <c r="L1927" s="3" t="str">
        <f>HYPERLINK("http://www.uniprot.org/uniprot/P57787", "P57787")</f>
        <v>P57787</v>
      </c>
      <c r="M1927" t="s">
        <v>22300</v>
      </c>
      <c r="N1927" t="str">
        <f>"Slc16a3"</f>
        <v>Slc16a3</v>
      </c>
      <c r="O1927" s="3" t="str">
        <f>HYPERLINK("http://www.informatics.jax.org/marker/MGI:1933438", "MGI:1933438")</f>
        <v>MGI:1933438</v>
      </c>
      <c r="P1927" t="s">
        <v>22301</v>
      </c>
      <c r="Q1927" t="s">
        <v>6165</v>
      </c>
      <c r="R1927" t="s">
        <v>2474</v>
      </c>
      <c r="S1927" t="s">
        <v>32</v>
      </c>
      <c r="T1927" t="s">
        <v>32</v>
      </c>
      <c r="U1927" t="s">
        <v>32</v>
      </c>
      <c r="V1927" t="s">
        <v>493</v>
      </c>
      <c r="W1927" t="s">
        <v>32</v>
      </c>
      <c r="X1927" t="s">
        <v>32</v>
      </c>
      <c r="Y1927" t="s">
        <v>618</v>
      </c>
      <c r="Z1927" t="s">
        <v>32</v>
      </c>
      <c r="AA1927" t="s">
        <v>22302</v>
      </c>
      <c r="AB1927" t="s">
        <v>22303</v>
      </c>
      <c r="AC1927" t="s">
        <v>22304</v>
      </c>
      <c r="AD1927" t="s">
        <v>32</v>
      </c>
      <c r="AE1927" t="s">
        <v>32</v>
      </c>
      <c r="AF1927" t="s">
        <v>46835</v>
      </c>
    </row>
    <row r="1928" spans="1:32" x14ac:dyDescent="0.2">
      <c r="A1928">
        <v>1923</v>
      </c>
      <c r="B1928" t="s">
        <v>22305</v>
      </c>
      <c r="C1928" t="s">
        <v>22306</v>
      </c>
      <c r="D1928" t="s">
        <v>22307</v>
      </c>
      <c r="E1928" t="s">
        <v>22308</v>
      </c>
      <c r="F1928" t="s">
        <v>22309</v>
      </c>
      <c r="G1928" t="s">
        <v>22310</v>
      </c>
      <c r="H1928" t="str">
        <f>"Cryzl1"</f>
        <v>Cryzl1</v>
      </c>
      <c r="I1928" t="s">
        <v>32</v>
      </c>
      <c r="J1928" t="s">
        <v>37</v>
      </c>
      <c r="K1928">
        <v>10090</v>
      </c>
      <c r="L1928" s="3" t="str">
        <f>HYPERLINK("http://www.uniprot.org/uniprot/Q921W4", "Q921W4")</f>
        <v>Q921W4</v>
      </c>
      <c r="M1928" t="s">
        <v>22311</v>
      </c>
      <c r="N1928" t="str">
        <f>"Cryzl1"</f>
        <v>Cryzl1</v>
      </c>
      <c r="O1928" s="3" t="str">
        <f>HYPERLINK("http://www.informatics.jax.org/marker/MGI:1913859", "MGI:1913859")</f>
        <v>MGI:1913859</v>
      </c>
      <c r="P1928" t="s">
        <v>22312</v>
      </c>
      <c r="Q1928" t="s">
        <v>32</v>
      </c>
      <c r="R1928" t="s">
        <v>32</v>
      </c>
      <c r="S1928" t="s">
        <v>41</v>
      </c>
      <c r="T1928" t="s">
        <v>32</v>
      </c>
      <c r="U1928" t="s">
        <v>32</v>
      </c>
      <c r="V1928" t="s">
        <v>32</v>
      </c>
      <c r="W1928" t="s">
        <v>3204</v>
      </c>
      <c r="X1928" t="s">
        <v>600</v>
      </c>
      <c r="Y1928" t="s">
        <v>32</v>
      </c>
      <c r="Z1928" t="s">
        <v>32</v>
      </c>
      <c r="AA1928" t="s">
        <v>32</v>
      </c>
      <c r="AB1928" t="s">
        <v>32</v>
      </c>
      <c r="AC1928" t="s">
        <v>11250</v>
      </c>
      <c r="AD1928" t="s">
        <v>32</v>
      </c>
      <c r="AE1928" t="s">
        <v>32</v>
      </c>
      <c r="AF1928" t="s">
        <v>46835</v>
      </c>
    </row>
    <row r="1929" spans="1:32" x14ac:dyDescent="0.2">
      <c r="A1929">
        <v>1924</v>
      </c>
      <c r="B1929" t="s">
        <v>22313</v>
      </c>
      <c r="C1929" t="s">
        <v>22314</v>
      </c>
      <c r="D1929" t="s">
        <v>22315</v>
      </c>
      <c r="E1929" t="s">
        <v>22316</v>
      </c>
      <c r="F1929" t="s">
        <v>22317</v>
      </c>
      <c r="G1929" t="s">
        <v>22318</v>
      </c>
      <c r="H1929" t="str">
        <f>"Add3"</f>
        <v>Add3</v>
      </c>
      <c r="I1929" t="s">
        <v>22319</v>
      </c>
      <c r="J1929" t="s">
        <v>37</v>
      </c>
      <c r="K1929">
        <v>10090</v>
      </c>
      <c r="L1929" s="3" t="str">
        <f>HYPERLINK("http://www.uniprot.org/uniprot/Q9QYB5", "Q9QYB5")</f>
        <v>Q9QYB5</v>
      </c>
      <c r="M1929" t="s">
        <v>22320</v>
      </c>
      <c r="N1929" t="str">
        <f>"Add3"</f>
        <v>Add3</v>
      </c>
      <c r="O1929" s="3" t="str">
        <f>HYPERLINK("http://www.informatics.jax.org/marker/MGI:1351615", "MGI:1351615")</f>
        <v>MGI:1351615</v>
      </c>
      <c r="P1929" t="s">
        <v>22321</v>
      </c>
      <c r="Q1929" t="s">
        <v>32</v>
      </c>
      <c r="R1929" t="s">
        <v>371</v>
      </c>
      <c r="S1929" t="s">
        <v>41</v>
      </c>
      <c r="T1929" t="s">
        <v>32</v>
      </c>
      <c r="U1929" t="s">
        <v>32</v>
      </c>
      <c r="V1929" t="s">
        <v>32</v>
      </c>
      <c r="W1929" t="s">
        <v>32</v>
      </c>
      <c r="X1929" t="s">
        <v>5561</v>
      </c>
      <c r="Y1929" t="s">
        <v>516</v>
      </c>
      <c r="Z1929" t="s">
        <v>32</v>
      </c>
      <c r="AA1929" t="s">
        <v>22322</v>
      </c>
      <c r="AB1929" t="s">
        <v>22323</v>
      </c>
      <c r="AC1929" t="s">
        <v>22324</v>
      </c>
      <c r="AD1929" t="s">
        <v>32</v>
      </c>
      <c r="AE1929" t="s">
        <v>22325</v>
      </c>
      <c r="AF1929" t="s">
        <v>46835</v>
      </c>
    </row>
    <row r="1930" spans="1:32" x14ac:dyDescent="0.2">
      <c r="A1930">
        <v>1925</v>
      </c>
      <c r="B1930" t="s">
        <v>22326</v>
      </c>
      <c r="C1930" t="s">
        <v>22327</v>
      </c>
      <c r="D1930" t="s">
        <v>22328</v>
      </c>
      <c r="E1930" t="s">
        <v>22329</v>
      </c>
      <c r="F1930" t="s">
        <v>22330</v>
      </c>
      <c r="G1930" t="s">
        <v>22331</v>
      </c>
      <c r="H1930" t="str">
        <f>"Acbd3"</f>
        <v>Acbd3</v>
      </c>
      <c r="I1930" t="s">
        <v>22332</v>
      </c>
      <c r="J1930" t="s">
        <v>37</v>
      </c>
      <c r="K1930">
        <v>10090</v>
      </c>
      <c r="L1930" s="3" t="str">
        <f>HYPERLINK("http://www.uniprot.org/uniprot/Q8BMP6", "Q8BMP6")</f>
        <v>Q8BMP6</v>
      </c>
      <c r="M1930" t="s">
        <v>22333</v>
      </c>
      <c r="N1930" t="str">
        <f>"Acbd3"</f>
        <v>Acbd3</v>
      </c>
      <c r="O1930" s="3" t="str">
        <f>HYPERLINK("http://www.informatics.jax.org/marker/MGI:2181074", "MGI:2181074")</f>
        <v>MGI:2181074</v>
      </c>
      <c r="P1930" t="s">
        <v>22334</v>
      </c>
      <c r="Q1930" t="s">
        <v>15601</v>
      </c>
      <c r="R1930" t="s">
        <v>22335</v>
      </c>
      <c r="S1930" t="s">
        <v>32</v>
      </c>
      <c r="T1930" t="s">
        <v>32</v>
      </c>
      <c r="U1930" t="s">
        <v>32</v>
      </c>
      <c r="V1930" t="s">
        <v>290</v>
      </c>
      <c r="W1930" t="s">
        <v>32</v>
      </c>
      <c r="X1930" t="s">
        <v>32</v>
      </c>
      <c r="Y1930" t="s">
        <v>157</v>
      </c>
      <c r="Z1930" t="s">
        <v>32</v>
      </c>
      <c r="AA1930" t="s">
        <v>22336</v>
      </c>
      <c r="AB1930" t="s">
        <v>22337</v>
      </c>
      <c r="AC1930" t="s">
        <v>22338</v>
      </c>
      <c r="AD1930" t="s">
        <v>32</v>
      </c>
      <c r="AE1930" t="s">
        <v>10968</v>
      </c>
      <c r="AF1930" t="s">
        <v>46835</v>
      </c>
    </row>
    <row r="1931" spans="1:32" x14ac:dyDescent="0.2">
      <c r="A1931">
        <v>1926</v>
      </c>
      <c r="B1931" t="s">
        <v>22339</v>
      </c>
      <c r="C1931" t="s">
        <v>22340</v>
      </c>
      <c r="D1931" t="s">
        <v>22341</v>
      </c>
      <c r="E1931" t="s">
        <v>22342</v>
      </c>
      <c r="F1931" t="s">
        <v>22343</v>
      </c>
      <c r="G1931" t="s">
        <v>32</v>
      </c>
      <c r="H1931" t="str">
        <f>"Stt3a"</f>
        <v>Stt3a</v>
      </c>
      <c r="I1931" t="s">
        <v>22344</v>
      </c>
      <c r="J1931" t="s">
        <v>37</v>
      </c>
      <c r="K1931">
        <v>10090</v>
      </c>
      <c r="L1931" s="3" t="str">
        <f>HYPERLINK("http://www.uniprot.org/uniprot/P46978", "P46978")</f>
        <v>P46978</v>
      </c>
      <c r="M1931" t="s">
        <v>22345</v>
      </c>
      <c r="N1931" t="str">
        <f>"Stt3a"</f>
        <v>Stt3a</v>
      </c>
      <c r="O1931" s="3" t="str">
        <f>HYPERLINK("http://www.informatics.jax.org/marker/MGI:105124", "MGI:105124")</f>
        <v>MGI:105124</v>
      </c>
      <c r="P1931" t="s">
        <v>22346</v>
      </c>
      <c r="Q1931" t="s">
        <v>32</v>
      </c>
      <c r="R1931" t="s">
        <v>1664</v>
      </c>
      <c r="S1931" t="s">
        <v>32</v>
      </c>
      <c r="T1931" t="s">
        <v>32</v>
      </c>
      <c r="U1931" t="s">
        <v>32</v>
      </c>
      <c r="V1931" t="s">
        <v>493</v>
      </c>
      <c r="W1931" t="s">
        <v>9312</v>
      </c>
      <c r="X1931" t="s">
        <v>2362</v>
      </c>
      <c r="Y1931" t="s">
        <v>3733</v>
      </c>
      <c r="Z1931" t="s">
        <v>32</v>
      </c>
      <c r="AA1931" t="s">
        <v>22347</v>
      </c>
      <c r="AB1931" t="s">
        <v>22348</v>
      </c>
      <c r="AC1931" t="s">
        <v>13454</v>
      </c>
      <c r="AD1931" t="s">
        <v>3952</v>
      </c>
      <c r="AE1931" t="s">
        <v>32</v>
      </c>
      <c r="AF1931" t="s">
        <v>46835</v>
      </c>
    </row>
    <row r="1932" spans="1:32" x14ac:dyDescent="0.2">
      <c r="A1932">
        <v>1927</v>
      </c>
      <c r="B1932" t="s">
        <v>22349</v>
      </c>
      <c r="C1932" t="s">
        <v>22350</v>
      </c>
      <c r="D1932" t="s">
        <v>32</v>
      </c>
      <c r="E1932" t="s">
        <v>22351</v>
      </c>
      <c r="F1932" t="s">
        <v>22352</v>
      </c>
      <c r="G1932" t="s">
        <v>22353</v>
      </c>
      <c r="H1932" t="str">
        <f>"Vac14"</f>
        <v>Vac14</v>
      </c>
      <c r="I1932" t="s">
        <v>22354</v>
      </c>
      <c r="J1932" t="s">
        <v>37</v>
      </c>
      <c r="K1932">
        <v>10090</v>
      </c>
      <c r="L1932" s="3" t="str">
        <f>HYPERLINK("http://www.uniprot.org/uniprot/Q80WQ2", "Q80WQ2")</f>
        <v>Q80WQ2</v>
      </c>
      <c r="M1932" t="s">
        <v>22355</v>
      </c>
      <c r="N1932" t="str">
        <f>"Vac14"</f>
        <v>Vac14</v>
      </c>
      <c r="O1932" s="3" t="str">
        <f>HYPERLINK("http://www.informatics.jax.org/marker/MGI:2157980", "MGI:2157980")</f>
        <v>MGI:2157980</v>
      </c>
      <c r="P1932" t="s">
        <v>22356</v>
      </c>
      <c r="Q1932" t="s">
        <v>32</v>
      </c>
      <c r="R1932" t="s">
        <v>22357</v>
      </c>
      <c r="S1932" t="s">
        <v>32</v>
      </c>
      <c r="T1932" t="s">
        <v>32</v>
      </c>
      <c r="U1932" t="s">
        <v>22358</v>
      </c>
      <c r="V1932" t="s">
        <v>55</v>
      </c>
      <c r="W1932" t="s">
        <v>32</v>
      </c>
      <c r="X1932" t="s">
        <v>32</v>
      </c>
      <c r="Y1932" t="s">
        <v>157</v>
      </c>
      <c r="Z1932" t="s">
        <v>32</v>
      </c>
      <c r="AA1932" t="s">
        <v>22359</v>
      </c>
      <c r="AB1932" t="s">
        <v>22360</v>
      </c>
      <c r="AC1932" t="s">
        <v>22361</v>
      </c>
      <c r="AD1932" t="s">
        <v>32</v>
      </c>
      <c r="AE1932" t="s">
        <v>22362</v>
      </c>
      <c r="AF1932" t="s">
        <v>46835</v>
      </c>
    </row>
    <row r="1933" spans="1:32" x14ac:dyDescent="0.2">
      <c r="A1933">
        <v>1928</v>
      </c>
      <c r="B1933" t="s">
        <v>22363</v>
      </c>
      <c r="C1933" t="s">
        <v>22364</v>
      </c>
      <c r="D1933" t="s">
        <v>22365</v>
      </c>
      <c r="E1933" t="s">
        <v>22366</v>
      </c>
      <c r="F1933" t="s">
        <v>22367</v>
      </c>
      <c r="G1933" t="s">
        <v>32</v>
      </c>
      <c r="H1933" t="str">
        <f>"Ndufb4"</f>
        <v>Ndufb4</v>
      </c>
      <c r="I1933" t="s">
        <v>32</v>
      </c>
      <c r="J1933" t="s">
        <v>37</v>
      </c>
      <c r="K1933">
        <v>10090</v>
      </c>
      <c r="L1933" s="3" t="str">
        <f>HYPERLINK("http://www.uniprot.org/uniprot/Q9CQC7", "Q9CQC7")</f>
        <v>Q9CQC7</v>
      </c>
      <c r="M1933" t="s">
        <v>22368</v>
      </c>
      <c r="N1933" t="str">
        <f>"Ndufb4"</f>
        <v>Ndufb4</v>
      </c>
      <c r="O1933" s="3" t="str">
        <f>HYPERLINK("http://www.informatics.jax.org/marker/MGI:1915444", "MGI:1915444")</f>
        <v>MGI:1915444</v>
      </c>
      <c r="P1933" t="s">
        <v>9776</v>
      </c>
      <c r="Q1933" t="s">
        <v>6888</v>
      </c>
      <c r="R1933" t="s">
        <v>3858</v>
      </c>
      <c r="S1933" t="s">
        <v>32</v>
      </c>
      <c r="T1933" t="s">
        <v>32</v>
      </c>
      <c r="U1933" t="s">
        <v>32</v>
      </c>
      <c r="V1933" t="s">
        <v>493</v>
      </c>
      <c r="W1933" t="s">
        <v>32</v>
      </c>
      <c r="X1933" t="s">
        <v>32</v>
      </c>
      <c r="Y1933" t="s">
        <v>157</v>
      </c>
      <c r="Z1933" t="s">
        <v>126</v>
      </c>
      <c r="AA1933" t="s">
        <v>19490</v>
      </c>
      <c r="AB1933" t="s">
        <v>10917</v>
      </c>
      <c r="AC1933" t="s">
        <v>32</v>
      </c>
      <c r="AD1933" t="s">
        <v>32</v>
      </c>
      <c r="AE1933" t="s">
        <v>10470</v>
      </c>
      <c r="AF1933" t="s">
        <v>46835</v>
      </c>
    </row>
    <row r="1934" spans="1:32" x14ac:dyDescent="0.2">
      <c r="A1934">
        <v>1929</v>
      </c>
      <c r="B1934" t="s">
        <v>22369</v>
      </c>
      <c r="C1934" t="s">
        <v>22370</v>
      </c>
      <c r="D1934" t="s">
        <v>22371</v>
      </c>
      <c r="E1934" t="s">
        <v>22372</v>
      </c>
      <c r="F1934" t="s">
        <v>22373</v>
      </c>
      <c r="G1934" t="s">
        <v>22374</v>
      </c>
      <c r="H1934" t="str">
        <f>"Xpot"</f>
        <v>Xpot</v>
      </c>
      <c r="I1934" t="s">
        <v>32</v>
      </c>
      <c r="J1934" t="s">
        <v>37</v>
      </c>
      <c r="K1934">
        <v>10090</v>
      </c>
      <c r="L1934" s="3" t="str">
        <f>HYPERLINK("http://www.uniprot.org/uniprot/Q9CRT8", "Q9CRT8")</f>
        <v>Q9CRT8</v>
      </c>
      <c r="M1934" t="s">
        <v>22375</v>
      </c>
      <c r="N1934" t="str">
        <f>"Xpot"</f>
        <v>Xpot</v>
      </c>
      <c r="O1934" s="3" t="str">
        <f>HYPERLINK("http://www.informatics.jax.org/marker/MGI:1920442", "MGI:1920442")</f>
        <v>MGI:1920442</v>
      </c>
      <c r="P1934" t="s">
        <v>22376</v>
      </c>
      <c r="Q1934" t="s">
        <v>4425</v>
      </c>
      <c r="R1934" t="s">
        <v>40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21988</v>
      </c>
      <c r="Y1934" t="s">
        <v>78</v>
      </c>
      <c r="Z1934" t="s">
        <v>32</v>
      </c>
      <c r="AA1934" t="s">
        <v>22377</v>
      </c>
      <c r="AB1934" t="s">
        <v>22378</v>
      </c>
      <c r="AC1934" t="s">
        <v>22379</v>
      </c>
      <c r="AD1934" t="s">
        <v>32</v>
      </c>
      <c r="AE1934" t="s">
        <v>32</v>
      </c>
      <c r="AF1934" t="s">
        <v>46835</v>
      </c>
    </row>
    <row r="1935" spans="1:32" x14ac:dyDescent="0.2">
      <c r="A1935">
        <v>1930</v>
      </c>
      <c r="B1935" t="s">
        <v>22380</v>
      </c>
      <c r="C1935" t="s">
        <v>22381</v>
      </c>
      <c r="D1935" t="s">
        <v>22382</v>
      </c>
      <c r="E1935" t="s">
        <v>22383</v>
      </c>
      <c r="F1935" t="s">
        <v>22384</v>
      </c>
      <c r="G1935" t="s">
        <v>32</v>
      </c>
      <c r="H1935" t="str">
        <f>"Cstf3"</f>
        <v>Cstf3</v>
      </c>
      <c r="I1935" t="s">
        <v>32</v>
      </c>
      <c r="J1935" t="s">
        <v>37</v>
      </c>
      <c r="K1935">
        <v>10090</v>
      </c>
      <c r="L1935" s="3" t="str">
        <f>HYPERLINK("http://www.uniprot.org/uniprot/Q99LI7", "Q99LI7")</f>
        <v>Q99LI7</v>
      </c>
      <c r="M1935" t="s">
        <v>22385</v>
      </c>
      <c r="N1935" t="str">
        <f>"Cstf3"</f>
        <v>Cstf3</v>
      </c>
      <c r="O1935" s="3" t="str">
        <f>HYPERLINK("http://www.informatics.jax.org/marker/MGI:1351825", "MGI:1351825")</f>
        <v>MGI:1351825</v>
      </c>
      <c r="P1935" t="s">
        <v>22386</v>
      </c>
      <c r="Q1935" t="s">
        <v>16601</v>
      </c>
      <c r="R1935" t="s">
        <v>2279</v>
      </c>
      <c r="S1935" t="s">
        <v>32</v>
      </c>
      <c r="T1935" t="s">
        <v>32</v>
      </c>
      <c r="U1935" t="s">
        <v>32</v>
      </c>
      <c r="V1935" t="s">
        <v>55</v>
      </c>
      <c r="W1935" t="s">
        <v>32</v>
      </c>
      <c r="X1935" t="s">
        <v>32</v>
      </c>
      <c r="Y1935" t="s">
        <v>157</v>
      </c>
      <c r="Z1935" t="s">
        <v>126</v>
      </c>
      <c r="AA1935" t="s">
        <v>22387</v>
      </c>
      <c r="AB1935" t="s">
        <v>7318</v>
      </c>
      <c r="AC1935" t="s">
        <v>4168</v>
      </c>
      <c r="AD1935" t="s">
        <v>32</v>
      </c>
      <c r="AE1935" t="s">
        <v>13215</v>
      </c>
      <c r="AF1935" t="s">
        <v>46835</v>
      </c>
    </row>
    <row r="1936" spans="1:32" x14ac:dyDescent="0.2">
      <c r="A1936">
        <v>1931</v>
      </c>
      <c r="B1936" t="s">
        <v>22388</v>
      </c>
      <c r="C1936" t="s">
        <v>22389</v>
      </c>
      <c r="D1936" t="s">
        <v>22390</v>
      </c>
      <c r="E1936" t="s">
        <v>22391</v>
      </c>
      <c r="F1936" t="s">
        <v>22392</v>
      </c>
      <c r="G1936" t="s">
        <v>22393</v>
      </c>
      <c r="H1936" t="str">
        <f>"Appbp2"</f>
        <v>Appbp2</v>
      </c>
      <c r="I1936" t="s">
        <v>32</v>
      </c>
      <c r="J1936" t="s">
        <v>37</v>
      </c>
      <c r="K1936">
        <v>10090</v>
      </c>
      <c r="L1936" s="3" t="str">
        <f>HYPERLINK("http://www.uniprot.org/uniprot/Q9DAX9", "Q9DAX9")</f>
        <v>Q9DAX9</v>
      </c>
      <c r="M1936" t="s">
        <v>22394</v>
      </c>
      <c r="N1936" t="str">
        <f>"Appbp2"</f>
        <v>Appbp2</v>
      </c>
      <c r="O1936" s="3" t="str">
        <f>HYPERLINK("http://www.informatics.jax.org/marker/MGI:1914134", "MGI:1914134")</f>
        <v>MGI:1914134</v>
      </c>
      <c r="P1936" t="s">
        <v>22395</v>
      </c>
      <c r="Q1936" t="s">
        <v>22396</v>
      </c>
      <c r="R1936" t="s">
        <v>3887</v>
      </c>
      <c r="S1936" t="s">
        <v>32</v>
      </c>
      <c r="T1936" t="s">
        <v>32</v>
      </c>
      <c r="U1936" t="s">
        <v>32</v>
      </c>
      <c r="V1936" t="s">
        <v>995</v>
      </c>
      <c r="W1936" t="s">
        <v>32</v>
      </c>
      <c r="X1936" t="s">
        <v>32</v>
      </c>
      <c r="Y1936" t="s">
        <v>32</v>
      </c>
      <c r="Z1936" t="s">
        <v>32</v>
      </c>
      <c r="AA1936" t="s">
        <v>22397</v>
      </c>
      <c r="AB1936" t="s">
        <v>22398</v>
      </c>
      <c r="AC1936" t="s">
        <v>22399</v>
      </c>
      <c r="AD1936" t="s">
        <v>1027</v>
      </c>
      <c r="AE1936" t="s">
        <v>32</v>
      </c>
      <c r="AF1936" t="s">
        <v>46835</v>
      </c>
    </row>
    <row r="1937" spans="1:33" x14ac:dyDescent="0.2">
      <c r="A1937">
        <v>1932</v>
      </c>
      <c r="B1937" t="s">
        <v>22400</v>
      </c>
      <c r="C1937" t="s">
        <v>22401</v>
      </c>
      <c r="D1937" t="s">
        <v>22402</v>
      </c>
      <c r="E1937" t="s">
        <v>22403</v>
      </c>
      <c r="F1937" t="s">
        <v>22404</v>
      </c>
      <c r="G1937" t="s">
        <v>22405</v>
      </c>
      <c r="H1937" t="str">
        <f>"Trmt112"</f>
        <v>Trmt112</v>
      </c>
      <c r="I1937" t="s">
        <v>32</v>
      </c>
      <c r="J1937" t="s">
        <v>37</v>
      </c>
      <c r="K1937">
        <v>10090</v>
      </c>
      <c r="L1937" s="3" t="str">
        <f>HYPERLINK("http://www.uniprot.org/uniprot/Q9DCG9", "Q9DCG9")</f>
        <v>Q9DCG9</v>
      </c>
      <c r="M1937" t="s">
        <v>22406</v>
      </c>
      <c r="N1937" t="str">
        <f>"Trmt112"</f>
        <v>Trmt112</v>
      </c>
      <c r="O1937" s="3" t="str">
        <f>HYPERLINK("http://www.informatics.jax.org/marker/MGI:1914924", "MGI:1914924")</f>
        <v>MGI:1914924</v>
      </c>
      <c r="P1937" t="s">
        <v>40</v>
      </c>
      <c r="Q1937" t="s">
        <v>32</v>
      </c>
      <c r="R1937" t="s">
        <v>40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32</v>
      </c>
      <c r="Y1937" t="s">
        <v>32</v>
      </c>
      <c r="Z1937" t="s">
        <v>32</v>
      </c>
      <c r="AA1937" t="s">
        <v>22407</v>
      </c>
      <c r="AB1937" t="s">
        <v>22408</v>
      </c>
      <c r="AC1937" t="s">
        <v>22409</v>
      </c>
      <c r="AD1937" t="s">
        <v>32</v>
      </c>
      <c r="AE1937" t="s">
        <v>22410</v>
      </c>
      <c r="AF1937" t="s">
        <v>46835</v>
      </c>
    </row>
    <row r="1938" spans="1:33" x14ac:dyDescent="0.2">
      <c r="A1938">
        <v>1933</v>
      </c>
      <c r="B1938" t="s">
        <v>22411</v>
      </c>
      <c r="C1938" t="s">
        <v>22412</v>
      </c>
      <c r="D1938" t="s">
        <v>22413</v>
      </c>
      <c r="E1938" t="s">
        <v>22414</v>
      </c>
      <c r="F1938" t="s">
        <v>22415</v>
      </c>
      <c r="G1938" t="s">
        <v>32</v>
      </c>
      <c r="H1938" t="str">
        <f>"Rbm4b"</f>
        <v>Rbm4b</v>
      </c>
      <c r="I1938" t="s">
        <v>22416</v>
      </c>
      <c r="J1938" t="s">
        <v>37</v>
      </c>
      <c r="K1938">
        <v>10090</v>
      </c>
      <c r="L1938" s="3" t="str">
        <f>HYPERLINK("http://www.uniprot.org/uniprot/Q8VE92", "Q8VE92")</f>
        <v>Q8VE92</v>
      </c>
      <c r="M1938" t="s">
        <v>22417</v>
      </c>
      <c r="N1938" t="str">
        <f>"Rbm4b"</f>
        <v>Rbm4b</v>
      </c>
      <c r="O1938" s="3" t="str">
        <f>HYPERLINK("http://www.informatics.jax.org/marker/MGI:1913954", "MGI:1913954")</f>
        <v>MGI:1913954</v>
      </c>
      <c r="P1938" t="s">
        <v>22418</v>
      </c>
      <c r="Q1938" t="s">
        <v>2139</v>
      </c>
      <c r="R1938" t="s">
        <v>2279</v>
      </c>
      <c r="S1938" t="s">
        <v>32</v>
      </c>
      <c r="T1938" t="s">
        <v>32</v>
      </c>
      <c r="U1938" t="s">
        <v>32</v>
      </c>
      <c r="V1938" t="s">
        <v>3791</v>
      </c>
      <c r="W1938" t="s">
        <v>42</v>
      </c>
      <c r="X1938" t="s">
        <v>4869</v>
      </c>
      <c r="Y1938" t="s">
        <v>32</v>
      </c>
      <c r="Z1938" t="s">
        <v>32</v>
      </c>
      <c r="AA1938" t="s">
        <v>22419</v>
      </c>
      <c r="AB1938" t="s">
        <v>22420</v>
      </c>
      <c r="AC1938" t="s">
        <v>22421</v>
      </c>
      <c r="AD1938" t="s">
        <v>32</v>
      </c>
      <c r="AE1938" t="s">
        <v>32</v>
      </c>
      <c r="AF1938" t="s">
        <v>46835</v>
      </c>
    </row>
    <row r="1939" spans="1:33" x14ac:dyDescent="0.2">
      <c r="A1939">
        <v>1934</v>
      </c>
      <c r="B1939" t="s">
        <v>22422</v>
      </c>
      <c r="C1939" t="s">
        <v>22423</v>
      </c>
      <c r="D1939" t="s">
        <v>22424</v>
      </c>
      <c r="E1939" t="s">
        <v>22425</v>
      </c>
      <c r="F1939" t="s">
        <v>22426</v>
      </c>
      <c r="G1939" t="s">
        <v>32</v>
      </c>
      <c r="H1939" t="str">
        <f>"Pigs"</f>
        <v>Pigs</v>
      </c>
      <c r="I1939" t="s">
        <v>32</v>
      </c>
      <c r="J1939" t="s">
        <v>37</v>
      </c>
      <c r="K1939">
        <v>10090</v>
      </c>
      <c r="L1939" s="3" t="str">
        <f>HYPERLINK("http://www.uniprot.org/uniprot/Q6PD26", "Q6PD26")</f>
        <v>Q6PD26</v>
      </c>
      <c r="M1939" t="s">
        <v>22427</v>
      </c>
      <c r="N1939" t="str">
        <f>"Pigs"</f>
        <v>Pigs</v>
      </c>
      <c r="O1939" s="3" t="str">
        <f>HYPERLINK("http://www.informatics.jax.org/marker/MGI:2687325", "MGI:2687325")</f>
        <v>MGI:2687325</v>
      </c>
      <c r="P1939" t="s">
        <v>22428</v>
      </c>
      <c r="Q1939" t="s">
        <v>21283</v>
      </c>
      <c r="R1939" t="s">
        <v>1664</v>
      </c>
      <c r="S1939" t="s">
        <v>32</v>
      </c>
      <c r="T1939" t="s">
        <v>32</v>
      </c>
      <c r="U1939" t="s">
        <v>32</v>
      </c>
      <c r="V1939" t="s">
        <v>493</v>
      </c>
      <c r="W1939" t="s">
        <v>32</v>
      </c>
      <c r="X1939" t="s">
        <v>32</v>
      </c>
      <c r="Y1939" t="s">
        <v>3733</v>
      </c>
      <c r="Z1939" t="s">
        <v>32</v>
      </c>
      <c r="AA1939" t="s">
        <v>22429</v>
      </c>
      <c r="AB1939" t="s">
        <v>22430</v>
      </c>
      <c r="AC1939" t="s">
        <v>32</v>
      </c>
      <c r="AD1939" t="s">
        <v>21286</v>
      </c>
      <c r="AE1939" t="s">
        <v>21287</v>
      </c>
      <c r="AF1939" t="s">
        <v>46835</v>
      </c>
    </row>
    <row r="1940" spans="1:33" x14ac:dyDescent="0.2">
      <c r="A1940">
        <v>1935</v>
      </c>
      <c r="B1940" t="s">
        <v>22431</v>
      </c>
      <c r="C1940" t="s">
        <v>22432</v>
      </c>
      <c r="D1940" t="s">
        <v>22433</v>
      </c>
      <c r="E1940" t="s">
        <v>22434</v>
      </c>
      <c r="F1940" t="s">
        <v>22435</v>
      </c>
      <c r="G1940" t="s">
        <v>32</v>
      </c>
      <c r="H1940" t="str">
        <f>"Fmr1"</f>
        <v>Fmr1</v>
      </c>
      <c r="I1940" t="s">
        <v>32</v>
      </c>
      <c r="J1940" t="s">
        <v>37</v>
      </c>
      <c r="K1940">
        <v>10090</v>
      </c>
      <c r="L1940" s="3" t="str">
        <f>HYPERLINK("http://www.uniprot.org/uniprot/P35922", "P35922")</f>
        <v>P35922</v>
      </c>
      <c r="M1940" t="s">
        <v>22436</v>
      </c>
      <c r="N1940" t="str">
        <f>"Fmr1"</f>
        <v>Fmr1</v>
      </c>
      <c r="O1940" s="3" t="str">
        <f>HYPERLINK("http://www.informatics.jax.org/marker/MGI:95564", "MGI:95564")</f>
        <v>MGI:95564</v>
      </c>
      <c r="P1940" t="s">
        <v>22437</v>
      </c>
      <c r="Q1940" t="s">
        <v>22438</v>
      </c>
      <c r="R1940" t="s">
        <v>22439</v>
      </c>
      <c r="S1940" t="s">
        <v>41</v>
      </c>
      <c r="T1940" t="s">
        <v>32</v>
      </c>
      <c r="U1940" t="s">
        <v>32</v>
      </c>
      <c r="V1940" t="s">
        <v>55</v>
      </c>
      <c r="W1940" t="s">
        <v>32</v>
      </c>
      <c r="X1940" t="s">
        <v>16022</v>
      </c>
      <c r="Y1940" t="s">
        <v>277</v>
      </c>
      <c r="Z1940" t="s">
        <v>32</v>
      </c>
      <c r="AA1940" t="s">
        <v>22440</v>
      </c>
      <c r="AB1940" t="s">
        <v>22441</v>
      </c>
      <c r="AC1940" t="s">
        <v>22442</v>
      </c>
      <c r="AD1940" t="s">
        <v>32</v>
      </c>
      <c r="AE1940" t="s">
        <v>32</v>
      </c>
      <c r="AF1940" t="s">
        <v>46835</v>
      </c>
    </row>
    <row r="1941" spans="1:33" x14ac:dyDescent="0.2">
      <c r="A1941">
        <v>1936</v>
      </c>
      <c r="B1941" t="s">
        <v>22443</v>
      </c>
      <c r="C1941" t="s">
        <v>22444</v>
      </c>
      <c r="D1941" t="s">
        <v>32</v>
      </c>
      <c r="E1941" t="s">
        <v>22445</v>
      </c>
      <c r="F1941" t="s">
        <v>22446</v>
      </c>
      <c r="G1941" t="s">
        <v>22447</v>
      </c>
      <c r="H1941" t="str">
        <f>"Cul4b"</f>
        <v>Cul4b</v>
      </c>
      <c r="I1941" t="s">
        <v>32</v>
      </c>
      <c r="J1941" t="s">
        <v>37</v>
      </c>
      <c r="K1941">
        <v>10090</v>
      </c>
      <c r="L1941" s="3" t="str">
        <f>HYPERLINK("http://www.uniprot.org/uniprot/A2A432", "A2A432")</f>
        <v>A2A432</v>
      </c>
      <c r="M1941" t="s">
        <v>22448</v>
      </c>
      <c r="N1941" t="str">
        <f>"Cul4b"</f>
        <v>Cul4b</v>
      </c>
      <c r="O1941" s="3" t="str">
        <f>HYPERLINK("http://www.informatics.jax.org/marker/MGI:1919834", "MGI:1919834")</f>
        <v>MGI:1919834</v>
      </c>
      <c r="P1941" t="s">
        <v>22449</v>
      </c>
      <c r="Q1941" t="s">
        <v>22450</v>
      </c>
      <c r="R1941" t="s">
        <v>2279</v>
      </c>
      <c r="S1941" t="s">
        <v>41</v>
      </c>
      <c r="T1941" t="s">
        <v>32</v>
      </c>
      <c r="U1941" t="s">
        <v>32</v>
      </c>
      <c r="V1941" t="s">
        <v>32</v>
      </c>
      <c r="W1941" t="s">
        <v>32</v>
      </c>
      <c r="X1941" t="s">
        <v>32</v>
      </c>
      <c r="Y1941" t="s">
        <v>1007</v>
      </c>
      <c r="Z1941" t="s">
        <v>32</v>
      </c>
      <c r="AA1941" t="s">
        <v>22451</v>
      </c>
      <c r="AB1941" t="s">
        <v>22452</v>
      </c>
      <c r="AC1941" t="s">
        <v>22453</v>
      </c>
      <c r="AD1941" t="s">
        <v>1027</v>
      </c>
      <c r="AE1941" t="s">
        <v>2934</v>
      </c>
      <c r="AF1941" t="s">
        <v>46835</v>
      </c>
    </row>
    <row r="1942" spans="1:33" x14ac:dyDescent="0.2">
      <c r="A1942">
        <v>1937</v>
      </c>
      <c r="B1942" t="s">
        <v>22454</v>
      </c>
      <c r="C1942" t="s">
        <v>22455</v>
      </c>
      <c r="D1942" t="s">
        <v>22456</v>
      </c>
      <c r="E1942" t="s">
        <v>22457</v>
      </c>
      <c r="F1942" t="s">
        <v>22458</v>
      </c>
      <c r="G1942" t="s">
        <v>32</v>
      </c>
      <c r="H1942" t="str">
        <f>"Eif2b1"</f>
        <v>Eif2b1</v>
      </c>
      <c r="I1942" t="s">
        <v>32</v>
      </c>
      <c r="J1942" t="s">
        <v>37</v>
      </c>
      <c r="K1942">
        <v>10090</v>
      </c>
      <c r="L1942" s="3" t="str">
        <f>HYPERLINK("http://www.uniprot.org/uniprot/Q99LC8", "Q99LC8")</f>
        <v>Q99LC8</v>
      </c>
      <c r="M1942" t="s">
        <v>22459</v>
      </c>
      <c r="N1942" t="str">
        <f>"Eif2b1"</f>
        <v>Eif2b1</v>
      </c>
      <c r="O1942" s="3" t="str">
        <f>HYPERLINK("http://www.informatics.jax.org/marker/MGI:2384802", "MGI:2384802")</f>
        <v>MGI:2384802</v>
      </c>
      <c r="P1942" t="s">
        <v>22460</v>
      </c>
      <c r="Q1942" t="s">
        <v>260</v>
      </c>
      <c r="R1942" t="s">
        <v>32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2675</v>
      </c>
      <c r="Y1942" t="s">
        <v>78</v>
      </c>
      <c r="Z1942" t="s">
        <v>32</v>
      </c>
      <c r="AA1942" t="s">
        <v>22461</v>
      </c>
      <c r="AB1942" t="s">
        <v>22462</v>
      </c>
      <c r="AC1942" t="s">
        <v>22463</v>
      </c>
      <c r="AD1942" t="s">
        <v>32</v>
      </c>
      <c r="AE1942" t="s">
        <v>15228</v>
      </c>
      <c r="AF1942" t="s">
        <v>46835</v>
      </c>
    </row>
    <row r="1943" spans="1:33" x14ac:dyDescent="0.2">
      <c r="A1943">
        <v>1938</v>
      </c>
      <c r="B1943" t="s">
        <v>22464</v>
      </c>
      <c r="C1943" t="s">
        <v>22465</v>
      </c>
      <c r="D1943" t="s">
        <v>22466</v>
      </c>
      <c r="E1943" t="s">
        <v>22467</v>
      </c>
      <c r="F1943" t="s">
        <v>22468</v>
      </c>
      <c r="G1943" t="s">
        <v>22469</v>
      </c>
      <c r="H1943" t="str">
        <f>"Eif2b5"</f>
        <v>Eif2b5</v>
      </c>
      <c r="I1943" t="s">
        <v>32</v>
      </c>
      <c r="J1943" t="s">
        <v>37</v>
      </c>
      <c r="K1943">
        <v>10090</v>
      </c>
      <c r="L1943" s="3" t="str">
        <f>HYPERLINK("http://www.uniprot.org/uniprot/Q8CHW4", "Q8CHW4")</f>
        <v>Q8CHW4</v>
      </c>
      <c r="M1943" t="s">
        <v>22470</v>
      </c>
      <c r="N1943" t="str">
        <f>"Eif2b5"</f>
        <v>Eif2b5</v>
      </c>
      <c r="O1943" s="3" t="str">
        <f>HYPERLINK("http://www.informatics.jax.org/marker/MGI:2446176", "MGI:2446176")</f>
        <v>MGI:2446176</v>
      </c>
      <c r="P1943" t="s">
        <v>22471</v>
      </c>
      <c r="Q1943" t="s">
        <v>260</v>
      </c>
      <c r="R1943" t="s">
        <v>32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2675</v>
      </c>
      <c r="Y1943" t="s">
        <v>2192</v>
      </c>
      <c r="Z1943" t="s">
        <v>32</v>
      </c>
      <c r="AA1943" t="s">
        <v>22472</v>
      </c>
      <c r="AB1943" t="s">
        <v>22473</v>
      </c>
      <c r="AC1943" t="s">
        <v>22474</v>
      </c>
      <c r="AD1943" t="s">
        <v>32</v>
      </c>
      <c r="AE1943" t="s">
        <v>15228</v>
      </c>
      <c r="AF1943" t="s">
        <v>46835</v>
      </c>
    </row>
    <row r="1944" spans="1:33" x14ac:dyDescent="0.2">
      <c r="A1944">
        <v>1939</v>
      </c>
      <c r="B1944" t="s">
        <v>22475</v>
      </c>
      <c r="C1944" t="s">
        <v>22476</v>
      </c>
      <c r="D1944" t="s">
        <v>22477</v>
      </c>
      <c r="E1944" t="s">
        <v>22478</v>
      </c>
      <c r="F1944" t="s">
        <v>22479</v>
      </c>
      <c r="G1944" t="s">
        <v>32</v>
      </c>
      <c r="H1944" t="str">
        <f>"Glb1"</f>
        <v>Glb1</v>
      </c>
      <c r="I1944" t="s">
        <v>22480</v>
      </c>
      <c r="J1944" t="s">
        <v>37</v>
      </c>
      <c r="K1944">
        <v>10090</v>
      </c>
      <c r="L1944" s="3" t="str">
        <f>HYPERLINK("http://www.uniprot.org/uniprot/P23780", "P23780")</f>
        <v>P23780</v>
      </c>
      <c r="M1944" t="s">
        <v>22481</v>
      </c>
      <c r="N1944" t="str">
        <f>"Glb1"</f>
        <v>Glb1</v>
      </c>
      <c r="O1944" s="3" t="str">
        <f>HYPERLINK("http://www.informatics.jax.org/marker/MGI:88151", "MGI:88151")</f>
        <v>MGI:88151</v>
      </c>
      <c r="P1944" t="s">
        <v>22482</v>
      </c>
      <c r="Q1944" t="s">
        <v>32</v>
      </c>
      <c r="R1944" t="s">
        <v>13962</v>
      </c>
      <c r="S1944" t="s">
        <v>32</v>
      </c>
      <c r="T1944" t="s">
        <v>32</v>
      </c>
      <c r="U1944" t="s">
        <v>32</v>
      </c>
      <c r="V1944" t="s">
        <v>811</v>
      </c>
      <c r="W1944" t="s">
        <v>32</v>
      </c>
      <c r="X1944" t="s">
        <v>4316</v>
      </c>
      <c r="Y1944" t="s">
        <v>5781</v>
      </c>
      <c r="Z1944" t="s">
        <v>126</v>
      </c>
      <c r="AA1944" t="s">
        <v>22483</v>
      </c>
      <c r="AB1944" t="s">
        <v>22484</v>
      </c>
      <c r="AC1944" t="s">
        <v>22485</v>
      </c>
      <c r="AD1944" t="s">
        <v>32</v>
      </c>
      <c r="AE1944" t="s">
        <v>22486</v>
      </c>
      <c r="AF1944" t="s">
        <v>46835</v>
      </c>
    </row>
    <row r="1945" spans="1:33" x14ac:dyDescent="0.2">
      <c r="A1945">
        <v>1940</v>
      </c>
      <c r="B1945" t="s">
        <v>22487</v>
      </c>
      <c r="C1945" t="s">
        <v>22488</v>
      </c>
      <c r="D1945" t="s">
        <v>22489</v>
      </c>
      <c r="E1945" t="s">
        <v>22490</v>
      </c>
      <c r="F1945" t="s">
        <v>22491</v>
      </c>
      <c r="G1945" t="s">
        <v>22492</v>
      </c>
      <c r="H1945" t="str">
        <f>"Ube2g1"</f>
        <v>Ube2g1</v>
      </c>
      <c r="I1945" t="s">
        <v>22493</v>
      </c>
      <c r="J1945" t="s">
        <v>37</v>
      </c>
      <c r="K1945">
        <v>10090</v>
      </c>
      <c r="L1945" s="3" t="str">
        <f>HYPERLINK("http://www.uniprot.org/uniprot/P62254", "P62254")</f>
        <v>P62254</v>
      </c>
      <c r="M1945" t="s">
        <v>22494</v>
      </c>
      <c r="N1945" t="str">
        <f>"Ube2g1"</f>
        <v>Ube2g1</v>
      </c>
      <c r="O1945" s="3" t="str">
        <f>HYPERLINK("http://www.informatics.jax.org/marker/MGI:1914378", "MGI:1914378")</f>
        <v>MGI:1914378</v>
      </c>
      <c r="P1945" t="s">
        <v>22495</v>
      </c>
      <c r="Q1945" t="s">
        <v>1020</v>
      </c>
      <c r="R1945" t="s">
        <v>32</v>
      </c>
      <c r="S1945" t="s">
        <v>32</v>
      </c>
      <c r="T1945" t="s">
        <v>32</v>
      </c>
      <c r="U1945" t="s">
        <v>32</v>
      </c>
      <c r="V1945" t="s">
        <v>32</v>
      </c>
      <c r="W1945" t="s">
        <v>205</v>
      </c>
      <c r="X1945" t="s">
        <v>515</v>
      </c>
      <c r="Y1945" t="s">
        <v>4102</v>
      </c>
      <c r="Z1945" t="s">
        <v>32</v>
      </c>
      <c r="AA1945" t="s">
        <v>22496</v>
      </c>
      <c r="AB1945" t="s">
        <v>32</v>
      </c>
      <c r="AC1945" t="s">
        <v>22497</v>
      </c>
      <c r="AD1945" t="s">
        <v>1027</v>
      </c>
      <c r="AE1945" t="s">
        <v>1028</v>
      </c>
      <c r="AF1945" t="s">
        <v>46835</v>
      </c>
    </row>
    <row r="1946" spans="1:33" x14ac:dyDescent="0.2">
      <c r="A1946">
        <v>1941</v>
      </c>
      <c r="B1946" t="s">
        <v>22498</v>
      </c>
      <c r="C1946" t="s">
        <v>22499</v>
      </c>
      <c r="D1946" t="s">
        <v>22500</v>
      </c>
      <c r="E1946" t="s">
        <v>22501</v>
      </c>
      <c r="F1946" t="s">
        <v>22502</v>
      </c>
      <c r="G1946" t="s">
        <v>22503</v>
      </c>
      <c r="H1946" t="str">
        <f>"Elmo2"</f>
        <v>Elmo2</v>
      </c>
      <c r="I1946" t="s">
        <v>22504</v>
      </c>
      <c r="J1946" t="s">
        <v>37</v>
      </c>
      <c r="K1946">
        <v>10090</v>
      </c>
      <c r="L1946" s="3" t="str">
        <f>HYPERLINK("http://www.uniprot.org/uniprot/Q8BHL5", "Q8BHL5")</f>
        <v>Q8BHL5</v>
      </c>
      <c r="M1946" t="s">
        <v>22505</v>
      </c>
      <c r="N1946" t="str">
        <f>"Elmo2"</f>
        <v>Elmo2</v>
      </c>
      <c r="O1946" s="3" t="str">
        <f>HYPERLINK("http://www.informatics.jax.org/marker/MGI:2153045", "MGI:2153045")</f>
        <v>MGI:2153045</v>
      </c>
      <c r="P1946" t="s">
        <v>22506</v>
      </c>
      <c r="Q1946" t="s">
        <v>22507</v>
      </c>
      <c r="R1946" t="s">
        <v>714</v>
      </c>
      <c r="S1946" t="s">
        <v>41</v>
      </c>
      <c r="T1946" t="s">
        <v>32</v>
      </c>
      <c r="U1946" t="s">
        <v>32</v>
      </c>
      <c r="V1946" t="s">
        <v>7861</v>
      </c>
      <c r="W1946" t="s">
        <v>32</v>
      </c>
      <c r="X1946" t="s">
        <v>32</v>
      </c>
      <c r="Y1946" t="s">
        <v>618</v>
      </c>
      <c r="Z1946" t="s">
        <v>126</v>
      </c>
      <c r="AA1946" t="s">
        <v>22508</v>
      </c>
      <c r="AB1946" t="s">
        <v>22509</v>
      </c>
      <c r="AC1946" t="s">
        <v>22510</v>
      </c>
      <c r="AD1946" t="s">
        <v>32</v>
      </c>
      <c r="AE1946" t="s">
        <v>22511</v>
      </c>
      <c r="AF1946" t="s">
        <v>46835</v>
      </c>
    </row>
    <row r="1947" spans="1:33" x14ac:dyDescent="0.2">
      <c r="A1947">
        <v>1942</v>
      </c>
      <c r="B1947" t="s">
        <v>22512</v>
      </c>
      <c r="C1947" t="s">
        <v>22513</v>
      </c>
      <c r="D1947" t="s">
        <v>22514</v>
      </c>
      <c r="E1947" t="s">
        <v>22515</v>
      </c>
      <c r="F1947" t="s">
        <v>22516</v>
      </c>
      <c r="G1947" t="s">
        <v>22517</v>
      </c>
      <c r="H1947" t="str">
        <f>"Stxbp1"</f>
        <v>Stxbp1</v>
      </c>
      <c r="I1947" t="s">
        <v>32</v>
      </c>
      <c r="J1947" t="s">
        <v>37</v>
      </c>
      <c r="K1947">
        <v>10090</v>
      </c>
      <c r="L1947" s="3" t="str">
        <f>HYPERLINK("http://www.uniprot.org/uniprot/O08599", "O08599")</f>
        <v>O08599</v>
      </c>
      <c r="M1947" t="s">
        <v>22518</v>
      </c>
      <c r="N1947" t="str">
        <f>"Stxbp1"</f>
        <v>Stxbp1</v>
      </c>
      <c r="O1947" s="3" t="str">
        <f>HYPERLINK("http://www.informatics.jax.org/marker/MGI:107363", "MGI:107363")</f>
        <v>MGI:107363</v>
      </c>
      <c r="P1947" t="s">
        <v>22519</v>
      </c>
      <c r="Q1947" t="s">
        <v>434</v>
      </c>
      <c r="R1947" t="s">
        <v>714</v>
      </c>
      <c r="S1947" t="s">
        <v>41</v>
      </c>
      <c r="T1947" t="s">
        <v>32</v>
      </c>
      <c r="U1947" t="s">
        <v>32</v>
      </c>
      <c r="V1947" t="s">
        <v>32</v>
      </c>
      <c r="W1947" t="s">
        <v>32</v>
      </c>
      <c r="X1947" t="s">
        <v>32</v>
      </c>
      <c r="Y1947" t="s">
        <v>618</v>
      </c>
      <c r="Z1947" t="s">
        <v>32</v>
      </c>
      <c r="AA1947" t="s">
        <v>22520</v>
      </c>
      <c r="AB1947" t="s">
        <v>22521</v>
      </c>
      <c r="AC1947" t="s">
        <v>22522</v>
      </c>
      <c r="AD1947" t="s">
        <v>32</v>
      </c>
      <c r="AE1947" t="s">
        <v>22523</v>
      </c>
      <c r="AF1947" t="s">
        <v>46835</v>
      </c>
    </row>
    <row r="1948" spans="1:33" x14ac:dyDescent="0.2">
      <c r="A1948">
        <v>1943</v>
      </c>
      <c r="B1948" t="s">
        <v>22524</v>
      </c>
      <c r="C1948" t="s">
        <v>22525</v>
      </c>
      <c r="D1948" t="s">
        <v>32</v>
      </c>
      <c r="E1948" t="s">
        <v>22526</v>
      </c>
      <c r="F1948" t="s">
        <v>22527</v>
      </c>
      <c r="G1948" t="s">
        <v>22528</v>
      </c>
      <c r="H1948" t="str">
        <f>"Map2"</f>
        <v>Map2</v>
      </c>
      <c r="I1948" t="s">
        <v>22529</v>
      </c>
      <c r="J1948" t="s">
        <v>37</v>
      </c>
      <c r="K1948">
        <v>10090</v>
      </c>
      <c r="L1948" s="3" t="str">
        <f>HYPERLINK("http://www.uniprot.org/uniprot/P20357", "P20357")</f>
        <v>P20357</v>
      </c>
      <c r="M1948" t="s">
        <v>22530</v>
      </c>
      <c r="N1948" t="str">
        <f>"Map2"</f>
        <v>Map2</v>
      </c>
      <c r="O1948" s="3" t="str">
        <f>HYPERLINK("http://www.informatics.jax.org/marker/MGI:97175", "MGI:97175")</f>
        <v>MGI:97175</v>
      </c>
      <c r="P1948" t="s">
        <v>22531</v>
      </c>
      <c r="Q1948" t="s">
        <v>32</v>
      </c>
      <c r="R1948" t="s">
        <v>13003</v>
      </c>
      <c r="S1948" t="s">
        <v>32</v>
      </c>
      <c r="T1948" t="s">
        <v>32</v>
      </c>
      <c r="U1948" t="s">
        <v>32</v>
      </c>
      <c r="V1948" t="s">
        <v>55</v>
      </c>
      <c r="W1948" t="s">
        <v>32</v>
      </c>
      <c r="X1948" t="s">
        <v>1926</v>
      </c>
      <c r="Y1948" t="s">
        <v>618</v>
      </c>
      <c r="Z1948" t="s">
        <v>32</v>
      </c>
      <c r="AA1948" t="s">
        <v>22532</v>
      </c>
      <c r="AB1948" t="s">
        <v>22533</v>
      </c>
      <c r="AC1948" t="s">
        <v>22534</v>
      </c>
      <c r="AD1948" t="s">
        <v>32</v>
      </c>
      <c r="AE1948" t="s">
        <v>32</v>
      </c>
      <c r="AF1948" t="s">
        <v>46835</v>
      </c>
    </row>
    <row r="1949" spans="1:33" x14ac:dyDescent="0.2">
      <c r="A1949">
        <v>1944</v>
      </c>
      <c r="B1949" t="s">
        <v>22535</v>
      </c>
      <c r="C1949" t="s">
        <v>22536</v>
      </c>
      <c r="D1949" t="s">
        <v>22537</v>
      </c>
      <c r="E1949" t="s">
        <v>22538</v>
      </c>
      <c r="F1949" t="s">
        <v>22539</v>
      </c>
      <c r="G1949" t="s">
        <v>22540</v>
      </c>
      <c r="H1949" t="str">
        <f>"Mib1"</f>
        <v>Mib1</v>
      </c>
      <c r="I1949" t="s">
        <v>22541</v>
      </c>
      <c r="J1949" t="s">
        <v>37</v>
      </c>
      <c r="K1949">
        <v>10090</v>
      </c>
      <c r="L1949" s="3" t="str">
        <f>HYPERLINK("http://www.uniprot.org/uniprot/Q80SY4", "Q80SY4")</f>
        <v>Q80SY4</v>
      </c>
      <c r="M1949" t="s">
        <v>22542</v>
      </c>
      <c r="N1949" t="str">
        <f>"Mib1"</f>
        <v>Mib1</v>
      </c>
      <c r="O1949" s="3" t="str">
        <f>HYPERLINK("http://www.informatics.jax.org/marker/MGI:2443157", "MGI:2443157")</f>
        <v>MGI:2443157</v>
      </c>
      <c r="P1949" t="s">
        <v>22543</v>
      </c>
      <c r="Q1949" t="s">
        <v>22544</v>
      </c>
      <c r="R1949" t="s">
        <v>371</v>
      </c>
      <c r="S1949" t="s">
        <v>32</v>
      </c>
      <c r="T1949" t="s">
        <v>32</v>
      </c>
      <c r="U1949" t="s">
        <v>32</v>
      </c>
      <c r="V1949" t="s">
        <v>22545</v>
      </c>
      <c r="W1949" t="s">
        <v>42</v>
      </c>
      <c r="X1949" t="s">
        <v>515</v>
      </c>
      <c r="Y1949" t="s">
        <v>2836</v>
      </c>
      <c r="Z1949" t="s">
        <v>32</v>
      </c>
      <c r="AA1949" t="s">
        <v>22546</v>
      </c>
      <c r="AB1949" t="s">
        <v>22547</v>
      </c>
      <c r="AC1949" t="s">
        <v>22548</v>
      </c>
      <c r="AD1949" t="s">
        <v>1027</v>
      </c>
      <c r="AE1949" t="s">
        <v>32</v>
      </c>
      <c r="AF1949" t="s">
        <v>46835</v>
      </c>
    </row>
    <row r="1950" spans="1:33" x14ac:dyDescent="0.2">
      <c r="A1950">
        <v>1945</v>
      </c>
      <c r="B1950" t="s">
        <v>22549</v>
      </c>
      <c r="C1950" t="s">
        <v>22550</v>
      </c>
      <c r="D1950" t="s">
        <v>22551</v>
      </c>
      <c r="E1950" t="s">
        <v>22552</v>
      </c>
      <c r="F1950" t="s">
        <v>22553</v>
      </c>
      <c r="G1950" t="s">
        <v>22554</v>
      </c>
      <c r="H1950" t="str">
        <f>"Trappc4"</f>
        <v>Trappc4</v>
      </c>
      <c r="I1950" t="s">
        <v>32</v>
      </c>
      <c r="J1950" t="s">
        <v>37</v>
      </c>
      <c r="K1950">
        <v>10090</v>
      </c>
      <c r="L1950" s="3" t="str">
        <f>HYPERLINK("http://www.uniprot.org/uniprot/Q9ES56", "Q9ES56")</f>
        <v>Q9ES56</v>
      </c>
      <c r="M1950" t="s">
        <v>22555</v>
      </c>
      <c r="N1950" t="str">
        <f>"Trappc4"</f>
        <v>Trappc4</v>
      </c>
      <c r="O1950" s="3" t="str">
        <f>HYPERLINK("http://www.informatics.jax.org/marker/MGI:1926211", "MGI:1926211")</f>
        <v>MGI:1926211</v>
      </c>
      <c r="P1950" t="s">
        <v>22556</v>
      </c>
      <c r="Q1950" t="s">
        <v>14011</v>
      </c>
      <c r="R1950" t="s">
        <v>22557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32</v>
      </c>
      <c r="Y1950" t="s">
        <v>32</v>
      </c>
      <c r="Z1950" t="s">
        <v>32</v>
      </c>
      <c r="AA1950" t="s">
        <v>22558</v>
      </c>
      <c r="AB1950" t="s">
        <v>22559</v>
      </c>
      <c r="AC1950" t="s">
        <v>32</v>
      </c>
      <c r="AD1950" t="s">
        <v>32</v>
      </c>
      <c r="AE1950" t="s">
        <v>19968</v>
      </c>
      <c r="AF1950" t="s">
        <v>46835</v>
      </c>
    </row>
    <row r="1951" spans="1:33" x14ac:dyDescent="0.2">
      <c r="A1951">
        <v>1946</v>
      </c>
      <c r="B1951" t="s">
        <v>22560</v>
      </c>
      <c r="C1951" t="s">
        <v>47216</v>
      </c>
      <c r="D1951" t="s">
        <v>32</v>
      </c>
      <c r="E1951" t="s">
        <v>46940</v>
      </c>
      <c r="F1951" t="s">
        <v>46939</v>
      </c>
      <c r="G1951" t="s">
        <v>32</v>
      </c>
      <c r="H1951" t="s">
        <v>47349</v>
      </c>
      <c r="I1951" t="s">
        <v>32</v>
      </c>
      <c r="J1951" t="s">
        <v>37</v>
      </c>
      <c r="K1951">
        <v>10090</v>
      </c>
      <c r="L1951" s="3" t="str">
        <f>HYPERLINK(CONCATENATE("https://www.uniprot.org/uniprotkb/", AG1951, "/entry"), AG1951)</f>
        <v>B2RXT3</v>
      </c>
      <c r="M1951" t="s">
        <v>32</v>
      </c>
      <c r="N1951" t="s">
        <v>32</v>
      </c>
      <c r="O1951" s="3" t="s">
        <v>32</v>
      </c>
      <c r="P1951" t="s">
        <v>32</v>
      </c>
      <c r="Q1951" t="s">
        <v>32</v>
      </c>
      <c r="R1951" t="s">
        <v>32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32</v>
      </c>
      <c r="Y1951" t="s">
        <v>32</v>
      </c>
      <c r="Z1951" t="s">
        <v>32</v>
      </c>
      <c r="AA1951" t="s">
        <v>32</v>
      </c>
      <c r="AB1951" t="s">
        <v>32</v>
      </c>
      <c r="AC1951" t="s">
        <v>32</v>
      </c>
      <c r="AD1951" t="s">
        <v>32</v>
      </c>
      <c r="AE1951" t="s">
        <v>32</v>
      </c>
      <c r="AF1951" t="s">
        <v>46835</v>
      </c>
      <c r="AG1951" t="s">
        <v>46939</v>
      </c>
    </row>
    <row r="1952" spans="1:33" x14ac:dyDescent="0.2">
      <c r="A1952">
        <v>1947</v>
      </c>
      <c r="B1952" t="s">
        <v>22561</v>
      </c>
      <c r="C1952" t="s">
        <v>22562</v>
      </c>
      <c r="D1952" t="s">
        <v>22563</v>
      </c>
      <c r="E1952" t="s">
        <v>22564</v>
      </c>
      <c r="F1952" t="s">
        <v>22565</v>
      </c>
      <c r="G1952" t="s">
        <v>22566</v>
      </c>
      <c r="H1952" t="str">
        <f>"Bcar3"</f>
        <v>Bcar3</v>
      </c>
      <c r="I1952" t="s">
        <v>22567</v>
      </c>
      <c r="J1952" t="s">
        <v>37</v>
      </c>
      <c r="K1952">
        <v>10090</v>
      </c>
      <c r="L1952" s="3" t="str">
        <f>HYPERLINK("http://www.uniprot.org/uniprot/Q9QZK2", "Q9QZK2")</f>
        <v>Q9QZK2</v>
      </c>
      <c r="M1952" t="s">
        <v>22568</v>
      </c>
      <c r="N1952" t="str">
        <f>"Bcar3"</f>
        <v>Bcar3</v>
      </c>
      <c r="O1952" s="3" t="str">
        <f>HYPERLINK("http://www.informatics.jax.org/marker/MGI:1352501", "MGI:1352501")</f>
        <v>MGI:1352501</v>
      </c>
      <c r="P1952" t="s">
        <v>22569</v>
      </c>
      <c r="Q1952" t="s">
        <v>32</v>
      </c>
      <c r="R1952" t="s">
        <v>22570</v>
      </c>
      <c r="S1952" t="s">
        <v>41</v>
      </c>
      <c r="T1952" t="s">
        <v>32</v>
      </c>
      <c r="U1952" t="s">
        <v>32</v>
      </c>
      <c r="V1952" t="s">
        <v>12625</v>
      </c>
      <c r="W1952" t="s">
        <v>32</v>
      </c>
      <c r="X1952" t="s">
        <v>5011</v>
      </c>
      <c r="Y1952" t="s">
        <v>97</v>
      </c>
      <c r="Z1952" t="s">
        <v>32</v>
      </c>
      <c r="AA1952" t="s">
        <v>22571</v>
      </c>
      <c r="AB1952" t="s">
        <v>22572</v>
      </c>
      <c r="AC1952" t="s">
        <v>22573</v>
      </c>
      <c r="AD1952" t="s">
        <v>32</v>
      </c>
      <c r="AE1952" t="s">
        <v>32</v>
      </c>
      <c r="AF1952" t="s">
        <v>46835</v>
      </c>
    </row>
    <row r="1953" spans="1:33" x14ac:dyDescent="0.2">
      <c r="A1953">
        <v>1948</v>
      </c>
      <c r="B1953" t="s">
        <v>22574</v>
      </c>
      <c r="C1953" t="s">
        <v>22575</v>
      </c>
      <c r="D1953" t="s">
        <v>22576</v>
      </c>
      <c r="E1953" t="s">
        <v>22577</v>
      </c>
      <c r="F1953" t="s">
        <v>22578</v>
      </c>
      <c r="G1953" t="s">
        <v>22579</v>
      </c>
      <c r="H1953" t="str">
        <f>"Akap8"</f>
        <v>Akap8</v>
      </c>
      <c r="I1953" t="s">
        <v>22580</v>
      </c>
      <c r="J1953" t="s">
        <v>37</v>
      </c>
      <c r="K1953">
        <v>10090</v>
      </c>
      <c r="L1953" s="3" t="str">
        <f>HYPERLINK("http://www.uniprot.org/uniprot/Q9DBR0", "Q9DBR0")</f>
        <v>Q9DBR0</v>
      </c>
      <c r="M1953" t="s">
        <v>22581</v>
      </c>
      <c r="N1953" t="str">
        <f>"Akap8"</f>
        <v>Akap8</v>
      </c>
      <c r="O1953" s="3" t="str">
        <f>HYPERLINK("http://www.informatics.jax.org/marker/MGI:1928488", "MGI:1928488")</f>
        <v>MGI:1928488</v>
      </c>
      <c r="P1953" t="s">
        <v>22582</v>
      </c>
      <c r="Q1953" t="s">
        <v>22583</v>
      </c>
      <c r="R1953" t="s">
        <v>40</v>
      </c>
      <c r="S1953" t="s">
        <v>32</v>
      </c>
      <c r="T1953" t="s">
        <v>32</v>
      </c>
      <c r="U1953" t="s">
        <v>32</v>
      </c>
      <c r="V1953" t="s">
        <v>3791</v>
      </c>
      <c r="W1953" t="s">
        <v>42</v>
      </c>
      <c r="X1953" t="s">
        <v>247</v>
      </c>
      <c r="Y1953" t="s">
        <v>2192</v>
      </c>
      <c r="Z1953" t="s">
        <v>32</v>
      </c>
      <c r="AA1953" t="s">
        <v>22584</v>
      </c>
      <c r="AB1953" t="s">
        <v>22585</v>
      </c>
      <c r="AC1953" t="s">
        <v>22586</v>
      </c>
      <c r="AD1953" t="s">
        <v>32</v>
      </c>
      <c r="AE1953" t="s">
        <v>32</v>
      </c>
      <c r="AF1953" t="s">
        <v>46835</v>
      </c>
    </row>
    <row r="1954" spans="1:33" x14ac:dyDescent="0.2">
      <c r="A1954">
        <v>1949</v>
      </c>
      <c r="B1954" t="s">
        <v>22587</v>
      </c>
      <c r="C1954" t="s">
        <v>22588</v>
      </c>
      <c r="D1954" t="s">
        <v>22589</v>
      </c>
      <c r="E1954" t="s">
        <v>22590</v>
      </c>
      <c r="F1954" t="s">
        <v>22591</v>
      </c>
      <c r="G1954" t="s">
        <v>22592</v>
      </c>
      <c r="H1954" t="str">
        <f>"Golga2"</f>
        <v>Golga2</v>
      </c>
      <c r="I1954" t="s">
        <v>32</v>
      </c>
      <c r="J1954" t="s">
        <v>37</v>
      </c>
      <c r="K1954">
        <v>10090</v>
      </c>
      <c r="L1954" s="3" t="str">
        <f>HYPERLINK("http://www.uniprot.org/uniprot/Q921M4", "Q921M4")</f>
        <v>Q921M4</v>
      </c>
      <c r="M1954" t="s">
        <v>22593</v>
      </c>
      <c r="N1954" t="str">
        <f>"Golga2"</f>
        <v>Golga2</v>
      </c>
      <c r="O1954" s="3" t="str">
        <f>HYPERLINK("http://www.informatics.jax.org/marker/MGI:2139395", "MGI:2139395")</f>
        <v>MGI:2139395</v>
      </c>
      <c r="P1954" t="s">
        <v>22594</v>
      </c>
      <c r="Q1954" t="s">
        <v>2714</v>
      </c>
      <c r="R1954" t="s">
        <v>22595</v>
      </c>
      <c r="S1954" t="s">
        <v>41</v>
      </c>
      <c r="T1954" t="s">
        <v>32</v>
      </c>
      <c r="U1954" t="s">
        <v>32</v>
      </c>
      <c r="V1954" t="s">
        <v>290</v>
      </c>
      <c r="W1954" t="s">
        <v>32</v>
      </c>
      <c r="X1954" t="s">
        <v>32</v>
      </c>
      <c r="Y1954" t="s">
        <v>2734</v>
      </c>
      <c r="Z1954" t="s">
        <v>32</v>
      </c>
      <c r="AA1954" t="s">
        <v>22596</v>
      </c>
      <c r="AB1954" t="s">
        <v>22597</v>
      </c>
      <c r="AC1954" t="s">
        <v>22598</v>
      </c>
      <c r="AD1954" t="s">
        <v>32</v>
      </c>
      <c r="AE1954" t="s">
        <v>22599</v>
      </c>
      <c r="AF1954" t="s">
        <v>46835</v>
      </c>
    </row>
    <row r="1955" spans="1:33" x14ac:dyDescent="0.2">
      <c r="A1955">
        <v>1950</v>
      </c>
      <c r="B1955" t="s">
        <v>22600</v>
      </c>
      <c r="C1955" t="s">
        <v>22601</v>
      </c>
      <c r="D1955" t="s">
        <v>22602</v>
      </c>
      <c r="E1955" t="s">
        <v>22603</v>
      </c>
      <c r="F1955" t="s">
        <v>22604</v>
      </c>
      <c r="G1955" t="s">
        <v>22605</v>
      </c>
      <c r="H1955" t="str">
        <f>"Eps15"</f>
        <v>Eps15</v>
      </c>
      <c r="I1955" t="s">
        <v>32</v>
      </c>
      <c r="J1955" t="s">
        <v>37</v>
      </c>
      <c r="K1955">
        <v>10090</v>
      </c>
      <c r="L1955" s="3" t="str">
        <f>HYPERLINK("http://www.uniprot.org/uniprot/P42567", "P42567")</f>
        <v>P42567</v>
      </c>
      <c r="M1955" t="s">
        <v>22606</v>
      </c>
      <c r="N1955" t="str">
        <f>"Eps15"</f>
        <v>Eps15</v>
      </c>
      <c r="O1955" s="3" t="str">
        <f>HYPERLINK("http://www.informatics.jax.org/marker/MGI:104583", "MGI:104583")</f>
        <v>MGI:104583</v>
      </c>
      <c r="P1955" t="s">
        <v>22607</v>
      </c>
      <c r="Q1955" t="s">
        <v>910</v>
      </c>
      <c r="R1955" t="s">
        <v>22608</v>
      </c>
      <c r="S1955" t="s">
        <v>41</v>
      </c>
      <c r="T1955" t="s">
        <v>32</v>
      </c>
      <c r="U1955" t="s">
        <v>32</v>
      </c>
      <c r="V1955" t="s">
        <v>22609</v>
      </c>
      <c r="W1955" t="s">
        <v>188</v>
      </c>
      <c r="X1955" t="s">
        <v>32</v>
      </c>
      <c r="Y1955" t="s">
        <v>1023</v>
      </c>
      <c r="Z1955" t="s">
        <v>126</v>
      </c>
      <c r="AA1955" t="s">
        <v>22610</v>
      </c>
      <c r="AB1955" t="s">
        <v>22611</v>
      </c>
      <c r="AC1955" t="s">
        <v>22612</v>
      </c>
      <c r="AD1955" t="s">
        <v>32</v>
      </c>
      <c r="AE1955" t="s">
        <v>16263</v>
      </c>
      <c r="AF1955" t="s">
        <v>46835</v>
      </c>
    </row>
    <row r="1956" spans="1:33" x14ac:dyDescent="0.2">
      <c r="A1956">
        <v>1951</v>
      </c>
      <c r="B1956" t="s">
        <v>22613</v>
      </c>
      <c r="C1956" t="s">
        <v>22614</v>
      </c>
      <c r="D1956" t="s">
        <v>22615</v>
      </c>
      <c r="E1956" t="s">
        <v>22616</v>
      </c>
      <c r="F1956" t="s">
        <v>22617</v>
      </c>
      <c r="G1956" t="s">
        <v>22618</v>
      </c>
      <c r="H1956" t="str">
        <f>"Coasy"</f>
        <v>Coasy</v>
      </c>
      <c r="I1956" t="s">
        <v>22619</v>
      </c>
      <c r="J1956" t="s">
        <v>37</v>
      </c>
      <c r="K1956">
        <v>10090</v>
      </c>
      <c r="L1956" s="3" t="str">
        <f>HYPERLINK("http://www.uniprot.org/uniprot/Q9DBL7", "Q9DBL7")</f>
        <v>Q9DBL7</v>
      </c>
      <c r="M1956" t="s">
        <v>22620</v>
      </c>
      <c r="N1956" t="str">
        <f>"Coasy"</f>
        <v>Coasy</v>
      </c>
      <c r="O1956" s="3" t="str">
        <f>HYPERLINK("http://www.informatics.jax.org/marker/MGI:1918993", "MGI:1918993")</f>
        <v>MGI:1918993</v>
      </c>
      <c r="P1956" t="s">
        <v>22621</v>
      </c>
      <c r="Q1956" t="s">
        <v>22622</v>
      </c>
      <c r="R1956" t="s">
        <v>1842</v>
      </c>
      <c r="S1956" t="s">
        <v>32</v>
      </c>
      <c r="T1956" t="s">
        <v>32</v>
      </c>
      <c r="U1956" t="s">
        <v>32</v>
      </c>
      <c r="V1956" t="s">
        <v>32</v>
      </c>
      <c r="W1956" t="s">
        <v>205</v>
      </c>
      <c r="X1956" t="s">
        <v>22623</v>
      </c>
      <c r="Y1956" t="s">
        <v>618</v>
      </c>
      <c r="Z1956" t="s">
        <v>126</v>
      </c>
      <c r="AA1956" t="s">
        <v>22624</v>
      </c>
      <c r="AB1956" t="s">
        <v>22625</v>
      </c>
      <c r="AC1956" t="s">
        <v>22626</v>
      </c>
      <c r="AD1956" t="s">
        <v>22627</v>
      </c>
      <c r="AE1956" t="s">
        <v>22628</v>
      </c>
      <c r="AF1956" t="s">
        <v>46835</v>
      </c>
    </row>
    <row r="1957" spans="1:33" x14ac:dyDescent="0.2">
      <c r="A1957">
        <v>1952</v>
      </c>
      <c r="B1957" t="s">
        <v>22629</v>
      </c>
      <c r="C1957" t="s">
        <v>47172</v>
      </c>
      <c r="D1957" t="s">
        <v>32</v>
      </c>
      <c r="E1957" t="s">
        <v>46942</v>
      </c>
      <c r="F1957" t="s">
        <v>46941</v>
      </c>
      <c r="G1957" t="s">
        <v>32</v>
      </c>
      <c r="H1957" t="s">
        <v>47303</v>
      </c>
      <c r="I1957" t="s">
        <v>32</v>
      </c>
      <c r="J1957" t="s">
        <v>37</v>
      </c>
      <c r="K1957">
        <v>10090</v>
      </c>
      <c r="L1957" s="3" t="str">
        <f>HYPERLINK(CONCATENATE("https://www.uniprot.org/uniprotkb/", AG1957, "/entry"), AG1957)</f>
        <v>G3X8U3</v>
      </c>
      <c r="M1957" t="s">
        <v>32</v>
      </c>
      <c r="N1957" t="s">
        <v>32</v>
      </c>
      <c r="O1957" s="3" t="s">
        <v>32</v>
      </c>
      <c r="P1957" t="s">
        <v>32</v>
      </c>
      <c r="Q1957" t="s">
        <v>32</v>
      </c>
      <c r="R1957" t="s">
        <v>32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32</v>
      </c>
      <c r="Y1957" t="s">
        <v>32</v>
      </c>
      <c r="Z1957" t="s">
        <v>32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t="s">
        <v>46835</v>
      </c>
      <c r="AG1957" t="s">
        <v>46941</v>
      </c>
    </row>
    <row r="1958" spans="1:33" x14ac:dyDescent="0.2">
      <c r="A1958">
        <v>1953</v>
      </c>
      <c r="B1958" t="s">
        <v>22630</v>
      </c>
      <c r="C1958" t="s">
        <v>22631</v>
      </c>
      <c r="D1958" t="s">
        <v>22632</v>
      </c>
      <c r="E1958" t="s">
        <v>22633</v>
      </c>
      <c r="F1958" t="s">
        <v>22634</v>
      </c>
      <c r="G1958" t="s">
        <v>22635</v>
      </c>
      <c r="H1958" t="str">
        <f>"Abhd12"</f>
        <v>Abhd12</v>
      </c>
      <c r="I1958" t="s">
        <v>32</v>
      </c>
      <c r="J1958" t="s">
        <v>37</v>
      </c>
      <c r="K1958">
        <v>10090</v>
      </c>
      <c r="L1958" s="3" t="str">
        <f>HYPERLINK("http://www.uniprot.org/uniprot/Q99LR1", "Q99LR1")</f>
        <v>Q99LR1</v>
      </c>
      <c r="M1958" t="s">
        <v>22636</v>
      </c>
      <c r="N1958" t="str">
        <f>"Abhd12"</f>
        <v>Abhd12</v>
      </c>
      <c r="O1958" s="3" t="str">
        <f>HYPERLINK("http://www.informatics.jax.org/marker/MGI:1923442", "MGI:1923442")</f>
        <v>MGI:1923442</v>
      </c>
      <c r="P1958" t="s">
        <v>22637</v>
      </c>
      <c r="Q1958" t="s">
        <v>598</v>
      </c>
      <c r="R1958" t="s">
        <v>22638</v>
      </c>
      <c r="S1958" t="s">
        <v>41</v>
      </c>
      <c r="T1958" t="s">
        <v>32</v>
      </c>
      <c r="U1958" t="s">
        <v>32</v>
      </c>
      <c r="V1958" t="s">
        <v>493</v>
      </c>
      <c r="W1958" t="s">
        <v>32</v>
      </c>
      <c r="X1958" t="s">
        <v>343</v>
      </c>
      <c r="Y1958" t="s">
        <v>3733</v>
      </c>
      <c r="Z1958" t="s">
        <v>32</v>
      </c>
      <c r="AA1958" t="s">
        <v>22639</v>
      </c>
      <c r="AB1958" t="s">
        <v>22640</v>
      </c>
      <c r="AC1958" t="s">
        <v>22641</v>
      </c>
      <c r="AD1958" t="s">
        <v>32</v>
      </c>
      <c r="AE1958" t="s">
        <v>22642</v>
      </c>
      <c r="AF1958" t="s">
        <v>46835</v>
      </c>
    </row>
    <row r="1959" spans="1:33" x14ac:dyDescent="0.2">
      <c r="A1959">
        <v>1954</v>
      </c>
      <c r="B1959" t="s">
        <v>22643</v>
      </c>
      <c r="C1959" t="s">
        <v>22644</v>
      </c>
      <c r="D1959" t="s">
        <v>22645</v>
      </c>
      <c r="E1959" t="s">
        <v>22646</v>
      </c>
      <c r="F1959" t="s">
        <v>22647</v>
      </c>
      <c r="G1959" t="s">
        <v>22648</v>
      </c>
      <c r="H1959" t="str">
        <f>"Otud7b"</f>
        <v>Otud7b</v>
      </c>
      <c r="I1959" t="s">
        <v>32</v>
      </c>
      <c r="J1959" t="s">
        <v>37</v>
      </c>
      <c r="K1959">
        <v>10090</v>
      </c>
      <c r="L1959" s="3" t="str">
        <f>HYPERLINK("http://www.uniprot.org/uniprot/B2RUR8", "B2RUR8")</f>
        <v>B2RUR8</v>
      </c>
      <c r="M1959" t="s">
        <v>22649</v>
      </c>
      <c r="N1959" t="str">
        <f>"Otud7b"</f>
        <v>Otud7b</v>
      </c>
      <c r="O1959" s="3" t="str">
        <f>HYPERLINK("http://www.informatics.jax.org/marker/MGI:2654703", "MGI:2654703")</f>
        <v>MGI:2654703</v>
      </c>
      <c r="P1959" t="s">
        <v>22650</v>
      </c>
      <c r="Q1959" t="s">
        <v>22651</v>
      </c>
      <c r="R1959" t="s">
        <v>40</v>
      </c>
      <c r="S1959" t="s">
        <v>32</v>
      </c>
      <c r="T1959" t="s">
        <v>32</v>
      </c>
      <c r="U1959" t="s">
        <v>32</v>
      </c>
      <c r="V1959" t="s">
        <v>446</v>
      </c>
      <c r="W1959" t="s">
        <v>42</v>
      </c>
      <c r="X1959" t="s">
        <v>557</v>
      </c>
      <c r="Y1959" t="s">
        <v>618</v>
      </c>
      <c r="Z1959" t="s">
        <v>32</v>
      </c>
      <c r="AA1959" t="s">
        <v>22652</v>
      </c>
      <c r="AB1959" t="s">
        <v>110</v>
      </c>
      <c r="AC1959" t="s">
        <v>22653</v>
      </c>
      <c r="AD1959" t="s">
        <v>32</v>
      </c>
      <c r="AE1959" t="s">
        <v>22654</v>
      </c>
      <c r="AF1959" t="s">
        <v>46835</v>
      </c>
    </row>
    <row r="1960" spans="1:33" x14ac:dyDescent="0.2">
      <c r="A1960">
        <v>1955</v>
      </c>
      <c r="B1960" t="s">
        <v>22655</v>
      </c>
      <c r="C1960" t="s">
        <v>22656</v>
      </c>
      <c r="D1960" t="s">
        <v>22657</v>
      </c>
      <c r="E1960" t="s">
        <v>22658</v>
      </c>
      <c r="F1960" t="s">
        <v>22659</v>
      </c>
      <c r="G1960" t="s">
        <v>22660</v>
      </c>
      <c r="H1960" t="str">
        <f>"Mboat1"</f>
        <v>Mboat1</v>
      </c>
      <c r="I1960" t="s">
        <v>32</v>
      </c>
      <c r="J1960" t="s">
        <v>37</v>
      </c>
      <c r="K1960">
        <v>10090</v>
      </c>
      <c r="L1960" s="3" t="str">
        <f>HYPERLINK("http://www.uniprot.org/uniprot/Q8BH98", "Q8BH98")</f>
        <v>Q8BH98</v>
      </c>
      <c r="M1960" t="s">
        <v>22661</v>
      </c>
      <c r="N1960" t="str">
        <f>"Mboat1"</f>
        <v>Mboat1</v>
      </c>
      <c r="O1960" s="3" t="str">
        <f>HYPERLINK("http://www.informatics.jax.org/marker/MGI:2387184", "MGI:2387184")</f>
        <v>MGI:2387184</v>
      </c>
      <c r="P1960" t="s">
        <v>22662</v>
      </c>
      <c r="Q1960" t="s">
        <v>22663</v>
      </c>
      <c r="R1960" t="s">
        <v>1664</v>
      </c>
      <c r="S1960" t="s">
        <v>32</v>
      </c>
      <c r="T1960" t="s">
        <v>32</v>
      </c>
      <c r="U1960" t="s">
        <v>32</v>
      </c>
      <c r="V1960" t="s">
        <v>493</v>
      </c>
      <c r="W1960" t="s">
        <v>32</v>
      </c>
      <c r="X1960" t="s">
        <v>7304</v>
      </c>
      <c r="Y1960" t="s">
        <v>618</v>
      </c>
      <c r="Z1960" t="s">
        <v>32</v>
      </c>
      <c r="AA1960" t="s">
        <v>22664</v>
      </c>
      <c r="AB1960" t="s">
        <v>22665</v>
      </c>
      <c r="AC1960" t="s">
        <v>22666</v>
      </c>
      <c r="AD1960" t="s">
        <v>22667</v>
      </c>
      <c r="AE1960" t="s">
        <v>22668</v>
      </c>
      <c r="AF1960" t="s">
        <v>46835</v>
      </c>
    </row>
    <row r="1961" spans="1:33" x14ac:dyDescent="0.2">
      <c r="A1961">
        <v>1956</v>
      </c>
      <c r="B1961" t="s">
        <v>22669</v>
      </c>
      <c r="C1961" t="s">
        <v>22670</v>
      </c>
      <c r="D1961" t="s">
        <v>32</v>
      </c>
      <c r="E1961" t="s">
        <v>22671</v>
      </c>
      <c r="F1961" t="s">
        <v>22672</v>
      </c>
      <c r="G1961" t="s">
        <v>22673</v>
      </c>
      <c r="H1961" t="str">
        <f>"Ssu72"</f>
        <v>Ssu72</v>
      </c>
      <c r="I1961" t="s">
        <v>32</v>
      </c>
      <c r="J1961" t="s">
        <v>37</v>
      </c>
      <c r="K1961">
        <v>10090</v>
      </c>
      <c r="L1961" s="3" t="str">
        <f>HYPERLINK("http://www.uniprot.org/uniprot/Q9CY97", "Q9CY97")</f>
        <v>Q9CY97</v>
      </c>
      <c r="M1961" t="s">
        <v>22674</v>
      </c>
      <c r="N1961" t="str">
        <f>"Ssu72"</f>
        <v>Ssu72</v>
      </c>
      <c r="O1961" s="3" t="str">
        <f>HYPERLINK("http://www.informatics.jax.org/marker/MGI:1916241", "MGI:1916241")</f>
        <v>MGI:1916241</v>
      </c>
      <c r="P1961" t="s">
        <v>22675</v>
      </c>
      <c r="Q1961" t="s">
        <v>16601</v>
      </c>
      <c r="R1961" t="s">
        <v>40</v>
      </c>
      <c r="S1961" t="s">
        <v>41</v>
      </c>
      <c r="T1961" t="s">
        <v>32</v>
      </c>
      <c r="U1961" t="s">
        <v>32</v>
      </c>
      <c r="V1961" t="s">
        <v>290</v>
      </c>
      <c r="W1961" t="s">
        <v>32</v>
      </c>
      <c r="X1961" t="s">
        <v>3683</v>
      </c>
      <c r="Y1961" t="s">
        <v>32</v>
      </c>
      <c r="Z1961" t="s">
        <v>32</v>
      </c>
      <c r="AA1961" t="s">
        <v>22676</v>
      </c>
      <c r="AB1961" t="s">
        <v>22677</v>
      </c>
      <c r="AC1961" t="s">
        <v>22678</v>
      </c>
      <c r="AD1961" t="s">
        <v>32</v>
      </c>
      <c r="AE1961" t="s">
        <v>22679</v>
      </c>
      <c r="AF1961" t="s">
        <v>46835</v>
      </c>
    </row>
    <row r="1962" spans="1:33" x14ac:dyDescent="0.2">
      <c r="A1962">
        <v>1957</v>
      </c>
      <c r="B1962" t="s">
        <v>22680</v>
      </c>
      <c r="C1962" t="s">
        <v>22681</v>
      </c>
      <c r="D1962" t="s">
        <v>22682</v>
      </c>
      <c r="E1962" t="s">
        <v>22683</v>
      </c>
      <c r="F1962" t="s">
        <v>22684</v>
      </c>
      <c r="G1962" t="s">
        <v>22685</v>
      </c>
      <c r="H1962" t="str">
        <f>"Nt5c2"</f>
        <v>Nt5c2</v>
      </c>
      <c r="I1962" t="s">
        <v>32</v>
      </c>
      <c r="J1962" t="s">
        <v>37</v>
      </c>
      <c r="K1962">
        <v>10090</v>
      </c>
      <c r="L1962" s="3" t="str">
        <f>HYPERLINK("http://www.uniprot.org/uniprot/Q3V1L4", "Q3V1L4")</f>
        <v>Q3V1L4</v>
      </c>
      <c r="M1962" t="s">
        <v>22686</v>
      </c>
      <c r="N1962" t="str">
        <f>"Nt5c2"</f>
        <v>Nt5c2</v>
      </c>
      <c r="O1962" s="3" t="str">
        <f>HYPERLINK("http://www.informatics.jax.org/marker/MGI:2178563", "MGI:2178563")</f>
        <v>MGI:2178563</v>
      </c>
      <c r="P1962" t="s">
        <v>22687</v>
      </c>
      <c r="Q1962" t="s">
        <v>7123</v>
      </c>
      <c r="R1962" t="s">
        <v>418</v>
      </c>
      <c r="S1962" t="s">
        <v>32</v>
      </c>
      <c r="T1962" t="s">
        <v>32</v>
      </c>
      <c r="U1962" t="s">
        <v>32</v>
      </c>
      <c r="V1962" t="s">
        <v>32</v>
      </c>
      <c r="W1962" t="s">
        <v>1266</v>
      </c>
      <c r="X1962" t="s">
        <v>22688</v>
      </c>
      <c r="Y1962" t="s">
        <v>618</v>
      </c>
      <c r="Z1962" t="s">
        <v>32</v>
      </c>
      <c r="AA1962" t="s">
        <v>22689</v>
      </c>
      <c r="AB1962" t="s">
        <v>1268</v>
      </c>
      <c r="AC1962" t="s">
        <v>22690</v>
      </c>
      <c r="AD1962" t="s">
        <v>32</v>
      </c>
      <c r="AE1962" t="s">
        <v>22691</v>
      </c>
      <c r="AF1962" t="s">
        <v>46835</v>
      </c>
    </row>
    <row r="1963" spans="1:33" x14ac:dyDescent="0.2">
      <c r="A1963">
        <v>1958</v>
      </c>
      <c r="B1963" t="s">
        <v>22692</v>
      </c>
      <c r="C1963" t="s">
        <v>22693</v>
      </c>
      <c r="D1963" t="s">
        <v>32</v>
      </c>
      <c r="E1963" t="s">
        <v>22694</v>
      </c>
      <c r="F1963" t="s">
        <v>22695</v>
      </c>
      <c r="G1963" t="s">
        <v>32</v>
      </c>
      <c r="H1963" t="str">
        <f>"Sar1a"</f>
        <v>Sar1a</v>
      </c>
      <c r="I1963" t="s">
        <v>22696</v>
      </c>
      <c r="J1963" t="s">
        <v>37</v>
      </c>
      <c r="K1963">
        <v>10090</v>
      </c>
      <c r="L1963" s="3" t="str">
        <f>HYPERLINK("http://www.uniprot.org/uniprot/P36536", "P36536")</f>
        <v>P36536</v>
      </c>
      <c r="M1963" t="s">
        <v>22697</v>
      </c>
      <c r="N1963" t="str">
        <f>"Sar1a"</f>
        <v>Sar1a</v>
      </c>
      <c r="O1963" s="3" t="str">
        <f>HYPERLINK("http://www.informatics.jax.org/marker/MGI:98230", "MGI:98230")</f>
        <v>MGI:98230</v>
      </c>
      <c r="P1963" t="s">
        <v>22698</v>
      </c>
      <c r="Q1963" t="s">
        <v>2916</v>
      </c>
      <c r="R1963" t="s">
        <v>4315</v>
      </c>
      <c r="S1963" t="s">
        <v>32</v>
      </c>
      <c r="T1963" t="s">
        <v>32</v>
      </c>
      <c r="U1963" t="s">
        <v>32</v>
      </c>
      <c r="V1963" t="s">
        <v>32</v>
      </c>
      <c r="W1963" t="s">
        <v>261</v>
      </c>
      <c r="X1963" t="s">
        <v>32</v>
      </c>
      <c r="Y1963" t="s">
        <v>618</v>
      </c>
      <c r="Z1963" t="s">
        <v>32</v>
      </c>
      <c r="AA1963" t="s">
        <v>22699</v>
      </c>
      <c r="AB1963" t="s">
        <v>22700</v>
      </c>
      <c r="AC1963" t="s">
        <v>15410</v>
      </c>
      <c r="AD1963" t="s">
        <v>32</v>
      </c>
      <c r="AE1963" t="s">
        <v>32</v>
      </c>
      <c r="AF1963" t="s">
        <v>46835</v>
      </c>
    </row>
    <row r="1964" spans="1:33" x14ac:dyDescent="0.2">
      <c r="A1964">
        <v>1959</v>
      </c>
      <c r="B1964" t="s">
        <v>22701</v>
      </c>
      <c r="C1964" t="s">
        <v>22702</v>
      </c>
      <c r="D1964" t="s">
        <v>22703</v>
      </c>
      <c r="E1964" t="s">
        <v>22704</v>
      </c>
      <c r="F1964" t="s">
        <v>22705</v>
      </c>
      <c r="G1964" t="s">
        <v>32</v>
      </c>
      <c r="H1964" t="str">
        <f>"Nras"</f>
        <v>Nras</v>
      </c>
      <c r="I1964" t="s">
        <v>32</v>
      </c>
      <c r="J1964" t="s">
        <v>37</v>
      </c>
      <c r="K1964">
        <v>10090</v>
      </c>
      <c r="L1964" s="3" t="str">
        <f>HYPERLINK("http://www.uniprot.org/uniprot/P08556", "P08556")</f>
        <v>P08556</v>
      </c>
      <c r="M1964" t="s">
        <v>22706</v>
      </c>
      <c r="N1964" t="str">
        <f>"Nras"</f>
        <v>Nras</v>
      </c>
      <c r="O1964" s="3" t="str">
        <f>HYPERLINK("http://www.informatics.jax.org/marker/MGI:97376", "MGI:97376")</f>
        <v>MGI:97376</v>
      </c>
      <c r="P1964" t="s">
        <v>22707</v>
      </c>
      <c r="Q1964" t="s">
        <v>32</v>
      </c>
      <c r="R1964" t="s">
        <v>22708</v>
      </c>
      <c r="S1964" t="s">
        <v>32</v>
      </c>
      <c r="T1964" t="s">
        <v>32</v>
      </c>
      <c r="U1964" t="s">
        <v>4682</v>
      </c>
      <c r="V1964" t="s">
        <v>32</v>
      </c>
      <c r="W1964" t="s">
        <v>261</v>
      </c>
      <c r="X1964" t="s">
        <v>343</v>
      </c>
      <c r="Y1964" t="s">
        <v>22709</v>
      </c>
      <c r="Z1964" t="s">
        <v>32</v>
      </c>
      <c r="AA1964" t="s">
        <v>22710</v>
      </c>
      <c r="AB1964" t="s">
        <v>22711</v>
      </c>
      <c r="AC1964" t="s">
        <v>22712</v>
      </c>
      <c r="AD1964" t="s">
        <v>32</v>
      </c>
      <c r="AE1964" t="s">
        <v>22713</v>
      </c>
      <c r="AF1964" t="s">
        <v>46835</v>
      </c>
    </row>
    <row r="1965" spans="1:33" x14ac:dyDescent="0.2">
      <c r="A1965">
        <v>1960</v>
      </c>
      <c r="B1965" t="s">
        <v>22714</v>
      </c>
      <c r="C1965" t="s">
        <v>22715</v>
      </c>
      <c r="D1965" t="s">
        <v>22716</v>
      </c>
      <c r="E1965" t="s">
        <v>22717</v>
      </c>
      <c r="F1965" t="s">
        <v>22718</v>
      </c>
      <c r="G1965" t="s">
        <v>22719</v>
      </c>
      <c r="H1965" t="str">
        <f>"Wdr48"</f>
        <v>Wdr48</v>
      </c>
      <c r="I1965" t="s">
        <v>22720</v>
      </c>
      <c r="J1965" t="s">
        <v>37</v>
      </c>
      <c r="K1965">
        <v>10090</v>
      </c>
      <c r="L1965" s="3" t="str">
        <f>HYPERLINK("http://www.uniprot.org/uniprot/Q8BH57", "Q8BH57")</f>
        <v>Q8BH57</v>
      </c>
      <c r="M1965" t="s">
        <v>22721</v>
      </c>
      <c r="N1965" t="str">
        <f>"Wdr48"</f>
        <v>Wdr48</v>
      </c>
      <c r="O1965" s="3" t="str">
        <f>HYPERLINK("http://www.informatics.jax.org/marker/MGI:1914811", "MGI:1914811")</f>
        <v>MGI:1914811</v>
      </c>
      <c r="P1965" t="s">
        <v>22722</v>
      </c>
      <c r="Q1965" t="s">
        <v>3400</v>
      </c>
      <c r="R1965" t="s">
        <v>22723</v>
      </c>
      <c r="S1965" t="s">
        <v>41</v>
      </c>
      <c r="T1965" t="s">
        <v>32</v>
      </c>
      <c r="U1965" t="s">
        <v>32</v>
      </c>
      <c r="V1965" t="s">
        <v>1910</v>
      </c>
      <c r="W1965" t="s">
        <v>32</v>
      </c>
      <c r="X1965" t="s">
        <v>247</v>
      </c>
      <c r="Y1965" t="s">
        <v>157</v>
      </c>
      <c r="Z1965" t="s">
        <v>32</v>
      </c>
      <c r="AA1965" t="s">
        <v>22724</v>
      </c>
      <c r="AB1965" t="s">
        <v>22725</v>
      </c>
      <c r="AC1965" t="s">
        <v>22726</v>
      </c>
      <c r="AD1965" t="s">
        <v>32</v>
      </c>
      <c r="AE1965" t="s">
        <v>22727</v>
      </c>
      <c r="AF1965" t="s">
        <v>46835</v>
      </c>
    </row>
    <row r="1966" spans="1:33" x14ac:dyDescent="0.2">
      <c r="A1966">
        <v>1961</v>
      </c>
      <c r="B1966" t="s">
        <v>22728</v>
      </c>
      <c r="C1966" t="s">
        <v>22729</v>
      </c>
      <c r="D1966" t="s">
        <v>22730</v>
      </c>
      <c r="E1966" t="s">
        <v>22731</v>
      </c>
      <c r="F1966" t="s">
        <v>22732</v>
      </c>
      <c r="G1966" t="s">
        <v>22733</v>
      </c>
      <c r="H1966" t="str">
        <f>"Gatad2a"</f>
        <v>Gatad2a</v>
      </c>
      <c r="I1966" t="s">
        <v>32</v>
      </c>
      <c r="J1966" t="s">
        <v>37</v>
      </c>
      <c r="K1966">
        <v>10090</v>
      </c>
      <c r="L1966" s="3" t="str">
        <f>HYPERLINK("http://www.uniprot.org/uniprot/Q8CHY6", "Q8CHY6")</f>
        <v>Q8CHY6</v>
      </c>
      <c r="M1966" t="s">
        <v>22734</v>
      </c>
      <c r="N1966" t="str">
        <f>"Gatad2a"</f>
        <v>Gatad2a</v>
      </c>
      <c r="O1966" s="3" t="str">
        <f>HYPERLINK("http://www.informatics.jax.org/marker/MGI:2384585", "MGI:2384585")</f>
        <v>MGI:2384585</v>
      </c>
      <c r="P1966" t="s">
        <v>22735</v>
      </c>
      <c r="Q1966" t="s">
        <v>4152</v>
      </c>
      <c r="R1966" t="s">
        <v>2279</v>
      </c>
      <c r="S1966" t="s">
        <v>32</v>
      </c>
      <c r="T1966" t="s">
        <v>32</v>
      </c>
      <c r="U1966" t="s">
        <v>32</v>
      </c>
      <c r="V1966" t="s">
        <v>11171</v>
      </c>
      <c r="W1966" t="s">
        <v>42</v>
      </c>
      <c r="X1966" t="s">
        <v>5195</v>
      </c>
      <c r="Y1966" t="s">
        <v>2192</v>
      </c>
      <c r="Z1966" t="s">
        <v>32</v>
      </c>
      <c r="AA1966" t="s">
        <v>22736</v>
      </c>
      <c r="AB1966" t="s">
        <v>22737</v>
      </c>
      <c r="AC1966" t="s">
        <v>22738</v>
      </c>
      <c r="AD1966" t="s">
        <v>32</v>
      </c>
      <c r="AE1966" t="s">
        <v>19827</v>
      </c>
      <c r="AF1966" t="s">
        <v>46835</v>
      </c>
    </row>
    <row r="1967" spans="1:33" x14ac:dyDescent="0.2">
      <c r="A1967">
        <v>1962</v>
      </c>
      <c r="B1967" t="s">
        <v>22739</v>
      </c>
      <c r="C1967" t="s">
        <v>22740</v>
      </c>
      <c r="D1967" t="s">
        <v>22741</v>
      </c>
      <c r="E1967" t="s">
        <v>22742</v>
      </c>
      <c r="F1967" t="s">
        <v>22743</v>
      </c>
      <c r="G1967" t="s">
        <v>22744</v>
      </c>
      <c r="H1967" t="str">
        <f>"Acyp2"</f>
        <v>Acyp2</v>
      </c>
      <c r="I1967" t="s">
        <v>22745</v>
      </c>
      <c r="J1967" t="s">
        <v>37</v>
      </c>
      <c r="K1967">
        <v>10090</v>
      </c>
      <c r="L1967" s="3" t="str">
        <f>HYPERLINK("http://www.uniprot.org/uniprot/P56375", "P56375")</f>
        <v>P56375</v>
      </c>
      <c r="M1967" t="s">
        <v>22746</v>
      </c>
      <c r="N1967" t="str">
        <f>"Acyp2"</f>
        <v>Acyp2</v>
      </c>
      <c r="O1967" s="3" t="str">
        <f>HYPERLINK("http://www.informatics.jax.org/marker/MGI:1922822", "MGI:1922822")</f>
        <v>MGI:1922822</v>
      </c>
      <c r="P1967" t="s">
        <v>22747</v>
      </c>
      <c r="Q1967" t="s">
        <v>32</v>
      </c>
      <c r="R1967" t="s">
        <v>32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343</v>
      </c>
      <c r="Y1967" t="s">
        <v>618</v>
      </c>
      <c r="Z1967" t="s">
        <v>32</v>
      </c>
      <c r="AA1967" t="s">
        <v>32</v>
      </c>
      <c r="AB1967" t="s">
        <v>3721</v>
      </c>
      <c r="AC1967" t="s">
        <v>22748</v>
      </c>
      <c r="AD1967" t="s">
        <v>32</v>
      </c>
      <c r="AE1967" t="s">
        <v>32</v>
      </c>
      <c r="AF1967" t="s">
        <v>46835</v>
      </c>
    </row>
    <row r="1968" spans="1:33" x14ac:dyDescent="0.2">
      <c r="A1968">
        <v>1963</v>
      </c>
      <c r="B1968" t="s">
        <v>22749</v>
      </c>
      <c r="C1968" t="s">
        <v>22750</v>
      </c>
      <c r="D1968" t="s">
        <v>22751</v>
      </c>
      <c r="E1968" t="s">
        <v>22752</v>
      </c>
      <c r="F1968" t="s">
        <v>22753</v>
      </c>
      <c r="G1968" t="s">
        <v>22754</v>
      </c>
      <c r="H1968" t="str">
        <f>"Ppp1r8"</f>
        <v>Ppp1r8</v>
      </c>
      <c r="I1968" t="s">
        <v>22755</v>
      </c>
      <c r="J1968" t="s">
        <v>37</v>
      </c>
      <c r="K1968">
        <v>10090</v>
      </c>
      <c r="L1968" s="3" t="str">
        <f>HYPERLINK("http://www.uniprot.org/uniprot/Q8R3G1", "Q8R3G1")</f>
        <v>Q8R3G1</v>
      </c>
      <c r="M1968" t="s">
        <v>22756</v>
      </c>
      <c r="N1968" t="str">
        <f>"Ppp1r8"</f>
        <v>Ppp1r8</v>
      </c>
      <c r="O1968" s="3" t="str">
        <f>HYPERLINK("http://www.informatics.jax.org/marker/MGI:2140494", "MGI:2140494")</f>
        <v>MGI:2140494</v>
      </c>
      <c r="P1968" t="s">
        <v>22757</v>
      </c>
      <c r="Q1968" t="s">
        <v>1348</v>
      </c>
      <c r="R1968" t="s">
        <v>2140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22758</v>
      </c>
      <c r="Y1968" t="s">
        <v>618</v>
      </c>
      <c r="Z1968" t="s">
        <v>126</v>
      </c>
      <c r="AA1968" t="s">
        <v>22759</v>
      </c>
      <c r="AB1968" t="s">
        <v>22760</v>
      </c>
      <c r="AC1968" t="s">
        <v>22761</v>
      </c>
      <c r="AD1968" t="s">
        <v>32</v>
      </c>
      <c r="AE1968" t="s">
        <v>32</v>
      </c>
      <c r="AF1968" t="s">
        <v>46835</v>
      </c>
    </row>
    <row r="1969" spans="1:32" x14ac:dyDescent="0.2">
      <c r="A1969">
        <v>1964</v>
      </c>
      <c r="B1969" t="s">
        <v>22762</v>
      </c>
      <c r="C1969" t="s">
        <v>22763</v>
      </c>
      <c r="D1969" t="s">
        <v>22764</v>
      </c>
      <c r="E1969" t="s">
        <v>22765</v>
      </c>
      <c r="F1969" t="s">
        <v>22766</v>
      </c>
      <c r="G1969" t="s">
        <v>22767</v>
      </c>
      <c r="H1969" t="str">
        <f>"Cetn2"</f>
        <v>Cetn2</v>
      </c>
      <c r="I1969" t="s">
        <v>22768</v>
      </c>
      <c r="J1969" t="s">
        <v>37</v>
      </c>
      <c r="K1969">
        <v>10090</v>
      </c>
      <c r="L1969" s="3" t="str">
        <f>HYPERLINK("http://www.uniprot.org/uniprot/Q9R1K9", "Q9R1K9")</f>
        <v>Q9R1K9</v>
      </c>
      <c r="M1969" t="s">
        <v>22769</v>
      </c>
      <c r="N1969" t="str">
        <f>"Cetn2"</f>
        <v>Cetn2</v>
      </c>
      <c r="O1969" s="3" t="str">
        <f>HYPERLINK("http://www.informatics.jax.org/marker/MGI:1347085", "MGI:1347085")</f>
        <v>MGI:1347085</v>
      </c>
      <c r="P1969" t="s">
        <v>22770</v>
      </c>
      <c r="Q1969" t="s">
        <v>22771</v>
      </c>
      <c r="R1969" t="s">
        <v>7258</v>
      </c>
      <c r="S1969" t="s">
        <v>32</v>
      </c>
      <c r="T1969" t="s">
        <v>32</v>
      </c>
      <c r="U1969" t="s">
        <v>32</v>
      </c>
      <c r="V1969" t="s">
        <v>55</v>
      </c>
      <c r="W1969" t="s">
        <v>188</v>
      </c>
      <c r="X1969" t="s">
        <v>32</v>
      </c>
      <c r="Y1969" t="s">
        <v>516</v>
      </c>
      <c r="Z1969" t="s">
        <v>32</v>
      </c>
      <c r="AA1969" t="s">
        <v>22772</v>
      </c>
      <c r="AB1969" t="s">
        <v>22773</v>
      </c>
      <c r="AC1969" t="s">
        <v>22774</v>
      </c>
      <c r="AD1969" t="s">
        <v>32</v>
      </c>
      <c r="AE1969" t="s">
        <v>22775</v>
      </c>
      <c r="AF1969" t="s">
        <v>46835</v>
      </c>
    </row>
    <row r="1970" spans="1:32" x14ac:dyDescent="0.2">
      <c r="A1970">
        <v>1965</v>
      </c>
      <c r="B1970" t="s">
        <v>22776</v>
      </c>
      <c r="C1970" t="s">
        <v>22777</v>
      </c>
      <c r="D1970" t="s">
        <v>22778</v>
      </c>
      <c r="E1970" t="s">
        <v>22779</v>
      </c>
      <c r="F1970" t="s">
        <v>22780</v>
      </c>
      <c r="G1970" t="s">
        <v>22781</v>
      </c>
      <c r="H1970" t="str">
        <f>"Iars2"</f>
        <v>Iars2</v>
      </c>
      <c r="I1970" t="s">
        <v>32</v>
      </c>
      <c r="J1970" t="s">
        <v>37</v>
      </c>
      <c r="K1970">
        <v>10090</v>
      </c>
      <c r="L1970" s="3" t="str">
        <f>HYPERLINK("http://www.uniprot.org/uniprot/Q8BIJ6", "Q8BIJ6")</f>
        <v>Q8BIJ6</v>
      </c>
      <c r="M1970" t="s">
        <v>22782</v>
      </c>
      <c r="N1970" t="str">
        <f>"Iars2"</f>
        <v>Iars2</v>
      </c>
      <c r="O1970" s="3" t="str">
        <f>HYPERLINK("http://www.informatics.jax.org/marker/MGI:1919586", "MGI:1919586")</f>
        <v>MGI:1919586</v>
      </c>
      <c r="P1970" t="s">
        <v>22783</v>
      </c>
      <c r="Q1970" t="s">
        <v>260</v>
      </c>
      <c r="R1970" t="s">
        <v>1038</v>
      </c>
      <c r="S1970" t="s">
        <v>32</v>
      </c>
      <c r="T1970" t="s">
        <v>32</v>
      </c>
      <c r="U1970" t="s">
        <v>32</v>
      </c>
      <c r="V1970" t="s">
        <v>1039</v>
      </c>
      <c r="W1970" t="s">
        <v>205</v>
      </c>
      <c r="X1970" t="s">
        <v>2983</v>
      </c>
      <c r="Y1970" t="s">
        <v>78</v>
      </c>
      <c r="Z1970" t="s">
        <v>32</v>
      </c>
      <c r="AA1970" t="s">
        <v>22784</v>
      </c>
      <c r="AB1970" t="s">
        <v>2128</v>
      </c>
      <c r="AC1970" t="s">
        <v>22785</v>
      </c>
      <c r="AD1970" t="s">
        <v>32</v>
      </c>
      <c r="AE1970" t="s">
        <v>32</v>
      </c>
      <c r="AF1970" t="s">
        <v>46835</v>
      </c>
    </row>
    <row r="1971" spans="1:32" x14ac:dyDescent="0.2">
      <c r="A1971">
        <v>1966</v>
      </c>
      <c r="B1971" t="s">
        <v>22786</v>
      </c>
      <c r="C1971" t="s">
        <v>22787</v>
      </c>
      <c r="D1971" t="s">
        <v>22788</v>
      </c>
      <c r="E1971" t="s">
        <v>22789</v>
      </c>
      <c r="F1971" t="s">
        <v>22790</v>
      </c>
      <c r="G1971" t="s">
        <v>22791</v>
      </c>
      <c r="H1971" t="str">
        <f>"Lum"</f>
        <v>Lum</v>
      </c>
      <c r="I1971" t="s">
        <v>22792</v>
      </c>
      <c r="J1971" t="s">
        <v>37</v>
      </c>
      <c r="K1971">
        <v>10090</v>
      </c>
      <c r="L1971" s="3" t="str">
        <f>HYPERLINK("http://www.uniprot.org/uniprot/P51885", "P51885")</f>
        <v>P51885</v>
      </c>
      <c r="M1971" t="s">
        <v>22793</v>
      </c>
      <c r="N1971" t="str">
        <f>"Lum"</f>
        <v>Lum</v>
      </c>
      <c r="O1971" s="3" t="str">
        <f>HYPERLINK("http://www.informatics.jax.org/marker/MGI:109347", "MGI:109347")</f>
        <v>MGI:109347</v>
      </c>
      <c r="P1971" t="s">
        <v>22794</v>
      </c>
      <c r="Q1971" t="s">
        <v>32</v>
      </c>
      <c r="R1971" t="s">
        <v>5586</v>
      </c>
      <c r="S1971" t="s">
        <v>32</v>
      </c>
      <c r="T1971" t="s">
        <v>32</v>
      </c>
      <c r="U1971" t="s">
        <v>32</v>
      </c>
      <c r="V1971" t="s">
        <v>22795</v>
      </c>
      <c r="W1971" t="s">
        <v>32</v>
      </c>
      <c r="X1971" t="s">
        <v>32</v>
      </c>
      <c r="Y1971" t="s">
        <v>22796</v>
      </c>
      <c r="Z1971" t="s">
        <v>32</v>
      </c>
      <c r="AA1971" t="s">
        <v>22797</v>
      </c>
      <c r="AB1971" t="s">
        <v>22798</v>
      </c>
      <c r="AC1971" t="s">
        <v>22799</v>
      </c>
      <c r="AD1971" t="s">
        <v>32</v>
      </c>
      <c r="AE1971" t="s">
        <v>22800</v>
      </c>
      <c r="AF1971" t="s">
        <v>46835</v>
      </c>
    </row>
    <row r="1972" spans="1:32" x14ac:dyDescent="0.2">
      <c r="A1972">
        <v>1967</v>
      </c>
      <c r="B1972" t="s">
        <v>22801</v>
      </c>
      <c r="C1972" t="s">
        <v>22802</v>
      </c>
      <c r="D1972" t="s">
        <v>22803</v>
      </c>
      <c r="E1972" t="s">
        <v>22804</v>
      </c>
      <c r="F1972" t="s">
        <v>22805</v>
      </c>
      <c r="G1972" t="s">
        <v>22806</v>
      </c>
      <c r="H1972" t="str">
        <f>"Pde4d"</f>
        <v>Pde4d</v>
      </c>
      <c r="I1972" t="s">
        <v>32</v>
      </c>
      <c r="J1972" t="s">
        <v>37</v>
      </c>
      <c r="K1972">
        <v>10090</v>
      </c>
      <c r="L1972" s="3" t="str">
        <f>HYPERLINK("http://www.uniprot.org/uniprot/Q01063", "Q01063")</f>
        <v>Q01063</v>
      </c>
      <c r="M1972" t="s">
        <v>22807</v>
      </c>
      <c r="N1972" t="str">
        <f>"Pde4d"</f>
        <v>Pde4d</v>
      </c>
      <c r="O1972" s="3" t="str">
        <f>HYPERLINK("http://www.informatics.jax.org/marker/MGI:99555", "MGI:99555")</f>
        <v>MGI:99555</v>
      </c>
      <c r="P1972" t="s">
        <v>22808</v>
      </c>
      <c r="Q1972" t="s">
        <v>32</v>
      </c>
      <c r="R1972" t="s">
        <v>371</v>
      </c>
      <c r="S1972" t="s">
        <v>41</v>
      </c>
      <c r="T1972" t="s">
        <v>32</v>
      </c>
      <c r="U1972" t="s">
        <v>32</v>
      </c>
      <c r="V1972" t="s">
        <v>32</v>
      </c>
      <c r="W1972" t="s">
        <v>22809</v>
      </c>
      <c r="X1972" t="s">
        <v>343</v>
      </c>
      <c r="Y1972" t="s">
        <v>1007</v>
      </c>
      <c r="Z1972" t="s">
        <v>32</v>
      </c>
      <c r="AA1972" t="s">
        <v>22810</v>
      </c>
      <c r="AB1972" t="s">
        <v>22811</v>
      </c>
      <c r="AC1972" t="s">
        <v>22812</v>
      </c>
      <c r="AD1972" t="s">
        <v>22813</v>
      </c>
      <c r="AE1972" t="s">
        <v>22814</v>
      </c>
      <c r="AF1972" t="s">
        <v>46835</v>
      </c>
    </row>
    <row r="1973" spans="1:32" x14ac:dyDescent="0.2">
      <c r="A1973">
        <v>1968</v>
      </c>
      <c r="B1973" t="s">
        <v>22815</v>
      </c>
      <c r="C1973" t="s">
        <v>22816</v>
      </c>
      <c r="D1973" t="s">
        <v>22817</v>
      </c>
      <c r="E1973" t="s">
        <v>22818</v>
      </c>
      <c r="F1973" t="s">
        <v>22819</v>
      </c>
      <c r="G1973" t="s">
        <v>22820</v>
      </c>
      <c r="H1973" t="str">
        <f>"Slk"</f>
        <v>Slk</v>
      </c>
      <c r="I1973" t="s">
        <v>22821</v>
      </c>
      <c r="J1973" t="s">
        <v>37</v>
      </c>
      <c r="K1973">
        <v>10090</v>
      </c>
      <c r="L1973" s="3" t="str">
        <f>HYPERLINK("http://www.uniprot.org/uniprot/O54988", "O54988")</f>
        <v>O54988</v>
      </c>
      <c r="M1973" t="s">
        <v>22822</v>
      </c>
      <c r="N1973" t="str">
        <f>"Slk"</f>
        <v>Slk</v>
      </c>
      <c r="O1973" s="3" t="str">
        <f>HYPERLINK("http://www.informatics.jax.org/marker/MGI:103241", "MGI:103241")</f>
        <v>MGI:103241</v>
      </c>
      <c r="P1973" t="s">
        <v>22823</v>
      </c>
      <c r="Q1973" t="s">
        <v>541</v>
      </c>
      <c r="R1973" t="s">
        <v>418</v>
      </c>
      <c r="S1973" t="s">
        <v>41</v>
      </c>
      <c r="T1973" t="s">
        <v>32</v>
      </c>
      <c r="U1973" t="s">
        <v>32</v>
      </c>
      <c r="V1973" t="s">
        <v>290</v>
      </c>
      <c r="W1973" t="s">
        <v>205</v>
      </c>
      <c r="X1973" t="s">
        <v>5419</v>
      </c>
      <c r="Y1973" t="s">
        <v>618</v>
      </c>
      <c r="Z1973" t="s">
        <v>32</v>
      </c>
      <c r="AA1973" t="s">
        <v>22824</v>
      </c>
      <c r="AB1973" t="s">
        <v>22825</v>
      </c>
      <c r="AC1973" t="s">
        <v>22826</v>
      </c>
      <c r="AD1973" t="s">
        <v>32</v>
      </c>
      <c r="AE1973" t="s">
        <v>22827</v>
      </c>
      <c r="AF1973" t="s">
        <v>46835</v>
      </c>
    </row>
    <row r="1974" spans="1:32" x14ac:dyDescent="0.2">
      <c r="A1974">
        <v>1969</v>
      </c>
      <c r="B1974" t="s">
        <v>22828</v>
      </c>
      <c r="C1974" t="s">
        <v>22829</v>
      </c>
      <c r="D1974" t="s">
        <v>32</v>
      </c>
      <c r="E1974" t="s">
        <v>22830</v>
      </c>
      <c r="F1974" t="s">
        <v>22831</v>
      </c>
      <c r="G1974" t="s">
        <v>22832</v>
      </c>
      <c r="H1974" t="str">
        <f>"Gnao1"</f>
        <v>Gnao1</v>
      </c>
      <c r="I1974" t="s">
        <v>22833</v>
      </c>
      <c r="J1974" t="s">
        <v>37</v>
      </c>
      <c r="K1974">
        <v>10090</v>
      </c>
      <c r="L1974" s="3" t="str">
        <f>HYPERLINK("http://www.uniprot.org/uniprot/P18872", "P18872")</f>
        <v>P18872</v>
      </c>
      <c r="M1974" t="s">
        <v>22834</v>
      </c>
      <c r="N1974" t="str">
        <f>"Gnao1"</f>
        <v>Gnao1</v>
      </c>
      <c r="O1974" s="3" t="str">
        <f>HYPERLINK("http://www.informatics.jax.org/marker/MGI:95775", "MGI:95775")</f>
        <v>MGI:95775</v>
      </c>
      <c r="P1974" t="s">
        <v>22835</v>
      </c>
      <c r="Q1974" t="s">
        <v>32</v>
      </c>
      <c r="R1974" t="s">
        <v>2474</v>
      </c>
      <c r="S1974" t="s">
        <v>41</v>
      </c>
      <c r="T1974" t="s">
        <v>32</v>
      </c>
      <c r="U1974" t="s">
        <v>32</v>
      </c>
      <c r="V1974" t="s">
        <v>32</v>
      </c>
      <c r="W1974" t="s">
        <v>342</v>
      </c>
      <c r="X1974" t="s">
        <v>10391</v>
      </c>
      <c r="Y1974" t="s">
        <v>12649</v>
      </c>
      <c r="Z1974" t="s">
        <v>126</v>
      </c>
      <c r="AA1974" t="s">
        <v>22836</v>
      </c>
      <c r="AB1974" t="s">
        <v>22837</v>
      </c>
      <c r="AC1974" t="s">
        <v>22838</v>
      </c>
      <c r="AD1974" t="s">
        <v>32</v>
      </c>
      <c r="AE1974" t="s">
        <v>22839</v>
      </c>
      <c r="AF1974" t="s">
        <v>46835</v>
      </c>
    </row>
    <row r="1975" spans="1:32" x14ac:dyDescent="0.2">
      <c r="A1975">
        <v>1970</v>
      </c>
      <c r="B1975" t="s">
        <v>22840</v>
      </c>
      <c r="C1975" t="s">
        <v>22841</v>
      </c>
      <c r="D1975" t="s">
        <v>22842</v>
      </c>
      <c r="E1975" t="s">
        <v>22843</v>
      </c>
      <c r="F1975" t="s">
        <v>22844</v>
      </c>
      <c r="G1975" t="s">
        <v>32</v>
      </c>
      <c r="H1975" t="str">
        <f>"Tmsb4x"</f>
        <v>Tmsb4x</v>
      </c>
      <c r="I1975" t="s">
        <v>22845</v>
      </c>
      <c r="J1975" t="s">
        <v>37</v>
      </c>
      <c r="K1975">
        <v>10090</v>
      </c>
      <c r="L1975" s="3" t="str">
        <f>HYPERLINK("http://www.uniprot.org/uniprot/P20065", "P20065")</f>
        <v>P20065</v>
      </c>
      <c r="M1975" t="s">
        <v>22846</v>
      </c>
      <c r="N1975" t="str">
        <f>"Tmsb4x"</f>
        <v>Tmsb4x</v>
      </c>
      <c r="O1975" s="3" t="str">
        <f>HYPERLINK("http://www.informatics.jax.org/marker/MGI:99510", "MGI:99510")</f>
        <v>MGI:99510</v>
      </c>
      <c r="P1975" t="s">
        <v>22847</v>
      </c>
      <c r="Q1975" t="s">
        <v>32</v>
      </c>
      <c r="R1975" t="s">
        <v>186</v>
      </c>
      <c r="S1975" t="s">
        <v>41</v>
      </c>
      <c r="T1975" t="s">
        <v>32</v>
      </c>
      <c r="U1975" t="s">
        <v>32</v>
      </c>
      <c r="V1975" t="s">
        <v>32</v>
      </c>
      <c r="W1975" t="s">
        <v>32</v>
      </c>
      <c r="X1975" t="s">
        <v>405</v>
      </c>
      <c r="Y1975" t="s">
        <v>516</v>
      </c>
      <c r="Z1975" t="s">
        <v>126</v>
      </c>
      <c r="AA1975" t="s">
        <v>22848</v>
      </c>
      <c r="AB1975" t="s">
        <v>22849</v>
      </c>
      <c r="AC1975" t="s">
        <v>22850</v>
      </c>
      <c r="AD1975" t="s">
        <v>32</v>
      </c>
      <c r="AE1975" t="s">
        <v>2235</v>
      </c>
      <c r="AF1975" t="s">
        <v>46835</v>
      </c>
    </row>
    <row r="1976" spans="1:32" x14ac:dyDescent="0.2">
      <c r="A1976">
        <v>1971</v>
      </c>
      <c r="B1976" t="s">
        <v>22851</v>
      </c>
      <c r="C1976" t="s">
        <v>22852</v>
      </c>
      <c r="D1976" t="s">
        <v>22853</v>
      </c>
      <c r="E1976" t="s">
        <v>22854</v>
      </c>
      <c r="F1976" t="s">
        <v>22855</v>
      </c>
      <c r="G1976" t="s">
        <v>22856</v>
      </c>
      <c r="H1976" t="str">
        <f>"Mob2"</f>
        <v>Mob2</v>
      </c>
      <c r="I1976" t="s">
        <v>22857</v>
      </c>
      <c r="J1976" t="s">
        <v>37</v>
      </c>
      <c r="K1976">
        <v>10090</v>
      </c>
      <c r="L1976" s="3" t="str">
        <f>HYPERLINK("http://www.uniprot.org/uniprot/Q8VI63", "Q8VI63")</f>
        <v>Q8VI63</v>
      </c>
      <c r="M1976" t="s">
        <v>22858</v>
      </c>
      <c r="N1976" t="str">
        <f>"Mob2"</f>
        <v>Mob2</v>
      </c>
      <c r="O1976" s="3" t="str">
        <f>HYPERLINK("http://www.informatics.jax.org/marker/MGI:1919891", "MGI:1919891")</f>
        <v>MGI:1919891</v>
      </c>
      <c r="P1976" t="s">
        <v>22859</v>
      </c>
      <c r="Q1976" t="s">
        <v>32</v>
      </c>
      <c r="R1976" t="s">
        <v>40</v>
      </c>
      <c r="S1976" t="s">
        <v>41</v>
      </c>
      <c r="T1976" t="s">
        <v>32</v>
      </c>
      <c r="U1976" t="s">
        <v>32</v>
      </c>
      <c r="V1976" t="s">
        <v>32</v>
      </c>
      <c r="W1976" t="s">
        <v>42</v>
      </c>
      <c r="X1976" t="s">
        <v>32</v>
      </c>
      <c r="Y1976" t="s">
        <v>618</v>
      </c>
      <c r="Z1976" t="s">
        <v>32</v>
      </c>
      <c r="AA1976" t="s">
        <v>22860</v>
      </c>
      <c r="AB1976" t="s">
        <v>22861</v>
      </c>
      <c r="AC1976" t="s">
        <v>22862</v>
      </c>
      <c r="AD1976" t="s">
        <v>32</v>
      </c>
      <c r="AE1976" t="s">
        <v>32</v>
      </c>
      <c r="AF1976" t="s">
        <v>46835</v>
      </c>
    </row>
    <row r="1977" spans="1:32" x14ac:dyDescent="0.2">
      <c r="A1977">
        <v>1972</v>
      </c>
      <c r="B1977" t="s">
        <v>22863</v>
      </c>
      <c r="C1977" t="s">
        <v>22864</v>
      </c>
      <c r="D1977" t="s">
        <v>22865</v>
      </c>
      <c r="E1977" t="s">
        <v>22866</v>
      </c>
      <c r="F1977" t="s">
        <v>22867</v>
      </c>
      <c r="G1977" t="s">
        <v>22868</v>
      </c>
      <c r="H1977" t="str">
        <f>"Fto"</f>
        <v>Fto</v>
      </c>
      <c r="I1977" t="s">
        <v>32</v>
      </c>
      <c r="J1977" t="s">
        <v>37</v>
      </c>
      <c r="K1977">
        <v>10090</v>
      </c>
      <c r="L1977" s="3" t="str">
        <f>HYPERLINK("http://www.uniprot.org/uniprot/Q8BGW1", "Q8BGW1")</f>
        <v>Q8BGW1</v>
      </c>
      <c r="M1977" t="s">
        <v>22869</v>
      </c>
      <c r="N1977" t="str">
        <f>"Fto"</f>
        <v>Fto</v>
      </c>
      <c r="O1977" s="3" t="str">
        <f>HYPERLINK("http://www.informatics.jax.org/marker/MGI:1347093", "MGI:1347093")</f>
        <v>MGI:1347093</v>
      </c>
      <c r="P1977" t="s">
        <v>22870</v>
      </c>
      <c r="Q1977" t="s">
        <v>32</v>
      </c>
      <c r="R1977" t="s">
        <v>40</v>
      </c>
      <c r="S1977" t="s">
        <v>41</v>
      </c>
      <c r="T1977" t="s">
        <v>32</v>
      </c>
      <c r="U1977" t="s">
        <v>32</v>
      </c>
      <c r="V1977" t="s">
        <v>32</v>
      </c>
      <c r="W1977" t="s">
        <v>845</v>
      </c>
      <c r="X1977" t="s">
        <v>3732</v>
      </c>
      <c r="Y1977" t="s">
        <v>78</v>
      </c>
      <c r="Z1977" t="s">
        <v>32</v>
      </c>
      <c r="AA1977" t="s">
        <v>22871</v>
      </c>
      <c r="AB1977" t="s">
        <v>22872</v>
      </c>
      <c r="AC1977" t="s">
        <v>22873</v>
      </c>
      <c r="AD1977" t="s">
        <v>32</v>
      </c>
      <c r="AE1977" t="s">
        <v>22874</v>
      </c>
      <c r="AF1977" t="s">
        <v>46835</v>
      </c>
    </row>
    <row r="1978" spans="1:32" x14ac:dyDescent="0.2">
      <c r="A1978">
        <v>1973</v>
      </c>
      <c r="B1978" t="s">
        <v>22875</v>
      </c>
      <c r="C1978" t="s">
        <v>22876</v>
      </c>
      <c r="D1978" t="s">
        <v>32</v>
      </c>
      <c r="E1978" t="s">
        <v>22877</v>
      </c>
      <c r="F1978" t="s">
        <v>22878</v>
      </c>
      <c r="G1978" t="s">
        <v>22879</v>
      </c>
      <c r="H1978" t="str">
        <f>"Rnps1"</f>
        <v>Rnps1</v>
      </c>
      <c r="I1978" t="s">
        <v>32</v>
      </c>
      <c r="J1978" t="s">
        <v>37</v>
      </c>
      <c r="K1978">
        <v>10090</v>
      </c>
      <c r="L1978" s="3" t="str">
        <f>HYPERLINK("http://www.uniprot.org/uniprot/Q99M28", "Q99M28")</f>
        <v>Q99M28</v>
      </c>
      <c r="M1978" t="s">
        <v>22880</v>
      </c>
      <c r="N1978" t="str">
        <f>"Rnps1"</f>
        <v>Rnps1</v>
      </c>
      <c r="O1978" s="3" t="str">
        <f>HYPERLINK("http://www.informatics.jax.org/marker/MGI:97960", "MGI:97960")</f>
        <v>MGI:97960</v>
      </c>
      <c r="P1978" t="s">
        <v>22881</v>
      </c>
      <c r="Q1978" t="s">
        <v>1280</v>
      </c>
      <c r="R1978" t="s">
        <v>40</v>
      </c>
      <c r="S1978" t="s">
        <v>41</v>
      </c>
      <c r="T1978" t="s">
        <v>32</v>
      </c>
      <c r="U1978" t="s">
        <v>32</v>
      </c>
      <c r="V1978" t="s">
        <v>32</v>
      </c>
      <c r="W1978" t="s">
        <v>32</v>
      </c>
      <c r="X1978" t="s">
        <v>1282</v>
      </c>
      <c r="Y1978" t="s">
        <v>516</v>
      </c>
      <c r="Z1978" t="s">
        <v>32</v>
      </c>
      <c r="AA1978" t="s">
        <v>22882</v>
      </c>
      <c r="AB1978" t="s">
        <v>22883</v>
      </c>
      <c r="AC1978" t="s">
        <v>4991</v>
      </c>
      <c r="AD1978" t="s">
        <v>32</v>
      </c>
      <c r="AE1978" t="s">
        <v>13392</v>
      </c>
      <c r="AF1978" t="s">
        <v>46835</v>
      </c>
    </row>
    <row r="1979" spans="1:32" x14ac:dyDescent="0.2">
      <c r="A1979">
        <v>1974</v>
      </c>
      <c r="B1979" t="s">
        <v>22884</v>
      </c>
      <c r="C1979" t="s">
        <v>22885</v>
      </c>
      <c r="D1979" t="s">
        <v>22886</v>
      </c>
      <c r="E1979" t="s">
        <v>22887</v>
      </c>
      <c r="F1979" t="s">
        <v>22888</v>
      </c>
      <c r="G1979" t="s">
        <v>22889</v>
      </c>
      <c r="H1979" t="str">
        <f>"Dera"</f>
        <v>Dera</v>
      </c>
      <c r="I1979" t="s">
        <v>32</v>
      </c>
      <c r="J1979" t="s">
        <v>37</v>
      </c>
      <c r="K1979">
        <v>10090</v>
      </c>
      <c r="L1979" s="3" t="str">
        <f>HYPERLINK("http://www.uniprot.org/uniprot/Q91YP3", "Q91YP3")</f>
        <v>Q91YP3</v>
      </c>
      <c r="M1979" t="s">
        <v>22890</v>
      </c>
      <c r="N1979" t="str">
        <f>"Dera"</f>
        <v>Dera</v>
      </c>
      <c r="O1979" s="3" t="str">
        <f>HYPERLINK("http://www.informatics.jax.org/marker/MGI:1913762", "MGI:1913762")</f>
        <v>MGI:1913762</v>
      </c>
      <c r="P1979" t="s">
        <v>22891</v>
      </c>
      <c r="Q1979" t="s">
        <v>32</v>
      </c>
      <c r="R1979" t="s">
        <v>40</v>
      </c>
      <c r="S1979" t="s">
        <v>32</v>
      </c>
      <c r="T1979" t="s">
        <v>32</v>
      </c>
      <c r="U1979" t="s">
        <v>32</v>
      </c>
      <c r="V1979" t="s">
        <v>32</v>
      </c>
      <c r="W1979" t="s">
        <v>981</v>
      </c>
      <c r="X1979" t="s">
        <v>224</v>
      </c>
      <c r="Y1979" t="s">
        <v>32</v>
      </c>
      <c r="Z1979" t="s">
        <v>32</v>
      </c>
      <c r="AA1979" t="s">
        <v>22892</v>
      </c>
      <c r="AB1979" t="s">
        <v>14281</v>
      </c>
      <c r="AC1979" t="s">
        <v>22893</v>
      </c>
      <c r="AD1979" t="s">
        <v>22894</v>
      </c>
      <c r="AE1979" t="s">
        <v>20435</v>
      </c>
      <c r="AF1979" t="s">
        <v>46835</v>
      </c>
    </row>
    <row r="1980" spans="1:32" x14ac:dyDescent="0.2">
      <c r="A1980">
        <v>1975</v>
      </c>
      <c r="B1980" t="s">
        <v>22895</v>
      </c>
      <c r="C1980" t="s">
        <v>22896</v>
      </c>
      <c r="D1980" t="s">
        <v>32</v>
      </c>
      <c r="E1980" t="s">
        <v>22897</v>
      </c>
      <c r="F1980" t="s">
        <v>22898</v>
      </c>
      <c r="G1980" t="s">
        <v>22899</v>
      </c>
      <c r="H1980" t="str">
        <f>"Stx12"</f>
        <v>Stx12</v>
      </c>
      <c r="I1980" t="s">
        <v>32</v>
      </c>
      <c r="J1980" t="s">
        <v>37</v>
      </c>
      <c r="K1980">
        <v>10090</v>
      </c>
      <c r="L1980" s="3" t="str">
        <f>HYPERLINK("http://www.uniprot.org/uniprot/Q9ER00", "Q9ER00")</f>
        <v>Q9ER00</v>
      </c>
      <c r="M1980" t="s">
        <v>22900</v>
      </c>
      <c r="N1980" t="str">
        <f>"Stx12"</f>
        <v>Stx12</v>
      </c>
      <c r="O1980" s="3" t="str">
        <f>HYPERLINK("http://www.informatics.jax.org/marker/MGI:1931027", "MGI:1931027")</f>
        <v>MGI:1931027</v>
      </c>
      <c r="P1980" t="s">
        <v>22901</v>
      </c>
      <c r="Q1980" t="s">
        <v>434</v>
      </c>
      <c r="R1980" t="s">
        <v>6982</v>
      </c>
      <c r="S1980" t="s">
        <v>32</v>
      </c>
      <c r="T1980" t="s">
        <v>32</v>
      </c>
      <c r="U1980" t="s">
        <v>32</v>
      </c>
      <c r="V1980" t="s">
        <v>6500</v>
      </c>
      <c r="W1980" t="s">
        <v>32</v>
      </c>
      <c r="X1980" t="s">
        <v>32</v>
      </c>
      <c r="Y1980" t="s">
        <v>157</v>
      </c>
      <c r="Z1980" t="s">
        <v>32</v>
      </c>
      <c r="AA1980" t="s">
        <v>22902</v>
      </c>
      <c r="AB1980" t="s">
        <v>22903</v>
      </c>
      <c r="AC1980" t="s">
        <v>22904</v>
      </c>
      <c r="AD1980" t="s">
        <v>32</v>
      </c>
      <c r="AE1980" t="s">
        <v>32</v>
      </c>
      <c r="AF1980" t="s">
        <v>46835</v>
      </c>
    </row>
    <row r="1981" spans="1:32" x14ac:dyDescent="0.2">
      <c r="A1981">
        <v>1976</v>
      </c>
      <c r="B1981" t="s">
        <v>22905</v>
      </c>
      <c r="C1981" t="s">
        <v>22906</v>
      </c>
      <c r="D1981" t="s">
        <v>32</v>
      </c>
      <c r="E1981" t="s">
        <v>22907</v>
      </c>
      <c r="F1981" t="s">
        <v>22908</v>
      </c>
      <c r="G1981" t="s">
        <v>22909</v>
      </c>
      <c r="H1981" t="str">
        <f>"Tsfm"</f>
        <v>Tsfm</v>
      </c>
      <c r="I1981" t="s">
        <v>32</v>
      </c>
      <c r="J1981" t="s">
        <v>37</v>
      </c>
      <c r="K1981">
        <v>10090</v>
      </c>
      <c r="L1981" s="3" t="str">
        <f>HYPERLINK("http://www.uniprot.org/uniprot/Q9CZR8", "Q9CZR8")</f>
        <v>Q9CZR8</v>
      </c>
      <c r="M1981" t="s">
        <v>22910</v>
      </c>
      <c r="N1981" t="str">
        <f>"Tsfm"</f>
        <v>Tsfm</v>
      </c>
      <c r="O1981" s="3" t="str">
        <f>HYPERLINK("http://www.informatics.jax.org/marker/MGI:1913649", "MGI:1913649")</f>
        <v>MGI:1913649</v>
      </c>
      <c r="P1981" t="s">
        <v>22911</v>
      </c>
      <c r="Q1981" t="s">
        <v>260</v>
      </c>
      <c r="R1981" t="s">
        <v>1038</v>
      </c>
      <c r="S1981" t="s">
        <v>32</v>
      </c>
      <c r="T1981" t="s">
        <v>32</v>
      </c>
      <c r="U1981" t="s">
        <v>32</v>
      </c>
      <c r="V1981" t="s">
        <v>1039</v>
      </c>
      <c r="W1981" t="s">
        <v>32</v>
      </c>
      <c r="X1981" t="s">
        <v>262</v>
      </c>
      <c r="Y1981" t="s">
        <v>618</v>
      </c>
      <c r="Z1981" t="s">
        <v>32</v>
      </c>
      <c r="AA1981" t="s">
        <v>22912</v>
      </c>
      <c r="AB1981" t="s">
        <v>22913</v>
      </c>
      <c r="AC1981" t="s">
        <v>464</v>
      </c>
      <c r="AD1981" t="s">
        <v>32</v>
      </c>
      <c r="AE1981" t="s">
        <v>32</v>
      </c>
      <c r="AF1981" t="s">
        <v>46835</v>
      </c>
    </row>
    <row r="1982" spans="1:32" x14ac:dyDescent="0.2">
      <c r="A1982">
        <v>1977</v>
      </c>
      <c r="B1982" t="s">
        <v>22914</v>
      </c>
      <c r="C1982" t="s">
        <v>22915</v>
      </c>
      <c r="D1982" t="s">
        <v>22916</v>
      </c>
      <c r="E1982" t="s">
        <v>22917</v>
      </c>
      <c r="F1982" t="s">
        <v>22918</v>
      </c>
      <c r="G1982" t="s">
        <v>22919</v>
      </c>
      <c r="H1982" t="str">
        <f>"Trex1"</f>
        <v>Trex1</v>
      </c>
      <c r="I1982" t="s">
        <v>32</v>
      </c>
      <c r="J1982" t="s">
        <v>37</v>
      </c>
      <c r="K1982">
        <v>10090</v>
      </c>
      <c r="L1982" s="3" t="str">
        <f>HYPERLINK("http://www.uniprot.org/uniprot/Q91XB0", "Q91XB0")</f>
        <v>Q91XB0</v>
      </c>
      <c r="M1982" t="s">
        <v>22920</v>
      </c>
      <c r="N1982" t="str">
        <f>"Trex1"</f>
        <v>Trex1</v>
      </c>
      <c r="O1982" s="3" t="str">
        <f>HYPERLINK("http://www.informatics.jax.org/marker/MGI:1328317", "MGI:1328317")</f>
        <v>MGI:1328317</v>
      </c>
      <c r="P1982" t="s">
        <v>22921</v>
      </c>
      <c r="Q1982" t="s">
        <v>32</v>
      </c>
      <c r="R1982" t="s">
        <v>3151</v>
      </c>
      <c r="S1982" t="s">
        <v>32</v>
      </c>
      <c r="T1982" t="s">
        <v>32</v>
      </c>
      <c r="U1982" t="s">
        <v>32</v>
      </c>
      <c r="V1982" t="s">
        <v>32</v>
      </c>
      <c r="W1982" t="s">
        <v>223</v>
      </c>
      <c r="X1982" t="s">
        <v>9313</v>
      </c>
      <c r="Y1982" t="s">
        <v>2836</v>
      </c>
      <c r="Z1982" t="s">
        <v>126</v>
      </c>
      <c r="AA1982" t="s">
        <v>22922</v>
      </c>
      <c r="AB1982" t="s">
        <v>22923</v>
      </c>
      <c r="AC1982" t="s">
        <v>22924</v>
      </c>
      <c r="AD1982" t="s">
        <v>32</v>
      </c>
      <c r="AE1982" t="s">
        <v>32</v>
      </c>
      <c r="AF1982" t="s">
        <v>46835</v>
      </c>
    </row>
    <row r="1983" spans="1:32" x14ac:dyDescent="0.2">
      <c r="A1983">
        <v>1978</v>
      </c>
      <c r="B1983" t="s">
        <v>22925</v>
      </c>
      <c r="C1983" t="s">
        <v>22926</v>
      </c>
      <c r="D1983" t="s">
        <v>22927</v>
      </c>
      <c r="E1983" t="s">
        <v>22928</v>
      </c>
      <c r="F1983" t="s">
        <v>22929</v>
      </c>
      <c r="G1983" t="s">
        <v>22930</v>
      </c>
      <c r="H1983" t="str">
        <f>"Ppp6r3"</f>
        <v>Ppp6r3</v>
      </c>
      <c r="I1983" t="s">
        <v>22931</v>
      </c>
      <c r="J1983" t="s">
        <v>37</v>
      </c>
      <c r="K1983">
        <v>10090</v>
      </c>
      <c r="L1983" s="3" t="str">
        <f>HYPERLINK("http://www.uniprot.org/uniprot/Q922D4", "Q922D4")</f>
        <v>Q922D4</v>
      </c>
      <c r="M1983" t="s">
        <v>22932</v>
      </c>
      <c r="N1983" t="str">
        <f>"Ppp6r3"</f>
        <v>Ppp6r3</v>
      </c>
      <c r="O1983" s="3" t="str">
        <f>HYPERLINK("http://www.informatics.jax.org/marker/MGI:1921807", "MGI:1921807")</f>
        <v>MGI:1921807</v>
      </c>
      <c r="P1983" t="s">
        <v>22933</v>
      </c>
      <c r="Q1983" t="s">
        <v>32</v>
      </c>
      <c r="R1983" t="s">
        <v>40</v>
      </c>
      <c r="S1983" t="s">
        <v>41</v>
      </c>
      <c r="T1983" t="s">
        <v>32</v>
      </c>
      <c r="U1983" t="s">
        <v>32</v>
      </c>
      <c r="V1983" t="s">
        <v>32</v>
      </c>
      <c r="W1983" t="s">
        <v>32</v>
      </c>
      <c r="X1983" t="s">
        <v>32</v>
      </c>
      <c r="Y1983" t="s">
        <v>618</v>
      </c>
      <c r="Z1983" t="s">
        <v>32</v>
      </c>
      <c r="AA1983" t="s">
        <v>22934</v>
      </c>
      <c r="AB1983" t="s">
        <v>22935</v>
      </c>
      <c r="AC1983" t="s">
        <v>22936</v>
      </c>
      <c r="AD1983" t="s">
        <v>32</v>
      </c>
      <c r="AE1983" t="s">
        <v>12581</v>
      </c>
      <c r="AF1983" t="s">
        <v>46835</v>
      </c>
    </row>
    <row r="1984" spans="1:32" x14ac:dyDescent="0.2">
      <c r="A1984">
        <v>1979</v>
      </c>
      <c r="B1984" t="s">
        <v>22937</v>
      </c>
      <c r="C1984" t="s">
        <v>22938</v>
      </c>
      <c r="D1984" t="s">
        <v>22939</v>
      </c>
      <c r="E1984" t="s">
        <v>22940</v>
      </c>
      <c r="F1984" t="s">
        <v>22941</v>
      </c>
      <c r="G1984" t="s">
        <v>22942</v>
      </c>
      <c r="H1984" t="str">
        <f>"Golm2"</f>
        <v>Golm2</v>
      </c>
      <c r="I1984" t="s">
        <v>32</v>
      </c>
      <c r="J1984" t="s">
        <v>37</v>
      </c>
      <c r="K1984">
        <v>10090</v>
      </c>
      <c r="L1984" s="3" t="str">
        <f>HYPERLINK("http://www.uniprot.org/uniprot/Q6P2L7", "Q6P2L7")</f>
        <v>Q6P2L7</v>
      </c>
      <c r="M1984" t="s">
        <v>22943</v>
      </c>
      <c r="N1984" t="str">
        <f>"Golm2"</f>
        <v>Golm2</v>
      </c>
      <c r="O1984" s="3" t="str">
        <f>HYPERLINK("http://www.informatics.jax.org/marker/MGI:2443129", "MGI:2443129")</f>
        <v>MGI:2443129</v>
      </c>
      <c r="P1984" t="s">
        <v>22944</v>
      </c>
      <c r="Q1984" t="s">
        <v>32</v>
      </c>
      <c r="R1984" t="s">
        <v>5989</v>
      </c>
      <c r="S1984" t="s">
        <v>41</v>
      </c>
      <c r="T1984" t="s">
        <v>32</v>
      </c>
      <c r="U1984" t="s">
        <v>32</v>
      </c>
      <c r="V1984" t="s">
        <v>3078</v>
      </c>
      <c r="W1984" t="s">
        <v>32</v>
      </c>
      <c r="X1984" t="s">
        <v>32</v>
      </c>
      <c r="Y1984" t="s">
        <v>157</v>
      </c>
      <c r="Z1984" t="s">
        <v>32</v>
      </c>
      <c r="AA1984" t="s">
        <v>32</v>
      </c>
      <c r="AB1984" t="s">
        <v>22945</v>
      </c>
      <c r="AC1984" t="s">
        <v>32</v>
      </c>
      <c r="AD1984" t="s">
        <v>32</v>
      </c>
      <c r="AE1984" t="s">
        <v>32</v>
      </c>
      <c r="AF1984" t="s">
        <v>46835</v>
      </c>
    </row>
    <row r="1985" spans="1:32" x14ac:dyDescent="0.2">
      <c r="A1985">
        <v>1980</v>
      </c>
      <c r="B1985" t="s">
        <v>22946</v>
      </c>
      <c r="C1985" t="s">
        <v>22947</v>
      </c>
      <c r="D1985" t="s">
        <v>22948</v>
      </c>
      <c r="E1985" t="s">
        <v>22949</v>
      </c>
      <c r="F1985" t="s">
        <v>22950</v>
      </c>
      <c r="G1985" t="s">
        <v>22951</v>
      </c>
      <c r="H1985" t="str">
        <f>"Niban1"</f>
        <v>Niban1</v>
      </c>
      <c r="I1985" t="s">
        <v>32</v>
      </c>
      <c r="J1985" t="s">
        <v>37</v>
      </c>
      <c r="K1985">
        <v>10090</v>
      </c>
      <c r="L1985" s="3" t="str">
        <f>HYPERLINK("http://www.uniprot.org/uniprot/Q3UW53", "Q3UW53")</f>
        <v>Q3UW53</v>
      </c>
      <c r="M1985" t="s">
        <v>22952</v>
      </c>
      <c r="N1985" t="str">
        <f>"Niban1"</f>
        <v>Niban1</v>
      </c>
      <c r="O1985" s="3" t="str">
        <f>HYPERLINK("http://www.informatics.jax.org/marker/MGI:2137237", "MGI:2137237")</f>
        <v>MGI:2137237</v>
      </c>
      <c r="P1985" t="s">
        <v>22953</v>
      </c>
      <c r="Q1985" t="s">
        <v>22954</v>
      </c>
      <c r="R1985" t="s">
        <v>714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32</v>
      </c>
      <c r="Y1985" t="s">
        <v>5562</v>
      </c>
      <c r="Z1985" t="s">
        <v>32</v>
      </c>
      <c r="AA1985" t="s">
        <v>22955</v>
      </c>
      <c r="AB1985" t="s">
        <v>4024</v>
      </c>
      <c r="AC1985" t="s">
        <v>32</v>
      </c>
      <c r="AD1985" t="s">
        <v>32</v>
      </c>
      <c r="AE1985" t="s">
        <v>32</v>
      </c>
      <c r="AF1985" t="s">
        <v>46835</v>
      </c>
    </row>
    <row r="1986" spans="1:32" x14ac:dyDescent="0.2">
      <c r="A1986">
        <v>1981</v>
      </c>
      <c r="B1986" t="s">
        <v>22956</v>
      </c>
      <c r="C1986" t="s">
        <v>22957</v>
      </c>
      <c r="D1986" t="s">
        <v>22958</v>
      </c>
      <c r="E1986" t="s">
        <v>22959</v>
      </c>
      <c r="F1986" t="s">
        <v>22960</v>
      </c>
      <c r="G1986" t="s">
        <v>22961</v>
      </c>
      <c r="H1986" t="str">
        <f>"Trafd1"</f>
        <v>Trafd1</v>
      </c>
      <c r="I1986" t="s">
        <v>22962</v>
      </c>
      <c r="J1986" t="s">
        <v>37</v>
      </c>
      <c r="K1986">
        <v>10090</v>
      </c>
      <c r="L1986" s="3" t="str">
        <f>HYPERLINK("http://www.uniprot.org/uniprot/Q3UDK1", "Q3UDK1")</f>
        <v>Q3UDK1</v>
      </c>
      <c r="M1986" t="s">
        <v>22963</v>
      </c>
      <c r="N1986" t="str">
        <f>"Trafd1"</f>
        <v>Trafd1</v>
      </c>
      <c r="O1986" s="3" t="str">
        <f>HYPERLINK("http://www.informatics.jax.org/marker/MGI:1923551", "MGI:1923551")</f>
        <v>MGI:1923551</v>
      </c>
      <c r="P1986" t="s">
        <v>22964</v>
      </c>
      <c r="Q1986" t="s">
        <v>32</v>
      </c>
      <c r="R1986" t="s">
        <v>32</v>
      </c>
      <c r="S1986" t="s">
        <v>41</v>
      </c>
      <c r="T1986" t="s">
        <v>32</v>
      </c>
      <c r="U1986" t="s">
        <v>32</v>
      </c>
      <c r="V1986" t="s">
        <v>446</v>
      </c>
      <c r="W1986" t="s">
        <v>42</v>
      </c>
      <c r="X1986" t="s">
        <v>32</v>
      </c>
      <c r="Y1986" t="s">
        <v>157</v>
      </c>
      <c r="Z1986" t="s">
        <v>32</v>
      </c>
      <c r="AA1986" t="s">
        <v>22965</v>
      </c>
      <c r="AB1986" t="s">
        <v>32</v>
      </c>
      <c r="AC1986" t="s">
        <v>14560</v>
      </c>
      <c r="AD1986" t="s">
        <v>32</v>
      </c>
      <c r="AE1986" t="s">
        <v>32</v>
      </c>
      <c r="AF1986" t="s">
        <v>46835</v>
      </c>
    </row>
    <row r="1987" spans="1:32" x14ac:dyDescent="0.2">
      <c r="A1987">
        <v>1982</v>
      </c>
      <c r="B1987" t="s">
        <v>22966</v>
      </c>
      <c r="C1987" t="s">
        <v>22967</v>
      </c>
      <c r="D1987" t="s">
        <v>22968</v>
      </c>
      <c r="E1987" t="s">
        <v>22969</v>
      </c>
      <c r="F1987" t="s">
        <v>22970</v>
      </c>
      <c r="G1987" t="s">
        <v>22971</v>
      </c>
      <c r="H1987" t="str">
        <f>"Necap1"</f>
        <v>Necap1</v>
      </c>
      <c r="I1987" t="s">
        <v>32</v>
      </c>
      <c r="J1987" t="s">
        <v>37</v>
      </c>
      <c r="K1987">
        <v>10090</v>
      </c>
      <c r="L1987" s="3" t="str">
        <f>HYPERLINK("http://www.uniprot.org/uniprot/Q9CR95", "Q9CR95")</f>
        <v>Q9CR95</v>
      </c>
      <c r="M1987" t="s">
        <v>22972</v>
      </c>
      <c r="N1987" t="str">
        <f>"Necap1"</f>
        <v>Necap1</v>
      </c>
      <c r="O1987" s="3" t="str">
        <f>HYPERLINK("http://www.informatics.jax.org/marker/MGI:1914852", "MGI:1914852")</f>
        <v>MGI:1914852</v>
      </c>
      <c r="P1987" t="s">
        <v>22973</v>
      </c>
      <c r="Q1987" t="s">
        <v>910</v>
      </c>
      <c r="R1987" t="s">
        <v>22974</v>
      </c>
      <c r="S1987" t="s">
        <v>32</v>
      </c>
      <c r="T1987" t="s">
        <v>32</v>
      </c>
      <c r="U1987" t="s">
        <v>32</v>
      </c>
      <c r="V1987" t="s">
        <v>55</v>
      </c>
      <c r="W1987" t="s">
        <v>32</v>
      </c>
      <c r="X1987" t="s">
        <v>32</v>
      </c>
      <c r="Y1987" t="s">
        <v>618</v>
      </c>
      <c r="Z1987" t="s">
        <v>126</v>
      </c>
      <c r="AA1987" t="s">
        <v>22975</v>
      </c>
      <c r="AB1987" t="s">
        <v>22976</v>
      </c>
      <c r="AC1987" t="s">
        <v>32</v>
      </c>
      <c r="AD1987" t="s">
        <v>32</v>
      </c>
      <c r="AE1987" t="s">
        <v>22977</v>
      </c>
      <c r="AF1987" t="s">
        <v>46835</v>
      </c>
    </row>
    <row r="1988" spans="1:32" x14ac:dyDescent="0.2">
      <c r="A1988">
        <v>1983</v>
      </c>
      <c r="B1988" t="s">
        <v>22978</v>
      </c>
      <c r="C1988" t="s">
        <v>22979</v>
      </c>
      <c r="D1988" t="s">
        <v>22980</v>
      </c>
      <c r="E1988" t="s">
        <v>22981</v>
      </c>
      <c r="F1988" t="s">
        <v>22982</v>
      </c>
      <c r="G1988" t="s">
        <v>22983</v>
      </c>
      <c r="H1988" t="str">
        <f>"Dnajc3"</f>
        <v>Dnajc3</v>
      </c>
      <c r="I1988" t="s">
        <v>22984</v>
      </c>
      <c r="J1988" t="s">
        <v>37</v>
      </c>
      <c r="K1988">
        <v>10090</v>
      </c>
      <c r="L1988" s="3" t="str">
        <f>HYPERLINK("http://www.uniprot.org/uniprot/Q91YW3", "Q91YW3")</f>
        <v>Q91YW3</v>
      </c>
      <c r="M1988" t="s">
        <v>22985</v>
      </c>
      <c r="N1988" t="str">
        <f>"Dnajc3"</f>
        <v>Dnajc3</v>
      </c>
      <c r="O1988" s="3" t="str">
        <f>HYPERLINK("http://www.informatics.jax.org/marker/MGI:107373", "MGI:107373")</f>
        <v>MGI:107373</v>
      </c>
      <c r="P1988" t="s">
        <v>22986</v>
      </c>
      <c r="Q1988" t="s">
        <v>22987</v>
      </c>
      <c r="R1988" t="s">
        <v>671</v>
      </c>
      <c r="S1988" t="s">
        <v>32</v>
      </c>
      <c r="T1988" t="s">
        <v>32</v>
      </c>
      <c r="U1988" t="s">
        <v>32</v>
      </c>
      <c r="V1988" t="s">
        <v>22988</v>
      </c>
      <c r="W1988" t="s">
        <v>32</v>
      </c>
      <c r="X1988" t="s">
        <v>22989</v>
      </c>
      <c r="Y1988" t="s">
        <v>2080</v>
      </c>
      <c r="Z1988" t="s">
        <v>126</v>
      </c>
      <c r="AA1988" t="s">
        <v>22990</v>
      </c>
      <c r="AB1988" t="s">
        <v>22991</v>
      </c>
      <c r="AC1988" t="s">
        <v>22992</v>
      </c>
      <c r="AD1988" t="s">
        <v>32</v>
      </c>
      <c r="AE1988" t="s">
        <v>15822</v>
      </c>
      <c r="AF1988" t="s">
        <v>46835</v>
      </c>
    </row>
    <row r="1989" spans="1:32" x14ac:dyDescent="0.2">
      <c r="A1989">
        <v>1984</v>
      </c>
      <c r="B1989" t="s">
        <v>22993</v>
      </c>
      <c r="C1989" t="s">
        <v>22994</v>
      </c>
      <c r="D1989" t="s">
        <v>22995</v>
      </c>
      <c r="E1989" t="s">
        <v>22996</v>
      </c>
      <c r="F1989" t="s">
        <v>22997</v>
      </c>
      <c r="G1989" t="s">
        <v>22998</v>
      </c>
      <c r="H1989" t="str">
        <f>"Pdcd10"</f>
        <v>Pdcd10</v>
      </c>
      <c r="I1989" t="s">
        <v>22999</v>
      </c>
      <c r="J1989" t="s">
        <v>37</v>
      </c>
      <c r="K1989">
        <v>10090</v>
      </c>
      <c r="L1989" s="3" t="str">
        <f>HYPERLINK("http://www.uniprot.org/uniprot/Q8VE70", "Q8VE70")</f>
        <v>Q8VE70</v>
      </c>
      <c r="M1989" t="s">
        <v>23000</v>
      </c>
      <c r="N1989" t="str">
        <f>"Pdcd10"</f>
        <v>Pdcd10</v>
      </c>
      <c r="O1989" s="3" t="str">
        <f>HYPERLINK("http://www.informatics.jax.org/marker/MGI:1928396", "MGI:1928396")</f>
        <v>MGI:1928396</v>
      </c>
      <c r="P1989" t="s">
        <v>23001</v>
      </c>
      <c r="Q1989" t="s">
        <v>20294</v>
      </c>
      <c r="R1989" t="s">
        <v>23002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32</v>
      </c>
      <c r="Y1989" t="s">
        <v>461</v>
      </c>
      <c r="Z1989" t="s">
        <v>32</v>
      </c>
      <c r="AA1989" t="s">
        <v>23003</v>
      </c>
      <c r="AB1989" t="s">
        <v>23004</v>
      </c>
      <c r="AC1989" t="s">
        <v>23005</v>
      </c>
      <c r="AD1989" t="s">
        <v>32</v>
      </c>
      <c r="AE1989" t="s">
        <v>32</v>
      </c>
      <c r="AF1989" t="s">
        <v>46835</v>
      </c>
    </row>
    <row r="1990" spans="1:32" x14ac:dyDescent="0.2">
      <c r="A1990">
        <v>1985</v>
      </c>
      <c r="B1990" t="s">
        <v>23006</v>
      </c>
      <c r="C1990" t="s">
        <v>23007</v>
      </c>
      <c r="D1990" t="s">
        <v>32</v>
      </c>
      <c r="E1990" t="s">
        <v>23008</v>
      </c>
      <c r="F1990" t="s">
        <v>23009</v>
      </c>
      <c r="G1990" t="s">
        <v>23010</v>
      </c>
      <c r="H1990" t="str">
        <f>"Gemin5"</f>
        <v>Gemin5</v>
      </c>
      <c r="I1990" t="s">
        <v>32</v>
      </c>
      <c r="J1990" t="s">
        <v>37</v>
      </c>
      <c r="K1990">
        <v>10090</v>
      </c>
      <c r="L1990" s="3" t="str">
        <f>HYPERLINK("http://www.uniprot.org/uniprot/Q8BX17", "Q8BX17")</f>
        <v>Q8BX17</v>
      </c>
      <c r="M1990" t="s">
        <v>23011</v>
      </c>
      <c r="N1990" t="str">
        <f>"Gemin5"</f>
        <v>Gemin5</v>
      </c>
      <c r="O1990" s="3" t="str">
        <f>HYPERLINK("http://www.informatics.jax.org/marker/MGI:2449311", "MGI:2449311")</f>
        <v>MGI:2449311</v>
      </c>
      <c r="P1990" t="s">
        <v>23012</v>
      </c>
      <c r="Q1990" t="s">
        <v>23013</v>
      </c>
      <c r="R1990" t="s">
        <v>40</v>
      </c>
      <c r="S1990" t="s">
        <v>32</v>
      </c>
      <c r="T1990" t="s">
        <v>32</v>
      </c>
      <c r="U1990" t="s">
        <v>32</v>
      </c>
      <c r="V1990" t="s">
        <v>3167</v>
      </c>
      <c r="W1990" t="s">
        <v>32</v>
      </c>
      <c r="X1990" t="s">
        <v>1282</v>
      </c>
      <c r="Y1990" t="s">
        <v>1007</v>
      </c>
      <c r="Z1990" t="s">
        <v>32</v>
      </c>
      <c r="AA1990" t="s">
        <v>23014</v>
      </c>
      <c r="AB1990" t="s">
        <v>23015</v>
      </c>
      <c r="AC1990" t="s">
        <v>23016</v>
      </c>
      <c r="AD1990" t="s">
        <v>32</v>
      </c>
      <c r="AE1990" t="s">
        <v>23017</v>
      </c>
      <c r="AF1990" t="s">
        <v>46835</v>
      </c>
    </row>
    <row r="1991" spans="1:32" x14ac:dyDescent="0.2">
      <c r="A1991">
        <v>1986</v>
      </c>
      <c r="B1991" t="s">
        <v>23018</v>
      </c>
      <c r="C1991" t="s">
        <v>23019</v>
      </c>
      <c r="D1991" t="s">
        <v>32</v>
      </c>
      <c r="E1991" t="s">
        <v>23020</v>
      </c>
      <c r="F1991" t="s">
        <v>23021</v>
      </c>
      <c r="G1991" t="s">
        <v>23022</v>
      </c>
      <c r="H1991" t="str">
        <f>"Rab1b"</f>
        <v>Rab1b</v>
      </c>
      <c r="I1991" t="s">
        <v>32</v>
      </c>
      <c r="J1991" t="s">
        <v>37</v>
      </c>
      <c r="K1991">
        <v>10090</v>
      </c>
      <c r="L1991" s="3" t="str">
        <f>HYPERLINK("http://www.uniprot.org/uniprot/Q9D1G1", "Q9D1G1")</f>
        <v>Q9D1G1</v>
      </c>
      <c r="M1991" t="s">
        <v>23023</v>
      </c>
      <c r="N1991" t="str">
        <f>"Rab1b"</f>
        <v>Rab1b</v>
      </c>
      <c r="O1991" s="3" t="str">
        <f>HYPERLINK("http://www.informatics.jax.org/marker/MGI:1923558", "MGI:1923558")</f>
        <v>MGI:1923558</v>
      </c>
      <c r="P1991" t="s">
        <v>23024</v>
      </c>
      <c r="Q1991" t="s">
        <v>23025</v>
      </c>
      <c r="R1991" t="s">
        <v>714</v>
      </c>
      <c r="S1991" t="s">
        <v>32</v>
      </c>
      <c r="T1991" t="s">
        <v>32</v>
      </c>
      <c r="U1991" t="s">
        <v>32</v>
      </c>
      <c r="V1991" t="s">
        <v>32</v>
      </c>
      <c r="W1991" t="s">
        <v>261</v>
      </c>
      <c r="X1991" t="s">
        <v>343</v>
      </c>
      <c r="Y1991" t="s">
        <v>7985</v>
      </c>
      <c r="Z1991" t="s">
        <v>32</v>
      </c>
      <c r="AA1991" t="s">
        <v>23026</v>
      </c>
      <c r="AB1991" t="s">
        <v>23027</v>
      </c>
      <c r="AC1991" t="s">
        <v>9228</v>
      </c>
      <c r="AD1991" t="s">
        <v>32</v>
      </c>
      <c r="AE1991" t="s">
        <v>9229</v>
      </c>
      <c r="AF1991" t="s">
        <v>46835</v>
      </c>
    </row>
    <row r="1992" spans="1:32" x14ac:dyDescent="0.2">
      <c r="A1992">
        <v>1987</v>
      </c>
      <c r="B1992" t="s">
        <v>23028</v>
      </c>
      <c r="C1992" t="s">
        <v>23029</v>
      </c>
      <c r="D1992" t="s">
        <v>23030</v>
      </c>
      <c r="E1992" t="s">
        <v>23031</v>
      </c>
      <c r="F1992" t="s">
        <v>23032</v>
      </c>
      <c r="G1992" t="s">
        <v>23033</v>
      </c>
      <c r="H1992" t="str">
        <f>"Ssx2ip"</f>
        <v>Ssx2ip</v>
      </c>
      <c r="I1992" t="s">
        <v>32</v>
      </c>
      <c r="J1992" t="s">
        <v>37</v>
      </c>
      <c r="K1992">
        <v>10090</v>
      </c>
      <c r="L1992" s="3" t="str">
        <f>HYPERLINK("http://www.uniprot.org/uniprot/Q8VC66", "Q8VC66")</f>
        <v>Q8VC66</v>
      </c>
      <c r="M1992" t="s">
        <v>23034</v>
      </c>
      <c r="N1992" t="str">
        <f>"Ssx2ip"</f>
        <v>Ssx2ip</v>
      </c>
      <c r="O1992" s="3" t="str">
        <f>HYPERLINK("http://www.informatics.jax.org/marker/MGI:2139150", "MGI:2139150")</f>
        <v>MGI:2139150</v>
      </c>
      <c r="P1992" t="s">
        <v>23035</v>
      </c>
      <c r="Q1992" t="s">
        <v>23036</v>
      </c>
      <c r="R1992" t="s">
        <v>23037</v>
      </c>
      <c r="S1992" t="s">
        <v>32</v>
      </c>
      <c r="T1992" t="s">
        <v>32</v>
      </c>
      <c r="U1992" t="s">
        <v>32</v>
      </c>
      <c r="V1992" t="s">
        <v>290</v>
      </c>
      <c r="W1992" t="s">
        <v>32</v>
      </c>
      <c r="X1992" t="s">
        <v>32</v>
      </c>
      <c r="Y1992" t="s">
        <v>618</v>
      </c>
      <c r="Z1992" t="s">
        <v>32</v>
      </c>
      <c r="AA1992" t="s">
        <v>23038</v>
      </c>
      <c r="AB1992" t="s">
        <v>23039</v>
      </c>
      <c r="AC1992" t="s">
        <v>23040</v>
      </c>
      <c r="AD1992" t="s">
        <v>32</v>
      </c>
      <c r="AE1992" t="s">
        <v>32</v>
      </c>
      <c r="AF1992" t="s">
        <v>46835</v>
      </c>
    </row>
    <row r="1993" spans="1:32" x14ac:dyDescent="0.2">
      <c r="A1993">
        <v>1988</v>
      </c>
      <c r="B1993" t="s">
        <v>23041</v>
      </c>
      <c r="C1993" t="s">
        <v>23042</v>
      </c>
      <c r="D1993" t="s">
        <v>23043</v>
      </c>
      <c r="E1993" t="s">
        <v>23044</v>
      </c>
      <c r="F1993" t="s">
        <v>23045</v>
      </c>
      <c r="G1993" t="s">
        <v>23046</v>
      </c>
      <c r="H1993" t="str">
        <f>"Ikbkg"</f>
        <v>Ikbkg</v>
      </c>
      <c r="I1993" t="s">
        <v>23047</v>
      </c>
      <c r="J1993" t="s">
        <v>37</v>
      </c>
      <c r="K1993">
        <v>10090</v>
      </c>
      <c r="L1993" s="3" t="str">
        <f>HYPERLINK("http://www.uniprot.org/uniprot/O88522", "O88522")</f>
        <v>O88522</v>
      </c>
      <c r="M1993" t="s">
        <v>23048</v>
      </c>
      <c r="N1993" t="str">
        <f>"Ikbkg"</f>
        <v>Ikbkg</v>
      </c>
      <c r="O1993" s="3" t="str">
        <f>HYPERLINK("http://www.informatics.jax.org/marker/MGI:1338074", "MGI:1338074")</f>
        <v>MGI:1338074</v>
      </c>
      <c r="P1993" t="s">
        <v>23049</v>
      </c>
      <c r="Q1993" t="s">
        <v>17339</v>
      </c>
      <c r="R1993" t="s">
        <v>40</v>
      </c>
      <c r="S1993" t="s">
        <v>32</v>
      </c>
      <c r="T1993" t="s">
        <v>32</v>
      </c>
      <c r="U1993" t="s">
        <v>32</v>
      </c>
      <c r="V1993" t="s">
        <v>11171</v>
      </c>
      <c r="W1993" t="s">
        <v>42</v>
      </c>
      <c r="X1993" t="s">
        <v>32</v>
      </c>
      <c r="Y1993" t="s">
        <v>18232</v>
      </c>
      <c r="Z1993" t="s">
        <v>126</v>
      </c>
      <c r="AA1993" t="s">
        <v>23050</v>
      </c>
      <c r="AB1993" t="s">
        <v>23051</v>
      </c>
      <c r="AC1993" t="s">
        <v>23052</v>
      </c>
      <c r="AD1993" t="s">
        <v>32</v>
      </c>
      <c r="AE1993" t="s">
        <v>23053</v>
      </c>
      <c r="AF1993" t="s">
        <v>46835</v>
      </c>
    </row>
    <row r="1994" spans="1:32" x14ac:dyDescent="0.2">
      <c r="A1994">
        <v>1989</v>
      </c>
      <c r="B1994" t="s">
        <v>23054</v>
      </c>
      <c r="C1994" t="s">
        <v>23055</v>
      </c>
      <c r="D1994" t="s">
        <v>23056</v>
      </c>
      <c r="E1994" t="s">
        <v>23057</v>
      </c>
      <c r="F1994" t="s">
        <v>23058</v>
      </c>
      <c r="G1994" t="s">
        <v>23059</v>
      </c>
      <c r="H1994" t="str">
        <f>"Sirt2"</f>
        <v>Sirt2</v>
      </c>
      <c r="I1994" t="s">
        <v>23060</v>
      </c>
      <c r="J1994" t="s">
        <v>37</v>
      </c>
      <c r="K1994">
        <v>10090</v>
      </c>
      <c r="L1994" s="3" t="str">
        <f>HYPERLINK("http://www.uniprot.org/uniprot/Q8VDQ8", "Q8VDQ8")</f>
        <v>Q8VDQ8</v>
      </c>
      <c r="M1994" t="s">
        <v>23061</v>
      </c>
      <c r="N1994" t="str">
        <f>"Sirt2"</f>
        <v>Sirt2</v>
      </c>
      <c r="O1994" s="3" t="str">
        <f>HYPERLINK("http://www.informatics.jax.org/marker/MGI:1927664", "MGI:1927664")</f>
        <v>MGI:1927664</v>
      </c>
      <c r="P1994" t="s">
        <v>23062</v>
      </c>
      <c r="Q1994" t="s">
        <v>23063</v>
      </c>
      <c r="R1994" t="s">
        <v>23064</v>
      </c>
      <c r="S1994" t="s">
        <v>41</v>
      </c>
      <c r="T1994" t="s">
        <v>32</v>
      </c>
      <c r="U1994" t="s">
        <v>32</v>
      </c>
      <c r="V1994" t="s">
        <v>32</v>
      </c>
      <c r="W1994" t="s">
        <v>1653</v>
      </c>
      <c r="X1994" t="s">
        <v>515</v>
      </c>
      <c r="Y1994" t="s">
        <v>1023</v>
      </c>
      <c r="Z1994" t="s">
        <v>32</v>
      </c>
      <c r="AA1994" t="s">
        <v>23065</v>
      </c>
      <c r="AB1994" t="s">
        <v>23066</v>
      </c>
      <c r="AC1994" t="s">
        <v>23067</v>
      </c>
      <c r="AD1994" t="s">
        <v>32</v>
      </c>
      <c r="AE1994" t="s">
        <v>23068</v>
      </c>
      <c r="AF1994" t="s">
        <v>46835</v>
      </c>
    </row>
    <row r="1995" spans="1:32" x14ac:dyDescent="0.2">
      <c r="A1995">
        <v>1990</v>
      </c>
      <c r="B1995" t="s">
        <v>23069</v>
      </c>
      <c r="C1995" t="s">
        <v>23070</v>
      </c>
      <c r="D1995" t="s">
        <v>23071</v>
      </c>
      <c r="E1995" t="s">
        <v>23072</v>
      </c>
      <c r="F1995" t="s">
        <v>23073</v>
      </c>
      <c r="G1995" t="s">
        <v>23074</v>
      </c>
      <c r="H1995" t="str">
        <f>"Nudt16l1"</f>
        <v>Nudt16l1</v>
      </c>
      <c r="I1995" t="s">
        <v>32</v>
      </c>
      <c r="J1995" t="s">
        <v>37</v>
      </c>
      <c r="K1995">
        <v>10090</v>
      </c>
      <c r="L1995" s="3" t="str">
        <f>HYPERLINK("http://www.uniprot.org/uniprot/Q8VHN8", "Q8VHN8")</f>
        <v>Q8VHN8</v>
      </c>
      <c r="M1995" t="s">
        <v>23075</v>
      </c>
      <c r="N1995" t="str">
        <f>"Nudt16l1"</f>
        <v>Nudt16l1</v>
      </c>
      <c r="O1995" s="3" t="str">
        <f>HYPERLINK("http://www.informatics.jax.org/marker/MGI:1914161", "MGI:1914161")</f>
        <v>MGI:1914161</v>
      </c>
      <c r="P1995" t="s">
        <v>23076</v>
      </c>
      <c r="Q1995" t="s">
        <v>32</v>
      </c>
      <c r="R1995" t="s">
        <v>2279</v>
      </c>
      <c r="S1995" t="s">
        <v>41</v>
      </c>
      <c r="T1995" t="s">
        <v>32</v>
      </c>
      <c r="U1995" t="s">
        <v>32</v>
      </c>
      <c r="V1995" t="s">
        <v>32</v>
      </c>
      <c r="W1995" t="s">
        <v>32</v>
      </c>
      <c r="X1995" t="s">
        <v>1282</v>
      </c>
      <c r="Y1995" t="s">
        <v>7792</v>
      </c>
      <c r="Z1995" t="s">
        <v>126</v>
      </c>
      <c r="AA1995" t="s">
        <v>23077</v>
      </c>
      <c r="AB1995" t="s">
        <v>3606</v>
      </c>
      <c r="AC1995" t="s">
        <v>23078</v>
      </c>
      <c r="AD1995" t="s">
        <v>32</v>
      </c>
      <c r="AE1995" t="s">
        <v>32</v>
      </c>
      <c r="AF1995" t="s">
        <v>46835</v>
      </c>
    </row>
    <row r="1996" spans="1:32" x14ac:dyDescent="0.2">
      <c r="A1996">
        <v>1991</v>
      </c>
      <c r="B1996" t="s">
        <v>23079</v>
      </c>
      <c r="C1996" t="s">
        <v>23080</v>
      </c>
      <c r="D1996" t="s">
        <v>23081</v>
      </c>
      <c r="E1996" t="s">
        <v>23082</v>
      </c>
      <c r="F1996" t="s">
        <v>23083</v>
      </c>
      <c r="G1996" t="s">
        <v>23084</v>
      </c>
      <c r="H1996" t="str">
        <f>"Bzw2"</f>
        <v>Bzw2</v>
      </c>
      <c r="I1996" t="s">
        <v>23085</v>
      </c>
      <c r="J1996" t="s">
        <v>37</v>
      </c>
      <c r="K1996">
        <v>10090</v>
      </c>
      <c r="L1996" s="3" t="str">
        <f>HYPERLINK("http://www.uniprot.org/uniprot/Q91VK1", "Q91VK1")</f>
        <v>Q91VK1</v>
      </c>
      <c r="M1996" t="s">
        <v>23086</v>
      </c>
      <c r="N1996" t="str">
        <f>"Bzw2"</f>
        <v>Bzw2</v>
      </c>
      <c r="O1996" s="3" t="str">
        <f>HYPERLINK("http://www.informatics.jax.org/marker/MGI:1914162", "MGI:1914162")</f>
        <v>MGI:1914162</v>
      </c>
      <c r="P1996" t="s">
        <v>23087</v>
      </c>
      <c r="Q1996" t="s">
        <v>1680</v>
      </c>
      <c r="R1996" t="s">
        <v>418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32</v>
      </c>
      <c r="Y1996" t="s">
        <v>157</v>
      </c>
      <c r="Z1996" t="s">
        <v>32</v>
      </c>
      <c r="AA1996" t="s">
        <v>4003</v>
      </c>
      <c r="AB1996" t="s">
        <v>2172</v>
      </c>
      <c r="AC1996" t="s">
        <v>32</v>
      </c>
      <c r="AD1996" t="s">
        <v>32</v>
      </c>
      <c r="AE1996" t="s">
        <v>32</v>
      </c>
      <c r="AF1996" t="s">
        <v>46835</v>
      </c>
    </row>
    <row r="1997" spans="1:32" x14ac:dyDescent="0.2">
      <c r="A1997">
        <v>1992</v>
      </c>
      <c r="B1997" t="s">
        <v>23088</v>
      </c>
      <c r="C1997" t="s">
        <v>23089</v>
      </c>
      <c r="D1997" t="s">
        <v>23090</v>
      </c>
      <c r="E1997" t="s">
        <v>23091</v>
      </c>
      <c r="F1997" t="s">
        <v>23092</v>
      </c>
      <c r="G1997" t="s">
        <v>23093</v>
      </c>
      <c r="H1997" t="str">
        <f>"Naa25"</f>
        <v>Naa25</v>
      </c>
      <c r="I1997" t="s">
        <v>23094</v>
      </c>
      <c r="J1997" t="s">
        <v>37</v>
      </c>
      <c r="K1997">
        <v>10090</v>
      </c>
      <c r="L1997" s="3" t="str">
        <f>HYPERLINK("http://www.uniprot.org/uniprot/Q8BWZ3", "Q8BWZ3")</f>
        <v>Q8BWZ3</v>
      </c>
      <c r="M1997" t="s">
        <v>23095</v>
      </c>
      <c r="N1997" t="str">
        <f>"Naa25"</f>
        <v>Naa25</v>
      </c>
      <c r="O1997" s="3" t="str">
        <f>HYPERLINK("http://www.informatics.jax.org/marker/MGI:2442563", "MGI:2442563")</f>
        <v>MGI:2442563</v>
      </c>
      <c r="P1997" t="s">
        <v>23096</v>
      </c>
      <c r="Q1997" t="s">
        <v>32</v>
      </c>
      <c r="R1997" t="s">
        <v>418</v>
      </c>
      <c r="S1997" t="s">
        <v>41</v>
      </c>
      <c r="T1997" t="s">
        <v>32</v>
      </c>
      <c r="U1997" t="s">
        <v>32</v>
      </c>
      <c r="V1997" t="s">
        <v>995</v>
      </c>
      <c r="W1997" t="s">
        <v>32</v>
      </c>
      <c r="X1997" t="s">
        <v>32</v>
      </c>
      <c r="Y1997" t="s">
        <v>32</v>
      </c>
      <c r="Z1997" t="s">
        <v>32</v>
      </c>
      <c r="AA1997" t="s">
        <v>23097</v>
      </c>
      <c r="AB1997" t="s">
        <v>23098</v>
      </c>
      <c r="AC1997" t="s">
        <v>32</v>
      </c>
      <c r="AD1997" t="s">
        <v>32</v>
      </c>
      <c r="AE1997" t="s">
        <v>32</v>
      </c>
      <c r="AF1997" t="s">
        <v>46835</v>
      </c>
    </row>
    <row r="1998" spans="1:32" x14ac:dyDescent="0.2">
      <c r="A1998">
        <v>1993</v>
      </c>
      <c r="B1998" t="s">
        <v>23099</v>
      </c>
      <c r="C1998" t="s">
        <v>23100</v>
      </c>
      <c r="D1998" t="s">
        <v>23101</v>
      </c>
      <c r="E1998" t="s">
        <v>23102</v>
      </c>
      <c r="F1998" t="s">
        <v>23103</v>
      </c>
      <c r="G1998" t="s">
        <v>32</v>
      </c>
      <c r="H1998" t="str">
        <f>"Rap1b"</f>
        <v>Rap1b</v>
      </c>
      <c r="I1998" t="s">
        <v>32</v>
      </c>
      <c r="J1998" t="s">
        <v>37</v>
      </c>
      <c r="K1998">
        <v>10090</v>
      </c>
      <c r="L1998" s="3" t="str">
        <f>HYPERLINK("http://www.uniprot.org/uniprot/Q99JI6", "Q99JI6")</f>
        <v>Q99JI6</v>
      </c>
      <c r="M1998" t="s">
        <v>23104</v>
      </c>
      <c r="N1998" t="str">
        <f>"Rap1b"</f>
        <v>Rap1b</v>
      </c>
      <c r="O1998" s="3" t="str">
        <f>HYPERLINK("http://www.informatics.jax.org/marker/MGI:894315", "MGI:894315")</f>
        <v>MGI:894315</v>
      </c>
      <c r="P1998" t="s">
        <v>23105</v>
      </c>
      <c r="Q1998" t="s">
        <v>32</v>
      </c>
      <c r="R1998" t="s">
        <v>23106</v>
      </c>
      <c r="S1998" t="s">
        <v>32</v>
      </c>
      <c r="T1998" t="s">
        <v>32</v>
      </c>
      <c r="U1998" t="s">
        <v>32</v>
      </c>
      <c r="V1998" t="s">
        <v>32</v>
      </c>
      <c r="W1998" t="s">
        <v>261</v>
      </c>
      <c r="X1998" t="s">
        <v>343</v>
      </c>
      <c r="Y1998" t="s">
        <v>23107</v>
      </c>
      <c r="Z1998" t="s">
        <v>32</v>
      </c>
      <c r="AA1998" t="s">
        <v>23108</v>
      </c>
      <c r="AB1998" t="s">
        <v>23109</v>
      </c>
      <c r="AC1998" t="s">
        <v>22712</v>
      </c>
      <c r="AD1998" t="s">
        <v>32</v>
      </c>
      <c r="AE1998" t="s">
        <v>23110</v>
      </c>
      <c r="AF1998" t="s">
        <v>46835</v>
      </c>
    </row>
    <row r="1999" spans="1:32" x14ac:dyDescent="0.2">
      <c r="A1999">
        <v>1994</v>
      </c>
      <c r="B1999" t="s">
        <v>23111</v>
      </c>
      <c r="C1999" t="s">
        <v>23112</v>
      </c>
      <c r="D1999" t="s">
        <v>23113</v>
      </c>
      <c r="E1999" t="s">
        <v>23114</v>
      </c>
      <c r="F1999" t="s">
        <v>23115</v>
      </c>
      <c r="G1999" t="s">
        <v>32</v>
      </c>
      <c r="H1999" t="str">
        <f>"Msh2"</f>
        <v>Msh2</v>
      </c>
      <c r="I1999" t="s">
        <v>32</v>
      </c>
      <c r="J1999" t="s">
        <v>37</v>
      </c>
      <c r="K1999">
        <v>10090</v>
      </c>
      <c r="L1999" s="3" t="str">
        <f>HYPERLINK("http://www.uniprot.org/uniprot/P43247", "P43247")</f>
        <v>P43247</v>
      </c>
      <c r="M1999" t="s">
        <v>23116</v>
      </c>
      <c r="N1999" t="str">
        <f>"Msh2"</f>
        <v>Msh2</v>
      </c>
      <c r="O1999" s="3" t="str">
        <f>HYPERLINK("http://www.informatics.jax.org/marker/MGI:101816", "MGI:101816")</f>
        <v>MGI:101816</v>
      </c>
      <c r="P1999" t="s">
        <v>23117</v>
      </c>
      <c r="Q1999" t="s">
        <v>23118</v>
      </c>
      <c r="R1999" t="s">
        <v>1939</v>
      </c>
      <c r="S1999" t="s">
        <v>32</v>
      </c>
      <c r="T1999" t="s">
        <v>32</v>
      </c>
      <c r="U1999" t="s">
        <v>32</v>
      </c>
      <c r="V1999" t="s">
        <v>32</v>
      </c>
      <c r="W1999" t="s">
        <v>205</v>
      </c>
      <c r="X1999" t="s">
        <v>247</v>
      </c>
      <c r="Y1999" t="s">
        <v>157</v>
      </c>
      <c r="Z1999" t="s">
        <v>32</v>
      </c>
      <c r="AA1999" t="s">
        <v>23119</v>
      </c>
      <c r="AB1999" t="s">
        <v>23120</v>
      </c>
      <c r="AC1999" t="s">
        <v>23121</v>
      </c>
      <c r="AD1999" t="s">
        <v>32</v>
      </c>
      <c r="AE1999" t="s">
        <v>23122</v>
      </c>
      <c r="AF1999" t="s">
        <v>46835</v>
      </c>
    </row>
    <row r="2000" spans="1:32" x14ac:dyDescent="0.2">
      <c r="A2000">
        <v>1995</v>
      </c>
      <c r="B2000" t="s">
        <v>23123</v>
      </c>
      <c r="C2000" t="s">
        <v>23124</v>
      </c>
      <c r="D2000" t="s">
        <v>23125</v>
      </c>
      <c r="E2000" t="s">
        <v>23126</v>
      </c>
      <c r="F2000" t="s">
        <v>23127</v>
      </c>
      <c r="G2000" t="s">
        <v>23128</v>
      </c>
      <c r="H2000" t="str">
        <f>"Bud31"</f>
        <v>Bud31</v>
      </c>
      <c r="I2000" t="s">
        <v>32</v>
      </c>
      <c r="J2000" t="s">
        <v>37</v>
      </c>
      <c r="K2000">
        <v>10090</v>
      </c>
      <c r="L2000" s="3" t="str">
        <f>HYPERLINK("http://www.uniprot.org/uniprot/Q6PGH1", "Q6PGH1")</f>
        <v>Q6PGH1</v>
      </c>
      <c r="M2000" t="s">
        <v>23129</v>
      </c>
      <c r="N2000" t="str">
        <f>"Bud31"</f>
        <v>Bud31</v>
      </c>
      <c r="O2000" s="3" t="str">
        <f>HYPERLINK("http://www.informatics.jax.org/marker/MGI:2141291", "MGI:2141291")</f>
        <v>MGI:2141291</v>
      </c>
      <c r="P2000" t="s">
        <v>23130</v>
      </c>
      <c r="Q2000" t="s">
        <v>2139</v>
      </c>
      <c r="R2000" t="s">
        <v>2140</v>
      </c>
      <c r="S2000" t="s">
        <v>41</v>
      </c>
      <c r="T2000" t="s">
        <v>32</v>
      </c>
      <c r="U2000" t="s">
        <v>32</v>
      </c>
      <c r="V2000" t="s">
        <v>32</v>
      </c>
      <c r="W2000" t="s">
        <v>32</v>
      </c>
      <c r="X2000" t="s">
        <v>32</v>
      </c>
      <c r="Y2000" t="s">
        <v>78</v>
      </c>
      <c r="Z2000" t="s">
        <v>32</v>
      </c>
      <c r="AA2000" t="s">
        <v>23131</v>
      </c>
      <c r="AB2000" t="s">
        <v>23132</v>
      </c>
      <c r="AC2000" t="s">
        <v>23133</v>
      </c>
      <c r="AD2000" t="s">
        <v>32</v>
      </c>
      <c r="AE2000" t="s">
        <v>946</v>
      </c>
      <c r="AF2000" t="s">
        <v>46835</v>
      </c>
    </row>
    <row r="2001" spans="1:32" x14ac:dyDescent="0.2">
      <c r="A2001">
        <v>1996</v>
      </c>
      <c r="B2001" t="s">
        <v>23134</v>
      </c>
      <c r="C2001" t="s">
        <v>23135</v>
      </c>
      <c r="D2001" t="s">
        <v>32</v>
      </c>
      <c r="E2001" t="s">
        <v>23136</v>
      </c>
      <c r="F2001" t="s">
        <v>23137</v>
      </c>
      <c r="G2001" t="s">
        <v>23138</v>
      </c>
      <c r="H2001" t="str">
        <f>"Brk1"</f>
        <v>Brk1</v>
      </c>
      <c r="I2001" t="s">
        <v>32</v>
      </c>
      <c r="J2001" t="s">
        <v>37</v>
      </c>
      <c r="K2001">
        <v>10090</v>
      </c>
      <c r="L2001" s="3" t="str">
        <f>HYPERLINK("http://www.uniprot.org/uniprot/Q91VR8", "Q91VR8")</f>
        <v>Q91VR8</v>
      </c>
      <c r="M2001" t="s">
        <v>23139</v>
      </c>
      <c r="N2001" t="str">
        <f>"Brk1"</f>
        <v>Brk1</v>
      </c>
      <c r="O2001" s="3" t="str">
        <f>HYPERLINK("http://www.informatics.jax.org/marker/MGI:1915406", "MGI:1915406")</f>
        <v>MGI:1915406</v>
      </c>
      <c r="P2001" t="s">
        <v>23140</v>
      </c>
      <c r="Q2001" t="s">
        <v>32</v>
      </c>
      <c r="R2001" t="s">
        <v>186</v>
      </c>
      <c r="S2001" t="s">
        <v>32</v>
      </c>
      <c r="T2001" t="s">
        <v>32</v>
      </c>
      <c r="U2001" t="s">
        <v>32</v>
      </c>
      <c r="V2001" t="s">
        <v>290</v>
      </c>
      <c r="W2001" t="s">
        <v>32</v>
      </c>
      <c r="X2001" t="s">
        <v>32</v>
      </c>
      <c r="Y2001" t="s">
        <v>78</v>
      </c>
      <c r="Z2001" t="s">
        <v>32</v>
      </c>
      <c r="AA2001" t="s">
        <v>23141</v>
      </c>
      <c r="AB2001" t="s">
        <v>23142</v>
      </c>
      <c r="AC2001" t="s">
        <v>23143</v>
      </c>
      <c r="AD2001" t="s">
        <v>32</v>
      </c>
      <c r="AE2001" t="s">
        <v>10906</v>
      </c>
      <c r="AF2001" t="s">
        <v>46835</v>
      </c>
    </row>
    <row r="2002" spans="1:32" x14ac:dyDescent="0.2">
      <c r="A2002">
        <v>1997</v>
      </c>
      <c r="B2002" t="s">
        <v>23144</v>
      </c>
      <c r="C2002" t="s">
        <v>23145</v>
      </c>
      <c r="D2002" t="s">
        <v>23146</v>
      </c>
      <c r="E2002" t="s">
        <v>23147</v>
      </c>
      <c r="F2002" t="s">
        <v>23148</v>
      </c>
      <c r="G2002" t="s">
        <v>23149</v>
      </c>
      <c r="H2002" t="str">
        <f>"Carm1"</f>
        <v>Carm1</v>
      </c>
      <c r="I2002" t="s">
        <v>23150</v>
      </c>
      <c r="J2002" t="s">
        <v>37</v>
      </c>
      <c r="K2002">
        <v>10090</v>
      </c>
      <c r="L2002" s="3" t="str">
        <f>HYPERLINK("http://www.uniprot.org/uniprot/Q9WVG6", "Q9WVG6")</f>
        <v>Q9WVG6</v>
      </c>
      <c r="M2002" t="s">
        <v>23151</v>
      </c>
      <c r="N2002" t="str">
        <f>"Carm1"</f>
        <v>Carm1</v>
      </c>
      <c r="O2002" s="3" t="str">
        <f>HYPERLINK("http://www.informatics.jax.org/marker/MGI:1913208", "MGI:1913208")</f>
        <v>MGI:1913208</v>
      </c>
      <c r="P2002" t="s">
        <v>23152</v>
      </c>
      <c r="Q2002" t="s">
        <v>4152</v>
      </c>
      <c r="R2002" t="s">
        <v>8375</v>
      </c>
      <c r="S2002" t="s">
        <v>41</v>
      </c>
      <c r="T2002" t="s">
        <v>32</v>
      </c>
      <c r="U2002" t="s">
        <v>32</v>
      </c>
      <c r="V2002" t="s">
        <v>32</v>
      </c>
      <c r="W2002" t="s">
        <v>1705</v>
      </c>
      <c r="X2002" t="s">
        <v>17918</v>
      </c>
      <c r="Y2002" t="s">
        <v>2734</v>
      </c>
      <c r="Z2002" t="s">
        <v>126</v>
      </c>
      <c r="AA2002" t="s">
        <v>23153</v>
      </c>
      <c r="AB2002" t="s">
        <v>23154</v>
      </c>
      <c r="AC2002" t="s">
        <v>23155</v>
      </c>
      <c r="AD2002" t="s">
        <v>32</v>
      </c>
      <c r="AE2002" t="s">
        <v>23156</v>
      </c>
      <c r="AF2002" t="s">
        <v>46835</v>
      </c>
    </row>
    <row r="2003" spans="1:32" x14ac:dyDescent="0.2">
      <c r="A2003">
        <v>1998</v>
      </c>
      <c r="B2003" t="s">
        <v>23157</v>
      </c>
      <c r="C2003" t="s">
        <v>23158</v>
      </c>
      <c r="D2003" t="s">
        <v>32</v>
      </c>
      <c r="E2003" t="s">
        <v>23159</v>
      </c>
      <c r="F2003" t="s">
        <v>23160</v>
      </c>
      <c r="G2003" t="s">
        <v>32</v>
      </c>
      <c r="H2003" t="str">
        <f>"Snx9"</f>
        <v>Snx9</v>
      </c>
      <c r="I2003" t="s">
        <v>32</v>
      </c>
      <c r="J2003" t="s">
        <v>37</v>
      </c>
      <c r="K2003">
        <v>10090</v>
      </c>
      <c r="L2003" s="3" t="str">
        <f>HYPERLINK("http://www.uniprot.org/uniprot/Q91VH2", "Q91VH2")</f>
        <v>Q91VH2</v>
      </c>
      <c r="M2003" t="s">
        <v>23161</v>
      </c>
      <c r="N2003" t="str">
        <f>"Snx9"</f>
        <v>Snx9</v>
      </c>
      <c r="O2003" s="3" t="str">
        <f>HYPERLINK("http://www.informatics.jax.org/marker/MGI:1913866", "MGI:1913866")</f>
        <v>MGI:1913866</v>
      </c>
      <c r="P2003" t="s">
        <v>23162</v>
      </c>
      <c r="Q2003" t="s">
        <v>10638</v>
      </c>
      <c r="R2003" t="s">
        <v>23163</v>
      </c>
      <c r="S2003" t="s">
        <v>32</v>
      </c>
      <c r="T2003" t="s">
        <v>32</v>
      </c>
      <c r="U2003" t="s">
        <v>32</v>
      </c>
      <c r="V2003" t="s">
        <v>10640</v>
      </c>
      <c r="W2003" t="s">
        <v>584</v>
      </c>
      <c r="X2003" t="s">
        <v>32</v>
      </c>
      <c r="Y2003" t="s">
        <v>1023</v>
      </c>
      <c r="Z2003" t="s">
        <v>126</v>
      </c>
      <c r="AA2003" t="s">
        <v>23164</v>
      </c>
      <c r="AB2003" t="s">
        <v>23165</v>
      </c>
      <c r="AC2003" t="s">
        <v>23166</v>
      </c>
      <c r="AD2003" t="s">
        <v>32</v>
      </c>
      <c r="AE2003" t="s">
        <v>19565</v>
      </c>
      <c r="AF2003" t="s">
        <v>46835</v>
      </c>
    </row>
    <row r="2004" spans="1:32" x14ac:dyDescent="0.2">
      <c r="A2004">
        <v>1999</v>
      </c>
      <c r="B2004" t="s">
        <v>23167</v>
      </c>
      <c r="C2004" t="s">
        <v>23168</v>
      </c>
      <c r="D2004" t="s">
        <v>23169</v>
      </c>
      <c r="E2004" t="s">
        <v>23170</v>
      </c>
      <c r="F2004" t="s">
        <v>23171</v>
      </c>
      <c r="G2004" t="s">
        <v>32</v>
      </c>
      <c r="H2004" t="str">
        <f>"Ctcf"</f>
        <v>Ctcf</v>
      </c>
      <c r="I2004" t="s">
        <v>32</v>
      </c>
      <c r="J2004" t="s">
        <v>37</v>
      </c>
      <c r="K2004">
        <v>10090</v>
      </c>
      <c r="L2004" s="3" t="str">
        <f>HYPERLINK("http://www.uniprot.org/uniprot/Q61164", "Q61164")</f>
        <v>Q61164</v>
      </c>
      <c r="M2004" t="s">
        <v>23172</v>
      </c>
      <c r="N2004" t="str">
        <f>"Ctcf"</f>
        <v>Ctcf</v>
      </c>
      <c r="O2004" s="3" t="str">
        <f>HYPERLINK("http://www.informatics.jax.org/marker/MGI:109447", "MGI:109447")</f>
        <v>MGI:109447</v>
      </c>
      <c r="P2004" t="s">
        <v>23173</v>
      </c>
      <c r="Q2004" t="s">
        <v>23174</v>
      </c>
      <c r="R2004" t="s">
        <v>7397</v>
      </c>
      <c r="S2004" t="s">
        <v>32</v>
      </c>
      <c r="T2004" t="s">
        <v>32</v>
      </c>
      <c r="U2004" t="s">
        <v>1636</v>
      </c>
      <c r="V2004" t="s">
        <v>3791</v>
      </c>
      <c r="W2004" t="s">
        <v>42</v>
      </c>
      <c r="X2004" t="s">
        <v>23175</v>
      </c>
      <c r="Y2004" t="s">
        <v>516</v>
      </c>
      <c r="Z2004" t="s">
        <v>32</v>
      </c>
      <c r="AA2004" t="s">
        <v>23176</v>
      </c>
      <c r="AB2004" t="s">
        <v>23177</v>
      </c>
      <c r="AC2004" t="s">
        <v>23178</v>
      </c>
      <c r="AD2004" t="s">
        <v>32</v>
      </c>
      <c r="AE2004" t="s">
        <v>32</v>
      </c>
      <c r="AF2004" t="s">
        <v>46835</v>
      </c>
    </row>
    <row r="2005" spans="1:32" x14ac:dyDescent="0.2">
      <c r="A2005">
        <v>2000</v>
      </c>
      <c r="B2005" t="s">
        <v>23179</v>
      </c>
      <c r="C2005" t="s">
        <v>23180</v>
      </c>
      <c r="D2005" t="s">
        <v>23181</v>
      </c>
      <c r="E2005" t="s">
        <v>23182</v>
      </c>
      <c r="F2005" t="s">
        <v>23183</v>
      </c>
      <c r="G2005" t="s">
        <v>32</v>
      </c>
      <c r="H2005" t="str">
        <f>"Asah1"</f>
        <v>Asah1</v>
      </c>
      <c r="I2005" t="s">
        <v>23184</v>
      </c>
      <c r="J2005" t="s">
        <v>37</v>
      </c>
      <c r="K2005">
        <v>10090</v>
      </c>
      <c r="L2005" s="3" t="str">
        <f>HYPERLINK("http://www.uniprot.org/uniprot/Q9WV54", "Q9WV54")</f>
        <v>Q9WV54</v>
      </c>
      <c r="M2005" t="s">
        <v>23185</v>
      </c>
      <c r="N2005" t="str">
        <f>"Asah1"</f>
        <v>Asah1</v>
      </c>
      <c r="O2005" s="3" t="str">
        <f>HYPERLINK("http://www.informatics.jax.org/marker/MGI:1277124", "MGI:1277124")</f>
        <v>MGI:1277124</v>
      </c>
      <c r="P2005" t="s">
        <v>23186</v>
      </c>
      <c r="Q2005" t="s">
        <v>23187</v>
      </c>
      <c r="R2005" t="s">
        <v>5274</v>
      </c>
      <c r="S2005" t="s">
        <v>32</v>
      </c>
      <c r="T2005" t="s">
        <v>32</v>
      </c>
      <c r="U2005" t="s">
        <v>32</v>
      </c>
      <c r="V2005" t="s">
        <v>811</v>
      </c>
      <c r="W2005" t="s">
        <v>32</v>
      </c>
      <c r="X2005" t="s">
        <v>343</v>
      </c>
      <c r="Y2005" t="s">
        <v>5781</v>
      </c>
      <c r="Z2005" t="s">
        <v>32</v>
      </c>
      <c r="AA2005" t="s">
        <v>23188</v>
      </c>
      <c r="AB2005" t="s">
        <v>23189</v>
      </c>
      <c r="AC2005" t="s">
        <v>23190</v>
      </c>
      <c r="AD2005" t="s">
        <v>9930</v>
      </c>
      <c r="AE2005" t="s">
        <v>23191</v>
      </c>
      <c r="AF2005" t="s">
        <v>46835</v>
      </c>
    </row>
    <row r="2006" spans="1:32" x14ac:dyDescent="0.2">
      <c r="A2006">
        <v>2001</v>
      </c>
      <c r="B2006" t="s">
        <v>23192</v>
      </c>
      <c r="C2006" t="s">
        <v>23193</v>
      </c>
      <c r="D2006" t="s">
        <v>23194</v>
      </c>
      <c r="E2006" t="s">
        <v>23195</v>
      </c>
      <c r="F2006" t="s">
        <v>23196</v>
      </c>
      <c r="G2006" t="s">
        <v>23197</v>
      </c>
      <c r="H2006" t="str">
        <f>"Lama2"</f>
        <v>Lama2</v>
      </c>
      <c r="I2006" t="s">
        <v>32</v>
      </c>
      <c r="J2006" t="s">
        <v>37</v>
      </c>
      <c r="K2006">
        <v>10090</v>
      </c>
      <c r="L2006" s="3" t="str">
        <f>HYPERLINK("http://www.uniprot.org/uniprot/Q60675", "Q60675")</f>
        <v>Q60675</v>
      </c>
      <c r="M2006" t="s">
        <v>23198</v>
      </c>
      <c r="N2006" t="str">
        <f>"Lama2"</f>
        <v>Lama2</v>
      </c>
      <c r="O2006" s="3" t="str">
        <f>HYPERLINK("http://www.informatics.jax.org/marker/MGI:99912", "MGI:99912")</f>
        <v>MGI:99912</v>
      </c>
      <c r="P2006" t="s">
        <v>18394</v>
      </c>
      <c r="Q2006" t="s">
        <v>2784</v>
      </c>
      <c r="R2006" t="s">
        <v>2785</v>
      </c>
      <c r="S2006" t="s">
        <v>32</v>
      </c>
      <c r="T2006" t="s">
        <v>32</v>
      </c>
      <c r="U2006" t="s">
        <v>32</v>
      </c>
      <c r="V2006" t="s">
        <v>3228</v>
      </c>
      <c r="W2006" t="s">
        <v>32</v>
      </c>
      <c r="X2006" t="s">
        <v>32</v>
      </c>
      <c r="Y2006" t="s">
        <v>5275</v>
      </c>
      <c r="Z2006" t="s">
        <v>126</v>
      </c>
      <c r="AA2006" t="s">
        <v>23199</v>
      </c>
      <c r="AB2006" t="s">
        <v>23200</v>
      </c>
      <c r="AC2006" t="s">
        <v>23201</v>
      </c>
      <c r="AD2006" t="s">
        <v>32</v>
      </c>
      <c r="AE2006" t="s">
        <v>32</v>
      </c>
      <c r="AF2006" t="s">
        <v>46835</v>
      </c>
    </row>
    <row r="2007" spans="1:32" x14ac:dyDescent="0.2">
      <c r="A2007">
        <v>2002</v>
      </c>
      <c r="B2007" t="s">
        <v>23202</v>
      </c>
      <c r="C2007" t="s">
        <v>23203</v>
      </c>
      <c r="D2007" t="s">
        <v>23204</v>
      </c>
      <c r="E2007" t="s">
        <v>23205</v>
      </c>
      <c r="F2007" t="s">
        <v>23206</v>
      </c>
      <c r="G2007" t="s">
        <v>32</v>
      </c>
      <c r="H2007" t="str">
        <f>"Ift22"</f>
        <v>Ift22</v>
      </c>
      <c r="I2007" t="s">
        <v>23207</v>
      </c>
      <c r="J2007" t="s">
        <v>37</v>
      </c>
      <c r="K2007">
        <v>10090</v>
      </c>
      <c r="L2007" s="3" t="str">
        <f>HYPERLINK("http://www.uniprot.org/uniprot/Q9DAI2", "Q9DAI2")</f>
        <v>Q9DAI2</v>
      </c>
      <c r="M2007" t="s">
        <v>23208</v>
      </c>
      <c r="N2007" t="str">
        <f>"Ift22"</f>
        <v>Ift22</v>
      </c>
      <c r="O2007" s="3" t="str">
        <f>HYPERLINK("http://www.informatics.jax.org/marker/MGI:1914536", "MGI:1914536")</f>
        <v>MGI:1914536</v>
      </c>
      <c r="P2007" t="s">
        <v>23209</v>
      </c>
      <c r="Q2007" t="s">
        <v>32</v>
      </c>
      <c r="R2007" t="s">
        <v>23210</v>
      </c>
      <c r="S2007" t="s">
        <v>32</v>
      </c>
      <c r="T2007" t="s">
        <v>32</v>
      </c>
      <c r="U2007" t="s">
        <v>32</v>
      </c>
      <c r="V2007" t="s">
        <v>32</v>
      </c>
      <c r="W2007" t="s">
        <v>261</v>
      </c>
      <c r="X2007" t="s">
        <v>32</v>
      </c>
      <c r="Y2007" t="s">
        <v>618</v>
      </c>
      <c r="Z2007" t="s">
        <v>32</v>
      </c>
      <c r="AA2007" t="s">
        <v>23211</v>
      </c>
      <c r="AB2007" t="s">
        <v>23212</v>
      </c>
      <c r="AC2007" t="s">
        <v>15410</v>
      </c>
      <c r="AD2007" t="s">
        <v>32</v>
      </c>
      <c r="AE2007" t="s">
        <v>8858</v>
      </c>
      <c r="AF2007" t="s">
        <v>46835</v>
      </c>
    </row>
    <row r="2008" spans="1:32" x14ac:dyDescent="0.2">
      <c r="A2008">
        <v>2003</v>
      </c>
      <c r="B2008" t="s">
        <v>23213</v>
      </c>
      <c r="C2008" t="s">
        <v>23214</v>
      </c>
      <c r="D2008" t="s">
        <v>23215</v>
      </c>
      <c r="E2008" t="s">
        <v>23216</v>
      </c>
      <c r="F2008" t="s">
        <v>23217</v>
      </c>
      <c r="G2008" t="s">
        <v>23218</v>
      </c>
      <c r="H2008" t="str">
        <f>"Sfr1"</f>
        <v>Sfr1</v>
      </c>
      <c r="I2008" t="s">
        <v>23219</v>
      </c>
      <c r="J2008" t="s">
        <v>37</v>
      </c>
      <c r="K2008">
        <v>10090</v>
      </c>
      <c r="L2008" s="3" t="str">
        <f>HYPERLINK("http://www.uniprot.org/uniprot/Q8BP27", "Q8BP27")</f>
        <v>Q8BP27</v>
      </c>
      <c r="M2008" t="s">
        <v>23220</v>
      </c>
      <c r="N2008" t="str">
        <f>"Sfr1"</f>
        <v>Sfr1</v>
      </c>
      <c r="O2008" s="3" t="str">
        <f>HYPERLINK("http://www.informatics.jax.org/marker/MGI:1915038", "MGI:1915038")</f>
        <v>MGI:1915038</v>
      </c>
      <c r="P2008" t="s">
        <v>23221</v>
      </c>
      <c r="Q2008" t="s">
        <v>11306</v>
      </c>
      <c r="R2008" t="s">
        <v>2279</v>
      </c>
      <c r="S2008" t="s">
        <v>41</v>
      </c>
      <c r="T2008" t="s">
        <v>32</v>
      </c>
      <c r="U2008" t="s">
        <v>32</v>
      </c>
      <c r="V2008" t="s">
        <v>290</v>
      </c>
      <c r="W2008" t="s">
        <v>32</v>
      </c>
      <c r="X2008" t="s">
        <v>32</v>
      </c>
      <c r="Y2008" t="s">
        <v>618</v>
      </c>
      <c r="Z2008" t="s">
        <v>32</v>
      </c>
      <c r="AA2008" t="s">
        <v>23222</v>
      </c>
      <c r="AB2008" t="s">
        <v>23223</v>
      </c>
      <c r="AC2008" t="s">
        <v>23224</v>
      </c>
      <c r="AD2008" t="s">
        <v>32</v>
      </c>
      <c r="AE2008" t="s">
        <v>32</v>
      </c>
      <c r="AF2008" t="s">
        <v>46835</v>
      </c>
    </row>
    <row r="2009" spans="1:32" x14ac:dyDescent="0.2">
      <c r="A2009">
        <v>2004</v>
      </c>
      <c r="B2009" t="s">
        <v>23225</v>
      </c>
      <c r="C2009" t="s">
        <v>23226</v>
      </c>
      <c r="D2009" t="s">
        <v>23227</v>
      </c>
      <c r="E2009" t="s">
        <v>23228</v>
      </c>
      <c r="F2009" t="s">
        <v>23229</v>
      </c>
      <c r="G2009" t="s">
        <v>23230</v>
      </c>
      <c r="H2009" t="str">
        <f>"Wipi1"</f>
        <v>Wipi1</v>
      </c>
      <c r="I2009" t="s">
        <v>23231</v>
      </c>
      <c r="J2009" t="s">
        <v>37</v>
      </c>
      <c r="K2009">
        <v>10090</v>
      </c>
      <c r="L2009" s="3" t="str">
        <f>HYPERLINK("http://www.uniprot.org/uniprot/Q8R3E3", "Q8R3E3")</f>
        <v>Q8R3E3</v>
      </c>
      <c r="M2009" t="s">
        <v>23232</v>
      </c>
      <c r="N2009" t="str">
        <f>"Wipi1"</f>
        <v>Wipi1</v>
      </c>
      <c r="O2009" s="3" t="str">
        <f>HYPERLINK("http://www.informatics.jax.org/marker/MGI:1261864", "MGI:1261864")</f>
        <v>MGI:1261864</v>
      </c>
      <c r="P2009" t="s">
        <v>23233</v>
      </c>
      <c r="Q2009" t="s">
        <v>11661</v>
      </c>
      <c r="R2009" t="s">
        <v>23234</v>
      </c>
      <c r="S2009" t="s">
        <v>41</v>
      </c>
      <c r="T2009" t="s">
        <v>32</v>
      </c>
      <c r="U2009" t="s">
        <v>32</v>
      </c>
      <c r="V2009" t="s">
        <v>1910</v>
      </c>
      <c r="W2009" t="s">
        <v>584</v>
      </c>
      <c r="X2009" t="s">
        <v>32</v>
      </c>
      <c r="Y2009" t="s">
        <v>32</v>
      </c>
      <c r="Z2009" t="s">
        <v>32</v>
      </c>
      <c r="AA2009" t="s">
        <v>23235</v>
      </c>
      <c r="AB2009" t="s">
        <v>23236</v>
      </c>
      <c r="AC2009" t="s">
        <v>23237</v>
      </c>
      <c r="AD2009" t="s">
        <v>32</v>
      </c>
      <c r="AE2009" t="s">
        <v>11665</v>
      </c>
      <c r="AF2009" t="s">
        <v>46835</v>
      </c>
    </row>
    <row r="2010" spans="1:32" x14ac:dyDescent="0.2">
      <c r="A2010">
        <v>2005</v>
      </c>
      <c r="B2010" t="s">
        <v>23238</v>
      </c>
      <c r="C2010" t="s">
        <v>23239</v>
      </c>
      <c r="D2010" t="s">
        <v>23240</v>
      </c>
      <c r="E2010" t="s">
        <v>23241</v>
      </c>
      <c r="F2010" t="s">
        <v>23242</v>
      </c>
      <c r="G2010" t="s">
        <v>23243</v>
      </c>
      <c r="H2010" t="str">
        <f>"Supt16h"</f>
        <v>Supt16h</v>
      </c>
      <c r="I2010" t="s">
        <v>23244</v>
      </c>
      <c r="J2010" t="s">
        <v>37</v>
      </c>
      <c r="K2010">
        <v>10090</v>
      </c>
      <c r="L2010" s="3" t="str">
        <f>HYPERLINK("http://www.uniprot.org/uniprot/Q920B9", "Q920B9")</f>
        <v>Q920B9</v>
      </c>
      <c r="M2010" t="s">
        <v>23245</v>
      </c>
      <c r="N2010" t="str">
        <f>"Supt16"</f>
        <v>Supt16</v>
      </c>
      <c r="O2010" s="3" t="str">
        <f>HYPERLINK("http://www.informatics.jax.org/marker/MGI:1890948", "MGI:1890948")</f>
        <v>MGI:1890948</v>
      </c>
      <c r="P2010" t="s">
        <v>23246</v>
      </c>
      <c r="Q2010" t="s">
        <v>11157</v>
      </c>
      <c r="R2010" t="s">
        <v>1939</v>
      </c>
      <c r="S2010" t="s">
        <v>32</v>
      </c>
      <c r="T2010" t="s">
        <v>32</v>
      </c>
      <c r="U2010" t="s">
        <v>32</v>
      </c>
      <c r="V2010" t="s">
        <v>290</v>
      </c>
      <c r="W2010" t="s">
        <v>32</v>
      </c>
      <c r="X2010" t="s">
        <v>32</v>
      </c>
      <c r="Y2010" t="s">
        <v>448</v>
      </c>
      <c r="Z2010" t="s">
        <v>32</v>
      </c>
      <c r="AA2010" t="s">
        <v>23247</v>
      </c>
      <c r="AB2010" t="s">
        <v>23248</v>
      </c>
      <c r="AC2010" t="s">
        <v>23249</v>
      </c>
      <c r="AD2010" t="s">
        <v>32</v>
      </c>
      <c r="AE2010" t="s">
        <v>11161</v>
      </c>
      <c r="AF2010" t="s">
        <v>46835</v>
      </c>
    </row>
    <row r="2011" spans="1:32" x14ac:dyDescent="0.2">
      <c r="A2011">
        <v>2006</v>
      </c>
      <c r="B2011" t="s">
        <v>23250</v>
      </c>
      <c r="C2011" t="s">
        <v>23251</v>
      </c>
      <c r="D2011" t="s">
        <v>23252</v>
      </c>
      <c r="E2011" t="s">
        <v>23253</v>
      </c>
      <c r="F2011" t="s">
        <v>23254</v>
      </c>
      <c r="G2011" t="s">
        <v>23255</v>
      </c>
      <c r="H2011" t="str">
        <f>"Ostf1"</f>
        <v>Ostf1</v>
      </c>
      <c r="I2011" t="s">
        <v>23256</v>
      </c>
      <c r="J2011" t="s">
        <v>37</v>
      </c>
      <c r="K2011">
        <v>10090</v>
      </c>
      <c r="L2011" s="3" t="str">
        <f>HYPERLINK("http://www.uniprot.org/uniprot/Q62422", "Q62422")</f>
        <v>Q62422</v>
      </c>
      <c r="M2011" t="s">
        <v>23257</v>
      </c>
      <c r="N2011" t="str">
        <f>"Ostf1"</f>
        <v>Ostf1</v>
      </c>
      <c r="O2011" s="3" t="str">
        <f>HYPERLINK("http://www.informatics.jax.org/marker/MGI:700012", "MGI:700012")</f>
        <v>MGI:700012</v>
      </c>
      <c r="P2011" t="s">
        <v>23258</v>
      </c>
      <c r="Q2011" t="s">
        <v>32</v>
      </c>
      <c r="R2011" t="s">
        <v>418</v>
      </c>
      <c r="S2011" t="s">
        <v>32</v>
      </c>
      <c r="T2011" t="s">
        <v>32</v>
      </c>
      <c r="U2011" t="s">
        <v>32</v>
      </c>
      <c r="V2011" t="s">
        <v>23259</v>
      </c>
      <c r="W2011" t="s">
        <v>32</v>
      </c>
      <c r="X2011" t="s">
        <v>32</v>
      </c>
      <c r="Y2011" t="s">
        <v>157</v>
      </c>
      <c r="Z2011" t="s">
        <v>32</v>
      </c>
      <c r="AA2011" t="s">
        <v>19551</v>
      </c>
      <c r="AB2011" t="s">
        <v>2172</v>
      </c>
      <c r="AC2011" t="s">
        <v>23260</v>
      </c>
      <c r="AD2011" t="s">
        <v>32</v>
      </c>
      <c r="AE2011" t="s">
        <v>548</v>
      </c>
      <c r="AF2011" t="s">
        <v>46835</v>
      </c>
    </row>
    <row r="2012" spans="1:32" x14ac:dyDescent="0.2">
      <c r="A2012">
        <v>2007</v>
      </c>
      <c r="B2012" t="s">
        <v>23261</v>
      </c>
      <c r="C2012" t="s">
        <v>23262</v>
      </c>
      <c r="D2012" t="s">
        <v>23263</v>
      </c>
      <c r="E2012" t="s">
        <v>23264</v>
      </c>
      <c r="F2012" t="s">
        <v>23265</v>
      </c>
      <c r="G2012" t="s">
        <v>23266</v>
      </c>
      <c r="H2012" t="str">
        <f>"Sord"</f>
        <v>Sord</v>
      </c>
      <c r="I2012" t="s">
        <v>23267</v>
      </c>
      <c r="J2012" t="s">
        <v>37</v>
      </c>
      <c r="K2012">
        <v>10090</v>
      </c>
      <c r="L2012" s="3" t="str">
        <f>HYPERLINK("http://www.uniprot.org/uniprot/Q64442", "Q64442")</f>
        <v>Q64442</v>
      </c>
      <c r="M2012" t="s">
        <v>23268</v>
      </c>
      <c r="N2012" t="str">
        <f>"Sord"</f>
        <v>Sord</v>
      </c>
      <c r="O2012" s="3" t="str">
        <f>HYPERLINK("http://www.informatics.jax.org/marker/MGI:98266", "MGI:98266")</f>
        <v>MGI:98266</v>
      </c>
      <c r="P2012" t="s">
        <v>23269</v>
      </c>
      <c r="Q2012" t="s">
        <v>32</v>
      </c>
      <c r="R2012" t="s">
        <v>23270</v>
      </c>
      <c r="S2012" t="s">
        <v>32</v>
      </c>
      <c r="T2012" t="s">
        <v>32</v>
      </c>
      <c r="U2012" t="s">
        <v>32</v>
      </c>
      <c r="V2012" t="s">
        <v>32</v>
      </c>
      <c r="W2012" t="s">
        <v>1653</v>
      </c>
      <c r="X2012" t="s">
        <v>600</v>
      </c>
      <c r="Y2012" t="s">
        <v>157</v>
      </c>
      <c r="Z2012" t="s">
        <v>32</v>
      </c>
      <c r="AA2012" t="s">
        <v>23271</v>
      </c>
      <c r="AB2012" t="s">
        <v>23272</v>
      </c>
      <c r="AC2012" t="s">
        <v>23273</v>
      </c>
      <c r="AD2012" t="s">
        <v>32</v>
      </c>
      <c r="AE2012" t="s">
        <v>23274</v>
      </c>
      <c r="AF2012" t="s">
        <v>46835</v>
      </c>
    </row>
    <row r="2013" spans="1:32" x14ac:dyDescent="0.2">
      <c r="A2013">
        <v>2008</v>
      </c>
      <c r="B2013" t="s">
        <v>23275</v>
      </c>
      <c r="C2013" t="s">
        <v>23276</v>
      </c>
      <c r="D2013" t="s">
        <v>23277</v>
      </c>
      <c r="E2013" t="s">
        <v>23278</v>
      </c>
      <c r="F2013" t="s">
        <v>23279</v>
      </c>
      <c r="G2013" t="s">
        <v>23280</v>
      </c>
      <c r="H2013" t="str">
        <f>"Oxsr1"</f>
        <v>Oxsr1</v>
      </c>
      <c r="I2013" t="s">
        <v>32</v>
      </c>
      <c r="J2013" t="s">
        <v>37</v>
      </c>
      <c r="K2013">
        <v>10090</v>
      </c>
      <c r="L2013" s="3" t="str">
        <f>HYPERLINK("http://www.uniprot.org/uniprot/Q6P9R2", "Q6P9R2")</f>
        <v>Q6P9R2</v>
      </c>
      <c r="M2013" t="s">
        <v>23281</v>
      </c>
      <c r="N2013" t="str">
        <f>"Oxsr1"</f>
        <v>Oxsr1</v>
      </c>
      <c r="O2013" s="3" t="str">
        <f>HYPERLINK("http://www.informatics.jax.org/marker/MGI:1917378", "MGI:1917378")</f>
        <v>MGI:1917378</v>
      </c>
      <c r="P2013" t="s">
        <v>23282</v>
      </c>
      <c r="Q2013" t="s">
        <v>32</v>
      </c>
      <c r="R2013" t="s">
        <v>418</v>
      </c>
      <c r="S2013" t="s">
        <v>32</v>
      </c>
      <c r="T2013" t="s">
        <v>32</v>
      </c>
      <c r="U2013" t="s">
        <v>32</v>
      </c>
      <c r="V2013" t="s">
        <v>32</v>
      </c>
      <c r="W2013" t="s">
        <v>1266</v>
      </c>
      <c r="X2013" t="s">
        <v>5419</v>
      </c>
      <c r="Y2013" t="s">
        <v>157</v>
      </c>
      <c r="Z2013" t="s">
        <v>32</v>
      </c>
      <c r="AA2013" t="s">
        <v>23283</v>
      </c>
      <c r="AB2013" t="s">
        <v>2206</v>
      </c>
      <c r="AC2013" t="s">
        <v>23284</v>
      </c>
      <c r="AD2013" t="s">
        <v>32</v>
      </c>
      <c r="AE2013" t="s">
        <v>32</v>
      </c>
      <c r="AF2013" t="s">
        <v>46835</v>
      </c>
    </row>
    <row r="2014" spans="1:32" x14ac:dyDescent="0.2">
      <c r="A2014">
        <v>2009</v>
      </c>
      <c r="B2014" t="s">
        <v>23285</v>
      </c>
      <c r="C2014" t="s">
        <v>23286</v>
      </c>
      <c r="D2014" t="s">
        <v>32</v>
      </c>
      <c r="E2014" t="s">
        <v>23287</v>
      </c>
      <c r="F2014" t="s">
        <v>23288</v>
      </c>
      <c r="G2014" t="s">
        <v>23289</v>
      </c>
      <c r="H2014" t="str">
        <f>"Nvl"</f>
        <v>Nvl</v>
      </c>
      <c r="I2014" t="s">
        <v>32</v>
      </c>
      <c r="J2014" t="s">
        <v>37</v>
      </c>
      <c r="K2014">
        <v>10090</v>
      </c>
      <c r="L2014" s="3" t="str">
        <f>HYPERLINK("http://www.uniprot.org/uniprot/Q9DBY8", "Q9DBY8")</f>
        <v>Q9DBY8</v>
      </c>
      <c r="M2014" t="s">
        <v>23290</v>
      </c>
      <c r="N2014" t="str">
        <f>"Nvl"</f>
        <v>Nvl</v>
      </c>
      <c r="O2014" s="3" t="str">
        <f>HYPERLINK("http://www.informatics.jax.org/marker/MGI:1914709", "MGI:1914709")</f>
        <v>MGI:1914709</v>
      </c>
      <c r="P2014" t="s">
        <v>23291</v>
      </c>
      <c r="Q2014" t="s">
        <v>6400</v>
      </c>
      <c r="R2014" t="s">
        <v>2279</v>
      </c>
      <c r="S2014" t="s">
        <v>32</v>
      </c>
      <c r="T2014" t="s">
        <v>32</v>
      </c>
      <c r="U2014" t="s">
        <v>32</v>
      </c>
      <c r="V2014" t="s">
        <v>55</v>
      </c>
      <c r="W2014" t="s">
        <v>205</v>
      </c>
      <c r="X2014" t="s">
        <v>32</v>
      </c>
      <c r="Y2014" t="s">
        <v>516</v>
      </c>
      <c r="Z2014" t="s">
        <v>126</v>
      </c>
      <c r="AA2014" t="s">
        <v>23292</v>
      </c>
      <c r="AB2014" t="s">
        <v>23293</v>
      </c>
      <c r="AC2014" t="s">
        <v>23294</v>
      </c>
      <c r="AD2014" t="s">
        <v>32</v>
      </c>
      <c r="AE2014" t="s">
        <v>32</v>
      </c>
      <c r="AF2014" t="s">
        <v>46835</v>
      </c>
    </row>
    <row r="2015" spans="1:32" x14ac:dyDescent="0.2">
      <c r="A2015">
        <v>2010</v>
      </c>
      <c r="B2015" t="s">
        <v>23295</v>
      </c>
      <c r="C2015" t="s">
        <v>23296</v>
      </c>
      <c r="D2015" t="s">
        <v>23297</v>
      </c>
      <c r="E2015" t="s">
        <v>23298</v>
      </c>
      <c r="F2015" t="s">
        <v>23299</v>
      </c>
      <c r="G2015" t="s">
        <v>32</v>
      </c>
      <c r="H2015" t="str">
        <f>"Csrp1"</f>
        <v>Csrp1</v>
      </c>
      <c r="I2015" t="s">
        <v>23300</v>
      </c>
      <c r="J2015" t="s">
        <v>37</v>
      </c>
      <c r="K2015">
        <v>10090</v>
      </c>
      <c r="L2015" s="3" t="str">
        <f>HYPERLINK("http://www.uniprot.org/uniprot/P97315", "P97315")</f>
        <v>P97315</v>
      </c>
      <c r="M2015" t="s">
        <v>23301</v>
      </c>
      <c r="N2015" t="str">
        <f>"Csrp1"</f>
        <v>Csrp1</v>
      </c>
      <c r="O2015" s="3" t="str">
        <f>HYPERLINK("http://www.informatics.jax.org/marker/MGI:88549", "MGI:88549")</f>
        <v>MGI:88549</v>
      </c>
      <c r="P2015" t="s">
        <v>23302</v>
      </c>
      <c r="Q2015" t="s">
        <v>32</v>
      </c>
      <c r="R2015" t="s">
        <v>2279</v>
      </c>
      <c r="S2015" t="s">
        <v>32</v>
      </c>
      <c r="T2015" t="s">
        <v>32</v>
      </c>
      <c r="U2015" t="s">
        <v>32</v>
      </c>
      <c r="V2015" t="s">
        <v>11332</v>
      </c>
      <c r="W2015" t="s">
        <v>42</v>
      </c>
      <c r="X2015" t="s">
        <v>32</v>
      </c>
      <c r="Y2015" t="s">
        <v>516</v>
      </c>
      <c r="Z2015" t="s">
        <v>32</v>
      </c>
      <c r="AA2015" t="s">
        <v>23303</v>
      </c>
      <c r="AB2015" t="s">
        <v>23304</v>
      </c>
      <c r="AC2015" t="s">
        <v>23305</v>
      </c>
      <c r="AD2015" t="s">
        <v>32</v>
      </c>
      <c r="AE2015" t="s">
        <v>32</v>
      </c>
      <c r="AF2015" t="s">
        <v>46835</v>
      </c>
    </row>
    <row r="2016" spans="1:32" x14ac:dyDescent="0.2">
      <c r="A2016">
        <v>2011</v>
      </c>
      <c r="B2016" t="s">
        <v>23306</v>
      </c>
      <c r="C2016" t="s">
        <v>23307</v>
      </c>
      <c r="D2016" t="s">
        <v>23308</v>
      </c>
      <c r="E2016" t="s">
        <v>23309</v>
      </c>
      <c r="F2016" t="s">
        <v>23310</v>
      </c>
      <c r="G2016" t="s">
        <v>23311</v>
      </c>
      <c r="H2016" t="str">
        <f>"Slc25a12"</f>
        <v>Slc25a12</v>
      </c>
      <c r="I2016" t="s">
        <v>32</v>
      </c>
      <c r="J2016" t="s">
        <v>37</v>
      </c>
      <c r="K2016">
        <v>10090</v>
      </c>
      <c r="L2016" s="3" t="str">
        <f>HYPERLINK("http://www.uniprot.org/uniprot/Q8BH59", "Q8BH59")</f>
        <v>Q8BH59</v>
      </c>
      <c r="M2016" t="s">
        <v>23312</v>
      </c>
      <c r="N2016" t="str">
        <f>"Slc25a12"</f>
        <v>Slc25a12</v>
      </c>
      <c r="O2016" s="3" t="str">
        <f>HYPERLINK("http://www.informatics.jax.org/marker/MGI:1926080", "MGI:1926080")</f>
        <v>MGI:1926080</v>
      </c>
      <c r="P2016" t="s">
        <v>23313</v>
      </c>
      <c r="Q2016" t="s">
        <v>4425</v>
      </c>
      <c r="R2016" t="s">
        <v>3858</v>
      </c>
      <c r="S2016" t="s">
        <v>32</v>
      </c>
      <c r="T2016" t="s">
        <v>32</v>
      </c>
      <c r="U2016" t="s">
        <v>32</v>
      </c>
      <c r="V2016" t="s">
        <v>1620</v>
      </c>
      <c r="W2016" t="s">
        <v>188</v>
      </c>
      <c r="X2016" t="s">
        <v>32</v>
      </c>
      <c r="Y2016" t="s">
        <v>78</v>
      </c>
      <c r="Z2016" t="s">
        <v>32</v>
      </c>
      <c r="AA2016" t="s">
        <v>23314</v>
      </c>
      <c r="AB2016" t="s">
        <v>23315</v>
      </c>
      <c r="AC2016" t="s">
        <v>23316</v>
      </c>
      <c r="AD2016" t="s">
        <v>32</v>
      </c>
      <c r="AE2016" t="s">
        <v>11960</v>
      </c>
      <c r="AF2016" t="s">
        <v>46835</v>
      </c>
    </row>
    <row r="2017" spans="1:33" x14ac:dyDescent="0.2">
      <c r="A2017">
        <v>2012</v>
      </c>
      <c r="B2017" t="s">
        <v>23317</v>
      </c>
      <c r="C2017" t="s">
        <v>23318</v>
      </c>
      <c r="D2017" t="s">
        <v>23319</v>
      </c>
      <c r="E2017" t="s">
        <v>23320</v>
      </c>
      <c r="F2017" t="s">
        <v>23321</v>
      </c>
      <c r="G2017" t="s">
        <v>23322</v>
      </c>
      <c r="H2017" t="str">
        <f>"Tmem33"</f>
        <v>Tmem33</v>
      </c>
      <c r="I2017" t="s">
        <v>23323</v>
      </c>
      <c r="J2017" t="s">
        <v>37</v>
      </c>
      <c r="K2017">
        <v>10090</v>
      </c>
      <c r="L2017" s="3" t="str">
        <f>HYPERLINK("http://www.uniprot.org/uniprot/Q9CR67", "Q9CR67")</f>
        <v>Q9CR67</v>
      </c>
      <c r="M2017" t="s">
        <v>23324</v>
      </c>
      <c r="N2017" t="str">
        <f>"Tmem33"</f>
        <v>Tmem33</v>
      </c>
      <c r="O2017" s="3" t="str">
        <f>HYPERLINK("http://www.informatics.jax.org/marker/MGI:1915128", "MGI:1915128")</f>
        <v>MGI:1915128</v>
      </c>
      <c r="P2017" t="s">
        <v>23325</v>
      </c>
      <c r="Q2017" t="s">
        <v>5475</v>
      </c>
      <c r="R2017" t="s">
        <v>17568</v>
      </c>
      <c r="S2017" t="s">
        <v>32</v>
      </c>
      <c r="T2017" t="s">
        <v>32</v>
      </c>
      <c r="U2017" t="s">
        <v>32</v>
      </c>
      <c r="V2017" t="s">
        <v>493</v>
      </c>
      <c r="W2017" t="s">
        <v>32</v>
      </c>
      <c r="X2017" t="s">
        <v>32</v>
      </c>
      <c r="Y2017" t="s">
        <v>78</v>
      </c>
      <c r="Z2017" t="s">
        <v>32</v>
      </c>
      <c r="AA2017" t="s">
        <v>23326</v>
      </c>
      <c r="AB2017" t="s">
        <v>23327</v>
      </c>
      <c r="AC2017" t="s">
        <v>32</v>
      </c>
      <c r="AD2017" t="s">
        <v>32</v>
      </c>
      <c r="AE2017" t="s">
        <v>32</v>
      </c>
      <c r="AF2017" t="s">
        <v>46835</v>
      </c>
    </row>
    <row r="2018" spans="1:33" x14ac:dyDescent="0.2">
      <c r="A2018">
        <v>2013</v>
      </c>
      <c r="B2018" t="s">
        <v>23328</v>
      </c>
      <c r="C2018" t="s">
        <v>23329</v>
      </c>
      <c r="D2018" t="s">
        <v>23330</v>
      </c>
      <c r="E2018" t="s">
        <v>23331</v>
      </c>
      <c r="F2018" t="s">
        <v>23332</v>
      </c>
      <c r="G2018" t="s">
        <v>32</v>
      </c>
      <c r="H2018" t="str">
        <f>"Atp5f1e"</f>
        <v>Atp5f1e</v>
      </c>
      <c r="I2018" t="s">
        <v>23333</v>
      </c>
      <c r="J2018" t="s">
        <v>37</v>
      </c>
      <c r="K2018">
        <v>10090</v>
      </c>
      <c r="L2018" s="3" t="str">
        <f>HYPERLINK("http://www.uniprot.org/uniprot/P56382", "P56382")</f>
        <v>P56382</v>
      </c>
      <c r="M2018" t="s">
        <v>23334</v>
      </c>
      <c r="N2018" t="str">
        <f>"Atp5e"</f>
        <v>Atp5e</v>
      </c>
      <c r="O2018" s="3" t="str">
        <f>HYPERLINK("http://www.informatics.jax.org/marker/MGI:1855697", "MGI:1855697")</f>
        <v>MGI:1855697</v>
      </c>
      <c r="P2018" t="s">
        <v>23335</v>
      </c>
      <c r="Q2018" t="s">
        <v>1142</v>
      </c>
      <c r="R2018" t="s">
        <v>1505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32</v>
      </c>
      <c r="Y2018" t="s">
        <v>78</v>
      </c>
      <c r="Z2018" t="s">
        <v>32</v>
      </c>
      <c r="AA2018" t="s">
        <v>23336</v>
      </c>
      <c r="AB2018" t="s">
        <v>23337</v>
      </c>
      <c r="AC2018" t="s">
        <v>23338</v>
      </c>
      <c r="AD2018" t="s">
        <v>32</v>
      </c>
      <c r="AE2018" t="s">
        <v>1147</v>
      </c>
      <c r="AF2018" t="s">
        <v>46835</v>
      </c>
    </row>
    <row r="2019" spans="1:33" x14ac:dyDescent="0.2">
      <c r="A2019">
        <v>2014</v>
      </c>
      <c r="B2019" t="s">
        <v>23339</v>
      </c>
      <c r="C2019" t="s">
        <v>23340</v>
      </c>
      <c r="D2019" t="s">
        <v>23341</v>
      </c>
      <c r="E2019" t="s">
        <v>23342</v>
      </c>
      <c r="F2019" t="s">
        <v>23343</v>
      </c>
      <c r="G2019" t="s">
        <v>23344</v>
      </c>
      <c r="H2019" t="str">
        <f>"Vps26b"</f>
        <v>Vps26b</v>
      </c>
      <c r="I2019" t="s">
        <v>32</v>
      </c>
      <c r="J2019" t="s">
        <v>37</v>
      </c>
      <c r="K2019">
        <v>10090</v>
      </c>
      <c r="L2019" s="3" t="str">
        <f>HYPERLINK("http://www.uniprot.org/uniprot/Q8C0E2", "Q8C0E2")</f>
        <v>Q8C0E2</v>
      </c>
      <c r="M2019" t="s">
        <v>23345</v>
      </c>
      <c r="N2019" t="str">
        <f>"Vps26b"</f>
        <v>Vps26b</v>
      </c>
      <c r="O2019" s="3" t="str">
        <f>HYPERLINK("http://www.informatics.jax.org/marker/MGI:1917656", "MGI:1917656")</f>
        <v>MGI:1917656</v>
      </c>
      <c r="P2019" t="s">
        <v>16868</v>
      </c>
      <c r="Q2019" t="s">
        <v>434</v>
      </c>
      <c r="R2019" t="s">
        <v>6558</v>
      </c>
      <c r="S2019" t="s">
        <v>41</v>
      </c>
      <c r="T2019" t="s">
        <v>32</v>
      </c>
      <c r="U2019" t="s">
        <v>32</v>
      </c>
      <c r="V2019" t="s">
        <v>32</v>
      </c>
      <c r="W2019" t="s">
        <v>32</v>
      </c>
      <c r="X2019" t="s">
        <v>32</v>
      </c>
      <c r="Y2019" t="s">
        <v>618</v>
      </c>
      <c r="Z2019" t="s">
        <v>126</v>
      </c>
      <c r="AA2019" t="s">
        <v>23346</v>
      </c>
      <c r="AB2019" t="s">
        <v>23347</v>
      </c>
      <c r="AC2019" t="s">
        <v>32</v>
      </c>
      <c r="AD2019" t="s">
        <v>32</v>
      </c>
      <c r="AE2019" t="s">
        <v>32</v>
      </c>
      <c r="AF2019" t="s">
        <v>46835</v>
      </c>
    </row>
    <row r="2020" spans="1:33" x14ac:dyDescent="0.2">
      <c r="A2020">
        <v>2015</v>
      </c>
      <c r="B2020" t="s">
        <v>23348</v>
      </c>
      <c r="C2020" t="s">
        <v>23349</v>
      </c>
      <c r="D2020" t="s">
        <v>23350</v>
      </c>
      <c r="E2020" t="s">
        <v>23351</v>
      </c>
      <c r="F2020" t="s">
        <v>23352</v>
      </c>
      <c r="G2020" t="s">
        <v>23353</v>
      </c>
      <c r="H2020" t="str">
        <f>"Nenf"</f>
        <v>Nenf</v>
      </c>
      <c r="I2020" t="s">
        <v>23354</v>
      </c>
      <c r="J2020" t="s">
        <v>37</v>
      </c>
      <c r="K2020">
        <v>10090</v>
      </c>
      <c r="L2020" s="3" t="str">
        <f>HYPERLINK("http://www.uniprot.org/uniprot/Q9CQ45", "Q9CQ45")</f>
        <v>Q9CQ45</v>
      </c>
      <c r="M2020" t="s">
        <v>23355</v>
      </c>
      <c r="N2020" t="str">
        <f>"Nenf"</f>
        <v>Nenf</v>
      </c>
      <c r="O2020" s="3" t="str">
        <f>HYPERLINK("http://www.informatics.jax.org/marker/MGI:1913458", "MGI:1913458")</f>
        <v>MGI:1913458</v>
      </c>
      <c r="P2020" t="s">
        <v>23356</v>
      </c>
      <c r="Q2020" t="s">
        <v>32</v>
      </c>
      <c r="R2020" t="s">
        <v>23357</v>
      </c>
      <c r="S2020" t="s">
        <v>32</v>
      </c>
      <c r="T2020" t="s">
        <v>32</v>
      </c>
      <c r="U2020" t="s">
        <v>32</v>
      </c>
      <c r="V2020" t="s">
        <v>811</v>
      </c>
      <c r="W2020" t="s">
        <v>6053</v>
      </c>
      <c r="X2020" t="s">
        <v>32</v>
      </c>
      <c r="Y2020" t="s">
        <v>78</v>
      </c>
      <c r="Z2020" t="s">
        <v>32</v>
      </c>
      <c r="AA2020" t="s">
        <v>23358</v>
      </c>
      <c r="AB2020" t="s">
        <v>23359</v>
      </c>
      <c r="AC2020" t="s">
        <v>23360</v>
      </c>
      <c r="AD2020" t="s">
        <v>32</v>
      </c>
      <c r="AE2020" t="s">
        <v>32</v>
      </c>
      <c r="AF2020" t="s">
        <v>46835</v>
      </c>
    </row>
    <row r="2021" spans="1:33" x14ac:dyDescent="0.2">
      <c r="A2021">
        <v>2016</v>
      </c>
      <c r="B2021" t="s">
        <v>23361</v>
      </c>
      <c r="C2021" t="s">
        <v>23362</v>
      </c>
      <c r="D2021" t="s">
        <v>23363</v>
      </c>
      <c r="E2021" t="s">
        <v>23364</v>
      </c>
      <c r="F2021" t="s">
        <v>23365</v>
      </c>
      <c r="G2021" t="s">
        <v>32</v>
      </c>
      <c r="H2021" t="str">
        <f>"Tial1"</f>
        <v>Tial1</v>
      </c>
      <c r="I2021" t="s">
        <v>32</v>
      </c>
      <c r="J2021" t="s">
        <v>37</v>
      </c>
      <c r="K2021">
        <v>10090</v>
      </c>
      <c r="L2021" s="3" t="str">
        <f>HYPERLINK("http://www.uniprot.org/uniprot/P70318", "P70318")</f>
        <v>P70318</v>
      </c>
      <c r="M2021" t="s">
        <v>23366</v>
      </c>
      <c r="N2021" t="str">
        <f>"Tial1"</f>
        <v>Tial1</v>
      </c>
      <c r="O2021" s="3" t="str">
        <f>HYPERLINK("http://www.informatics.jax.org/marker/MGI:107913", "MGI:107913")</f>
        <v>MGI:107913</v>
      </c>
      <c r="P2021" t="s">
        <v>23367</v>
      </c>
      <c r="Q2021" t="s">
        <v>541</v>
      </c>
      <c r="R2021" t="s">
        <v>23368</v>
      </c>
      <c r="S2021" t="s">
        <v>32</v>
      </c>
      <c r="T2021" t="s">
        <v>32</v>
      </c>
      <c r="U2021" t="s">
        <v>32</v>
      </c>
      <c r="V2021" t="s">
        <v>55</v>
      </c>
      <c r="W2021" t="s">
        <v>32</v>
      </c>
      <c r="X2021" t="s">
        <v>1282</v>
      </c>
      <c r="Y2021" t="s">
        <v>157</v>
      </c>
      <c r="Z2021" t="s">
        <v>32</v>
      </c>
      <c r="AA2021" t="s">
        <v>23369</v>
      </c>
      <c r="AB2021" t="s">
        <v>23370</v>
      </c>
      <c r="AC2021" t="s">
        <v>23371</v>
      </c>
      <c r="AD2021" t="s">
        <v>32</v>
      </c>
      <c r="AE2021" t="s">
        <v>32</v>
      </c>
      <c r="AF2021" t="s">
        <v>46835</v>
      </c>
    </row>
    <row r="2022" spans="1:33" x14ac:dyDescent="0.2">
      <c r="A2022">
        <v>2017</v>
      </c>
      <c r="B2022" t="s">
        <v>23372</v>
      </c>
      <c r="C2022" t="s">
        <v>23373</v>
      </c>
      <c r="D2022" t="s">
        <v>32</v>
      </c>
      <c r="E2022" t="s">
        <v>23374</v>
      </c>
      <c r="F2022" t="s">
        <v>23375</v>
      </c>
      <c r="G2022" t="s">
        <v>23376</v>
      </c>
      <c r="H2022" t="str">
        <f>"Pxn"</f>
        <v>Pxn</v>
      </c>
      <c r="I2022" t="s">
        <v>32</v>
      </c>
      <c r="J2022" t="s">
        <v>37</v>
      </c>
      <c r="K2022">
        <v>10090</v>
      </c>
      <c r="L2022" s="3" t="str">
        <f>HYPERLINK("http://www.uniprot.org/uniprot/Q8VI36", "Q8VI36")</f>
        <v>Q8VI36</v>
      </c>
      <c r="M2022" t="s">
        <v>23377</v>
      </c>
      <c r="N2022" t="str">
        <f>"Pxn"</f>
        <v>Pxn</v>
      </c>
      <c r="O2022" s="3" t="str">
        <f>HYPERLINK("http://www.informatics.jax.org/marker/MGI:108295", "MGI:108295")</f>
        <v>MGI:108295</v>
      </c>
      <c r="P2022" t="s">
        <v>23378</v>
      </c>
      <c r="Q2022" t="s">
        <v>2784</v>
      </c>
      <c r="R2022" t="s">
        <v>403</v>
      </c>
      <c r="S2022" t="s">
        <v>41</v>
      </c>
      <c r="T2022" t="s">
        <v>32</v>
      </c>
      <c r="U2022" t="s">
        <v>32</v>
      </c>
      <c r="V2022" t="s">
        <v>11332</v>
      </c>
      <c r="W2022" t="s">
        <v>42</v>
      </c>
      <c r="X2022" t="s">
        <v>32</v>
      </c>
      <c r="Y2022" t="s">
        <v>157</v>
      </c>
      <c r="Z2022" t="s">
        <v>126</v>
      </c>
      <c r="AA2022" t="s">
        <v>23379</v>
      </c>
      <c r="AB2022" t="s">
        <v>23380</v>
      </c>
      <c r="AC2022" t="s">
        <v>23381</v>
      </c>
      <c r="AD2022" t="s">
        <v>32</v>
      </c>
      <c r="AE2022" t="s">
        <v>23382</v>
      </c>
      <c r="AF2022" t="s">
        <v>46835</v>
      </c>
    </row>
    <row r="2023" spans="1:33" x14ac:dyDescent="0.2">
      <c r="A2023">
        <v>2018</v>
      </c>
      <c r="B2023" t="s">
        <v>23383</v>
      </c>
      <c r="C2023" t="s">
        <v>23384</v>
      </c>
      <c r="D2023" t="s">
        <v>32</v>
      </c>
      <c r="E2023" t="s">
        <v>23385</v>
      </c>
      <c r="F2023" t="s">
        <v>23386</v>
      </c>
      <c r="G2023" t="s">
        <v>23387</v>
      </c>
      <c r="H2023" t="str">
        <f>"Fgg"</f>
        <v>Fgg</v>
      </c>
      <c r="I2023" t="s">
        <v>32</v>
      </c>
      <c r="J2023" t="s">
        <v>37</v>
      </c>
      <c r="K2023">
        <v>10090</v>
      </c>
      <c r="L2023" s="3" t="str">
        <f>HYPERLINK("http://www.uniprot.org/uniprot/Q8VCM7", "Q8VCM7")</f>
        <v>Q8VCM7</v>
      </c>
      <c r="M2023" t="s">
        <v>23388</v>
      </c>
      <c r="N2023" t="str">
        <f>"Fgg"</f>
        <v>Fgg</v>
      </c>
      <c r="O2023" s="3" t="str">
        <f>HYPERLINK("http://www.informatics.jax.org/marker/MGI:95526", "MGI:95526")</f>
        <v>MGI:95526</v>
      </c>
      <c r="P2023" t="s">
        <v>23389</v>
      </c>
      <c r="Q2023" t="s">
        <v>16444</v>
      </c>
      <c r="R2023" t="s">
        <v>630</v>
      </c>
      <c r="S2023" t="s">
        <v>32</v>
      </c>
      <c r="T2023" t="s">
        <v>32</v>
      </c>
      <c r="U2023" t="s">
        <v>32</v>
      </c>
      <c r="V2023" t="s">
        <v>5956</v>
      </c>
      <c r="W2023" t="s">
        <v>188</v>
      </c>
      <c r="X2023" t="s">
        <v>32</v>
      </c>
      <c r="Y2023" t="s">
        <v>23390</v>
      </c>
      <c r="Z2023" t="s">
        <v>32</v>
      </c>
      <c r="AA2023" t="s">
        <v>23391</v>
      </c>
      <c r="AB2023" t="s">
        <v>23392</v>
      </c>
      <c r="AC2023" t="s">
        <v>23393</v>
      </c>
      <c r="AD2023" t="s">
        <v>32</v>
      </c>
      <c r="AE2023" t="s">
        <v>23394</v>
      </c>
      <c r="AF2023" t="s">
        <v>46835</v>
      </c>
    </row>
    <row r="2024" spans="1:33" x14ac:dyDescent="0.2">
      <c r="A2024">
        <v>2019</v>
      </c>
      <c r="B2024" t="s">
        <v>23395</v>
      </c>
      <c r="C2024" t="s">
        <v>23396</v>
      </c>
      <c r="D2024" t="s">
        <v>23397</v>
      </c>
      <c r="E2024" t="s">
        <v>23398</v>
      </c>
      <c r="F2024" t="s">
        <v>23399</v>
      </c>
      <c r="G2024" t="s">
        <v>23400</v>
      </c>
      <c r="H2024" t="str">
        <f>"Pbrm1"</f>
        <v>Pbrm1</v>
      </c>
      <c r="I2024" t="s">
        <v>23401</v>
      </c>
      <c r="J2024" t="s">
        <v>37</v>
      </c>
      <c r="K2024">
        <v>10090</v>
      </c>
      <c r="L2024" s="3" t="str">
        <f>HYPERLINK("http://www.uniprot.org/uniprot/Q8BSQ9", "Q8BSQ9")</f>
        <v>Q8BSQ9</v>
      </c>
      <c r="M2024" t="s">
        <v>23402</v>
      </c>
      <c r="N2024" t="str">
        <f>"Pbrm1"</f>
        <v>Pbrm1</v>
      </c>
      <c r="O2024" s="3" t="str">
        <f>HYPERLINK("http://www.informatics.jax.org/marker/MGI:1923998", "MGI:1923998")</f>
        <v>MGI:1923998</v>
      </c>
      <c r="P2024" t="s">
        <v>23403</v>
      </c>
      <c r="Q2024" t="s">
        <v>4152</v>
      </c>
      <c r="R2024" t="s">
        <v>2279</v>
      </c>
      <c r="S2024" t="s">
        <v>41</v>
      </c>
      <c r="T2024" t="s">
        <v>32</v>
      </c>
      <c r="U2024" t="s">
        <v>1636</v>
      </c>
      <c r="V2024" t="s">
        <v>23404</v>
      </c>
      <c r="W2024" t="s">
        <v>32</v>
      </c>
      <c r="X2024" t="s">
        <v>5712</v>
      </c>
      <c r="Y2024" t="s">
        <v>516</v>
      </c>
      <c r="Z2024" t="s">
        <v>126</v>
      </c>
      <c r="AA2024" t="s">
        <v>23405</v>
      </c>
      <c r="AB2024" t="s">
        <v>23406</v>
      </c>
      <c r="AC2024" t="s">
        <v>23407</v>
      </c>
      <c r="AD2024" t="s">
        <v>32</v>
      </c>
      <c r="AE2024" t="s">
        <v>9992</v>
      </c>
      <c r="AF2024" t="s">
        <v>46835</v>
      </c>
    </row>
    <row r="2025" spans="1:33" x14ac:dyDescent="0.2">
      <c r="A2025">
        <v>2020</v>
      </c>
      <c r="B2025" t="s">
        <v>23408</v>
      </c>
      <c r="C2025" t="s">
        <v>23409</v>
      </c>
      <c r="D2025" t="s">
        <v>23410</v>
      </c>
      <c r="E2025" t="s">
        <v>23411</v>
      </c>
      <c r="F2025" t="s">
        <v>23412</v>
      </c>
      <c r="G2025" t="s">
        <v>23413</v>
      </c>
      <c r="H2025" t="str">
        <f>"Wnk2"</f>
        <v>Wnk2</v>
      </c>
      <c r="I2025" t="s">
        <v>32</v>
      </c>
      <c r="J2025" t="s">
        <v>37</v>
      </c>
      <c r="K2025">
        <v>10090</v>
      </c>
      <c r="L2025" s="3" t="str">
        <f>HYPERLINK("http://www.uniprot.org/uniprot/Q3UH66", "Q3UH66")</f>
        <v>Q3UH66</v>
      </c>
      <c r="M2025" t="s">
        <v>23414</v>
      </c>
      <c r="N2025" t="str">
        <f>"Wnk2"</f>
        <v>Wnk2</v>
      </c>
      <c r="O2025" s="3" t="str">
        <f>HYPERLINK("http://www.informatics.jax.org/marker/MGI:1922857", "MGI:1922857")</f>
        <v>MGI:1922857</v>
      </c>
      <c r="P2025" t="s">
        <v>23415</v>
      </c>
      <c r="Q2025" t="s">
        <v>32</v>
      </c>
      <c r="R2025" t="s">
        <v>222</v>
      </c>
      <c r="S2025" t="s">
        <v>41</v>
      </c>
      <c r="T2025" t="s">
        <v>32</v>
      </c>
      <c r="U2025" t="s">
        <v>32</v>
      </c>
      <c r="V2025" t="s">
        <v>32</v>
      </c>
      <c r="W2025" t="s">
        <v>205</v>
      </c>
      <c r="X2025" t="s">
        <v>5419</v>
      </c>
      <c r="Y2025" t="s">
        <v>2734</v>
      </c>
      <c r="Z2025" t="s">
        <v>32</v>
      </c>
      <c r="AA2025" t="s">
        <v>23416</v>
      </c>
      <c r="AB2025" t="s">
        <v>4024</v>
      </c>
      <c r="AC2025" t="s">
        <v>23417</v>
      </c>
      <c r="AD2025" t="s">
        <v>32</v>
      </c>
      <c r="AE2025" t="s">
        <v>32</v>
      </c>
      <c r="AF2025" t="s">
        <v>46835</v>
      </c>
    </row>
    <row r="2026" spans="1:33" x14ac:dyDescent="0.2">
      <c r="A2026">
        <v>2021</v>
      </c>
      <c r="B2026" t="s">
        <v>23418</v>
      </c>
      <c r="C2026" t="s">
        <v>47189</v>
      </c>
      <c r="D2026" t="s">
        <v>32</v>
      </c>
      <c r="E2026" t="s">
        <v>46944</v>
      </c>
      <c r="F2026" t="s">
        <v>46943</v>
      </c>
      <c r="G2026" t="s">
        <v>32</v>
      </c>
      <c r="H2026" t="s">
        <v>47320</v>
      </c>
      <c r="I2026" t="s">
        <v>32</v>
      </c>
      <c r="J2026" t="s">
        <v>37</v>
      </c>
      <c r="K2026">
        <v>10090</v>
      </c>
      <c r="L2026" s="3" t="str">
        <f>HYPERLINK(CONCATENATE("https://www.uniprot.org/uniprotkb/", AG2026, "/entry"), AG2026)</f>
        <v>E9Q512</v>
      </c>
      <c r="M2026" t="s">
        <v>32</v>
      </c>
      <c r="N2026" t="s">
        <v>32</v>
      </c>
      <c r="O2026" s="3" t="s">
        <v>32</v>
      </c>
      <c r="P2026" t="s">
        <v>32</v>
      </c>
      <c r="Q2026" t="s">
        <v>32</v>
      </c>
      <c r="R2026" t="s">
        <v>32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32</v>
      </c>
      <c r="Y2026" t="s">
        <v>32</v>
      </c>
      <c r="Z2026" t="s">
        <v>32</v>
      </c>
      <c r="AA2026" t="s">
        <v>32</v>
      </c>
      <c r="AB2026" t="s">
        <v>32</v>
      </c>
      <c r="AC2026" t="s">
        <v>32</v>
      </c>
      <c r="AD2026" t="s">
        <v>32</v>
      </c>
      <c r="AE2026" t="s">
        <v>32</v>
      </c>
      <c r="AF2026" t="s">
        <v>46835</v>
      </c>
      <c r="AG2026" t="s">
        <v>46943</v>
      </c>
    </row>
    <row r="2027" spans="1:33" x14ac:dyDescent="0.2">
      <c r="A2027">
        <v>2022</v>
      </c>
      <c r="B2027" t="s">
        <v>23419</v>
      </c>
      <c r="C2027" t="s">
        <v>23420</v>
      </c>
      <c r="D2027" t="s">
        <v>23421</v>
      </c>
      <c r="E2027" t="s">
        <v>23422</v>
      </c>
      <c r="F2027" t="s">
        <v>23423</v>
      </c>
      <c r="G2027" t="s">
        <v>23424</v>
      </c>
      <c r="H2027" t="str">
        <f>"Polr2c"</f>
        <v>Polr2c</v>
      </c>
      <c r="I2027" t="s">
        <v>23425</v>
      </c>
      <c r="J2027" t="s">
        <v>37</v>
      </c>
      <c r="K2027">
        <v>10090</v>
      </c>
      <c r="L2027" s="3" t="str">
        <f>HYPERLINK("http://www.uniprot.org/uniprot/P97760", "P97760")</f>
        <v>P97760</v>
      </c>
      <c r="M2027" t="s">
        <v>23426</v>
      </c>
      <c r="N2027" t="str">
        <f>"Polr2c"</f>
        <v>Polr2c</v>
      </c>
      <c r="O2027" s="3" t="str">
        <f>HYPERLINK("http://www.informatics.jax.org/marker/MGI:109299", "MGI:109299")</f>
        <v>MGI:109299</v>
      </c>
      <c r="P2027" t="s">
        <v>23427</v>
      </c>
      <c r="Q2027" t="s">
        <v>16415</v>
      </c>
      <c r="R2027" t="s">
        <v>19800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32</v>
      </c>
      <c r="Y2027" t="s">
        <v>618</v>
      </c>
      <c r="Z2027" t="s">
        <v>32</v>
      </c>
      <c r="AA2027" t="s">
        <v>20776</v>
      </c>
      <c r="AB2027" t="s">
        <v>23428</v>
      </c>
      <c r="AC2027" t="s">
        <v>23429</v>
      </c>
      <c r="AD2027" t="s">
        <v>32</v>
      </c>
      <c r="AE2027" t="s">
        <v>16422</v>
      </c>
      <c r="AF2027" t="s">
        <v>46835</v>
      </c>
    </row>
    <row r="2028" spans="1:33" x14ac:dyDescent="0.2">
      <c r="A2028">
        <v>2023</v>
      </c>
      <c r="B2028" t="s">
        <v>23430</v>
      </c>
      <c r="C2028" t="s">
        <v>23431</v>
      </c>
      <c r="D2028" t="s">
        <v>23432</v>
      </c>
      <c r="E2028" t="s">
        <v>23433</v>
      </c>
      <c r="F2028" t="s">
        <v>23434</v>
      </c>
      <c r="G2028" t="s">
        <v>23435</v>
      </c>
      <c r="H2028" t="str">
        <f>"Cpne3"</f>
        <v>Cpne3</v>
      </c>
      <c r="I2028" t="s">
        <v>23436</v>
      </c>
      <c r="J2028" t="s">
        <v>37</v>
      </c>
      <c r="K2028">
        <v>10090</v>
      </c>
      <c r="L2028" s="3" t="str">
        <f>HYPERLINK("http://www.uniprot.org/uniprot/Q8BT60", "Q8BT60")</f>
        <v>Q8BT60</v>
      </c>
      <c r="M2028" t="s">
        <v>23437</v>
      </c>
      <c r="N2028" t="str">
        <f>"Cpne3"</f>
        <v>Cpne3</v>
      </c>
      <c r="O2028" s="3" t="str">
        <f>HYPERLINK("http://www.informatics.jax.org/marker/MGI:1917818", "MGI:1917818")</f>
        <v>MGI:1917818</v>
      </c>
      <c r="P2028" t="s">
        <v>23438</v>
      </c>
      <c r="Q2028" t="s">
        <v>32</v>
      </c>
      <c r="R2028" t="s">
        <v>11087</v>
      </c>
      <c r="S2028" t="s">
        <v>32</v>
      </c>
      <c r="T2028" t="s">
        <v>32</v>
      </c>
      <c r="U2028" t="s">
        <v>32</v>
      </c>
      <c r="V2028" t="s">
        <v>55</v>
      </c>
      <c r="W2028" t="s">
        <v>188</v>
      </c>
      <c r="X2028" t="s">
        <v>32</v>
      </c>
      <c r="Y2028" t="s">
        <v>618</v>
      </c>
      <c r="Z2028" t="s">
        <v>32</v>
      </c>
      <c r="AA2028" t="s">
        <v>23439</v>
      </c>
      <c r="AB2028" t="s">
        <v>23440</v>
      </c>
      <c r="AC2028" t="s">
        <v>23441</v>
      </c>
      <c r="AD2028" t="s">
        <v>32</v>
      </c>
      <c r="AE2028" t="s">
        <v>23442</v>
      </c>
      <c r="AF2028" t="s">
        <v>46835</v>
      </c>
    </row>
    <row r="2029" spans="1:33" x14ac:dyDescent="0.2">
      <c r="A2029">
        <v>2024</v>
      </c>
      <c r="B2029" t="s">
        <v>23443</v>
      </c>
      <c r="C2029" t="s">
        <v>23444</v>
      </c>
      <c r="D2029" t="s">
        <v>23445</v>
      </c>
      <c r="E2029" t="s">
        <v>23446</v>
      </c>
      <c r="F2029" t="s">
        <v>23447</v>
      </c>
      <c r="G2029" t="s">
        <v>23448</v>
      </c>
      <c r="H2029" t="str">
        <f>"Atp6v0a1"</f>
        <v>Atp6v0a1</v>
      </c>
      <c r="I2029" t="s">
        <v>23449</v>
      </c>
      <c r="J2029" t="s">
        <v>37</v>
      </c>
      <c r="K2029">
        <v>10090</v>
      </c>
      <c r="L2029" s="3" t="str">
        <f>HYPERLINK("http://www.uniprot.org/uniprot/Q9Z1G4", "Q9Z1G4")</f>
        <v>Q9Z1G4</v>
      </c>
      <c r="M2029" t="s">
        <v>23450</v>
      </c>
      <c r="N2029" t="str">
        <f>"Atp6v0a1"</f>
        <v>Atp6v0a1</v>
      </c>
      <c r="O2029" s="3" t="str">
        <f>HYPERLINK("http://www.informatics.jax.org/marker/MGI:103286", "MGI:103286")</f>
        <v>MGI:103286</v>
      </c>
      <c r="P2029" t="s">
        <v>23451</v>
      </c>
      <c r="Q2029" t="s">
        <v>4257</v>
      </c>
      <c r="R2029" t="s">
        <v>10250</v>
      </c>
      <c r="S2029" t="s">
        <v>41</v>
      </c>
      <c r="T2029" t="s">
        <v>32</v>
      </c>
      <c r="U2029" t="s">
        <v>32</v>
      </c>
      <c r="V2029" t="s">
        <v>493</v>
      </c>
      <c r="W2029" t="s">
        <v>32</v>
      </c>
      <c r="X2029" t="s">
        <v>32</v>
      </c>
      <c r="Y2029" t="s">
        <v>618</v>
      </c>
      <c r="Z2029" t="s">
        <v>32</v>
      </c>
      <c r="AA2029" t="s">
        <v>23452</v>
      </c>
      <c r="AB2029" t="s">
        <v>23453</v>
      </c>
      <c r="AC2029" t="s">
        <v>13608</v>
      </c>
      <c r="AD2029" t="s">
        <v>32</v>
      </c>
      <c r="AE2029" t="s">
        <v>23454</v>
      </c>
      <c r="AF2029" t="s">
        <v>46835</v>
      </c>
    </row>
    <row r="2030" spans="1:33" x14ac:dyDescent="0.2">
      <c r="A2030">
        <v>2025</v>
      </c>
      <c r="B2030" t="s">
        <v>23455</v>
      </c>
      <c r="C2030" t="s">
        <v>47114</v>
      </c>
      <c r="D2030" t="s">
        <v>32</v>
      </c>
      <c r="E2030" t="s">
        <v>46946</v>
      </c>
      <c r="F2030" t="s">
        <v>46945</v>
      </c>
      <c r="G2030" t="s">
        <v>32</v>
      </c>
      <c r="H2030" t="s">
        <v>47245</v>
      </c>
      <c r="I2030" t="s">
        <v>32</v>
      </c>
      <c r="J2030" t="s">
        <v>37</v>
      </c>
      <c r="K2030">
        <v>10090</v>
      </c>
      <c r="L2030" s="3" t="str">
        <f>HYPERLINK(CONCATENATE("https://www.uniprot.org/uniprotkb/", AG2030, "/entry"), AG2030)</f>
        <v>Q9D358</v>
      </c>
      <c r="M2030" t="s">
        <v>32</v>
      </c>
      <c r="N2030" t="s">
        <v>32</v>
      </c>
      <c r="O2030" s="3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  <c r="AE2030" t="s">
        <v>32</v>
      </c>
      <c r="AF2030" t="s">
        <v>46835</v>
      </c>
      <c r="AG2030" t="s">
        <v>46945</v>
      </c>
    </row>
    <row r="2031" spans="1:33" x14ac:dyDescent="0.2">
      <c r="A2031">
        <v>2026</v>
      </c>
      <c r="B2031" t="s">
        <v>23456</v>
      </c>
      <c r="C2031" t="s">
        <v>23457</v>
      </c>
      <c r="D2031" t="s">
        <v>23458</v>
      </c>
      <c r="E2031" t="s">
        <v>23459</v>
      </c>
      <c r="F2031" t="s">
        <v>23460</v>
      </c>
      <c r="G2031" t="s">
        <v>23461</v>
      </c>
      <c r="H2031" t="str">
        <f>"Fam114a1"</f>
        <v>Fam114a1</v>
      </c>
      <c r="I2031" t="s">
        <v>23462</v>
      </c>
      <c r="J2031" t="s">
        <v>37</v>
      </c>
      <c r="K2031">
        <v>10090</v>
      </c>
      <c r="L2031" s="3" t="str">
        <f>HYPERLINK("http://www.uniprot.org/uniprot/Q9D281", "Q9D281")</f>
        <v>Q9D281</v>
      </c>
      <c r="M2031" t="s">
        <v>23463</v>
      </c>
      <c r="N2031" t="str">
        <f>"Fam114a1"</f>
        <v>Fam114a1</v>
      </c>
      <c r="O2031" s="3" t="str">
        <f>HYPERLINK("http://www.informatics.jax.org/marker/MGI:1915553", "MGI:1915553")</f>
        <v>MGI:1915553</v>
      </c>
      <c r="P2031" t="s">
        <v>21963</v>
      </c>
      <c r="Q2031" t="s">
        <v>32</v>
      </c>
      <c r="R2031" t="s">
        <v>418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32</v>
      </c>
      <c r="Y2031" t="s">
        <v>618</v>
      </c>
      <c r="Z2031" t="s">
        <v>32</v>
      </c>
      <c r="AA2031" t="s">
        <v>32</v>
      </c>
      <c r="AB2031" t="s">
        <v>23464</v>
      </c>
      <c r="AC2031" t="s">
        <v>32</v>
      </c>
      <c r="AD2031" t="s">
        <v>32</v>
      </c>
      <c r="AE2031" t="s">
        <v>32</v>
      </c>
      <c r="AF2031" t="s">
        <v>46835</v>
      </c>
    </row>
    <row r="2032" spans="1:33" x14ac:dyDescent="0.2">
      <c r="A2032">
        <v>2027</v>
      </c>
      <c r="B2032" t="s">
        <v>23465</v>
      </c>
      <c r="C2032" t="s">
        <v>23466</v>
      </c>
      <c r="D2032" t="s">
        <v>23467</v>
      </c>
      <c r="E2032" t="s">
        <v>23468</v>
      </c>
      <c r="F2032" t="s">
        <v>23469</v>
      </c>
      <c r="G2032" t="s">
        <v>23470</v>
      </c>
      <c r="H2032" t="str">
        <f>"Dpp8"</f>
        <v>Dpp8</v>
      </c>
      <c r="I2032" t="s">
        <v>32</v>
      </c>
      <c r="J2032" t="s">
        <v>37</v>
      </c>
      <c r="K2032">
        <v>10090</v>
      </c>
      <c r="L2032" s="3" t="str">
        <f>HYPERLINK("http://www.uniprot.org/uniprot/Q80YA7", "Q80YA7")</f>
        <v>Q80YA7</v>
      </c>
      <c r="M2032" t="s">
        <v>23471</v>
      </c>
      <c r="N2032" t="str">
        <f>"Dpp8"</f>
        <v>Dpp8</v>
      </c>
      <c r="O2032" s="3" t="str">
        <f>HYPERLINK("http://www.informatics.jax.org/marker/MGI:1921638", "MGI:1921638")</f>
        <v>MGI:1921638</v>
      </c>
      <c r="P2032" t="s">
        <v>23472</v>
      </c>
      <c r="Q2032" t="s">
        <v>32</v>
      </c>
      <c r="R2032" t="s">
        <v>418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5700</v>
      </c>
      <c r="Y2032" t="s">
        <v>32</v>
      </c>
      <c r="Z2032" t="s">
        <v>32</v>
      </c>
      <c r="AA2032" t="s">
        <v>4615</v>
      </c>
      <c r="AB2032" t="s">
        <v>1268</v>
      </c>
      <c r="AC2032" t="s">
        <v>23473</v>
      </c>
      <c r="AD2032" t="s">
        <v>32</v>
      </c>
      <c r="AE2032" t="s">
        <v>32</v>
      </c>
      <c r="AF2032" t="s">
        <v>46835</v>
      </c>
    </row>
    <row r="2033" spans="1:32" x14ac:dyDescent="0.2">
      <c r="A2033">
        <v>2028</v>
      </c>
      <c r="B2033" t="s">
        <v>23474</v>
      </c>
      <c r="C2033" t="s">
        <v>23475</v>
      </c>
      <c r="D2033" t="s">
        <v>23476</v>
      </c>
      <c r="E2033" t="s">
        <v>23477</v>
      </c>
      <c r="F2033" t="s">
        <v>23478</v>
      </c>
      <c r="G2033" t="s">
        <v>32</v>
      </c>
      <c r="H2033" t="str">
        <f>"Yy1"</f>
        <v>Yy1</v>
      </c>
      <c r="I2033" t="s">
        <v>23479</v>
      </c>
      <c r="J2033" t="s">
        <v>37</v>
      </c>
      <c r="K2033">
        <v>10090</v>
      </c>
      <c r="L2033" s="3" t="str">
        <f>HYPERLINK("http://www.uniprot.org/uniprot/Q00899", "Q00899")</f>
        <v>Q00899</v>
      </c>
      <c r="M2033" t="s">
        <v>23480</v>
      </c>
      <c r="N2033" t="str">
        <f>"Yy1"</f>
        <v>Yy1</v>
      </c>
      <c r="O2033" s="3" t="str">
        <f>HYPERLINK("http://www.informatics.jax.org/marker/MGI:99150", "MGI:99150")</f>
        <v>MGI:99150</v>
      </c>
      <c r="P2033" t="s">
        <v>23481</v>
      </c>
      <c r="Q2033" t="s">
        <v>23482</v>
      </c>
      <c r="R2033" t="s">
        <v>40</v>
      </c>
      <c r="S2033" t="s">
        <v>32</v>
      </c>
      <c r="T2033" t="s">
        <v>32</v>
      </c>
      <c r="U2033" t="s">
        <v>32</v>
      </c>
      <c r="V2033" t="s">
        <v>3791</v>
      </c>
      <c r="W2033" t="s">
        <v>42</v>
      </c>
      <c r="X2033" t="s">
        <v>17531</v>
      </c>
      <c r="Y2033" t="s">
        <v>23483</v>
      </c>
      <c r="Z2033" t="s">
        <v>32</v>
      </c>
      <c r="AA2033" t="s">
        <v>23484</v>
      </c>
      <c r="AB2033" t="s">
        <v>23485</v>
      </c>
      <c r="AC2033" t="s">
        <v>23486</v>
      </c>
      <c r="AD2033" t="s">
        <v>32</v>
      </c>
      <c r="AE2033" t="s">
        <v>23487</v>
      </c>
      <c r="AF2033" t="s">
        <v>46835</v>
      </c>
    </row>
    <row r="2034" spans="1:32" x14ac:dyDescent="0.2">
      <c r="A2034">
        <v>2029</v>
      </c>
      <c r="B2034" t="s">
        <v>23488</v>
      </c>
      <c r="C2034" t="s">
        <v>23489</v>
      </c>
      <c r="D2034" t="s">
        <v>23490</v>
      </c>
      <c r="E2034" t="s">
        <v>23491</v>
      </c>
      <c r="F2034" t="s">
        <v>23492</v>
      </c>
      <c r="G2034" t="s">
        <v>23493</v>
      </c>
      <c r="H2034" t="str">
        <f>"Ap2s1"</f>
        <v>Ap2s1</v>
      </c>
      <c r="I2034" t="s">
        <v>23494</v>
      </c>
      <c r="J2034" t="s">
        <v>37</v>
      </c>
      <c r="K2034">
        <v>10090</v>
      </c>
      <c r="L2034" s="3" t="str">
        <f>HYPERLINK("http://www.uniprot.org/uniprot/P62743", "P62743")</f>
        <v>P62743</v>
      </c>
      <c r="M2034" t="s">
        <v>23495</v>
      </c>
      <c r="N2034" t="str">
        <f>"Ap2s1"</f>
        <v>Ap2s1</v>
      </c>
      <c r="O2034" s="3" t="str">
        <f>HYPERLINK("http://www.informatics.jax.org/marker/MGI:2141861", "MGI:2141861")</f>
        <v>MGI:2141861</v>
      </c>
      <c r="P2034" t="s">
        <v>23496</v>
      </c>
      <c r="Q2034" t="s">
        <v>910</v>
      </c>
      <c r="R2034" t="s">
        <v>7022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618</v>
      </c>
      <c r="Z2034" t="s">
        <v>126</v>
      </c>
      <c r="AA2034" t="s">
        <v>23497</v>
      </c>
      <c r="AB2034" t="s">
        <v>23498</v>
      </c>
      <c r="AC2034" t="s">
        <v>16930</v>
      </c>
      <c r="AD2034" t="s">
        <v>32</v>
      </c>
      <c r="AE2034" t="s">
        <v>7026</v>
      </c>
      <c r="AF2034" t="s">
        <v>46835</v>
      </c>
    </row>
    <row r="2035" spans="1:32" x14ac:dyDescent="0.2">
      <c r="A2035">
        <v>2030</v>
      </c>
      <c r="B2035" t="s">
        <v>23499</v>
      </c>
      <c r="C2035" t="s">
        <v>23500</v>
      </c>
      <c r="D2035" t="s">
        <v>23501</v>
      </c>
      <c r="E2035" t="s">
        <v>23502</v>
      </c>
      <c r="F2035" t="s">
        <v>23503</v>
      </c>
      <c r="G2035" t="s">
        <v>23504</v>
      </c>
      <c r="H2035" t="str">
        <f>"Gtpbp4"</f>
        <v>Gtpbp4</v>
      </c>
      <c r="I2035" t="s">
        <v>23505</v>
      </c>
      <c r="J2035" t="s">
        <v>37</v>
      </c>
      <c r="K2035">
        <v>10090</v>
      </c>
      <c r="L2035" s="3" t="str">
        <f>HYPERLINK("http://www.uniprot.org/uniprot/Q99ME9", "Q99ME9")</f>
        <v>Q99ME9</v>
      </c>
      <c r="M2035" t="s">
        <v>23506</v>
      </c>
      <c r="N2035" t="str">
        <f>"Gtpbp4"</f>
        <v>Gtpbp4</v>
      </c>
      <c r="O2035" s="3" t="str">
        <f>HYPERLINK("http://www.informatics.jax.org/marker/MGI:1916487", "MGI:1916487")</f>
        <v>MGI:1916487</v>
      </c>
      <c r="P2035" t="s">
        <v>23507</v>
      </c>
      <c r="Q2035" t="s">
        <v>6400</v>
      </c>
      <c r="R2035" t="s">
        <v>2279</v>
      </c>
      <c r="S2035" t="s">
        <v>32</v>
      </c>
      <c r="T2035" t="s">
        <v>32</v>
      </c>
      <c r="U2035" t="s">
        <v>32</v>
      </c>
      <c r="V2035" t="s">
        <v>32</v>
      </c>
      <c r="W2035" t="s">
        <v>261</v>
      </c>
      <c r="X2035" t="s">
        <v>32</v>
      </c>
      <c r="Y2035" t="s">
        <v>516</v>
      </c>
      <c r="Z2035" t="s">
        <v>32</v>
      </c>
      <c r="AA2035" t="s">
        <v>23508</v>
      </c>
      <c r="AB2035" t="s">
        <v>23509</v>
      </c>
      <c r="AC2035" t="s">
        <v>23510</v>
      </c>
      <c r="AD2035" t="s">
        <v>32</v>
      </c>
      <c r="AE2035" t="s">
        <v>32</v>
      </c>
      <c r="AF2035" t="s">
        <v>46835</v>
      </c>
    </row>
    <row r="2036" spans="1:32" x14ac:dyDescent="0.2">
      <c r="A2036">
        <v>2031</v>
      </c>
      <c r="B2036" t="s">
        <v>23511</v>
      </c>
      <c r="C2036" t="s">
        <v>23512</v>
      </c>
      <c r="D2036" t="s">
        <v>32</v>
      </c>
      <c r="E2036" t="s">
        <v>23513</v>
      </c>
      <c r="F2036" t="s">
        <v>23514</v>
      </c>
      <c r="G2036" t="s">
        <v>23515</v>
      </c>
      <c r="H2036" t="str">
        <f>"Mrps22"</f>
        <v>Mrps22</v>
      </c>
      <c r="I2036" t="s">
        <v>23516</v>
      </c>
      <c r="J2036" t="s">
        <v>37</v>
      </c>
      <c r="K2036">
        <v>10090</v>
      </c>
      <c r="L2036" s="3" t="str">
        <f>HYPERLINK("http://www.uniprot.org/uniprot/Q9CXW2", "Q9CXW2")</f>
        <v>Q9CXW2</v>
      </c>
      <c r="M2036" t="s">
        <v>23517</v>
      </c>
      <c r="N2036" t="str">
        <f>"Mrps22"</f>
        <v>Mrps22</v>
      </c>
      <c r="O2036" s="3" t="str">
        <f>HYPERLINK("http://www.informatics.jax.org/marker/MGI:1928137", "MGI:1928137")</f>
        <v>MGI:1928137</v>
      </c>
      <c r="P2036" t="s">
        <v>23518</v>
      </c>
      <c r="Q2036" t="s">
        <v>32</v>
      </c>
      <c r="R2036" t="s">
        <v>1038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447</v>
      </c>
      <c r="Y2036" t="s">
        <v>157</v>
      </c>
      <c r="Z2036" t="s">
        <v>32</v>
      </c>
      <c r="AA2036" t="s">
        <v>23519</v>
      </c>
      <c r="AB2036" t="s">
        <v>23520</v>
      </c>
      <c r="AC2036" t="s">
        <v>1010</v>
      </c>
      <c r="AD2036" t="s">
        <v>32</v>
      </c>
      <c r="AE2036" t="s">
        <v>17271</v>
      </c>
      <c r="AF2036" t="s">
        <v>46835</v>
      </c>
    </row>
    <row r="2037" spans="1:32" x14ac:dyDescent="0.2">
      <c r="A2037">
        <v>2032</v>
      </c>
      <c r="B2037" t="s">
        <v>23521</v>
      </c>
      <c r="C2037" t="s">
        <v>23522</v>
      </c>
      <c r="D2037" t="s">
        <v>23523</v>
      </c>
      <c r="E2037" t="s">
        <v>23524</v>
      </c>
      <c r="F2037" t="s">
        <v>23525</v>
      </c>
      <c r="G2037" t="s">
        <v>23526</v>
      </c>
      <c r="H2037" t="str">
        <f>"Pgam5"</f>
        <v>Pgam5</v>
      </c>
      <c r="I2037" t="s">
        <v>32</v>
      </c>
      <c r="J2037" t="s">
        <v>37</v>
      </c>
      <c r="K2037">
        <v>10090</v>
      </c>
      <c r="L2037" s="3" t="str">
        <f>HYPERLINK("http://www.uniprot.org/uniprot/Q8BX10", "Q8BX10")</f>
        <v>Q8BX10</v>
      </c>
      <c r="M2037" t="s">
        <v>23527</v>
      </c>
      <c r="N2037" t="str">
        <f>"Pgam5"</f>
        <v>Pgam5</v>
      </c>
      <c r="O2037" s="3" t="str">
        <f>HYPERLINK("http://www.informatics.jax.org/marker/MGI:1919792", "MGI:1919792")</f>
        <v>MGI:1919792</v>
      </c>
      <c r="P2037" t="s">
        <v>23528</v>
      </c>
      <c r="Q2037" t="s">
        <v>23529</v>
      </c>
      <c r="R2037" t="s">
        <v>4782</v>
      </c>
      <c r="S2037" t="s">
        <v>41</v>
      </c>
      <c r="T2037" t="s">
        <v>32</v>
      </c>
      <c r="U2037" t="s">
        <v>32</v>
      </c>
      <c r="V2037" t="s">
        <v>493</v>
      </c>
      <c r="W2037" t="s">
        <v>32</v>
      </c>
      <c r="X2037" t="s">
        <v>343</v>
      </c>
      <c r="Y2037" t="s">
        <v>157</v>
      </c>
      <c r="Z2037" t="s">
        <v>32</v>
      </c>
      <c r="AA2037" t="s">
        <v>23530</v>
      </c>
      <c r="AB2037" t="s">
        <v>19369</v>
      </c>
      <c r="AC2037" t="s">
        <v>23531</v>
      </c>
      <c r="AD2037" t="s">
        <v>32</v>
      </c>
      <c r="AE2037" t="s">
        <v>23532</v>
      </c>
      <c r="AF2037" t="s">
        <v>46835</v>
      </c>
    </row>
    <row r="2038" spans="1:32" x14ac:dyDescent="0.2">
      <c r="A2038">
        <v>2033</v>
      </c>
      <c r="B2038" t="s">
        <v>23533</v>
      </c>
      <c r="C2038" t="s">
        <v>23534</v>
      </c>
      <c r="D2038" t="s">
        <v>23535</v>
      </c>
      <c r="E2038" t="s">
        <v>23536</v>
      </c>
      <c r="F2038" t="s">
        <v>23537</v>
      </c>
      <c r="G2038" t="s">
        <v>23538</v>
      </c>
      <c r="H2038" t="str">
        <f>"Snca"</f>
        <v>Snca</v>
      </c>
      <c r="I2038" t="s">
        <v>23539</v>
      </c>
      <c r="J2038" t="s">
        <v>37</v>
      </c>
      <c r="K2038">
        <v>10090</v>
      </c>
      <c r="L2038" s="3" t="str">
        <f>HYPERLINK("http://www.uniprot.org/uniprot/O55042", "O55042")</f>
        <v>O55042</v>
      </c>
      <c r="M2038" t="s">
        <v>23540</v>
      </c>
      <c r="N2038" t="str">
        <f>"Snca"</f>
        <v>Snca</v>
      </c>
      <c r="O2038" s="3" t="str">
        <f>HYPERLINK("http://www.informatics.jax.org/marker/MGI:1277151", "MGI:1277151")</f>
        <v>MGI:1277151</v>
      </c>
      <c r="P2038" t="s">
        <v>23541</v>
      </c>
      <c r="Q2038" t="s">
        <v>32</v>
      </c>
      <c r="R2038" t="s">
        <v>23542</v>
      </c>
      <c r="S2038" t="s">
        <v>41</v>
      </c>
      <c r="T2038" t="s">
        <v>32</v>
      </c>
      <c r="U2038" t="s">
        <v>32</v>
      </c>
      <c r="V2038" t="s">
        <v>55</v>
      </c>
      <c r="W2038" t="s">
        <v>11627</v>
      </c>
      <c r="X2038" t="s">
        <v>32</v>
      </c>
      <c r="Y2038" t="s">
        <v>1023</v>
      </c>
      <c r="Z2038" t="s">
        <v>32</v>
      </c>
      <c r="AA2038" t="s">
        <v>23543</v>
      </c>
      <c r="AB2038" t="s">
        <v>23544</v>
      </c>
      <c r="AC2038" t="s">
        <v>23545</v>
      </c>
      <c r="AD2038" t="s">
        <v>32</v>
      </c>
      <c r="AE2038" t="s">
        <v>32</v>
      </c>
      <c r="AF2038" t="s">
        <v>46835</v>
      </c>
    </row>
    <row r="2039" spans="1:32" x14ac:dyDescent="0.2">
      <c r="A2039">
        <v>2034</v>
      </c>
      <c r="B2039" t="s">
        <v>23546</v>
      </c>
      <c r="C2039" t="s">
        <v>23547</v>
      </c>
      <c r="D2039" t="s">
        <v>23548</v>
      </c>
      <c r="E2039" t="s">
        <v>23549</v>
      </c>
      <c r="F2039" t="s">
        <v>23550</v>
      </c>
      <c r="G2039" t="s">
        <v>23551</v>
      </c>
      <c r="H2039" t="str">
        <f>"Ciapin1"</f>
        <v>Ciapin1</v>
      </c>
      <c r="I2039" t="s">
        <v>32</v>
      </c>
      <c r="J2039" t="s">
        <v>37</v>
      </c>
      <c r="K2039">
        <v>10090</v>
      </c>
      <c r="L2039" s="3" t="str">
        <f>HYPERLINK("http://www.uniprot.org/uniprot/Q8WTY4", "Q8WTY4")</f>
        <v>Q8WTY4</v>
      </c>
      <c r="M2039" t="s">
        <v>23552</v>
      </c>
      <c r="N2039" t="str">
        <f>"Ciapin1"</f>
        <v>Ciapin1</v>
      </c>
      <c r="O2039" s="3" t="str">
        <f>HYPERLINK("http://www.informatics.jax.org/marker/MGI:1922083", "MGI:1922083")</f>
        <v>MGI:1922083</v>
      </c>
      <c r="P2039" t="s">
        <v>23553</v>
      </c>
      <c r="Q2039" t="s">
        <v>541</v>
      </c>
      <c r="R2039" t="s">
        <v>1021</v>
      </c>
      <c r="S2039" t="s">
        <v>32</v>
      </c>
      <c r="T2039" t="s">
        <v>32</v>
      </c>
      <c r="U2039" t="s">
        <v>32</v>
      </c>
      <c r="V2039" t="s">
        <v>32</v>
      </c>
      <c r="W2039" t="s">
        <v>23554</v>
      </c>
      <c r="X2039" t="s">
        <v>32</v>
      </c>
      <c r="Y2039" t="s">
        <v>618</v>
      </c>
      <c r="Z2039" t="s">
        <v>32</v>
      </c>
      <c r="AA2039" t="s">
        <v>23555</v>
      </c>
      <c r="AB2039" t="s">
        <v>23556</v>
      </c>
      <c r="AC2039" t="s">
        <v>23557</v>
      </c>
      <c r="AD2039" t="s">
        <v>32</v>
      </c>
      <c r="AE2039" t="s">
        <v>32</v>
      </c>
      <c r="AF2039" t="s">
        <v>46835</v>
      </c>
    </row>
    <row r="2040" spans="1:32" x14ac:dyDescent="0.2">
      <c r="A2040">
        <v>2035</v>
      </c>
      <c r="B2040" t="s">
        <v>23558</v>
      </c>
      <c r="C2040" t="s">
        <v>23559</v>
      </c>
      <c r="D2040" t="s">
        <v>23560</v>
      </c>
      <c r="E2040" t="s">
        <v>23561</v>
      </c>
      <c r="F2040" t="s">
        <v>23562</v>
      </c>
      <c r="G2040" t="s">
        <v>23563</v>
      </c>
      <c r="H2040" t="str">
        <f>"Rabep2"</f>
        <v>Rabep2</v>
      </c>
      <c r="I2040" t="s">
        <v>23564</v>
      </c>
      <c r="J2040" t="s">
        <v>37</v>
      </c>
      <c r="K2040">
        <v>10090</v>
      </c>
      <c r="L2040" s="3" t="str">
        <f>HYPERLINK("http://www.uniprot.org/uniprot/Q91WG2", "Q91WG2")</f>
        <v>Q91WG2</v>
      </c>
      <c r="M2040" t="s">
        <v>23565</v>
      </c>
      <c r="N2040" t="str">
        <f>"Rabep2"</f>
        <v>Rabep2</v>
      </c>
      <c r="O2040" s="3" t="str">
        <f>HYPERLINK("http://www.informatics.jax.org/marker/MGI:1917564", "MGI:1917564")</f>
        <v>MGI:1917564</v>
      </c>
      <c r="P2040" t="s">
        <v>23566</v>
      </c>
      <c r="Q2040" t="s">
        <v>23567</v>
      </c>
      <c r="R2040" t="s">
        <v>23568</v>
      </c>
      <c r="S2040" t="s">
        <v>41</v>
      </c>
      <c r="T2040" t="s">
        <v>32</v>
      </c>
      <c r="U2040" t="s">
        <v>32</v>
      </c>
      <c r="V2040" t="s">
        <v>290</v>
      </c>
      <c r="W2040" t="s">
        <v>32</v>
      </c>
      <c r="X2040" t="s">
        <v>32</v>
      </c>
      <c r="Y2040" t="s">
        <v>618</v>
      </c>
      <c r="Z2040" t="s">
        <v>32</v>
      </c>
      <c r="AA2040" t="s">
        <v>23569</v>
      </c>
      <c r="AB2040" t="s">
        <v>23570</v>
      </c>
      <c r="AC2040" t="s">
        <v>23571</v>
      </c>
      <c r="AD2040" t="s">
        <v>32</v>
      </c>
      <c r="AE2040" t="s">
        <v>32</v>
      </c>
      <c r="AF2040" t="s">
        <v>46835</v>
      </c>
    </row>
    <row r="2041" spans="1:32" x14ac:dyDescent="0.2">
      <c r="A2041">
        <v>2036</v>
      </c>
      <c r="B2041" t="s">
        <v>23572</v>
      </c>
      <c r="C2041" t="s">
        <v>23573</v>
      </c>
      <c r="D2041" t="s">
        <v>23574</v>
      </c>
      <c r="E2041" t="s">
        <v>23575</v>
      </c>
      <c r="F2041" t="s">
        <v>23576</v>
      </c>
      <c r="G2041" t="s">
        <v>32</v>
      </c>
      <c r="H2041" t="str">
        <f>"Plod1"</f>
        <v>Plod1</v>
      </c>
      <c r="I2041" t="s">
        <v>23577</v>
      </c>
      <c r="J2041" t="s">
        <v>37</v>
      </c>
      <c r="K2041">
        <v>10090</v>
      </c>
      <c r="L2041" s="3" t="str">
        <f>HYPERLINK("http://www.uniprot.org/uniprot/Q9R0E2", "Q9R0E2")</f>
        <v>Q9R0E2</v>
      </c>
      <c r="M2041" t="s">
        <v>23578</v>
      </c>
      <c r="N2041" t="str">
        <f>"Plod1"</f>
        <v>Plod1</v>
      </c>
      <c r="O2041" s="3" t="str">
        <f>HYPERLINK("http://www.informatics.jax.org/marker/MGI:99907", "MGI:99907")</f>
        <v>MGI:99907</v>
      </c>
      <c r="P2041" t="s">
        <v>23579</v>
      </c>
      <c r="Q2041" t="s">
        <v>32</v>
      </c>
      <c r="R2041" t="s">
        <v>1664</v>
      </c>
      <c r="S2041" t="s">
        <v>32</v>
      </c>
      <c r="T2041" t="s">
        <v>32</v>
      </c>
      <c r="U2041" t="s">
        <v>32</v>
      </c>
      <c r="V2041" t="s">
        <v>811</v>
      </c>
      <c r="W2041" t="s">
        <v>3731</v>
      </c>
      <c r="X2041" t="s">
        <v>3732</v>
      </c>
      <c r="Y2041" t="s">
        <v>3733</v>
      </c>
      <c r="Z2041" t="s">
        <v>32</v>
      </c>
      <c r="AA2041" t="s">
        <v>23580</v>
      </c>
      <c r="AB2041" t="s">
        <v>23581</v>
      </c>
      <c r="AC2041" t="s">
        <v>23582</v>
      </c>
      <c r="AD2041" t="s">
        <v>32</v>
      </c>
      <c r="AE2041" t="s">
        <v>2061</v>
      </c>
      <c r="AF2041" t="s">
        <v>46835</v>
      </c>
    </row>
    <row r="2042" spans="1:32" x14ac:dyDescent="0.2">
      <c r="A2042">
        <v>2037</v>
      </c>
      <c r="B2042" t="s">
        <v>23583</v>
      </c>
      <c r="C2042" t="s">
        <v>23584</v>
      </c>
      <c r="D2042" t="s">
        <v>32</v>
      </c>
      <c r="E2042" t="s">
        <v>23585</v>
      </c>
      <c r="F2042" t="s">
        <v>23586</v>
      </c>
      <c r="G2042" t="s">
        <v>23587</v>
      </c>
      <c r="H2042" t="str">
        <f>"Chid1"</f>
        <v>Chid1</v>
      </c>
      <c r="I2042" t="s">
        <v>32</v>
      </c>
      <c r="J2042" t="s">
        <v>37</v>
      </c>
      <c r="K2042">
        <v>10090</v>
      </c>
      <c r="L2042" s="3" t="str">
        <f>HYPERLINK("http://www.uniprot.org/uniprot/Q922Q9", "Q922Q9")</f>
        <v>Q922Q9</v>
      </c>
      <c r="M2042" t="s">
        <v>23588</v>
      </c>
      <c r="N2042" t="str">
        <f>"Chid1"</f>
        <v>Chid1</v>
      </c>
      <c r="O2042" s="3" t="str">
        <f>HYPERLINK("http://www.informatics.jax.org/marker/MGI:1915288", "MGI:1915288")</f>
        <v>MGI:1915288</v>
      </c>
      <c r="P2042" t="s">
        <v>23589</v>
      </c>
      <c r="Q2042" t="s">
        <v>5475</v>
      </c>
      <c r="R2042" t="s">
        <v>5274</v>
      </c>
      <c r="S2042" t="s">
        <v>41</v>
      </c>
      <c r="T2042" t="s">
        <v>32</v>
      </c>
      <c r="U2042" t="s">
        <v>32</v>
      </c>
      <c r="V2042" t="s">
        <v>811</v>
      </c>
      <c r="W2042" t="s">
        <v>32</v>
      </c>
      <c r="X2042" t="s">
        <v>32</v>
      </c>
      <c r="Y2042" t="s">
        <v>32</v>
      </c>
      <c r="Z2042" t="s">
        <v>32</v>
      </c>
      <c r="AA2042" t="s">
        <v>23590</v>
      </c>
      <c r="AB2042" t="s">
        <v>23591</v>
      </c>
      <c r="AC2042" t="s">
        <v>23592</v>
      </c>
      <c r="AD2042" t="s">
        <v>32</v>
      </c>
      <c r="AE2042" t="s">
        <v>2235</v>
      </c>
      <c r="AF2042" t="s">
        <v>46835</v>
      </c>
    </row>
    <row r="2043" spans="1:32" x14ac:dyDescent="0.2">
      <c r="A2043">
        <v>2038</v>
      </c>
      <c r="B2043" t="s">
        <v>23593</v>
      </c>
      <c r="C2043" t="s">
        <v>23594</v>
      </c>
      <c r="D2043" t="s">
        <v>23595</v>
      </c>
      <c r="E2043" t="s">
        <v>23596</v>
      </c>
      <c r="F2043" t="s">
        <v>23597</v>
      </c>
      <c r="G2043" t="s">
        <v>23598</v>
      </c>
      <c r="H2043" t="str">
        <f>"Srsf10"</f>
        <v>Srsf10</v>
      </c>
      <c r="I2043" t="s">
        <v>23599</v>
      </c>
      <c r="J2043" t="s">
        <v>37</v>
      </c>
      <c r="K2043">
        <v>10090</v>
      </c>
      <c r="L2043" s="3" t="str">
        <f>HYPERLINK("http://www.uniprot.org/uniprot/Q9R0U0", "Q9R0U0")</f>
        <v>Q9R0U0</v>
      </c>
      <c r="M2043" t="s">
        <v>23600</v>
      </c>
      <c r="N2043" t="str">
        <f>"Srsf10"</f>
        <v>Srsf10</v>
      </c>
      <c r="O2043" s="3" t="str">
        <f>HYPERLINK("http://www.informatics.jax.org/marker/MGI:1333805", "MGI:1333805")</f>
        <v>MGI:1333805</v>
      </c>
      <c r="P2043" t="s">
        <v>23601</v>
      </c>
      <c r="Q2043" t="s">
        <v>2139</v>
      </c>
      <c r="R2043" t="s">
        <v>2279</v>
      </c>
      <c r="S2043" t="s">
        <v>41</v>
      </c>
      <c r="T2043" t="s">
        <v>32</v>
      </c>
      <c r="U2043" t="s">
        <v>32</v>
      </c>
      <c r="V2043" t="s">
        <v>32</v>
      </c>
      <c r="W2043" t="s">
        <v>32</v>
      </c>
      <c r="X2043" t="s">
        <v>1282</v>
      </c>
      <c r="Y2043" t="s">
        <v>618</v>
      </c>
      <c r="Z2043" t="s">
        <v>32</v>
      </c>
      <c r="AA2043" t="s">
        <v>23602</v>
      </c>
      <c r="AB2043" t="s">
        <v>23603</v>
      </c>
      <c r="AC2043" t="s">
        <v>23604</v>
      </c>
      <c r="AD2043" t="s">
        <v>32</v>
      </c>
      <c r="AE2043" t="s">
        <v>32</v>
      </c>
      <c r="AF2043" t="s">
        <v>46835</v>
      </c>
    </row>
    <row r="2044" spans="1:32" x14ac:dyDescent="0.2">
      <c r="A2044">
        <v>2039</v>
      </c>
      <c r="B2044" t="s">
        <v>23605</v>
      </c>
      <c r="C2044" t="s">
        <v>23606</v>
      </c>
      <c r="D2044" t="s">
        <v>32</v>
      </c>
      <c r="E2044" t="s">
        <v>23607</v>
      </c>
      <c r="F2044" t="s">
        <v>23608</v>
      </c>
      <c r="G2044" t="s">
        <v>23609</v>
      </c>
      <c r="H2044" t="str">
        <f>"Tollip"</f>
        <v>Tollip</v>
      </c>
      <c r="I2044" t="s">
        <v>32</v>
      </c>
      <c r="J2044" t="s">
        <v>37</v>
      </c>
      <c r="K2044">
        <v>10090</v>
      </c>
      <c r="L2044" s="3" t="str">
        <f>HYPERLINK("http://www.uniprot.org/uniprot/Q9QZ06", "Q9QZ06")</f>
        <v>Q9QZ06</v>
      </c>
      <c r="M2044" t="s">
        <v>23610</v>
      </c>
      <c r="N2044" t="str">
        <f>"Tollip"</f>
        <v>Tollip</v>
      </c>
      <c r="O2044" s="3" t="str">
        <f>HYPERLINK("http://www.informatics.jax.org/marker/MGI:1891808", "MGI:1891808")</f>
        <v>MGI:1891808</v>
      </c>
      <c r="P2044" t="s">
        <v>23611</v>
      </c>
      <c r="Q2044" t="s">
        <v>23612</v>
      </c>
      <c r="R2044" t="s">
        <v>23613</v>
      </c>
      <c r="S2044" t="s">
        <v>32</v>
      </c>
      <c r="T2044" t="s">
        <v>32</v>
      </c>
      <c r="U2044" t="s">
        <v>32</v>
      </c>
      <c r="V2044" t="s">
        <v>55</v>
      </c>
      <c r="W2044" t="s">
        <v>32</v>
      </c>
      <c r="X2044" t="s">
        <v>32</v>
      </c>
      <c r="Y2044" t="s">
        <v>157</v>
      </c>
      <c r="Z2044" t="s">
        <v>32</v>
      </c>
      <c r="AA2044" t="s">
        <v>23614</v>
      </c>
      <c r="AB2044" t="s">
        <v>23615</v>
      </c>
      <c r="AC2044" t="s">
        <v>23616</v>
      </c>
      <c r="AD2044" t="s">
        <v>32</v>
      </c>
      <c r="AE2044" t="s">
        <v>23617</v>
      </c>
      <c r="AF2044" t="s">
        <v>46835</v>
      </c>
    </row>
    <row r="2045" spans="1:32" x14ac:dyDescent="0.2">
      <c r="A2045">
        <v>2040</v>
      </c>
      <c r="B2045" t="s">
        <v>23618</v>
      </c>
      <c r="C2045" t="s">
        <v>23619</v>
      </c>
      <c r="D2045" t="s">
        <v>23620</v>
      </c>
      <c r="E2045" t="s">
        <v>23621</v>
      </c>
      <c r="F2045" t="s">
        <v>23622</v>
      </c>
      <c r="G2045" t="s">
        <v>23623</v>
      </c>
      <c r="H2045" t="str">
        <f>"Dctn5"</f>
        <v>Dctn5</v>
      </c>
      <c r="I2045" t="s">
        <v>32</v>
      </c>
      <c r="J2045" t="s">
        <v>37</v>
      </c>
      <c r="K2045">
        <v>10090</v>
      </c>
      <c r="L2045" s="3" t="str">
        <f>HYPERLINK("http://www.uniprot.org/uniprot/Q9QZB9", "Q9QZB9")</f>
        <v>Q9QZB9</v>
      </c>
      <c r="M2045" t="s">
        <v>23624</v>
      </c>
      <c r="N2045" t="str">
        <f>"Dctn5"</f>
        <v>Dctn5</v>
      </c>
      <c r="O2045" s="3" t="str">
        <f>HYPERLINK("http://www.informatics.jax.org/marker/MGI:1891689", "MGI:1891689")</f>
        <v>MGI:1891689</v>
      </c>
      <c r="P2045" t="s">
        <v>23625</v>
      </c>
      <c r="Q2045" t="s">
        <v>32</v>
      </c>
      <c r="R2045" t="s">
        <v>4919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32</v>
      </c>
      <c r="Y2045" t="s">
        <v>78</v>
      </c>
      <c r="Z2045" t="s">
        <v>32</v>
      </c>
      <c r="AA2045" t="s">
        <v>23626</v>
      </c>
      <c r="AB2045" t="s">
        <v>23627</v>
      </c>
      <c r="AC2045" t="s">
        <v>32</v>
      </c>
      <c r="AD2045" t="s">
        <v>32</v>
      </c>
      <c r="AE2045" t="s">
        <v>17986</v>
      </c>
      <c r="AF2045" t="s">
        <v>46835</v>
      </c>
    </row>
    <row r="2046" spans="1:32" x14ac:dyDescent="0.2">
      <c r="A2046">
        <v>2041</v>
      </c>
      <c r="B2046" t="s">
        <v>23628</v>
      </c>
      <c r="C2046" t="s">
        <v>23629</v>
      </c>
      <c r="D2046" t="s">
        <v>23630</v>
      </c>
      <c r="E2046" t="s">
        <v>23631</v>
      </c>
      <c r="F2046" t="s">
        <v>23632</v>
      </c>
      <c r="G2046" t="s">
        <v>32</v>
      </c>
      <c r="H2046" t="str">
        <f>"Plpbp"</f>
        <v>Plpbp</v>
      </c>
      <c r="I2046" t="s">
        <v>32</v>
      </c>
      <c r="J2046" t="s">
        <v>37</v>
      </c>
      <c r="K2046">
        <v>10090</v>
      </c>
      <c r="L2046" s="3" t="str">
        <f>HYPERLINK("http://www.uniprot.org/uniprot/Q9Z2Y8", "Q9Z2Y8")</f>
        <v>Q9Z2Y8</v>
      </c>
      <c r="M2046" t="s">
        <v>23633</v>
      </c>
      <c r="N2046" t="str">
        <f>"Plpbp"</f>
        <v>Plpbp</v>
      </c>
      <c r="O2046" s="3" t="str">
        <f>HYPERLINK("http://www.informatics.jax.org/marker/MGI:1891207", "MGI:1891207")</f>
        <v>MGI:1891207</v>
      </c>
      <c r="P2046" t="s">
        <v>23634</v>
      </c>
      <c r="Q2046" t="s">
        <v>32</v>
      </c>
      <c r="R2046" t="s">
        <v>32</v>
      </c>
      <c r="S2046" t="s">
        <v>32</v>
      </c>
      <c r="T2046" t="s">
        <v>32</v>
      </c>
      <c r="U2046" t="s">
        <v>32</v>
      </c>
      <c r="V2046" t="s">
        <v>32</v>
      </c>
      <c r="W2046" t="s">
        <v>3373</v>
      </c>
      <c r="X2046" t="s">
        <v>32</v>
      </c>
      <c r="Y2046" t="s">
        <v>618</v>
      </c>
      <c r="Z2046" t="s">
        <v>32</v>
      </c>
      <c r="AA2046" t="s">
        <v>32</v>
      </c>
      <c r="AB2046" t="s">
        <v>5676</v>
      </c>
      <c r="AC2046" t="s">
        <v>23635</v>
      </c>
      <c r="AD2046" t="s">
        <v>32</v>
      </c>
      <c r="AE2046" t="s">
        <v>32</v>
      </c>
      <c r="AF2046" t="s">
        <v>46835</v>
      </c>
    </row>
    <row r="2047" spans="1:32" x14ac:dyDescent="0.2">
      <c r="A2047">
        <v>2042</v>
      </c>
      <c r="B2047" t="s">
        <v>23636</v>
      </c>
      <c r="C2047" t="s">
        <v>23637</v>
      </c>
      <c r="D2047" t="s">
        <v>23638</v>
      </c>
      <c r="E2047" t="s">
        <v>23639</v>
      </c>
      <c r="F2047" t="s">
        <v>23640</v>
      </c>
      <c r="G2047" t="s">
        <v>32</v>
      </c>
      <c r="H2047" t="str">
        <f>"Atp6v1g1"</f>
        <v>Atp6v1g1</v>
      </c>
      <c r="I2047" t="s">
        <v>23641</v>
      </c>
      <c r="J2047" t="s">
        <v>37</v>
      </c>
      <c r="K2047">
        <v>10090</v>
      </c>
      <c r="L2047" s="3" t="str">
        <f>HYPERLINK("http://www.uniprot.org/uniprot/Q9CR51", "Q9CR51")</f>
        <v>Q9CR51</v>
      </c>
      <c r="M2047" t="s">
        <v>23642</v>
      </c>
      <c r="N2047" t="str">
        <f>"Atp6v1g1"</f>
        <v>Atp6v1g1</v>
      </c>
      <c r="O2047" s="3" t="str">
        <f>HYPERLINK("http://www.informatics.jax.org/marker/MGI:1913540", "MGI:1913540")</f>
        <v>MGI:1913540</v>
      </c>
      <c r="P2047" t="s">
        <v>23643</v>
      </c>
      <c r="Q2047" t="s">
        <v>4257</v>
      </c>
      <c r="R2047" t="s">
        <v>2474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32</v>
      </c>
      <c r="Y2047" t="s">
        <v>78</v>
      </c>
      <c r="Z2047" t="s">
        <v>32</v>
      </c>
      <c r="AA2047" t="s">
        <v>23644</v>
      </c>
      <c r="AB2047" t="s">
        <v>23645</v>
      </c>
      <c r="AC2047" t="s">
        <v>23646</v>
      </c>
      <c r="AD2047" t="s">
        <v>32</v>
      </c>
      <c r="AE2047" t="s">
        <v>6963</v>
      </c>
      <c r="AF2047" t="s">
        <v>46835</v>
      </c>
    </row>
    <row r="2048" spans="1:32" x14ac:dyDescent="0.2">
      <c r="A2048">
        <v>2043</v>
      </c>
      <c r="B2048" t="s">
        <v>23647</v>
      </c>
      <c r="C2048" t="s">
        <v>23648</v>
      </c>
      <c r="D2048" t="s">
        <v>23649</v>
      </c>
      <c r="E2048" t="s">
        <v>23650</v>
      </c>
      <c r="F2048" t="s">
        <v>23651</v>
      </c>
      <c r="G2048" t="s">
        <v>23652</v>
      </c>
      <c r="H2048" t="str">
        <f>"Fip1l1"</f>
        <v>Fip1l1</v>
      </c>
      <c r="I2048" t="s">
        <v>32</v>
      </c>
      <c r="J2048" t="s">
        <v>37</v>
      </c>
      <c r="K2048">
        <v>10090</v>
      </c>
      <c r="L2048" s="3" t="str">
        <f>HYPERLINK("http://www.uniprot.org/uniprot/Q9D824", "Q9D824")</f>
        <v>Q9D824</v>
      </c>
      <c r="M2048" t="s">
        <v>23653</v>
      </c>
      <c r="N2048" t="str">
        <f>"Fip1l1"</f>
        <v>Fip1l1</v>
      </c>
      <c r="O2048" s="3" t="str">
        <f>HYPERLINK("http://www.informatics.jax.org/marker/MGI:1914149", "MGI:1914149")</f>
        <v>MGI:1914149</v>
      </c>
      <c r="P2048" t="s">
        <v>23654</v>
      </c>
      <c r="Q2048" t="s">
        <v>16601</v>
      </c>
      <c r="R2048" t="s">
        <v>2279</v>
      </c>
      <c r="S2048" t="s">
        <v>41</v>
      </c>
      <c r="T2048" t="s">
        <v>32</v>
      </c>
      <c r="U2048" t="s">
        <v>32</v>
      </c>
      <c r="V2048" t="s">
        <v>32</v>
      </c>
      <c r="W2048" t="s">
        <v>32</v>
      </c>
      <c r="X2048" t="s">
        <v>1282</v>
      </c>
      <c r="Y2048" t="s">
        <v>618</v>
      </c>
      <c r="Z2048" t="s">
        <v>32</v>
      </c>
      <c r="AA2048" t="s">
        <v>23655</v>
      </c>
      <c r="AB2048" t="s">
        <v>23656</v>
      </c>
      <c r="AC2048" t="s">
        <v>4711</v>
      </c>
      <c r="AD2048" t="s">
        <v>32</v>
      </c>
      <c r="AE2048" t="s">
        <v>23657</v>
      </c>
      <c r="AF2048" t="s">
        <v>46835</v>
      </c>
    </row>
    <row r="2049" spans="1:32" x14ac:dyDescent="0.2">
      <c r="A2049">
        <v>2044</v>
      </c>
      <c r="B2049" t="s">
        <v>23658</v>
      </c>
      <c r="C2049" t="s">
        <v>23659</v>
      </c>
      <c r="D2049" t="s">
        <v>23660</v>
      </c>
      <c r="E2049" t="s">
        <v>23661</v>
      </c>
      <c r="F2049" t="s">
        <v>23662</v>
      </c>
      <c r="G2049" t="s">
        <v>23663</v>
      </c>
      <c r="H2049" t="str">
        <f>"Pde2a"</f>
        <v>Pde2a</v>
      </c>
      <c r="I2049" t="s">
        <v>32</v>
      </c>
      <c r="J2049" t="s">
        <v>37</v>
      </c>
      <c r="K2049">
        <v>10090</v>
      </c>
      <c r="L2049" s="3" t="str">
        <f>HYPERLINK("http://www.uniprot.org/uniprot/Q922S4", "Q922S4")</f>
        <v>Q922S4</v>
      </c>
      <c r="M2049" t="s">
        <v>23664</v>
      </c>
      <c r="N2049" t="str">
        <f>"Pde2a"</f>
        <v>Pde2a</v>
      </c>
      <c r="O2049" s="3" t="str">
        <f>HYPERLINK("http://www.informatics.jax.org/marker/MGI:2446107", "MGI:2446107")</f>
        <v>MGI:2446107</v>
      </c>
      <c r="P2049" t="s">
        <v>23665</v>
      </c>
      <c r="Q2049" t="s">
        <v>32</v>
      </c>
      <c r="R2049" t="s">
        <v>23666</v>
      </c>
      <c r="S2049" t="s">
        <v>41</v>
      </c>
      <c r="T2049" t="s">
        <v>32</v>
      </c>
      <c r="U2049" t="s">
        <v>32</v>
      </c>
      <c r="V2049" t="s">
        <v>55</v>
      </c>
      <c r="W2049" t="s">
        <v>23667</v>
      </c>
      <c r="X2049" t="s">
        <v>343</v>
      </c>
      <c r="Y2049" t="s">
        <v>16046</v>
      </c>
      <c r="Z2049" t="s">
        <v>126</v>
      </c>
      <c r="AA2049" t="s">
        <v>23668</v>
      </c>
      <c r="AB2049" t="s">
        <v>23669</v>
      </c>
      <c r="AC2049" t="s">
        <v>23670</v>
      </c>
      <c r="AD2049" t="s">
        <v>32</v>
      </c>
      <c r="AE2049" t="s">
        <v>23671</v>
      </c>
      <c r="AF2049" t="s">
        <v>46835</v>
      </c>
    </row>
    <row r="2050" spans="1:32" x14ac:dyDescent="0.2">
      <c r="A2050">
        <v>2045</v>
      </c>
      <c r="B2050" t="s">
        <v>23672</v>
      </c>
      <c r="C2050" t="s">
        <v>23673</v>
      </c>
      <c r="D2050" t="s">
        <v>32</v>
      </c>
      <c r="E2050" t="s">
        <v>23674</v>
      </c>
      <c r="F2050" t="s">
        <v>23675</v>
      </c>
      <c r="G2050" t="s">
        <v>32</v>
      </c>
      <c r="H2050" t="str">
        <f>"Irs1"</f>
        <v>Irs1</v>
      </c>
      <c r="I2050" t="s">
        <v>23676</v>
      </c>
      <c r="J2050" t="s">
        <v>37</v>
      </c>
      <c r="K2050">
        <v>10090</v>
      </c>
      <c r="L2050" s="3" t="str">
        <f>HYPERLINK("http://www.uniprot.org/uniprot/P35569", "P35569")</f>
        <v>P35569</v>
      </c>
      <c r="M2050" t="s">
        <v>23677</v>
      </c>
      <c r="N2050" t="str">
        <f>"Irs1"</f>
        <v>Irs1</v>
      </c>
      <c r="O2050" s="3" t="str">
        <f>HYPERLINK("http://www.informatics.jax.org/marker/MGI:99454", "MGI:99454")</f>
        <v>MGI:99454</v>
      </c>
      <c r="P2050" t="s">
        <v>23678</v>
      </c>
      <c r="Q2050" t="s">
        <v>32</v>
      </c>
      <c r="R2050" t="s">
        <v>32</v>
      </c>
      <c r="S2050" t="s">
        <v>32</v>
      </c>
      <c r="T2050" t="s">
        <v>32</v>
      </c>
      <c r="U2050" t="s">
        <v>32</v>
      </c>
      <c r="V2050" t="s">
        <v>55</v>
      </c>
      <c r="W2050" t="s">
        <v>32</v>
      </c>
      <c r="X2050" t="s">
        <v>10391</v>
      </c>
      <c r="Y2050" t="s">
        <v>2836</v>
      </c>
      <c r="Z2050" t="s">
        <v>126</v>
      </c>
      <c r="AA2050" t="s">
        <v>23679</v>
      </c>
      <c r="AB2050" t="s">
        <v>23680</v>
      </c>
      <c r="AC2050" t="s">
        <v>23681</v>
      </c>
      <c r="AD2050" t="s">
        <v>32</v>
      </c>
      <c r="AE2050" t="s">
        <v>23682</v>
      </c>
      <c r="AF2050" t="s">
        <v>46835</v>
      </c>
    </row>
    <row r="2051" spans="1:32" x14ac:dyDescent="0.2">
      <c r="A2051">
        <v>2046</v>
      </c>
      <c r="B2051" t="s">
        <v>23683</v>
      </c>
      <c r="C2051" t="s">
        <v>23684</v>
      </c>
      <c r="D2051" t="s">
        <v>23685</v>
      </c>
      <c r="E2051" t="s">
        <v>23686</v>
      </c>
      <c r="F2051" t="s">
        <v>23687</v>
      </c>
      <c r="G2051" t="s">
        <v>23688</v>
      </c>
      <c r="H2051" t="str">
        <f>"Ndufs5"</f>
        <v>Ndufs5</v>
      </c>
      <c r="I2051" t="s">
        <v>32</v>
      </c>
      <c r="J2051" t="s">
        <v>37</v>
      </c>
      <c r="K2051">
        <v>10090</v>
      </c>
      <c r="L2051" s="3" t="str">
        <f>HYPERLINK("http://www.uniprot.org/uniprot/Q99LY9", "Q99LY9")</f>
        <v>Q99LY9</v>
      </c>
      <c r="M2051" t="s">
        <v>23689</v>
      </c>
      <c r="N2051" t="str">
        <f>"Ndufs5"</f>
        <v>Ndufs5</v>
      </c>
      <c r="O2051" s="3" t="str">
        <f>HYPERLINK("http://www.informatics.jax.org/marker/MGI:1890889", "MGI:1890889")</f>
        <v>MGI:1890889</v>
      </c>
      <c r="P2051" t="s">
        <v>23690</v>
      </c>
      <c r="Q2051" t="s">
        <v>6888</v>
      </c>
      <c r="R2051" t="s">
        <v>3858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32</v>
      </c>
      <c r="Y2051" t="s">
        <v>494</v>
      </c>
      <c r="Z2051" t="s">
        <v>126</v>
      </c>
      <c r="AA2051" t="s">
        <v>12491</v>
      </c>
      <c r="AB2051" t="s">
        <v>17823</v>
      </c>
      <c r="AC2051" t="s">
        <v>32</v>
      </c>
      <c r="AD2051" t="s">
        <v>32</v>
      </c>
      <c r="AE2051" t="s">
        <v>10470</v>
      </c>
      <c r="AF2051" t="s">
        <v>46835</v>
      </c>
    </row>
    <row r="2052" spans="1:32" x14ac:dyDescent="0.2">
      <c r="A2052">
        <v>2047</v>
      </c>
      <c r="B2052" t="s">
        <v>23691</v>
      </c>
      <c r="C2052" t="s">
        <v>23692</v>
      </c>
      <c r="D2052" t="s">
        <v>23693</v>
      </c>
      <c r="E2052" t="s">
        <v>23694</v>
      </c>
      <c r="F2052" t="s">
        <v>23695</v>
      </c>
      <c r="G2052" t="s">
        <v>23696</v>
      </c>
      <c r="H2052" t="str">
        <f>"Sh3pxd2b"</f>
        <v>Sh3pxd2b</v>
      </c>
      <c r="I2052" t="s">
        <v>23697</v>
      </c>
      <c r="J2052" t="s">
        <v>37</v>
      </c>
      <c r="K2052">
        <v>10090</v>
      </c>
      <c r="L2052" s="3" t="str">
        <f>HYPERLINK("http://www.uniprot.org/uniprot/A2AAY5", "A2AAY5")</f>
        <v>A2AAY5</v>
      </c>
      <c r="M2052" t="s">
        <v>23698</v>
      </c>
      <c r="N2052" t="str">
        <f>"Sh3pxd2b"</f>
        <v>Sh3pxd2b</v>
      </c>
      <c r="O2052" s="3" t="str">
        <f>HYPERLINK("http://www.informatics.jax.org/marker/MGI:2442062", "MGI:2442062")</f>
        <v>MGI:2442062</v>
      </c>
      <c r="P2052" t="s">
        <v>23699</v>
      </c>
      <c r="Q2052" t="s">
        <v>687</v>
      </c>
      <c r="R2052" t="s">
        <v>5156</v>
      </c>
      <c r="S2052" t="s">
        <v>32</v>
      </c>
      <c r="T2052" t="s">
        <v>32</v>
      </c>
      <c r="U2052" t="s">
        <v>32</v>
      </c>
      <c r="V2052" t="s">
        <v>187</v>
      </c>
      <c r="W2052" t="s">
        <v>32</v>
      </c>
      <c r="X2052" t="s">
        <v>32</v>
      </c>
      <c r="Y2052" t="s">
        <v>618</v>
      </c>
      <c r="Z2052" t="s">
        <v>32</v>
      </c>
      <c r="AA2052" t="s">
        <v>23700</v>
      </c>
      <c r="AB2052" t="s">
        <v>23701</v>
      </c>
      <c r="AC2052" t="s">
        <v>23702</v>
      </c>
      <c r="AD2052" t="s">
        <v>32</v>
      </c>
      <c r="AE2052" t="s">
        <v>32</v>
      </c>
      <c r="AF2052" t="s">
        <v>46835</v>
      </c>
    </row>
    <row r="2053" spans="1:32" x14ac:dyDescent="0.2">
      <c r="A2053">
        <v>2048</v>
      </c>
      <c r="B2053" t="s">
        <v>23703</v>
      </c>
      <c r="C2053" t="s">
        <v>23704</v>
      </c>
      <c r="D2053" t="s">
        <v>23705</v>
      </c>
      <c r="E2053" t="s">
        <v>23706</v>
      </c>
      <c r="F2053" t="s">
        <v>23707</v>
      </c>
      <c r="G2053" t="s">
        <v>23708</v>
      </c>
      <c r="H2053" t="str">
        <f>"Map6"</f>
        <v>Map6</v>
      </c>
      <c r="I2053" t="s">
        <v>23709</v>
      </c>
      <c r="J2053" t="s">
        <v>37</v>
      </c>
      <c r="K2053">
        <v>10090</v>
      </c>
      <c r="L2053" s="3" t="str">
        <f>HYPERLINK("http://www.uniprot.org/uniprot/Q7TSJ2", "Q7TSJ2")</f>
        <v>Q7TSJ2</v>
      </c>
      <c r="M2053" t="s">
        <v>23710</v>
      </c>
      <c r="N2053" t="str">
        <f>"Map6"</f>
        <v>Map6</v>
      </c>
      <c r="O2053" s="3" t="str">
        <f>HYPERLINK("http://www.informatics.jax.org/marker/MGI:1201690", "MGI:1201690")</f>
        <v>MGI:1201690</v>
      </c>
      <c r="P2053" t="s">
        <v>23711</v>
      </c>
      <c r="Q2053" t="s">
        <v>4425</v>
      </c>
      <c r="R2053" t="s">
        <v>23712</v>
      </c>
      <c r="S2053" t="s">
        <v>8151</v>
      </c>
      <c r="T2053" t="s">
        <v>32</v>
      </c>
      <c r="U2053" t="s">
        <v>32</v>
      </c>
      <c r="V2053" t="s">
        <v>55</v>
      </c>
      <c r="W2053" t="s">
        <v>32</v>
      </c>
      <c r="X2053" t="s">
        <v>1926</v>
      </c>
      <c r="Y2053" t="s">
        <v>15840</v>
      </c>
      <c r="Z2053" t="s">
        <v>32</v>
      </c>
      <c r="AA2053" t="s">
        <v>23713</v>
      </c>
      <c r="AB2053" t="s">
        <v>23714</v>
      </c>
      <c r="AC2053" t="s">
        <v>23715</v>
      </c>
      <c r="AD2053" t="s">
        <v>32</v>
      </c>
      <c r="AE2053" t="s">
        <v>32</v>
      </c>
      <c r="AF2053" t="s">
        <v>46835</v>
      </c>
    </row>
    <row r="2054" spans="1:32" x14ac:dyDescent="0.2">
      <c r="A2054">
        <v>2049</v>
      </c>
      <c r="B2054" t="s">
        <v>23716</v>
      </c>
      <c r="C2054" t="s">
        <v>23717</v>
      </c>
      <c r="D2054" t="s">
        <v>32</v>
      </c>
      <c r="E2054" t="s">
        <v>23718</v>
      </c>
      <c r="F2054" t="s">
        <v>23719</v>
      </c>
      <c r="G2054" t="s">
        <v>23720</v>
      </c>
      <c r="H2054" t="str">
        <f>"Hmgn3"</f>
        <v>Hmgn3</v>
      </c>
      <c r="I2054" t="s">
        <v>32</v>
      </c>
      <c r="J2054" t="s">
        <v>37</v>
      </c>
      <c r="K2054">
        <v>10090</v>
      </c>
      <c r="L2054" s="3" t="str">
        <f>HYPERLINK("http://www.uniprot.org/uniprot/Q9DCB1", "Q9DCB1")</f>
        <v>Q9DCB1</v>
      </c>
      <c r="M2054" t="s">
        <v>23721</v>
      </c>
      <c r="N2054" t="str">
        <f>"Hmgn3"</f>
        <v>Hmgn3</v>
      </c>
      <c r="O2054" s="3" t="str">
        <f>HYPERLINK("http://www.informatics.jax.org/marker/MGI:2138069", "MGI:2138069")</f>
        <v>MGI:2138069</v>
      </c>
      <c r="P2054" t="s">
        <v>23722</v>
      </c>
      <c r="Q2054" t="s">
        <v>32</v>
      </c>
      <c r="R2054" t="s">
        <v>2279</v>
      </c>
      <c r="S2054" t="s">
        <v>41</v>
      </c>
      <c r="T2054" t="s">
        <v>32</v>
      </c>
      <c r="U2054" t="s">
        <v>32</v>
      </c>
      <c r="V2054" t="s">
        <v>32</v>
      </c>
      <c r="W2054" t="s">
        <v>32</v>
      </c>
      <c r="X2054" t="s">
        <v>5712</v>
      </c>
      <c r="Y2054" t="s">
        <v>618</v>
      </c>
      <c r="Z2054" t="s">
        <v>32</v>
      </c>
      <c r="AA2054" t="s">
        <v>23723</v>
      </c>
      <c r="AB2054" t="s">
        <v>23724</v>
      </c>
      <c r="AC2054" t="s">
        <v>9045</v>
      </c>
      <c r="AD2054" t="s">
        <v>32</v>
      </c>
      <c r="AE2054" t="s">
        <v>32</v>
      </c>
      <c r="AF2054" t="s">
        <v>46835</v>
      </c>
    </row>
    <row r="2055" spans="1:32" x14ac:dyDescent="0.2">
      <c r="A2055">
        <v>2050</v>
      </c>
      <c r="B2055" t="s">
        <v>23725</v>
      </c>
      <c r="C2055" t="s">
        <v>23726</v>
      </c>
      <c r="D2055" t="s">
        <v>32</v>
      </c>
      <c r="E2055" t="s">
        <v>23727</v>
      </c>
      <c r="F2055" t="s">
        <v>23728</v>
      </c>
      <c r="G2055" t="s">
        <v>23729</v>
      </c>
      <c r="H2055" t="str">
        <f>"Wdr37"</f>
        <v>Wdr37</v>
      </c>
      <c r="I2055" t="s">
        <v>23730</v>
      </c>
      <c r="J2055" t="s">
        <v>37</v>
      </c>
      <c r="K2055">
        <v>10090</v>
      </c>
      <c r="L2055" s="3" t="str">
        <f>HYPERLINK("http://www.uniprot.org/uniprot/Q8CBE3", "Q8CBE3")</f>
        <v>Q8CBE3</v>
      </c>
      <c r="M2055" t="s">
        <v>23731</v>
      </c>
      <c r="N2055" t="str">
        <f>"Wdr37"</f>
        <v>Wdr37</v>
      </c>
      <c r="O2055" s="3" t="str">
        <f>HYPERLINK("http://www.informatics.jax.org/marker/MGI:1920393", "MGI:1920393")</f>
        <v>MGI:1920393</v>
      </c>
      <c r="P2055" t="s">
        <v>23732</v>
      </c>
      <c r="Q2055" t="s">
        <v>32</v>
      </c>
      <c r="R2055" t="s">
        <v>40</v>
      </c>
      <c r="S2055" t="s">
        <v>32</v>
      </c>
      <c r="T2055" t="s">
        <v>32</v>
      </c>
      <c r="U2055" t="s">
        <v>32</v>
      </c>
      <c r="V2055" t="s">
        <v>1910</v>
      </c>
      <c r="W2055" t="s">
        <v>32</v>
      </c>
      <c r="X2055" t="s">
        <v>32</v>
      </c>
      <c r="Y2055" t="s">
        <v>32</v>
      </c>
      <c r="Z2055" t="s">
        <v>32</v>
      </c>
      <c r="AA2055" t="s">
        <v>32</v>
      </c>
      <c r="AB2055" t="s">
        <v>110</v>
      </c>
      <c r="AC2055" t="s">
        <v>32</v>
      </c>
      <c r="AD2055" t="s">
        <v>32</v>
      </c>
      <c r="AE2055" t="s">
        <v>32</v>
      </c>
      <c r="AF2055" t="s">
        <v>46835</v>
      </c>
    </row>
    <row r="2056" spans="1:32" x14ac:dyDescent="0.2">
      <c r="A2056">
        <v>2051</v>
      </c>
      <c r="B2056" t="s">
        <v>23733</v>
      </c>
      <c r="C2056" t="s">
        <v>23734</v>
      </c>
      <c r="D2056" t="s">
        <v>32</v>
      </c>
      <c r="E2056" t="s">
        <v>23735</v>
      </c>
      <c r="F2056" t="s">
        <v>23736</v>
      </c>
      <c r="G2056" t="s">
        <v>32</v>
      </c>
      <c r="H2056" t="str">
        <f>"Scamp1"</f>
        <v>Scamp1</v>
      </c>
      <c r="I2056" t="s">
        <v>32</v>
      </c>
      <c r="J2056" t="s">
        <v>37</v>
      </c>
      <c r="K2056">
        <v>10090</v>
      </c>
      <c r="L2056" s="3" t="str">
        <f>HYPERLINK("http://www.uniprot.org/uniprot/Q8K021", "Q8K021")</f>
        <v>Q8K021</v>
      </c>
      <c r="M2056" t="s">
        <v>23737</v>
      </c>
      <c r="N2056" t="str">
        <f>"Scamp1"</f>
        <v>Scamp1</v>
      </c>
      <c r="O2056" s="3" t="str">
        <f>HYPERLINK("http://www.informatics.jax.org/marker/MGI:1349480", "MGI:1349480")</f>
        <v>MGI:1349480</v>
      </c>
      <c r="P2056" t="s">
        <v>23738</v>
      </c>
      <c r="Q2056" t="s">
        <v>434</v>
      </c>
      <c r="R2056" t="s">
        <v>6982</v>
      </c>
      <c r="S2056" t="s">
        <v>32</v>
      </c>
      <c r="T2056" t="s">
        <v>32</v>
      </c>
      <c r="U2056" t="s">
        <v>32</v>
      </c>
      <c r="V2056" t="s">
        <v>493</v>
      </c>
      <c r="W2056" t="s">
        <v>32</v>
      </c>
      <c r="X2056" t="s">
        <v>32</v>
      </c>
      <c r="Y2056" t="s">
        <v>157</v>
      </c>
      <c r="Z2056" t="s">
        <v>32</v>
      </c>
      <c r="AA2056" t="s">
        <v>23739</v>
      </c>
      <c r="AB2056" t="s">
        <v>23740</v>
      </c>
      <c r="AC2056" t="s">
        <v>23040</v>
      </c>
      <c r="AD2056" t="s">
        <v>32</v>
      </c>
      <c r="AE2056" t="s">
        <v>548</v>
      </c>
      <c r="AF2056" t="s">
        <v>46835</v>
      </c>
    </row>
    <row r="2057" spans="1:32" x14ac:dyDescent="0.2">
      <c r="A2057">
        <v>2052</v>
      </c>
      <c r="B2057" t="s">
        <v>23741</v>
      </c>
      <c r="C2057" t="s">
        <v>23742</v>
      </c>
      <c r="D2057" t="s">
        <v>23743</v>
      </c>
      <c r="E2057" t="s">
        <v>23744</v>
      </c>
      <c r="F2057" t="s">
        <v>23745</v>
      </c>
      <c r="G2057" t="s">
        <v>23746</v>
      </c>
      <c r="H2057" t="str">
        <f>"Ubap2"</f>
        <v>Ubap2</v>
      </c>
      <c r="I2057" t="s">
        <v>32</v>
      </c>
      <c r="J2057" t="s">
        <v>37</v>
      </c>
      <c r="K2057">
        <v>10090</v>
      </c>
      <c r="L2057" s="3" t="str">
        <f>HYPERLINK("http://www.uniprot.org/uniprot/Q91VX2", "Q91VX2")</f>
        <v>Q91VX2</v>
      </c>
      <c r="M2057" t="s">
        <v>23747</v>
      </c>
      <c r="N2057" t="str">
        <f>"Ubap2"</f>
        <v>Ubap2</v>
      </c>
      <c r="O2057" s="3" t="str">
        <f>HYPERLINK("http://www.informatics.jax.org/marker/MGI:1916176", "MGI:1916176")</f>
        <v>MGI:1916176</v>
      </c>
      <c r="P2057" t="s">
        <v>2734</v>
      </c>
      <c r="Q2057" t="s">
        <v>32</v>
      </c>
      <c r="R2057" t="s">
        <v>32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32</v>
      </c>
      <c r="Y2057" t="s">
        <v>2734</v>
      </c>
      <c r="Z2057" t="s">
        <v>32</v>
      </c>
      <c r="AA2057" t="s">
        <v>32</v>
      </c>
      <c r="AB2057" t="s">
        <v>110</v>
      </c>
      <c r="AC2057" t="s">
        <v>32</v>
      </c>
      <c r="AD2057" t="s">
        <v>32</v>
      </c>
      <c r="AE2057" t="s">
        <v>32</v>
      </c>
      <c r="AF2057" t="s">
        <v>46835</v>
      </c>
    </row>
    <row r="2058" spans="1:32" x14ac:dyDescent="0.2">
      <c r="A2058">
        <v>2053</v>
      </c>
      <c r="B2058" t="s">
        <v>23748</v>
      </c>
      <c r="C2058" t="s">
        <v>23749</v>
      </c>
      <c r="D2058" t="s">
        <v>23750</v>
      </c>
      <c r="E2058" t="s">
        <v>23751</v>
      </c>
      <c r="F2058" t="s">
        <v>23752</v>
      </c>
      <c r="G2058" t="s">
        <v>32</v>
      </c>
      <c r="H2058" t="str">
        <f>"Arih2"</f>
        <v>Arih2</v>
      </c>
      <c r="I2058" t="s">
        <v>23753</v>
      </c>
      <c r="J2058" t="s">
        <v>37</v>
      </c>
      <c r="K2058">
        <v>10090</v>
      </c>
      <c r="L2058" s="3" t="str">
        <f>HYPERLINK("http://www.uniprot.org/uniprot/Q9Z1K6", "Q9Z1K6")</f>
        <v>Q9Z1K6</v>
      </c>
      <c r="M2058" t="s">
        <v>23754</v>
      </c>
      <c r="N2058" t="str">
        <f>"Arih2"</f>
        <v>Arih2</v>
      </c>
      <c r="O2058" s="3" t="str">
        <f>HYPERLINK("http://www.informatics.jax.org/marker/MGI:1344361", "MGI:1344361")</f>
        <v>MGI:1344361</v>
      </c>
      <c r="P2058" t="s">
        <v>23755</v>
      </c>
      <c r="Q2058" t="s">
        <v>1020</v>
      </c>
      <c r="R2058" t="s">
        <v>40</v>
      </c>
      <c r="S2058" t="s">
        <v>32</v>
      </c>
      <c r="T2058" t="s">
        <v>32</v>
      </c>
      <c r="U2058" t="s">
        <v>32</v>
      </c>
      <c r="V2058" t="s">
        <v>3791</v>
      </c>
      <c r="W2058" t="s">
        <v>42</v>
      </c>
      <c r="X2058" t="s">
        <v>515</v>
      </c>
      <c r="Y2058" t="s">
        <v>2836</v>
      </c>
      <c r="Z2058" t="s">
        <v>32</v>
      </c>
      <c r="AA2058" t="s">
        <v>23756</v>
      </c>
      <c r="AB2058" t="s">
        <v>23757</v>
      </c>
      <c r="AC2058" t="s">
        <v>23758</v>
      </c>
      <c r="AD2058" t="s">
        <v>1027</v>
      </c>
      <c r="AE2058" t="s">
        <v>4220</v>
      </c>
      <c r="AF2058" t="s">
        <v>46835</v>
      </c>
    </row>
    <row r="2059" spans="1:32" x14ac:dyDescent="0.2">
      <c r="A2059">
        <v>2054</v>
      </c>
      <c r="B2059" t="s">
        <v>23759</v>
      </c>
      <c r="C2059" t="s">
        <v>23760</v>
      </c>
      <c r="D2059" t="s">
        <v>23761</v>
      </c>
      <c r="E2059" t="s">
        <v>23762</v>
      </c>
      <c r="F2059" t="s">
        <v>23763</v>
      </c>
      <c r="G2059" t="s">
        <v>23764</v>
      </c>
      <c r="H2059" t="str">
        <f>"Snrpf"</f>
        <v>Snrpf</v>
      </c>
      <c r="I2059" t="s">
        <v>32</v>
      </c>
      <c r="J2059" t="s">
        <v>37</v>
      </c>
      <c r="K2059">
        <v>10090</v>
      </c>
      <c r="L2059" s="3" t="str">
        <f>HYPERLINK("http://www.uniprot.org/uniprot/P62307", "P62307")</f>
        <v>P62307</v>
      </c>
      <c r="M2059" t="s">
        <v>23765</v>
      </c>
      <c r="N2059" t="str">
        <f>"Snrpf"</f>
        <v>Snrpf</v>
      </c>
      <c r="O2059" s="3" t="str">
        <f>HYPERLINK("http://www.informatics.jax.org/marker/MGI:1917128", "MGI:1917128")</f>
        <v>MGI:1917128</v>
      </c>
      <c r="P2059" t="s">
        <v>23766</v>
      </c>
      <c r="Q2059" t="s">
        <v>2139</v>
      </c>
      <c r="R2059" t="s">
        <v>2219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1129</v>
      </c>
      <c r="Y2059" t="s">
        <v>78</v>
      </c>
      <c r="Z2059" t="s">
        <v>32</v>
      </c>
      <c r="AA2059" t="s">
        <v>23767</v>
      </c>
      <c r="AB2059" t="s">
        <v>23768</v>
      </c>
      <c r="AC2059" t="s">
        <v>4711</v>
      </c>
      <c r="AD2059" t="s">
        <v>32</v>
      </c>
      <c r="AE2059" t="s">
        <v>8082</v>
      </c>
      <c r="AF2059" t="s">
        <v>46835</v>
      </c>
    </row>
    <row r="2060" spans="1:32" x14ac:dyDescent="0.2">
      <c r="A2060">
        <v>2055</v>
      </c>
      <c r="B2060" t="s">
        <v>23769</v>
      </c>
      <c r="C2060" t="s">
        <v>23770</v>
      </c>
      <c r="D2060" t="s">
        <v>23771</v>
      </c>
      <c r="E2060" t="s">
        <v>23772</v>
      </c>
      <c r="F2060" t="s">
        <v>23773</v>
      </c>
      <c r="G2060" t="s">
        <v>23774</v>
      </c>
      <c r="H2060" t="str">
        <f>"Rnf20"</f>
        <v>Rnf20</v>
      </c>
      <c r="I2060" t="s">
        <v>23775</v>
      </c>
      <c r="J2060" t="s">
        <v>37</v>
      </c>
      <c r="K2060">
        <v>10090</v>
      </c>
      <c r="L2060" s="3" t="str">
        <f>HYPERLINK("http://www.uniprot.org/uniprot/Q5DTM8", "Q5DTM8")</f>
        <v>Q5DTM8</v>
      </c>
      <c r="M2060" t="s">
        <v>23776</v>
      </c>
      <c r="N2060" t="str">
        <f>"Rnf20"</f>
        <v>Rnf20</v>
      </c>
      <c r="O2060" s="3" t="str">
        <f>HYPERLINK("http://www.informatics.jax.org/marker/MGI:1925927", "MGI:1925927")</f>
        <v>MGI:1925927</v>
      </c>
      <c r="P2060" t="s">
        <v>23777</v>
      </c>
      <c r="Q2060" t="s">
        <v>1020</v>
      </c>
      <c r="R2060" t="s">
        <v>2279</v>
      </c>
      <c r="S2060" t="s">
        <v>41</v>
      </c>
      <c r="T2060" t="s">
        <v>32</v>
      </c>
      <c r="U2060" t="s">
        <v>32</v>
      </c>
      <c r="V2060" t="s">
        <v>11171</v>
      </c>
      <c r="W2060" t="s">
        <v>42</v>
      </c>
      <c r="X2060" t="s">
        <v>23778</v>
      </c>
      <c r="Y2060" t="s">
        <v>157</v>
      </c>
      <c r="Z2060" t="s">
        <v>32</v>
      </c>
      <c r="AA2060" t="s">
        <v>23779</v>
      </c>
      <c r="AB2060" t="s">
        <v>23780</v>
      </c>
      <c r="AC2060" t="s">
        <v>23781</v>
      </c>
      <c r="AD2060" t="s">
        <v>1027</v>
      </c>
      <c r="AE2060" t="s">
        <v>23782</v>
      </c>
      <c r="AF2060" t="s">
        <v>46835</v>
      </c>
    </row>
    <row r="2061" spans="1:32" x14ac:dyDescent="0.2">
      <c r="A2061">
        <v>2056</v>
      </c>
      <c r="B2061" t="s">
        <v>23783</v>
      </c>
      <c r="C2061" t="s">
        <v>23784</v>
      </c>
      <c r="D2061" t="s">
        <v>32</v>
      </c>
      <c r="E2061" t="s">
        <v>23785</v>
      </c>
      <c r="F2061" t="s">
        <v>23786</v>
      </c>
      <c r="G2061" t="s">
        <v>32</v>
      </c>
      <c r="H2061" t="str">
        <f>"Emc7"</f>
        <v>Emc7</v>
      </c>
      <c r="I2061" t="s">
        <v>23787</v>
      </c>
      <c r="J2061" t="s">
        <v>37</v>
      </c>
      <c r="K2061">
        <v>10090</v>
      </c>
      <c r="L2061" s="3" t="str">
        <f>HYPERLINK("http://www.uniprot.org/uniprot/Q9EP72", "Q9EP72")</f>
        <v>Q9EP72</v>
      </c>
      <c r="M2061" t="s">
        <v>23788</v>
      </c>
      <c r="N2061" t="str">
        <f>"Emc7"</f>
        <v>Emc7</v>
      </c>
      <c r="O2061" s="3" t="str">
        <f>HYPERLINK("http://www.informatics.jax.org/marker/MGI:1920274", "MGI:1920274")</f>
        <v>MGI:1920274</v>
      </c>
      <c r="P2061" t="s">
        <v>10439</v>
      </c>
      <c r="Q2061" t="s">
        <v>32</v>
      </c>
      <c r="R2061" t="s">
        <v>1664</v>
      </c>
      <c r="S2061" t="s">
        <v>32</v>
      </c>
      <c r="T2061" t="s">
        <v>32</v>
      </c>
      <c r="U2061" t="s">
        <v>32</v>
      </c>
      <c r="V2061" t="s">
        <v>3948</v>
      </c>
      <c r="W2061" t="s">
        <v>32</v>
      </c>
      <c r="X2061" t="s">
        <v>32</v>
      </c>
      <c r="Y2061" t="s">
        <v>32</v>
      </c>
      <c r="Z2061" t="s">
        <v>32</v>
      </c>
      <c r="AA2061" t="s">
        <v>21751</v>
      </c>
      <c r="AB2061" t="s">
        <v>23789</v>
      </c>
      <c r="AC2061" t="s">
        <v>23790</v>
      </c>
      <c r="AD2061" t="s">
        <v>32</v>
      </c>
      <c r="AE2061" t="s">
        <v>32</v>
      </c>
      <c r="AF2061" t="s">
        <v>46835</v>
      </c>
    </row>
    <row r="2062" spans="1:32" x14ac:dyDescent="0.2">
      <c r="A2062">
        <v>2057</v>
      </c>
      <c r="B2062" t="s">
        <v>23791</v>
      </c>
      <c r="C2062" t="s">
        <v>23792</v>
      </c>
      <c r="D2062" t="s">
        <v>23793</v>
      </c>
      <c r="E2062" t="s">
        <v>23794</v>
      </c>
      <c r="F2062" t="s">
        <v>23795</v>
      </c>
      <c r="G2062" t="s">
        <v>32</v>
      </c>
      <c r="H2062" t="str">
        <f>"Tomm20"</f>
        <v>Tomm20</v>
      </c>
      <c r="I2062" t="s">
        <v>32</v>
      </c>
      <c r="J2062" t="s">
        <v>37</v>
      </c>
      <c r="K2062">
        <v>10090</v>
      </c>
      <c r="L2062" s="3" t="str">
        <f>HYPERLINK("http://www.uniprot.org/uniprot/Q9DCC8", "Q9DCC8")</f>
        <v>Q9DCC8</v>
      </c>
      <c r="M2062" t="s">
        <v>23796</v>
      </c>
      <c r="N2062" t="str">
        <f>"Tomm20"</f>
        <v>Tomm20</v>
      </c>
      <c r="O2062" s="3" t="str">
        <f>HYPERLINK("http://www.informatics.jax.org/marker/MGI:1915202", "MGI:1915202")</f>
        <v>MGI:1915202</v>
      </c>
      <c r="P2062" t="s">
        <v>23797</v>
      </c>
      <c r="Q2062" t="s">
        <v>434</v>
      </c>
      <c r="R2062" t="s">
        <v>4782</v>
      </c>
      <c r="S2062" t="s">
        <v>32</v>
      </c>
      <c r="T2062" t="s">
        <v>32</v>
      </c>
      <c r="U2062" t="s">
        <v>32</v>
      </c>
      <c r="V2062" t="s">
        <v>493</v>
      </c>
      <c r="W2062" t="s">
        <v>32</v>
      </c>
      <c r="X2062" t="s">
        <v>32</v>
      </c>
      <c r="Y2062" t="s">
        <v>1007</v>
      </c>
      <c r="Z2062" t="s">
        <v>32</v>
      </c>
      <c r="AA2062" t="s">
        <v>23798</v>
      </c>
      <c r="AB2062" t="s">
        <v>23799</v>
      </c>
      <c r="AC2062" t="s">
        <v>23800</v>
      </c>
      <c r="AD2062" t="s">
        <v>32</v>
      </c>
      <c r="AE2062" t="s">
        <v>23801</v>
      </c>
      <c r="AF2062" t="s">
        <v>46835</v>
      </c>
    </row>
    <row r="2063" spans="1:32" x14ac:dyDescent="0.2">
      <c r="A2063">
        <v>2058</v>
      </c>
      <c r="B2063" t="s">
        <v>23802</v>
      </c>
      <c r="C2063" t="s">
        <v>23803</v>
      </c>
      <c r="D2063" t="s">
        <v>23804</v>
      </c>
      <c r="E2063" t="s">
        <v>23805</v>
      </c>
      <c r="F2063" t="s">
        <v>23806</v>
      </c>
      <c r="G2063" t="s">
        <v>23807</v>
      </c>
      <c r="H2063" t="str">
        <f>"Clptm1"</f>
        <v>Clptm1</v>
      </c>
      <c r="I2063" t="s">
        <v>23808</v>
      </c>
      <c r="J2063" t="s">
        <v>37</v>
      </c>
      <c r="K2063">
        <v>10090</v>
      </c>
      <c r="L2063" s="3" t="str">
        <f>HYPERLINK("http://www.uniprot.org/uniprot/Q8VBZ3", "Q8VBZ3")</f>
        <v>Q8VBZ3</v>
      </c>
      <c r="M2063" t="s">
        <v>23809</v>
      </c>
      <c r="N2063" t="str">
        <f>"Clptm1"</f>
        <v>Clptm1</v>
      </c>
      <c r="O2063" s="3" t="str">
        <f>HYPERLINK("http://www.informatics.jax.org/marker/MGI:1927155", "MGI:1927155")</f>
        <v>MGI:1927155</v>
      </c>
      <c r="P2063" t="s">
        <v>23810</v>
      </c>
      <c r="Q2063" t="s">
        <v>687</v>
      </c>
      <c r="R2063" t="s">
        <v>5989</v>
      </c>
      <c r="S2063" t="s">
        <v>32</v>
      </c>
      <c r="T2063" t="s">
        <v>32</v>
      </c>
      <c r="U2063" t="s">
        <v>32</v>
      </c>
      <c r="V2063" t="s">
        <v>493</v>
      </c>
      <c r="W2063" t="s">
        <v>32</v>
      </c>
      <c r="X2063" t="s">
        <v>2029</v>
      </c>
      <c r="Y2063" t="s">
        <v>372</v>
      </c>
      <c r="Z2063" t="s">
        <v>32</v>
      </c>
      <c r="AA2063" t="s">
        <v>23811</v>
      </c>
      <c r="AB2063" t="s">
        <v>23812</v>
      </c>
      <c r="AC2063" t="s">
        <v>23813</v>
      </c>
      <c r="AD2063" t="s">
        <v>32</v>
      </c>
      <c r="AE2063" t="s">
        <v>32</v>
      </c>
      <c r="AF2063" t="s">
        <v>46835</v>
      </c>
    </row>
    <row r="2064" spans="1:32" x14ac:dyDescent="0.2">
      <c r="A2064">
        <v>2059</v>
      </c>
      <c r="B2064" t="s">
        <v>23814</v>
      </c>
      <c r="C2064" t="s">
        <v>23815</v>
      </c>
      <c r="D2064" t="s">
        <v>23816</v>
      </c>
      <c r="E2064" t="s">
        <v>23817</v>
      </c>
      <c r="F2064" t="s">
        <v>23818</v>
      </c>
      <c r="G2064" t="s">
        <v>23819</v>
      </c>
      <c r="H2064" t="str">
        <f>"Pqbp1"</f>
        <v>Pqbp1</v>
      </c>
      <c r="I2064" t="s">
        <v>23820</v>
      </c>
      <c r="J2064" t="s">
        <v>37</v>
      </c>
      <c r="K2064">
        <v>10090</v>
      </c>
      <c r="L2064" s="3" t="str">
        <f>HYPERLINK("http://www.uniprot.org/uniprot/Q91VJ5", "Q91VJ5")</f>
        <v>Q91VJ5</v>
      </c>
      <c r="M2064" t="s">
        <v>23821</v>
      </c>
      <c r="N2064" t="str">
        <f>"Pqbp1"</f>
        <v>Pqbp1</v>
      </c>
      <c r="O2064" s="3" t="str">
        <f>HYPERLINK("http://www.informatics.jax.org/marker/MGI:1859638", "MGI:1859638")</f>
        <v>MGI:1859638</v>
      </c>
      <c r="P2064" t="s">
        <v>23822</v>
      </c>
      <c r="Q2064" t="s">
        <v>23823</v>
      </c>
      <c r="R2064" t="s">
        <v>2279</v>
      </c>
      <c r="S2064" t="s">
        <v>32</v>
      </c>
      <c r="T2064" t="s">
        <v>32</v>
      </c>
      <c r="U2064" t="s">
        <v>32</v>
      </c>
      <c r="V2064" t="s">
        <v>55</v>
      </c>
      <c r="W2064" t="s">
        <v>32</v>
      </c>
      <c r="X2064" t="s">
        <v>32</v>
      </c>
      <c r="Y2064" t="s">
        <v>618</v>
      </c>
      <c r="Z2064" t="s">
        <v>32</v>
      </c>
      <c r="AA2064" t="s">
        <v>23824</v>
      </c>
      <c r="AB2064" t="s">
        <v>23825</v>
      </c>
      <c r="AC2064" t="s">
        <v>23826</v>
      </c>
      <c r="AD2064" t="s">
        <v>32</v>
      </c>
      <c r="AE2064" t="s">
        <v>946</v>
      </c>
      <c r="AF2064" t="s">
        <v>46835</v>
      </c>
    </row>
    <row r="2065" spans="1:33" x14ac:dyDescent="0.2">
      <c r="A2065">
        <v>2060</v>
      </c>
      <c r="B2065" t="s">
        <v>23827</v>
      </c>
      <c r="C2065" t="s">
        <v>23828</v>
      </c>
      <c r="D2065" t="s">
        <v>23829</v>
      </c>
      <c r="E2065" t="s">
        <v>23830</v>
      </c>
      <c r="F2065" t="s">
        <v>23831</v>
      </c>
      <c r="G2065" t="s">
        <v>32</v>
      </c>
      <c r="H2065" t="str">
        <f>"Abcd3"</f>
        <v>Abcd3</v>
      </c>
      <c r="I2065" t="s">
        <v>23832</v>
      </c>
      <c r="J2065" t="s">
        <v>37</v>
      </c>
      <c r="K2065">
        <v>10090</v>
      </c>
      <c r="L2065" s="3" t="str">
        <f>HYPERLINK("http://www.uniprot.org/uniprot/P55096", "P55096")</f>
        <v>P55096</v>
      </c>
      <c r="M2065" t="s">
        <v>23833</v>
      </c>
      <c r="N2065" t="str">
        <f>"Abcd3"</f>
        <v>Abcd3</v>
      </c>
      <c r="O2065" s="3" t="str">
        <f>HYPERLINK("http://www.informatics.jax.org/marker/MGI:1349216", "MGI:1349216")</f>
        <v>MGI:1349216</v>
      </c>
      <c r="P2065" t="s">
        <v>23834</v>
      </c>
      <c r="Q2065" t="s">
        <v>4425</v>
      </c>
      <c r="R2065" t="s">
        <v>23835</v>
      </c>
      <c r="S2065" t="s">
        <v>32</v>
      </c>
      <c r="T2065" t="s">
        <v>32</v>
      </c>
      <c r="U2065" t="s">
        <v>32</v>
      </c>
      <c r="V2065" t="s">
        <v>493</v>
      </c>
      <c r="W2065" t="s">
        <v>205</v>
      </c>
      <c r="X2065" t="s">
        <v>23836</v>
      </c>
      <c r="Y2065" t="s">
        <v>372</v>
      </c>
      <c r="Z2065" t="s">
        <v>32</v>
      </c>
      <c r="AA2065" t="s">
        <v>23837</v>
      </c>
      <c r="AB2065" t="s">
        <v>23838</v>
      </c>
      <c r="AC2065" t="s">
        <v>23839</v>
      </c>
      <c r="AD2065" t="s">
        <v>32</v>
      </c>
      <c r="AE2065" t="s">
        <v>23840</v>
      </c>
      <c r="AF2065" t="s">
        <v>46835</v>
      </c>
    </row>
    <row r="2066" spans="1:33" x14ac:dyDescent="0.2">
      <c r="A2066">
        <v>2061</v>
      </c>
      <c r="B2066" t="s">
        <v>23841</v>
      </c>
      <c r="C2066" t="s">
        <v>23842</v>
      </c>
      <c r="D2066" t="s">
        <v>23843</v>
      </c>
      <c r="E2066" t="s">
        <v>23844</v>
      </c>
      <c r="F2066" t="s">
        <v>23845</v>
      </c>
      <c r="G2066" t="s">
        <v>23846</v>
      </c>
      <c r="H2066" t="str">
        <f>"Tmod3"</f>
        <v>Tmod3</v>
      </c>
      <c r="I2066" t="s">
        <v>32</v>
      </c>
      <c r="J2066" t="s">
        <v>37</v>
      </c>
      <c r="K2066">
        <v>10090</v>
      </c>
      <c r="L2066" s="3" t="str">
        <f>HYPERLINK("http://www.uniprot.org/uniprot/Q9JHJ0", "Q9JHJ0")</f>
        <v>Q9JHJ0</v>
      </c>
      <c r="M2066" t="s">
        <v>23847</v>
      </c>
      <c r="N2066" t="str">
        <f>"Tmod3"</f>
        <v>Tmod3</v>
      </c>
      <c r="O2066" s="3" t="str">
        <f>HYPERLINK("http://www.informatics.jax.org/marker/MGI:1355315", "MGI:1355315")</f>
        <v>MGI:1355315</v>
      </c>
      <c r="P2066" t="s">
        <v>21483</v>
      </c>
      <c r="Q2066" t="s">
        <v>32</v>
      </c>
      <c r="R2066" t="s">
        <v>186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405</v>
      </c>
      <c r="Y2066" t="s">
        <v>618</v>
      </c>
      <c r="Z2066" t="s">
        <v>32</v>
      </c>
      <c r="AA2066" t="s">
        <v>23848</v>
      </c>
      <c r="AB2066" t="s">
        <v>23849</v>
      </c>
      <c r="AC2066" t="s">
        <v>23850</v>
      </c>
      <c r="AD2066" t="s">
        <v>32</v>
      </c>
      <c r="AE2066" t="s">
        <v>23851</v>
      </c>
      <c r="AF2066" t="s">
        <v>46835</v>
      </c>
    </row>
    <row r="2067" spans="1:33" x14ac:dyDescent="0.2">
      <c r="A2067">
        <v>2062</v>
      </c>
      <c r="B2067" t="s">
        <v>23852</v>
      </c>
      <c r="C2067" t="s">
        <v>23853</v>
      </c>
      <c r="D2067" t="s">
        <v>32</v>
      </c>
      <c r="E2067" t="s">
        <v>23854</v>
      </c>
      <c r="F2067" t="s">
        <v>23855</v>
      </c>
      <c r="G2067" t="s">
        <v>32</v>
      </c>
      <c r="H2067" t="str">
        <f>"Ociad2"</f>
        <v>Ociad2</v>
      </c>
      <c r="I2067" t="s">
        <v>32</v>
      </c>
      <c r="J2067" t="s">
        <v>37</v>
      </c>
      <c r="K2067">
        <v>10090</v>
      </c>
      <c r="L2067" s="3" t="str">
        <f>HYPERLINK("http://www.uniprot.org/uniprot/Q9D8W7", "Q9D8W7")</f>
        <v>Q9D8W7</v>
      </c>
      <c r="M2067" t="s">
        <v>23856</v>
      </c>
      <c r="N2067" t="str">
        <f>"Ociad2"</f>
        <v>Ociad2</v>
      </c>
      <c r="O2067" s="3" t="str">
        <f>HYPERLINK("http://www.informatics.jax.org/marker/MGI:1916377", "MGI:1916377")</f>
        <v>MGI:1916377</v>
      </c>
      <c r="P2067" t="s">
        <v>23857</v>
      </c>
      <c r="Q2067" t="s">
        <v>32</v>
      </c>
      <c r="R2067" t="s">
        <v>11451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32</v>
      </c>
      <c r="Y2067" t="s">
        <v>78</v>
      </c>
      <c r="Z2067" t="s">
        <v>32</v>
      </c>
      <c r="AA2067" t="s">
        <v>23858</v>
      </c>
      <c r="AB2067" t="s">
        <v>23859</v>
      </c>
      <c r="AC2067" t="s">
        <v>32</v>
      </c>
      <c r="AD2067" t="s">
        <v>32</v>
      </c>
      <c r="AE2067" t="s">
        <v>32</v>
      </c>
      <c r="AF2067" t="s">
        <v>46835</v>
      </c>
    </row>
    <row r="2068" spans="1:33" x14ac:dyDescent="0.2">
      <c r="A2068">
        <v>2063</v>
      </c>
      <c r="B2068" t="s">
        <v>23860</v>
      </c>
      <c r="C2068" t="s">
        <v>23861</v>
      </c>
      <c r="D2068" t="s">
        <v>23862</v>
      </c>
      <c r="E2068" t="s">
        <v>23863</v>
      </c>
      <c r="F2068" t="s">
        <v>23864</v>
      </c>
      <c r="G2068" t="s">
        <v>23865</v>
      </c>
      <c r="H2068" t="str">
        <f>"Pfkm"</f>
        <v>Pfkm</v>
      </c>
      <c r="I2068" t="s">
        <v>23866</v>
      </c>
      <c r="J2068" t="s">
        <v>37</v>
      </c>
      <c r="K2068">
        <v>10090</v>
      </c>
      <c r="L2068" s="3" t="str">
        <f>HYPERLINK("http://www.uniprot.org/uniprot/P47857", "P47857")</f>
        <v>P47857</v>
      </c>
      <c r="M2068" t="s">
        <v>23867</v>
      </c>
      <c r="N2068" t="str">
        <f>"Pfkm"</f>
        <v>Pfkm</v>
      </c>
      <c r="O2068" s="3" t="str">
        <f>HYPERLINK("http://www.informatics.jax.org/marker/MGI:97548", "MGI:97548")</f>
        <v>MGI:97548</v>
      </c>
      <c r="P2068" t="s">
        <v>23868</v>
      </c>
      <c r="Q2068" t="s">
        <v>221</v>
      </c>
      <c r="R2068" t="s">
        <v>23869</v>
      </c>
      <c r="S2068" t="s">
        <v>41</v>
      </c>
      <c r="T2068" t="s">
        <v>32</v>
      </c>
      <c r="U2068" t="s">
        <v>32</v>
      </c>
      <c r="V2068" t="s">
        <v>32</v>
      </c>
      <c r="W2068" t="s">
        <v>1266</v>
      </c>
      <c r="X2068" t="s">
        <v>307</v>
      </c>
      <c r="Y2068" t="s">
        <v>23870</v>
      </c>
      <c r="Z2068" t="s">
        <v>32</v>
      </c>
      <c r="AA2068" t="s">
        <v>23871</v>
      </c>
      <c r="AB2068" t="s">
        <v>23872</v>
      </c>
      <c r="AC2068" t="s">
        <v>23873</v>
      </c>
      <c r="AD2068" t="s">
        <v>5653</v>
      </c>
      <c r="AE2068" t="s">
        <v>9647</v>
      </c>
      <c r="AF2068" t="s">
        <v>46835</v>
      </c>
    </row>
    <row r="2069" spans="1:33" x14ac:dyDescent="0.2">
      <c r="A2069">
        <v>2064</v>
      </c>
      <c r="B2069" t="s">
        <v>23874</v>
      </c>
      <c r="C2069" t="s">
        <v>23875</v>
      </c>
      <c r="D2069" t="s">
        <v>23876</v>
      </c>
      <c r="E2069" t="s">
        <v>23877</v>
      </c>
      <c r="F2069" t="s">
        <v>23878</v>
      </c>
      <c r="G2069" t="s">
        <v>23879</v>
      </c>
      <c r="H2069" t="str">
        <f>"Saal1"</f>
        <v>Saal1</v>
      </c>
      <c r="I2069" t="s">
        <v>32</v>
      </c>
      <c r="J2069" t="s">
        <v>37</v>
      </c>
      <c r="K2069">
        <v>10090</v>
      </c>
      <c r="L2069" s="3" t="str">
        <f>HYPERLINK("http://www.uniprot.org/uniprot/Q9D2C2", "Q9D2C2")</f>
        <v>Q9D2C2</v>
      </c>
      <c r="M2069" t="s">
        <v>23880</v>
      </c>
      <c r="N2069" t="str">
        <f>"Saal1"</f>
        <v>Saal1</v>
      </c>
      <c r="O2069" s="3" t="str">
        <f>HYPERLINK("http://www.informatics.jax.org/marker/MGI:1926185", "MGI:1926185")</f>
        <v>MGI:1926185</v>
      </c>
      <c r="P2069" t="s">
        <v>23881</v>
      </c>
      <c r="Q2069" t="s">
        <v>32</v>
      </c>
      <c r="R2069" t="s">
        <v>2279</v>
      </c>
      <c r="S2069" t="s">
        <v>41</v>
      </c>
      <c r="T2069" t="s">
        <v>32</v>
      </c>
      <c r="U2069" t="s">
        <v>32</v>
      </c>
      <c r="V2069" t="s">
        <v>32</v>
      </c>
      <c r="W2069" t="s">
        <v>32</v>
      </c>
      <c r="X2069" t="s">
        <v>32</v>
      </c>
      <c r="Y2069" t="s">
        <v>618</v>
      </c>
      <c r="Z2069" t="s">
        <v>32</v>
      </c>
      <c r="AA2069" t="s">
        <v>23882</v>
      </c>
      <c r="AB2069" t="s">
        <v>7318</v>
      </c>
      <c r="AC2069" t="s">
        <v>32</v>
      </c>
      <c r="AD2069" t="s">
        <v>32</v>
      </c>
      <c r="AE2069" t="s">
        <v>32</v>
      </c>
      <c r="AF2069" t="s">
        <v>46835</v>
      </c>
    </row>
    <row r="2070" spans="1:33" x14ac:dyDescent="0.2">
      <c r="A2070">
        <v>2065</v>
      </c>
      <c r="B2070" t="s">
        <v>23883</v>
      </c>
      <c r="C2070" t="s">
        <v>47179</v>
      </c>
      <c r="D2070" t="s">
        <v>32</v>
      </c>
      <c r="E2070" t="s">
        <v>46948</v>
      </c>
      <c r="F2070" t="s">
        <v>46947</v>
      </c>
      <c r="G2070" t="s">
        <v>32</v>
      </c>
      <c r="H2070" t="s">
        <v>47310</v>
      </c>
      <c r="I2070" t="s">
        <v>32</v>
      </c>
      <c r="J2070" t="s">
        <v>37</v>
      </c>
      <c r="K2070">
        <v>10090</v>
      </c>
      <c r="L2070" s="3" t="str">
        <f>HYPERLINK(CONCATENATE("https://www.uniprot.org/uniprotkb/", AG2070, "/entry"), AG2070)</f>
        <v>F8VPK0</v>
      </c>
      <c r="M2070" t="s">
        <v>32</v>
      </c>
      <c r="N2070" t="s">
        <v>32</v>
      </c>
      <c r="O2070" s="3" t="s">
        <v>32</v>
      </c>
      <c r="P2070" t="s">
        <v>32</v>
      </c>
      <c r="Q2070" t="s">
        <v>32</v>
      </c>
      <c r="R2070" t="s">
        <v>32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32</v>
      </c>
      <c r="Y2070" t="s">
        <v>32</v>
      </c>
      <c r="Z2070" t="s">
        <v>32</v>
      </c>
      <c r="AA2070" t="s">
        <v>32</v>
      </c>
      <c r="AB2070" t="s">
        <v>32</v>
      </c>
      <c r="AC2070" t="s">
        <v>32</v>
      </c>
      <c r="AD2070" t="s">
        <v>32</v>
      </c>
      <c r="AE2070" t="s">
        <v>32</v>
      </c>
      <c r="AF2070" t="s">
        <v>46835</v>
      </c>
      <c r="AG2070" t="s">
        <v>46947</v>
      </c>
    </row>
    <row r="2071" spans="1:33" x14ac:dyDescent="0.2">
      <c r="A2071">
        <v>2066</v>
      </c>
      <c r="B2071" t="s">
        <v>23884</v>
      </c>
      <c r="C2071" t="s">
        <v>23885</v>
      </c>
      <c r="D2071" t="s">
        <v>32</v>
      </c>
      <c r="E2071" t="s">
        <v>23886</v>
      </c>
      <c r="F2071" t="s">
        <v>23887</v>
      </c>
      <c r="G2071" t="s">
        <v>32</v>
      </c>
      <c r="H2071" t="str">
        <f>"Mkln1"</f>
        <v>Mkln1</v>
      </c>
      <c r="I2071" t="s">
        <v>32</v>
      </c>
      <c r="J2071" t="s">
        <v>37</v>
      </c>
      <c r="K2071">
        <v>10090</v>
      </c>
      <c r="L2071" s="3" t="str">
        <f>HYPERLINK("http://www.uniprot.org/uniprot/O89050", "O89050")</f>
        <v>O89050</v>
      </c>
      <c r="M2071" t="s">
        <v>23888</v>
      </c>
      <c r="N2071" t="str">
        <f>"Mkln1"</f>
        <v>Mkln1</v>
      </c>
      <c r="O2071" s="3" t="str">
        <f>HYPERLINK("http://www.informatics.jax.org/marker/MGI:1351638", "MGI:1351638")</f>
        <v>MGI:1351638</v>
      </c>
      <c r="P2071" t="s">
        <v>23889</v>
      </c>
      <c r="Q2071" t="s">
        <v>32</v>
      </c>
      <c r="R2071" t="s">
        <v>3277</v>
      </c>
      <c r="S2071" t="s">
        <v>32</v>
      </c>
      <c r="T2071" t="s">
        <v>32</v>
      </c>
      <c r="U2071" t="s">
        <v>32</v>
      </c>
      <c r="V2071" t="s">
        <v>11766</v>
      </c>
      <c r="W2071" t="s">
        <v>32</v>
      </c>
      <c r="X2071" t="s">
        <v>32</v>
      </c>
      <c r="Y2071" t="s">
        <v>78</v>
      </c>
      <c r="Z2071" t="s">
        <v>126</v>
      </c>
      <c r="AA2071" t="s">
        <v>23890</v>
      </c>
      <c r="AB2071" t="s">
        <v>23891</v>
      </c>
      <c r="AC2071" t="s">
        <v>7805</v>
      </c>
      <c r="AD2071" t="s">
        <v>32</v>
      </c>
      <c r="AE2071" t="s">
        <v>32</v>
      </c>
      <c r="AF2071" t="s">
        <v>46835</v>
      </c>
    </row>
    <row r="2072" spans="1:33" x14ac:dyDescent="0.2">
      <c r="A2072">
        <v>2067</v>
      </c>
      <c r="B2072" t="s">
        <v>23892</v>
      </c>
      <c r="C2072" t="s">
        <v>23893</v>
      </c>
      <c r="D2072" t="s">
        <v>23894</v>
      </c>
      <c r="E2072" t="s">
        <v>23895</v>
      </c>
      <c r="F2072" t="s">
        <v>23896</v>
      </c>
      <c r="G2072" t="s">
        <v>23897</v>
      </c>
      <c r="H2072" t="str">
        <f>"Ap3s1"</f>
        <v>Ap3s1</v>
      </c>
      <c r="I2072" t="s">
        <v>32</v>
      </c>
      <c r="J2072" t="s">
        <v>37</v>
      </c>
      <c r="K2072">
        <v>10090</v>
      </c>
      <c r="L2072" s="3" t="str">
        <f>HYPERLINK("http://www.uniprot.org/uniprot/Q9DCR2", "Q9DCR2")</f>
        <v>Q9DCR2</v>
      </c>
      <c r="M2072" t="s">
        <v>23898</v>
      </c>
      <c r="N2072" t="str">
        <f>"Ap3s1"</f>
        <v>Ap3s1</v>
      </c>
      <c r="O2072" s="3" t="str">
        <f>HYPERLINK("http://www.informatics.jax.org/marker/MGI:1337062", "MGI:1337062")</f>
        <v>MGI:1337062</v>
      </c>
      <c r="P2072" t="s">
        <v>17204</v>
      </c>
      <c r="Q2072" t="s">
        <v>434</v>
      </c>
      <c r="R2072" t="s">
        <v>9099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32</v>
      </c>
      <c r="Y2072" t="s">
        <v>618</v>
      </c>
      <c r="Z2072" t="s">
        <v>32</v>
      </c>
      <c r="AA2072" t="s">
        <v>23899</v>
      </c>
      <c r="AB2072" t="s">
        <v>23900</v>
      </c>
      <c r="AC2072" t="s">
        <v>32</v>
      </c>
      <c r="AD2072" t="s">
        <v>32</v>
      </c>
      <c r="AE2072" t="s">
        <v>10968</v>
      </c>
      <c r="AF2072" t="s">
        <v>46835</v>
      </c>
    </row>
    <row r="2073" spans="1:33" x14ac:dyDescent="0.2">
      <c r="A2073">
        <v>2068</v>
      </c>
      <c r="B2073" t="s">
        <v>23901</v>
      </c>
      <c r="C2073" t="s">
        <v>23902</v>
      </c>
      <c r="D2073" t="s">
        <v>32</v>
      </c>
      <c r="E2073" t="s">
        <v>23903</v>
      </c>
      <c r="F2073" t="s">
        <v>23904</v>
      </c>
      <c r="G2073" t="s">
        <v>23905</v>
      </c>
      <c r="H2073" t="str">
        <f>"Fyco1"</f>
        <v>Fyco1</v>
      </c>
      <c r="I2073" t="s">
        <v>32</v>
      </c>
      <c r="J2073" t="s">
        <v>37</v>
      </c>
      <c r="K2073">
        <v>10090</v>
      </c>
      <c r="L2073" s="3" t="str">
        <f>HYPERLINK("http://www.uniprot.org/uniprot/Q8VDC1", "Q8VDC1")</f>
        <v>Q8VDC1</v>
      </c>
      <c r="M2073" t="s">
        <v>23906</v>
      </c>
      <c r="N2073" t="str">
        <f>"Fyco1"</f>
        <v>Fyco1</v>
      </c>
      <c r="O2073" s="3" t="str">
        <f>HYPERLINK("http://www.informatics.jax.org/marker/MGI:107277", "MGI:107277")</f>
        <v>MGI:107277</v>
      </c>
      <c r="P2073" t="s">
        <v>23907</v>
      </c>
      <c r="Q2073" t="s">
        <v>32</v>
      </c>
      <c r="R2073" t="s">
        <v>23908</v>
      </c>
      <c r="S2073" t="s">
        <v>32</v>
      </c>
      <c r="T2073" t="s">
        <v>32</v>
      </c>
      <c r="U2073" t="s">
        <v>32</v>
      </c>
      <c r="V2073" t="s">
        <v>11171</v>
      </c>
      <c r="W2073" t="s">
        <v>42</v>
      </c>
      <c r="X2073" t="s">
        <v>32</v>
      </c>
      <c r="Y2073" t="s">
        <v>157</v>
      </c>
      <c r="Z2073" t="s">
        <v>126</v>
      </c>
      <c r="AA2073" t="s">
        <v>23909</v>
      </c>
      <c r="AB2073" t="s">
        <v>23910</v>
      </c>
      <c r="AC2073" t="s">
        <v>4525</v>
      </c>
      <c r="AD2073" t="s">
        <v>32</v>
      </c>
      <c r="AE2073" t="s">
        <v>32</v>
      </c>
      <c r="AF2073" t="s">
        <v>46835</v>
      </c>
    </row>
    <row r="2074" spans="1:33" x14ac:dyDescent="0.2">
      <c r="A2074">
        <v>2069</v>
      </c>
      <c r="B2074" t="s">
        <v>23911</v>
      </c>
      <c r="C2074" t="s">
        <v>23912</v>
      </c>
      <c r="D2074" t="s">
        <v>23913</v>
      </c>
      <c r="E2074" t="s">
        <v>23914</v>
      </c>
      <c r="F2074" t="s">
        <v>23915</v>
      </c>
      <c r="G2074" t="s">
        <v>23916</v>
      </c>
      <c r="H2074" t="str">
        <f>"Gtf2e1"</f>
        <v>Gtf2e1</v>
      </c>
      <c r="I2074" t="s">
        <v>32</v>
      </c>
      <c r="J2074" t="s">
        <v>37</v>
      </c>
      <c r="K2074">
        <v>10090</v>
      </c>
      <c r="L2074" s="3" t="str">
        <f>HYPERLINK("http://www.uniprot.org/uniprot/Q9D0D5", "Q9D0D5")</f>
        <v>Q9D0D5</v>
      </c>
      <c r="M2074" t="s">
        <v>23917</v>
      </c>
      <c r="N2074" t="str">
        <f>"Gtf2e1"</f>
        <v>Gtf2e1</v>
      </c>
      <c r="O2074" s="3" t="str">
        <f>HYPERLINK("http://www.informatics.jax.org/marker/MGI:1921447", "MGI:1921447")</f>
        <v>MGI:1921447</v>
      </c>
      <c r="P2074" t="s">
        <v>23918</v>
      </c>
      <c r="Q2074" t="s">
        <v>4152</v>
      </c>
      <c r="R2074" t="s">
        <v>2279</v>
      </c>
      <c r="S2074" t="s">
        <v>32</v>
      </c>
      <c r="T2074" t="s">
        <v>32</v>
      </c>
      <c r="U2074" t="s">
        <v>32</v>
      </c>
      <c r="V2074" t="s">
        <v>446</v>
      </c>
      <c r="W2074" t="s">
        <v>42</v>
      </c>
      <c r="X2074" t="s">
        <v>32</v>
      </c>
      <c r="Y2074" t="s">
        <v>157</v>
      </c>
      <c r="Z2074" t="s">
        <v>32</v>
      </c>
      <c r="AA2074" t="s">
        <v>23919</v>
      </c>
      <c r="AB2074" t="s">
        <v>23920</v>
      </c>
      <c r="AC2074" t="s">
        <v>23921</v>
      </c>
      <c r="AD2074" t="s">
        <v>32</v>
      </c>
      <c r="AE2074" t="s">
        <v>23922</v>
      </c>
      <c r="AF2074" t="s">
        <v>46835</v>
      </c>
    </row>
    <row r="2075" spans="1:33" x14ac:dyDescent="0.2">
      <c r="A2075">
        <v>2070</v>
      </c>
      <c r="B2075" t="s">
        <v>23923</v>
      </c>
      <c r="C2075" t="s">
        <v>23924</v>
      </c>
      <c r="D2075" t="s">
        <v>32</v>
      </c>
      <c r="E2075" t="s">
        <v>23925</v>
      </c>
      <c r="F2075" t="s">
        <v>23926</v>
      </c>
      <c r="G2075" t="s">
        <v>32</v>
      </c>
      <c r="H2075" t="str">
        <f>"Fbxo22"</f>
        <v>Fbxo22</v>
      </c>
      <c r="I2075" t="s">
        <v>23927</v>
      </c>
      <c r="J2075" t="s">
        <v>37</v>
      </c>
      <c r="K2075">
        <v>10090</v>
      </c>
      <c r="L2075" s="3" t="str">
        <f>HYPERLINK("http://www.uniprot.org/uniprot/Q78JE5", "Q78JE5")</f>
        <v>Q78JE5</v>
      </c>
      <c r="M2075" t="s">
        <v>23928</v>
      </c>
      <c r="N2075" t="str">
        <f>"Fbxo22"</f>
        <v>Fbxo22</v>
      </c>
      <c r="O2075" s="3" t="str">
        <f>HYPERLINK("http://www.informatics.jax.org/marker/MGI:1926014", "MGI:1926014")</f>
        <v>MGI:1926014</v>
      </c>
      <c r="P2075" t="s">
        <v>23929</v>
      </c>
      <c r="Q2075" t="s">
        <v>1020</v>
      </c>
      <c r="R2075" t="s">
        <v>418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32</v>
      </c>
      <c r="Y2075" t="s">
        <v>78</v>
      </c>
      <c r="Z2075" t="s">
        <v>32</v>
      </c>
      <c r="AA2075" t="s">
        <v>23930</v>
      </c>
      <c r="AB2075" t="s">
        <v>23931</v>
      </c>
      <c r="AC2075" t="s">
        <v>32</v>
      </c>
      <c r="AD2075" t="s">
        <v>32</v>
      </c>
      <c r="AE2075" t="s">
        <v>23932</v>
      </c>
      <c r="AF2075" t="s">
        <v>46835</v>
      </c>
    </row>
    <row r="2076" spans="1:33" x14ac:dyDescent="0.2">
      <c r="A2076">
        <v>2071</v>
      </c>
      <c r="B2076" t="s">
        <v>23933</v>
      </c>
      <c r="C2076" t="s">
        <v>23934</v>
      </c>
      <c r="D2076" t="s">
        <v>23935</v>
      </c>
      <c r="E2076" t="s">
        <v>23936</v>
      </c>
      <c r="F2076" t="s">
        <v>23937</v>
      </c>
      <c r="G2076" t="s">
        <v>23938</v>
      </c>
      <c r="H2076" t="str">
        <f>"Ccdc47"</f>
        <v>Ccdc47</v>
      </c>
      <c r="I2076" t="s">
        <v>32</v>
      </c>
      <c r="J2076" t="s">
        <v>37</v>
      </c>
      <c r="K2076">
        <v>10090</v>
      </c>
      <c r="L2076" s="3" t="str">
        <f>HYPERLINK("http://www.uniprot.org/uniprot/Q9D024", "Q9D024")</f>
        <v>Q9D024</v>
      </c>
      <c r="M2076" t="s">
        <v>23939</v>
      </c>
      <c r="N2076" t="str">
        <f>"Ccdc47"</f>
        <v>Ccdc47</v>
      </c>
      <c r="O2076" s="3" t="str">
        <f>HYPERLINK("http://www.informatics.jax.org/marker/MGI:1914413", "MGI:1914413")</f>
        <v>MGI:1914413</v>
      </c>
      <c r="P2076" t="s">
        <v>23940</v>
      </c>
      <c r="Q2076" t="s">
        <v>32</v>
      </c>
      <c r="R2076" t="s">
        <v>1664</v>
      </c>
      <c r="S2076" t="s">
        <v>41</v>
      </c>
      <c r="T2076" t="s">
        <v>32</v>
      </c>
      <c r="U2076" t="s">
        <v>32</v>
      </c>
      <c r="V2076" t="s">
        <v>15639</v>
      </c>
      <c r="W2076" t="s">
        <v>32</v>
      </c>
      <c r="X2076" t="s">
        <v>388</v>
      </c>
      <c r="Y2076" t="s">
        <v>3733</v>
      </c>
      <c r="Z2076" t="s">
        <v>32</v>
      </c>
      <c r="AA2076" t="s">
        <v>23941</v>
      </c>
      <c r="AB2076" t="s">
        <v>23942</v>
      </c>
      <c r="AC2076" t="s">
        <v>23943</v>
      </c>
      <c r="AD2076" t="s">
        <v>32</v>
      </c>
      <c r="AE2076" t="s">
        <v>32</v>
      </c>
      <c r="AF2076" t="s">
        <v>46835</v>
      </c>
    </row>
    <row r="2077" spans="1:33" x14ac:dyDescent="0.2">
      <c r="A2077">
        <v>2072</v>
      </c>
      <c r="B2077" t="s">
        <v>23944</v>
      </c>
      <c r="C2077" t="s">
        <v>47147</v>
      </c>
      <c r="D2077" t="s">
        <v>32</v>
      </c>
      <c r="E2077" t="s">
        <v>46950</v>
      </c>
      <c r="F2077" t="s">
        <v>46949</v>
      </c>
      <c r="G2077" t="s">
        <v>32</v>
      </c>
      <c r="H2077" t="s">
        <v>47278</v>
      </c>
      <c r="I2077" t="s">
        <v>32</v>
      </c>
      <c r="J2077" t="s">
        <v>37</v>
      </c>
      <c r="K2077">
        <v>10090</v>
      </c>
      <c r="L2077" s="3" t="str">
        <f>HYPERLINK(CONCATENATE("https://www.uniprot.org/uniprotkb/", AG2077, "/entry"), AG2077)</f>
        <v>Q6NZR5</v>
      </c>
      <c r="M2077" t="s">
        <v>32</v>
      </c>
      <c r="N2077" t="s">
        <v>32</v>
      </c>
      <c r="O2077" s="3" t="s">
        <v>32</v>
      </c>
      <c r="P2077" t="s">
        <v>32</v>
      </c>
      <c r="Q2077" t="s">
        <v>32</v>
      </c>
      <c r="R2077" t="s">
        <v>32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32</v>
      </c>
      <c r="Y2077" t="s">
        <v>32</v>
      </c>
      <c r="Z2077" t="s">
        <v>32</v>
      </c>
      <c r="AA2077" t="s">
        <v>32</v>
      </c>
      <c r="AB2077" t="s">
        <v>32</v>
      </c>
      <c r="AC2077" t="s">
        <v>32</v>
      </c>
      <c r="AD2077" t="s">
        <v>32</v>
      </c>
      <c r="AE2077" t="s">
        <v>32</v>
      </c>
      <c r="AF2077" t="s">
        <v>46835</v>
      </c>
      <c r="AG2077" t="s">
        <v>46949</v>
      </c>
    </row>
    <row r="2078" spans="1:33" x14ac:dyDescent="0.2">
      <c r="A2078">
        <v>2073</v>
      </c>
      <c r="B2078" t="s">
        <v>23945</v>
      </c>
      <c r="C2078" t="s">
        <v>23946</v>
      </c>
      <c r="D2078" t="s">
        <v>23947</v>
      </c>
      <c r="E2078" t="s">
        <v>23948</v>
      </c>
      <c r="F2078" t="s">
        <v>23949</v>
      </c>
      <c r="G2078" t="s">
        <v>23950</v>
      </c>
      <c r="H2078" t="str">
        <f>"Msh6"</f>
        <v>Msh6</v>
      </c>
      <c r="I2078" t="s">
        <v>23951</v>
      </c>
      <c r="J2078" t="s">
        <v>37</v>
      </c>
      <c r="K2078">
        <v>10090</v>
      </c>
      <c r="L2078" s="3" t="str">
        <f>HYPERLINK("http://www.uniprot.org/uniprot/P54276", "P54276")</f>
        <v>P54276</v>
      </c>
      <c r="M2078" t="s">
        <v>23952</v>
      </c>
      <c r="N2078" t="str">
        <f>"Msh6"</f>
        <v>Msh6</v>
      </c>
      <c r="O2078" s="3" t="str">
        <f>HYPERLINK("http://www.informatics.jax.org/marker/MGI:1343961", "MGI:1343961")</f>
        <v>MGI:1343961</v>
      </c>
      <c r="P2078" t="s">
        <v>23953</v>
      </c>
      <c r="Q2078" t="s">
        <v>11886</v>
      </c>
      <c r="R2078" t="s">
        <v>1939</v>
      </c>
      <c r="S2078" t="s">
        <v>32</v>
      </c>
      <c r="T2078" t="s">
        <v>32</v>
      </c>
      <c r="U2078" t="s">
        <v>32</v>
      </c>
      <c r="V2078" t="s">
        <v>32</v>
      </c>
      <c r="W2078" t="s">
        <v>205</v>
      </c>
      <c r="X2078" t="s">
        <v>247</v>
      </c>
      <c r="Y2078" t="s">
        <v>157</v>
      </c>
      <c r="Z2078" t="s">
        <v>32</v>
      </c>
      <c r="AA2078" t="s">
        <v>23954</v>
      </c>
      <c r="AB2078" t="s">
        <v>23955</v>
      </c>
      <c r="AC2078" t="s">
        <v>23956</v>
      </c>
      <c r="AD2078" t="s">
        <v>32</v>
      </c>
      <c r="AE2078" t="s">
        <v>23957</v>
      </c>
      <c r="AF2078" t="s">
        <v>46835</v>
      </c>
    </row>
    <row r="2079" spans="1:33" x14ac:dyDescent="0.2">
      <c r="A2079">
        <v>2074</v>
      </c>
      <c r="B2079" t="s">
        <v>23958</v>
      </c>
      <c r="C2079" t="s">
        <v>23959</v>
      </c>
      <c r="D2079" t="s">
        <v>23960</v>
      </c>
      <c r="E2079" t="s">
        <v>23961</v>
      </c>
      <c r="F2079" t="s">
        <v>23962</v>
      </c>
      <c r="G2079" t="s">
        <v>23963</v>
      </c>
      <c r="H2079" t="str">
        <f>"Acot7"</f>
        <v>Acot7</v>
      </c>
      <c r="I2079" t="s">
        <v>23964</v>
      </c>
      <c r="J2079" t="s">
        <v>37</v>
      </c>
      <c r="K2079">
        <v>10090</v>
      </c>
      <c r="L2079" s="3" t="str">
        <f>HYPERLINK("http://www.uniprot.org/uniprot/Q91V12", "Q91V12")</f>
        <v>Q91V12</v>
      </c>
      <c r="M2079" t="s">
        <v>23965</v>
      </c>
      <c r="N2079" t="str">
        <f>"Acot7"</f>
        <v>Acot7</v>
      </c>
      <c r="O2079" s="3" t="str">
        <f>HYPERLINK("http://www.informatics.jax.org/marker/MGI:1917275", "MGI:1917275")</f>
        <v>MGI:1917275</v>
      </c>
      <c r="P2079" t="s">
        <v>23966</v>
      </c>
      <c r="Q2079" t="s">
        <v>6214</v>
      </c>
      <c r="R2079" t="s">
        <v>418</v>
      </c>
      <c r="S2079" t="s">
        <v>41</v>
      </c>
      <c r="T2079" t="s">
        <v>32</v>
      </c>
      <c r="U2079" t="s">
        <v>32</v>
      </c>
      <c r="V2079" t="s">
        <v>55</v>
      </c>
      <c r="W2079" t="s">
        <v>32</v>
      </c>
      <c r="X2079" t="s">
        <v>8988</v>
      </c>
      <c r="Y2079" t="s">
        <v>78</v>
      </c>
      <c r="Z2079" t="s">
        <v>126</v>
      </c>
      <c r="AA2079" t="s">
        <v>23967</v>
      </c>
      <c r="AB2079" t="s">
        <v>23968</v>
      </c>
      <c r="AC2079" t="s">
        <v>23969</v>
      </c>
      <c r="AD2079" t="s">
        <v>15468</v>
      </c>
      <c r="AE2079" t="s">
        <v>4429</v>
      </c>
      <c r="AF2079" t="s">
        <v>46835</v>
      </c>
    </row>
    <row r="2080" spans="1:33" x14ac:dyDescent="0.2">
      <c r="A2080">
        <v>2075</v>
      </c>
      <c r="B2080" t="s">
        <v>23970</v>
      </c>
      <c r="C2080" t="s">
        <v>23971</v>
      </c>
      <c r="D2080" t="s">
        <v>23972</v>
      </c>
      <c r="E2080" t="s">
        <v>23973</v>
      </c>
      <c r="F2080" t="s">
        <v>23974</v>
      </c>
      <c r="G2080" t="s">
        <v>23975</v>
      </c>
      <c r="H2080" t="str">
        <f>"Ftl1"</f>
        <v>Ftl1</v>
      </c>
      <c r="I2080" t="s">
        <v>23976</v>
      </c>
      <c r="J2080" t="s">
        <v>37</v>
      </c>
      <c r="K2080">
        <v>10090</v>
      </c>
      <c r="L2080" s="3" t="str">
        <f>HYPERLINK("http://www.uniprot.org/uniprot/P29391", "P29391")</f>
        <v>P29391</v>
      </c>
      <c r="M2080" t="s">
        <v>23977</v>
      </c>
      <c r="N2080" t="str">
        <f>"Ftl1"</f>
        <v>Ftl1</v>
      </c>
      <c r="O2080" s="3" t="str">
        <f>HYPERLINK("http://www.informatics.jax.org/marker/MGI:95589", "MGI:95589")</f>
        <v>MGI:95589</v>
      </c>
      <c r="P2080" t="s">
        <v>23978</v>
      </c>
      <c r="Q2080" t="s">
        <v>23979</v>
      </c>
      <c r="R2080" t="s">
        <v>32</v>
      </c>
      <c r="S2080" t="s">
        <v>32</v>
      </c>
      <c r="T2080" t="s">
        <v>32</v>
      </c>
      <c r="U2080" t="s">
        <v>32</v>
      </c>
      <c r="V2080" t="s">
        <v>32</v>
      </c>
      <c r="W2080" t="s">
        <v>845</v>
      </c>
      <c r="X2080" t="s">
        <v>32</v>
      </c>
      <c r="Y2080" t="s">
        <v>32</v>
      </c>
      <c r="Z2080" t="s">
        <v>126</v>
      </c>
      <c r="AA2080" t="s">
        <v>23980</v>
      </c>
      <c r="AB2080" t="s">
        <v>23981</v>
      </c>
      <c r="AC2080" t="s">
        <v>23982</v>
      </c>
      <c r="AD2080" t="s">
        <v>32</v>
      </c>
      <c r="AE2080" t="s">
        <v>32</v>
      </c>
      <c r="AF2080" t="s">
        <v>46835</v>
      </c>
    </row>
    <row r="2081" spans="1:32" x14ac:dyDescent="0.2">
      <c r="A2081">
        <v>2076</v>
      </c>
      <c r="B2081" t="s">
        <v>23983</v>
      </c>
      <c r="C2081" t="s">
        <v>23984</v>
      </c>
      <c r="D2081" t="s">
        <v>23985</v>
      </c>
      <c r="E2081" t="s">
        <v>23986</v>
      </c>
      <c r="F2081" t="s">
        <v>23987</v>
      </c>
      <c r="G2081" t="s">
        <v>23988</v>
      </c>
      <c r="H2081" t="str">
        <f>"Dpm1"</f>
        <v>Dpm1</v>
      </c>
      <c r="I2081" t="s">
        <v>32</v>
      </c>
      <c r="J2081" t="s">
        <v>37</v>
      </c>
      <c r="K2081">
        <v>10090</v>
      </c>
      <c r="L2081" s="3" t="str">
        <f>HYPERLINK("http://www.uniprot.org/uniprot/O70152", "O70152")</f>
        <v>O70152</v>
      </c>
      <c r="M2081" t="s">
        <v>23989</v>
      </c>
      <c r="N2081" t="str">
        <f>"Dpm1"</f>
        <v>Dpm1</v>
      </c>
      <c r="O2081" s="3" t="str">
        <f>HYPERLINK("http://www.informatics.jax.org/marker/MGI:1330239", "MGI:1330239")</f>
        <v>MGI:1330239</v>
      </c>
      <c r="P2081" t="s">
        <v>23990</v>
      </c>
      <c r="Q2081" t="s">
        <v>32</v>
      </c>
      <c r="R2081" t="s">
        <v>671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2362</v>
      </c>
      <c r="Y2081" t="s">
        <v>157</v>
      </c>
      <c r="Z2081" t="s">
        <v>32</v>
      </c>
      <c r="AA2081" t="s">
        <v>23991</v>
      </c>
      <c r="AB2081" t="s">
        <v>23992</v>
      </c>
      <c r="AC2081" t="s">
        <v>23993</v>
      </c>
      <c r="AD2081" t="s">
        <v>3952</v>
      </c>
      <c r="AE2081" t="s">
        <v>23994</v>
      </c>
      <c r="AF2081" t="s">
        <v>46835</v>
      </c>
    </row>
    <row r="2082" spans="1:32" x14ac:dyDescent="0.2">
      <c r="A2082">
        <v>2077</v>
      </c>
      <c r="B2082" t="s">
        <v>23995</v>
      </c>
      <c r="C2082" t="s">
        <v>23996</v>
      </c>
      <c r="D2082" t="s">
        <v>23997</v>
      </c>
      <c r="E2082" t="s">
        <v>23998</v>
      </c>
      <c r="F2082" t="s">
        <v>23999</v>
      </c>
      <c r="G2082" t="s">
        <v>24000</v>
      </c>
      <c r="H2082" t="str">
        <f>"Ric8a"</f>
        <v>Ric8a</v>
      </c>
      <c r="I2082" t="s">
        <v>24001</v>
      </c>
      <c r="J2082" t="s">
        <v>37</v>
      </c>
      <c r="K2082">
        <v>10090</v>
      </c>
      <c r="L2082" s="3" t="str">
        <f>HYPERLINK("http://www.uniprot.org/uniprot/Q3TIR3", "Q3TIR3")</f>
        <v>Q3TIR3</v>
      </c>
      <c r="M2082" t="s">
        <v>24002</v>
      </c>
      <c r="N2082" t="str">
        <f>"Ric8a"</f>
        <v>Ric8a</v>
      </c>
      <c r="O2082" s="3" t="str">
        <f>HYPERLINK("http://www.informatics.jax.org/marker/MGI:2141866", "MGI:2141866")</f>
        <v>MGI:2141866</v>
      </c>
      <c r="P2082" t="s">
        <v>24003</v>
      </c>
      <c r="Q2082" t="s">
        <v>32</v>
      </c>
      <c r="R2082" t="s">
        <v>222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5011</v>
      </c>
      <c r="Y2082" t="s">
        <v>618</v>
      </c>
      <c r="Z2082" t="s">
        <v>32</v>
      </c>
      <c r="AA2082" t="s">
        <v>24004</v>
      </c>
      <c r="AB2082" t="s">
        <v>24005</v>
      </c>
      <c r="AC2082" t="s">
        <v>24006</v>
      </c>
      <c r="AD2082" t="s">
        <v>32</v>
      </c>
      <c r="AE2082" t="s">
        <v>32</v>
      </c>
      <c r="AF2082" t="s">
        <v>46835</v>
      </c>
    </row>
    <row r="2083" spans="1:32" x14ac:dyDescent="0.2">
      <c r="A2083">
        <v>2078</v>
      </c>
      <c r="B2083" t="s">
        <v>24007</v>
      </c>
      <c r="C2083" t="s">
        <v>24008</v>
      </c>
      <c r="D2083" t="s">
        <v>32</v>
      </c>
      <c r="E2083" t="s">
        <v>24009</v>
      </c>
      <c r="F2083" t="s">
        <v>24010</v>
      </c>
      <c r="G2083" t="s">
        <v>32</v>
      </c>
      <c r="H2083" t="str">
        <f>"Iah1"</f>
        <v>Iah1</v>
      </c>
      <c r="I2083" t="s">
        <v>32</v>
      </c>
      <c r="J2083" t="s">
        <v>37</v>
      </c>
      <c r="K2083">
        <v>10090</v>
      </c>
      <c r="L2083" s="3" t="str">
        <f>HYPERLINK("http://www.uniprot.org/uniprot/Q9DB29", "Q9DB29")</f>
        <v>Q9DB29</v>
      </c>
      <c r="M2083" t="s">
        <v>24011</v>
      </c>
      <c r="N2083" t="str">
        <f>"Iah1"</f>
        <v>Iah1</v>
      </c>
      <c r="O2083" s="3" t="str">
        <f>HYPERLINK("http://www.informatics.jax.org/marker/MGI:1914982", "MGI:1914982")</f>
        <v>MGI:1914982</v>
      </c>
      <c r="P2083" t="s">
        <v>24012</v>
      </c>
      <c r="Q2083" t="s">
        <v>4809</v>
      </c>
      <c r="R2083" t="s">
        <v>32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343</v>
      </c>
      <c r="Y2083" t="s">
        <v>32</v>
      </c>
      <c r="Z2083" t="s">
        <v>32</v>
      </c>
      <c r="AA2083" t="s">
        <v>24013</v>
      </c>
      <c r="AB2083" t="s">
        <v>32</v>
      </c>
      <c r="AC2083" t="s">
        <v>24014</v>
      </c>
      <c r="AD2083" t="s">
        <v>32</v>
      </c>
      <c r="AE2083" t="s">
        <v>32</v>
      </c>
      <c r="AF2083" t="s">
        <v>46835</v>
      </c>
    </row>
    <row r="2084" spans="1:32" x14ac:dyDescent="0.2">
      <c r="A2084">
        <v>2079</v>
      </c>
      <c r="B2084" t="s">
        <v>24015</v>
      </c>
      <c r="C2084" t="s">
        <v>24016</v>
      </c>
      <c r="D2084" t="s">
        <v>24017</v>
      </c>
      <c r="E2084" t="s">
        <v>24018</v>
      </c>
      <c r="F2084" t="s">
        <v>24019</v>
      </c>
      <c r="G2084" t="s">
        <v>24020</v>
      </c>
      <c r="H2084" t="str">
        <f>"Cfap36"</f>
        <v>Cfap36</v>
      </c>
      <c r="I2084" t="s">
        <v>32</v>
      </c>
      <c r="J2084" t="s">
        <v>37</v>
      </c>
      <c r="K2084">
        <v>10090</v>
      </c>
      <c r="L2084" s="3" t="str">
        <f>HYPERLINK("http://www.uniprot.org/uniprot/Q8C6E0", "Q8C6E0")</f>
        <v>Q8C6E0</v>
      </c>
      <c r="M2084" t="s">
        <v>24021</v>
      </c>
      <c r="N2084" t="str">
        <f>"Cfap36"</f>
        <v>Cfap36</v>
      </c>
      <c r="O2084" s="3" t="str">
        <f>HYPERLINK("http://www.informatics.jax.org/marker/MGI:1913994", "MGI:1913994")</f>
        <v>MGI:1913994</v>
      </c>
      <c r="P2084" t="s">
        <v>24022</v>
      </c>
      <c r="Q2084" t="s">
        <v>32</v>
      </c>
      <c r="R2084" t="s">
        <v>24023</v>
      </c>
      <c r="S2084" t="s">
        <v>32</v>
      </c>
      <c r="T2084" t="s">
        <v>32</v>
      </c>
      <c r="U2084" t="s">
        <v>32</v>
      </c>
      <c r="V2084" t="s">
        <v>290</v>
      </c>
      <c r="W2084" t="s">
        <v>32</v>
      </c>
      <c r="X2084" t="s">
        <v>32</v>
      </c>
      <c r="Y2084" t="s">
        <v>618</v>
      </c>
      <c r="Z2084" t="s">
        <v>126</v>
      </c>
      <c r="AA2084" t="s">
        <v>32</v>
      </c>
      <c r="AB2084" t="s">
        <v>24024</v>
      </c>
      <c r="AC2084" t="s">
        <v>15446</v>
      </c>
      <c r="AD2084" t="s">
        <v>32</v>
      </c>
      <c r="AE2084" t="s">
        <v>32</v>
      </c>
      <c r="AF2084" t="s">
        <v>46835</v>
      </c>
    </row>
    <row r="2085" spans="1:32" x14ac:dyDescent="0.2">
      <c r="A2085">
        <v>2080</v>
      </c>
      <c r="B2085" t="s">
        <v>24025</v>
      </c>
      <c r="C2085" t="s">
        <v>24026</v>
      </c>
      <c r="D2085" t="s">
        <v>24027</v>
      </c>
      <c r="E2085" t="s">
        <v>24028</v>
      </c>
      <c r="F2085" t="s">
        <v>24029</v>
      </c>
      <c r="G2085" t="s">
        <v>24030</v>
      </c>
      <c r="H2085" t="str">
        <f>"Rabggta"</f>
        <v>Rabggta</v>
      </c>
      <c r="I2085" t="s">
        <v>32</v>
      </c>
      <c r="J2085" t="s">
        <v>37</v>
      </c>
      <c r="K2085">
        <v>10090</v>
      </c>
      <c r="L2085" s="3" t="str">
        <f>HYPERLINK("http://www.uniprot.org/uniprot/Q9JHK4", "Q9JHK4")</f>
        <v>Q9JHK4</v>
      </c>
      <c r="M2085" t="s">
        <v>24031</v>
      </c>
      <c r="N2085" t="str">
        <f>"Rabggta"</f>
        <v>Rabggta</v>
      </c>
      <c r="O2085" s="3" t="str">
        <f>HYPERLINK("http://www.informatics.jax.org/marker/MGI:1860443", "MGI:1860443")</f>
        <v>MGI:1860443</v>
      </c>
      <c r="P2085" t="s">
        <v>24032</v>
      </c>
      <c r="Q2085" t="s">
        <v>32</v>
      </c>
      <c r="R2085" t="s">
        <v>32</v>
      </c>
      <c r="S2085" t="s">
        <v>41</v>
      </c>
      <c r="T2085" t="s">
        <v>32</v>
      </c>
      <c r="U2085" t="s">
        <v>32</v>
      </c>
      <c r="V2085" t="s">
        <v>2701</v>
      </c>
      <c r="W2085" t="s">
        <v>32</v>
      </c>
      <c r="X2085" t="s">
        <v>16432</v>
      </c>
      <c r="Y2085" t="s">
        <v>618</v>
      </c>
      <c r="Z2085" t="s">
        <v>32</v>
      </c>
      <c r="AA2085" t="s">
        <v>24033</v>
      </c>
      <c r="AB2085" t="s">
        <v>24034</v>
      </c>
      <c r="AC2085" t="s">
        <v>24035</v>
      </c>
      <c r="AD2085" t="s">
        <v>32</v>
      </c>
      <c r="AE2085" t="s">
        <v>24036</v>
      </c>
      <c r="AF2085" t="s">
        <v>46835</v>
      </c>
    </row>
    <row r="2086" spans="1:32" x14ac:dyDescent="0.2">
      <c r="A2086">
        <v>2081</v>
      </c>
      <c r="B2086" t="s">
        <v>24037</v>
      </c>
      <c r="C2086" t="s">
        <v>24038</v>
      </c>
      <c r="D2086" t="s">
        <v>32</v>
      </c>
      <c r="E2086" t="s">
        <v>24039</v>
      </c>
      <c r="F2086" t="s">
        <v>24040</v>
      </c>
      <c r="G2086" t="s">
        <v>24041</v>
      </c>
      <c r="H2086" t="str">
        <f>"Arf4"</f>
        <v>Arf4</v>
      </c>
      <c r="I2086" t="s">
        <v>32</v>
      </c>
      <c r="J2086" t="s">
        <v>37</v>
      </c>
      <c r="K2086">
        <v>10090</v>
      </c>
      <c r="L2086" s="3" t="str">
        <f>HYPERLINK("http://www.uniprot.org/uniprot/P61750", "P61750")</f>
        <v>P61750</v>
      </c>
      <c r="M2086" t="s">
        <v>24042</v>
      </c>
      <c r="N2086" t="str">
        <f>"Arf4"</f>
        <v>Arf4</v>
      </c>
      <c r="O2086" s="3" t="str">
        <f>HYPERLINK("http://www.informatics.jax.org/marker/MGI:99433", "MGI:99433")</f>
        <v>MGI:99433</v>
      </c>
      <c r="P2086" t="s">
        <v>24043</v>
      </c>
      <c r="Q2086" t="s">
        <v>2916</v>
      </c>
      <c r="R2086" t="s">
        <v>13904</v>
      </c>
      <c r="S2086" t="s">
        <v>32</v>
      </c>
      <c r="T2086" t="s">
        <v>32</v>
      </c>
      <c r="U2086" t="s">
        <v>32</v>
      </c>
      <c r="V2086" t="s">
        <v>32</v>
      </c>
      <c r="W2086" t="s">
        <v>261</v>
      </c>
      <c r="X2086" t="s">
        <v>32</v>
      </c>
      <c r="Y2086" t="s">
        <v>5562</v>
      </c>
      <c r="Z2086" t="s">
        <v>32</v>
      </c>
      <c r="AA2086" t="s">
        <v>24044</v>
      </c>
      <c r="AB2086" t="s">
        <v>24045</v>
      </c>
      <c r="AC2086" t="s">
        <v>24046</v>
      </c>
      <c r="AD2086" t="s">
        <v>32</v>
      </c>
      <c r="AE2086" t="s">
        <v>24047</v>
      </c>
      <c r="AF2086" t="s">
        <v>46835</v>
      </c>
    </row>
    <row r="2087" spans="1:32" x14ac:dyDescent="0.2">
      <c r="A2087">
        <v>2082</v>
      </c>
      <c r="B2087" t="s">
        <v>24048</v>
      </c>
      <c r="C2087" t="s">
        <v>24049</v>
      </c>
      <c r="D2087" t="s">
        <v>24050</v>
      </c>
      <c r="E2087" t="s">
        <v>24051</v>
      </c>
      <c r="F2087" t="s">
        <v>24052</v>
      </c>
      <c r="G2087" t="s">
        <v>24053</v>
      </c>
      <c r="H2087" t="str">
        <f>"Mad1l1"</f>
        <v>Mad1l1</v>
      </c>
      <c r="I2087" t="s">
        <v>24054</v>
      </c>
      <c r="J2087" t="s">
        <v>37</v>
      </c>
      <c r="K2087">
        <v>10090</v>
      </c>
      <c r="L2087" s="3" t="str">
        <f>HYPERLINK("http://www.uniprot.org/uniprot/Q9WTX8", "Q9WTX8")</f>
        <v>Q9WTX8</v>
      </c>
      <c r="M2087" t="s">
        <v>24055</v>
      </c>
      <c r="N2087" t="str">
        <f>"Mad1l1"</f>
        <v>Mad1l1</v>
      </c>
      <c r="O2087" s="3" t="str">
        <f>HYPERLINK("http://www.informatics.jax.org/marker/MGI:1341857", "MGI:1341857")</f>
        <v>MGI:1341857</v>
      </c>
      <c r="P2087" t="s">
        <v>24056</v>
      </c>
      <c r="Q2087" t="s">
        <v>2968</v>
      </c>
      <c r="R2087" t="s">
        <v>9238</v>
      </c>
      <c r="S2087" t="s">
        <v>41</v>
      </c>
      <c r="T2087" t="s">
        <v>32</v>
      </c>
      <c r="U2087" t="s">
        <v>32</v>
      </c>
      <c r="V2087" t="s">
        <v>290</v>
      </c>
      <c r="W2087" t="s">
        <v>32</v>
      </c>
      <c r="X2087" t="s">
        <v>32</v>
      </c>
      <c r="Y2087" t="s">
        <v>516</v>
      </c>
      <c r="Z2087" t="s">
        <v>32</v>
      </c>
      <c r="AA2087" t="s">
        <v>24057</v>
      </c>
      <c r="AB2087" t="s">
        <v>24058</v>
      </c>
      <c r="AC2087" t="s">
        <v>24059</v>
      </c>
      <c r="AD2087" t="s">
        <v>32</v>
      </c>
      <c r="AE2087" t="s">
        <v>5015</v>
      </c>
      <c r="AF2087" t="s">
        <v>46835</v>
      </c>
    </row>
    <row r="2088" spans="1:32" x14ac:dyDescent="0.2">
      <c r="A2088">
        <v>2083</v>
      </c>
      <c r="B2088" t="s">
        <v>24060</v>
      </c>
      <c r="C2088" t="s">
        <v>24061</v>
      </c>
      <c r="D2088" t="s">
        <v>24062</v>
      </c>
      <c r="E2088" t="s">
        <v>24063</v>
      </c>
      <c r="F2088" t="s">
        <v>24064</v>
      </c>
      <c r="G2088" t="s">
        <v>24065</v>
      </c>
      <c r="H2088" t="str">
        <f>"Cc2d1b"</f>
        <v>Cc2d1b</v>
      </c>
      <c r="I2088" t="s">
        <v>24066</v>
      </c>
      <c r="J2088" t="s">
        <v>37</v>
      </c>
      <c r="K2088">
        <v>10090</v>
      </c>
      <c r="L2088" s="3" t="str">
        <f>HYPERLINK("http://www.uniprot.org/uniprot/Q8BRN9", "Q8BRN9")</f>
        <v>Q8BRN9</v>
      </c>
      <c r="M2088" t="s">
        <v>24067</v>
      </c>
      <c r="N2088" t="str">
        <f>"Cc2d1b"</f>
        <v>Cc2d1b</v>
      </c>
      <c r="O2088" s="3" t="str">
        <f>HYPERLINK("http://www.informatics.jax.org/marker/MGI:2443076", "MGI:2443076")</f>
        <v>MGI:2443076</v>
      </c>
      <c r="P2088" t="s">
        <v>24068</v>
      </c>
      <c r="Q2088" t="s">
        <v>4152</v>
      </c>
      <c r="R2088" t="s">
        <v>2279</v>
      </c>
      <c r="S2088" t="s">
        <v>32</v>
      </c>
      <c r="T2088" t="s">
        <v>32</v>
      </c>
      <c r="U2088" t="s">
        <v>32</v>
      </c>
      <c r="V2088" t="s">
        <v>290</v>
      </c>
      <c r="W2088" t="s">
        <v>32</v>
      </c>
      <c r="X2088" t="s">
        <v>32</v>
      </c>
      <c r="Y2088" t="s">
        <v>618</v>
      </c>
      <c r="Z2088" t="s">
        <v>32</v>
      </c>
      <c r="AA2088" t="s">
        <v>24069</v>
      </c>
      <c r="AB2088" t="s">
        <v>24070</v>
      </c>
      <c r="AC2088" t="s">
        <v>24071</v>
      </c>
      <c r="AD2088" t="s">
        <v>32</v>
      </c>
      <c r="AE2088" t="s">
        <v>24072</v>
      </c>
      <c r="AF2088" t="s">
        <v>46835</v>
      </c>
    </row>
    <row r="2089" spans="1:32" x14ac:dyDescent="0.2">
      <c r="A2089">
        <v>2084</v>
      </c>
      <c r="B2089" t="s">
        <v>24073</v>
      </c>
      <c r="C2089" t="s">
        <v>24074</v>
      </c>
      <c r="D2089" t="s">
        <v>24075</v>
      </c>
      <c r="E2089" t="s">
        <v>24076</v>
      </c>
      <c r="F2089" t="s">
        <v>24077</v>
      </c>
      <c r="G2089" t="s">
        <v>24078</v>
      </c>
      <c r="H2089" t="str">
        <f>"Yme1l1"</f>
        <v>Yme1l1</v>
      </c>
      <c r="I2089" t="s">
        <v>32</v>
      </c>
      <c r="J2089" t="s">
        <v>37</v>
      </c>
      <c r="K2089">
        <v>10090</v>
      </c>
      <c r="L2089" s="3" t="str">
        <f>HYPERLINK("http://www.uniprot.org/uniprot/O88967", "O88967")</f>
        <v>O88967</v>
      </c>
      <c r="M2089" t="s">
        <v>24079</v>
      </c>
      <c r="N2089" t="str">
        <f>"Yme1l1"</f>
        <v>Yme1l1</v>
      </c>
      <c r="O2089" s="3" t="str">
        <f>HYPERLINK("http://www.informatics.jax.org/marker/MGI:1351651", "MGI:1351651")</f>
        <v>MGI:1351651</v>
      </c>
      <c r="P2089" t="s">
        <v>24080</v>
      </c>
      <c r="Q2089" t="s">
        <v>32</v>
      </c>
      <c r="R2089" t="s">
        <v>3858</v>
      </c>
      <c r="S2089" t="s">
        <v>32</v>
      </c>
      <c r="T2089" t="s">
        <v>32</v>
      </c>
      <c r="U2089" t="s">
        <v>32</v>
      </c>
      <c r="V2089" t="s">
        <v>493</v>
      </c>
      <c r="W2089" t="s">
        <v>2325</v>
      </c>
      <c r="X2089" t="s">
        <v>4882</v>
      </c>
      <c r="Y2089" t="s">
        <v>32</v>
      </c>
      <c r="Z2089" t="s">
        <v>32</v>
      </c>
      <c r="AA2089" t="s">
        <v>24081</v>
      </c>
      <c r="AB2089" t="s">
        <v>24082</v>
      </c>
      <c r="AC2089" t="s">
        <v>24083</v>
      </c>
      <c r="AD2089" t="s">
        <v>32</v>
      </c>
      <c r="AE2089" t="s">
        <v>8564</v>
      </c>
      <c r="AF2089" t="s">
        <v>46835</v>
      </c>
    </row>
    <row r="2090" spans="1:32" x14ac:dyDescent="0.2">
      <c r="A2090">
        <v>2085</v>
      </c>
      <c r="B2090" t="s">
        <v>24084</v>
      </c>
      <c r="C2090" t="s">
        <v>24085</v>
      </c>
      <c r="D2090" t="s">
        <v>24086</v>
      </c>
      <c r="E2090" t="s">
        <v>24087</v>
      </c>
      <c r="F2090" t="s">
        <v>24088</v>
      </c>
      <c r="G2090" t="s">
        <v>24089</v>
      </c>
      <c r="H2090" t="str">
        <f>"Dtd1"</f>
        <v>Dtd1</v>
      </c>
      <c r="I2090" t="s">
        <v>24090</v>
      </c>
      <c r="J2090" t="s">
        <v>37</v>
      </c>
      <c r="K2090">
        <v>10090</v>
      </c>
      <c r="L2090" s="3" t="str">
        <f>HYPERLINK("http://www.uniprot.org/uniprot/Q9DD18", "Q9DD18")</f>
        <v>Q9DD18</v>
      </c>
      <c r="M2090" t="s">
        <v>24091</v>
      </c>
      <c r="N2090" t="str">
        <f>"Dtd1"</f>
        <v>Dtd1</v>
      </c>
      <c r="O2090" s="3" t="str">
        <f>HYPERLINK("http://www.informatics.jax.org/marker/MGI:1913294", "MGI:1913294")</f>
        <v>MGI:1913294</v>
      </c>
      <c r="P2090" t="s">
        <v>24092</v>
      </c>
      <c r="Q2090" t="s">
        <v>24093</v>
      </c>
      <c r="R2090" t="s">
        <v>40</v>
      </c>
      <c r="S2090" t="s">
        <v>41</v>
      </c>
      <c r="T2090" t="s">
        <v>32</v>
      </c>
      <c r="U2090" t="s">
        <v>32</v>
      </c>
      <c r="V2090" t="s">
        <v>32</v>
      </c>
      <c r="W2090" t="s">
        <v>8683</v>
      </c>
      <c r="X2090" t="s">
        <v>24094</v>
      </c>
      <c r="Y2090" t="s">
        <v>618</v>
      </c>
      <c r="Z2090" t="s">
        <v>32</v>
      </c>
      <c r="AA2090" t="s">
        <v>24095</v>
      </c>
      <c r="AB2090" t="s">
        <v>110</v>
      </c>
      <c r="AC2090" t="s">
        <v>24096</v>
      </c>
      <c r="AD2090" t="s">
        <v>32</v>
      </c>
      <c r="AE2090" t="s">
        <v>32</v>
      </c>
      <c r="AF2090" t="s">
        <v>46835</v>
      </c>
    </row>
    <row r="2091" spans="1:32" x14ac:dyDescent="0.2">
      <c r="A2091">
        <v>2086</v>
      </c>
      <c r="B2091" t="s">
        <v>24097</v>
      </c>
      <c r="C2091" t="s">
        <v>24098</v>
      </c>
      <c r="D2091" t="s">
        <v>32</v>
      </c>
      <c r="E2091" t="s">
        <v>24099</v>
      </c>
      <c r="F2091" t="s">
        <v>24100</v>
      </c>
      <c r="G2091" t="s">
        <v>24101</v>
      </c>
      <c r="H2091" t="str">
        <f>"Flii"</f>
        <v>Flii</v>
      </c>
      <c r="I2091" t="s">
        <v>24102</v>
      </c>
      <c r="J2091" t="s">
        <v>37</v>
      </c>
      <c r="K2091">
        <v>10090</v>
      </c>
      <c r="L2091" s="3" t="str">
        <f>HYPERLINK("http://www.uniprot.org/uniprot/Q9JJ28", "Q9JJ28")</f>
        <v>Q9JJ28</v>
      </c>
      <c r="M2091" t="s">
        <v>24103</v>
      </c>
      <c r="N2091" t="str">
        <f>"Flii"</f>
        <v>Flii</v>
      </c>
      <c r="O2091" s="3" t="str">
        <f>HYPERLINK("http://www.informatics.jax.org/marker/MGI:1342286", "MGI:1342286")</f>
        <v>MGI:1342286</v>
      </c>
      <c r="P2091" t="s">
        <v>24104</v>
      </c>
      <c r="Q2091" t="s">
        <v>4152</v>
      </c>
      <c r="R2091" t="s">
        <v>3065</v>
      </c>
      <c r="S2091" t="s">
        <v>32</v>
      </c>
      <c r="T2091" t="s">
        <v>32</v>
      </c>
      <c r="U2091" t="s">
        <v>32</v>
      </c>
      <c r="V2091" t="s">
        <v>2701</v>
      </c>
      <c r="W2091" t="s">
        <v>32</v>
      </c>
      <c r="X2091" t="s">
        <v>24105</v>
      </c>
      <c r="Y2091" t="s">
        <v>157</v>
      </c>
      <c r="Z2091" t="s">
        <v>32</v>
      </c>
      <c r="AA2091" t="s">
        <v>24106</v>
      </c>
      <c r="AB2091" t="s">
        <v>24107</v>
      </c>
      <c r="AC2091" t="s">
        <v>24108</v>
      </c>
      <c r="AD2091" t="s">
        <v>32</v>
      </c>
      <c r="AE2091" t="s">
        <v>32</v>
      </c>
      <c r="AF2091" t="s">
        <v>46835</v>
      </c>
    </row>
    <row r="2092" spans="1:32" x14ac:dyDescent="0.2">
      <c r="A2092">
        <v>2087</v>
      </c>
      <c r="B2092" t="s">
        <v>24109</v>
      </c>
      <c r="C2092" t="s">
        <v>24110</v>
      </c>
      <c r="D2092" t="s">
        <v>24111</v>
      </c>
      <c r="E2092" t="s">
        <v>24112</v>
      </c>
      <c r="F2092" t="s">
        <v>24113</v>
      </c>
      <c r="G2092" t="s">
        <v>24114</v>
      </c>
      <c r="H2092" t="str">
        <f>"Xrcc5"</f>
        <v>Xrcc5</v>
      </c>
      <c r="I2092" t="s">
        <v>24115</v>
      </c>
      <c r="J2092" t="s">
        <v>37</v>
      </c>
      <c r="K2092">
        <v>10090</v>
      </c>
      <c r="L2092" s="3" t="str">
        <f>HYPERLINK("http://www.uniprot.org/uniprot/P27641", "P27641")</f>
        <v>P27641</v>
      </c>
      <c r="M2092" t="s">
        <v>24116</v>
      </c>
      <c r="N2092" t="str">
        <f>"Xrcc5"</f>
        <v>Xrcc5</v>
      </c>
      <c r="O2092" s="3" t="str">
        <f>HYPERLINK("http://www.informatics.jax.org/marker/MGI:104517", "MGI:104517")</f>
        <v>MGI:104517</v>
      </c>
      <c r="P2092" t="s">
        <v>24117</v>
      </c>
      <c r="Q2092" t="s">
        <v>24118</v>
      </c>
      <c r="R2092" t="s">
        <v>1939</v>
      </c>
      <c r="S2092" t="s">
        <v>32</v>
      </c>
      <c r="T2092" t="s">
        <v>32</v>
      </c>
      <c r="U2092" t="s">
        <v>32</v>
      </c>
      <c r="V2092" t="s">
        <v>32</v>
      </c>
      <c r="W2092" t="s">
        <v>205</v>
      </c>
      <c r="X2092" t="s">
        <v>24119</v>
      </c>
      <c r="Y2092" t="s">
        <v>448</v>
      </c>
      <c r="Z2092" t="s">
        <v>32</v>
      </c>
      <c r="AA2092" t="s">
        <v>24120</v>
      </c>
      <c r="AB2092" t="s">
        <v>24121</v>
      </c>
      <c r="AC2092" t="s">
        <v>24122</v>
      </c>
      <c r="AD2092" t="s">
        <v>32</v>
      </c>
      <c r="AE2092" t="s">
        <v>24123</v>
      </c>
      <c r="AF2092" t="s">
        <v>46835</v>
      </c>
    </row>
    <row r="2093" spans="1:32" x14ac:dyDescent="0.2">
      <c r="A2093">
        <v>2088</v>
      </c>
      <c r="B2093" t="s">
        <v>24124</v>
      </c>
      <c r="C2093" t="s">
        <v>24125</v>
      </c>
      <c r="D2093" t="s">
        <v>32</v>
      </c>
      <c r="E2093" t="s">
        <v>24126</v>
      </c>
      <c r="F2093" t="s">
        <v>24127</v>
      </c>
      <c r="G2093" t="s">
        <v>24128</v>
      </c>
      <c r="H2093" t="str">
        <f>"Ncstn"</f>
        <v>Ncstn</v>
      </c>
      <c r="I2093" t="s">
        <v>32</v>
      </c>
      <c r="J2093" t="s">
        <v>37</v>
      </c>
      <c r="K2093">
        <v>10090</v>
      </c>
      <c r="L2093" s="3" t="str">
        <f>HYPERLINK("http://www.uniprot.org/uniprot/P57716", "P57716")</f>
        <v>P57716</v>
      </c>
      <c r="M2093" t="s">
        <v>24129</v>
      </c>
      <c r="N2093" t="str">
        <f>"Ncstn"</f>
        <v>Ncstn</v>
      </c>
      <c r="O2093" s="3" t="str">
        <f>HYPERLINK("http://www.informatics.jax.org/marker/MGI:1891700", "MGI:1891700")</f>
        <v>MGI:1891700</v>
      </c>
      <c r="P2093" t="s">
        <v>24130</v>
      </c>
      <c r="Q2093" t="s">
        <v>18780</v>
      </c>
      <c r="R2093" t="s">
        <v>20042</v>
      </c>
      <c r="S2093" t="s">
        <v>32</v>
      </c>
      <c r="T2093" t="s">
        <v>32</v>
      </c>
      <c r="U2093" t="s">
        <v>32</v>
      </c>
      <c r="V2093" t="s">
        <v>3948</v>
      </c>
      <c r="W2093" t="s">
        <v>32</v>
      </c>
      <c r="X2093" t="s">
        <v>32</v>
      </c>
      <c r="Y2093" t="s">
        <v>5275</v>
      </c>
      <c r="Z2093" t="s">
        <v>32</v>
      </c>
      <c r="AA2093" t="s">
        <v>24131</v>
      </c>
      <c r="AB2093" t="s">
        <v>24132</v>
      </c>
      <c r="AC2093" t="s">
        <v>24133</v>
      </c>
      <c r="AD2093" t="s">
        <v>32</v>
      </c>
      <c r="AE2093" t="s">
        <v>24134</v>
      </c>
      <c r="AF2093" t="s">
        <v>46835</v>
      </c>
    </row>
    <row r="2094" spans="1:32" x14ac:dyDescent="0.2">
      <c r="A2094">
        <v>2089</v>
      </c>
      <c r="B2094" t="s">
        <v>24135</v>
      </c>
      <c r="C2094" t="s">
        <v>24136</v>
      </c>
      <c r="D2094" t="s">
        <v>24137</v>
      </c>
      <c r="E2094" t="s">
        <v>24138</v>
      </c>
      <c r="F2094" t="s">
        <v>24139</v>
      </c>
      <c r="G2094" t="s">
        <v>24140</v>
      </c>
      <c r="H2094" t="str">
        <f>"Sel1l"</f>
        <v>Sel1l</v>
      </c>
      <c r="I2094" t="s">
        <v>24141</v>
      </c>
      <c r="J2094" t="s">
        <v>37</v>
      </c>
      <c r="K2094">
        <v>10090</v>
      </c>
      <c r="L2094" s="3" t="str">
        <f>HYPERLINK("http://www.uniprot.org/uniprot/Q9Z2G6", "Q9Z2G6")</f>
        <v>Q9Z2G6</v>
      </c>
      <c r="M2094" t="s">
        <v>24142</v>
      </c>
      <c r="N2094" t="str">
        <f>"Sel1l"</f>
        <v>Sel1l</v>
      </c>
      <c r="O2094" s="3" t="str">
        <f>HYPERLINK("http://www.informatics.jax.org/marker/MGI:1329016", "MGI:1329016")</f>
        <v>MGI:1329016</v>
      </c>
      <c r="P2094" t="s">
        <v>24143</v>
      </c>
      <c r="Q2094" t="s">
        <v>18780</v>
      </c>
      <c r="R2094" t="s">
        <v>1664</v>
      </c>
      <c r="S2094" t="s">
        <v>41</v>
      </c>
      <c r="T2094" t="s">
        <v>32</v>
      </c>
      <c r="U2094" t="s">
        <v>32</v>
      </c>
      <c r="V2094" t="s">
        <v>1665</v>
      </c>
      <c r="W2094" t="s">
        <v>32</v>
      </c>
      <c r="X2094" t="s">
        <v>32</v>
      </c>
      <c r="Y2094" t="s">
        <v>2865</v>
      </c>
      <c r="Z2094" t="s">
        <v>126</v>
      </c>
      <c r="AA2094" t="s">
        <v>24144</v>
      </c>
      <c r="AB2094" t="s">
        <v>24145</v>
      </c>
      <c r="AC2094" t="s">
        <v>32</v>
      </c>
      <c r="AD2094" t="s">
        <v>32</v>
      </c>
      <c r="AE2094" t="s">
        <v>24146</v>
      </c>
      <c r="AF2094" t="s">
        <v>46835</v>
      </c>
    </row>
    <row r="2095" spans="1:32" x14ac:dyDescent="0.2">
      <c r="A2095">
        <v>2090</v>
      </c>
      <c r="B2095" t="s">
        <v>24147</v>
      </c>
      <c r="C2095" t="s">
        <v>24148</v>
      </c>
      <c r="D2095" t="s">
        <v>32</v>
      </c>
      <c r="E2095" t="s">
        <v>24149</v>
      </c>
      <c r="F2095" t="s">
        <v>24150</v>
      </c>
      <c r="G2095" t="s">
        <v>24151</v>
      </c>
      <c r="H2095" t="str">
        <f>"Hdgfl3"</f>
        <v>Hdgfl3</v>
      </c>
      <c r="I2095" t="s">
        <v>24152</v>
      </c>
      <c r="J2095" t="s">
        <v>37</v>
      </c>
      <c r="K2095">
        <v>10090</v>
      </c>
      <c r="L2095" s="3" t="str">
        <f>HYPERLINK("http://www.uniprot.org/uniprot/Q9JMG7", "Q9JMG7")</f>
        <v>Q9JMG7</v>
      </c>
      <c r="M2095" t="s">
        <v>24153</v>
      </c>
      <c r="N2095" t="str">
        <f>"Hdgfl3"</f>
        <v>Hdgfl3</v>
      </c>
      <c r="O2095" s="3" t="str">
        <f>HYPERLINK("http://www.informatics.jax.org/marker/MGI:1352760", "MGI:1352760")</f>
        <v>MGI:1352760</v>
      </c>
      <c r="P2095" t="s">
        <v>24154</v>
      </c>
      <c r="Q2095" t="s">
        <v>32</v>
      </c>
      <c r="R2095" t="s">
        <v>2279</v>
      </c>
      <c r="S2095" t="s">
        <v>41</v>
      </c>
      <c r="T2095" t="s">
        <v>32</v>
      </c>
      <c r="U2095" t="s">
        <v>32</v>
      </c>
      <c r="V2095" t="s">
        <v>32</v>
      </c>
      <c r="W2095" t="s">
        <v>32</v>
      </c>
      <c r="X2095" t="s">
        <v>11135</v>
      </c>
      <c r="Y2095" t="s">
        <v>618</v>
      </c>
      <c r="Z2095" t="s">
        <v>126</v>
      </c>
      <c r="AA2095" t="s">
        <v>24155</v>
      </c>
      <c r="AB2095" t="s">
        <v>4884</v>
      </c>
      <c r="AC2095" t="s">
        <v>24156</v>
      </c>
      <c r="AD2095" t="s">
        <v>32</v>
      </c>
      <c r="AE2095" t="s">
        <v>32</v>
      </c>
      <c r="AF2095" t="s">
        <v>46835</v>
      </c>
    </row>
    <row r="2096" spans="1:32" x14ac:dyDescent="0.2">
      <c r="A2096">
        <v>2091</v>
      </c>
      <c r="B2096" t="s">
        <v>24157</v>
      </c>
      <c r="C2096" t="s">
        <v>24158</v>
      </c>
      <c r="D2096" t="s">
        <v>24159</v>
      </c>
      <c r="E2096" t="s">
        <v>24160</v>
      </c>
      <c r="F2096" t="s">
        <v>24161</v>
      </c>
      <c r="G2096" t="s">
        <v>24162</v>
      </c>
      <c r="H2096" t="str">
        <f>"Ctsl"</f>
        <v>Ctsl</v>
      </c>
      <c r="I2096" t="s">
        <v>24163</v>
      </c>
      <c r="J2096" t="s">
        <v>37</v>
      </c>
      <c r="K2096">
        <v>10090</v>
      </c>
      <c r="L2096" s="3" t="str">
        <f>HYPERLINK("http://www.uniprot.org/uniprot/P06797", "P06797")</f>
        <v>P06797</v>
      </c>
      <c r="M2096" t="s">
        <v>24164</v>
      </c>
      <c r="N2096" t="str">
        <f>"Ctsl"</f>
        <v>Ctsl</v>
      </c>
      <c r="O2096" s="3" t="str">
        <f>HYPERLINK("http://www.informatics.jax.org/marker/MGI:88564", "MGI:88564")</f>
        <v>MGI:88564</v>
      </c>
      <c r="P2096" t="s">
        <v>24165</v>
      </c>
      <c r="Q2096" t="s">
        <v>32</v>
      </c>
      <c r="R2096" t="s">
        <v>24166</v>
      </c>
      <c r="S2096" t="s">
        <v>32</v>
      </c>
      <c r="T2096" t="s">
        <v>32</v>
      </c>
      <c r="U2096" t="s">
        <v>32</v>
      </c>
      <c r="V2096" t="s">
        <v>811</v>
      </c>
      <c r="W2096" t="s">
        <v>32</v>
      </c>
      <c r="X2096" t="s">
        <v>557</v>
      </c>
      <c r="Y2096" t="s">
        <v>5781</v>
      </c>
      <c r="Z2096" t="s">
        <v>32</v>
      </c>
      <c r="AA2096" t="s">
        <v>24167</v>
      </c>
      <c r="AB2096" t="s">
        <v>24168</v>
      </c>
      <c r="AC2096" t="s">
        <v>24169</v>
      </c>
      <c r="AD2096" t="s">
        <v>32</v>
      </c>
      <c r="AE2096" t="s">
        <v>24170</v>
      </c>
      <c r="AF2096" t="s">
        <v>46835</v>
      </c>
    </row>
    <row r="2097" spans="1:32" x14ac:dyDescent="0.2">
      <c r="A2097">
        <v>2092</v>
      </c>
      <c r="B2097" t="s">
        <v>24171</v>
      </c>
      <c r="C2097" t="s">
        <v>24172</v>
      </c>
      <c r="D2097" t="s">
        <v>24173</v>
      </c>
      <c r="E2097" t="s">
        <v>24174</v>
      </c>
      <c r="F2097" t="s">
        <v>24175</v>
      </c>
      <c r="G2097" t="s">
        <v>24176</v>
      </c>
      <c r="H2097" t="str">
        <f>"Hdac1"</f>
        <v>Hdac1</v>
      </c>
      <c r="I2097" t="s">
        <v>32</v>
      </c>
      <c r="J2097" t="s">
        <v>37</v>
      </c>
      <c r="K2097">
        <v>10090</v>
      </c>
      <c r="L2097" s="3" t="str">
        <f>HYPERLINK("http://www.uniprot.org/uniprot/O09106", "O09106")</f>
        <v>O09106</v>
      </c>
      <c r="M2097" t="s">
        <v>24177</v>
      </c>
      <c r="N2097" t="str">
        <f>"Hdac1"</f>
        <v>Hdac1</v>
      </c>
      <c r="O2097" s="3" t="str">
        <f>HYPERLINK("http://www.informatics.jax.org/marker/MGI:108086", "MGI:108086")</f>
        <v>MGI:108086</v>
      </c>
      <c r="P2097" t="s">
        <v>24178</v>
      </c>
      <c r="Q2097" t="s">
        <v>1992</v>
      </c>
      <c r="R2097" t="s">
        <v>2279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24179</v>
      </c>
      <c r="Y2097" t="s">
        <v>24180</v>
      </c>
      <c r="Z2097" t="s">
        <v>32</v>
      </c>
      <c r="AA2097" t="s">
        <v>24181</v>
      </c>
      <c r="AB2097" t="s">
        <v>24182</v>
      </c>
      <c r="AC2097" t="s">
        <v>24183</v>
      </c>
      <c r="AD2097" t="s">
        <v>32</v>
      </c>
      <c r="AE2097" t="s">
        <v>24184</v>
      </c>
      <c r="AF2097" t="s">
        <v>46835</v>
      </c>
    </row>
    <row r="2098" spans="1:32" x14ac:dyDescent="0.2">
      <c r="A2098">
        <v>2093</v>
      </c>
      <c r="B2098" t="s">
        <v>24185</v>
      </c>
      <c r="C2098" t="s">
        <v>24186</v>
      </c>
      <c r="D2098" t="s">
        <v>24187</v>
      </c>
      <c r="E2098" t="s">
        <v>24188</v>
      </c>
      <c r="F2098" t="s">
        <v>24189</v>
      </c>
      <c r="G2098" t="s">
        <v>32</v>
      </c>
      <c r="H2098" t="str">
        <f>"Ppm1a"</f>
        <v>Ppm1a</v>
      </c>
      <c r="I2098" t="s">
        <v>24190</v>
      </c>
      <c r="J2098" t="s">
        <v>37</v>
      </c>
      <c r="K2098">
        <v>10090</v>
      </c>
      <c r="L2098" s="3" t="str">
        <f>HYPERLINK("http://www.uniprot.org/uniprot/P49443", "P49443")</f>
        <v>P49443</v>
      </c>
      <c r="M2098" t="s">
        <v>24191</v>
      </c>
      <c r="N2098" t="str">
        <f>"Ppm1a"</f>
        <v>Ppm1a</v>
      </c>
      <c r="O2098" s="3" t="str">
        <f>HYPERLINK("http://www.informatics.jax.org/marker/MGI:99878", "MGI:99878")</f>
        <v>MGI:99878</v>
      </c>
      <c r="P2098" t="s">
        <v>24192</v>
      </c>
      <c r="Q2098" t="s">
        <v>32</v>
      </c>
      <c r="R2098" t="s">
        <v>5943</v>
      </c>
      <c r="S2098" t="s">
        <v>32</v>
      </c>
      <c r="T2098" t="s">
        <v>32</v>
      </c>
      <c r="U2098" t="s">
        <v>32</v>
      </c>
      <c r="V2098" t="s">
        <v>32</v>
      </c>
      <c r="W2098" t="s">
        <v>9312</v>
      </c>
      <c r="X2098" t="s">
        <v>3683</v>
      </c>
      <c r="Y2098" t="s">
        <v>5562</v>
      </c>
      <c r="Z2098" t="s">
        <v>32</v>
      </c>
      <c r="AA2098" t="s">
        <v>24193</v>
      </c>
      <c r="AB2098" t="s">
        <v>24194</v>
      </c>
      <c r="AC2098" t="s">
        <v>24195</v>
      </c>
      <c r="AD2098" t="s">
        <v>32</v>
      </c>
      <c r="AE2098" t="s">
        <v>24196</v>
      </c>
      <c r="AF2098" t="s">
        <v>46835</v>
      </c>
    </row>
    <row r="2099" spans="1:32" x14ac:dyDescent="0.2">
      <c r="A2099">
        <v>2094</v>
      </c>
      <c r="B2099" t="s">
        <v>24197</v>
      </c>
      <c r="C2099" t="s">
        <v>24198</v>
      </c>
      <c r="D2099" t="s">
        <v>32</v>
      </c>
      <c r="E2099" t="s">
        <v>24199</v>
      </c>
      <c r="F2099" t="s">
        <v>24200</v>
      </c>
      <c r="G2099" t="s">
        <v>24201</v>
      </c>
      <c r="H2099" t="str">
        <f>"Septin11"</f>
        <v>Septin11</v>
      </c>
      <c r="I2099" t="s">
        <v>32</v>
      </c>
      <c r="J2099" t="s">
        <v>37</v>
      </c>
      <c r="K2099">
        <v>10090</v>
      </c>
      <c r="L2099" s="3" t="str">
        <f>HYPERLINK("http://www.uniprot.org/uniprot/Q8C1B7", "Q8C1B7")</f>
        <v>Q8C1B7</v>
      </c>
      <c r="M2099" t="s">
        <v>24202</v>
      </c>
      <c r="N2099" t="str">
        <f>"Septin11"</f>
        <v>Septin11</v>
      </c>
      <c r="O2099" s="3" t="str">
        <f>HYPERLINK("http://www.informatics.jax.org/marker/MGI:1277214", "MGI:1277214")</f>
        <v>MGI:1277214</v>
      </c>
      <c r="P2099" t="s">
        <v>24203</v>
      </c>
      <c r="Q2099" t="s">
        <v>11508</v>
      </c>
      <c r="R2099" t="s">
        <v>24204</v>
      </c>
      <c r="S2099" t="s">
        <v>41</v>
      </c>
      <c r="T2099" t="s">
        <v>32</v>
      </c>
      <c r="U2099" t="s">
        <v>32</v>
      </c>
      <c r="V2099" t="s">
        <v>290</v>
      </c>
      <c r="W2099" t="s">
        <v>261</v>
      </c>
      <c r="X2099" t="s">
        <v>32</v>
      </c>
      <c r="Y2099" t="s">
        <v>157</v>
      </c>
      <c r="Z2099" t="s">
        <v>32</v>
      </c>
      <c r="AA2099" t="s">
        <v>24205</v>
      </c>
      <c r="AB2099" t="s">
        <v>24206</v>
      </c>
      <c r="AC2099" t="s">
        <v>11511</v>
      </c>
      <c r="AD2099" t="s">
        <v>32</v>
      </c>
      <c r="AE2099" t="s">
        <v>32</v>
      </c>
      <c r="AF2099" t="s">
        <v>46835</v>
      </c>
    </row>
    <row r="2100" spans="1:32" x14ac:dyDescent="0.2">
      <c r="A2100">
        <v>2095</v>
      </c>
      <c r="B2100" t="s">
        <v>24207</v>
      </c>
      <c r="C2100" t="s">
        <v>24208</v>
      </c>
      <c r="D2100" t="s">
        <v>32</v>
      </c>
      <c r="E2100" t="s">
        <v>24209</v>
      </c>
      <c r="F2100" t="s">
        <v>24210</v>
      </c>
      <c r="G2100" t="s">
        <v>24211</v>
      </c>
      <c r="H2100" t="str">
        <f>"Hsbp1"</f>
        <v>Hsbp1</v>
      </c>
      <c r="I2100" t="s">
        <v>32</v>
      </c>
      <c r="J2100" t="s">
        <v>37</v>
      </c>
      <c r="K2100">
        <v>10090</v>
      </c>
      <c r="L2100" s="3" t="str">
        <f>HYPERLINK("http://www.uniprot.org/uniprot/Q9CQZ1", "Q9CQZ1")</f>
        <v>Q9CQZ1</v>
      </c>
      <c r="M2100" t="s">
        <v>24212</v>
      </c>
      <c r="N2100" t="str">
        <f>"Hsbp1"</f>
        <v>Hsbp1</v>
      </c>
      <c r="O2100" s="3" t="str">
        <f>HYPERLINK("http://www.informatics.jax.org/marker/MGI:1915446", "MGI:1915446")</f>
        <v>MGI:1915446</v>
      </c>
      <c r="P2100" t="s">
        <v>2279</v>
      </c>
      <c r="Q2100" t="s">
        <v>32</v>
      </c>
      <c r="R2100" t="s">
        <v>2279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32</v>
      </c>
      <c r="Y2100" t="s">
        <v>32</v>
      </c>
      <c r="Z2100" t="s">
        <v>32</v>
      </c>
      <c r="AA2100" t="s">
        <v>24213</v>
      </c>
      <c r="AB2100" t="s">
        <v>24214</v>
      </c>
      <c r="AC2100" t="s">
        <v>24215</v>
      </c>
      <c r="AD2100" t="s">
        <v>32</v>
      </c>
      <c r="AE2100" t="s">
        <v>24216</v>
      </c>
      <c r="AF2100" t="s">
        <v>46835</v>
      </c>
    </row>
    <row r="2101" spans="1:32" x14ac:dyDescent="0.2">
      <c r="A2101">
        <v>2096</v>
      </c>
      <c r="B2101" t="s">
        <v>24217</v>
      </c>
      <c r="C2101" t="s">
        <v>24218</v>
      </c>
      <c r="D2101" t="s">
        <v>24219</v>
      </c>
      <c r="E2101" t="s">
        <v>24220</v>
      </c>
      <c r="F2101" t="s">
        <v>24221</v>
      </c>
      <c r="G2101" t="s">
        <v>24222</v>
      </c>
      <c r="H2101" t="str">
        <f>"Specc1"</f>
        <v>Specc1</v>
      </c>
      <c r="I2101" t="s">
        <v>24223</v>
      </c>
      <c r="J2101" t="s">
        <v>37</v>
      </c>
      <c r="K2101">
        <v>10090</v>
      </c>
      <c r="L2101" s="3" t="str">
        <f>HYPERLINK("http://www.uniprot.org/uniprot/Q5SXY1", "Q5SXY1")</f>
        <v>Q5SXY1</v>
      </c>
      <c r="M2101" t="s">
        <v>24224</v>
      </c>
      <c r="N2101" t="str">
        <f>"Specc1"</f>
        <v>Specc1</v>
      </c>
      <c r="O2101" s="3" t="str">
        <f>HYPERLINK("http://www.informatics.jax.org/marker/MGI:2442356", "MGI:2442356")</f>
        <v>MGI:2442356</v>
      </c>
      <c r="P2101" t="s">
        <v>24225</v>
      </c>
      <c r="Q2101" t="s">
        <v>32</v>
      </c>
      <c r="R2101" t="s">
        <v>13520</v>
      </c>
      <c r="S2101" t="s">
        <v>41</v>
      </c>
      <c r="T2101" t="s">
        <v>32</v>
      </c>
      <c r="U2101" t="s">
        <v>32</v>
      </c>
      <c r="V2101" t="s">
        <v>290</v>
      </c>
      <c r="W2101" t="s">
        <v>32</v>
      </c>
      <c r="X2101" t="s">
        <v>32</v>
      </c>
      <c r="Y2101" t="s">
        <v>5562</v>
      </c>
      <c r="Z2101" t="s">
        <v>32</v>
      </c>
      <c r="AA2101" t="s">
        <v>24226</v>
      </c>
      <c r="AB2101" t="s">
        <v>24227</v>
      </c>
      <c r="AC2101" t="s">
        <v>32</v>
      </c>
      <c r="AD2101" t="s">
        <v>32</v>
      </c>
      <c r="AE2101" t="s">
        <v>32</v>
      </c>
      <c r="AF2101" t="s">
        <v>46835</v>
      </c>
    </row>
    <row r="2102" spans="1:32" x14ac:dyDescent="0.2">
      <c r="A2102">
        <v>2097</v>
      </c>
      <c r="B2102" t="s">
        <v>24228</v>
      </c>
      <c r="C2102" t="s">
        <v>24229</v>
      </c>
      <c r="D2102" t="s">
        <v>24230</v>
      </c>
      <c r="E2102" t="s">
        <v>24231</v>
      </c>
      <c r="F2102" t="s">
        <v>24232</v>
      </c>
      <c r="G2102" t="s">
        <v>24233</v>
      </c>
      <c r="H2102" t="str">
        <f>"Lbr"</f>
        <v>Lbr</v>
      </c>
      <c r="I2102" t="s">
        <v>32</v>
      </c>
      <c r="J2102" t="s">
        <v>37</v>
      </c>
      <c r="K2102">
        <v>10090</v>
      </c>
      <c r="L2102" s="3" t="str">
        <f>HYPERLINK("http://www.uniprot.org/uniprot/Q3U9G9", "Q3U9G9")</f>
        <v>Q3U9G9</v>
      </c>
      <c r="M2102" t="s">
        <v>24234</v>
      </c>
      <c r="N2102" t="str">
        <f>"Lbr"</f>
        <v>Lbr</v>
      </c>
      <c r="O2102" s="3" t="str">
        <f>HYPERLINK("http://www.informatics.jax.org/marker/MGI:2138281", "MGI:2138281")</f>
        <v>MGI:2138281</v>
      </c>
      <c r="P2102" t="s">
        <v>24235</v>
      </c>
      <c r="Q2102" t="s">
        <v>10614</v>
      </c>
      <c r="R2102" t="s">
        <v>3151</v>
      </c>
      <c r="S2102" t="s">
        <v>32</v>
      </c>
      <c r="T2102" t="s">
        <v>32</v>
      </c>
      <c r="U2102" t="s">
        <v>32</v>
      </c>
      <c r="V2102" t="s">
        <v>493</v>
      </c>
      <c r="W2102" t="s">
        <v>32</v>
      </c>
      <c r="X2102" t="s">
        <v>24236</v>
      </c>
      <c r="Y2102" t="s">
        <v>372</v>
      </c>
      <c r="Z2102" t="s">
        <v>32</v>
      </c>
      <c r="AA2102" t="s">
        <v>24237</v>
      </c>
      <c r="AB2102" t="s">
        <v>24238</v>
      </c>
      <c r="AC2102" t="s">
        <v>24239</v>
      </c>
      <c r="AD2102" t="s">
        <v>24240</v>
      </c>
      <c r="AE2102" t="s">
        <v>24241</v>
      </c>
      <c r="AF2102" t="s">
        <v>46835</v>
      </c>
    </row>
    <row r="2103" spans="1:32" x14ac:dyDescent="0.2">
      <c r="A2103">
        <v>2098</v>
      </c>
      <c r="B2103" t="s">
        <v>24242</v>
      </c>
      <c r="C2103" t="s">
        <v>24243</v>
      </c>
      <c r="D2103" t="s">
        <v>24244</v>
      </c>
      <c r="E2103" t="s">
        <v>24245</v>
      </c>
      <c r="F2103" t="s">
        <v>24246</v>
      </c>
      <c r="G2103" t="s">
        <v>24247</v>
      </c>
      <c r="H2103" t="str">
        <f>"Srsf9"</f>
        <v>Srsf9</v>
      </c>
      <c r="I2103" t="s">
        <v>24248</v>
      </c>
      <c r="J2103" t="s">
        <v>37</v>
      </c>
      <c r="K2103">
        <v>10090</v>
      </c>
      <c r="L2103" s="3" t="str">
        <f>HYPERLINK("http://www.uniprot.org/uniprot/Q9D0B0", "Q9D0B0")</f>
        <v>Q9D0B0</v>
      </c>
      <c r="M2103" t="s">
        <v>24249</v>
      </c>
      <c r="N2103" t="str">
        <f>"Srsf9"</f>
        <v>Srsf9</v>
      </c>
      <c r="O2103" s="3" t="str">
        <f>HYPERLINK("http://www.informatics.jax.org/marker/MGI:104896", "MGI:104896")</f>
        <v>MGI:104896</v>
      </c>
      <c r="P2103" t="s">
        <v>24250</v>
      </c>
      <c r="Q2103" t="s">
        <v>2139</v>
      </c>
      <c r="R2103" t="s">
        <v>2279</v>
      </c>
      <c r="S2103" t="s">
        <v>32</v>
      </c>
      <c r="T2103" t="s">
        <v>32</v>
      </c>
      <c r="U2103" t="s">
        <v>32</v>
      </c>
      <c r="V2103" t="s">
        <v>55</v>
      </c>
      <c r="W2103" t="s">
        <v>32</v>
      </c>
      <c r="X2103" t="s">
        <v>9766</v>
      </c>
      <c r="Y2103" t="s">
        <v>1007</v>
      </c>
      <c r="Z2103" t="s">
        <v>126</v>
      </c>
      <c r="AA2103" t="s">
        <v>24251</v>
      </c>
      <c r="AB2103" t="s">
        <v>24252</v>
      </c>
      <c r="AC2103" t="s">
        <v>24253</v>
      </c>
      <c r="AD2103" t="s">
        <v>32</v>
      </c>
      <c r="AE2103" t="s">
        <v>9525</v>
      </c>
      <c r="AF2103" t="s">
        <v>46835</v>
      </c>
    </row>
    <row r="2104" spans="1:32" x14ac:dyDescent="0.2">
      <c r="A2104">
        <v>2099</v>
      </c>
      <c r="B2104" t="s">
        <v>24254</v>
      </c>
      <c r="C2104" t="s">
        <v>24255</v>
      </c>
      <c r="D2104" t="s">
        <v>24256</v>
      </c>
      <c r="E2104" t="s">
        <v>24257</v>
      </c>
      <c r="F2104" t="s">
        <v>24258</v>
      </c>
      <c r="G2104" t="s">
        <v>24259</v>
      </c>
      <c r="H2104" t="str">
        <f>"Pacs2"</f>
        <v>Pacs2</v>
      </c>
      <c r="I2104" t="s">
        <v>24260</v>
      </c>
      <c r="J2104" t="s">
        <v>37</v>
      </c>
      <c r="K2104">
        <v>10090</v>
      </c>
      <c r="L2104" s="3" t="str">
        <f>HYPERLINK("http://www.uniprot.org/uniprot/Q3V3Q7", "Q3V3Q7")</f>
        <v>Q3V3Q7</v>
      </c>
      <c r="M2104" t="s">
        <v>24261</v>
      </c>
      <c r="N2104" t="str">
        <f>"Pacs2"</f>
        <v>Pacs2</v>
      </c>
      <c r="O2104" s="3" t="str">
        <f>HYPERLINK("http://www.informatics.jax.org/marker/MGI:1924399", "MGI:1924399")</f>
        <v>MGI:1924399</v>
      </c>
      <c r="P2104" t="s">
        <v>24262</v>
      </c>
      <c r="Q2104" t="s">
        <v>541</v>
      </c>
      <c r="R2104" t="s">
        <v>11695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32</v>
      </c>
      <c r="Y2104" t="s">
        <v>618</v>
      </c>
      <c r="Z2104" t="s">
        <v>32</v>
      </c>
      <c r="AA2104" t="s">
        <v>24263</v>
      </c>
      <c r="AB2104" t="s">
        <v>24264</v>
      </c>
      <c r="AC2104" t="s">
        <v>24265</v>
      </c>
      <c r="AD2104" t="s">
        <v>32</v>
      </c>
      <c r="AE2104" t="s">
        <v>32</v>
      </c>
      <c r="AF2104" t="s">
        <v>46835</v>
      </c>
    </row>
    <row r="2105" spans="1:32" x14ac:dyDescent="0.2">
      <c r="A2105">
        <v>2100</v>
      </c>
      <c r="B2105" t="s">
        <v>24266</v>
      </c>
      <c r="C2105" t="s">
        <v>24267</v>
      </c>
      <c r="D2105" t="s">
        <v>24268</v>
      </c>
      <c r="E2105" t="s">
        <v>24269</v>
      </c>
      <c r="F2105" t="s">
        <v>24270</v>
      </c>
      <c r="G2105" t="s">
        <v>24271</v>
      </c>
      <c r="H2105" t="str">
        <f>"Snap29"</f>
        <v>Snap29</v>
      </c>
      <c r="I2105" t="s">
        <v>32</v>
      </c>
      <c r="J2105" t="s">
        <v>37</v>
      </c>
      <c r="K2105">
        <v>10090</v>
      </c>
      <c r="L2105" s="3" t="str">
        <f>HYPERLINK("http://www.uniprot.org/uniprot/Q9ERB0", "Q9ERB0")</f>
        <v>Q9ERB0</v>
      </c>
      <c r="M2105" t="s">
        <v>24272</v>
      </c>
      <c r="N2105" t="str">
        <f>"Snap29"</f>
        <v>Snap29</v>
      </c>
      <c r="O2105" s="3" t="str">
        <f>HYPERLINK("http://www.informatics.jax.org/marker/MGI:1914724", "MGI:1914724")</f>
        <v>MGI:1914724</v>
      </c>
      <c r="P2105" t="s">
        <v>24273</v>
      </c>
      <c r="Q2105" t="s">
        <v>24274</v>
      </c>
      <c r="R2105" t="s">
        <v>24275</v>
      </c>
      <c r="S2105" t="s">
        <v>32</v>
      </c>
      <c r="T2105" t="s">
        <v>32</v>
      </c>
      <c r="U2105" t="s">
        <v>32</v>
      </c>
      <c r="V2105" t="s">
        <v>290</v>
      </c>
      <c r="W2105" t="s">
        <v>32</v>
      </c>
      <c r="X2105" t="s">
        <v>32</v>
      </c>
      <c r="Y2105" t="s">
        <v>618</v>
      </c>
      <c r="Z2105" t="s">
        <v>32</v>
      </c>
      <c r="AA2105" t="s">
        <v>24276</v>
      </c>
      <c r="AB2105" t="s">
        <v>24277</v>
      </c>
      <c r="AC2105" t="s">
        <v>14493</v>
      </c>
      <c r="AD2105" t="s">
        <v>32</v>
      </c>
      <c r="AE2105" t="s">
        <v>24278</v>
      </c>
      <c r="AF2105" t="s">
        <v>46835</v>
      </c>
    </row>
    <row r="2106" spans="1:32" x14ac:dyDescent="0.2">
      <c r="A2106">
        <v>2101</v>
      </c>
      <c r="B2106" t="s">
        <v>24279</v>
      </c>
      <c r="C2106" t="s">
        <v>24280</v>
      </c>
      <c r="D2106" t="s">
        <v>32</v>
      </c>
      <c r="E2106" t="s">
        <v>24281</v>
      </c>
      <c r="F2106" t="s">
        <v>24282</v>
      </c>
      <c r="G2106" t="s">
        <v>24283</v>
      </c>
      <c r="H2106" t="str">
        <f>"Limd1"</f>
        <v>Limd1</v>
      </c>
      <c r="I2106" t="s">
        <v>32</v>
      </c>
      <c r="J2106" t="s">
        <v>37</v>
      </c>
      <c r="K2106">
        <v>10090</v>
      </c>
      <c r="L2106" s="3" t="str">
        <f>HYPERLINK("http://www.uniprot.org/uniprot/Q9QXD8", "Q9QXD8")</f>
        <v>Q9QXD8</v>
      </c>
      <c r="M2106" t="s">
        <v>24284</v>
      </c>
      <c r="N2106" t="str">
        <f>"Limd1"</f>
        <v>Limd1</v>
      </c>
      <c r="O2106" s="3" t="str">
        <f>HYPERLINK("http://www.informatics.jax.org/marker/MGI:1352502", "MGI:1352502")</f>
        <v>MGI:1352502</v>
      </c>
      <c r="P2106" t="s">
        <v>24285</v>
      </c>
      <c r="Q2106" t="s">
        <v>8920</v>
      </c>
      <c r="R2106" t="s">
        <v>4128</v>
      </c>
      <c r="S2106" t="s">
        <v>32</v>
      </c>
      <c r="T2106" t="s">
        <v>32</v>
      </c>
      <c r="U2106" t="s">
        <v>1636</v>
      </c>
      <c r="V2106" t="s">
        <v>11332</v>
      </c>
      <c r="W2106" t="s">
        <v>42</v>
      </c>
      <c r="X2106" t="s">
        <v>5195</v>
      </c>
      <c r="Y2106" t="s">
        <v>618</v>
      </c>
      <c r="Z2106" t="s">
        <v>32</v>
      </c>
      <c r="AA2106" t="s">
        <v>24286</v>
      </c>
      <c r="AB2106" t="s">
        <v>24287</v>
      </c>
      <c r="AC2106" t="s">
        <v>24288</v>
      </c>
      <c r="AD2106" t="s">
        <v>32</v>
      </c>
      <c r="AE2106" t="s">
        <v>24289</v>
      </c>
      <c r="AF2106" t="s">
        <v>46835</v>
      </c>
    </row>
    <row r="2107" spans="1:32" x14ac:dyDescent="0.2">
      <c r="A2107">
        <v>2102</v>
      </c>
      <c r="B2107" t="s">
        <v>24290</v>
      </c>
      <c r="C2107" t="s">
        <v>24291</v>
      </c>
      <c r="D2107" t="s">
        <v>24292</v>
      </c>
      <c r="E2107" t="s">
        <v>24293</v>
      </c>
      <c r="F2107" t="s">
        <v>24294</v>
      </c>
      <c r="G2107" t="s">
        <v>24295</v>
      </c>
      <c r="H2107" t="str">
        <f>"Cirbp"</f>
        <v>Cirbp</v>
      </c>
      <c r="I2107" t="s">
        <v>24296</v>
      </c>
      <c r="J2107" t="s">
        <v>37</v>
      </c>
      <c r="K2107">
        <v>10090</v>
      </c>
      <c r="L2107" s="3" t="str">
        <f>HYPERLINK("http://www.uniprot.org/uniprot/P60824", "P60824")</f>
        <v>P60824</v>
      </c>
      <c r="M2107" t="s">
        <v>24297</v>
      </c>
      <c r="N2107" t="str">
        <f>"Cirbp"</f>
        <v>Cirbp</v>
      </c>
      <c r="O2107" s="3" t="str">
        <f>HYPERLINK("http://www.informatics.jax.org/marker/MGI:893588", "MGI:893588")</f>
        <v>MGI:893588</v>
      </c>
      <c r="P2107" t="s">
        <v>24298</v>
      </c>
      <c r="Q2107" t="s">
        <v>386</v>
      </c>
      <c r="R2107" t="s">
        <v>40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7696</v>
      </c>
      <c r="Y2107" t="s">
        <v>2734</v>
      </c>
      <c r="Z2107" t="s">
        <v>32</v>
      </c>
      <c r="AA2107" t="s">
        <v>24299</v>
      </c>
      <c r="AB2107" t="s">
        <v>24300</v>
      </c>
      <c r="AC2107" t="s">
        <v>24301</v>
      </c>
      <c r="AD2107" t="s">
        <v>32</v>
      </c>
      <c r="AE2107" t="s">
        <v>32</v>
      </c>
      <c r="AF2107" t="s">
        <v>46835</v>
      </c>
    </row>
    <row r="2108" spans="1:32" x14ac:dyDescent="0.2">
      <c r="A2108">
        <v>2103</v>
      </c>
      <c r="B2108" t="s">
        <v>24302</v>
      </c>
      <c r="C2108" t="s">
        <v>24303</v>
      </c>
      <c r="D2108" t="s">
        <v>24304</v>
      </c>
      <c r="E2108" t="s">
        <v>24305</v>
      </c>
      <c r="F2108" t="s">
        <v>24306</v>
      </c>
      <c r="G2108" t="s">
        <v>24307</v>
      </c>
      <c r="H2108" t="str">
        <f>"Ctnnbl1"</f>
        <v>Ctnnbl1</v>
      </c>
      <c r="I2108" t="s">
        <v>32</v>
      </c>
      <c r="J2108" t="s">
        <v>37</v>
      </c>
      <c r="K2108">
        <v>10090</v>
      </c>
      <c r="L2108" s="3" t="str">
        <f>HYPERLINK("http://www.uniprot.org/uniprot/Q9CWL8", "Q9CWL8")</f>
        <v>Q9CWL8</v>
      </c>
      <c r="M2108" t="s">
        <v>24308</v>
      </c>
      <c r="N2108" t="str">
        <f>"Ctnnbl1"</f>
        <v>Ctnnbl1</v>
      </c>
      <c r="O2108" s="3" t="str">
        <f>HYPERLINK("http://www.informatics.jax.org/marker/MGI:1913892", "MGI:1913892")</f>
        <v>MGI:1913892</v>
      </c>
      <c r="P2108" t="s">
        <v>24309</v>
      </c>
      <c r="Q2108" t="s">
        <v>541</v>
      </c>
      <c r="R2108" t="s">
        <v>2279</v>
      </c>
      <c r="S2108" t="s">
        <v>32</v>
      </c>
      <c r="T2108" t="s">
        <v>32</v>
      </c>
      <c r="U2108" t="s">
        <v>32</v>
      </c>
      <c r="V2108" t="s">
        <v>137</v>
      </c>
      <c r="W2108" t="s">
        <v>32</v>
      </c>
      <c r="X2108" t="s">
        <v>32</v>
      </c>
      <c r="Y2108" t="s">
        <v>157</v>
      </c>
      <c r="Z2108" t="s">
        <v>32</v>
      </c>
      <c r="AA2108" t="s">
        <v>24310</v>
      </c>
      <c r="AB2108" t="s">
        <v>24311</v>
      </c>
      <c r="AC2108" t="s">
        <v>24312</v>
      </c>
      <c r="AD2108" t="s">
        <v>32</v>
      </c>
      <c r="AE2108" t="s">
        <v>946</v>
      </c>
      <c r="AF2108" t="s">
        <v>46835</v>
      </c>
    </row>
    <row r="2109" spans="1:32" x14ac:dyDescent="0.2">
      <c r="A2109">
        <v>2104</v>
      </c>
      <c r="B2109" t="s">
        <v>24313</v>
      </c>
      <c r="C2109" t="s">
        <v>24314</v>
      </c>
      <c r="D2109" t="s">
        <v>24315</v>
      </c>
      <c r="E2109" t="s">
        <v>24316</v>
      </c>
      <c r="F2109" t="s">
        <v>24317</v>
      </c>
      <c r="G2109" t="s">
        <v>24318</v>
      </c>
      <c r="H2109" t="str">
        <f>"Zc3h18"</f>
        <v>Zc3h18</v>
      </c>
      <c r="I2109" t="s">
        <v>24319</v>
      </c>
      <c r="J2109" t="s">
        <v>37</v>
      </c>
      <c r="K2109">
        <v>10090</v>
      </c>
      <c r="L2109" s="3" t="str">
        <f>HYPERLINK("http://www.uniprot.org/uniprot/Q0P678", "Q0P678")</f>
        <v>Q0P678</v>
      </c>
      <c r="M2109" t="s">
        <v>24320</v>
      </c>
      <c r="N2109" t="str">
        <f>"Zc3h18"</f>
        <v>Zc3h18</v>
      </c>
      <c r="O2109" s="3" t="str">
        <f>HYPERLINK("http://www.informatics.jax.org/marker/MGI:1923264", "MGI:1923264")</f>
        <v>MGI:1923264</v>
      </c>
      <c r="P2109" t="s">
        <v>24321</v>
      </c>
      <c r="Q2109" t="s">
        <v>32</v>
      </c>
      <c r="R2109" t="s">
        <v>2279</v>
      </c>
      <c r="S2109" t="s">
        <v>41</v>
      </c>
      <c r="T2109" t="s">
        <v>32</v>
      </c>
      <c r="U2109" t="s">
        <v>32</v>
      </c>
      <c r="V2109" t="s">
        <v>11171</v>
      </c>
      <c r="W2109" t="s">
        <v>42</v>
      </c>
      <c r="X2109" t="s">
        <v>32</v>
      </c>
      <c r="Y2109" t="s">
        <v>207</v>
      </c>
      <c r="Z2109" t="s">
        <v>32</v>
      </c>
      <c r="AA2109" t="s">
        <v>24322</v>
      </c>
      <c r="AB2109" t="s">
        <v>24323</v>
      </c>
      <c r="AC2109" t="s">
        <v>24324</v>
      </c>
      <c r="AD2109" t="s">
        <v>32</v>
      </c>
      <c r="AE2109" t="s">
        <v>32</v>
      </c>
      <c r="AF2109" t="s">
        <v>46835</v>
      </c>
    </row>
    <row r="2110" spans="1:32" x14ac:dyDescent="0.2">
      <c r="A2110">
        <v>2105</v>
      </c>
      <c r="B2110" t="s">
        <v>24325</v>
      </c>
      <c r="C2110" t="s">
        <v>24326</v>
      </c>
      <c r="D2110" t="s">
        <v>24327</v>
      </c>
      <c r="E2110" t="s">
        <v>24328</v>
      </c>
      <c r="F2110" t="s">
        <v>24329</v>
      </c>
      <c r="G2110" t="s">
        <v>24330</v>
      </c>
      <c r="H2110" t="str">
        <f>"Ptk7"</f>
        <v>Ptk7</v>
      </c>
      <c r="I2110" t="s">
        <v>32</v>
      </c>
      <c r="J2110" t="s">
        <v>37</v>
      </c>
      <c r="K2110">
        <v>10090</v>
      </c>
      <c r="L2110" s="3" t="str">
        <f>HYPERLINK("http://www.uniprot.org/uniprot/Q8BKG3", "Q8BKG3")</f>
        <v>Q8BKG3</v>
      </c>
      <c r="M2110" t="s">
        <v>24331</v>
      </c>
      <c r="N2110" t="str">
        <f>"Ptk7"</f>
        <v>Ptk7</v>
      </c>
      <c r="O2110" s="3" t="str">
        <f>HYPERLINK("http://www.informatics.jax.org/marker/MGI:1918711", "MGI:1918711")</f>
        <v>MGI:1918711</v>
      </c>
      <c r="P2110" t="s">
        <v>24332</v>
      </c>
      <c r="Q2110" t="s">
        <v>24333</v>
      </c>
      <c r="R2110" t="s">
        <v>24334</v>
      </c>
      <c r="S2110" t="s">
        <v>32</v>
      </c>
      <c r="T2110" t="s">
        <v>32</v>
      </c>
      <c r="U2110" t="s">
        <v>32</v>
      </c>
      <c r="V2110" t="s">
        <v>2864</v>
      </c>
      <c r="W2110" t="s">
        <v>32</v>
      </c>
      <c r="X2110" t="s">
        <v>6983</v>
      </c>
      <c r="Y2110" t="s">
        <v>2865</v>
      </c>
      <c r="Z2110" t="s">
        <v>32</v>
      </c>
      <c r="AA2110" t="s">
        <v>24335</v>
      </c>
      <c r="AB2110" t="s">
        <v>24336</v>
      </c>
      <c r="AC2110" t="s">
        <v>24337</v>
      </c>
      <c r="AD2110" t="s">
        <v>32</v>
      </c>
      <c r="AE2110" t="s">
        <v>32</v>
      </c>
      <c r="AF2110" t="s">
        <v>46835</v>
      </c>
    </row>
    <row r="2111" spans="1:32" x14ac:dyDescent="0.2">
      <c r="A2111">
        <v>2106</v>
      </c>
      <c r="B2111" t="s">
        <v>24338</v>
      </c>
      <c r="C2111" t="s">
        <v>24339</v>
      </c>
      <c r="D2111" t="s">
        <v>24340</v>
      </c>
      <c r="E2111" t="s">
        <v>24341</v>
      </c>
      <c r="F2111" t="s">
        <v>24342</v>
      </c>
      <c r="G2111" t="s">
        <v>24343</v>
      </c>
      <c r="H2111" t="str">
        <f>"Smad4"</f>
        <v>Smad4</v>
      </c>
      <c r="I2111" t="s">
        <v>24344</v>
      </c>
      <c r="J2111" t="s">
        <v>37</v>
      </c>
      <c r="K2111">
        <v>10090</v>
      </c>
      <c r="L2111" s="3" t="str">
        <f>HYPERLINK("http://www.uniprot.org/uniprot/P97471", "P97471")</f>
        <v>P97471</v>
      </c>
      <c r="M2111" t="s">
        <v>24345</v>
      </c>
      <c r="N2111" t="str">
        <f>"Smad4"</f>
        <v>Smad4</v>
      </c>
      <c r="O2111" s="3" t="str">
        <f>HYPERLINK("http://www.informatics.jax.org/marker/MGI:894293", "MGI:894293")</f>
        <v>MGI:894293</v>
      </c>
      <c r="P2111" t="s">
        <v>24346</v>
      </c>
      <c r="Q2111" t="s">
        <v>4152</v>
      </c>
      <c r="R2111" t="s">
        <v>40</v>
      </c>
      <c r="S2111" t="s">
        <v>32</v>
      </c>
      <c r="T2111" t="s">
        <v>32</v>
      </c>
      <c r="U2111" t="s">
        <v>32</v>
      </c>
      <c r="V2111" t="s">
        <v>32</v>
      </c>
      <c r="W2111" t="s">
        <v>42</v>
      </c>
      <c r="X2111" t="s">
        <v>247</v>
      </c>
      <c r="Y2111" t="s">
        <v>461</v>
      </c>
      <c r="Z2111" t="s">
        <v>126</v>
      </c>
      <c r="AA2111" t="s">
        <v>24347</v>
      </c>
      <c r="AB2111" t="s">
        <v>24348</v>
      </c>
      <c r="AC2111" t="s">
        <v>24349</v>
      </c>
      <c r="AD2111" t="s">
        <v>32</v>
      </c>
      <c r="AE2111" t="s">
        <v>24350</v>
      </c>
      <c r="AF2111" t="s">
        <v>46835</v>
      </c>
    </row>
    <row r="2112" spans="1:32" x14ac:dyDescent="0.2">
      <c r="A2112">
        <v>2107</v>
      </c>
      <c r="B2112" t="s">
        <v>24351</v>
      </c>
      <c r="C2112" t="s">
        <v>24352</v>
      </c>
      <c r="D2112" t="s">
        <v>24353</v>
      </c>
      <c r="E2112" t="s">
        <v>24354</v>
      </c>
      <c r="F2112" t="s">
        <v>24355</v>
      </c>
      <c r="G2112" t="s">
        <v>24356</v>
      </c>
      <c r="H2112" t="str">
        <f>"Xrcc6"</f>
        <v>Xrcc6</v>
      </c>
      <c r="I2112" t="s">
        <v>24357</v>
      </c>
      <c r="J2112" t="s">
        <v>37</v>
      </c>
      <c r="K2112">
        <v>10090</v>
      </c>
      <c r="L2112" s="3" t="str">
        <f>HYPERLINK("http://www.uniprot.org/uniprot/P23475", "P23475")</f>
        <v>P23475</v>
      </c>
      <c r="M2112" t="s">
        <v>24358</v>
      </c>
      <c r="N2112" t="str">
        <f>"Xrcc6"</f>
        <v>Xrcc6</v>
      </c>
      <c r="O2112" s="3" t="str">
        <f>HYPERLINK("http://www.informatics.jax.org/marker/MGI:95606", "MGI:95606")</f>
        <v>MGI:95606</v>
      </c>
      <c r="P2112" t="s">
        <v>24359</v>
      </c>
      <c r="Q2112" t="s">
        <v>24360</v>
      </c>
      <c r="R2112" t="s">
        <v>1939</v>
      </c>
      <c r="S2112" t="s">
        <v>32</v>
      </c>
      <c r="T2112" t="s">
        <v>32</v>
      </c>
      <c r="U2112" t="s">
        <v>32</v>
      </c>
      <c r="V2112" t="s">
        <v>32</v>
      </c>
      <c r="W2112" t="s">
        <v>205</v>
      </c>
      <c r="X2112" t="s">
        <v>24361</v>
      </c>
      <c r="Y2112" t="s">
        <v>448</v>
      </c>
      <c r="Z2112" t="s">
        <v>32</v>
      </c>
      <c r="AA2112" t="s">
        <v>24362</v>
      </c>
      <c r="AB2112" t="s">
        <v>24363</v>
      </c>
      <c r="AC2112" t="s">
        <v>24364</v>
      </c>
      <c r="AD2112" t="s">
        <v>32</v>
      </c>
      <c r="AE2112" t="s">
        <v>24123</v>
      </c>
      <c r="AF2112" t="s">
        <v>46835</v>
      </c>
    </row>
    <row r="2113" spans="1:33" x14ac:dyDescent="0.2">
      <c r="A2113">
        <v>2108</v>
      </c>
      <c r="B2113" t="s">
        <v>24365</v>
      </c>
      <c r="C2113" t="s">
        <v>24366</v>
      </c>
      <c r="D2113" t="s">
        <v>24367</v>
      </c>
      <c r="E2113" t="s">
        <v>24368</v>
      </c>
      <c r="F2113" t="s">
        <v>24369</v>
      </c>
      <c r="G2113" t="s">
        <v>24370</v>
      </c>
      <c r="H2113" t="str">
        <f>"Top2a"</f>
        <v>Top2a</v>
      </c>
      <c r="I2113" t="s">
        <v>24371</v>
      </c>
      <c r="J2113" t="s">
        <v>37</v>
      </c>
      <c r="K2113">
        <v>10090</v>
      </c>
      <c r="L2113" s="3" t="str">
        <f>HYPERLINK("http://www.uniprot.org/uniprot/Q01320", "Q01320")</f>
        <v>Q01320</v>
      </c>
      <c r="M2113" t="s">
        <v>24372</v>
      </c>
      <c r="N2113" t="str">
        <f>"Top2a"</f>
        <v>Top2a</v>
      </c>
      <c r="O2113" s="3" t="str">
        <f>HYPERLINK("http://www.informatics.jax.org/marker/MGI:98790", "MGI:98790")</f>
        <v>MGI:98790</v>
      </c>
      <c r="P2113" t="s">
        <v>24373</v>
      </c>
      <c r="Q2113" t="s">
        <v>9465</v>
      </c>
      <c r="R2113" t="s">
        <v>40</v>
      </c>
      <c r="S2113" t="s">
        <v>32</v>
      </c>
      <c r="T2113" t="s">
        <v>32</v>
      </c>
      <c r="U2113" t="s">
        <v>32</v>
      </c>
      <c r="V2113" t="s">
        <v>32</v>
      </c>
      <c r="W2113" t="s">
        <v>1266</v>
      </c>
      <c r="X2113" t="s">
        <v>8893</v>
      </c>
      <c r="Y2113" t="s">
        <v>516</v>
      </c>
      <c r="Z2113" t="s">
        <v>32</v>
      </c>
      <c r="AA2113" t="s">
        <v>24374</v>
      </c>
      <c r="AB2113" t="s">
        <v>24375</v>
      </c>
      <c r="AC2113" t="s">
        <v>24376</v>
      </c>
      <c r="AD2113" t="s">
        <v>32</v>
      </c>
      <c r="AE2113" t="s">
        <v>8897</v>
      </c>
      <c r="AF2113" t="s">
        <v>46835</v>
      </c>
    </row>
    <row r="2114" spans="1:33" x14ac:dyDescent="0.2">
      <c r="A2114">
        <v>2109</v>
      </c>
      <c r="B2114" t="s">
        <v>24377</v>
      </c>
      <c r="C2114" t="s">
        <v>24378</v>
      </c>
      <c r="D2114" t="s">
        <v>24379</v>
      </c>
      <c r="E2114" t="s">
        <v>24380</v>
      </c>
      <c r="F2114" t="s">
        <v>24381</v>
      </c>
      <c r="G2114" t="s">
        <v>24382</v>
      </c>
      <c r="H2114" t="str">
        <f>"Gcc2"</f>
        <v>Gcc2</v>
      </c>
      <c r="I2114" t="s">
        <v>24383</v>
      </c>
      <c r="J2114" t="s">
        <v>37</v>
      </c>
      <c r="K2114">
        <v>10090</v>
      </c>
      <c r="L2114" s="3" t="str">
        <f>HYPERLINK("http://www.uniprot.org/uniprot/Q8CHG3", "Q8CHG3")</f>
        <v>Q8CHG3</v>
      </c>
      <c r="M2114" t="s">
        <v>24384</v>
      </c>
      <c r="N2114" t="str">
        <f>"Gcc2"</f>
        <v>Gcc2</v>
      </c>
      <c r="O2114" s="3" t="str">
        <f>HYPERLINK("http://www.informatics.jax.org/marker/MGI:1917547", "MGI:1917547")</f>
        <v>MGI:1917547</v>
      </c>
      <c r="P2114" t="s">
        <v>24385</v>
      </c>
      <c r="Q2114" t="s">
        <v>434</v>
      </c>
      <c r="R2114" t="s">
        <v>7998</v>
      </c>
      <c r="S2114" t="s">
        <v>32</v>
      </c>
      <c r="T2114" t="s">
        <v>32</v>
      </c>
      <c r="U2114" t="s">
        <v>32</v>
      </c>
      <c r="V2114" t="s">
        <v>290</v>
      </c>
      <c r="W2114" t="s">
        <v>32</v>
      </c>
      <c r="X2114" t="s">
        <v>32</v>
      </c>
      <c r="Y2114" t="s">
        <v>157</v>
      </c>
      <c r="Z2114" t="s">
        <v>32</v>
      </c>
      <c r="AA2114" t="s">
        <v>24386</v>
      </c>
      <c r="AB2114" t="s">
        <v>24387</v>
      </c>
      <c r="AC2114" t="s">
        <v>4516</v>
      </c>
      <c r="AD2114" t="s">
        <v>32</v>
      </c>
      <c r="AE2114" t="s">
        <v>10808</v>
      </c>
      <c r="AF2114" t="s">
        <v>46835</v>
      </c>
    </row>
    <row r="2115" spans="1:33" x14ac:dyDescent="0.2">
      <c r="A2115">
        <v>2110</v>
      </c>
      <c r="B2115" t="s">
        <v>24388</v>
      </c>
      <c r="C2115" t="s">
        <v>24389</v>
      </c>
      <c r="D2115" t="s">
        <v>24390</v>
      </c>
      <c r="E2115" t="s">
        <v>24391</v>
      </c>
      <c r="F2115" t="s">
        <v>24392</v>
      </c>
      <c r="G2115" t="s">
        <v>24393</v>
      </c>
      <c r="H2115" t="str">
        <f>"Exoc1"</f>
        <v>Exoc1</v>
      </c>
      <c r="I2115" t="s">
        <v>24394</v>
      </c>
      <c r="J2115" t="s">
        <v>37</v>
      </c>
      <c r="K2115">
        <v>10090</v>
      </c>
      <c r="L2115" s="3" t="str">
        <f>HYPERLINK("http://www.uniprot.org/uniprot/Q8R3S6", "Q8R3S6")</f>
        <v>Q8R3S6</v>
      </c>
      <c r="M2115" t="s">
        <v>24395</v>
      </c>
      <c r="N2115" t="str">
        <f>"Exoc1"</f>
        <v>Exoc1</v>
      </c>
      <c r="O2115" s="3" t="str">
        <f>HYPERLINK("http://www.informatics.jax.org/marker/MGI:2445020", "MGI:2445020")</f>
        <v>MGI:2445020</v>
      </c>
      <c r="P2115" t="s">
        <v>24396</v>
      </c>
      <c r="Q2115" t="s">
        <v>24397</v>
      </c>
      <c r="R2115" t="s">
        <v>222</v>
      </c>
      <c r="S2115" t="s">
        <v>32</v>
      </c>
      <c r="T2115" t="s">
        <v>32</v>
      </c>
      <c r="U2115" t="s">
        <v>32</v>
      </c>
      <c r="V2115" t="s">
        <v>290</v>
      </c>
      <c r="W2115" t="s">
        <v>32</v>
      </c>
      <c r="X2115" t="s">
        <v>32</v>
      </c>
      <c r="Y2115" t="s">
        <v>618</v>
      </c>
      <c r="Z2115" t="s">
        <v>32</v>
      </c>
      <c r="AA2115" t="s">
        <v>24398</v>
      </c>
      <c r="AB2115" t="s">
        <v>24399</v>
      </c>
      <c r="AC2115" t="s">
        <v>24400</v>
      </c>
      <c r="AD2115" t="s">
        <v>32</v>
      </c>
      <c r="AE2115" t="s">
        <v>24401</v>
      </c>
      <c r="AF2115" t="s">
        <v>46835</v>
      </c>
    </row>
    <row r="2116" spans="1:33" x14ac:dyDescent="0.2">
      <c r="A2116">
        <v>2111</v>
      </c>
      <c r="B2116" t="s">
        <v>24402</v>
      </c>
      <c r="C2116" t="s">
        <v>24403</v>
      </c>
      <c r="D2116" t="s">
        <v>24404</v>
      </c>
      <c r="E2116" t="s">
        <v>24405</v>
      </c>
      <c r="F2116" t="s">
        <v>24406</v>
      </c>
      <c r="G2116" t="s">
        <v>24407</v>
      </c>
      <c r="H2116" t="str">
        <f>"Ppp2r5e"</f>
        <v>Ppp2r5e</v>
      </c>
      <c r="I2116" t="s">
        <v>24408</v>
      </c>
      <c r="J2116" t="s">
        <v>37</v>
      </c>
      <c r="K2116">
        <v>10090</v>
      </c>
      <c r="L2116" s="3" t="str">
        <f>HYPERLINK("http://www.uniprot.org/uniprot/Q61151", "Q61151")</f>
        <v>Q61151</v>
      </c>
      <c r="M2116" t="s">
        <v>24409</v>
      </c>
      <c r="N2116" t="str">
        <f>"Ppp2r5e"</f>
        <v>Ppp2r5e</v>
      </c>
      <c r="O2116" s="3" t="str">
        <f>HYPERLINK("http://www.informatics.jax.org/marker/MGI:1349473", "MGI:1349473")</f>
        <v>MGI:1349473</v>
      </c>
      <c r="P2116" t="s">
        <v>4532</v>
      </c>
      <c r="Q2116" t="s">
        <v>32</v>
      </c>
      <c r="R2116" t="s">
        <v>418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32</v>
      </c>
      <c r="Y2116" t="s">
        <v>157</v>
      </c>
      <c r="Z2116" t="s">
        <v>32</v>
      </c>
      <c r="AA2116" t="s">
        <v>24410</v>
      </c>
      <c r="AB2116" t="s">
        <v>24411</v>
      </c>
      <c r="AC2116" t="s">
        <v>24412</v>
      </c>
      <c r="AD2116" t="s">
        <v>32</v>
      </c>
      <c r="AE2116" t="s">
        <v>24413</v>
      </c>
      <c r="AF2116" t="s">
        <v>46835</v>
      </c>
    </row>
    <row r="2117" spans="1:33" x14ac:dyDescent="0.2">
      <c r="A2117">
        <v>2112</v>
      </c>
      <c r="B2117" t="s">
        <v>24414</v>
      </c>
      <c r="C2117" t="s">
        <v>24415</v>
      </c>
      <c r="D2117" t="s">
        <v>24416</v>
      </c>
      <c r="E2117" t="s">
        <v>24417</v>
      </c>
      <c r="F2117" t="s">
        <v>24418</v>
      </c>
      <c r="G2117" t="s">
        <v>32</v>
      </c>
      <c r="H2117" t="str">
        <f>"Nanp"</f>
        <v>Nanp</v>
      </c>
      <c r="I2117" t="s">
        <v>24419</v>
      </c>
      <c r="J2117" t="s">
        <v>37</v>
      </c>
      <c r="K2117">
        <v>10090</v>
      </c>
      <c r="L2117" s="3" t="str">
        <f>HYPERLINK("http://www.uniprot.org/uniprot/Q9CPT3", "Q9CPT3")</f>
        <v>Q9CPT3</v>
      </c>
      <c r="M2117" t="s">
        <v>24420</v>
      </c>
      <c r="N2117" t="str">
        <f>"Nanp"</f>
        <v>Nanp</v>
      </c>
      <c r="O2117" s="3" t="str">
        <f>HYPERLINK("http://www.informatics.jax.org/marker/MGI:1914561", "MGI:1914561")</f>
        <v>MGI:1914561</v>
      </c>
      <c r="P2117" t="s">
        <v>24421</v>
      </c>
      <c r="Q2117" t="s">
        <v>2170</v>
      </c>
      <c r="R2117" t="s">
        <v>32</v>
      </c>
      <c r="S2117" t="s">
        <v>32</v>
      </c>
      <c r="T2117" t="s">
        <v>32</v>
      </c>
      <c r="U2117" t="s">
        <v>32</v>
      </c>
      <c r="V2117" t="s">
        <v>32</v>
      </c>
      <c r="W2117" t="s">
        <v>16431</v>
      </c>
      <c r="X2117" t="s">
        <v>343</v>
      </c>
      <c r="Y2117" t="s">
        <v>32</v>
      </c>
      <c r="Z2117" t="s">
        <v>126</v>
      </c>
      <c r="AA2117" t="s">
        <v>24422</v>
      </c>
      <c r="AB2117" t="s">
        <v>32</v>
      </c>
      <c r="AC2117" t="s">
        <v>24423</v>
      </c>
      <c r="AD2117" t="s">
        <v>24424</v>
      </c>
      <c r="AE2117" t="s">
        <v>2175</v>
      </c>
      <c r="AF2117" t="s">
        <v>46835</v>
      </c>
    </row>
    <row r="2118" spans="1:33" x14ac:dyDescent="0.2">
      <c r="A2118">
        <v>2113</v>
      </c>
      <c r="B2118" t="s">
        <v>24425</v>
      </c>
      <c r="C2118" t="s">
        <v>24426</v>
      </c>
      <c r="D2118" t="s">
        <v>24427</v>
      </c>
      <c r="E2118" t="s">
        <v>24428</v>
      </c>
      <c r="F2118" t="s">
        <v>24429</v>
      </c>
      <c r="G2118" t="s">
        <v>24430</v>
      </c>
      <c r="H2118" t="str">
        <f>"Cenpv"</f>
        <v>Cenpv</v>
      </c>
      <c r="I2118" t="s">
        <v>24431</v>
      </c>
      <c r="J2118" t="s">
        <v>37</v>
      </c>
      <c r="K2118">
        <v>10090</v>
      </c>
      <c r="L2118" s="3" t="str">
        <f>HYPERLINK("http://www.uniprot.org/uniprot/Q9CXS4", "Q9CXS4")</f>
        <v>Q9CXS4</v>
      </c>
      <c r="M2118" t="s">
        <v>24432</v>
      </c>
      <c r="N2118" t="str">
        <f>"Cenpv"</f>
        <v>Cenpv</v>
      </c>
      <c r="O2118" s="3" t="str">
        <f>HYPERLINK("http://www.informatics.jax.org/marker/MGI:1920389", "MGI:1920389")</f>
        <v>MGI:1920389</v>
      </c>
      <c r="P2118" t="s">
        <v>24433</v>
      </c>
      <c r="Q2118" t="s">
        <v>2968</v>
      </c>
      <c r="R2118" t="s">
        <v>9238</v>
      </c>
      <c r="S2118" t="s">
        <v>41</v>
      </c>
      <c r="T2118" t="s">
        <v>32</v>
      </c>
      <c r="U2118" t="s">
        <v>32</v>
      </c>
      <c r="V2118" t="s">
        <v>32</v>
      </c>
      <c r="W2118" t="s">
        <v>42</v>
      </c>
      <c r="X2118" t="s">
        <v>32</v>
      </c>
      <c r="Y2118" t="s">
        <v>2734</v>
      </c>
      <c r="Z2118" t="s">
        <v>32</v>
      </c>
      <c r="AA2118" t="s">
        <v>24434</v>
      </c>
      <c r="AB2118" t="s">
        <v>24435</v>
      </c>
      <c r="AC2118" t="s">
        <v>24436</v>
      </c>
      <c r="AD2118" t="s">
        <v>32</v>
      </c>
      <c r="AE2118" t="s">
        <v>32</v>
      </c>
      <c r="AF2118" t="s">
        <v>46835</v>
      </c>
    </row>
    <row r="2119" spans="1:33" x14ac:dyDescent="0.2">
      <c r="A2119">
        <v>2114</v>
      </c>
      <c r="B2119" t="s">
        <v>24437</v>
      </c>
      <c r="C2119" t="s">
        <v>47220</v>
      </c>
      <c r="D2119" t="s">
        <v>32</v>
      </c>
      <c r="E2119" t="s">
        <v>46952</v>
      </c>
      <c r="F2119" t="s">
        <v>46951</v>
      </c>
      <c r="G2119" t="s">
        <v>32</v>
      </c>
      <c r="H2119" t="s">
        <v>47353</v>
      </c>
      <c r="I2119" t="s">
        <v>32</v>
      </c>
      <c r="J2119" t="s">
        <v>37</v>
      </c>
      <c r="K2119">
        <v>10090</v>
      </c>
      <c r="L2119" s="3" t="str">
        <f>HYPERLINK(CONCATENATE("https://www.uniprot.org/uniprotkb/", AG2119, "/entry"), AG2119)</f>
        <v>A2RTH5</v>
      </c>
      <c r="M2119" t="s">
        <v>32</v>
      </c>
      <c r="N2119" t="s">
        <v>32</v>
      </c>
      <c r="O2119" s="3" t="s">
        <v>32</v>
      </c>
      <c r="P2119" t="s">
        <v>32</v>
      </c>
      <c r="Q2119" t="s">
        <v>32</v>
      </c>
      <c r="R2119" t="s">
        <v>32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32</v>
      </c>
      <c r="Y2119" t="s">
        <v>32</v>
      </c>
      <c r="Z2119" t="s">
        <v>32</v>
      </c>
      <c r="AA2119" t="s">
        <v>32</v>
      </c>
      <c r="AB2119" t="s">
        <v>32</v>
      </c>
      <c r="AC2119" t="s">
        <v>32</v>
      </c>
      <c r="AD2119" t="s">
        <v>32</v>
      </c>
      <c r="AE2119" t="s">
        <v>32</v>
      </c>
      <c r="AF2119" t="s">
        <v>46835</v>
      </c>
      <c r="AG2119" t="s">
        <v>46951</v>
      </c>
    </row>
    <row r="2120" spans="1:33" x14ac:dyDescent="0.2">
      <c r="A2120">
        <v>2115</v>
      </c>
      <c r="B2120" t="s">
        <v>24438</v>
      </c>
      <c r="C2120" t="s">
        <v>24439</v>
      </c>
      <c r="D2120" t="s">
        <v>24440</v>
      </c>
      <c r="E2120" t="s">
        <v>24441</v>
      </c>
      <c r="F2120" t="s">
        <v>24442</v>
      </c>
      <c r="G2120" t="s">
        <v>24443</v>
      </c>
      <c r="H2120" t="str">
        <f>"Atg3"</f>
        <v>Atg3</v>
      </c>
      <c r="I2120" t="s">
        <v>24444</v>
      </c>
      <c r="J2120" t="s">
        <v>37</v>
      </c>
      <c r="K2120">
        <v>10090</v>
      </c>
      <c r="L2120" s="3" t="str">
        <f>HYPERLINK("http://www.uniprot.org/uniprot/Q9CPX6", "Q9CPX6")</f>
        <v>Q9CPX6</v>
      </c>
      <c r="M2120" t="s">
        <v>24445</v>
      </c>
      <c r="N2120" t="str">
        <f>"Atg3"</f>
        <v>Atg3</v>
      </c>
      <c r="O2120" s="3" t="str">
        <f>HYPERLINK("http://www.informatics.jax.org/marker/MGI:1915091", "MGI:1915091")</f>
        <v>MGI:1915091</v>
      </c>
      <c r="P2120" t="s">
        <v>24446</v>
      </c>
      <c r="Q2120" t="s">
        <v>24447</v>
      </c>
      <c r="R2120" t="s">
        <v>418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515</v>
      </c>
      <c r="Y2120" t="s">
        <v>461</v>
      </c>
      <c r="Z2120" t="s">
        <v>32</v>
      </c>
      <c r="AA2120" t="s">
        <v>24448</v>
      </c>
      <c r="AB2120" t="s">
        <v>24449</v>
      </c>
      <c r="AC2120" t="s">
        <v>24450</v>
      </c>
      <c r="AD2120" t="s">
        <v>32</v>
      </c>
      <c r="AE2120" t="s">
        <v>11665</v>
      </c>
      <c r="AF2120" t="s">
        <v>46835</v>
      </c>
    </row>
    <row r="2121" spans="1:33" x14ac:dyDescent="0.2">
      <c r="A2121">
        <v>2116</v>
      </c>
      <c r="B2121" t="s">
        <v>24451</v>
      </c>
      <c r="C2121" t="s">
        <v>24452</v>
      </c>
      <c r="D2121" t="s">
        <v>24453</v>
      </c>
      <c r="E2121" t="s">
        <v>24454</v>
      </c>
      <c r="F2121" t="s">
        <v>24455</v>
      </c>
      <c r="G2121" t="s">
        <v>24456</v>
      </c>
      <c r="H2121" t="str">
        <f>"Dcaf7"</f>
        <v>Dcaf7</v>
      </c>
      <c r="I2121" t="s">
        <v>24457</v>
      </c>
      <c r="J2121" t="s">
        <v>37</v>
      </c>
      <c r="K2121">
        <v>10090</v>
      </c>
      <c r="L2121" s="3" t="str">
        <f>HYPERLINK("http://www.uniprot.org/uniprot/P61963", "P61963")</f>
        <v>P61963</v>
      </c>
      <c r="M2121" t="s">
        <v>24458</v>
      </c>
      <c r="N2121" t="str">
        <f>"Dcaf7"</f>
        <v>Dcaf7</v>
      </c>
      <c r="O2121" s="3" t="str">
        <f>HYPERLINK("http://www.informatics.jax.org/marker/MGI:1919083", "MGI:1919083")</f>
        <v>MGI:1919083</v>
      </c>
      <c r="P2121" t="s">
        <v>24459</v>
      </c>
      <c r="Q2121" t="s">
        <v>1020</v>
      </c>
      <c r="R2121" t="s">
        <v>40</v>
      </c>
      <c r="S2121" t="s">
        <v>32</v>
      </c>
      <c r="T2121" t="s">
        <v>32</v>
      </c>
      <c r="U2121" t="s">
        <v>32</v>
      </c>
      <c r="V2121" t="s">
        <v>1910</v>
      </c>
      <c r="W2121" t="s">
        <v>32</v>
      </c>
      <c r="X2121" t="s">
        <v>2029</v>
      </c>
      <c r="Y2121" t="s">
        <v>32</v>
      </c>
      <c r="Z2121" t="s">
        <v>32</v>
      </c>
      <c r="AA2121" t="s">
        <v>24460</v>
      </c>
      <c r="AB2121" t="s">
        <v>24461</v>
      </c>
      <c r="AC2121" t="s">
        <v>32</v>
      </c>
      <c r="AD2121" t="s">
        <v>1027</v>
      </c>
      <c r="AE2121" t="s">
        <v>14635</v>
      </c>
      <c r="AF2121" t="s">
        <v>46835</v>
      </c>
    </row>
    <row r="2122" spans="1:33" x14ac:dyDescent="0.2">
      <c r="A2122">
        <v>2117</v>
      </c>
      <c r="B2122" t="s">
        <v>24462</v>
      </c>
      <c r="C2122" t="s">
        <v>24463</v>
      </c>
      <c r="D2122" t="s">
        <v>32</v>
      </c>
      <c r="E2122" t="s">
        <v>24464</v>
      </c>
      <c r="F2122" t="s">
        <v>24465</v>
      </c>
      <c r="G2122" t="s">
        <v>24466</v>
      </c>
      <c r="H2122" t="str">
        <f>"Pts"</f>
        <v>Pts</v>
      </c>
      <c r="I2122" t="s">
        <v>32</v>
      </c>
      <c r="J2122" t="s">
        <v>37</v>
      </c>
      <c r="K2122">
        <v>10090</v>
      </c>
      <c r="L2122" s="3" t="str">
        <f>HYPERLINK("http://www.uniprot.org/uniprot/Q9R1Z7", "Q9R1Z7")</f>
        <v>Q9R1Z7</v>
      </c>
      <c r="M2122" t="s">
        <v>24467</v>
      </c>
      <c r="N2122" t="str">
        <f>"Pts"</f>
        <v>Pts</v>
      </c>
      <c r="O2122" s="3" t="str">
        <f>HYPERLINK("http://www.informatics.jax.org/marker/MGI:1338783", "MGI:1338783")</f>
        <v>MGI:1338783</v>
      </c>
      <c r="P2122" t="s">
        <v>24468</v>
      </c>
      <c r="Q2122" t="s">
        <v>15180</v>
      </c>
      <c r="R2122" t="s">
        <v>32</v>
      </c>
      <c r="S2122" t="s">
        <v>32</v>
      </c>
      <c r="T2122" t="s">
        <v>32</v>
      </c>
      <c r="U2122" t="s">
        <v>32</v>
      </c>
      <c r="V2122" t="s">
        <v>32</v>
      </c>
      <c r="W2122" t="s">
        <v>42</v>
      </c>
      <c r="X2122" t="s">
        <v>224</v>
      </c>
      <c r="Y2122" t="s">
        <v>618</v>
      </c>
      <c r="Z2122" t="s">
        <v>32</v>
      </c>
      <c r="AA2122" t="s">
        <v>24469</v>
      </c>
      <c r="AB2122" t="s">
        <v>3490</v>
      </c>
      <c r="AC2122" t="s">
        <v>24470</v>
      </c>
      <c r="AD2122" t="s">
        <v>24471</v>
      </c>
      <c r="AE2122" t="s">
        <v>24472</v>
      </c>
      <c r="AF2122" t="s">
        <v>46835</v>
      </c>
    </row>
    <row r="2123" spans="1:33" x14ac:dyDescent="0.2">
      <c r="A2123">
        <v>2118</v>
      </c>
      <c r="B2123" t="s">
        <v>24473</v>
      </c>
      <c r="C2123" t="s">
        <v>24474</v>
      </c>
      <c r="D2123" t="s">
        <v>24475</v>
      </c>
      <c r="E2123" t="s">
        <v>24476</v>
      </c>
      <c r="F2123" t="s">
        <v>24477</v>
      </c>
      <c r="G2123" t="s">
        <v>32</v>
      </c>
      <c r="H2123" t="str">
        <f>"Coa7"</f>
        <v>Coa7</v>
      </c>
      <c r="I2123" t="s">
        <v>24478</v>
      </c>
      <c r="J2123" t="s">
        <v>37</v>
      </c>
      <c r="K2123">
        <v>10090</v>
      </c>
      <c r="L2123" s="3" t="str">
        <f>HYPERLINK("http://www.uniprot.org/uniprot/Q921H9", "Q921H9")</f>
        <v>Q921H9</v>
      </c>
      <c r="M2123" t="s">
        <v>24479</v>
      </c>
      <c r="N2123" t="str">
        <f>"Coa7"</f>
        <v>Coa7</v>
      </c>
      <c r="O2123" s="3" t="str">
        <f>HYPERLINK("http://www.informatics.jax.org/marker/MGI:1917143", "MGI:1917143")</f>
        <v>MGI:1917143</v>
      </c>
      <c r="P2123" t="s">
        <v>24480</v>
      </c>
      <c r="Q2123" t="s">
        <v>32</v>
      </c>
      <c r="R2123" t="s">
        <v>1038</v>
      </c>
      <c r="S2123" t="s">
        <v>32</v>
      </c>
      <c r="T2123" t="s">
        <v>32</v>
      </c>
      <c r="U2123" t="s">
        <v>32</v>
      </c>
      <c r="V2123" t="s">
        <v>55</v>
      </c>
      <c r="W2123" t="s">
        <v>32</v>
      </c>
      <c r="X2123" t="s">
        <v>32</v>
      </c>
      <c r="Y2123" t="s">
        <v>78</v>
      </c>
      <c r="Z2123" t="s">
        <v>32</v>
      </c>
      <c r="AA2123" t="s">
        <v>32</v>
      </c>
      <c r="AB2123" t="s">
        <v>24481</v>
      </c>
      <c r="AC2123" t="s">
        <v>32</v>
      </c>
      <c r="AD2123" t="s">
        <v>32</v>
      </c>
      <c r="AE2123" t="s">
        <v>32</v>
      </c>
      <c r="AF2123" t="s">
        <v>46835</v>
      </c>
    </row>
    <row r="2124" spans="1:33" x14ac:dyDescent="0.2">
      <c r="A2124">
        <v>2119</v>
      </c>
      <c r="B2124" t="s">
        <v>24482</v>
      </c>
      <c r="C2124" t="s">
        <v>24483</v>
      </c>
      <c r="D2124" t="s">
        <v>24484</v>
      </c>
      <c r="E2124" t="s">
        <v>24485</v>
      </c>
      <c r="F2124" t="s">
        <v>24486</v>
      </c>
      <c r="G2124" t="s">
        <v>24487</v>
      </c>
      <c r="H2124" t="str">
        <f>"Ppp1r14b"</f>
        <v>Ppp1r14b</v>
      </c>
      <c r="I2124" t="s">
        <v>24488</v>
      </c>
      <c r="J2124" t="s">
        <v>37</v>
      </c>
      <c r="K2124">
        <v>10090</v>
      </c>
      <c r="L2124" s="3" t="str">
        <f>HYPERLINK("http://www.uniprot.org/uniprot/Q62084", "Q62084")</f>
        <v>Q62084</v>
      </c>
      <c r="M2124" t="s">
        <v>24489</v>
      </c>
      <c r="N2124" t="str">
        <f>"Ppp1r14b"</f>
        <v>Ppp1r14b</v>
      </c>
      <c r="O2124" s="3" t="str">
        <f>HYPERLINK("http://www.informatics.jax.org/marker/MGI:107682", "MGI:107682")</f>
        <v>MGI:107682</v>
      </c>
      <c r="P2124" t="s">
        <v>24490</v>
      </c>
      <c r="Q2124" t="s">
        <v>32</v>
      </c>
      <c r="R2124" t="s">
        <v>418</v>
      </c>
      <c r="S2124" t="s">
        <v>32</v>
      </c>
      <c r="T2124" t="s">
        <v>32</v>
      </c>
      <c r="U2124" t="s">
        <v>32</v>
      </c>
      <c r="V2124" t="s">
        <v>290</v>
      </c>
      <c r="W2124" t="s">
        <v>32</v>
      </c>
      <c r="X2124" t="s">
        <v>14951</v>
      </c>
      <c r="Y2124" t="s">
        <v>157</v>
      </c>
      <c r="Z2124" t="s">
        <v>32</v>
      </c>
      <c r="AA2124" t="s">
        <v>24491</v>
      </c>
      <c r="AB2124" t="s">
        <v>2172</v>
      </c>
      <c r="AC2124" t="s">
        <v>24492</v>
      </c>
      <c r="AD2124" t="s">
        <v>32</v>
      </c>
      <c r="AE2124" t="s">
        <v>32</v>
      </c>
      <c r="AF2124" t="s">
        <v>46835</v>
      </c>
    </row>
    <row r="2125" spans="1:33" x14ac:dyDescent="0.2">
      <c r="A2125">
        <v>2120</v>
      </c>
      <c r="B2125" t="s">
        <v>24493</v>
      </c>
      <c r="C2125" t="s">
        <v>24494</v>
      </c>
      <c r="D2125" t="s">
        <v>24495</v>
      </c>
      <c r="E2125" t="s">
        <v>24496</v>
      </c>
      <c r="F2125" t="s">
        <v>24497</v>
      </c>
      <c r="G2125" t="s">
        <v>24498</v>
      </c>
      <c r="H2125" t="str">
        <f>"Pcca"</f>
        <v>Pcca</v>
      </c>
      <c r="I2125" t="s">
        <v>32</v>
      </c>
      <c r="J2125" t="s">
        <v>37</v>
      </c>
      <c r="K2125">
        <v>10090</v>
      </c>
      <c r="L2125" s="3" t="str">
        <f>HYPERLINK("http://www.uniprot.org/uniprot/Q91ZA3", "Q91ZA3")</f>
        <v>Q91ZA3</v>
      </c>
      <c r="M2125" t="s">
        <v>24499</v>
      </c>
      <c r="N2125" t="str">
        <f>"Pcca"</f>
        <v>Pcca</v>
      </c>
      <c r="O2125" s="3" t="str">
        <f>HYPERLINK("http://www.informatics.jax.org/marker/MGI:97499", "MGI:97499")</f>
        <v>MGI:97499</v>
      </c>
      <c r="P2125" t="s">
        <v>24500</v>
      </c>
      <c r="Q2125" t="s">
        <v>4809</v>
      </c>
      <c r="R2125" t="s">
        <v>1038</v>
      </c>
      <c r="S2125" t="s">
        <v>32</v>
      </c>
      <c r="T2125" t="s">
        <v>32</v>
      </c>
      <c r="U2125" t="s">
        <v>32</v>
      </c>
      <c r="V2125" t="s">
        <v>1039</v>
      </c>
      <c r="W2125" t="s">
        <v>14682</v>
      </c>
      <c r="X2125" t="s">
        <v>1022</v>
      </c>
      <c r="Y2125" t="s">
        <v>157</v>
      </c>
      <c r="Z2125" t="s">
        <v>32</v>
      </c>
      <c r="AA2125" t="s">
        <v>24013</v>
      </c>
      <c r="AB2125" t="s">
        <v>24501</v>
      </c>
      <c r="AC2125" t="s">
        <v>24502</v>
      </c>
      <c r="AD2125" t="s">
        <v>24503</v>
      </c>
      <c r="AE2125" t="s">
        <v>24504</v>
      </c>
      <c r="AF2125" t="s">
        <v>46835</v>
      </c>
    </row>
    <row r="2126" spans="1:33" x14ac:dyDescent="0.2">
      <c r="A2126">
        <v>2121</v>
      </c>
      <c r="B2126" t="s">
        <v>24505</v>
      </c>
      <c r="C2126" t="s">
        <v>24506</v>
      </c>
      <c r="D2126" t="s">
        <v>24507</v>
      </c>
      <c r="E2126" t="s">
        <v>24508</v>
      </c>
      <c r="F2126" t="s">
        <v>24509</v>
      </c>
      <c r="G2126" t="s">
        <v>24510</v>
      </c>
      <c r="H2126" t="str">
        <f>"Xrn2"</f>
        <v>Xrn2</v>
      </c>
      <c r="I2126" t="s">
        <v>24511</v>
      </c>
      <c r="J2126" t="s">
        <v>37</v>
      </c>
      <c r="K2126">
        <v>10090</v>
      </c>
      <c r="L2126" s="3" t="str">
        <f>HYPERLINK("http://www.uniprot.org/uniprot/Q9DBR1", "Q9DBR1")</f>
        <v>Q9DBR1</v>
      </c>
      <c r="M2126" t="s">
        <v>24512</v>
      </c>
      <c r="N2126" t="str">
        <f>"Xrn2"</f>
        <v>Xrn2</v>
      </c>
      <c r="O2126" s="3" t="str">
        <f>HYPERLINK("http://www.informatics.jax.org/marker/MGI:894687", "MGI:894687")</f>
        <v>MGI:894687</v>
      </c>
      <c r="P2126" t="s">
        <v>24513</v>
      </c>
      <c r="Q2126" t="s">
        <v>24514</v>
      </c>
      <c r="R2126" t="s">
        <v>2279</v>
      </c>
      <c r="S2126" t="s">
        <v>41</v>
      </c>
      <c r="T2126" t="s">
        <v>32</v>
      </c>
      <c r="U2126" t="s">
        <v>32</v>
      </c>
      <c r="V2126" t="s">
        <v>446</v>
      </c>
      <c r="W2126" t="s">
        <v>42</v>
      </c>
      <c r="X2126" t="s">
        <v>24515</v>
      </c>
      <c r="Y2126" t="s">
        <v>97</v>
      </c>
      <c r="Z2126" t="s">
        <v>32</v>
      </c>
      <c r="AA2126" t="s">
        <v>24516</v>
      </c>
      <c r="AB2126" t="s">
        <v>24517</v>
      </c>
      <c r="AC2126" t="s">
        <v>24518</v>
      </c>
      <c r="AD2126" t="s">
        <v>32</v>
      </c>
      <c r="AE2126" t="s">
        <v>960</v>
      </c>
      <c r="AF2126" t="s">
        <v>46835</v>
      </c>
    </row>
    <row r="2127" spans="1:33" x14ac:dyDescent="0.2">
      <c r="A2127">
        <v>2122</v>
      </c>
      <c r="B2127" t="s">
        <v>24519</v>
      </c>
      <c r="C2127" t="s">
        <v>24520</v>
      </c>
      <c r="D2127" t="s">
        <v>32</v>
      </c>
      <c r="E2127" t="s">
        <v>24521</v>
      </c>
      <c r="F2127" t="s">
        <v>24522</v>
      </c>
      <c r="G2127" t="s">
        <v>24523</v>
      </c>
      <c r="H2127" t="str">
        <f>"Cdk5rap3"</f>
        <v>Cdk5rap3</v>
      </c>
      <c r="I2127" t="s">
        <v>32</v>
      </c>
      <c r="J2127" t="s">
        <v>37</v>
      </c>
      <c r="K2127">
        <v>10090</v>
      </c>
      <c r="L2127" s="3" t="str">
        <f>HYPERLINK("http://www.uniprot.org/uniprot/Q99LM2", "Q99LM2")</f>
        <v>Q99LM2</v>
      </c>
      <c r="M2127" t="s">
        <v>24524</v>
      </c>
      <c r="N2127" t="str">
        <f>"Cdk5rap3"</f>
        <v>Cdk5rap3</v>
      </c>
      <c r="O2127" s="3" t="str">
        <f>HYPERLINK("http://www.informatics.jax.org/marker/MGI:1933126", "MGI:1933126")</f>
        <v>MGI:1933126</v>
      </c>
      <c r="P2127" t="s">
        <v>24525</v>
      </c>
      <c r="Q2127" t="s">
        <v>32</v>
      </c>
      <c r="R2127" t="s">
        <v>324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32</v>
      </c>
      <c r="Y2127" t="s">
        <v>1007</v>
      </c>
      <c r="Z2127" t="s">
        <v>32</v>
      </c>
      <c r="AA2127" t="s">
        <v>24526</v>
      </c>
      <c r="AB2127" t="s">
        <v>24527</v>
      </c>
      <c r="AC2127" t="s">
        <v>24528</v>
      </c>
      <c r="AD2127" t="s">
        <v>32</v>
      </c>
      <c r="AE2127" t="s">
        <v>32</v>
      </c>
      <c r="AF2127" t="s">
        <v>46835</v>
      </c>
    </row>
    <row r="2128" spans="1:33" x14ac:dyDescent="0.2">
      <c r="A2128">
        <v>2123</v>
      </c>
      <c r="B2128" t="s">
        <v>24529</v>
      </c>
      <c r="C2128" t="s">
        <v>24530</v>
      </c>
      <c r="D2128" t="s">
        <v>24531</v>
      </c>
      <c r="E2128" t="s">
        <v>24532</v>
      </c>
      <c r="F2128" t="s">
        <v>24533</v>
      </c>
      <c r="G2128" t="s">
        <v>32</v>
      </c>
      <c r="H2128" t="str">
        <f>"Pdhx"</f>
        <v>Pdhx</v>
      </c>
      <c r="I2128" t="s">
        <v>32</v>
      </c>
      <c r="J2128" t="s">
        <v>37</v>
      </c>
      <c r="K2128">
        <v>10090</v>
      </c>
      <c r="L2128" s="3" t="str">
        <f>HYPERLINK("http://www.uniprot.org/uniprot/Q8BKZ9", "Q8BKZ9")</f>
        <v>Q8BKZ9</v>
      </c>
      <c r="M2128" t="s">
        <v>24534</v>
      </c>
      <c r="N2128" t="str">
        <f>"Pdhx"</f>
        <v>Pdhx</v>
      </c>
      <c r="O2128" s="3" t="str">
        <f>HYPERLINK("http://www.informatics.jax.org/marker/MGI:1351627", "MGI:1351627")</f>
        <v>MGI:1351627</v>
      </c>
      <c r="P2128" t="s">
        <v>24535</v>
      </c>
      <c r="Q2128" t="s">
        <v>32</v>
      </c>
      <c r="R2128" t="s">
        <v>1038</v>
      </c>
      <c r="S2128" t="s">
        <v>32</v>
      </c>
      <c r="T2128" t="s">
        <v>32</v>
      </c>
      <c r="U2128" t="s">
        <v>32</v>
      </c>
      <c r="V2128" t="s">
        <v>10652</v>
      </c>
      <c r="W2128" t="s">
        <v>32</v>
      </c>
      <c r="X2128" t="s">
        <v>32</v>
      </c>
      <c r="Y2128" t="s">
        <v>157</v>
      </c>
      <c r="Z2128" t="s">
        <v>32</v>
      </c>
      <c r="AA2128" t="s">
        <v>24536</v>
      </c>
      <c r="AB2128" t="s">
        <v>24537</v>
      </c>
      <c r="AC2128" t="s">
        <v>24538</v>
      </c>
      <c r="AD2128" t="s">
        <v>32</v>
      </c>
      <c r="AE2128" t="s">
        <v>12260</v>
      </c>
      <c r="AF2128" t="s">
        <v>46835</v>
      </c>
    </row>
    <row r="2129" spans="1:33" x14ac:dyDescent="0.2">
      <c r="A2129">
        <v>2124</v>
      </c>
      <c r="B2129" t="s">
        <v>24539</v>
      </c>
      <c r="C2129" t="s">
        <v>47117</v>
      </c>
      <c r="D2129" t="s">
        <v>32</v>
      </c>
      <c r="E2129" t="s">
        <v>46954</v>
      </c>
      <c r="F2129" t="s">
        <v>46953</v>
      </c>
      <c r="G2129" t="s">
        <v>32</v>
      </c>
      <c r="H2129" t="s">
        <v>47248</v>
      </c>
      <c r="I2129" t="s">
        <v>32</v>
      </c>
      <c r="J2129" t="s">
        <v>37</v>
      </c>
      <c r="K2129">
        <v>10090</v>
      </c>
      <c r="L2129" s="3" t="str">
        <f>HYPERLINK(CONCATENATE("https://www.uniprot.org/uniprotkb/", AG2129, "/entry"), AG2129)</f>
        <v>Q9CQX6</v>
      </c>
      <c r="M2129" t="s">
        <v>32</v>
      </c>
      <c r="N2129" t="s">
        <v>32</v>
      </c>
      <c r="O2129" s="3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32</v>
      </c>
      <c r="Y2129" t="s">
        <v>32</v>
      </c>
      <c r="Z2129" t="s">
        <v>32</v>
      </c>
      <c r="AA2129" t="s">
        <v>32</v>
      </c>
      <c r="AB2129" t="s">
        <v>32</v>
      </c>
      <c r="AC2129" t="s">
        <v>32</v>
      </c>
      <c r="AD2129" t="s">
        <v>32</v>
      </c>
      <c r="AE2129" t="s">
        <v>32</v>
      </c>
      <c r="AF2129" t="s">
        <v>46835</v>
      </c>
      <c r="AG2129" t="s">
        <v>46953</v>
      </c>
    </row>
    <row r="2130" spans="1:33" x14ac:dyDescent="0.2">
      <c r="A2130">
        <v>2125</v>
      </c>
      <c r="B2130" t="s">
        <v>24540</v>
      </c>
      <c r="C2130" t="s">
        <v>24541</v>
      </c>
      <c r="D2130" t="s">
        <v>24542</v>
      </c>
      <c r="E2130" t="s">
        <v>24543</v>
      </c>
      <c r="F2130" t="s">
        <v>24544</v>
      </c>
      <c r="G2130" t="s">
        <v>24545</v>
      </c>
      <c r="H2130" t="str">
        <f>"Cpt1a"</f>
        <v>Cpt1a</v>
      </c>
      <c r="I2130" t="s">
        <v>24546</v>
      </c>
      <c r="J2130" t="s">
        <v>37</v>
      </c>
      <c r="K2130">
        <v>10090</v>
      </c>
      <c r="L2130" s="3" t="str">
        <f>HYPERLINK("http://www.uniprot.org/uniprot/P97742", "P97742")</f>
        <v>P97742</v>
      </c>
      <c r="M2130" t="s">
        <v>24547</v>
      </c>
      <c r="N2130" t="str">
        <f>"Cpt1a"</f>
        <v>Cpt1a</v>
      </c>
      <c r="O2130" s="3" t="str">
        <f>HYPERLINK("http://www.informatics.jax.org/marker/MGI:1098296", "MGI:1098296")</f>
        <v>MGI:1098296</v>
      </c>
      <c r="P2130" t="s">
        <v>24548</v>
      </c>
      <c r="Q2130" t="s">
        <v>7303</v>
      </c>
      <c r="R2130" t="s">
        <v>4782</v>
      </c>
      <c r="S2130" t="s">
        <v>32</v>
      </c>
      <c r="T2130" t="s">
        <v>32</v>
      </c>
      <c r="U2130" t="s">
        <v>32</v>
      </c>
      <c r="V2130" t="s">
        <v>493</v>
      </c>
      <c r="W2130" t="s">
        <v>32</v>
      </c>
      <c r="X2130" t="s">
        <v>7304</v>
      </c>
      <c r="Y2130" t="s">
        <v>22114</v>
      </c>
      <c r="Z2130" t="s">
        <v>32</v>
      </c>
      <c r="AA2130" t="s">
        <v>24549</v>
      </c>
      <c r="AB2130" t="s">
        <v>24550</v>
      </c>
      <c r="AC2130" t="s">
        <v>24551</v>
      </c>
      <c r="AD2130" t="s">
        <v>6218</v>
      </c>
      <c r="AE2130" t="s">
        <v>24552</v>
      </c>
      <c r="AF2130" t="s">
        <v>46835</v>
      </c>
    </row>
    <row r="2131" spans="1:33" x14ac:dyDescent="0.2">
      <c r="A2131">
        <v>2126</v>
      </c>
      <c r="B2131" t="s">
        <v>24553</v>
      </c>
      <c r="C2131" t="s">
        <v>24554</v>
      </c>
      <c r="D2131" t="s">
        <v>24555</v>
      </c>
      <c r="E2131" t="s">
        <v>24556</v>
      </c>
      <c r="F2131" t="s">
        <v>24557</v>
      </c>
      <c r="G2131" t="s">
        <v>24558</v>
      </c>
      <c r="H2131" t="str">
        <f>"Ube2h"</f>
        <v>Ube2h</v>
      </c>
      <c r="I2131" t="s">
        <v>32</v>
      </c>
      <c r="J2131" t="s">
        <v>37</v>
      </c>
      <c r="K2131">
        <v>10090</v>
      </c>
      <c r="L2131" s="3" t="str">
        <f>HYPERLINK("http://www.uniprot.org/uniprot/P62257", "P62257")</f>
        <v>P62257</v>
      </c>
      <c r="M2131" t="s">
        <v>24559</v>
      </c>
      <c r="N2131" t="str">
        <f>"Ube2h"</f>
        <v>Ube2h</v>
      </c>
      <c r="O2131" s="3" t="str">
        <f>HYPERLINK("http://www.informatics.jax.org/marker/MGI:104632", "MGI:104632")</f>
        <v>MGI:104632</v>
      </c>
      <c r="P2131" t="s">
        <v>22495</v>
      </c>
      <c r="Q2131" t="s">
        <v>1020</v>
      </c>
      <c r="R2131" t="s">
        <v>32</v>
      </c>
      <c r="S2131" t="s">
        <v>32</v>
      </c>
      <c r="T2131" t="s">
        <v>32</v>
      </c>
      <c r="U2131" t="s">
        <v>32</v>
      </c>
      <c r="V2131" t="s">
        <v>32</v>
      </c>
      <c r="W2131" t="s">
        <v>205</v>
      </c>
      <c r="X2131" t="s">
        <v>515</v>
      </c>
      <c r="Y2131" t="s">
        <v>4102</v>
      </c>
      <c r="Z2131" t="s">
        <v>32</v>
      </c>
      <c r="AA2131" t="s">
        <v>24560</v>
      </c>
      <c r="AB2131" t="s">
        <v>3606</v>
      </c>
      <c r="AC2131" t="s">
        <v>24561</v>
      </c>
      <c r="AD2131" t="s">
        <v>1027</v>
      </c>
      <c r="AE2131" t="s">
        <v>1028</v>
      </c>
      <c r="AF2131" t="s">
        <v>46835</v>
      </c>
    </row>
    <row r="2132" spans="1:33" x14ac:dyDescent="0.2">
      <c r="A2132">
        <v>2127</v>
      </c>
      <c r="B2132" t="s">
        <v>24562</v>
      </c>
      <c r="C2132" t="s">
        <v>47193</v>
      </c>
      <c r="D2132" t="s">
        <v>32</v>
      </c>
      <c r="E2132" t="s">
        <v>46956</v>
      </c>
      <c r="F2132" t="s">
        <v>46955</v>
      </c>
      <c r="G2132" t="s">
        <v>32</v>
      </c>
      <c r="H2132" t="s">
        <v>47324</v>
      </c>
      <c r="I2132" t="s">
        <v>32</v>
      </c>
      <c r="J2132" t="s">
        <v>37</v>
      </c>
      <c r="K2132">
        <v>10090</v>
      </c>
      <c r="L2132" s="3" t="str">
        <f>HYPERLINK(CONCATENATE("https://www.uniprot.org/uniprotkb/", AG2132, "/entry"), AG2132)</f>
        <v>E9Q394</v>
      </c>
      <c r="M2132" t="s">
        <v>32</v>
      </c>
      <c r="N2132" t="s">
        <v>32</v>
      </c>
      <c r="O2132" s="3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32</v>
      </c>
      <c r="Y2132" t="s">
        <v>32</v>
      </c>
      <c r="Z2132" t="s">
        <v>32</v>
      </c>
      <c r="AA2132" t="s">
        <v>32</v>
      </c>
      <c r="AB2132" t="s">
        <v>32</v>
      </c>
      <c r="AC2132" t="s">
        <v>32</v>
      </c>
      <c r="AD2132" t="s">
        <v>32</v>
      </c>
      <c r="AE2132" t="s">
        <v>32</v>
      </c>
      <c r="AF2132" t="s">
        <v>46835</v>
      </c>
      <c r="AG2132" t="s">
        <v>46955</v>
      </c>
    </row>
    <row r="2133" spans="1:33" x14ac:dyDescent="0.2">
      <c r="A2133">
        <v>2128</v>
      </c>
      <c r="B2133" t="s">
        <v>24563</v>
      </c>
      <c r="C2133" t="s">
        <v>24564</v>
      </c>
      <c r="D2133" t="s">
        <v>24565</v>
      </c>
      <c r="E2133" t="s">
        <v>24566</v>
      </c>
      <c r="F2133" t="s">
        <v>24567</v>
      </c>
      <c r="G2133" t="s">
        <v>24568</v>
      </c>
      <c r="H2133" t="str">
        <f>"Cdc34"</f>
        <v>Cdc34</v>
      </c>
      <c r="I2133" t="s">
        <v>24569</v>
      </c>
      <c r="J2133" t="s">
        <v>37</v>
      </c>
      <c r="K2133">
        <v>10090</v>
      </c>
      <c r="L2133" s="3" t="str">
        <f>HYPERLINK("http://www.uniprot.org/uniprot/Q8CFI2", "Q8CFI2")</f>
        <v>Q8CFI2</v>
      </c>
      <c r="M2133" t="s">
        <v>24570</v>
      </c>
      <c r="N2133" t="str">
        <f>"Cdc34"</f>
        <v>Cdc34</v>
      </c>
      <c r="O2133" s="3" t="str">
        <f>HYPERLINK("http://www.informatics.jax.org/marker/MGI:102657", "MGI:102657")</f>
        <v>MGI:102657</v>
      </c>
      <c r="P2133" t="s">
        <v>24571</v>
      </c>
      <c r="Q2133" t="s">
        <v>13618</v>
      </c>
      <c r="R2133" t="s">
        <v>40</v>
      </c>
      <c r="S2133" t="s">
        <v>32</v>
      </c>
      <c r="T2133" t="s">
        <v>32</v>
      </c>
      <c r="U2133" t="s">
        <v>32</v>
      </c>
      <c r="V2133" t="s">
        <v>32</v>
      </c>
      <c r="W2133" t="s">
        <v>205</v>
      </c>
      <c r="X2133" t="s">
        <v>515</v>
      </c>
      <c r="Y2133" t="s">
        <v>618</v>
      </c>
      <c r="Z2133" t="s">
        <v>32</v>
      </c>
      <c r="AA2133" t="s">
        <v>24572</v>
      </c>
      <c r="AB2133" t="s">
        <v>24573</v>
      </c>
      <c r="AC2133" t="s">
        <v>24561</v>
      </c>
      <c r="AD2133" t="s">
        <v>1027</v>
      </c>
      <c r="AE2133" t="s">
        <v>24574</v>
      </c>
      <c r="AF2133" t="s">
        <v>46835</v>
      </c>
    </row>
    <row r="2134" spans="1:33" x14ac:dyDescent="0.2">
      <c r="A2134">
        <v>2129</v>
      </c>
      <c r="B2134" t="s">
        <v>24575</v>
      </c>
      <c r="C2134" t="s">
        <v>24576</v>
      </c>
      <c r="D2134" t="s">
        <v>24577</v>
      </c>
      <c r="E2134" t="s">
        <v>24578</v>
      </c>
      <c r="F2134" t="s">
        <v>24579</v>
      </c>
      <c r="G2134" t="s">
        <v>24580</v>
      </c>
      <c r="H2134" t="str">
        <f>"Man2c1"</f>
        <v>Man2c1</v>
      </c>
      <c r="I2134" t="s">
        <v>32</v>
      </c>
      <c r="J2134" t="s">
        <v>37</v>
      </c>
      <c r="K2134">
        <v>10090</v>
      </c>
      <c r="L2134" s="3" t="str">
        <f>HYPERLINK("http://www.uniprot.org/uniprot/Q91W89", "Q91W89")</f>
        <v>Q91W89</v>
      </c>
      <c r="M2134" t="s">
        <v>24581</v>
      </c>
      <c r="N2134" t="str">
        <f>"Man2c1"</f>
        <v>Man2c1</v>
      </c>
      <c r="O2134" s="3" t="str">
        <f>HYPERLINK("http://www.informatics.jax.org/marker/MGI:1920994", "MGI:1920994")</f>
        <v>MGI:1920994</v>
      </c>
      <c r="P2134" t="s">
        <v>24582</v>
      </c>
      <c r="Q2134" t="s">
        <v>32</v>
      </c>
      <c r="R2134" t="s">
        <v>418</v>
      </c>
      <c r="S2134" t="s">
        <v>32</v>
      </c>
      <c r="T2134" t="s">
        <v>32</v>
      </c>
      <c r="U2134" t="s">
        <v>32</v>
      </c>
      <c r="V2134" t="s">
        <v>32</v>
      </c>
      <c r="W2134" t="s">
        <v>24583</v>
      </c>
      <c r="X2134" t="s">
        <v>4316</v>
      </c>
      <c r="Y2134" t="s">
        <v>32</v>
      </c>
      <c r="Z2134" t="s">
        <v>32</v>
      </c>
      <c r="AA2134" t="s">
        <v>24584</v>
      </c>
      <c r="AB2134" t="s">
        <v>4202</v>
      </c>
      <c r="AC2134" t="s">
        <v>24585</v>
      </c>
      <c r="AD2134" t="s">
        <v>32</v>
      </c>
      <c r="AE2134" t="s">
        <v>24586</v>
      </c>
      <c r="AF2134" t="s">
        <v>46835</v>
      </c>
    </row>
    <row r="2135" spans="1:33" x14ac:dyDescent="0.2">
      <c r="A2135">
        <v>2130</v>
      </c>
      <c r="B2135" t="s">
        <v>24587</v>
      </c>
      <c r="C2135" t="s">
        <v>24588</v>
      </c>
      <c r="D2135" t="s">
        <v>24589</v>
      </c>
      <c r="E2135" t="s">
        <v>24590</v>
      </c>
      <c r="F2135" t="s">
        <v>24591</v>
      </c>
      <c r="G2135" t="s">
        <v>24592</v>
      </c>
      <c r="H2135" t="str">
        <f>"Csad"</f>
        <v>Csad</v>
      </c>
      <c r="I2135" t="s">
        <v>32</v>
      </c>
      <c r="J2135" t="s">
        <v>37</v>
      </c>
      <c r="K2135">
        <v>10090</v>
      </c>
      <c r="L2135" s="3" t="str">
        <f>HYPERLINK("http://www.uniprot.org/uniprot/Q9DBE0", "Q9DBE0")</f>
        <v>Q9DBE0</v>
      </c>
      <c r="M2135" t="s">
        <v>24593</v>
      </c>
      <c r="N2135" t="str">
        <f>"Csad"</f>
        <v>Csad</v>
      </c>
      <c r="O2135" s="3" t="str">
        <f>HYPERLINK("http://www.informatics.jax.org/marker/MGI:2180098", "MGI:2180098")</f>
        <v>MGI:2180098</v>
      </c>
      <c r="P2135" t="s">
        <v>24594</v>
      </c>
      <c r="Q2135" t="s">
        <v>32</v>
      </c>
      <c r="R2135" t="s">
        <v>32</v>
      </c>
      <c r="S2135" t="s">
        <v>32</v>
      </c>
      <c r="T2135" t="s">
        <v>32</v>
      </c>
      <c r="U2135" t="s">
        <v>32</v>
      </c>
      <c r="V2135" t="s">
        <v>32</v>
      </c>
      <c r="W2135" t="s">
        <v>3373</v>
      </c>
      <c r="X2135" t="s">
        <v>19521</v>
      </c>
      <c r="Y2135" t="s">
        <v>32</v>
      </c>
      <c r="Z2135" t="s">
        <v>126</v>
      </c>
      <c r="AA2135" t="s">
        <v>24595</v>
      </c>
      <c r="AB2135" t="s">
        <v>2172</v>
      </c>
      <c r="AC2135" t="s">
        <v>24596</v>
      </c>
      <c r="AD2135" t="s">
        <v>24597</v>
      </c>
      <c r="AE2135" t="s">
        <v>32</v>
      </c>
      <c r="AF2135" t="s">
        <v>46835</v>
      </c>
    </row>
    <row r="2136" spans="1:33" x14ac:dyDescent="0.2">
      <c r="A2136">
        <v>2131</v>
      </c>
      <c r="B2136" t="s">
        <v>24598</v>
      </c>
      <c r="C2136" t="s">
        <v>24599</v>
      </c>
      <c r="D2136" t="s">
        <v>24600</v>
      </c>
      <c r="E2136" t="s">
        <v>24601</v>
      </c>
      <c r="F2136" t="s">
        <v>24602</v>
      </c>
      <c r="G2136" t="s">
        <v>24603</v>
      </c>
      <c r="H2136" t="str">
        <f>"Epm2aip1"</f>
        <v>Epm2aip1</v>
      </c>
      <c r="I2136" t="s">
        <v>24604</v>
      </c>
      <c r="J2136" t="s">
        <v>37</v>
      </c>
      <c r="K2136">
        <v>10090</v>
      </c>
      <c r="L2136" s="3" t="str">
        <f>HYPERLINK("http://www.uniprot.org/uniprot/Q8VEH5", "Q8VEH5")</f>
        <v>Q8VEH5</v>
      </c>
      <c r="M2136" t="s">
        <v>24605</v>
      </c>
      <c r="N2136" t="str">
        <f>"Epm2aip1"</f>
        <v>Epm2aip1</v>
      </c>
      <c r="O2136" s="3" t="str">
        <f>HYPERLINK("http://www.informatics.jax.org/marker/MGI:1925031", "MGI:1925031")</f>
        <v>MGI:1925031</v>
      </c>
      <c r="P2136" t="s">
        <v>24606</v>
      </c>
      <c r="Q2136" t="s">
        <v>32</v>
      </c>
      <c r="R2136" t="s">
        <v>671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32</v>
      </c>
      <c r="Y2136" t="s">
        <v>618</v>
      </c>
      <c r="Z2136" t="s">
        <v>32</v>
      </c>
      <c r="AA2136" t="s">
        <v>24607</v>
      </c>
      <c r="AB2136" t="s">
        <v>24608</v>
      </c>
      <c r="AC2136" t="s">
        <v>4516</v>
      </c>
      <c r="AD2136" t="s">
        <v>32</v>
      </c>
      <c r="AE2136" t="s">
        <v>32</v>
      </c>
      <c r="AF2136" t="s">
        <v>46835</v>
      </c>
    </row>
    <row r="2137" spans="1:33" x14ac:dyDescent="0.2">
      <c r="A2137">
        <v>2132</v>
      </c>
      <c r="B2137" t="s">
        <v>24609</v>
      </c>
      <c r="C2137" t="s">
        <v>24610</v>
      </c>
      <c r="D2137" t="s">
        <v>24611</v>
      </c>
      <c r="E2137" t="s">
        <v>24612</v>
      </c>
      <c r="F2137" t="s">
        <v>24613</v>
      </c>
      <c r="G2137" t="s">
        <v>24614</v>
      </c>
      <c r="H2137" t="str">
        <f>"Ube2z"</f>
        <v>Ube2z</v>
      </c>
      <c r="I2137" t="s">
        <v>24615</v>
      </c>
      <c r="J2137" t="s">
        <v>37</v>
      </c>
      <c r="K2137">
        <v>10090</v>
      </c>
      <c r="L2137" s="3" t="str">
        <f>HYPERLINK("http://www.uniprot.org/uniprot/Q3UE37", "Q3UE37")</f>
        <v>Q3UE37</v>
      </c>
      <c r="M2137" t="s">
        <v>24616</v>
      </c>
      <c r="N2137" t="str">
        <f>"Ube2z"</f>
        <v>Ube2z</v>
      </c>
      <c r="O2137" s="3" t="str">
        <f>HYPERLINK("http://www.informatics.jax.org/marker/MGI:1343160", "MGI:1343160")</f>
        <v>MGI:1343160</v>
      </c>
      <c r="P2137" t="s">
        <v>24617</v>
      </c>
      <c r="Q2137" t="s">
        <v>16297</v>
      </c>
      <c r="R2137" t="s">
        <v>40</v>
      </c>
      <c r="S2137" t="s">
        <v>32</v>
      </c>
      <c r="T2137" t="s">
        <v>32</v>
      </c>
      <c r="U2137" t="s">
        <v>32</v>
      </c>
      <c r="V2137" t="s">
        <v>32</v>
      </c>
      <c r="W2137" t="s">
        <v>205</v>
      </c>
      <c r="X2137" t="s">
        <v>515</v>
      </c>
      <c r="Y2137" t="s">
        <v>618</v>
      </c>
      <c r="Z2137" t="s">
        <v>32</v>
      </c>
      <c r="AA2137" t="s">
        <v>24618</v>
      </c>
      <c r="AB2137" t="s">
        <v>8281</v>
      </c>
      <c r="AC2137" t="s">
        <v>24619</v>
      </c>
      <c r="AD2137" t="s">
        <v>1027</v>
      </c>
      <c r="AE2137" t="s">
        <v>1028</v>
      </c>
      <c r="AF2137" t="s">
        <v>46835</v>
      </c>
    </row>
    <row r="2138" spans="1:33" x14ac:dyDescent="0.2">
      <c r="A2138">
        <v>2133</v>
      </c>
      <c r="B2138" t="s">
        <v>24620</v>
      </c>
      <c r="C2138" t="s">
        <v>24621</v>
      </c>
      <c r="D2138" t="s">
        <v>32</v>
      </c>
      <c r="E2138" t="s">
        <v>24622</v>
      </c>
      <c r="F2138" t="s">
        <v>24623</v>
      </c>
      <c r="G2138" t="s">
        <v>24624</v>
      </c>
      <c r="H2138" t="str">
        <f>"Pmvk"</f>
        <v>Pmvk</v>
      </c>
      <c r="I2138" t="s">
        <v>32</v>
      </c>
      <c r="J2138" t="s">
        <v>37</v>
      </c>
      <c r="K2138">
        <v>10090</v>
      </c>
      <c r="L2138" s="3" t="str">
        <f>HYPERLINK("http://www.uniprot.org/uniprot/Q9D1G2", "Q9D1G2")</f>
        <v>Q9D1G2</v>
      </c>
      <c r="M2138" t="s">
        <v>24625</v>
      </c>
      <c r="N2138" t="str">
        <f>"Pmvk"</f>
        <v>Pmvk</v>
      </c>
      <c r="O2138" s="3" t="str">
        <f>HYPERLINK("http://www.informatics.jax.org/marker/MGI:1915853", "MGI:1915853")</f>
        <v>MGI:1915853</v>
      </c>
      <c r="P2138" t="s">
        <v>24626</v>
      </c>
      <c r="Q2138" t="s">
        <v>10614</v>
      </c>
      <c r="R2138" t="s">
        <v>418</v>
      </c>
      <c r="S2138" t="s">
        <v>41</v>
      </c>
      <c r="T2138" t="s">
        <v>32</v>
      </c>
      <c r="U2138" t="s">
        <v>32</v>
      </c>
      <c r="V2138" t="s">
        <v>32</v>
      </c>
      <c r="W2138" t="s">
        <v>205</v>
      </c>
      <c r="X2138" t="s">
        <v>419</v>
      </c>
      <c r="Y2138" t="s">
        <v>32</v>
      </c>
      <c r="Z2138" t="s">
        <v>32</v>
      </c>
      <c r="AA2138" t="s">
        <v>24627</v>
      </c>
      <c r="AB2138" t="s">
        <v>1268</v>
      </c>
      <c r="AC2138" t="s">
        <v>24628</v>
      </c>
      <c r="AD2138" t="s">
        <v>24629</v>
      </c>
      <c r="AE2138" t="s">
        <v>5365</v>
      </c>
      <c r="AF2138" t="s">
        <v>46835</v>
      </c>
    </row>
    <row r="2139" spans="1:33" x14ac:dyDescent="0.2">
      <c r="A2139">
        <v>2134</v>
      </c>
      <c r="B2139" t="s">
        <v>24630</v>
      </c>
      <c r="C2139" t="s">
        <v>24631</v>
      </c>
      <c r="D2139" t="s">
        <v>32</v>
      </c>
      <c r="E2139" t="s">
        <v>24632</v>
      </c>
      <c r="F2139" t="s">
        <v>24633</v>
      </c>
      <c r="G2139" t="s">
        <v>24634</v>
      </c>
      <c r="H2139" t="str">
        <f>"Fth1"</f>
        <v>Fth1</v>
      </c>
      <c r="I2139" t="s">
        <v>24635</v>
      </c>
      <c r="J2139" t="s">
        <v>37</v>
      </c>
      <c r="K2139">
        <v>10090</v>
      </c>
      <c r="L2139" s="3" t="str">
        <f>HYPERLINK("http://www.uniprot.org/uniprot/P09528", "P09528")</f>
        <v>P09528</v>
      </c>
      <c r="M2139" t="s">
        <v>24636</v>
      </c>
      <c r="N2139" t="str">
        <f>"Fth1"</f>
        <v>Fth1</v>
      </c>
      <c r="O2139" s="3" t="str">
        <f>HYPERLINK("http://www.informatics.jax.org/marker/MGI:95588", "MGI:95588")</f>
        <v>MGI:95588</v>
      </c>
      <c r="P2139" t="s">
        <v>24637</v>
      </c>
      <c r="Q2139" t="s">
        <v>23979</v>
      </c>
      <c r="R2139" t="s">
        <v>32</v>
      </c>
      <c r="S2139" t="s">
        <v>32</v>
      </c>
      <c r="T2139" t="s">
        <v>32</v>
      </c>
      <c r="U2139" t="s">
        <v>32</v>
      </c>
      <c r="V2139" t="s">
        <v>32</v>
      </c>
      <c r="W2139" t="s">
        <v>845</v>
      </c>
      <c r="X2139" t="s">
        <v>600</v>
      </c>
      <c r="Y2139" t="s">
        <v>78</v>
      </c>
      <c r="Z2139" t="s">
        <v>126</v>
      </c>
      <c r="AA2139" t="s">
        <v>24638</v>
      </c>
      <c r="AB2139" t="s">
        <v>24639</v>
      </c>
      <c r="AC2139" t="s">
        <v>24640</v>
      </c>
      <c r="AD2139" t="s">
        <v>32</v>
      </c>
      <c r="AE2139" t="s">
        <v>24641</v>
      </c>
      <c r="AF2139" t="s">
        <v>46835</v>
      </c>
    </row>
    <row r="2140" spans="1:33" x14ac:dyDescent="0.2">
      <c r="A2140">
        <v>2135</v>
      </c>
      <c r="B2140" t="s">
        <v>24642</v>
      </c>
      <c r="C2140" t="s">
        <v>24643</v>
      </c>
      <c r="D2140" t="s">
        <v>24644</v>
      </c>
      <c r="E2140" t="s">
        <v>24645</v>
      </c>
      <c r="F2140" t="s">
        <v>24646</v>
      </c>
      <c r="G2140" t="s">
        <v>24647</v>
      </c>
      <c r="H2140" t="str">
        <f>"Ndufaf2"</f>
        <v>Ndufaf2</v>
      </c>
      <c r="I2140" t="s">
        <v>24648</v>
      </c>
      <c r="J2140" t="s">
        <v>37</v>
      </c>
      <c r="K2140">
        <v>10090</v>
      </c>
      <c r="L2140" s="3" t="str">
        <f>HYPERLINK("http://www.uniprot.org/uniprot/Q59J78", "Q59J78")</f>
        <v>Q59J78</v>
      </c>
      <c r="M2140" t="s">
        <v>24649</v>
      </c>
      <c r="N2140" t="str">
        <f>"Ndufaf2"</f>
        <v>Ndufaf2</v>
      </c>
      <c r="O2140" s="3" t="str">
        <f>HYPERLINK("http://www.informatics.jax.org/marker/MGI:1922847", "MGI:1922847")</f>
        <v>MGI:1922847</v>
      </c>
      <c r="P2140" t="s">
        <v>24650</v>
      </c>
      <c r="Q2140" t="s">
        <v>32</v>
      </c>
      <c r="R2140" t="s">
        <v>1038</v>
      </c>
      <c r="S2140" t="s">
        <v>32</v>
      </c>
      <c r="T2140" t="s">
        <v>32</v>
      </c>
      <c r="U2140" t="s">
        <v>32</v>
      </c>
      <c r="V2140" t="s">
        <v>1039</v>
      </c>
      <c r="W2140" t="s">
        <v>32</v>
      </c>
      <c r="X2140" t="s">
        <v>388</v>
      </c>
      <c r="Y2140" t="s">
        <v>618</v>
      </c>
      <c r="Z2140" t="s">
        <v>32</v>
      </c>
      <c r="AA2140" t="s">
        <v>24651</v>
      </c>
      <c r="AB2140" t="s">
        <v>24652</v>
      </c>
      <c r="AC2140" t="s">
        <v>9779</v>
      </c>
      <c r="AD2140" t="s">
        <v>32</v>
      </c>
      <c r="AE2140" t="s">
        <v>24653</v>
      </c>
      <c r="AF2140" t="s">
        <v>46835</v>
      </c>
    </row>
    <row r="2141" spans="1:33" x14ac:dyDescent="0.2">
      <c r="A2141">
        <v>2136</v>
      </c>
      <c r="B2141" t="s">
        <v>24654</v>
      </c>
      <c r="C2141" t="s">
        <v>24655</v>
      </c>
      <c r="D2141" t="s">
        <v>24656</v>
      </c>
      <c r="E2141" t="s">
        <v>24657</v>
      </c>
      <c r="F2141" t="s">
        <v>24658</v>
      </c>
      <c r="G2141" t="s">
        <v>24659</v>
      </c>
      <c r="H2141" t="str">
        <f>"Eefsec"</f>
        <v>Eefsec</v>
      </c>
      <c r="I2141" t="s">
        <v>24660</v>
      </c>
      <c r="J2141" t="s">
        <v>37</v>
      </c>
      <c r="K2141">
        <v>10090</v>
      </c>
      <c r="L2141" s="3" t="str">
        <f>HYPERLINK("http://www.uniprot.org/uniprot/Q9JHW4", "Q9JHW4")</f>
        <v>Q9JHW4</v>
      </c>
      <c r="M2141" t="s">
        <v>24661</v>
      </c>
      <c r="N2141" t="str">
        <f>"Eefsec"</f>
        <v>Eefsec</v>
      </c>
      <c r="O2141" s="3" t="str">
        <f>HYPERLINK("http://www.informatics.jax.org/marker/MGI:2137092", "MGI:2137092")</f>
        <v>MGI:2137092</v>
      </c>
      <c r="P2141" t="s">
        <v>24662</v>
      </c>
      <c r="Q2141" t="s">
        <v>260</v>
      </c>
      <c r="R2141" t="s">
        <v>40</v>
      </c>
      <c r="S2141" t="s">
        <v>32</v>
      </c>
      <c r="T2141" t="s">
        <v>32</v>
      </c>
      <c r="U2141" t="s">
        <v>32</v>
      </c>
      <c r="V2141" t="s">
        <v>32</v>
      </c>
      <c r="W2141" t="s">
        <v>261</v>
      </c>
      <c r="X2141" t="s">
        <v>32</v>
      </c>
      <c r="Y2141" t="s">
        <v>2734</v>
      </c>
      <c r="Z2141" t="s">
        <v>32</v>
      </c>
      <c r="AA2141" t="s">
        <v>24663</v>
      </c>
      <c r="AB2141" t="s">
        <v>24664</v>
      </c>
      <c r="AC2141" t="s">
        <v>24665</v>
      </c>
      <c r="AD2141" t="s">
        <v>32</v>
      </c>
      <c r="AE2141" t="s">
        <v>32</v>
      </c>
      <c r="AF2141" t="s">
        <v>46835</v>
      </c>
    </row>
    <row r="2142" spans="1:33" x14ac:dyDescent="0.2">
      <c r="A2142">
        <v>2137</v>
      </c>
      <c r="B2142" t="s">
        <v>24666</v>
      </c>
      <c r="C2142" t="s">
        <v>24667</v>
      </c>
      <c r="D2142" t="s">
        <v>24668</v>
      </c>
      <c r="E2142" t="s">
        <v>24669</v>
      </c>
      <c r="F2142" t="s">
        <v>24670</v>
      </c>
      <c r="G2142" t="s">
        <v>24671</v>
      </c>
      <c r="H2142" t="str">
        <f>"Dhx32"</f>
        <v>Dhx32</v>
      </c>
      <c r="I2142" t="s">
        <v>24672</v>
      </c>
      <c r="J2142" t="s">
        <v>37</v>
      </c>
      <c r="K2142">
        <v>10090</v>
      </c>
      <c r="L2142" s="3" t="str">
        <f>HYPERLINK("http://www.uniprot.org/uniprot/Q8BZS9", "Q8BZS9")</f>
        <v>Q8BZS9</v>
      </c>
      <c r="M2142" t="s">
        <v>24673</v>
      </c>
      <c r="N2142" t="str">
        <f>"Dhx32"</f>
        <v>Dhx32</v>
      </c>
      <c r="O2142" s="3" t="str">
        <f>HYPERLINK("http://www.informatics.jax.org/marker/MGI:2141813", "MGI:2141813")</f>
        <v>MGI:2141813</v>
      </c>
      <c r="P2142" t="s">
        <v>24674</v>
      </c>
      <c r="Q2142" t="s">
        <v>32</v>
      </c>
      <c r="R2142" t="s">
        <v>2377</v>
      </c>
      <c r="S2142" t="s">
        <v>41</v>
      </c>
      <c r="T2142" t="s">
        <v>32</v>
      </c>
      <c r="U2142" t="s">
        <v>32</v>
      </c>
      <c r="V2142" t="s">
        <v>32</v>
      </c>
      <c r="W2142" t="s">
        <v>205</v>
      </c>
      <c r="X2142" t="s">
        <v>16991</v>
      </c>
      <c r="Y2142" t="s">
        <v>78</v>
      </c>
      <c r="Z2142" t="s">
        <v>32</v>
      </c>
      <c r="AA2142" t="s">
        <v>32</v>
      </c>
      <c r="AB2142" t="s">
        <v>24675</v>
      </c>
      <c r="AC2142" t="s">
        <v>5185</v>
      </c>
      <c r="AD2142" t="s">
        <v>32</v>
      </c>
      <c r="AE2142" t="s">
        <v>32</v>
      </c>
      <c r="AF2142" t="s">
        <v>46835</v>
      </c>
    </row>
    <row r="2143" spans="1:33" x14ac:dyDescent="0.2">
      <c r="A2143">
        <v>2138</v>
      </c>
      <c r="B2143" t="s">
        <v>24676</v>
      </c>
      <c r="C2143" t="s">
        <v>24677</v>
      </c>
      <c r="D2143" t="s">
        <v>24678</v>
      </c>
      <c r="E2143" t="s">
        <v>24679</v>
      </c>
      <c r="F2143" t="s">
        <v>24680</v>
      </c>
      <c r="G2143" t="s">
        <v>24681</v>
      </c>
      <c r="H2143" t="str">
        <f>"Kdm3b"</f>
        <v>Kdm3b</v>
      </c>
      <c r="I2143" t="s">
        <v>24682</v>
      </c>
      <c r="J2143" t="s">
        <v>37</v>
      </c>
      <c r="K2143">
        <v>10090</v>
      </c>
      <c r="L2143" s="3" t="str">
        <f>HYPERLINK("http://www.uniprot.org/uniprot/Q6ZPY7", "Q6ZPY7")</f>
        <v>Q6ZPY7</v>
      </c>
      <c r="M2143" t="s">
        <v>24683</v>
      </c>
      <c r="N2143" t="str">
        <f>"Kdm3b"</f>
        <v>Kdm3b</v>
      </c>
      <c r="O2143" s="3" t="str">
        <f>HYPERLINK("http://www.informatics.jax.org/marker/MGI:1923356", "MGI:1923356")</f>
        <v>MGI:1923356</v>
      </c>
      <c r="P2143" t="s">
        <v>24684</v>
      </c>
      <c r="Q2143" t="s">
        <v>4152</v>
      </c>
      <c r="R2143" t="s">
        <v>2279</v>
      </c>
      <c r="S2143" t="s">
        <v>41</v>
      </c>
      <c r="T2143" t="s">
        <v>32</v>
      </c>
      <c r="U2143" t="s">
        <v>32</v>
      </c>
      <c r="V2143" t="s">
        <v>446</v>
      </c>
      <c r="W2143" t="s">
        <v>18878</v>
      </c>
      <c r="X2143" t="s">
        <v>24685</v>
      </c>
      <c r="Y2143" t="s">
        <v>516</v>
      </c>
      <c r="Z2143" t="s">
        <v>32</v>
      </c>
      <c r="AA2143" t="s">
        <v>24686</v>
      </c>
      <c r="AB2143" t="s">
        <v>24687</v>
      </c>
      <c r="AC2143" t="s">
        <v>24688</v>
      </c>
      <c r="AD2143" t="s">
        <v>32</v>
      </c>
      <c r="AE2143" t="s">
        <v>24689</v>
      </c>
      <c r="AF2143" t="s">
        <v>46835</v>
      </c>
    </row>
    <row r="2144" spans="1:33" x14ac:dyDescent="0.2">
      <c r="A2144">
        <v>2139</v>
      </c>
      <c r="B2144" t="s">
        <v>24690</v>
      </c>
      <c r="C2144" t="s">
        <v>24691</v>
      </c>
      <c r="D2144" t="s">
        <v>24692</v>
      </c>
      <c r="E2144" t="s">
        <v>24693</v>
      </c>
      <c r="F2144" t="s">
        <v>24694</v>
      </c>
      <c r="G2144" t="s">
        <v>32</v>
      </c>
      <c r="H2144" t="str">
        <f>"Sf3b5"</f>
        <v>Sf3b5</v>
      </c>
      <c r="I2144" t="s">
        <v>24695</v>
      </c>
      <c r="J2144" t="s">
        <v>37</v>
      </c>
      <c r="K2144">
        <v>10090</v>
      </c>
      <c r="L2144" s="3" t="str">
        <f>HYPERLINK("http://www.uniprot.org/uniprot/Q923D4", "Q923D4")</f>
        <v>Q923D4</v>
      </c>
      <c r="M2144" t="s">
        <v>24696</v>
      </c>
      <c r="N2144" t="str">
        <f>"Sf3b5"</f>
        <v>Sf3b5</v>
      </c>
      <c r="O2144" s="3" t="str">
        <f>HYPERLINK("http://www.informatics.jax.org/marker/MGI:1913375", "MGI:1913375")</f>
        <v>MGI:1913375</v>
      </c>
      <c r="P2144" t="s">
        <v>24697</v>
      </c>
      <c r="Q2144" t="s">
        <v>2139</v>
      </c>
      <c r="R2144" t="s">
        <v>2140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1282</v>
      </c>
      <c r="Y2144" t="s">
        <v>157</v>
      </c>
      <c r="Z2144" t="s">
        <v>32</v>
      </c>
      <c r="AA2144" t="s">
        <v>24698</v>
      </c>
      <c r="AB2144" t="s">
        <v>24699</v>
      </c>
      <c r="AC2144" t="s">
        <v>24700</v>
      </c>
      <c r="AD2144" t="s">
        <v>32</v>
      </c>
      <c r="AE2144" t="s">
        <v>7167</v>
      </c>
      <c r="AF2144" t="s">
        <v>46835</v>
      </c>
    </row>
    <row r="2145" spans="1:32" x14ac:dyDescent="0.2">
      <c r="A2145">
        <v>2140</v>
      </c>
      <c r="B2145" t="s">
        <v>24701</v>
      </c>
      <c r="C2145" t="s">
        <v>24702</v>
      </c>
      <c r="D2145" t="s">
        <v>24703</v>
      </c>
      <c r="E2145" t="s">
        <v>24704</v>
      </c>
      <c r="F2145" t="s">
        <v>24705</v>
      </c>
      <c r="G2145" t="s">
        <v>24706</v>
      </c>
      <c r="H2145" t="str">
        <f>"Nop2"</f>
        <v>Nop2</v>
      </c>
      <c r="I2145" t="s">
        <v>24707</v>
      </c>
      <c r="J2145" t="s">
        <v>37</v>
      </c>
      <c r="K2145">
        <v>10090</v>
      </c>
      <c r="L2145" s="3" t="str">
        <f>HYPERLINK("http://www.uniprot.org/uniprot/Q922K7", "Q922K7")</f>
        <v>Q922K7</v>
      </c>
      <c r="M2145" t="s">
        <v>24708</v>
      </c>
      <c r="N2145" t="str">
        <f>"Nop2"</f>
        <v>Nop2</v>
      </c>
      <c r="O2145" s="3" t="str">
        <f>HYPERLINK("http://www.informatics.jax.org/marker/MGI:107891", "MGI:107891")</f>
        <v>MGI:107891</v>
      </c>
      <c r="P2145" t="s">
        <v>24709</v>
      </c>
      <c r="Q2145" t="s">
        <v>13781</v>
      </c>
      <c r="R2145" t="s">
        <v>2279</v>
      </c>
      <c r="S2145" t="s">
        <v>32</v>
      </c>
      <c r="T2145" t="s">
        <v>32</v>
      </c>
      <c r="U2145" t="s">
        <v>32</v>
      </c>
      <c r="V2145" t="s">
        <v>32</v>
      </c>
      <c r="W2145" t="s">
        <v>1705</v>
      </c>
      <c r="X2145" t="s">
        <v>17597</v>
      </c>
      <c r="Y2145" t="s">
        <v>700</v>
      </c>
      <c r="Z2145" t="s">
        <v>32</v>
      </c>
      <c r="AA2145" t="s">
        <v>24710</v>
      </c>
      <c r="AB2145" t="s">
        <v>6402</v>
      </c>
      <c r="AC2145" t="s">
        <v>24711</v>
      </c>
      <c r="AD2145" t="s">
        <v>32</v>
      </c>
      <c r="AE2145" t="s">
        <v>32</v>
      </c>
      <c r="AF2145" t="s">
        <v>46835</v>
      </c>
    </row>
    <row r="2146" spans="1:32" x14ac:dyDescent="0.2">
      <c r="A2146">
        <v>2141</v>
      </c>
      <c r="B2146" t="s">
        <v>24712</v>
      </c>
      <c r="C2146" t="s">
        <v>24713</v>
      </c>
      <c r="D2146" t="s">
        <v>24714</v>
      </c>
      <c r="E2146" t="s">
        <v>24715</v>
      </c>
      <c r="F2146" t="s">
        <v>24716</v>
      </c>
      <c r="G2146" t="s">
        <v>24717</v>
      </c>
      <c r="H2146" t="str">
        <f>"Actr10"</f>
        <v>Actr10</v>
      </c>
      <c r="I2146" t="s">
        <v>24718</v>
      </c>
      <c r="J2146" t="s">
        <v>37</v>
      </c>
      <c r="K2146">
        <v>10090</v>
      </c>
      <c r="L2146" s="3" t="str">
        <f>HYPERLINK("http://www.uniprot.org/uniprot/Q9QZB7", "Q9QZB7")</f>
        <v>Q9QZB7</v>
      </c>
      <c r="M2146" t="s">
        <v>24719</v>
      </c>
      <c r="N2146" t="str">
        <f>"Actr10"</f>
        <v>Actr10</v>
      </c>
      <c r="O2146" s="3" t="str">
        <f>HYPERLINK("http://www.informatics.jax.org/marker/MGI:1891654", "MGI:1891654")</f>
        <v>MGI:1891654</v>
      </c>
      <c r="P2146" t="s">
        <v>186</v>
      </c>
      <c r="Q2146" t="s">
        <v>32</v>
      </c>
      <c r="R2146" t="s">
        <v>186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32</v>
      </c>
      <c r="Y2146" t="s">
        <v>32</v>
      </c>
      <c r="Z2146" t="s">
        <v>32</v>
      </c>
      <c r="AA2146" t="s">
        <v>24720</v>
      </c>
      <c r="AB2146" t="s">
        <v>24721</v>
      </c>
      <c r="AC2146" t="s">
        <v>32</v>
      </c>
      <c r="AD2146" t="s">
        <v>32</v>
      </c>
      <c r="AE2146" t="s">
        <v>24722</v>
      </c>
      <c r="AF2146" t="s">
        <v>46835</v>
      </c>
    </row>
    <row r="2147" spans="1:32" x14ac:dyDescent="0.2">
      <c r="A2147">
        <v>2142</v>
      </c>
      <c r="B2147" t="s">
        <v>24723</v>
      </c>
      <c r="C2147" t="s">
        <v>24724</v>
      </c>
      <c r="D2147" t="s">
        <v>32</v>
      </c>
      <c r="E2147" t="s">
        <v>24725</v>
      </c>
      <c r="F2147" t="s">
        <v>24726</v>
      </c>
      <c r="G2147" t="s">
        <v>32</v>
      </c>
      <c r="H2147" t="s">
        <v>32</v>
      </c>
      <c r="I2147" t="s">
        <v>32</v>
      </c>
      <c r="J2147" t="s">
        <v>37</v>
      </c>
      <c r="K2147">
        <v>10090</v>
      </c>
      <c r="L2147" s="3" t="str">
        <f>HYPERLINK("http://www.uniprot.org/uniprot/Q5EBG8", "Q5EBG8")</f>
        <v>Q5EBG8</v>
      </c>
      <c r="M2147" t="s">
        <v>24727</v>
      </c>
      <c r="N2147" t="str">
        <f>"AU022252"</f>
        <v>AU022252</v>
      </c>
      <c r="O2147" s="3" t="str">
        <f>HYPERLINK("http://www.informatics.jax.org/marker/MGI:2140466", "MGI:2140466")</f>
        <v>MGI:2140466</v>
      </c>
      <c r="P2147" t="s">
        <v>290</v>
      </c>
      <c r="Q2147" t="s">
        <v>32</v>
      </c>
      <c r="R2147" t="s">
        <v>32</v>
      </c>
      <c r="S2147" t="s">
        <v>32</v>
      </c>
      <c r="T2147" t="s">
        <v>32</v>
      </c>
      <c r="U2147" t="s">
        <v>32</v>
      </c>
      <c r="V2147" t="s">
        <v>290</v>
      </c>
      <c r="W2147" t="s">
        <v>32</v>
      </c>
      <c r="X2147" t="s">
        <v>32</v>
      </c>
      <c r="Y2147" t="s">
        <v>32</v>
      </c>
      <c r="Z2147" t="s">
        <v>32</v>
      </c>
      <c r="AA2147" t="s">
        <v>32</v>
      </c>
      <c r="AB2147" t="s">
        <v>32</v>
      </c>
      <c r="AC2147" t="s">
        <v>4516</v>
      </c>
      <c r="AD2147" t="s">
        <v>32</v>
      </c>
      <c r="AE2147" t="s">
        <v>32</v>
      </c>
      <c r="AF2147" t="s">
        <v>46835</v>
      </c>
    </row>
    <row r="2148" spans="1:32" x14ac:dyDescent="0.2">
      <c r="A2148">
        <v>2143</v>
      </c>
      <c r="B2148" t="s">
        <v>24728</v>
      </c>
      <c r="C2148" t="s">
        <v>24729</v>
      </c>
      <c r="D2148" t="s">
        <v>24730</v>
      </c>
      <c r="E2148" t="s">
        <v>24731</v>
      </c>
      <c r="F2148" t="s">
        <v>24732</v>
      </c>
      <c r="G2148" t="s">
        <v>24733</v>
      </c>
      <c r="H2148" t="str">
        <f>"Sorbs2"</f>
        <v>Sorbs2</v>
      </c>
      <c r="I2148" t="s">
        <v>24734</v>
      </c>
      <c r="J2148" t="s">
        <v>37</v>
      </c>
      <c r="K2148">
        <v>10090</v>
      </c>
      <c r="L2148" s="3" t="str">
        <f>HYPERLINK("http://www.uniprot.org/uniprot/Q3UTJ2", "Q3UTJ2")</f>
        <v>Q3UTJ2</v>
      </c>
      <c r="M2148" t="s">
        <v>24735</v>
      </c>
      <c r="N2148" t="str">
        <f>"Sorbs2"</f>
        <v>Sorbs2</v>
      </c>
      <c r="O2148" s="3" t="str">
        <f>HYPERLINK("http://www.informatics.jax.org/marker/MGI:1924574", "MGI:1924574")</f>
        <v>MGI:1924574</v>
      </c>
      <c r="P2148" t="s">
        <v>24736</v>
      </c>
      <c r="Q2148" t="s">
        <v>32</v>
      </c>
      <c r="R2148" t="s">
        <v>2800</v>
      </c>
      <c r="S2148" t="s">
        <v>41</v>
      </c>
      <c r="T2148" t="s">
        <v>32</v>
      </c>
      <c r="U2148" t="s">
        <v>32</v>
      </c>
      <c r="V2148" t="s">
        <v>187</v>
      </c>
      <c r="W2148" t="s">
        <v>32</v>
      </c>
      <c r="X2148" t="s">
        <v>32</v>
      </c>
      <c r="Y2148" t="s">
        <v>2836</v>
      </c>
      <c r="Z2148" t="s">
        <v>32</v>
      </c>
      <c r="AA2148" t="s">
        <v>24737</v>
      </c>
      <c r="AB2148" t="s">
        <v>24738</v>
      </c>
      <c r="AC2148" t="s">
        <v>24739</v>
      </c>
      <c r="AD2148" t="s">
        <v>32</v>
      </c>
      <c r="AE2148" t="s">
        <v>32</v>
      </c>
      <c r="AF2148" t="s">
        <v>46835</v>
      </c>
    </row>
    <row r="2149" spans="1:32" x14ac:dyDescent="0.2">
      <c r="A2149">
        <v>2144</v>
      </c>
      <c r="B2149" t="s">
        <v>24740</v>
      </c>
      <c r="C2149" t="s">
        <v>24741</v>
      </c>
      <c r="D2149" t="s">
        <v>24742</v>
      </c>
      <c r="E2149" t="s">
        <v>24743</v>
      </c>
      <c r="F2149" t="s">
        <v>24744</v>
      </c>
      <c r="G2149" t="s">
        <v>32</v>
      </c>
      <c r="H2149" t="str">
        <f>"Btbd17"</f>
        <v>Btbd17</v>
      </c>
      <c r="I2149" t="s">
        <v>32</v>
      </c>
      <c r="J2149" t="s">
        <v>37</v>
      </c>
      <c r="K2149">
        <v>10090</v>
      </c>
      <c r="L2149" s="3" t="str">
        <f>HYPERLINK("http://www.uniprot.org/uniprot/Q9DB72", "Q9DB72")</f>
        <v>Q9DB72</v>
      </c>
      <c r="M2149" t="s">
        <v>24745</v>
      </c>
      <c r="N2149" t="str">
        <f>"Btbd17"</f>
        <v>Btbd17</v>
      </c>
      <c r="O2149" s="3" t="str">
        <f>HYPERLINK("http://www.informatics.jax.org/marker/MGI:1919264", "MGI:1919264")</f>
        <v>MGI:1919264</v>
      </c>
      <c r="P2149" t="s">
        <v>24746</v>
      </c>
      <c r="Q2149" t="s">
        <v>32</v>
      </c>
      <c r="R2149" t="s">
        <v>630</v>
      </c>
      <c r="S2149" t="s">
        <v>32</v>
      </c>
      <c r="T2149" t="s">
        <v>32</v>
      </c>
      <c r="U2149" t="s">
        <v>32</v>
      </c>
      <c r="V2149" t="s">
        <v>811</v>
      </c>
      <c r="W2149" t="s">
        <v>32</v>
      </c>
      <c r="X2149" t="s">
        <v>32</v>
      </c>
      <c r="Y2149" t="s">
        <v>3733</v>
      </c>
      <c r="Z2149" t="s">
        <v>32</v>
      </c>
      <c r="AA2149" t="s">
        <v>32</v>
      </c>
      <c r="AB2149" t="s">
        <v>21828</v>
      </c>
      <c r="AC2149" t="s">
        <v>32</v>
      </c>
      <c r="AD2149" t="s">
        <v>32</v>
      </c>
      <c r="AE2149" t="s">
        <v>32</v>
      </c>
      <c r="AF2149" t="s">
        <v>46835</v>
      </c>
    </row>
    <row r="2150" spans="1:32" x14ac:dyDescent="0.2">
      <c r="A2150">
        <v>2145</v>
      </c>
      <c r="B2150" t="s">
        <v>24747</v>
      </c>
      <c r="C2150" t="s">
        <v>24748</v>
      </c>
      <c r="D2150" t="s">
        <v>24749</v>
      </c>
      <c r="E2150" t="s">
        <v>24750</v>
      </c>
      <c r="F2150" t="s">
        <v>24751</v>
      </c>
      <c r="G2150" t="s">
        <v>24752</v>
      </c>
      <c r="H2150" t="str">
        <f>"Stxbp3"</f>
        <v>Stxbp3</v>
      </c>
      <c r="I2150" t="s">
        <v>24753</v>
      </c>
      <c r="J2150" t="s">
        <v>37</v>
      </c>
      <c r="K2150">
        <v>10090</v>
      </c>
      <c r="L2150" s="3" t="str">
        <f>HYPERLINK("http://www.uniprot.org/uniprot/Q60770", "Q60770")</f>
        <v>Q60770</v>
      </c>
      <c r="M2150" t="s">
        <v>24754</v>
      </c>
      <c r="N2150" t="str">
        <f>"Stxbp3"</f>
        <v>Stxbp3</v>
      </c>
      <c r="O2150" s="3" t="str">
        <f>HYPERLINK("http://www.informatics.jax.org/marker/MGI:107362", "MGI:107362")</f>
        <v>MGI:107362</v>
      </c>
      <c r="P2150" t="s">
        <v>24755</v>
      </c>
      <c r="Q2150" t="s">
        <v>434</v>
      </c>
      <c r="R2150" t="s">
        <v>222</v>
      </c>
      <c r="S2150" t="s">
        <v>41</v>
      </c>
      <c r="T2150" t="s">
        <v>32</v>
      </c>
      <c r="U2150" t="s">
        <v>32</v>
      </c>
      <c r="V2150" t="s">
        <v>32</v>
      </c>
      <c r="W2150" t="s">
        <v>32</v>
      </c>
      <c r="X2150" t="s">
        <v>32</v>
      </c>
      <c r="Y2150" t="s">
        <v>618</v>
      </c>
      <c r="Z2150" t="s">
        <v>126</v>
      </c>
      <c r="AA2150" t="s">
        <v>24756</v>
      </c>
      <c r="AB2150" t="s">
        <v>24757</v>
      </c>
      <c r="AC2150" t="s">
        <v>24758</v>
      </c>
      <c r="AD2150" t="s">
        <v>32</v>
      </c>
      <c r="AE2150" t="s">
        <v>24759</v>
      </c>
      <c r="AF2150" t="s">
        <v>46835</v>
      </c>
    </row>
    <row r="2151" spans="1:32" x14ac:dyDescent="0.2">
      <c r="A2151">
        <v>2146</v>
      </c>
      <c r="B2151" t="s">
        <v>24760</v>
      </c>
      <c r="C2151" t="s">
        <v>24761</v>
      </c>
      <c r="D2151" t="s">
        <v>32</v>
      </c>
      <c r="E2151" t="s">
        <v>24762</v>
      </c>
      <c r="F2151" t="s">
        <v>24763</v>
      </c>
      <c r="G2151" t="s">
        <v>32</v>
      </c>
      <c r="H2151" t="str">
        <f>"Mrpl37"</f>
        <v>Mrpl37</v>
      </c>
      <c r="I2151" t="s">
        <v>32</v>
      </c>
      <c r="J2151" t="s">
        <v>37</v>
      </c>
      <c r="K2151">
        <v>10090</v>
      </c>
      <c r="L2151" s="3" t="str">
        <f>HYPERLINK("http://www.uniprot.org/uniprot/Q921S7", "Q921S7")</f>
        <v>Q921S7</v>
      </c>
      <c r="M2151" t="s">
        <v>24764</v>
      </c>
      <c r="N2151" t="str">
        <f>"Mrpl37"</f>
        <v>Mrpl37</v>
      </c>
      <c r="O2151" s="3" t="str">
        <f>HYPERLINK("http://www.informatics.jax.org/marker/MGI:1926268", "MGI:1926268")</f>
        <v>MGI:1926268</v>
      </c>
      <c r="P2151" t="s">
        <v>24765</v>
      </c>
      <c r="Q2151" t="s">
        <v>32</v>
      </c>
      <c r="R2151" t="s">
        <v>1038</v>
      </c>
      <c r="S2151" t="s">
        <v>32</v>
      </c>
      <c r="T2151" t="s">
        <v>32</v>
      </c>
      <c r="U2151" t="s">
        <v>32</v>
      </c>
      <c r="V2151" t="s">
        <v>1039</v>
      </c>
      <c r="W2151" t="s">
        <v>32</v>
      </c>
      <c r="X2151" t="s">
        <v>447</v>
      </c>
      <c r="Y2151" t="s">
        <v>32</v>
      </c>
      <c r="Z2151" t="s">
        <v>32</v>
      </c>
      <c r="AA2151" t="s">
        <v>23519</v>
      </c>
      <c r="AB2151" t="s">
        <v>17270</v>
      </c>
      <c r="AC2151" t="s">
        <v>1010</v>
      </c>
      <c r="AD2151" t="s">
        <v>32</v>
      </c>
      <c r="AE2151" t="s">
        <v>17271</v>
      </c>
      <c r="AF2151" t="s">
        <v>46835</v>
      </c>
    </row>
    <row r="2152" spans="1:32" x14ac:dyDescent="0.2">
      <c r="A2152">
        <v>2147</v>
      </c>
      <c r="B2152" t="s">
        <v>24766</v>
      </c>
      <c r="C2152" t="s">
        <v>24767</v>
      </c>
      <c r="D2152" t="s">
        <v>24768</v>
      </c>
      <c r="E2152" t="s">
        <v>24769</v>
      </c>
      <c r="F2152" t="s">
        <v>24770</v>
      </c>
      <c r="G2152" t="s">
        <v>24771</v>
      </c>
      <c r="H2152" t="str">
        <f>"Ankfy1"</f>
        <v>Ankfy1</v>
      </c>
      <c r="I2152" t="s">
        <v>24772</v>
      </c>
      <c r="J2152" t="s">
        <v>37</v>
      </c>
      <c r="K2152">
        <v>10090</v>
      </c>
      <c r="L2152" s="3" t="str">
        <f>HYPERLINK("http://www.uniprot.org/uniprot/Q810B6", "Q810B6")</f>
        <v>Q810B6</v>
      </c>
      <c r="M2152" t="s">
        <v>24773</v>
      </c>
      <c r="N2152" t="str">
        <f>"Ankfy1"</f>
        <v>Ankfy1</v>
      </c>
      <c r="O2152" s="3" t="str">
        <f>HYPERLINK("http://www.informatics.jax.org/marker/MGI:1337008", "MGI:1337008")</f>
        <v>MGI:1337008</v>
      </c>
      <c r="P2152" t="s">
        <v>24774</v>
      </c>
      <c r="Q2152" t="s">
        <v>2822</v>
      </c>
      <c r="R2152" t="s">
        <v>24775</v>
      </c>
      <c r="S2152" t="s">
        <v>41</v>
      </c>
      <c r="T2152" t="s">
        <v>32</v>
      </c>
      <c r="U2152" t="s">
        <v>32</v>
      </c>
      <c r="V2152" t="s">
        <v>24776</v>
      </c>
      <c r="W2152" t="s">
        <v>42</v>
      </c>
      <c r="X2152" t="s">
        <v>32</v>
      </c>
      <c r="Y2152" t="s">
        <v>157</v>
      </c>
      <c r="Z2152" t="s">
        <v>32</v>
      </c>
      <c r="AA2152" t="s">
        <v>24777</v>
      </c>
      <c r="AB2152" t="s">
        <v>24778</v>
      </c>
      <c r="AC2152" t="s">
        <v>24779</v>
      </c>
      <c r="AD2152" t="s">
        <v>32</v>
      </c>
      <c r="AE2152" t="s">
        <v>15538</v>
      </c>
      <c r="AF2152" t="s">
        <v>46835</v>
      </c>
    </row>
    <row r="2153" spans="1:32" x14ac:dyDescent="0.2">
      <c r="A2153">
        <v>2148</v>
      </c>
      <c r="B2153" t="s">
        <v>24780</v>
      </c>
      <c r="C2153" t="s">
        <v>24781</v>
      </c>
      <c r="D2153" t="s">
        <v>24782</v>
      </c>
      <c r="E2153" t="s">
        <v>24783</v>
      </c>
      <c r="F2153" t="s">
        <v>24784</v>
      </c>
      <c r="G2153" t="s">
        <v>24785</v>
      </c>
      <c r="H2153" t="str">
        <f>"Ppil2"</f>
        <v>Ppil2</v>
      </c>
      <c r="I2153" t="s">
        <v>32</v>
      </c>
      <c r="J2153" t="s">
        <v>37</v>
      </c>
      <c r="K2153">
        <v>10090</v>
      </c>
      <c r="L2153" s="3" t="str">
        <f>HYPERLINK("http://www.uniprot.org/uniprot/Q9D787", "Q9D787")</f>
        <v>Q9D787</v>
      </c>
      <c r="M2153" t="s">
        <v>24786</v>
      </c>
      <c r="N2153" t="str">
        <f>"Ppil2"</f>
        <v>Ppil2</v>
      </c>
      <c r="O2153" s="3" t="str">
        <f>HYPERLINK("http://www.informatics.jax.org/marker/MGI:2447857", "MGI:2447857")</f>
        <v>MGI:2447857</v>
      </c>
      <c r="P2153" t="s">
        <v>24787</v>
      </c>
      <c r="Q2153" t="s">
        <v>1020</v>
      </c>
      <c r="R2153" t="s">
        <v>2279</v>
      </c>
      <c r="S2153" t="s">
        <v>32</v>
      </c>
      <c r="T2153" t="s">
        <v>32</v>
      </c>
      <c r="U2153" t="s">
        <v>32</v>
      </c>
      <c r="V2153" t="s">
        <v>290</v>
      </c>
      <c r="W2153" t="s">
        <v>32</v>
      </c>
      <c r="X2153" t="s">
        <v>515</v>
      </c>
      <c r="Y2153" t="s">
        <v>461</v>
      </c>
      <c r="Z2153" t="s">
        <v>32</v>
      </c>
      <c r="AA2153" t="s">
        <v>24788</v>
      </c>
      <c r="AB2153" t="s">
        <v>24789</v>
      </c>
      <c r="AC2153" t="s">
        <v>24790</v>
      </c>
      <c r="AD2153" t="s">
        <v>1027</v>
      </c>
      <c r="AE2153" t="s">
        <v>32</v>
      </c>
      <c r="AF2153" t="s">
        <v>46835</v>
      </c>
    </row>
    <row r="2154" spans="1:32" x14ac:dyDescent="0.2">
      <c r="A2154">
        <v>2149</v>
      </c>
      <c r="B2154" t="s">
        <v>24791</v>
      </c>
      <c r="C2154" t="s">
        <v>24792</v>
      </c>
      <c r="D2154" t="s">
        <v>32</v>
      </c>
      <c r="E2154" t="s">
        <v>24793</v>
      </c>
      <c r="F2154" t="s">
        <v>24794</v>
      </c>
      <c r="G2154" t="s">
        <v>24795</v>
      </c>
      <c r="H2154" t="str">
        <f>"Stoml2"</f>
        <v>Stoml2</v>
      </c>
      <c r="I2154" t="s">
        <v>24796</v>
      </c>
      <c r="J2154" t="s">
        <v>37</v>
      </c>
      <c r="K2154">
        <v>10090</v>
      </c>
      <c r="L2154" s="3" t="str">
        <f>HYPERLINK("http://www.uniprot.org/uniprot/Q99JB2", "Q99JB2")</f>
        <v>Q99JB2</v>
      </c>
      <c r="M2154" t="s">
        <v>24797</v>
      </c>
      <c r="N2154" t="str">
        <f>"Stoml2"</f>
        <v>Stoml2</v>
      </c>
      <c r="O2154" s="3" t="str">
        <f>HYPERLINK("http://www.informatics.jax.org/marker/MGI:1913842", "MGI:1913842")</f>
        <v>MGI:1913842</v>
      </c>
      <c r="P2154" t="s">
        <v>24798</v>
      </c>
      <c r="Q2154" t="s">
        <v>32</v>
      </c>
      <c r="R2154" t="s">
        <v>24799</v>
      </c>
      <c r="S2154" t="s">
        <v>32</v>
      </c>
      <c r="T2154" t="s">
        <v>32</v>
      </c>
      <c r="U2154" t="s">
        <v>32</v>
      </c>
      <c r="V2154" t="s">
        <v>14912</v>
      </c>
      <c r="W2154" t="s">
        <v>584</v>
      </c>
      <c r="X2154" t="s">
        <v>32</v>
      </c>
      <c r="Y2154" t="s">
        <v>14296</v>
      </c>
      <c r="Z2154" t="s">
        <v>32</v>
      </c>
      <c r="AA2154" t="s">
        <v>24800</v>
      </c>
      <c r="AB2154" t="s">
        <v>24801</v>
      </c>
      <c r="AC2154" t="s">
        <v>24802</v>
      </c>
      <c r="AD2154" t="s">
        <v>32</v>
      </c>
      <c r="AE2154" t="s">
        <v>8564</v>
      </c>
      <c r="AF2154" t="s">
        <v>46835</v>
      </c>
    </row>
    <row r="2155" spans="1:32" x14ac:dyDescent="0.2">
      <c r="A2155">
        <v>2150</v>
      </c>
      <c r="B2155" t="s">
        <v>24803</v>
      </c>
      <c r="C2155" t="s">
        <v>24804</v>
      </c>
      <c r="D2155" t="s">
        <v>32</v>
      </c>
      <c r="E2155" t="s">
        <v>24805</v>
      </c>
      <c r="F2155" t="s">
        <v>24806</v>
      </c>
      <c r="G2155" t="s">
        <v>32</v>
      </c>
      <c r="H2155" t="str">
        <f>"Irf3"</f>
        <v>Irf3</v>
      </c>
      <c r="I2155" t="s">
        <v>32</v>
      </c>
      <c r="J2155" t="s">
        <v>37</v>
      </c>
      <c r="K2155">
        <v>10090</v>
      </c>
      <c r="L2155" s="3" t="str">
        <f>HYPERLINK("http://www.uniprot.org/uniprot/P70671", "P70671")</f>
        <v>P70671</v>
      </c>
      <c r="M2155" t="s">
        <v>24807</v>
      </c>
      <c r="N2155" t="str">
        <f>"Irf3"</f>
        <v>Irf3</v>
      </c>
      <c r="O2155" s="3" t="str">
        <f>HYPERLINK("http://www.informatics.jax.org/marker/MGI:1859179", "MGI:1859179")</f>
        <v>MGI:1859179</v>
      </c>
      <c r="P2155" t="s">
        <v>24808</v>
      </c>
      <c r="Q2155" t="s">
        <v>24809</v>
      </c>
      <c r="R2155" t="s">
        <v>1021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2350</v>
      </c>
      <c r="Y2155" t="s">
        <v>1007</v>
      </c>
      <c r="Z2155" t="s">
        <v>126</v>
      </c>
      <c r="AA2155" t="s">
        <v>24810</v>
      </c>
      <c r="AB2155" t="s">
        <v>1655</v>
      </c>
      <c r="AC2155" t="s">
        <v>24811</v>
      </c>
      <c r="AD2155" t="s">
        <v>32</v>
      </c>
      <c r="AE2155" t="s">
        <v>24812</v>
      </c>
      <c r="AF2155" t="s">
        <v>46835</v>
      </c>
    </row>
    <row r="2156" spans="1:32" x14ac:dyDescent="0.2">
      <c r="A2156">
        <v>2151</v>
      </c>
      <c r="B2156" t="s">
        <v>24813</v>
      </c>
      <c r="C2156" t="s">
        <v>24814</v>
      </c>
      <c r="D2156" t="s">
        <v>32</v>
      </c>
      <c r="E2156" t="s">
        <v>24815</v>
      </c>
      <c r="F2156" t="s">
        <v>24816</v>
      </c>
      <c r="G2156" t="s">
        <v>24817</v>
      </c>
      <c r="H2156" t="str">
        <f>"Mcmbp"</f>
        <v>Mcmbp</v>
      </c>
      <c r="I2156" t="s">
        <v>32</v>
      </c>
      <c r="J2156" t="s">
        <v>37</v>
      </c>
      <c r="K2156">
        <v>10090</v>
      </c>
      <c r="L2156" s="3" t="str">
        <f>HYPERLINK("http://www.uniprot.org/uniprot/Q8R3C0", "Q8R3C0")</f>
        <v>Q8R3C0</v>
      </c>
      <c r="M2156" t="s">
        <v>24818</v>
      </c>
      <c r="N2156" t="str">
        <f>"Mcmbp"</f>
        <v>Mcmbp</v>
      </c>
      <c r="O2156" s="3" t="str">
        <f>HYPERLINK("http://www.informatics.jax.org/marker/MGI:1920977", "MGI:1920977")</f>
        <v>MGI:1920977</v>
      </c>
      <c r="P2156" t="s">
        <v>24819</v>
      </c>
      <c r="Q2156" t="s">
        <v>24820</v>
      </c>
      <c r="R2156" t="s">
        <v>2279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32</v>
      </c>
      <c r="Y2156" t="s">
        <v>618</v>
      </c>
      <c r="Z2156" t="s">
        <v>32</v>
      </c>
      <c r="AA2156" t="s">
        <v>24821</v>
      </c>
      <c r="AB2156" t="s">
        <v>24822</v>
      </c>
      <c r="AC2156" t="s">
        <v>16404</v>
      </c>
      <c r="AD2156" t="s">
        <v>32</v>
      </c>
      <c r="AE2156" t="s">
        <v>32</v>
      </c>
      <c r="AF2156" t="s">
        <v>46835</v>
      </c>
    </row>
    <row r="2157" spans="1:32" x14ac:dyDescent="0.2">
      <c r="A2157">
        <v>2152</v>
      </c>
      <c r="B2157" t="s">
        <v>24823</v>
      </c>
      <c r="C2157" t="s">
        <v>24824</v>
      </c>
      <c r="D2157" t="s">
        <v>24825</v>
      </c>
      <c r="E2157" t="s">
        <v>24826</v>
      </c>
      <c r="F2157" t="s">
        <v>24827</v>
      </c>
      <c r="G2157" t="s">
        <v>24828</v>
      </c>
      <c r="H2157" t="str">
        <f>"Vps4b"</f>
        <v>Vps4b</v>
      </c>
      <c r="I2157" t="s">
        <v>24829</v>
      </c>
      <c r="J2157" t="s">
        <v>37</v>
      </c>
      <c r="K2157">
        <v>10090</v>
      </c>
      <c r="L2157" s="3" t="str">
        <f>HYPERLINK("http://www.uniprot.org/uniprot/P46467", "P46467")</f>
        <v>P46467</v>
      </c>
      <c r="M2157" t="s">
        <v>24830</v>
      </c>
      <c r="N2157" t="str">
        <f>"Vps4b"</f>
        <v>Vps4b</v>
      </c>
      <c r="O2157" s="3" t="str">
        <f>HYPERLINK("http://www.informatics.jax.org/marker/MGI:1100499", "MGI:1100499")</f>
        <v>MGI:1100499</v>
      </c>
      <c r="P2157" t="s">
        <v>24831</v>
      </c>
      <c r="Q2157" t="s">
        <v>6659</v>
      </c>
      <c r="R2157" t="s">
        <v>24832</v>
      </c>
      <c r="S2157" t="s">
        <v>32</v>
      </c>
      <c r="T2157" t="s">
        <v>32</v>
      </c>
      <c r="U2157" t="s">
        <v>32</v>
      </c>
      <c r="V2157" t="s">
        <v>290</v>
      </c>
      <c r="W2157" t="s">
        <v>205</v>
      </c>
      <c r="X2157" t="s">
        <v>343</v>
      </c>
      <c r="Y2157" t="s">
        <v>618</v>
      </c>
      <c r="Z2157" t="s">
        <v>126</v>
      </c>
      <c r="AA2157" t="s">
        <v>24833</v>
      </c>
      <c r="AB2157" t="s">
        <v>24834</v>
      </c>
      <c r="AC2157" t="s">
        <v>24835</v>
      </c>
      <c r="AD2157" t="s">
        <v>32</v>
      </c>
      <c r="AE2157" t="s">
        <v>14055</v>
      </c>
      <c r="AF2157" t="s">
        <v>46835</v>
      </c>
    </row>
    <row r="2158" spans="1:32" x14ac:dyDescent="0.2">
      <c r="A2158">
        <v>2153</v>
      </c>
      <c r="B2158" t="s">
        <v>24836</v>
      </c>
      <c r="C2158" t="s">
        <v>24837</v>
      </c>
      <c r="D2158" t="s">
        <v>24838</v>
      </c>
      <c r="E2158" t="s">
        <v>24839</v>
      </c>
      <c r="F2158" t="s">
        <v>24840</v>
      </c>
      <c r="G2158" t="s">
        <v>24841</v>
      </c>
      <c r="H2158" t="str">
        <f>"Ap3m1"</f>
        <v>Ap3m1</v>
      </c>
      <c r="I2158" t="s">
        <v>32</v>
      </c>
      <c r="J2158" t="s">
        <v>37</v>
      </c>
      <c r="K2158">
        <v>10090</v>
      </c>
      <c r="L2158" s="3" t="str">
        <f>HYPERLINK("http://www.uniprot.org/uniprot/Q9JKC8", "Q9JKC8")</f>
        <v>Q9JKC8</v>
      </c>
      <c r="M2158" t="s">
        <v>24842</v>
      </c>
      <c r="N2158" t="str">
        <f>"Ap3m1"</f>
        <v>Ap3m1</v>
      </c>
      <c r="O2158" s="3" t="str">
        <f>HYPERLINK("http://www.informatics.jax.org/marker/MGI:1929212", "MGI:1929212")</f>
        <v>MGI:1929212</v>
      </c>
      <c r="P2158" t="s">
        <v>24843</v>
      </c>
      <c r="Q2158" t="s">
        <v>434</v>
      </c>
      <c r="R2158" t="s">
        <v>9099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32</v>
      </c>
      <c r="Y2158" t="s">
        <v>32</v>
      </c>
      <c r="Z2158" t="s">
        <v>32</v>
      </c>
      <c r="AA2158" t="s">
        <v>24844</v>
      </c>
      <c r="AB2158" t="s">
        <v>24845</v>
      </c>
      <c r="AC2158" t="s">
        <v>10905</v>
      </c>
      <c r="AD2158" t="s">
        <v>32</v>
      </c>
      <c r="AE2158" t="s">
        <v>32</v>
      </c>
      <c r="AF2158" t="s">
        <v>46835</v>
      </c>
    </row>
    <row r="2159" spans="1:32" x14ac:dyDescent="0.2">
      <c r="A2159">
        <v>2154</v>
      </c>
      <c r="B2159" t="s">
        <v>24846</v>
      </c>
      <c r="C2159" t="s">
        <v>24847</v>
      </c>
      <c r="D2159" t="s">
        <v>24848</v>
      </c>
      <c r="E2159" t="s">
        <v>24849</v>
      </c>
      <c r="F2159" t="s">
        <v>24850</v>
      </c>
      <c r="G2159" t="s">
        <v>32</v>
      </c>
      <c r="H2159" t="str">
        <f>"Lig1"</f>
        <v>Lig1</v>
      </c>
      <c r="I2159" t="s">
        <v>24851</v>
      </c>
      <c r="J2159" t="s">
        <v>37</v>
      </c>
      <c r="K2159">
        <v>10090</v>
      </c>
      <c r="L2159" s="3" t="str">
        <f>HYPERLINK("http://www.uniprot.org/uniprot/P37913", "P37913")</f>
        <v>P37913</v>
      </c>
      <c r="M2159" t="s">
        <v>24852</v>
      </c>
      <c r="N2159" t="str">
        <f>"Lig1"</f>
        <v>Lig1</v>
      </c>
      <c r="O2159" s="3" t="str">
        <f>HYPERLINK("http://www.informatics.jax.org/marker/MGI:101789", "MGI:101789")</f>
        <v>MGI:101789</v>
      </c>
      <c r="P2159" t="s">
        <v>24853</v>
      </c>
      <c r="Q2159" t="s">
        <v>21329</v>
      </c>
      <c r="R2159" t="s">
        <v>2279</v>
      </c>
      <c r="S2159" t="s">
        <v>32</v>
      </c>
      <c r="T2159" t="s">
        <v>32</v>
      </c>
      <c r="U2159" t="s">
        <v>32</v>
      </c>
      <c r="V2159" t="s">
        <v>32</v>
      </c>
      <c r="W2159" t="s">
        <v>1266</v>
      </c>
      <c r="X2159" t="s">
        <v>1022</v>
      </c>
      <c r="Y2159" t="s">
        <v>157</v>
      </c>
      <c r="Z2159" t="s">
        <v>32</v>
      </c>
      <c r="AA2159" t="s">
        <v>24854</v>
      </c>
      <c r="AB2159" t="s">
        <v>24855</v>
      </c>
      <c r="AC2159" t="s">
        <v>24856</v>
      </c>
      <c r="AD2159" t="s">
        <v>32</v>
      </c>
      <c r="AE2159" t="s">
        <v>24857</v>
      </c>
      <c r="AF2159" t="s">
        <v>46835</v>
      </c>
    </row>
    <row r="2160" spans="1:32" x14ac:dyDescent="0.2">
      <c r="A2160">
        <v>2155</v>
      </c>
      <c r="B2160" t="s">
        <v>24858</v>
      </c>
      <c r="C2160" t="s">
        <v>24859</v>
      </c>
      <c r="D2160" t="s">
        <v>24860</v>
      </c>
      <c r="E2160" t="s">
        <v>24861</v>
      </c>
      <c r="F2160" t="s">
        <v>24862</v>
      </c>
      <c r="G2160" t="s">
        <v>32</v>
      </c>
      <c r="H2160" t="str">
        <f>"Tra2a"</f>
        <v>Tra2a</v>
      </c>
      <c r="I2160" t="s">
        <v>32</v>
      </c>
      <c r="J2160" t="s">
        <v>37</v>
      </c>
      <c r="K2160">
        <v>10090</v>
      </c>
      <c r="L2160" s="3" t="str">
        <f>HYPERLINK("http://www.uniprot.org/uniprot/Q6PFR5", "Q6PFR5")</f>
        <v>Q6PFR5</v>
      </c>
      <c r="M2160" t="s">
        <v>24863</v>
      </c>
      <c r="N2160" t="str">
        <f>"Tra2a"</f>
        <v>Tra2a</v>
      </c>
      <c r="O2160" s="3" t="str">
        <f>HYPERLINK("http://www.informatics.jax.org/marker/MGI:1933972", "MGI:1933972")</f>
        <v>MGI:1933972</v>
      </c>
      <c r="P2160" t="s">
        <v>24864</v>
      </c>
      <c r="Q2160" t="s">
        <v>2139</v>
      </c>
      <c r="R2160" t="s">
        <v>2279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1282</v>
      </c>
      <c r="Y2160" t="s">
        <v>207</v>
      </c>
      <c r="Z2160" t="s">
        <v>32</v>
      </c>
      <c r="AA2160" t="s">
        <v>24865</v>
      </c>
      <c r="AB2160" t="s">
        <v>24866</v>
      </c>
      <c r="AC2160" t="s">
        <v>24867</v>
      </c>
      <c r="AD2160" t="s">
        <v>32</v>
      </c>
      <c r="AE2160" t="s">
        <v>32</v>
      </c>
      <c r="AF2160" t="s">
        <v>46835</v>
      </c>
    </row>
    <row r="2161" spans="1:32" x14ac:dyDescent="0.2">
      <c r="A2161">
        <v>2156</v>
      </c>
      <c r="B2161" t="s">
        <v>24868</v>
      </c>
      <c r="C2161" t="s">
        <v>24869</v>
      </c>
      <c r="D2161" t="s">
        <v>32</v>
      </c>
      <c r="E2161" t="s">
        <v>24870</v>
      </c>
      <c r="F2161" t="s">
        <v>24871</v>
      </c>
      <c r="G2161" t="s">
        <v>32</v>
      </c>
      <c r="H2161" t="str">
        <f>"Micos13"</f>
        <v>Micos13</v>
      </c>
      <c r="I2161" t="s">
        <v>24872</v>
      </c>
      <c r="J2161" t="s">
        <v>37</v>
      </c>
      <c r="K2161">
        <v>10090</v>
      </c>
      <c r="L2161" s="3" t="str">
        <f>HYPERLINK("http://www.uniprot.org/uniprot/Q8R404", "Q8R404")</f>
        <v>Q8R404</v>
      </c>
      <c r="M2161" t="s">
        <v>24873</v>
      </c>
      <c r="N2161" t="str">
        <f>"Micos13"</f>
        <v>Micos13</v>
      </c>
      <c r="O2161" s="3" t="str">
        <f>HYPERLINK("http://www.informatics.jax.org/marker/MGI:2442174", "MGI:2442174")</f>
        <v>MGI:2442174</v>
      </c>
      <c r="P2161" t="s">
        <v>24874</v>
      </c>
      <c r="Q2161" t="s">
        <v>32</v>
      </c>
      <c r="R2161" t="s">
        <v>3858</v>
      </c>
      <c r="S2161" t="s">
        <v>32</v>
      </c>
      <c r="T2161" t="s">
        <v>32</v>
      </c>
      <c r="U2161" t="s">
        <v>32</v>
      </c>
      <c r="V2161" t="s">
        <v>493</v>
      </c>
      <c r="W2161" t="s">
        <v>32</v>
      </c>
      <c r="X2161" t="s">
        <v>32</v>
      </c>
      <c r="Y2161" t="s">
        <v>32</v>
      </c>
      <c r="Z2161" t="s">
        <v>32</v>
      </c>
      <c r="AA2161" t="s">
        <v>18076</v>
      </c>
      <c r="AB2161" t="s">
        <v>24875</v>
      </c>
      <c r="AC2161" t="s">
        <v>32</v>
      </c>
      <c r="AD2161" t="s">
        <v>32</v>
      </c>
      <c r="AE2161" t="s">
        <v>32</v>
      </c>
      <c r="AF2161" t="s">
        <v>46835</v>
      </c>
    </row>
    <row r="2162" spans="1:32" x14ac:dyDescent="0.2">
      <c r="A2162">
        <v>2157</v>
      </c>
      <c r="B2162" t="s">
        <v>24876</v>
      </c>
      <c r="C2162" t="s">
        <v>24877</v>
      </c>
      <c r="D2162" t="s">
        <v>24878</v>
      </c>
      <c r="E2162" t="s">
        <v>24879</v>
      </c>
      <c r="F2162" t="s">
        <v>24880</v>
      </c>
      <c r="G2162" t="s">
        <v>32</v>
      </c>
      <c r="H2162" t="str">
        <f>"Mtx1"</f>
        <v>Mtx1</v>
      </c>
      <c r="I2162" t="s">
        <v>24881</v>
      </c>
      <c r="J2162" t="s">
        <v>37</v>
      </c>
      <c r="K2162">
        <v>10090</v>
      </c>
      <c r="L2162" s="3" t="str">
        <f>HYPERLINK("http://www.uniprot.org/uniprot/P47802", "P47802")</f>
        <v>P47802</v>
      </c>
      <c r="M2162" t="s">
        <v>24882</v>
      </c>
      <c r="N2162" t="str">
        <f>"Mtx1"</f>
        <v>Mtx1</v>
      </c>
      <c r="O2162" s="3" t="str">
        <f>HYPERLINK("http://www.informatics.jax.org/marker/MGI:103025", "MGI:103025")</f>
        <v>MGI:103025</v>
      </c>
      <c r="P2162" t="s">
        <v>24883</v>
      </c>
      <c r="Q2162" t="s">
        <v>434</v>
      </c>
      <c r="R2162" t="s">
        <v>4782</v>
      </c>
      <c r="S2162" t="s">
        <v>32</v>
      </c>
      <c r="T2162" t="s">
        <v>32</v>
      </c>
      <c r="U2162" t="s">
        <v>32</v>
      </c>
      <c r="V2162" t="s">
        <v>493</v>
      </c>
      <c r="W2162" t="s">
        <v>32</v>
      </c>
      <c r="X2162" t="s">
        <v>32</v>
      </c>
      <c r="Y2162" t="s">
        <v>7792</v>
      </c>
      <c r="Z2162" t="s">
        <v>32</v>
      </c>
      <c r="AA2162" t="s">
        <v>24884</v>
      </c>
      <c r="AB2162" t="s">
        <v>24885</v>
      </c>
      <c r="AC2162" t="s">
        <v>32</v>
      </c>
      <c r="AD2162" t="s">
        <v>32</v>
      </c>
      <c r="AE2162" t="s">
        <v>17611</v>
      </c>
      <c r="AF2162" t="s">
        <v>46835</v>
      </c>
    </row>
    <row r="2163" spans="1:32" x14ac:dyDescent="0.2">
      <c r="A2163">
        <v>2158</v>
      </c>
      <c r="B2163" t="s">
        <v>24886</v>
      </c>
      <c r="C2163" t="s">
        <v>24887</v>
      </c>
      <c r="D2163" t="s">
        <v>32</v>
      </c>
      <c r="E2163" t="s">
        <v>24888</v>
      </c>
      <c r="F2163" t="s">
        <v>24889</v>
      </c>
      <c r="G2163" t="s">
        <v>24890</v>
      </c>
      <c r="H2163" t="str">
        <f>"Cfap418"</f>
        <v>Cfap418</v>
      </c>
      <c r="I2163" t="s">
        <v>32</v>
      </c>
      <c r="J2163" t="s">
        <v>37</v>
      </c>
      <c r="K2163">
        <v>10090</v>
      </c>
      <c r="L2163" s="3" t="str">
        <f>HYPERLINK("http://www.uniprot.org/uniprot/Q3UJP5", "Q3UJP5")</f>
        <v>Q3UJP5</v>
      </c>
      <c r="M2163" t="s">
        <v>24891</v>
      </c>
      <c r="N2163" t="str">
        <f>"2610301B20Rik"</f>
        <v>2610301B20Rik</v>
      </c>
      <c r="O2163" s="3" t="str">
        <f>HYPERLINK("http://www.informatics.jax.org/marker/MGI:1914407", "MGI:1914407")</f>
        <v>MGI:1914407</v>
      </c>
      <c r="P2163" t="s">
        <v>418</v>
      </c>
      <c r="Q2163" t="s">
        <v>32</v>
      </c>
      <c r="R2163" t="s">
        <v>418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32</v>
      </c>
      <c r="Y2163" t="s">
        <v>32</v>
      </c>
      <c r="Z2163" t="s">
        <v>32</v>
      </c>
      <c r="AA2163" t="s">
        <v>24892</v>
      </c>
      <c r="AB2163" t="s">
        <v>24893</v>
      </c>
      <c r="AC2163" t="s">
        <v>32</v>
      </c>
      <c r="AD2163" t="s">
        <v>32</v>
      </c>
      <c r="AE2163" t="s">
        <v>32</v>
      </c>
      <c r="AF2163" t="s">
        <v>46835</v>
      </c>
    </row>
    <row r="2164" spans="1:32" x14ac:dyDescent="0.2">
      <c r="A2164">
        <v>2159</v>
      </c>
      <c r="B2164" t="s">
        <v>24894</v>
      </c>
      <c r="C2164" t="s">
        <v>24895</v>
      </c>
      <c r="D2164" t="s">
        <v>24896</v>
      </c>
      <c r="E2164" t="s">
        <v>24897</v>
      </c>
      <c r="F2164" t="s">
        <v>24898</v>
      </c>
      <c r="G2164" t="s">
        <v>24899</v>
      </c>
      <c r="H2164" t="str">
        <f>"Ngef"</f>
        <v>Ngef</v>
      </c>
      <c r="I2164" t="s">
        <v>32</v>
      </c>
      <c r="J2164" t="s">
        <v>37</v>
      </c>
      <c r="K2164">
        <v>10090</v>
      </c>
      <c r="L2164" s="3" t="str">
        <f>HYPERLINK("http://www.uniprot.org/uniprot/Q8CHT1", "Q8CHT1")</f>
        <v>Q8CHT1</v>
      </c>
      <c r="M2164" t="s">
        <v>24900</v>
      </c>
      <c r="N2164" t="str">
        <f>"Ngef"</f>
        <v>Ngef</v>
      </c>
      <c r="O2164" s="3" t="str">
        <f>HYPERLINK("http://www.informatics.jax.org/marker/MGI:1858414", "MGI:1858414")</f>
        <v>MGI:1858414</v>
      </c>
      <c r="P2164" t="s">
        <v>24901</v>
      </c>
      <c r="Q2164" t="s">
        <v>2027</v>
      </c>
      <c r="R2164" t="s">
        <v>19978</v>
      </c>
      <c r="S2164" t="s">
        <v>41</v>
      </c>
      <c r="T2164" t="s">
        <v>32</v>
      </c>
      <c r="U2164" t="s">
        <v>32</v>
      </c>
      <c r="V2164" t="s">
        <v>10640</v>
      </c>
      <c r="W2164" t="s">
        <v>32</v>
      </c>
      <c r="X2164" t="s">
        <v>20602</v>
      </c>
      <c r="Y2164" t="s">
        <v>618</v>
      </c>
      <c r="Z2164" t="s">
        <v>32</v>
      </c>
      <c r="AA2164" t="s">
        <v>24902</v>
      </c>
      <c r="AB2164" t="s">
        <v>24903</v>
      </c>
      <c r="AC2164" t="s">
        <v>24904</v>
      </c>
      <c r="AD2164" t="s">
        <v>32</v>
      </c>
      <c r="AE2164" t="s">
        <v>24905</v>
      </c>
      <c r="AF2164" t="s">
        <v>46835</v>
      </c>
    </row>
    <row r="2165" spans="1:32" x14ac:dyDescent="0.2">
      <c r="A2165">
        <v>2160</v>
      </c>
      <c r="B2165" t="s">
        <v>24906</v>
      </c>
      <c r="C2165" t="s">
        <v>24907</v>
      </c>
      <c r="D2165" t="s">
        <v>24908</v>
      </c>
      <c r="E2165" t="s">
        <v>24909</v>
      </c>
      <c r="F2165" t="s">
        <v>24910</v>
      </c>
      <c r="G2165" t="s">
        <v>24911</v>
      </c>
      <c r="H2165" t="str">
        <f>"Wdr11"</f>
        <v>Wdr11</v>
      </c>
      <c r="I2165" t="s">
        <v>24912</v>
      </c>
      <c r="J2165" t="s">
        <v>37</v>
      </c>
      <c r="K2165">
        <v>10090</v>
      </c>
      <c r="L2165" s="3" t="str">
        <f>HYPERLINK("http://www.uniprot.org/uniprot/Q8K1X1", "Q8K1X1")</f>
        <v>Q8K1X1</v>
      </c>
      <c r="M2165" t="s">
        <v>24913</v>
      </c>
      <c r="N2165" t="str">
        <f>"Wdr11"</f>
        <v>Wdr11</v>
      </c>
      <c r="O2165" s="3" t="str">
        <f>HYPERLINK("http://www.informatics.jax.org/marker/MGI:1920230", "MGI:1920230")</f>
        <v>MGI:1920230</v>
      </c>
      <c r="P2165" t="s">
        <v>24914</v>
      </c>
      <c r="Q2165" t="s">
        <v>32</v>
      </c>
      <c r="R2165" t="s">
        <v>24915</v>
      </c>
      <c r="S2165" t="s">
        <v>32</v>
      </c>
      <c r="T2165" t="s">
        <v>32</v>
      </c>
      <c r="U2165" t="s">
        <v>32</v>
      </c>
      <c r="V2165" t="s">
        <v>1910</v>
      </c>
      <c r="W2165" t="s">
        <v>32</v>
      </c>
      <c r="X2165" t="s">
        <v>32</v>
      </c>
      <c r="Y2165" t="s">
        <v>618</v>
      </c>
      <c r="Z2165" t="s">
        <v>32</v>
      </c>
      <c r="AA2165" t="s">
        <v>24916</v>
      </c>
      <c r="AB2165" t="s">
        <v>24917</v>
      </c>
      <c r="AC2165" t="s">
        <v>32</v>
      </c>
      <c r="AD2165" t="s">
        <v>32</v>
      </c>
      <c r="AE2165" t="s">
        <v>4969</v>
      </c>
      <c r="AF2165" t="s">
        <v>46835</v>
      </c>
    </row>
    <row r="2166" spans="1:32" x14ac:dyDescent="0.2">
      <c r="A2166">
        <v>2161</v>
      </c>
      <c r="B2166" t="s">
        <v>24918</v>
      </c>
      <c r="C2166" t="s">
        <v>24919</v>
      </c>
      <c r="D2166" t="s">
        <v>24920</v>
      </c>
      <c r="E2166" t="s">
        <v>24921</v>
      </c>
      <c r="F2166" t="s">
        <v>24922</v>
      </c>
      <c r="G2166" t="s">
        <v>24923</v>
      </c>
      <c r="H2166" t="str">
        <f>"Sec62"</f>
        <v>Sec62</v>
      </c>
      <c r="I2166" t="s">
        <v>24924</v>
      </c>
      <c r="J2166" t="s">
        <v>37</v>
      </c>
      <c r="K2166">
        <v>10090</v>
      </c>
      <c r="L2166" s="3" t="str">
        <f>HYPERLINK("http://www.uniprot.org/uniprot/Q8BU14", "Q8BU14")</f>
        <v>Q8BU14</v>
      </c>
      <c r="M2166" t="s">
        <v>24925</v>
      </c>
      <c r="N2166" t="str">
        <f>"Sec62"</f>
        <v>Sec62</v>
      </c>
      <c r="O2166" s="3" t="str">
        <f>HYPERLINK("http://www.informatics.jax.org/marker/MGI:1916526", "MGI:1916526")</f>
        <v>MGI:1916526</v>
      </c>
      <c r="P2166" t="s">
        <v>24926</v>
      </c>
      <c r="Q2166" t="s">
        <v>4270</v>
      </c>
      <c r="R2166" t="s">
        <v>1664</v>
      </c>
      <c r="S2166" t="s">
        <v>32</v>
      </c>
      <c r="T2166" t="s">
        <v>32</v>
      </c>
      <c r="U2166" t="s">
        <v>32</v>
      </c>
      <c r="V2166" t="s">
        <v>493</v>
      </c>
      <c r="W2166" t="s">
        <v>32</v>
      </c>
      <c r="X2166" t="s">
        <v>32</v>
      </c>
      <c r="Y2166" t="s">
        <v>618</v>
      </c>
      <c r="Z2166" t="s">
        <v>32</v>
      </c>
      <c r="AA2166" t="s">
        <v>24927</v>
      </c>
      <c r="AB2166" t="s">
        <v>24928</v>
      </c>
      <c r="AC2166" t="s">
        <v>32</v>
      </c>
      <c r="AD2166" t="s">
        <v>32</v>
      </c>
      <c r="AE2166" t="s">
        <v>32</v>
      </c>
      <c r="AF2166" t="s">
        <v>46835</v>
      </c>
    </row>
    <row r="2167" spans="1:32" x14ac:dyDescent="0.2">
      <c r="A2167">
        <v>2162</v>
      </c>
      <c r="B2167" t="s">
        <v>24929</v>
      </c>
      <c r="C2167" t="s">
        <v>24930</v>
      </c>
      <c r="D2167" t="s">
        <v>24931</v>
      </c>
      <c r="E2167" t="s">
        <v>24932</v>
      </c>
      <c r="F2167" t="s">
        <v>24933</v>
      </c>
      <c r="G2167" t="s">
        <v>24934</v>
      </c>
      <c r="H2167" t="str">
        <f>"Cog6"</f>
        <v>Cog6</v>
      </c>
      <c r="I2167" t="s">
        <v>24935</v>
      </c>
      <c r="J2167" t="s">
        <v>37</v>
      </c>
      <c r="K2167">
        <v>10090</v>
      </c>
      <c r="L2167" s="3" t="str">
        <f>HYPERLINK("http://www.uniprot.org/uniprot/Q8R3I3", "Q8R3I3")</f>
        <v>Q8R3I3</v>
      </c>
      <c r="M2167" t="s">
        <v>24936</v>
      </c>
      <c r="N2167" t="str">
        <f>"Cog6"</f>
        <v>Cog6</v>
      </c>
      <c r="O2167" s="3" t="str">
        <f>HYPERLINK("http://www.informatics.jax.org/marker/MGI:1914792", "MGI:1914792")</f>
        <v>MGI:1914792</v>
      </c>
      <c r="P2167" t="s">
        <v>24937</v>
      </c>
      <c r="Q2167" t="s">
        <v>434</v>
      </c>
      <c r="R2167" t="s">
        <v>13904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32</v>
      </c>
      <c r="Y2167" t="s">
        <v>32</v>
      </c>
      <c r="Z2167" t="s">
        <v>32</v>
      </c>
      <c r="AA2167" t="s">
        <v>24938</v>
      </c>
      <c r="AB2167" t="s">
        <v>24939</v>
      </c>
      <c r="AC2167" t="s">
        <v>32</v>
      </c>
      <c r="AD2167" t="s">
        <v>32</v>
      </c>
      <c r="AE2167" t="s">
        <v>24940</v>
      </c>
      <c r="AF2167" t="s">
        <v>46835</v>
      </c>
    </row>
    <row r="2168" spans="1:32" x14ac:dyDescent="0.2">
      <c r="A2168">
        <v>2163</v>
      </c>
      <c r="B2168" t="s">
        <v>24941</v>
      </c>
      <c r="C2168" t="s">
        <v>24942</v>
      </c>
      <c r="D2168" t="s">
        <v>32</v>
      </c>
      <c r="E2168" t="s">
        <v>24943</v>
      </c>
      <c r="F2168" t="s">
        <v>24944</v>
      </c>
      <c r="G2168" t="s">
        <v>24945</v>
      </c>
      <c r="H2168" t="str">
        <f>"Wdr81"</f>
        <v>Wdr81</v>
      </c>
      <c r="I2168" t="s">
        <v>32</v>
      </c>
      <c r="J2168" t="s">
        <v>37</v>
      </c>
      <c r="K2168">
        <v>10090</v>
      </c>
      <c r="L2168" s="3" t="str">
        <f>HYPERLINK("http://www.uniprot.org/uniprot/Q5ND34", "Q5ND34")</f>
        <v>Q5ND34</v>
      </c>
      <c r="M2168" t="s">
        <v>24946</v>
      </c>
      <c r="N2168" t="str">
        <f>"Wdr81"</f>
        <v>Wdr81</v>
      </c>
      <c r="O2168" s="3" t="str">
        <f>HYPERLINK("http://www.informatics.jax.org/marker/MGI:2681828", "MGI:2681828")</f>
        <v>MGI:2681828</v>
      </c>
      <c r="P2168" t="s">
        <v>24947</v>
      </c>
      <c r="Q2168" t="s">
        <v>32</v>
      </c>
      <c r="R2168" t="s">
        <v>24948</v>
      </c>
      <c r="S2168" t="s">
        <v>41</v>
      </c>
      <c r="T2168" t="s">
        <v>32</v>
      </c>
      <c r="U2168" t="s">
        <v>32</v>
      </c>
      <c r="V2168" t="s">
        <v>24949</v>
      </c>
      <c r="W2168" t="s">
        <v>32</v>
      </c>
      <c r="X2168" t="s">
        <v>32</v>
      </c>
      <c r="Y2168" t="s">
        <v>32</v>
      </c>
      <c r="Z2168" t="s">
        <v>32</v>
      </c>
      <c r="AA2168" t="s">
        <v>24950</v>
      </c>
      <c r="AB2168" t="s">
        <v>24951</v>
      </c>
      <c r="AC2168" t="s">
        <v>24952</v>
      </c>
      <c r="AD2168" t="s">
        <v>32</v>
      </c>
      <c r="AE2168" t="s">
        <v>32</v>
      </c>
      <c r="AF2168" t="s">
        <v>46835</v>
      </c>
    </row>
    <row r="2169" spans="1:32" x14ac:dyDescent="0.2">
      <c r="A2169">
        <v>2164</v>
      </c>
      <c r="B2169" t="s">
        <v>24953</v>
      </c>
      <c r="C2169" t="s">
        <v>24954</v>
      </c>
      <c r="D2169" t="s">
        <v>24955</v>
      </c>
      <c r="E2169" t="s">
        <v>24956</v>
      </c>
      <c r="F2169" t="s">
        <v>24957</v>
      </c>
      <c r="G2169" t="s">
        <v>24958</v>
      </c>
      <c r="H2169" t="str">
        <f>"Akap12"</f>
        <v>Akap12</v>
      </c>
      <c r="I2169" t="s">
        <v>24959</v>
      </c>
      <c r="J2169" t="s">
        <v>37</v>
      </c>
      <c r="K2169">
        <v>10090</v>
      </c>
      <c r="L2169" s="3" t="str">
        <f>HYPERLINK("http://www.uniprot.org/uniprot/Q9WTQ5", "Q9WTQ5")</f>
        <v>Q9WTQ5</v>
      </c>
      <c r="M2169" t="s">
        <v>24960</v>
      </c>
      <c r="N2169" t="str">
        <f>"Akap12"</f>
        <v>Akap12</v>
      </c>
      <c r="O2169" s="3" t="str">
        <f>HYPERLINK("http://www.informatics.jax.org/marker/MGI:1932576", "MGI:1932576")</f>
        <v>MGI:1932576</v>
      </c>
      <c r="P2169" t="s">
        <v>24961</v>
      </c>
      <c r="Q2169" t="s">
        <v>32</v>
      </c>
      <c r="R2169" t="s">
        <v>2028</v>
      </c>
      <c r="S2169" t="s">
        <v>41</v>
      </c>
      <c r="T2169" t="s">
        <v>32</v>
      </c>
      <c r="U2169" t="s">
        <v>32</v>
      </c>
      <c r="V2169" t="s">
        <v>55</v>
      </c>
      <c r="W2169" t="s">
        <v>32</v>
      </c>
      <c r="X2169" t="s">
        <v>1926</v>
      </c>
      <c r="Y2169" t="s">
        <v>2944</v>
      </c>
      <c r="Z2169" t="s">
        <v>32</v>
      </c>
      <c r="AA2169" t="s">
        <v>24962</v>
      </c>
      <c r="AB2169" t="s">
        <v>24963</v>
      </c>
      <c r="AC2169" t="s">
        <v>24964</v>
      </c>
      <c r="AD2169" t="s">
        <v>32</v>
      </c>
      <c r="AE2169" t="s">
        <v>24965</v>
      </c>
      <c r="AF2169" t="s">
        <v>46835</v>
      </c>
    </row>
    <row r="2170" spans="1:32" x14ac:dyDescent="0.2">
      <c r="A2170">
        <v>2165</v>
      </c>
      <c r="B2170" t="s">
        <v>24966</v>
      </c>
      <c r="C2170" t="s">
        <v>24967</v>
      </c>
      <c r="D2170" t="s">
        <v>32</v>
      </c>
      <c r="E2170" t="s">
        <v>24968</v>
      </c>
      <c r="F2170" t="s">
        <v>24969</v>
      </c>
      <c r="G2170" t="s">
        <v>24970</v>
      </c>
      <c r="H2170" t="str">
        <f>"Ppp4r1"</f>
        <v>Ppp4r1</v>
      </c>
      <c r="I2170" t="s">
        <v>32</v>
      </c>
      <c r="J2170" t="s">
        <v>37</v>
      </c>
      <c r="K2170">
        <v>10090</v>
      </c>
      <c r="L2170" s="3" t="str">
        <f>HYPERLINK("http://www.uniprot.org/uniprot/Q8K2V1", "Q8K2V1")</f>
        <v>Q8K2V1</v>
      </c>
      <c r="M2170" t="s">
        <v>24971</v>
      </c>
      <c r="N2170" t="str">
        <f>"Ppp4r1"</f>
        <v>Ppp4r1</v>
      </c>
      <c r="O2170" s="3" t="str">
        <f>HYPERLINK("http://www.informatics.jax.org/marker/MGI:1917601", "MGI:1917601")</f>
        <v>MGI:1917601</v>
      </c>
      <c r="P2170" t="s">
        <v>24972</v>
      </c>
      <c r="Q2170" t="s">
        <v>32</v>
      </c>
      <c r="R2170" t="s">
        <v>32</v>
      </c>
      <c r="S2170" t="s">
        <v>41</v>
      </c>
      <c r="T2170" t="s">
        <v>32</v>
      </c>
      <c r="U2170" t="s">
        <v>32</v>
      </c>
      <c r="V2170" t="s">
        <v>55</v>
      </c>
      <c r="W2170" t="s">
        <v>32</v>
      </c>
      <c r="X2170" t="s">
        <v>32</v>
      </c>
      <c r="Y2170" t="s">
        <v>618</v>
      </c>
      <c r="Z2170" t="s">
        <v>32</v>
      </c>
      <c r="AA2170" t="s">
        <v>24410</v>
      </c>
      <c r="AB2170" t="s">
        <v>24973</v>
      </c>
      <c r="AC2170" t="s">
        <v>24974</v>
      </c>
      <c r="AD2170" t="s">
        <v>32</v>
      </c>
      <c r="AE2170" t="s">
        <v>32</v>
      </c>
      <c r="AF2170" t="s">
        <v>46835</v>
      </c>
    </row>
    <row r="2171" spans="1:32" x14ac:dyDescent="0.2">
      <c r="A2171">
        <v>2166</v>
      </c>
      <c r="B2171" t="s">
        <v>24975</v>
      </c>
      <c r="C2171" t="s">
        <v>24976</v>
      </c>
      <c r="D2171" t="s">
        <v>24977</v>
      </c>
      <c r="E2171" t="s">
        <v>24978</v>
      </c>
      <c r="F2171" t="s">
        <v>24979</v>
      </c>
      <c r="G2171" t="s">
        <v>24980</v>
      </c>
      <c r="H2171" t="str">
        <f>"Mvd"</f>
        <v>Mvd</v>
      </c>
      <c r="I2171" t="s">
        <v>32</v>
      </c>
      <c r="J2171" t="s">
        <v>37</v>
      </c>
      <c r="K2171">
        <v>10090</v>
      </c>
      <c r="L2171" s="3" t="str">
        <f>HYPERLINK("http://www.uniprot.org/uniprot/Q99JF5", "Q99JF5")</f>
        <v>Q99JF5</v>
      </c>
      <c r="M2171" t="s">
        <v>24981</v>
      </c>
      <c r="N2171" t="str">
        <f>"Mvd"</f>
        <v>Mvd</v>
      </c>
      <c r="O2171" s="3" t="str">
        <f>HYPERLINK("http://www.informatics.jax.org/marker/MGI:2179327", "MGI:2179327")</f>
        <v>MGI:2179327</v>
      </c>
      <c r="P2171" t="s">
        <v>24982</v>
      </c>
      <c r="Q2171" t="s">
        <v>10614</v>
      </c>
      <c r="R2171" t="s">
        <v>418</v>
      </c>
      <c r="S2171" t="s">
        <v>32</v>
      </c>
      <c r="T2171" t="s">
        <v>32</v>
      </c>
      <c r="U2171" t="s">
        <v>32</v>
      </c>
      <c r="V2171" t="s">
        <v>32</v>
      </c>
      <c r="W2171" t="s">
        <v>205</v>
      </c>
      <c r="X2171" t="s">
        <v>224</v>
      </c>
      <c r="Y2171" t="s">
        <v>78</v>
      </c>
      <c r="Z2171" t="s">
        <v>126</v>
      </c>
      <c r="AA2171" t="s">
        <v>24983</v>
      </c>
      <c r="AB2171" t="s">
        <v>24984</v>
      </c>
      <c r="AC2171" t="s">
        <v>24985</v>
      </c>
      <c r="AD2171" t="s">
        <v>24986</v>
      </c>
      <c r="AE2171" t="s">
        <v>24987</v>
      </c>
      <c r="AF2171" t="s">
        <v>46835</v>
      </c>
    </row>
    <row r="2172" spans="1:32" x14ac:dyDescent="0.2">
      <c r="A2172">
        <v>2167</v>
      </c>
      <c r="B2172" t="s">
        <v>24988</v>
      </c>
      <c r="C2172" t="s">
        <v>24989</v>
      </c>
      <c r="D2172" t="s">
        <v>24990</v>
      </c>
      <c r="E2172" t="s">
        <v>24991</v>
      </c>
      <c r="F2172" t="s">
        <v>24992</v>
      </c>
      <c r="G2172" t="s">
        <v>24993</v>
      </c>
      <c r="H2172" t="str">
        <f>"Ncaph"</f>
        <v>Ncaph</v>
      </c>
      <c r="I2172" t="s">
        <v>24994</v>
      </c>
      <c r="J2172" t="s">
        <v>37</v>
      </c>
      <c r="K2172">
        <v>10090</v>
      </c>
      <c r="L2172" s="3" t="str">
        <f>HYPERLINK("http://www.uniprot.org/uniprot/Q8C156", "Q8C156")</f>
        <v>Q8C156</v>
      </c>
      <c r="M2172" t="s">
        <v>24995</v>
      </c>
      <c r="N2172" t="str">
        <f>"Ncaph"</f>
        <v>Ncaph</v>
      </c>
      <c r="O2172" s="3" t="str">
        <f>HYPERLINK("http://www.informatics.jax.org/marker/MGI:2444777", "MGI:2444777")</f>
        <v>MGI:2444777</v>
      </c>
      <c r="P2172" t="s">
        <v>24996</v>
      </c>
      <c r="Q2172" t="s">
        <v>13745</v>
      </c>
      <c r="R2172" t="s">
        <v>8375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32</v>
      </c>
      <c r="Y2172" t="s">
        <v>516</v>
      </c>
      <c r="Z2172" t="s">
        <v>32</v>
      </c>
      <c r="AA2172" t="s">
        <v>24997</v>
      </c>
      <c r="AB2172" t="s">
        <v>24998</v>
      </c>
      <c r="AC2172" t="s">
        <v>16404</v>
      </c>
      <c r="AD2172" t="s">
        <v>32</v>
      </c>
      <c r="AE2172" t="s">
        <v>24999</v>
      </c>
      <c r="AF2172" t="s">
        <v>46835</v>
      </c>
    </row>
    <row r="2173" spans="1:32" x14ac:dyDescent="0.2">
      <c r="A2173">
        <v>2168</v>
      </c>
      <c r="B2173" t="s">
        <v>25000</v>
      </c>
      <c r="C2173" t="s">
        <v>25001</v>
      </c>
      <c r="D2173" t="s">
        <v>25002</v>
      </c>
      <c r="E2173" t="s">
        <v>25003</v>
      </c>
      <c r="F2173" t="s">
        <v>25004</v>
      </c>
      <c r="G2173" t="s">
        <v>25005</v>
      </c>
      <c r="H2173" t="str">
        <f>"Snap91"</f>
        <v>Snap91</v>
      </c>
      <c r="I2173" t="s">
        <v>32</v>
      </c>
      <c r="J2173" t="s">
        <v>37</v>
      </c>
      <c r="K2173">
        <v>10090</v>
      </c>
      <c r="L2173" s="3" t="str">
        <f>HYPERLINK("http://www.uniprot.org/uniprot/Q61548", "Q61548")</f>
        <v>Q61548</v>
      </c>
      <c r="M2173" t="s">
        <v>25006</v>
      </c>
      <c r="N2173" t="str">
        <f>"Snap91"</f>
        <v>Snap91</v>
      </c>
      <c r="O2173" s="3" t="str">
        <f>HYPERLINK("http://www.informatics.jax.org/marker/MGI:109132", "MGI:109132")</f>
        <v>MGI:109132</v>
      </c>
      <c r="P2173" t="s">
        <v>25007</v>
      </c>
      <c r="Q2173" t="s">
        <v>434</v>
      </c>
      <c r="R2173" t="s">
        <v>7022</v>
      </c>
      <c r="S2173" t="s">
        <v>41</v>
      </c>
      <c r="T2173" t="s">
        <v>32</v>
      </c>
      <c r="U2173" t="s">
        <v>32</v>
      </c>
      <c r="V2173" t="s">
        <v>32</v>
      </c>
      <c r="W2173" t="s">
        <v>32</v>
      </c>
      <c r="X2173" t="s">
        <v>32</v>
      </c>
      <c r="Y2173" t="s">
        <v>14268</v>
      </c>
      <c r="Z2173" t="s">
        <v>32</v>
      </c>
      <c r="AA2173" t="s">
        <v>25008</v>
      </c>
      <c r="AB2173" t="s">
        <v>25009</v>
      </c>
      <c r="AC2173" t="s">
        <v>25010</v>
      </c>
      <c r="AD2173" t="s">
        <v>32</v>
      </c>
      <c r="AE2173" t="s">
        <v>13103</v>
      </c>
      <c r="AF2173" t="s">
        <v>46835</v>
      </c>
    </row>
    <row r="2174" spans="1:32" x14ac:dyDescent="0.2">
      <c r="A2174">
        <v>2169</v>
      </c>
      <c r="B2174" t="s">
        <v>25011</v>
      </c>
      <c r="C2174" t="s">
        <v>25012</v>
      </c>
      <c r="D2174" t="s">
        <v>25013</v>
      </c>
      <c r="E2174" t="s">
        <v>25014</v>
      </c>
      <c r="F2174" t="s">
        <v>25015</v>
      </c>
      <c r="G2174" t="s">
        <v>25016</v>
      </c>
      <c r="H2174" t="str">
        <f>"Dnajb6"</f>
        <v>Dnajb6</v>
      </c>
      <c r="I2174" t="s">
        <v>25017</v>
      </c>
      <c r="J2174" t="s">
        <v>37</v>
      </c>
      <c r="K2174">
        <v>10090</v>
      </c>
      <c r="L2174" s="3" t="str">
        <f>HYPERLINK("http://www.uniprot.org/uniprot/O54946", "O54946")</f>
        <v>O54946</v>
      </c>
      <c r="M2174" t="s">
        <v>25018</v>
      </c>
      <c r="N2174" t="str">
        <f>"Dnajb6"</f>
        <v>Dnajb6</v>
      </c>
      <c r="O2174" s="3" t="str">
        <f>HYPERLINK("http://www.informatics.jax.org/marker/MGI:1344381", "MGI:1344381")</f>
        <v>MGI:1344381</v>
      </c>
      <c r="P2174" t="s">
        <v>25019</v>
      </c>
      <c r="Q2174" t="s">
        <v>32</v>
      </c>
      <c r="R2174" t="s">
        <v>40</v>
      </c>
      <c r="S2174" t="s">
        <v>41</v>
      </c>
      <c r="T2174" t="s">
        <v>32</v>
      </c>
      <c r="U2174" t="s">
        <v>32</v>
      </c>
      <c r="V2174" t="s">
        <v>32</v>
      </c>
      <c r="W2174" t="s">
        <v>32</v>
      </c>
      <c r="X2174" t="s">
        <v>388</v>
      </c>
      <c r="Y2174" t="s">
        <v>175</v>
      </c>
      <c r="Z2174" t="s">
        <v>32</v>
      </c>
      <c r="AA2174" t="s">
        <v>25020</v>
      </c>
      <c r="AB2174" t="s">
        <v>25021</v>
      </c>
      <c r="AC2174" t="s">
        <v>25022</v>
      </c>
      <c r="AD2174" t="s">
        <v>32</v>
      </c>
      <c r="AE2174" t="s">
        <v>1445</v>
      </c>
      <c r="AF2174" t="s">
        <v>46835</v>
      </c>
    </row>
    <row r="2175" spans="1:32" x14ac:dyDescent="0.2">
      <c r="A2175">
        <v>2170</v>
      </c>
      <c r="B2175" t="s">
        <v>25023</v>
      </c>
      <c r="C2175" t="s">
        <v>25024</v>
      </c>
      <c r="D2175" t="s">
        <v>32</v>
      </c>
      <c r="E2175" t="s">
        <v>25025</v>
      </c>
      <c r="F2175" t="s">
        <v>25026</v>
      </c>
      <c r="G2175" t="s">
        <v>25027</v>
      </c>
      <c r="H2175" t="str">
        <f>"Aacs"</f>
        <v>Aacs</v>
      </c>
      <c r="I2175" t="s">
        <v>32</v>
      </c>
      <c r="J2175" t="s">
        <v>37</v>
      </c>
      <c r="K2175">
        <v>10090</v>
      </c>
      <c r="L2175" s="3" t="str">
        <f>HYPERLINK("http://www.uniprot.org/uniprot/Q9D2R0", "Q9D2R0")</f>
        <v>Q9D2R0</v>
      </c>
      <c r="M2175" t="s">
        <v>25028</v>
      </c>
      <c r="N2175" t="str">
        <f>"Aacs"</f>
        <v>Aacs</v>
      </c>
      <c r="O2175" s="3" t="str">
        <f>HYPERLINK("http://www.informatics.jax.org/marker/MGI:1926144", "MGI:1926144")</f>
        <v>MGI:1926144</v>
      </c>
      <c r="P2175" t="s">
        <v>25029</v>
      </c>
      <c r="Q2175" t="s">
        <v>6214</v>
      </c>
      <c r="R2175" t="s">
        <v>418</v>
      </c>
      <c r="S2175" t="s">
        <v>32</v>
      </c>
      <c r="T2175" t="s">
        <v>32</v>
      </c>
      <c r="U2175" t="s">
        <v>32</v>
      </c>
      <c r="V2175" t="s">
        <v>32</v>
      </c>
      <c r="W2175" t="s">
        <v>205</v>
      </c>
      <c r="X2175" t="s">
        <v>1022</v>
      </c>
      <c r="Y2175" t="s">
        <v>32</v>
      </c>
      <c r="Z2175" t="s">
        <v>32</v>
      </c>
      <c r="AA2175" t="s">
        <v>25030</v>
      </c>
      <c r="AB2175" t="s">
        <v>1268</v>
      </c>
      <c r="AC2175" t="s">
        <v>25031</v>
      </c>
      <c r="AD2175" t="s">
        <v>32</v>
      </c>
      <c r="AE2175" t="s">
        <v>25032</v>
      </c>
      <c r="AF2175" t="s">
        <v>46835</v>
      </c>
    </row>
    <row r="2176" spans="1:32" x14ac:dyDescent="0.2">
      <c r="A2176">
        <v>2171</v>
      </c>
      <c r="B2176" t="s">
        <v>25033</v>
      </c>
      <c r="C2176" t="s">
        <v>25034</v>
      </c>
      <c r="D2176" t="s">
        <v>25035</v>
      </c>
      <c r="E2176" t="s">
        <v>25036</v>
      </c>
      <c r="F2176" t="s">
        <v>25037</v>
      </c>
      <c r="G2176" t="s">
        <v>25038</v>
      </c>
      <c r="H2176" t="str">
        <f>"Mtmr9"</f>
        <v>Mtmr9</v>
      </c>
      <c r="I2176" t="s">
        <v>25039</v>
      </c>
      <c r="J2176" t="s">
        <v>37</v>
      </c>
      <c r="K2176">
        <v>10090</v>
      </c>
      <c r="L2176" s="3" t="str">
        <f>HYPERLINK("http://www.uniprot.org/uniprot/Q9Z2D0", "Q9Z2D0")</f>
        <v>Q9Z2D0</v>
      </c>
      <c r="M2176" t="s">
        <v>25040</v>
      </c>
      <c r="N2176" t="str">
        <f>"Mtmr9"</f>
        <v>Mtmr9</v>
      </c>
      <c r="O2176" s="3" t="str">
        <f>HYPERLINK("http://www.informatics.jax.org/marker/MGI:2442842", "MGI:2442842")</f>
        <v>MGI:2442842</v>
      </c>
      <c r="P2176" t="s">
        <v>25041</v>
      </c>
      <c r="Q2176" t="s">
        <v>2822</v>
      </c>
      <c r="R2176" t="s">
        <v>25042</v>
      </c>
      <c r="S2176" t="s">
        <v>32</v>
      </c>
      <c r="T2176" t="s">
        <v>32</v>
      </c>
      <c r="U2176" t="s">
        <v>32</v>
      </c>
      <c r="V2176" t="s">
        <v>290</v>
      </c>
      <c r="W2176" t="s">
        <v>32</v>
      </c>
      <c r="X2176" t="s">
        <v>32</v>
      </c>
      <c r="Y2176" t="s">
        <v>78</v>
      </c>
      <c r="Z2176" t="s">
        <v>32</v>
      </c>
      <c r="AA2176" t="s">
        <v>25043</v>
      </c>
      <c r="AB2176" t="s">
        <v>25044</v>
      </c>
      <c r="AC2176" t="s">
        <v>25045</v>
      </c>
      <c r="AD2176" t="s">
        <v>32</v>
      </c>
      <c r="AE2176" t="s">
        <v>25046</v>
      </c>
      <c r="AF2176" t="s">
        <v>46835</v>
      </c>
    </row>
    <row r="2177" spans="1:32" x14ac:dyDescent="0.2">
      <c r="A2177">
        <v>2172</v>
      </c>
      <c r="B2177" t="s">
        <v>25047</v>
      </c>
      <c r="C2177" t="s">
        <v>25048</v>
      </c>
      <c r="D2177" t="s">
        <v>25049</v>
      </c>
      <c r="E2177" t="s">
        <v>25050</v>
      </c>
      <c r="F2177" t="s">
        <v>25051</v>
      </c>
      <c r="G2177" t="s">
        <v>25052</v>
      </c>
      <c r="H2177" t="str">
        <f>"Mms19"</f>
        <v>Mms19</v>
      </c>
      <c r="I2177" t="s">
        <v>25053</v>
      </c>
      <c r="J2177" t="s">
        <v>37</v>
      </c>
      <c r="K2177">
        <v>10090</v>
      </c>
      <c r="L2177" s="3" t="str">
        <f>HYPERLINK("http://www.uniprot.org/uniprot/Q9D071", "Q9D071")</f>
        <v>Q9D071</v>
      </c>
      <c r="M2177" t="s">
        <v>25054</v>
      </c>
      <c r="N2177" t="str">
        <f>"Mms19"</f>
        <v>Mms19</v>
      </c>
      <c r="O2177" s="3" t="str">
        <f>HYPERLINK("http://www.informatics.jax.org/marker/MGI:1919449", "MGI:1919449")</f>
        <v>MGI:1919449</v>
      </c>
      <c r="P2177" t="s">
        <v>25055</v>
      </c>
      <c r="Q2177" t="s">
        <v>25056</v>
      </c>
      <c r="R2177" t="s">
        <v>324</v>
      </c>
      <c r="S2177" t="s">
        <v>41</v>
      </c>
      <c r="T2177" t="s">
        <v>32</v>
      </c>
      <c r="U2177" t="s">
        <v>32</v>
      </c>
      <c r="V2177" t="s">
        <v>55</v>
      </c>
      <c r="W2177" t="s">
        <v>32</v>
      </c>
      <c r="X2177" t="s">
        <v>2602</v>
      </c>
      <c r="Y2177" t="s">
        <v>1023</v>
      </c>
      <c r="Z2177" t="s">
        <v>126</v>
      </c>
      <c r="AA2177" t="s">
        <v>25057</v>
      </c>
      <c r="AB2177" t="s">
        <v>25058</v>
      </c>
      <c r="AC2177" t="s">
        <v>25059</v>
      </c>
      <c r="AD2177" t="s">
        <v>32</v>
      </c>
      <c r="AE2177" t="s">
        <v>32</v>
      </c>
      <c r="AF2177" t="s">
        <v>46835</v>
      </c>
    </row>
    <row r="2178" spans="1:32" x14ac:dyDescent="0.2">
      <c r="A2178">
        <v>2173</v>
      </c>
      <c r="B2178" t="s">
        <v>25060</v>
      </c>
      <c r="C2178" t="s">
        <v>25061</v>
      </c>
      <c r="D2178" t="s">
        <v>32</v>
      </c>
      <c r="E2178" t="s">
        <v>25062</v>
      </c>
      <c r="F2178" t="s">
        <v>25063</v>
      </c>
      <c r="G2178" t="s">
        <v>25064</v>
      </c>
      <c r="H2178" t="str">
        <f>"Palld"</f>
        <v>Palld</v>
      </c>
      <c r="I2178" t="s">
        <v>25065</v>
      </c>
      <c r="J2178" t="s">
        <v>37</v>
      </c>
      <c r="K2178">
        <v>10090</v>
      </c>
      <c r="L2178" s="3" t="str">
        <f>HYPERLINK("http://www.uniprot.org/uniprot/Q9ET54", "Q9ET54")</f>
        <v>Q9ET54</v>
      </c>
      <c r="M2178" t="s">
        <v>25066</v>
      </c>
      <c r="N2178" t="str">
        <f>"Palld"</f>
        <v>Palld</v>
      </c>
      <c r="O2178" s="3" t="str">
        <f>HYPERLINK("http://www.informatics.jax.org/marker/MGI:1919583", "MGI:1919583")</f>
        <v>MGI:1919583</v>
      </c>
      <c r="P2178" t="s">
        <v>25067</v>
      </c>
      <c r="Q2178" t="s">
        <v>32</v>
      </c>
      <c r="R2178" t="s">
        <v>2231</v>
      </c>
      <c r="S2178" t="s">
        <v>41</v>
      </c>
      <c r="T2178" t="s">
        <v>32</v>
      </c>
      <c r="U2178" t="s">
        <v>32</v>
      </c>
      <c r="V2178" t="s">
        <v>22274</v>
      </c>
      <c r="W2178" t="s">
        <v>32</v>
      </c>
      <c r="X2178" t="s">
        <v>405</v>
      </c>
      <c r="Y2178" t="s">
        <v>2080</v>
      </c>
      <c r="Z2178" t="s">
        <v>126</v>
      </c>
      <c r="AA2178" t="s">
        <v>25068</v>
      </c>
      <c r="AB2178" t="s">
        <v>25069</v>
      </c>
      <c r="AC2178" t="s">
        <v>25070</v>
      </c>
      <c r="AD2178" t="s">
        <v>32</v>
      </c>
      <c r="AE2178" t="s">
        <v>32</v>
      </c>
      <c r="AF2178" t="s">
        <v>46835</v>
      </c>
    </row>
    <row r="2179" spans="1:32" x14ac:dyDescent="0.2">
      <c r="A2179">
        <v>2174</v>
      </c>
      <c r="B2179" t="s">
        <v>25071</v>
      </c>
      <c r="C2179" t="s">
        <v>25072</v>
      </c>
      <c r="D2179" t="s">
        <v>32</v>
      </c>
      <c r="E2179" t="s">
        <v>25073</v>
      </c>
      <c r="F2179" t="s">
        <v>25074</v>
      </c>
      <c r="G2179" t="s">
        <v>25075</v>
      </c>
      <c r="H2179" t="str">
        <f>"Hibadh"</f>
        <v>Hibadh</v>
      </c>
      <c r="I2179" t="s">
        <v>32</v>
      </c>
      <c r="J2179" t="s">
        <v>37</v>
      </c>
      <c r="K2179">
        <v>10090</v>
      </c>
      <c r="L2179" s="3" t="str">
        <f>HYPERLINK("http://www.uniprot.org/uniprot/Q99L13", "Q99L13")</f>
        <v>Q99L13</v>
      </c>
      <c r="M2179" t="s">
        <v>25076</v>
      </c>
      <c r="N2179" t="str">
        <f>"Hibadh"</f>
        <v>Hibadh</v>
      </c>
      <c r="O2179" s="3" t="str">
        <f>HYPERLINK("http://www.informatics.jax.org/marker/MGI:1889802", "MGI:1889802")</f>
        <v>MGI:1889802</v>
      </c>
      <c r="P2179" t="s">
        <v>25077</v>
      </c>
      <c r="Q2179" t="s">
        <v>25078</v>
      </c>
      <c r="R2179" t="s">
        <v>1038</v>
      </c>
      <c r="S2179" t="s">
        <v>32</v>
      </c>
      <c r="T2179" t="s">
        <v>32</v>
      </c>
      <c r="U2179" t="s">
        <v>32</v>
      </c>
      <c r="V2179" t="s">
        <v>1039</v>
      </c>
      <c r="W2179" t="s">
        <v>325</v>
      </c>
      <c r="X2179" t="s">
        <v>600</v>
      </c>
      <c r="Y2179" t="s">
        <v>78</v>
      </c>
      <c r="Z2179" t="s">
        <v>32</v>
      </c>
      <c r="AA2179" t="s">
        <v>25079</v>
      </c>
      <c r="AB2179" t="s">
        <v>3721</v>
      </c>
      <c r="AC2179" t="s">
        <v>25080</v>
      </c>
      <c r="AD2179" t="s">
        <v>25081</v>
      </c>
      <c r="AE2179" t="s">
        <v>8652</v>
      </c>
      <c r="AF2179" t="s">
        <v>46835</v>
      </c>
    </row>
    <row r="2180" spans="1:32" x14ac:dyDescent="0.2">
      <c r="A2180">
        <v>2175</v>
      </c>
      <c r="B2180" t="s">
        <v>25082</v>
      </c>
      <c r="C2180" t="s">
        <v>25083</v>
      </c>
      <c r="D2180" t="s">
        <v>32</v>
      </c>
      <c r="E2180" t="s">
        <v>25084</v>
      </c>
      <c r="F2180" t="s">
        <v>25085</v>
      </c>
      <c r="G2180" t="s">
        <v>25086</v>
      </c>
      <c r="H2180" t="str">
        <f>"Ufsp2"</f>
        <v>Ufsp2</v>
      </c>
      <c r="I2180" t="s">
        <v>32</v>
      </c>
      <c r="J2180" t="s">
        <v>37</v>
      </c>
      <c r="K2180">
        <v>10090</v>
      </c>
      <c r="L2180" s="3" t="str">
        <f>HYPERLINK("http://www.uniprot.org/uniprot/Q99K23", "Q99K23")</f>
        <v>Q99K23</v>
      </c>
      <c r="M2180" t="s">
        <v>25087</v>
      </c>
      <c r="N2180" t="str">
        <f>"Ufsp2"</f>
        <v>Ufsp2</v>
      </c>
      <c r="O2180" s="3" t="str">
        <f>HYPERLINK("http://www.informatics.jax.org/marker/MGI:1913679", "MGI:1913679")</f>
        <v>MGI:1913679</v>
      </c>
      <c r="P2180" t="s">
        <v>25088</v>
      </c>
      <c r="Q2180" t="s">
        <v>1020</v>
      </c>
      <c r="R2180" t="s">
        <v>729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557</v>
      </c>
      <c r="Y2180" t="s">
        <v>32</v>
      </c>
      <c r="Z2180" t="s">
        <v>126</v>
      </c>
      <c r="AA2180" t="s">
        <v>25089</v>
      </c>
      <c r="AB2180" t="s">
        <v>463</v>
      </c>
      <c r="AC2180" t="s">
        <v>25090</v>
      </c>
      <c r="AD2180" t="s">
        <v>32</v>
      </c>
      <c r="AE2180" t="s">
        <v>32</v>
      </c>
      <c r="AF2180" t="s">
        <v>46835</v>
      </c>
    </row>
    <row r="2181" spans="1:32" x14ac:dyDescent="0.2">
      <c r="A2181">
        <v>2176</v>
      </c>
      <c r="B2181" t="s">
        <v>25091</v>
      </c>
      <c r="C2181" t="s">
        <v>25092</v>
      </c>
      <c r="D2181" t="s">
        <v>25093</v>
      </c>
      <c r="E2181" t="s">
        <v>25094</v>
      </c>
      <c r="F2181" t="s">
        <v>25095</v>
      </c>
      <c r="G2181" t="s">
        <v>25096</v>
      </c>
      <c r="H2181" t="str">
        <f>"Chmp3"</f>
        <v>Chmp3</v>
      </c>
      <c r="I2181" t="s">
        <v>25097</v>
      </c>
      <c r="J2181" t="s">
        <v>37</v>
      </c>
      <c r="K2181">
        <v>10090</v>
      </c>
      <c r="L2181" s="3" t="str">
        <f>HYPERLINK("http://www.uniprot.org/uniprot/Q9CQ10", "Q9CQ10")</f>
        <v>Q9CQ10</v>
      </c>
      <c r="M2181" t="s">
        <v>25098</v>
      </c>
      <c r="N2181" t="str">
        <f>"Chmp3"</f>
        <v>Chmp3</v>
      </c>
      <c r="O2181" s="3" t="str">
        <f>HYPERLINK("http://www.informatics.jax.org/marker/MGI:1913950", "MGI:1913950")</f>
        <v>MGI:1913950</v>
      </c>
      <c r="P2181" t="s">
        <v>25099</v>
      </c>
      <c r="Q2181" t="s">
        <v>6659</v>
      </c>
      <c r="R2181" t="s">
        <v>6558</v>
      </c>
      <c r="S2181" t="s">
        <v>32</v>
      </c>
      <c r="T2181" t="s">
        <v>32</v>
      </c>
      <c r="U2181" t="s">
        <v>32</v>
      </c>
      <c r="V2181" t="s">
        <v>290</v>
      </c>
      <c r="W2181" t="s">
        <v>32</v>
      </c>
      <c r="X2181" t="s">
        <v>32</v>
      </c>
      <c r="Y2181" t="s">
        <v>2944</v>
      </c>
      <c r="Z2181" t="s">
        <v>32</v>
      </c>
      <c r="AA2181" t="s">
        <v>25100</v>
      </c>
      <c r="AB2181" t="s">
        <v>25101</v>
      </c>
      <c r="AC2181" t="s">
        <v>25102</v>
      </c>
      <c r="AD2181" t="s">
        <v>32</v>
      </c>
      <c r="AE2181" t="s">
        <v>7806</v>
      </c>
      <c r="AF2181" t="s">
        <v>46835</v>
      </c>
    </row>
    <row r="2182" spans="1:32" x14ac:dyDescent="0.2">
      <c r="A2182">
        <v>2177</v>
      </c>
      <c r="B2182" t="s">
        <v>25103</v>
      </c>
      <c r="C2182" t="s">
        <v>25104</v>
      </c>
      <c r="D2182" t="s">
        <v>25105</v>
      </c>
      <c r="E2182" t="s">
        <v>25106</v>
      </c>
      <c r="F2182" t="s">
        <v>25107</v>
      </c>
      <c r="G2182" t="s">
        <v>25108</v>
      </c>
      <c r="H2182" t="str">
        <f>"Sdf4"</f>
        <v>Sdf4</v>
      </c>
      <c r="I2182" t="s">
        <v>25109</v>
      </c>
      <c r="J2182" t="s">
        <v>37</v>
      </c>
      <c r="K2182">
        <v>10090</v>
      </c>
      <c r="L2182" s="3" t="str">
        <f>HYPERLINK("http://www.uniprot.org/uniprot/Q61112", "Q61112")</f>
        <v>Q61112</v>
      </c>
      <c r="M2182" t="s">
        <v>25110</v>
      </c>
      <c r="N2182" t="str">
        <f>"Sdf4"</f>
        <v>Sdf4</v>
      </c>
      <c r="O2182" s="3" t="str">
        <f>HYPERLINK("http://www.informatics.jax.org/marker/MGI:108079", "MGI:108079")</f>
        <v>MGI:108079</v>
      </c>
      <c r="P2182" t="s">
        <v>25111</v>
      </c>
      <c r="Q2182" t="s">
        <v>32</v>
      </c>
      <c r="R2182" t="s">
        <v>12904</v>
      </c>
      <c r="S2182" t="s">
        <v>41</v>
      </c>
      <c r="T2182" t="s">
        <v>32</v>
      </c>
      <c r="U2182" t="s">
        <v>32</v>
      </c>
      <c r="V2182" t="s">
        <v>478</v>
      </c>
      <c r="W2182" t="s">
        <v>188</v>
      </c>
      <c r="X2182" t="s">
        <v>32</v>
      </c>
      <c r="Y2182" t="s">
        <v>4720</v>
      </c>
      <c r="Z2182" t="s">
        <v>32</v>
      </c>
      <c r="AA2182" t="s">
        <v>25112</v>
      </c>
      <c r="AB2182" t="s">
        <v>25113</v>
      </c>
      <c r="AC2182" t="s">
        <v>25114</v>
      </c>
      <c r="AD2182" t="s">
        <v>32</v>
      </c>
      <c r="AE2182" t="s">
        <v>32</v>
      </c>
      <c r="AF2182" t="s">
        <v>46835</v>
      </c>
    </row>
    <row r="2183" spans="1:32" x14ac:dyDescent="0.2">
      <c r="A2183">
        <v>2178</v>
      </c>
      <c r="B2183" t="s">
        <v>25115</v>
      </c>
      <c r="C2183" t="s">
        <v>25116</v>
      </c>
      <c r="D2183" t="s">
        <v>25117</v>
      </c>
      <c r="E2183" t="s">
        <v>25118</v>
      </c>
      <c r="F2183" t="s">
        <v>25119</v>
      </c>
      <c r="G2183" t="s">
        <v>25120</v>
      </c>
      <c r="H2183" t="str">
        <f>"Iscu"</f>
        <v>Iscu</v>
      </c>
      <c r="I2183" t="s">
        <v>25121</v>
      </c>
      <c r="J2183" t="s">
        <v>37</v>
      </c>
      <c r="K2183">
        <v>10090</v>
      </c>
      <c r="L2183" s="3" t="str">
        <f>HYPERLINK("http://www.uniprot.org/uniprot/Q9D7P6", "Q9D7P6")</f>
        <v>Q9D7P6</v>
      </c>
      <c r="M2183" t="s">
        <v>25122</v>
      </c>
      <c r="N2183" t="str">
        <f>"Iscu"</f>
        <v>Iscu</v>
      </c>
      <c r="O2183" s="3" t="str">
        <f>HYPERLINK("http://www.informatics.jax.org/marker/MGI:1913633", "MGI:1913633")</f>
        <v>MGI:1913633</v>
      </c>
      <c r="P2183" t="s">
        <v>25123</v>
      </c>
      <c r="Q2183" t="s">
        <v>32</v>
      </c>
      <c r="R2183" t="s">
        <v>1038</v>
      </c>
      <c r="S2183" t="s">
        <v>32</v>
      </c>
      <c r="T2183" t="s">
        <v>32</v>
      </c>
      <c r="U2183" t="s">
        <v>32</v>
      </c>
      <c r="V2183" t="s">
        <v>1039</v>
      </c>
      <c r="W2183" t="s">
        <v>845</v>
      </c>
      <c r="X2183" t="s">
        <v>32</v>
      </c>
      <c r="Y2183" t="s">
        <v>32</v>
      </c>
      <c r="Z2183" t="s">
        <v>126</v>
      </c>
      <c r="AA2183" t="s">
        <v>25124</v>
      </c>
      <c r="AB2183" t="s">
        <v>25125</v>
      </c>
      <c r="AC2183" t="s">
        <v>25126</v>
      </c>
      <c r="AD2183" t="s">
        <v>32</v>
      </c>
      <c r="AE2183" t="s">
        <v>19190</v>
      </c>
      <c r="AF2183" t="s">
        <v>46835</v>
      </c>
    </row>
    <row r="2184" spans="1:32" x14ac:dyDescent="0.2">
      <c r="A2184">
        <v>2179</v>
      </c>
      <c r="B2184" t="s">
        <v>25127</v>
      </c>
      <c r="C2184" t="s">
        <v>25128</v>
      </c>
      <c r="D2184" t="s">
        <v>32</v>
      </c>
      <c r="E2184" t="s">
        <v>25129</v>
      </c>
      <c r="F2184" t="s">
        <v>25130</v>
      </c>
      <c r="G2184" t="s">
        <v>25131</v>
      </c>
      <c r="H2184" t="str">
        <f>"Eml1"</f>
        <v>Eml1</v>
      </c>
      <c r="I2184" t="s">
        <v>32</v>
      </c>
      <c r="J2184" t="s">
        <v>37</v>
      </c>
      <c r="K2184">
        <v>10090</v>
      </c>
      <c r="L2184" s="3" t="str">
        <f>HYPERLINK("http://www.uniprot.org/uniprot/Q05BC3", "Q05BC3")</f>
        <v>Q05BC3</v>
      </c>
      <c r="M2184" t="s">
        <v>25132</v>
      </c>
      <c r="N2184" t="str">
        <f>"Eml1"</f>
        <v>Eml1</v>
      </c>
      <c r="O2184" s="3" t="str">
        <f>HYPERLINK("http://www.informatics.jax.org/marker/MGI:1915769", "MGI:1915769")</f>
        <v>MGI:1915769</v>
      </c>
      <c r="P2184" t="s">
        <v>25133</v>
      </c>
      <c r="Q2184" t="s">
        <v>32</v>
      </c>
      <c r="R2184" t="s">
        <v>341</v>
      </c>
      <c r="S2184" t="s">
        <v>41</v>
      </c>
      <c r="T2184" t="s">
        <v>32</v>
      </c>
      <c r="U2184" t="s">
        <v>829</v>
      </c>
      <c r="V2184" t="s">
        <v>3167</v>
      </c>
      <c r="W2184" t="s">
        <v>32</v>
      </c>
      <c r="X2184" t="s">
        <v>32</v>
      </c>
      <c r="Y2184" t="s">
        <v>32</v>
      </c>
      <c r="Z2184" t="s">
        <v>32</v>
      </c>
      <c r="AA2184" t="s">
        <v>25134</v>
      </c>
      <c r="AB2184" t="s">
        <v>25135</v>
      </c>
      <c r="AC2184" t="s">
        <v>25136</v>
      </c>
      <c r="AD2184" t="s">
        <v>32</v>
      </c>
      <c r="AE2184" t="s">
        <v>32</v>
      </c>
      <c r="AF2184" t="s">
        <v>46835</v>
      </c>
    </row>
    <row r="2185" spans="1:32" x14ac:dyDescent="0.2">
      <c r="A2185">
        <v>2180</v>
      </c>
      <c r="B2185" t="s">
        <v>25137</v>
      </c>
      <c r="C2185" t="s">
        <v>25138</v>
      </c>
      <c r="D2185" t="s">
        <v>32</v>
      </c>
      <c r="E2185" t="s">
        <v>25139</v>
      </c>
      <c r="F2185" t="s">
        <v>25140</v>
      </c>
      <c r="G2185" t="s">
        <v>25141</v>
      </c>
      <c r="H2185" t="str">
        <f>"Jmy"</f>
        <v>Jmy</v>
      </c>
      <c r="I2185" t="s">
        <v>32</v>
      </c>
      <c r="J2185" t="s">
        <v>37</v>
      </c>
      <c r="K2185">
        <v>10090</v>
      </c>
      <c r="L2185" s="3" t="str">
        <f>HYPERLINK("http://www.uniprot.org/uniprot/Q9QXM1", "Q9QXM1")</f>
        <v>Q9QXM1</v>
      </c>
      <c r="M2185" t="s">
        <v>25142</v>
      </c>
      <c r="N2185" t="str">
        <f>"Jmy"</f>
        <v>Jmy</v>
      </c>
      <c r="O2185" s="3" t="str">
        <f>HYPERLINK("http://www.informatics.jax.org/marker/MGI:1913096", "MGI:1913096")</f>
        <v>MGI:1913096</v>
      </c>
      <c r="P2185" t="s">
        <v>25143</v>
      </c>
      <c r="Q2185" t="s">
        <v>11886</v>
      </c>
      <c r="R2185" t="s">
        <v>25144</v>
      </c>
      <c r="S2185" t="s">
        <v>41</v>
      </c>
      <c r="T2185" t="s">
        <v>32</v>
      </c>
      <c r="U2185" t="s">
        <v>32</v>
      </c>
      <c r="V2185" t="s">
        <v>290</v>
      </c>
      <c r="W2185" t="s">
        <v>32</v>
      </c>
      <c r="X2185" t="s">
        <v>405</v>
      </c>
      <c r="Y2185" t="s">
        <v>25145</v>
      </c>
      <c r="Z2185" t="s">
        <v>32</v>
      </c>
      <c r="AA2185" t="s">
        <v>25146</v>
      </c>
      <c r="AB2185" t="s">
        <v>25147</v>
      </c>
      <c r="AC2185" t="s">
        <v>25148</v>
      </c>
      <c r="AD2185" t="s">
        <v>32</v>
      </c>
      <c r="AE2185" t="s">
        <v>25149</v>
      </c>
      <c r="AF2185" t="s">
        <v>46835</v>
      </c>
    </row>
    <row r="2186" spans="1:32" x14ac:dyDescent="0.2">
      <c r="A2186">
        <v>2181</v>
      </c>
      <c r="B2186" t="s">
        <v>25150</v>
      </c>
      <c r="C2186" t="s">
        <v>25151</v>
      </c>
      <c r="D2186" t="s">
        <v>25152</v>
      </c>
      <c r="E2186" t="s">
        <v>25153</v>
      </c>
      <c r="F2186" t="s">
        <v>25154</v>
      </c>
      <c r="G2186" t="s">
        <v>25155</v>
      </c>
      <c r="H2186" t="str">
        <f>"Acsl3"</f>
        <v>Acsl3</v>
      </c>
      <c r="I2186" t="s">
        <v>25156</v>
      </c>
      <c r="J2186" t="s">
        <v>37</v>
      </c>
      <c r="K2186">
        <v>10090</v>
      </c>
      <c r="L2186" s="3" t="str">
        <f>HYPERLINK("http://www.uniprot.org/uniprot/Q9CZW4", "Q9CZW4")</f>
        <v>Q9CZW4</v>
      </c>
      <c r="M2186" t="s">
        <v>25157</v>
      </c>
      <c r="N2186" t="str">
        <f>"Acsl3"</f>
        <v>Acsl3</v>
      </c>
      <c r="O2186" s="3" t="str">
        <f>HYPERLINK("http://www.informatics.jax.org/marker/MGI:1921455", "MGI:1921455")</f>
        <v>MGI:1921455</v>
      </c>
      <c r="P2186" t="s">
        <v>25158</v>
      </c>
      <c r="Q2186" t="s">
        <v>6214</v>
      </c>
      <c r="R2186" t="s">
        <v>25159</v>
      </c>
      <c r="S2186" t="s">
        <v>32</v>
      </c>
      <c r="T2186" t="s">
        <v>32</v>
      </c>
      <c r="U2186" t="s">
        <v>32</v>
      </c>
      <c r="V2186" t="s">
        <v>1550</v>
      </c>
      <c r="W2186" t="s">
        <v>21296</v>
      </c>
      <c r="X2186" t="s">
        <v>1022</v>
      </c>
      <c r="Y2186" t="s">
        <v>618</v>
      </c>
      <c r="Z2186" t="s">
        <v>32</v>
      </c>
      <c r="AA2186" t="s">
        <v>25160</v>
      </c>
      <c r="AB2186" t="s">
        <v>25161</v>
      </c>
      <c r="AC2186" t="s">
        <v>25162</v>
      </c>
      <c r="AD2186" t="s">
        <v>32</v>
      </c>
      <c r="AE2186" t="s">
        <v>25163</v>
      </c>
      <c r="AF2186" t="s">
        <v>46835</v>
      </c>
    </row>
    <row r="2187" spans="1:32" x14ac:dyDescent="0.2">
      <c r="A2187">
        <v>2182</v>
      </c>
      <c r="B2187" t="s">
        <v>25164</v>
      </c>
      <c r="C2187" t="s">
        <v>25165</v>
      </c>
      <c r="D2187" t="s">
        <v>32</v>
      </c>
      <c r="E2187" t="s">
        <v>25166</v>
      </c>
      <c r="F2187" t="s">
        <v>25167</v>
      </c>
      <c r="G2187" t="s">
        <v>25168</v>
      </c>
      <c r="H2187" t="str">
        <f>"Chchd2"</f>
        <v>Chchd2</v>
      </c>
      <c r="I2187" t="s">
        <v>32</v>
      </c>
      <c r="J2187" t="s">
        <v>37</v>
      </c>
      <c r="K2187">
        <v>10090</v>
      </c>
      <c r="L2187" s="3" t="str">
        <f>HYPERLINK("http://www.uniprot.org/uniprot/Q9D1L0", "Q9D1L0")</f>
        <v>Q9D1L0</v>
      </c>
      <c r="M2187" t="s">
        <v>25169</v>
      </c>
      <c r="N2187" t="str">
        <f>"Chchd2"</f>
        <v>Chchd2</v>
      </c>
      <c r="O2187" s="3" t="str">
        <f>HYPERLINK("http://www.informatics.jax.org/marker/MGI:1261428", "MGI:1261428")</f>
        <v>MGI:1261428</v>
      </c>
      <c r="P2187" t="s">
        <v>25170</v>
      </c>
      <c r="Q2187" t="s">
        <v>16415</v>
      </c>
      <c r="R2187" t="s">
        <v>2377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2602</v>
      </c>
      <c r="Y2187" t="s">
        <v>494</v>
      </c>
      <c r="Z2187" t="s">
        <v>32</v>
      </c>
      <c r="AA2187" t="s">
        <v>25171</v>
      </c>
      <c r="AB2187" t="s">
        <v>25172</v>
      </c>
      <c r="AC2187" t="s">
        <v>25173</v>
      </c>
      <c r="AD2187" t="s">
        <v>32</v>
      </c>
      <c r="AE2187" t="s">
        <v>32</v>
      </c>
      <c r="AF2187" t="s">
        <v>46835</v>
      </c>
    </row>
    <row r="2188" spans="1:32" x14ac:dyDescent="0.2">
      <c r="A2188">
        <v>2183</v>
      </c>
      <c r="B2188" t="s">
        <v>25174</v>
      </c>
      <c r="C2188" t="s">
        <v>25175</v>
      </c>
      <c r="D2188" t="s">
        <v>25176</v>
      </c>
      <c r="E2188" t="s">
        <v>25177</v>
      </c>
      <c r="F2188" t="s">
        <v>25178</v>
      </c>
      <c r="G2188" t="s">
        <v>32</v>
      </c>
      <c r="H2188" t="str">
        <f>"Tdrkh"</f>
        <v>Tdrkh</v>
      </c>
      <c r="I2188" t="s">
        <v>25179</v>
      </c>
      <c r="J2188" t="s">
        <v>37</v>
      </c>
      <c r="K2188">
        <v>10090</v>
      </c>
      <c r="L2188" s="3" t="str">
        <f>HYPERLINK("http://www.uniprot.org/uniprot/Q80VL1", "Q80VL1")</f>
        <v>Q80VL1</v>
      </c>
      <c r="M2188" t="s">
        <v>25180</v>
      </c>
      <c r="N2188" t="str">
        <f>"Tdrkh"</f>
        <v>Tdrkh</v>
      </c>
      <c r="O2188" s="3" t="str">
        <f>HYPERLINK("http://www.informatics.jax.org/marker/MGI:1919884", "MGI:1919884")</f>
        <v>MGI:1919884</v>
      </c>
      <c r="P2188" t="s">
        <v>25181</v>
      </c>
      <c r="Q2188" t="s">
        <v>25182</v>
      </c>
      <c r="R2188" t="s">
        <v>1842</v>
      </c>
      <c r="S2188" t="s">
        <v>32</v>
      </c>
      <c r="T2188" t="s">
        <v>32</v>
      </c>
      <c r="U2188" t="s">
        <v>32</v>
      </c>
      <c r="V2188" t="s">
        <v>55</v>
      </c>
      <c r="W2188" t="s">
        <v>32</v>
      </c>
      <c r="X2188" t="s">
        <v>1282</v>
      </c>
      <c r="Y2188" t="s">
        <v>1007</v>
      </c>
      <c r="Z2188" t="s">
        <v>126</v>
      </c>
      <c r="AA2188" t="s">
        <v>25183</v>
      </c>
      <c r="AB2188" t="s">
        <v>25184</v>
      </c>
      <c r="AC2188" t="s">
        <v>4711</v>
      </c>
      <c r="AD2188" t="s">
        <v>32</v>
      </c>
      <c r="AE2188" t="s">
        <v>32</v>
      </c>
      <c r="AF2188" t="s">
        <v>46835</v>
      </c>
    </row>
    <row r="2189" spans="1:32" x14ac:dyDescent="0.2">
      <c r="A2189">
        <v>2184</v>
      </c>
      <c r="B2189" t="s">
        <v>25185</v>
      </c>
      <c r="C2189" t="s">
        <v>25186</v>
      </c>
      <c r="D2189" t="s">
        <v>32</v>
      </c>
      <c r="E2189" t="s">
        <v>25187</v>
      </c>
      <c r="F2189" t="s">
        <v>25188</v>
      </c>
      <c r="G2189" t="s">
        <v>25189</v>
      </c>
      <c r="H2189" t="str">
        <f>"Hsdl2"</f>
        <v>Hsdl2</v>
      </c>
      <c r="I2189" t="s">
        <v>32</v>
      </c>
      <c r="J2189" t="s">
        <v>37</v>
      </c>
      <c r="K2189">
        <v>10090</v>
      </c>
      <c r="L2189" s="3" t="str">
        <f>HYPERLINK("http://www.uniprot.org/uniprot/Q2TPA8", "Q2TPA8")</f>
        <v>Q2TPA8</v>
      </c>
      <c r="M2189" t="s">
        <v>25190</v>
      </c>
      <c r="N2189" t="str">
        <f>"Hsdl2"</f>
        <v>Hsdl2</v>
      </c>
      <c r="O2189" s="3" t="str">
        <f>HYPERLINK("http://www.informatics.jax.org/marker/MGI:1919729", "MGI:1919729")</f>
        <v>MGI:1919729</v>
      </c>
      <c r="P2189" t="s">
        <v>25191</v>
      </c>
      <c r="Q2189" t="s">
        <v>32</v>
      </c>
      <c r="R2189" t="s">
        <v>5745</v>
      </c>
      <c r="S2189" t="s">
        <v>32</v>
      </c>
      <c r="T2189" t="s">
        <v>32</v>
      </c>
      <c r="U2189" t="s">
        <v>32</v>
      </c>
      <c r="V2189" t="s">
        <v>32</v>
      </c>
      <c r="W2189" t="s">
        <v>3204</v>
      </c>
      <c r="X2189" t="s">
        <v>600</v>
      </c>
      <c r="Y2189" t="s">
        <v>5360</v>
      </c>
      <c r="Z2189" t="s">
        <v>32</v>
      </c>
      <c r="AA2189" t="s">
        <v>32</v>
      </c>
      <c r="AB2189" t="s">
        <v>25192</v>
      </c>
      <c r="AC2189" t="s">
        <v>11250</v>
      </c>
      <c r="AD2189" t="s">
        <v>32</v>
      </c>
      <c r="AE2189" t="s">
        <v>32</v>
      </c>
      <c r="AF2189" t="s">
        <v>46835</v>
      </c>
    </row>
    <row r="2190" spans="1:32" x14ac:dyDescent="0.2">
      <c r="A2190">
        <v>2185</v>
      </c>
      <c r="B2190" t="s">
        <v>25193</v>
      </c>
      <c r="C2190" t="s">
        <v>25194</v>
      </c>
      <c r="D2190" t="s">
        <v>25195</v>
      </c>
      <c r="E2190" t="s">
        <v>25196</v>
      </c>
      <c r="F2190" t="s">
        <v>25197</v>
      </c>
      <c r="G2190" t="s">
        <v>32</v>
      </c>
      <c r="H2190" t="str">
        <f>"Ptrhd1"</f>
        <v>Ptrhd1</v>
      </c>
      <c r="I2190" t="s">
        <v>32</v>
      </c>
      <c r="J2190" t="s">
        <v>37</v>
      </c>
      <c r="K2190">
        <v>10090</v>
      </c>
      <c r="L2190" s="3" t="str">
        <f>HYPERLINK("http://www.uniprot.org/uniprot/D3Z4S3", "D3Z4S3")</f>
        <v>D3Z4S3</v>
      </c>
      <c r="M2190" t="s">
        <v>25198</v>
      </c>
      <c r="N2190" t="str">
        <f>"Ptrhd1"</f>
        <v>Ptrhd1</v>
      </c>
      <c r="O2190" s="3" t="str">
        <f>HYPERLINK("http://www.informatics.jax.org/marker/MGI:1916959", "MGI:1916959")</f>
        <v>MGI:1916959</v>
      </c>
      <c r="P2190" t="s">
        <v>343</v>
      </c>
      <c r="Q2190" t="s">
        <v>32</v>
      </c>
      <c r="R2190" t="s">
        <v>32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343</v>
      </c>
      <c r="Y2190" t="s">
        <v>32</v>
      </c>
      <c r="Z2190" t="s">
        <v>32</v>
      </c>
      <c r="AA2190" t="s">
        <v>32</v>
      </c>
      <c r="AB2190" t="s">
        <v>32</v>
      </c>
      <c r="AC2190" t="s">
        <v>25199</v>
      </c>
      <c r="AD2190" t="s">
        <v>32</v>
      </c>
      <c r="AE2190" t="s">
        <v>32</v>
      </c>
      <c r="AF2190" t="s">
        <v>46835</v>
      </c>
    </row>
    <row r="2191" spans="1:32" x14ac:dyDescent="0.2">
      <c r="A2191">
        <v>2186</v>
      </c>
      <c r="B2191" t="s">
        <v>25200</v>
      </c>
      <c r="C2191" t="s">
        <v>25201</v>
      </c>
      <c r="D2191" t="s">
        <v>25202</v>
      </c>
      <c r="E2191" t="s">
        <v>25203</v>
      </c>
      <c r="F2191" t="s">
        <v>25204</v>
      </c>
      <c r="G2191" t="s">
        <v>25205</v>
      </c>
      <c r="H2191" t="str">
        <f>"Atrx"</f>
        <v>Atrx</v>
      </c>
      <c r="I2191" t="s">
        <v>25206</v>
      </c>
      <c r="J2191" t="s">
        <v>37</v>
      </c>
      <c r="K2191">
        <v>10090</v>
      </c>
      <c r="L2191" s="3" t="str">
        <f>HYPERLINK("http://www.uniprot.org/uniprot/Q61687", "Q61687")</f>
        <v>Q61687</v>
      </c>
      <c r="M2191" t="s">
        <v>25207</v>
      </c>
      <c r="N2191" t="str">
        <f>"Atrx"</f>
        <v>Atrx</v>
      </c>
      <c r="O2191" s="3" t="str">
        <f>HYPERLINK("http://www.informatics.jax.org/marker/MGI:103067", "MGI:103067")</f>
        <v>MGI:103067</v>
      </c>
      <c r="P2191" t="s">
        <v>25208</v>
      </c>
      <c r="Q2191" t="s">
        <v>11306</v>
      </c>
      <c r="R2191" t="s">
        <v>9085</v>
      </c>
      <c r="S2191" t="s">
        <v>32</v>
      </c>
      <c r="T2191" t="s">
        <v>32</v>
      </c>
      <c r="U2191" t="s">
        <v>32</v>
      </c>
      <c r="V2191" t="s">
        <v>446</v>
      </c>
      <c r="W2191" t="s">
        <v>2325</v>
      </c>
      <c r="X2191" t="s">
        <v>9499</v>
      </c>
      <c r="Y2191" t="s">
        <v>25209</v>
      </c>
      <c r="Z2191" t="s">
        <v>32</v>
      </c>
      <c r="AA2191" t="s">
        <v>25210</v>
      </c>
      <c r="AB2191" t="s">
        <v>25211</v>
      </c>
      <c r="AC2191" t="s">
        <v>25212</v>
      </c>
      <c r="AD2191" t="s">
        <v>32</v>
      </c>
      <c r="AE2191" t="s">
        <v>25213</v>
      </c>
      <c r="AF2191" t="s">
        <v>46835</v>
      </c>
    </row>
    <row r="2192" spans="1:32" x14ac:dyDescent="0.2">
      <c r="A2192">
        <v>2187</v>
      </c>
      <c r="B2192" t="s">
        <v>25214</v>
      </c>
      <c r="C2192" t="s">
        <v>25215</v>
      </c>
      <c r="D2192" t="s">
        <v>32</v>
      </c>
      <c r="E2192" t="s">
        <v>25216</v>
      </c>
      <c r="F2192" t="s">
        <v>25217</v>
      </c>
      <c r="G2192" t="s">
        <v>25218</v>
      </c>
      <c r="H2192" t="str">
        <f>"Ppp1ca"</f>
        <v>Ppp1ca</v>
      </c>
      <c r="I2192" t="s">
        <v>25219</v>
      </c>
      <c r="J2192" t="s">
        <v>37</v>
      </c>
      <c r="K2192">
        <v>10090</v>
      </c>
      <c r="L2192" s="3" t="str">
        <f>HYPERLINK("http://www.uniprot.org/uniprot/P62137", "P62137")</f>
        <v>P62137</v>
      </c>
      <c r="M2192" t="s">
        <v>25220</v>
      </c>
      <c r="N2192" t="str">
        <f>"Ppp1ca"</f>
        <v>Ppp1ca</v>
      </c>
      <c r="O2192" s="3" t="str">
        <f>HYPERLINK("http://www.informatics.jax.org/marker/MGI:103016", "MGI:103016")</f>
        <v>MGI:103016</v>
      </c>
      <c r="P2192" t="s">
        <v>25221</v>
      </c>
      <c r="Q2192" t="s">
        <v>25222</v>
      </c>
      <c r="R2192" t="s">
        <v>40</v>
      </c>
      <c r="S2192" t="s">
        <v>32</v>
      </c>
      <c r="T2192" t="s">
        <v>32</v>
      </c>
      <c r="U2192" t="s">
        <v>32</v>
      </c>
      <c r="V2192" t="s">
        <v>32</v>
      </c>
      <c r="W2192" t="s">
        <v>5883</v>
      </c>
      <c r="X2192" t="s">
        <v>3683</v>
      </c>
      <c r="Y2192" t="s">
        <v>157</v>
      </c>
      <c r="Z2192" t="s">
        <v>126</v>
      </c>
      <c r="AA2192" t="s">
        <v>25223</v>
      </c>
      <c r="AB2192" t="s">
        <v>25224</v>
      </c>
      <c r="AC2192" t="s">
        <v>25225</v>
      </c>
      <c r="AD2192" t="s">
        <v>32</v>
      </c>
      <c r="AE2192" t="s">
        <v>25226</v>
      </c>
      <c r="AF2192" t="s">
        <v>46835</v>
      </c>
    </row>
    <row r="2193" spans="1:33" x14ac:dyDescent="0.2">
      <c r="A2193">
        <v>2188</v>
      </c>
      <c r="B2193" t="s">
        <v>25227</v>
      </c>
      <c r="C2193" t="s">
        <v>25228</v>
      </c>
      <c r="D2193" t="s">
        <v>25229</v>
      </c>
      <c r="E2193" t="s">
        <v>25230</v>
      </c>
      <c r="F2193" t="s">
        <v>25231</v>
      </c>
      <c r="G2193" t="s">
        <v>32</v>
      </c>
      <c r="H2193" t="str">
        <f>"Blvrb"</f>
        <v>Blvrb</v>
      </c>
      <c r="I2193" t="s">
        <v>32</v>
      </c>
      <c r="J2193" t="s">
        <v>37</v>
      </c>
      <c r="K2193">
        <v>10090</v>
      </c>
      <c r="L2193" s="3" t="str">
        <f>HYPERLINK("http://www.uniprot.org/uniprot/Q923D2", "Q923D2")</f>
        <v>Q923D2</v>
      </c>
      <c r="M2193" t="s">
        <v>25232</v>
      </c>
      <c r="N2193" t="str">
        <f>"Blvrb"</f>
        <v>Blvrb</v>
      </c>
      <c r="O2193" s="3" t="str">
        <f>HYPERLINK("http://www.informatics.jax.org/marker/MGI:2385271", "MGI:2385271")</f>
        <v>MGI:2385271</v>
      </c>
      <c r="P2193" t="s">
        <v>25233</v>
      </c>
      <c r="Q2193" t="s">
        <v>32</v>
      </c>
      <c r="R2193" t="s">
        <v>418</v>
      </c>
      <c r="S2193" t="s">
        <v>32</v>
      </c>
      <c r="T2193" t="s">
        <v>32</v>
      </c>
      <c r="U2193" t="s">
        <v>32</v>
      </c>
      <c r="V2193" t="s">
        <v>32</v>
      </c>
      <c r="W2193" t="s">
        <v>3204</v>
      </c>
      <c r="X2193" t="s">
        <v>600</v>
      </c>
      <c r="Y2193" t="s">
        <v>618</v>
      </c>
      <c r="Z2193" t="s">
        <v>32</v>
      </c>
      <c r="AA2193" t="s">
        <v>15758</v>
      </c>
      <c r="AB2193" t="s">
        <v>25234</v>
      </c>
      <c r="AC2193" t="s">
        <v>25235</v>
      </c>
      <c r="AD2193" t="s">
        <v>32</v>
      </c>
      <c r="AE2193" t="s">
        <v>15761</v>
      </c>
      <c r="AF2193" t="s">
        <v>46835</v>
      </c>
    </row>
    <row r="2194" spans="1:33" x14ac:dyDescent="0.2">
      <c r="A2194">
        <v>2189</v>
      </c>
      <c r="B2194" t="s">
        <v>25236</v>
      </c>
      <c r="C2194" t="s">
        <v>25237</v>
      </c>
      <c r="D2194" t="s">
        <v>25238</v>
      </c>
      <c r="E2194" t="s">
        <v>25239</v>
      </c>
      <c r="F2194" t="s">
        <v>25240</v>
      </c>
      <c r="G2194" t="s">
        <v>25241</v>
      </c>
      <c r="H2194" t="str">
        <f>"Cdkn1b"</f>
        <v>Cdkn1b</v>
      </c>
      <c r="I2194" t="s">
        <v>32</v>
      </c>
      <c r="J2194" t="s">
        <v>37</v>
      </c>
      <c r="K2194">
        <v>10090</v>
      </c>
      <c r="L2194" s="3" t="str">
        <f>HYPERLINK("http://www.uniprot.org/uniprot/P46414", "P46414")</f>
        <v>P46414</v>
      </c>
      <c r="M2194" t="s">
        <v>25242</v>
      </c>
      <c r="N2194" t="str">
        <f>"Cdkn1b"</f>
        <v>Cdkn1b</v>
      </c>
      <c r="O2194" s="3" t="str">
        <f>HYPERLINK("http://www.informatics.jax.org/marker/MGI:104565", "MGI:104565")</f>
        <v>MGI:104565</v>
      </c>
      <c r="P2194" t="s">
        <v>25243</v>
      </c>
      <c r="Q2194" t="s">
        <v>9824</v>
      </c>
      <c r="R2194" t="s">
        <v>7074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20859</v>
      </c>
      <c r="Y2194" t="s">
        <v>2836</v>
      </c>
      <c r="Z2194" t="s">
        <v>32</v>
      </c>
      <c r="AA2194" t="s">
        <v>25244</v>
      </c>
      <c r="AB2194" t="s">
        <v>25245</v>
      </c>
      <c r="AC2194" t="s">
        <v>25246</v>
      </c>
      <c r="AD2194" t="s">
        <v>32</v>
      </c>
      <c r="AE2194" t="s">
        <v>25247</v>
      </c>
      <c r="AF2194" t="s">
        <v>46835</v>
      </c>
    </row>
    <row r="2195" spans="1:33" x14ac:dyDescent="0.2">
      <c r="A2195">
        <v>2190</v>
      </c>
      <c r="B2195" t="s">
        <v>25248</v>
      </c>
      <c r="C2195" t="s">
        <v>25249</v>
      </c>
      <c r="D2195" t="s">
        <v>25250</v>
      </c>
      <c r="E2195" t="s">
        <v>25251</v>
      </c>
      <c r="F2195" t="s">
        <v>25252</v>
      </c>
      <c r="G2195" t="s">
        <v>32</v>
      </c>
      <c r="H2195" t="str">
        <f>"Pgp"</f>
        <v>Pgp</v>
      </c>
      <c r="I2195" t="s">
        <v>32</v>
      </c>
      <c r="J2195" t="s">
        <v>37</v>
      </c>
      <c r="K2195">
        <v>10090</v>
      </c>
      <c r="L2195" s="3" t="str">
        <f>HYPERLINK("http://www.uniprot.org/uniprot/Q8CHP8", "Q8CHP8")</f>
        <v>Q8CHP8</v>
      </c>
      <c r="M2195" t="s">
        <v>25253</v>
      </c>
      <c r="N2195" t="str">
        <f>"Pgp"</f>
        <v>Pgp</v>
      </c>
      <c r="O2195" s="3" t="str">
        <f>HYPERLINK("http://www.informatics.jax.org/marker/MGI:1914328", "MGI:1914328")</f>
        <v>MGI:1914328</v>
      </c>
      <c r="P2195" t="s">
        <v>25254</v>
      </c>
      <c r="Q2195" t="s">
        <v>2170</v>
      </c>
      <c r="R2195" t="s">
        <v>32</v>
      </c>
      <c r="S2195" t="s">
        <v>32</v>
      </c>
      <c r="T2195" t="s">
        <v>32</v>
      </c>
      <c r="U2195" t="s">
        <v>32</v>
      </c>
      <c r="V2195" t="s">
        <v>32</v>
      </c>
      <c r="W2195" t="s">
        <v>223</v>
      </c>
      <c r="X2195" t="s">
        <v>3683</v>
      </c>
      <c r="Y2195" t="s">
        <v>32</v>
      </c>
      <c r="Z2195" t="s">
        <v>126</v>
      </c>
      <c r="AA2195" t="s">
        <v>25255</v>
      </c>
      <c r="AB2195" t="s">
        <v>2172</v>
      </c>
      <c r="AC2195" t="s">
        <v>25256</v>
      </c>
      <c r="AD2195" t="s">
        <v>32</v>
      </c>
      <c r="AE2195" t="s">
        <v>32</v>
      </c>
      <c r="AF2195" t="s">
        <v>46835</v>
      </c>
    </row>
    <row r="2196" spans="1:33" x14ac:dyDescent="0.2">
      <c r="A2196">
        <v>2191</v>
      </c>
      <c r="B2196" t="s">
        <v>25257</v>
      </c>
      <c r="C2196" t="s">
        <v>25258</v>
      </c>
      <c r="D2196" t="s">
        <v>25259</v>
      </c>
      <c r="E2196" t="s">
        <v>25260</v>
      </c>
      <c r="F2196" t="s">
        <v>25261</v>
      </c>
      <c r="G2196" t="s">
        <v>25262</v>
      </c>
      <c r="H2196" t="str">
        <f>"Hspa13"</f>
        <v>Hspa13</v>
      </c>
      <c r="I2196" t="s">
        <v>25263</v>
      </c>
      <c r="J2196" t="s">
        <v>37</v>
      </c>
      <c r="K2196">
        <v>10090</v>
      </c>
      <c r="L2196" s="3" t="str">
        <f>HYPERLINK("http://www.uniprot.org/uniprot/Q8BM72", "Q8BM72")</f>
        <v>Q8BM72</v>
      </c>
      <c r="M2196" t="s">
        <v>25264</v>
      </c>
      <c r="N2196" t="str">
        <f>"Hspa13"</f>
        <v>Hspa13</v>
      </c>
      <c r="O2196" s="3" t="str">
        <f>HYPERLINK("http://www.informatics.jax.org/marker/MGI:1309463", "MGI:1309463")</f>
        <v>MGI:1309463</v>
      </c>
      <c r="P2196" t="s">
        <v>25265</v>
      </c>
      <c r="Q2196" t="s">
        <v>32</v>
      </c>
      <c r="R2196" t="s">
        <v>25266</v>
      </c>
      <c r="S2196" t="s">
        <v>41</v>
      </c>
      <c r="T2196" t="s">
        <v>32</v>
      </c>
      <c r="U2196" t="s">
        <v>32</v>
      </c>
      <c r="V2196" t="s">
        <v>811</v>
      </c>
      <c r="W2196" t="s">
        <v>205</v>
      </c>
      <c r="X2196" t="s">
        <v>32</v>
      </c>
      <c r="Y2196" t="s">
        <v>32</v>
      </c>
      <c r="Z2196" t="s">
        <v>32</v>
      </c>
      <c r="AA2196" t="s">
        <v>25267</v>
      </c>
      <c r="AB2196" t="s">
        <v>25268</v>
      </c>
      <c r="AC2196" t="s">
        <v>25269</v>
      </c>
      <c r="AD2196" t="s">
        <v>32</v>
      </c>
      <c r="AE2196" t="s">
        <v>1445</v>
      </c>
      <c r="AF2196" t="s">
        <v>46835</v>
      </c>
    </row>
    <row r="2197" spans="1:33" x14ac:dyDescent="0.2">
      <c r="A2197">
        <v>2192</v>
      </c>
      <c r="B2197" t="s">
        <v>25270</v>
      </c>
      <c r="C2197" t="s">
        <v>25271</v>
      </c>
      <c r="D2197" t="s">
        <v>25272</v>
      </c>
      <c r="E2197" t="s">
        <v>25273</v>
      </c>
      <c r="F2197" t="s">
        <v>25274</v>
      </c>
      <c r="G2197" t="s">
        <v>25275</v>
      </c>
      <c r="H2197" t="str">
        <f>"Pin4"</f>
        <v>Pin4</v>
      </c>
      <c r="I2197" t="s">
        <v>32</v>
      </c>
      <c r="J2197" t="s">
        <v>37</v>
      </c>
      <c r="K2197">
        <v>10090</v>
      </c>
      <c r="L2197" s="3" t="str">
        <f>HYPERLINK("http://www.uniprot.org/uniprot/Q9CWW6", "Q9CWW6")</f>
        <v>Q9CWW6</v>
      </c>
      <c r="M2197" t="s">
        <v>25276</v>
      </c>
      <c r="N2197" t="str">
        <f>"Pin4"</f>
        <v>Pin4</v>
      </c>
      <c r="O2197" s="3" t="str">
        <f>HYPERLINK("http://www.informatics.jax.org/marker/MGI:1916963", "MGI:1916963")</f>
        <v>MGI:1916963</v>
      </c>
      <c r="P2197" t="s">
        <v>25277</v>
      </c>
      <c r="Q2197" t="s">
        <v>32</v>
      </c>
      <c r="R2197" t="s">
        <v>324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25278</v>
      </c>
      <c r="Y2197" t="s">
        <v>618</v>
      </c>
      <c r="Z2197" t="s">
        <v>32</v>
      </c>
      <c r="AA2197" t="s">
        <v>25279</v>
      </c>
      <c r="AB2197" t="s">
        <v>25280</v>
      </c>
      <c r="AC2197" t="s">
        <v>25281</v>
      </c>
      <c r="AD2197" t="s">
        <v>32</v>
      </c>
      <c r="AE2197" t="s">
        <v>32</v>
      </c>
      <c r="AF2197" t="s">
        <v>46835</v>
      </c>
    </row>
    <row r="2198" spans="1:33" x14ac:dyDescent="0.2">
      <c r="A2198">
        <v>2193</v>
      </c>
      <c r="B2198" t="s">
        <v>25282</v>
      </c>
      <c r="C2198" t="s">
        <v>25283</v>
      </c>
      <c r="D2198" t="s">
        <v>25284</v>
      </c>
      <c r="E2198" t="s">
        <v>25285</v>
      </c>
      <c r="F2198" t="s">
        <v>25286</v>
      </c>
      <c r="G2198" t="s">
        <v>25287</v>
      </c>
      <c r="H2198" t="str">
        <f>"Gtf2e2"</f>
        <v>Gtf2e2</v>
      </c>
      <c r="I2198" t="s">
        <v>32</v>
      </c>
      <c r="J2198" t="s">
        <v>37</v>
      </c>
      <c r="K2198">
        <v>10090</v>
      </c>
      <c r="L2198" s="3" t="str">
        <f>HYPERLINK("http://www.uniprot.org/uniprot/Q9D902", "Q9D902")</f>
        <v>Q9D902</v>
      </c>
      <c r="M2198" t="s">
        <v>25288</v>
      </c>
      <c r="N2198" t="str">
        <f>"Gtf2e2"</f>
        <v>Gtf2e2</v>
      </c>
      <c r="O2198" s="3" t="str">
        <f>HYPERLINK("http://www.informatics.jax.org/marker/MGI:1915403", "MGI:1915403")</f>
        <v>MGI:1915403</v>
      </c>
      <c r="P2198" t="s">
        <v>25289</v>
      </c>
      <c r="Q2198" t="s">
        <v>4152</v>
      </c>
      <c r="R2198" t="s">
        <v>2279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247</v>
      </c>
      <c r="Y2198" t="s">
        <v>157</v>
      </c>
      <c r="Z2198" t="s">
        <v>32</v>
      </c>
      <c r="AA2198" t="s">
        <v>25290</v>
      </c>
      <c r="AB2198" t="s">
        <v>25291</v>
      </c>
      <c r="AC2198" t="s">
        <v>25292</v>
      </c>
      <c r="AD2198" t="s">
        <v>32</v>
      </c>
      <c r="AE2198" t="s">
        <v>23922</v>
      </c>
      <c r="AF2198" t="s">
        <v>46835</v>
      </c>
    </row>
    <row r="2199" spans="1:33" x14ac:dyDescent="0.2">
      <c r="A2199">
        <v>2194</v>
      </c>
      <c r="B2199" t="s">
        <v>25293</v>
      </c>
      <c r="C2199" t="s">
        <v>25294</v>
      </c>
      <c r="D2199" t="s">
        <v>32</v>
      </c>
      <c r="E2199" t="s">
        <v>25295</v>
      </c>
      <c r="F2199" t="s">
        <v>25296</v>
      </c>
      <c r="G2199" t="s">
        <v>25297</v>
      </c>
      <c r="H2199" t="str">
        <f>"Arpp19"</f>
        <v>Arpp19</v>
      </c>
      <c r="I2199" t="s">
        <v>32</v>
      </c>
      <c r="J2199" t="s">
        <v>37</v>
      </c>
      <c r="K2199">
        <v>10090</v>
      </c>
      <c r="L2199" s="3" t="str">
        <f>HYPERLINK("http://www.uniprot.org/uniprot/P56212", "P56212")</f>
        <v>P56212</v>
      </c>
      <c r="M2199" t="s">
        <v>25298</v>
      </c>
      <c r="N2199" t="str">
        <f>"Arpp19"</f>
        <v>Arpp19</v>
      </c>
      <c r="O2199" s="3" t="str">
        <f>HYPERLINK("http://www.informatics.jax.org/marker/MGI:1891691", "MGI:1891691")</f>
        <v>MGI:1891691</v>
      </c>
      <c r="P2199" t="s">
        <v>14950</v>
      </c>
      <c r="Q2199" t="s">
        <v>2968</v>
      </c>
      <c r="R2199" t="s">
        <v>418</v>
      </c>
      <c r="S2199" t="s">
        <v>41</v>
      </c>
      <c r="T2199" t="s">
        <v>32</v>
      </c>
      <c r="U2199" t="s">
        <v>32</v>
      </c>
      <c r="V2199" t="s">
        <v>32</v>
      </c>
      <c r="W2199" t="s">
        <v>32</v>
      </c>
      <c r="X2199" t="s">
        <v>14951</v>
      </c>
      <c r="Y2199" t="s">
        <v>157</v>
      </c>
      <c r="Z2199" t="s">
        <v>32</v>
      </c>
      <c r="AA2199" t="s">
        <v>25299</v>
      </c>
      <c r="AB2199" t="s">
        <v>2172</v>
      </c>
      <c r="AC2199" t="s">
        <v>25300</v>
      </c>
      <c r="AD2199" t="s">
        <v>32</v>
      </c>
      <c r="AE2199" t="s">
        <v>25301</v>
      </c>
      <c r="AF2199" t="s">
        <v>46835</v>
      </c>
    </row>
    <row r="2200" spans="1:33" x14ac:dyDescent="0.2">
      <c r="A2200">
        <v>2195</v>
      </c>
      <c r="B2200" t="s">
        <v>25302</v>
      </c>
      <c r="C2200" t="s">
        <v>25303</v>
      </c>
      <c r="D2200" t="s">
        <v>32</v>
      </c>
      <c r="E2200" t="s">
        <v>25304</v>
      </c>
      <c r="F2200" t="s">
        <v>25305</v>
      </c>
      <c r="G2200" t="s">
        <v>32</v>
      </c>
      <c r="H2200" t="str">
        <f>"Snrpc"</f>
        <v>Snrpc</v>
      </c>
      <c r="I2200" t="s">
        <v>25306</v>
      </c>
      <c r="J2200" t="s">
        <v>37</v>
      </c>
      <c r="K2200">
        <v>10090</v>
      </c>
      <c r="L2200" s="3" t="str">
        <f>HYPERLINK("http://www.uniprot.org/uniprot/Q62241", "Q62241")</f>
        <v>Q62241</v>
      </c>
      <c r="M2200" t="s">
        <v>25307</v>
      </c>
      <c r="N2200" t="str">
        <f>"Snrpc"</f>
        <v>Snrpc</v>
      </c>
      <c r="O2200" s="3" t="str">
        <f>HYPERLINK("http://www.informatics.jax.org/marker/MGI:109489", "MGI:109489")</f>
        <v>MGI:109489</v>
      </c>
      <c r="P2200" t="s">
        <v>25308</v>
      </c>
      <c r="Q2200" t="s">
        <v>32</v>
      </c>
      <c r="R2200" t="s">
        <v>2279</v>
      </c>
      <c r="S2200" t="s">
        <v>32</v>
      </c>
      <c r="T2200" t="s">
        <v>32</v>
      </c>
      <c r="U2200" t="s">
        <v>32</v>
      </c>
      <c r="V2200" t="s">
        <v>446</v>
      </c>
      <c r="W2200" t="s">
        <v>42</v>
      </c>
      <c r="X2200" t="s">
        <v>1129</v>
      </c>
      <c r="Y2200" t="s">
        <v>157</v>
      </c>
      <c r="Z2200" t="s">
        <v>32</v>
      </c>
      <c r="AA2200" t="s">
        <v>25309</v>
      </c>
      <c r="AB2200" t="s">
        <v>25310</v>
      </c>
      <c r="AC2200" t="s">
        <v>25311</v>
      </c>
      <c r="AD2200" t="s">
        <v>32</v>
      </c>
      <c r="AE2200" t="s">
        <v>946</v>
      </c>
      <c r="AF2200" t="s">
        <v>46835</v>
      </c>
    </row>
    <row r="2201" spans="1:33" x14ac:dyDescent="0.2">
      <c r="A2201">
        <v>2196</v>
      </c>
      <c r="B2201" t="s">
        <v>25312</v>
      </c>
      <c r="C2201" t="s">
        <v>25313</v>
      </c>
      <c r="D2201" t="s">
        <v>32</v>
      </c>
      <c r="E2201" t="s">
        <v>25314</v>
      </c>
      <c r="F2201" t="s">
        <v>25315</v>
      </c>
      <c r="G2201" t="s">
        <v>25316</v>
      </c>
      <c r="H2201" t="str">
        <f>"Nudcd2"</f>
        <v>Nudcd2</v>
      </c>
      <c r="I2201" t="s">
        <v>25317</v>
      </c>
      <c r="J2201" t="s">
        <v>37</v>
      </c>
      <c r="K2201">
        <v>10090</v>
      </c>
      <c r="L2201" s="3" t="str">
        <f>HYPERLINK("http://www.uniprot.org/uniprot/Q9CQ48", "Q9CQ48")</f>
        <v>Q9CQ48</v>
      </c>
      <c r="M2201" t="s">
        <v>25318</v>
      </c>
      <c r="N2201" t="str">
        <f>"Nudcd2"</f>
        <v>Nudcd2</v>
      </c>
      <c r="O2201" s="3" t="str">
        <f>HYPERLINK("http://www.informatics.jax.org/marker/MGI:1277103", "MGI:1277103")</f>
        <v>MGI:1277103</v>
      </c>
      <c r="P2201" t="s">
        <v>25319</v>
      </c>
      <c r="Q2201" t="s">
        <v>32</v>
      </c>
      <c r="R2201" t="s">
        <v>4919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32</v>
      </c>
      <c r="Y2201" t="s">
        <v>157</v>
      </c>
      <c r="Z2201" t="s">
        <v>126</v>
      </c>
      <c r="AA2201" t="s">
        <v>6724</v>
      </c>
      <c r="AB2201" t="s">
        <v>25320</v>
      </c>
      <c r="AC2201" t="s">
        <v>2972</v>
      </c>
      <c r="AD2201" t="s">
        <v>32</v>
      </c>
      <c r="AE2201" t="s">
        <v>32</v>
      </c>
      <c r="AF2201" t="s">
        <v>46835</v>
      </c>
    </row>
    <row r="2202" spans="1:33" x14ac:dyDescent="0.2">
      <c r="A2202">
        <v>2197</v>
      </c>
      <c r="B2202" t="s">
        <v>25321</v>
      </c>
      <c r="C2202" t="s">
        <v>47133</v>
      </c>
      <c r="D2202" t="s">
        <v>32</v>
      </c>
      <c r="E2202" t="s">
        <v>46958</v>
      </c>
      <c r="F2202" t="s">
        <v>46957</v>
      </c>
      <c r="G2202" t="s">
        <v>32</v>
      </c>
      <c r="H2202" t="s">
        <v>47264</v>
      </c>
      <c r="I2202" t="s">
        <v>32</v>
      </c>
      <c r="J2202" t="s">
        <v>37</v>
      </c>
      <c r="K2202">
        <v>10090</v>
      </c>
      <c r="L2202" s="3" t="str">
        <f>HYPERLINK(CONCATENATE("https://www.uniprot.org/uniprotkb/", AG2202, "/entry"), AG2202)</f>
        <v>Q8JZU2</v>
      </c>
      <c r="M2202" t="s">
        <v>32</v>
      </c>
      <c r="N2202" t="s">
        <v>32</v>
      </c>
      <c r="O2202" s="3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32</v>
      </c>
      <c r="Y2202" t="s">
        <v>32</v>
      </c>
      <c r="Z2202" t="s">
        <v>32</v>
      </c>
      <c r="AA2202" t="s">
        <v>32</v>
      </c>
      <c r="AB2202" t="s">
        <v>32</v>
      </c>
      <c r="AC2202" t="s">
        <v>32</v>
      </c>
      <c r="AD2202" t="s">
        <v>32</v>
      </c>
      <c r="AE2202" t="s">
        <v>32</v>
      </c>
      <c r="AF2202" t="s">
        <v>46835</v>
      </c>
      <c r="AG2202" t="s">
        <v>46957</v>
      </c>
    </row>
    <row r="2203" spans="1:33" x14ac:dyDescent="0.2">
      <c r="A2203">
        <v>2198</v>
      </c>
      <c r="B2203" t="s">
        <v>25322</v>
      </c>
      <c r="C2203" t="s">
        <v>25323</v>
      </c>
      <c r="D2203" t="s">
        <v>25324</v>
      </c>
      <c r="E2203" t="s">
        <v>25325</v>
      </c>
      <c r="F2203" t="s">
        <v>25326</v>
      </c>
      <c r="G2203" t="s">
        <v>25327</v>
      </c>
      <c r="H2203" t="str">
        <f>"Cyfip1"</f>
        <v>Cyfip1</v>
      </c>
      <c r="I2203" t="s">
        <v>32</v>
      </c>
      <c r="J2203" t="s">
        <v>37</v>
      </c>
      <c r="K2203">
        <v>10090</v>
      </c>
      <c r="L2203" s="3" t="str">
        <f>HYPERLINK("http://www.uniprot.org/uniprot/Q7TMB8", "Q7TMB8")</f>
        <v>Q7TMB8</v>
      </c>
      <c r="M2203" t="s">
        <v>25328</v>
      </c>
      <c r="N2203" t="str">
        <f>"Cyfip1"</f>
        <v>Cyfip1</v>
      </c>
      <c r="O2203" s="3" t="str">
        <f>HYPERLINK("http://www.informatics.jax.org/marker/MGI:1338801", "MGI:1338801")</f>
        <v>MGI:1338801</v>
      </c>
      <c r="P2203" t="s">
        <v>25329</v>
      </c>
      <c r="Q2203" t="s">
        <v>25330</v>
      </c>
      <c r="R2203" t="s">
        <v>25331</v>
      </c>
      <c r="S2203" t="s">
        <v>41</v>
      </c>
      <c r="T2203" t="s">
        <v>32</v>
      </c>
      <c r="U2203" t="s">
        <v>32</v>
      </c>
      <c r="V2203" t="s">
        <v>32</v>
      </c>
      <c r="W2203" t="s">
        <v>32</v>
      </c>
      <c r="X2203" t="s">
        <v>5157</v>
      </c>
      <c r="Y2203" t="s">
        <v>618</v>
      </c>
      <c r="Z2203" t="s">
        <v>32</v>
      </c>
      <c r="AA2203" t="s">
        <v>25332</v>
      </c>
      <c r="AB2203" t="s">
        <v>25333</v>
      </c>
      <c r="AC2203" t="s">
        <v>25334</v>
      </c>
      <c r="AD2203" t="s">
        <v>32</v>
      </c>
      <c r="AE2203" t="s">
        <v>25335</v>
      </c>
      <c r="AF2203" t="s">
        <v>46835</v>
      </c>
    </row>
    <row r="2204" spans="1:33" x14ac:dyDescent="0.2">
      <c r="A2204">
        <v>2199</v>
      </c>
      <c r="B2204" t="s">
        <v>25336</v>
      </c>
      <c r="C2204" t="s">
        <v>25337</v>
      </c>
      <c r="D2204" t="s">
        <v>25338</v>
      </c>
      <c r="E2204" t="s">
        <v>25339</v>
      </c>
      <c r="F2204" t="s">
        <v>25340</v>
      </c>
      <c r="G2204" t="s">
        <v>32</v>
      </c>
      <c r="H2204" t="str">
        <f>"Vps28"</f>
        <v>Vps28</v>
      </c>
      <c r="I2204" t="s">
        <v>32</v>
      </c>
      <c r="J2204" t="s">
        <v>37</v>
      </c>
      <c r="K2204">
        <v>10090</v>
      </c>
      <c r="L2204" s="3" t="str">
        <f>HYPERLINK("http://www.uniprot.org/uniprot/Q9D1C8", "Q9D1C8")</f>
        <v>Q9D1C8</v>
      </c>
      <c r="M2204" t="s">
        <v>25341</v>
      </c>
      <c r="N2204" t="str">
        <f>"Vps28"</f>
        <v>Vps28</v>
      </c>
      <c r="O2204" s="3" t="str">
        <f>HYPERLINK("http://www.informatics.jax.org/marker/MGI:1914164", "MGI:1914164")</f>
        <v>MGI:1914164</v>
      </c>
      <c r="P2204" t="s">
        <v>25342</v>
      </c>
      <c r="Q2204" t="s">
        <v>434</v>
      </c>
      <c r="R2204" t="s">
        <v>11564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32</v>
      </c>
      <c r="Y2204" t="s">
        <v>78</v>
      </c>
      <c r="Z2204" t="s">
        <v>32</v>
      </c>
      <c r="AA2204" t="s">
        <v>25343</v>
      </c>
      <c r="AB2204" t="s">
        <v>25344</v>
      </c>
      <c r="AC2204" t="s">
        <v>25345</v>
      </c>
      <c r="AD2204" t="s">
        <v>32</v>
      </c>
      <c r="AE2204" t="s">
        <v>14055</v>
      </c>
      <c r="AF2204" t="s">
        <v>46835</v>
      </c>
    </row>
    <row r="2205" spans="1:33" x14ac:dyDescent="0.2">
      <c r="A2205">
        <v>2200</v>
      </c>
      <c r="B2205" t="s">
        <v>25346</v>
      </c>
      <c r="C2205" t="s">
        <v>25347</v>
      </c>
      <c r="D2205" t="s">
        <v>25348</v>
      </c>
      <c r="E2205" t="s">
        <v>25349</v>
      </c>
      <c r="F2205" t="s">
        <v>25350</v>
      </c>
      <c r="G2205" t="s">
        <v>25351</v>
      </c>
      <c r="H2205" t="str">
        <f>"Aldh1b1"</f>
        <v>Aldh1b1</v>
      </c>
      <c r="I2205" t="s">
        <v>25352</v>
      </c>
      <c r="J2205" t="s">
        <v>37</v>
      </c>
      <c r="K2205">
        <v>10090</v>
      </c>
      <c r="L2205" s="3" t="str">
        <f>HYPERLINK("http://www.uniprot.org/uniprot/Q9CZS1", "Q9CZS1")</f>
        <v>Q9CZS1</v>
      </c>
      <c r="M2205" t="s">
        <v>25353</v>
      </c>
      <c r="N2205" t="str">
        <f>"Aldh1b1"</f>
        <v>Aldh1b1</v>
      </c>
      <c r="O2205" s="3" t="str">
        <f>HYPERLINK("http://www.informatics.jax.org/marker/MGI:1919785", "MGI:1919785")</f>
        <v>MGI:1919785</v>
      </c>
      <c r="P2205" t="s">
        <v>11113</v>
      </c>
      <c r="Q2205" t="s">
        <v>32</v>
      </c>
      <c r="R2205" t="s">
        <v>1038</v>
      </c>
      <c r="S2205" t="s">
        <v>32</v>
      </c>
      <c r="T2205" t="s">
        <v>32</v>
      </c>
      <c r="U2205" t="s">
        <v>32</v>
      </c>
      <c r="V2205" t="s">
        <v>1039</v>
      </c>
      <c r="W2205" t="s">
        <v>325</v>
      </c>
      <c r="X2205" t="s">
        <v>600</v>
      </c>
      <c r="Y2205" t="s">
        <v>78</v>
      </c>
      <c r="Z2205" t="s">
        <v>32</v>
      </c>
      <c r="AA2205" t="s">
        <v>25354</v>
      </c>
      <c r="AB2205" t="s">
        <v>25355</v>
      </c>
      <c r="AC2205" t="s">
        <v>25356</v>
      </c>
      <c r="AD2205" t="s">
        <v>4948</v>
      </c>
      <c r="AE2205" t="s">
        <v>1657</v>
      </c>
      <c r="AF2205" t="s">
        <v>46835</v>
      </c>
    </row>
    <row r="2206" spans="1:33" x14ac:dyDescent="0.2">
      <c r="A2206">
        <v>2201</v>
      </c>
      <c r="B2206" t="s">
        <v>25357</v>
      </c>
      <c r="C2206" t="s">
        <v>47234</v>
      </c>
      <c r="D2206" t="s">
        <v>32</v>
      </c>
      <c r="E2206" t="s">
        <v>46960</v>
      </c>
      <c r="F2206" t="s">
        <v>46959</v>
      </c>
      <c r="G2206" t="s">
        <v>32</v>
      </c>
      <c r="H2206" t="s">
        <v>47367</v>
      </c>
      <c r="I2206" t="s">
        <v>32</v>
      </c>
      <c r="J2206" t="s">
        <v>37</v>
      </c>
      <c r="K2206">
        <v>10090</v>
      </c>
      <c r="L2206" s="3" t="str">
        <f>HYPERLINK(CONCATENATE("https://www.uniprot.org/uniprotkb/", AG2206, "/entry"), AG2206)</f>
        <v>A0A087WQ44</v>
      </c>
      <c r="M2206" t="s">
        <v>32</v>
      </c>
      <c r="N2206" t="s">
        <v>32</v>
      </c>
      <c r="O2206" s="3" t="s">
        <v>32</v>
      </c>
      <c r="P2206" t="s">
        <v>32</v>
      </c>
      <c r="Q2206" t="s">
        <v>32</v>
      </c>
      <c r="R2206" t="s">
        <v>32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32</v>
      </c>
      <c r="Y2206" t="s">
        <v>32</v>
      </c>
      <c r="Z2206" t="s">
        <v>32</v>
      </c>
      <c r="AA2206" t="s">
        <v>32</v>
      </c>
      <c r="AB2206" t="s">
        <v>32</v>
      </c>
      <c r="AC2206" t="s">
        <v>32</v>
      </c>
      <c r="AD2206" t="s">
        <v>32</v>
      </c>
      <c r="AE2206" t="s">
        <v>32</v>
      </c>
      <c r="AF2206" t="s">
        <v>46835</v>
      </c>
      <c r="AG2206" t="s">
        <v>46959</v>
      </c>
    </row>
    <row r="2207" spans="1:33" x14ac:dyDescent="0.2">
      <c r="A2207">
        <v>2202</v>
      </c>
      <c r="B2207" t="s">
        <v>25358</v>
      </c>
      <c r="C2207" t="s">
        <v>25359</v>
      </c>
      <c r="D2207" t="s">
        <v>25360</v>
      </c>
      <c r="E2207" t="s">
        <v>25361</v>
      </c>
      <c r="F2207" t="s">
        <v>25362</v>
      </c>
      <c r="G2207" t="s">
        <v>25363</v>
      </c>
      <c r="H2207" t="str">
        <f>"Pnpt1"</f>
        <v>Pnpt1</v>
      </c>
      <c r="I2207" t="s">
        <v>25364</v>
      </c>
      <c r="J2207" t="s">
        <v>37</v>
      </c>
      <c r="K2207">
        <v>10090</v>
      </c>
      <c r="L2207" s="3" t="str">
        <f>HYPERLINK("http://www.uniprot.org/uniprot/Q8K1R3", "Q8K1R3")</f>
        <v>Q8K1R3</v>
      </c>
      <c r="M2207" t="s">
        <v>25365</v>
      </c>
      <c r="N2207" t="str">
        <f>"Pnpt1"</f>
        <v>Pnpt1</v>
      </c>
      <c r="O2207" s="3" t="str">
        <f>HYPERLINK("http://www.informatics.jax.org/marker/MGI:1918951", "MGI:1918951")</f>
        <v>MGI:1918951</v>
      </c>
      <c r="P2207" t="s">
        <v>25366</v>
      </c>
      <c r="Q2207" t="s">
        <v>25367</v>
      </c>
      <c r="R2207" t="s">
        <v>25368</v>
      </c>
      <c r="S2207" t="s">
        <v>41</v>
      </c>
      <c r="T2207" t="s">
        <v>32</v>
      </c>
      <c r="U2207" t="s">
        <v>32</v>
      </c>
      <c r="V2207" t="s">
        <v>1039</v>
      </c>
      <c r="W2207" t="s">
        <v>32</v>
      </c>
      <c r="X2207" t="s">
        <v>25369</v>
      </c>
      <c r="Y2207" t="s">
        <v>157</v>
      </c>
      <c r="Z2207" t="s">
        <v>126</v>
      </c>
      <c r="AA2207" t="s">
        <v>25370</v>
      </c>
      <c r="AB2207" t="s">
        <v>25371</v>
      </c>
      <c r="AC2207" t="s">
        <v>25372</v>
      </c>
      <c r="AD2207" t="s">
        <v>32</v>
      </c>
      <c r="AE2207" t="s">
        <v>32</v>
      </c>
      <c r="AF2207" t="s">
        <v>46835</v>
      </c>
    </row>
    <row r="2208" spans="1:33" x14ac:dyDescent="0.2">
      <c r="A2208">
        <v>2203</v>
      </c>
      <c r="B2208" t="s">
        <v>25373</v>
      </c>
      <c r="C2208" t="s">
        <v>25374</v>
      </c>
      <c r="D2208" t="s">
        <v>32</v>
      </c>
      <c r="E2208" t="s">
        <v>25375</v>
      </c>
      <c r="F2208" t="s">
        <v>25376</v>
      </c>
      <c r="G2208" t="s">
        <v>25377</v>
      </c>
      <c r="H2208" t="str">
        <f>"Rad50"</f>
        <v>Rad50</v>
      </c>
      <c r="I2208" t="s">
        <v>32</v>
      </c>
      <c r="J2208" t="s">
        <v>37</v>
      </c>
      <c r="K2208">
        <v>10090</v>
      </c>
      <c r="L2208" s="3" t="str">
        <f>HYPERLINK("http://www.uniprot.org/uniprot/P70388", "P70388")</f>
        <v>P70388</v>
      </c>
      <c r="M2208" t="s">
        <v>25378</v>
      </c>
      <c r="N2208" t="str">
        <f>"Rad50"</f>
        <v>Rad50</v>
      </c>
      <c r="O2208" s="3" t="str">
        <f>HYPERLINK("http://www.informatics.jax.org/marker/MGI:109292", "MGI:109292")</f>
        <v>MGI:109292</v>
      </c>
      <c r="P2208" t="s">
        <v>25379</v>
      </c>
      <c r="Q2208" t="s">
        <v>25380</v>
      </c>
      <c r="R2208" t="s">
        <v>9085</v>
      </c>
      <c r="S2208" t="s">
        <v>41</v>
      </c>
      <c r="T2208" t="s">
        <v>32</v>
      </c>
      <c r="U2208" t="s">
        <v>32</v>
      </c>
      <c r="V2208" t="s">
        <v>290</v>
      </c>
      <c r="W2208" t="s">
        <v>2325</v>
      </c>
      <c r="X2208" t="s">
        <v>343</v>
      </c>
      <c r="Y2208" t="s">
        <v>157</v>
      </c>
      <c r="Z2208" t="s">
        <v>32</v>
      </c>
      <c r="AA2208" t="s">
        <v>25381</v>
      </c>
      <c r="AB2208" t="s">
        <v>25382</v>
      </c>
      <c r="AC2208" t="s">
        <v>25383</v>
      </c>
      <c r="AD2208" t="s">
        <v>32</v>
      </c>
      <c r="AE2208" t="s">
        <v>25384</v>
      </c>
      <c r="AF2208" t="s">
        <v>46835</v>
      </c>
    </row>
    <row r="2209" spans="1:32" x14ac:dyDescent="0.2">
      <c r="A2209">
        <v>2204</v>
      </c>
      <c r="B2209" t="s">
        <v>25385</v>
      </c>
      <c r="C2209" t="s">
        <v>25386</v>
      </c>
      <c r="D2209" t="s">
        <v>32</v>
      </c>
      <c r="E2209" t="s">
        <v>25387</v>
      </c>
      <c r="F2209" t="s">
        <v>25388</v>
      </c>
      <c r="G2209" t="s">
        <v>25389</v>
      </c>
      <c r="H2209" t="str">
        <f>"Srp14"</f>
        <v>Srp14</v>
      </c>
      <c r="I2209" t="s">
        <v>32</v>
      </c>
      <c r="J2209" t="s">
        <v>37</v>
      </c>
      <c r="K2209">
        <v>10090</v>
      </c>
      <c r="L2209" s="3" t="str">
        <f>HYPERLINK("http://www.uniprot.org/uniprot/P16254", "P16254")</f>
        <v>P16254</v>
      </c>
      <c r="M2209" t="s">
        <v>25390</v>
      </c>
      <c r="N2209" t="str">
        <f>"Srp14"</f>
        <v>Srp14</v>
      </c>
      <c r="O2209" s="3" t="str">
        <f>HYPERLINK("http://www.informatics.jax.org/marker/MGI:107169", "MGI:107169")</f>
        <v>MGI:107169</v>
      </c>
      <c r="P2209" t="s">
        <v>25391</v>
      </c>
      <c r="Q2209" t="s">
        <v>32</v>
      </c>
      <c r="R2209" t="s">
        <v>21694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1129</v>
      </c>
      <c r="Y2209" t="s">
        <v>618</v>
      </c>
      <c r="Z2209" t="s">
        <v>126</v>
      </c>
      <c r="AA2209" t="s">
        <v>25392</v>
      </c>
      <c r="AB2209" t="s">
        <v>25393</v>
      </c>
      <c r="AC2209" t="s">
        <v>25394</v>
      </c>
      <c r="AD2209" t="s">
        <v>32</v>
      </c>
      <c r="AE2209" t="s">
        <v>25395</v>
      </c>
      <c r="AF2209" t="s">
        <v>46835</v>
      </c>
    </row>
    <row r="2210" spans="1:32" x14ac:dyDescent="0.2">
      <c r="A2210">
        <v>2205</v>
      </c>
      <c r="B2210" t="s">
        <v>25396</v>
      </c>
      <c r="C2210" t="s">
        <v>25397</v>
      </c>
      <c r="D2210" t="s">
        <v>32</v>
      </c>
      <c r="E2210" t="s">
        <v>25398</v>
      </c>
      <c r="F2210" t="s">
        <v>25399</v>
      </c>
      <c r="G2210" t="s">
        <v>32</v>
      </c>
      <c r="H2210" t="str">
        <f>"Tm9sf2"</f>
        <v>Tm9sf2</v>
      </c>
      <c r="I2210" t="s">
        <v>32</v>
      </c>
      <c r="J2210" t="s">
        <v>37</v>
      </c>
      <c r="K2210">
        <v>10090</v>
      </c>
      <c r="L2210" s="3" t="str">
        <f>HYPERLINK("http://www.uniprot.org/uniprot/P58021", "P58021")</f>
        <v>P58021</v>
      </c>
      <c r="M2210" t="s">
        <v>25400</v>
      </c>
      <c r="N2210" t="str">
        <f>"Tm9sf2"</f>
        <v>Tm9sf2</v>
      </c>
      <c r="O2210" s="3" t="str">
        <f>HYPERLINK("http://www.informatics.jax.org/marker/MGI:1915309", "MGI:1915309")</f>
        <v>MGI:1915309</v>
      </c>
      <c r="P2210" t="s">
        <v>25401</v>
      </c>
      <c r="Q2210" t="s">
        <v>32</v>
      </c>
      <c r="R2210" t="s">
        <v>17174</v>
      </c>
      <c r="S2210" t="s">
        <v>32</v>
      </c>
      <c r="T2210" t="s">
        <v>32</v>
      </c>
      <c r="U2210" t="s">
        <v>32</v>
      </c>
      <c r="V2210" t="s">
        <v>3948</v>
      </c>
      <c r="W2210" t="s">
        <v>32</v>
      </c>
      <c r="X2210" t="s">
        <v>32</v>
      </c>
      <c r="Y2210" t="s">
        <v>32</v>
      </c>
      <c r="Z2210" t="s">
        <v>32</v>
      </c>
      <c r="AA2210" t="s">
        <v>25402</v>
      </c>
      <c r="AB2210" t="s">
        <v>25403</v>
      </c>
      <c r="AC2210" t="s">
        <v>32</v>
      </c>
      <c r="AD2210" t="s">
        <v>32</v>
      </c>
      <c r="AE2210" t="s">
        <v>32</v>
      </c>
      <c r="AF2210" t="s">
        <v>46835</v>
      </c>
    </row>
    <row r="2211" spans="1:32" x14ac:dyDescent="0.2">
      <c r="A2211">
        <v>2206</v>
      </c>
      <c r="B2211" t="s">
        <v>25404</v>
      </c>
      <c r="C2211" t="s">
        <v>25405</v>
      </c>
      <c r="D2211" t="s">
        <v>25406</v>
      </c>
      <c r="E2211" t="s">
        <v>25407</v>
      </c>
      <c r="F2211" t="s">
        <v>25408</v>
      </c>
      <c r="G2211" t="s">
        <v>25409</v>
      </c>
      <c r="H2211" t="str">
        <f>"Uhrf1"</f>
        <v>Uhrf1</v>
      </c>
      <c r="I2211" t="s">
        <v>25410</v>
      </c>
      <c r="J2211" t="s">
        <v>37</v>
      </c>
      <c r="K2211">
        <v>10090</v>
      </c>
      <c r="L2211" s="3" t="str">
        <f>HYPERLINK("http://www.uniprot.org/uniprot/Q8VDF2", "Q8VDF2")</f>
        <v>Q8VDF2</v>
      </c>
      <c r="M2211" t="s">
        <v>25411</v>
      </c>
      <c r="N2211" t="str">
        <f>"Uhrf1"</f>
        <v>Uhrf1</v>
      </c>
      <c r="O2211" s="3" t="str">
        <f>HYPERLINK("http://www.informatics.jax.org/marker/MGI:1338889", "MGI:1338889")</f>
        <v>MGI:1338889</v>
      </c>
      <c r="P2211" t="s">
        <v>25412</v>
      </c>
      <c r="Q2211" t="s">
        <v>25413</v>
      </c>
      <c r="R2211" t="s">
        <v>2279</v>
      </c>
      <c r="S2211" t="s">
        <v>41</v>
      </c>
      <c r="T2211" t="s">
        <v>32</v>
      </c>
      <c r="U2211" t="s">
        <v>32</v>
      </c>
      <c r="V2211" t="s">
        <v>3791</v>
      </c>
      <c r="W2211" t="s">
        <v>42</v>
      </c>
      <c r="X2211" t="s">
        <v>25414</v>
      </c>
      <c r="Y2211" t="s">
        <v>516</v>
      </c>
      <c r="Z2211" t="s">
        <v>126</v>
      </c>
      <c r="AA2211" t="s">
        <v>25415</v>
      </c>
      <c r="AB2211" t="s">
        <v>25416</v>
      </c>
      <c r="AC2211" t="s">
        <v>25417</v>
      </c>
      <c r="AD2211" t="s">
        <v>1027</v>
      </c>
      <c r="AE2211" t="s">
        <v>32</v>
      </c>
      <c r="AF2211" t="s">
        <v>46835</v>
      </c>
    </row>
    <row r="2212" spans="1:32" x14ac:dyDescent="0.2">
      <c r="A2212">
        <v>2207</v>
      </c>
      <c r="B2212" t="s">
        <v>25418</v>
      </c>
      <c r="C2212" t="s">
        <v>25419</v>
      </c>
      <c r="D2212" t="s">
        <v>25420</v>
      </c>
      <c r="E2212" t="s">
        <v>25421</v>
      </c>
      <c r="F2212" t="s">
        <v>25422</v>
      </c>
      <c r="G2212" t="s">
        <v>25423</v>
      </c>
      <c r="H2212" t="str">
        <f>"Sfrp2"</f>
        <v>Sfrp2</v>
      </c>
      <c r="I2212" t="s">
        <v>25424</v>
      </c>
      <c r="J2212" t="s">
        <v>37</v>
      </c>
      <c r="K2212">
        <v>10090</v>
      </c>
      <c r="L2212" s="3" t="str">
        <f>HYPERLINK("http://www.uniprot.org/uniprot/P97299", "P97299")</f>
        <v>P97299</v>
      </c>
      <c r="M2212" t="s">
        <v>25425</v>
      </c>
      <c r="N2212" t="str">
        <f>"Sfrp2"</f>
        <v>Sfrp2</v>
      </c>
      <c r="O2212" s="3" t="str">
        <f>HYPERLINK("http://www.informatics.jax.org/marker/MGI:108078", "MGI:108078")</f>
        <v>MGI:108078</v>
      </c>
      <c r="P2212" t="s">
        <v>25426</v>
      </c>
      <c r="Q2212" t="s">
        <v>9743</v>
      </c>
      <c r="R2212" t="s">
        <v>630</v>
      </c>
      <c r="S2212" t="s">
        <v>32</v>
      </c>
      <c r="T2212" t="s">
        <v>32</v>
      </c>
      <c r="U2212" t="s">
        <v>32</v>
      </c>
      <c r="V2212" t="s">
        <v>811</v>
      </c>
      <c r="W2212" t="s">
        <v>32</v>
      </c>
      <c r="X2212" t="s">
        <v>2029</v>
      </c>
      <c r="Y2212" t="s">
        <v>494</v>
      </c>
      <c r="Z2212" t="s">
        <v>32</v>
      </c>
      <c r="AA2212" t="s">
        <v>25427</v>
      </c>
      <c r="AB2212" t="s">
        <v>15830</v>
      </c>
      <c r="AC2212" t="s">
        <v>25428</v>
      </c>
      <c r="AD2212" t="s">
        <v>32</v>
      </c>
      <c r="AE2212" t="s">
        <v>32</v>
      </c>
      <c r="AF2212" t="s">
        <v>46835</v>
      </c>
    </row>
    <row r="2213" spans="1:32" x14ac:dyDescent="0.2">
      <c r="A2213">
        <v>2208</v>
      </c>
      <c r="B2213" t="s">
        <v>25429</v>
      </c>
      <c r="C2213" t="s">
        <v>25430</v>
      </c>
      <c r="D2213" t="s">
        <v>25431</v>
      </c>
      <c r="E2213" t="s">
        <v>25432</v>
      </c>
      <c r="F2213" t="s">
        <v>25433</v>
      </c>
      <c r="G2213" t="s">
        <v>32</v>
      </c>
      <c r="H2213" t="str">
        <f>"Rras"</f>
        <v>Rras</v>
      </c>
      <c r="I2213" t="s">
        <v>32</v>
      </c>
      <c r="J2213" t="s">
        <v>37</v>
      </c>
      <c r="K2213">
        <v>10090</v>
      </c>
      <c r="L2213" s="3" t="str">
        <f>HYPERLINK("http://www.uniprot.org/uniprot/P10833", "P10833")</f>
        <v>P10833</v>
      </c>
      <c r="M2213" t="s">
        <v>25434</v>
      </c>
      <c r="N2213" t="str">
        <f>"Rras"</f>
        <v>Rras</v>
      </c>
      <c r="O2213" s="3" t="str">
        <f>HYPERLINK("http://www.informatics.jax.org/marker/MGI:98179", "MGI:98179")</f>
        <v>MGI:98179</v>
      </c>
      <c r="P2213" t="s">
        <v>25435</v>
      </c>
      <c r="Q2213" t="s">
        <v>32</v>
      </c>
      <c r="R2213" t="s">
        <v>2474</v>
      </c>
      <c r="S2213" t="s">
        <v>32</v>
      </c>
      <c r="T2213" t="s">
        <v>32</v>
      </c>
      <c r="U2213" t="s">
        <v>32</v>
      </c>
      <c r="V2213" t="s">
        <v>32</v>
      </c>
      <c r="W2213" t="s">
        <v>261</v>
      </c>
      <c r="X2213" t="s">
        <v>343</v>
      </c>
      <c r="Y2213" t="s">
        <v>25436</v>
      </c>
      <c r="Z2213" t="s">
        <v>32</v>
      </c>
      <c r="AA2213" t="s">
        <v>25437</v>
      </c>
      <c r="AB2213" t="s">
        <v>25438</v>
      </c>
      <c r="AC2213" t="s">
        <v>25439</v>
      </c>
      <c r="AD2213" t="s">
        <v>32</v>
      </c>
      <c r="AE2213" t="s">
        <v>25440</v>
      </c>
      <c r="AF2213" t="s">
        <v>46835</v>
      </c>
    </row>
    <row r="2214" spans="1:32" x14ac:dyDescent="0.2">
      <c r="A2214">
        <v>2209</v>
      </c>
      <c r="B2214" t="s">
        <v>25441</v>
      </c>
      <c r="C2214" t="s">
        <v>25442</v>
      </c>
      <c r="D2214" t="s">
        <v>25443</v>
      </c>
      <c r="E2214" t="s">
        <v>25444</v>
      </c>
      <c r="F2214" t="s">
        <v>25445</v>
      </c>
      <c r="G2214" t="s">
        <v>25446</v>
      </c>
      <c r="H2214" t="str">
        <f>"Ddah1"</f>
        <v>Ddah1</v>
      </c>
      <c r="I2214" t="s">
        <v>32</v>
      </c>
      <c r="J2214" t="s">
        <v>37</v>
      </c>
      <c r="K2214">
        <v>10090</v>
      </c>
      <c r="L2214" s="3" t="str">
        <f>HYPERLINK("http://www.uniprot.org/uniprot/Q9CWS0", "Q9CWS0")</f>
        <v>Q9CWS0</v>
      </c>
      <c r="M2214" t="s">
        <v>25447</v>
      </c>
      <c r="N2214" t="str">
        <f>"Ddah1"</f>
        <v>Ddah1</v>
      </c>
      <c r="O2214" s="3" t="str">
        <f>HYPERLINK("http://www.informatics.jax.org/marker/MGI:1916469", "MGI:1916469")</f>
        <v>MGI:1916469</v>
      </c>
      <c r="P2214" t="s">
        <v>25448</v>
      </c>
      <c r="Q2214" t="s">
        <v>32</v>
      </c>
      <c r="R2214" t="s">
        <v>32</v>
      </c>
      <c r="S2214" t="s">
        <v>32</v>
      </c>
      <c r="T2214" t="s">
        <v>32</v>
      </c>
      <c r="U2214" t="s">
        <v>32</v>
      </c>
      <c r="V2214" t="s">
        <v>32</v>
      </c>
      <c r="W2214" t="s">
        <v>42</v>
      </c>
      <c r="X2214" t="s">
        <v>343</v>
      </c>
      <c r="Y2214" t="s">
        <v>648</v>
      </c>
      <c r="Z2214" t="s">
        <v>32</v>
      </c>
      <c r="AA2214" t="s">
        <v>25449</v>
      </c>
      <c r="AB2214" t="s">
        <v>3721</v>
      </c>
      <c r="AC2214" t="s">
        <v>25450</v>
      </c>
      <c r="AD2214" t="s">
        <v>32</v>
      </c>
      <c r="AE2214" t="s">
        <v>5064</v>
      </c>
      <c r="AF2214" t="s">
        <v>46835</v>
      </c>
    </row>
    <row r="2215" spans="1:32" x14ac:dyDescent="0.2">
      <c r="A2215">
        <v>2210</v>
      </c>
      <c r="B2215" t="s">
        <v>25451</v>
      </c>
      <c r="C2215" t="s">
        <v>25452</v>
      </c>
      <c r="D2215" t="s">
        <v>32</v>
      </c>
      <c r="E2215" t="s">
        <v>25453</v>
      </c>
      <c r="F2215" t="s">
        <v>25454</v>
      </c>
      <c r="G2215" t="s">
        <v>25455</v>
      </c>
      <c r="H2215" t="str">
        <f>"Pdpk1"</f>
        <v>Pdpk1</v>
      </c>
      <c r="I2215" t="s">
        <v>25456</v>
      </c>
      <c r="J2215" t="s">
        <v>37</v>
      </c>
      <c r="K2215">
        <v>10090</v>
      </c>
      <c r="L2215" s="3" t="str">
        <f>HYPERLINK("http://www.uniprot.org/uniprot/Q9Z2A0", "Q9Z2A0")</f>
        <v>Q9Z2A0</v>
      </c>
      <c r="M2215" t="s">
        <v>25457</v>
      </c>
      <c r="N2215" t="str">
        <f>"Pdpk1"</f>
        <v>Pdpk1</v>
      </c>
      <c r="O2215" s="3" t="str">
        <f>HYPERLINK("http://www.informatics.jax.org/marker/MGI:1338068", "MGI:1338068")</f>
        <v>MGI:1338068</v>
      </c>
      <c r="P2215" t="s">
        <v>25458</v>
      </c>
      <c r="Q2215" t="s">
        <v>4152</v>
      </c>
      <c r="R2215" t="s">
        <v>11087</v>
      </c>
      <c r="S2215" t="s">
        <v>32</v>
      </c>
      <c r="T2215" t="s">
        <v>32</v>
      </c>
      <c r="U2215" t="s">
        <v>32</v>
      </c>
      <c r="V2215" t="s">
        <v>32</v>
      </c>
      <c r="W2215" t="s">
        <v>205</v>
      </c>
      <c r="X2215" t="s">
        <v>5419</v>
      </c>
      <c r="Y2215" t="s">
        <v>1023</v>
      </c>
      <c r="Z2215" t="s">
        <v>32</v>
      </c>
      <c r="AA2215" t="s">
        <v>25459</v>
      </c>
      <c r="AB2215" t="s">
        <v>25460</v>
      </c>
      <c r="AC2215" t="s">
        <v>25461</v>
      </c>
      <c r="AD2215" t="s">
        <v>32</v>
      </c>
      <c r="AE2215" t="s">
        <v>25462</v>
      </c>
      <c r="AF2215" t="s">
        <v>46835</v>
      </c>
    </row>
    <row r="2216" spans="1:32" x14ac:dyDescent="0.2">
      <c r="A2216">
        <v>2211</v>
      </c>
      <c r="B2216" t="s">
        <v>25463</v>
      </c>
      <c r="C2216" t="s">
        <v>25464</v>
      </c>
      <c r="D2216" t="s">
        <v>25465</v>
      </c>
      <c r="E2216" t="s">
        <v>25466</v>
      </c>
      <c r="F2216" t="s">
        <v>25467</v>
      </c>
      <c r="G2216" t="s">
        <v>25468</v>
      </c>
      <c r="H2216" t="str">
        <f>"Prmt7"</f>
        <v>Prmt7</v>
      </c>
      <c r="I2216" t="s">
        <v>25469</v>
      </c>
      <c r="J2216" t="s">
        <v>37</v>
      </c>
      <c r="K2216">
        <v>10090</v>
      </c>
      <c r="L2216" s="3" t="str">
        <f>HYPERLINK("http://www.uniprot.org/uniprot/Q922X9", "Q922X9")</f>
        <v>Q922X9</v>
      </c>
      <c r="M2216" t="s">
        <v>25470</v>
      </c>
      <c r="N2216" t="str">
        <f>"Prmt7"</f>
        <v>Prmt7</v>
      </c>
      <c r="O2216" s="3" t="str">
        <f>HYPERLINK("http://www.informatics.jax.org/marker/MGI:2384879", "MGI:2384879")</f>
        <v>MGI:2384879</v>
      </c>
      <c r="P2216" t="s">
        <v>25471</v>
      </c>
      <c r="Q2216" t="s">
        <v>13865</v>
      </c>
      <c r="R2216" t="s">
        <v>40</v>
      </c>
      <c r="S2216" t="s">
        <v>32</v>
      </c>
      <c r="T2216" t="s">
        <v>32</v>
      </c>
      <c r="U2216" t="s">
        <v>32</v>
      </c>
      <c r="V2216" t="s">
        <v>55</v>
      </c>
      <c r="W2216" t="s">
        <v>1705</v>
      </c>
      <c r="X2216" t="s">
        <v>17918</v>
      </c>
      <c r="Y2216" t="s">
        <v>175</v>
      </c>
      <c r="Z2216" t="s">
        <v>126</v>
      </c>
      <c r="AA2216" t="s">
        <v>25472</v>
      </c>
      <c r="AB2216" t="s">
        <v>25473</v>
      </c>
      <c r="AC2216" t="s">
        <v>25474</v>
      </c>
      <c r="AD2216" t="s">
        <v>32</v>
      </c>
      <c r="AE2216" t="s">
        <v>25475</v>
      </c>
      <c r="AF2216" t="s">
        <v>46835</v>
      </c>
    </row>
    <row r="2217" spans="1:32" x14ac:dyDescent="0.2">
      <c r="A2217">
        <v>2212</v>
      </c>
      <c r="B2217" t="s">
        <v>25476</v>
      </c>
      <c r="C2217" t="s">
        <v>25477</v>
      </c>
      <c r="D2217" t="s">
        <v>25478</v>
      </c>
      <c r="E2217" t="s">
        <v>25479</v>
      </c>
      <c r="F2217" t="s">
        <v>25480</v>
      </c>
      <c r="G2217" t="s">
        <v>25481</v>
      </c>
      <c r="H2217" t="str">
        <f>"Mccc1"</f>
        <v>Mccc1</v>
      </c>
      <c r="I2217" t="s">
        <v>25482</v>
      </c>
      <c r="J2217" t="s">
        <v>37</v>
      </c>
      <c r="K2217">
        <v>10090</v>
      </c>
      <c r="L2217" s="3" t="str">
        <f>HYPERLINK("http://www.uniprot.org/uniprot/Q99MR8", "Q99MR8")</f>
        <v>Q99MR8</v>
      </c>
      <c r="M2217" t="s">
        <v>25483</v>
      </c>
      <c r="N2217" t="str">
        <f>"Mccc1"</f>
        <v>Mccc1</v>
      </c>
      <c r="O2217" s="3" t="str">
        <f>HYPERLINK("http://www.informatics.jax.org/marker/MGI:1919289", "MGI:1919289")</f>
        <v>MGI:1919289</v>
      </c>
      <c r="P2217" t="s">
        <v>25484</v>
      </c>
      <c r="Q2217" t="s">
        <v>32</v>
      </c>
      <c r="R2217" t="s">
        <v>1038</v>
      </c>
      <c r="S2217" t="s">
        <v>32</v>
      </c>
      <c r="T2217" t="s">
        <v>32</v>
      </c>
      <c r="U2217" t="s">
        <v>32</v>
      </c>
      <c r="V2217" t="s">
        <v>1039</v>
      </c>
      <c r="W2217" t="s">
        <v>25485</v>
      </c>
      <c r="X2217" t="s">
        <v>1022</v>
      </c>
      <c r="Y2217" t="s">
        <v>78</v>
      </c>
      <c r="Z2217" t="s">
        <v>32</v>
      </c>
      <c r="AA2217" t="s">
        <v>25486</v>
      </c>
      <c r="AB2217" t="s">
        <v>25487</v>
      </c>
      <c r="AC2217" t="s">
        <v>25488</v>
      </c>
      <c r="AD2217" t="s">
        <v>25489</v>
      </c>
      <c r="AE2217" t="s">
        <v>25490</v>
      </c>
      <c r="AF2217" t="s">
        <v>46835</v>
      </c>
    </row>
    <row r="2218" spans="1:32" x14ac:dyDescent="0.2">
      <c r="A2218">
        <v>2213</v>
      </c>
      <c r="B2218" t="s">
        <v>25491</v>
      </c>
      <c r="C2218" t="s">
        <v>25492</v>
      </c>
      <c r="D2218" t="s">
        <v>32</v>
      </c>
      <c r="E2218" t="s">
        <v>25493</v>
      </c>
      <c r="F2218" t="s">
        <v>25494</v>
      </c>
      <c r="G2218" t="s">
        <v>32</v>
      </c>
      <c r="H2218" t="str">
        <f>"Ssbp1"</f>
        <v>Ssbp1</v>
      </c>
      <c r="I2218" t="s">
        <v>32</v>
      </c>
      <c r="J2218" t="s">
        <v>37</v>
      </c>
      <c r="K2218">
        <v>10090</v>
      </c>
      <c r="L2218" s="3" t="str">
        <f>HYPERLINK("http://www.uniprot.org/uniprot/Q9CYR0", "Q9CYR0")</f>
        <v>Q9CYR0</v>
      </c>
      <c r="M2218" t="s">
        <v>25495</v>
      </c>
      <c r="N2218" t="str">
        <f>"Ssbp1"</f>
        <v>Ssbp1</v>
      </c>
      <c r="O2218" s="3" t="str">
        <f>HYPERLINK("http://www.informatics.jax.org/marker/MGI:1920040", "MGI:1920040")</f>
        <v>MGI:1920040</v>
      </c>
      <c r="P2218" t="s">
        <v>25496</v>
      </c>
      <c r="Q2218" t="s">
        <v>24093</v>
      </c>
      <c r="R2218" t="s">
        <v>8647</v>
      </c>
      <c r="S2218" t="s">
        <v>32</v>
      </c>
      <c r="T2218" t="s">
        <v>32</v>
      </c>
      <c r="U2218" t="s">
        <v>32</v>
      </c>
      <c r="V2218" t="s">
        <v>1039</v>
      </c>
      <c r="W2218" t="s">
        <v>32</v>
      </c>
      <c r="X2218" t="s">
        <v>247</v>
      </c>
      <c r="Y2218" t="s">
        <v>157</v>
      </c>
      <c r="Z2218" t="s">
        <v>32</v>
      </c>
      <c r="AA2218" t="s">
        <v>25497</v>
      </c>
      <c r="AB2218" t="s">
        <v>25498</v>
      </c>
      <c r="AC2218" t="s">
        <v>25499</v>
      </c>
      <c r="AD2218" t="s">
        <v>32</v>
      </c>
      <c r="AE2218" t="s">
        <v>32</v>
      </c>
      <c r="AF2218" t="s">
        <v>46835</v>
      </c>
    </row>
    <row r="2219" spans="1:32" x14ac:dyDescent="0.2">
      <c r="A2219">
        <v>2214</v>
      </c>
      <c r="B2219" t="s">
        <v>25500</v>
      </c>
      <c r="C2219" t="s">
        <v>25501</v>
      </c>
      <c r="D2219" t="s">
        <v>25502</v>
      </c>
      <c r="E2219" t="s">
        <v>25503</v>
      </c>
      <c r="F2219" t="s">
        <v>25504</v>
      </c>
      <c r="G2219" t="s">
        <v>32</v>
      </c>
      <c r="H2219" t="str">
        <f>"Ndufb9"</f>
        <v>Ndufb9</v>
      </c>
      <c r="I2219" t="s">
        <v>32</v>
      </c>
      <c r="J2219" t="s">
        <v>37</v>
      </c>
      <c r="K2219">
        <v>10090</v>
      </c>
      <c r="L2219" s="3" t="str">
        <f>HYPERLINK("http://www.uniprot.org/uniprot/Q9CQJ8", "Q9CQJ8")</f>
        <v>Q9CQJ8</v>
      </c>
      <c r="M2219" t="s">
        <v>25505</v>
      </c>
      <c r="N2219" t="str">
        <f>"Ndufb9"</f>
        <v>Ndufb9</v>
      </c>
      <c r="O2219" s="3" t="str">
        <f>HYPERLINK("http://www.informatics.jax.org/marker/MGI:1913468", "MGI:1913468")</f>
        <v>MGI:1913468</v>
      </c>
      <c r="P2219" t="s">
        <v>16779</v>
      </c>
      <c r="Q2219" t="s">
        <v>6888</v>
      </c>
      <c r="R2219" t="s">
        <v>3858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32</v>
      </c>
      <c r="Y2219" t="s">
        <v>157</v>
      </c>
      <c r="Z2219" t="s">
        <v>126</v>
      </c>
      <c r="AA2219" t="s">
        <v>10890</v>
      </c>
      <c r="AB2219" t="s">
        <v>14222</v>
      </c>
      <c r="AC2219" t="s">
        <v>32</v>
      </c>
      <c r="AD2219" t="s">
        <v>32</v>
      </c>
      <c r="AE2219" t="s">
        <v>10470</v>
      </c>
      <c r="AF2219" t="s">
        <v>46835</v>
      </c>
    </row>
    <row r="2220" spans="1:32" x14ac:dyDescent="0.2">
      <c r="A2220">
        <v>2215</v>
      </c>
      <c r="B2220" t="s">
        <v>25506</v>
      </c>
      <c r="C2220" t="s">
        <v>25507</v>
      </c>
      <c r="D2220" t="s">
        <v>32</v>
      </c>
      <c r="E2220" t="s">
        <v>25508</v>
      </c>
      <c r="F2220" t="s">
        <v>25509</v>
      </c>
      <c r="G2220" t="s">
        <v>25510</v>
      </c>
      <c r="H2220" t="str">
        <f>"Ppl"</f>
        <v>Ppl</v>
      </c>
      <c r="I2220" t="s">
        <v>32</v>
      </c>
      <c r="J2220" t="s">
        <v>37</v>
      </c>
      <c r="K2220">
        <v>10090</v>
      </c>
      <c r="L2220" s="3" t="str">
        <f>HYPERLINK("http://www.uniprot.org/uniprot/Q9R269", "Q9R269")</f>
        <v>Q9R269</v>
      </c>
      <c r="M2220" t="s">
        <v>25511</v>
      </c>
      <c r="N2220" t="str">
        <f>"Ppl"</f>
        <v>Ppl</v>
      </c>
      <c r="O2220" s="3" t="str">
        <f>HYPERLINK("http://www.informatics.jax.org/marker/MGI:1194898", "MGI:1194898")</f>
        <v>MGI:1194898</v>
      </c>
      <c r="P2220" t="s">
        <v>25512</v>
      </c>
      <c r="Q2220" t="s">
        <v>25513</v>
      </c>
      <c r="R2220" t="s">
        <v>3015</v>
      </c>
      <c r="S2220" t="s">
        <v>32</v>
      </c>
      <c r="T2220" t="s">
        <v>32</v>
      </c>
      <c r="U2220" t="s">
        <v>32</v>
      </c>
      <c r="V2220" t="s">
        <v>404</v>
      </c>
      <c r="W2220" t="s">
        <v>32</v>
      </c>
      <c r="X2220" t="s">
        <v>32</v>
      </c>
      <c r="Y2220" t="s">
        <v>618</v>
      </c>
      <c r="Z2220" t="s">
        <v>32</v>
      </c>
      <c r="AA2220" t="s">
        <v>25514</v>
      </c>
      <c r="AB2220" t="s">
        <v>25515</v>
      </c>
      <c r="AC2220" t="s">
        <v>4591</v>
      </c>
      <c r="AD2220" t="s">
        <v>32</v>
      </c>
      <c r="AE2220" t="s">
        <v>25516</v>
      </c>
      <c r="AF2220" t="s">
        <v>46835</v>
      </c>
    </row>
    <row r="2221" spans="1:32" x14ac:dyDescent="0.2">
      <c r="A2221">
        <v>2216</v>
      </c>
      <c r="B2221" t="s">
        <v>25517</v>
      </c>
      <c r="C2221" t="s">
        <v>25518</v>
      </c>
      <c r="D2221" t="s">
        <v>25519</v>
      </c>
      <c r="E2221" t="s">
        <v>25520</v>
      </c>
      <c r="F2221" t="s">
        <v>25521</v>
      </c>
      <c r="G2221" t="s">
        <v>25522</v>
      </c>
      <c r="H2221" t="str">
        <f>"Bmper"</f>
        <v>Bmper</v>
      </c>
      <c r="I2221" t="s">
        <v>25523</v>
      </c>
      <c r="J2221" t="s">
        <v>37</v>
      </c>
      <c r="K2221">
        <v>10090</v>
      </c>
      <c r="L2221" s="3" t="str">
        <f>HYPERLINK("http://www.uniprot.org/uniprot/Q8CJ69", "Q8CJ69")</f>
        <v>Q8CJ69</v>
      </c>
      <c r="M2221" t="s">
        <v>25524</v>
      </c>
      <c r="N2221" t="str">
        <f>"Bmper"</f>
        <v>Bmper</v>
      </c>
      <c r="O2221" s="3" t="str">
        <f>HYPERLINK("http://www.informatics.jax.org/marker/MGI:1920480", "MGI:1920480")</f>
        <v>MGI:1920480</v>
      </c>
      <c r="P2221" t="s">
        <v>25525</v>
      </c>
      <c r="Q2221" t="s">
        <v>32</v>
      </c>
      <c r="R2221" t="s">
        <v>630</v>
      </c>
      <c r="S2221" t="s">
        <v>32</v>
      </c>
      <c r="T2221" t="s">
        <v>32</v>
      </c>
      <c r="U2221" t="s">
        <v>32</v>
      </c>
      <c r="V2221" t="s">
        <v>478</v>
      </c>
      <c r="W2221" t="s">
        <v>32</v>
      </c>
      <c r="X2221" t="s">
        <v>32</v>
      </c>
      <c r="Y2221" t="s">
        <v>5275</v>
      </c>
      <c r="Z2221" t="s">
        <v>32</v>
      </c>
      <c r="AA2221" t="s">
        <v>25526</v>
      </c>
      <c r="AB2221" t="s">
        <v>25527</v>
      </c>
      <c r="AC2221" t="s">
        <v>32</v>
      </c>
      <c r="AD2221" t="s">
        <v>32</v>
      </c>
      <c r="AE2221" t="s">
        <v>32</v>
      </c>
      <c r="AF2221" t="s">
        <v>46835</v>
      </c>
    </row>
    <row r="2222" spans="1:32" x14ac:dyDescent="0.2">
      <c r="A2222">
        <v>2217</v>
      </c>
      <c r="B2222" t="s">
        <v>25528</v>
      </c>
      <c r="C2222" t="s">
        <v>25529</v>
      </c>
      <c r="D2222" t="s">
        <v>25530</v>
      </c>
      <c r="E2222" t="s">
        <v>25531</v>
      </c>
      <c r="F2222" t="s">
        <v>25532</v>
      </c>
      <c r="G2222" t="s">
        <v>32</v>
      </c>
      <c r="H2222" t="str">
        <f>"Cdk4"</f>
        <v>Cdk4</v>
      </c>
      <c r="I2222" t="s">
        <v>25533</v>
      </c>
      <c r="J2222" t="s">
        <v>37</v>
      </c>
      <c r="K2222">
        <v>10090</v>
      </c>
      <c r="L2222" s="3" t="str">
        <f>HYPERLINK("http://www.uniprot.org/uniprot/P30285", "P30285")</f>
        <v>P30285</v>
      </c>
      <c r="M2222" t="s">
        <v>25534</v>
      </c>
      <c r="N2222" t="str">
        <f>"Cdk4"</f>
        <v>Cdk4</v>
      </c>
      <c r="O2222" s="3" t="str">
        <f>HYPERLINK("http://www.informatics.jax.org/marker/MGI:88357", "MGI:88357")</f>
        <v>MGI:88357</v>
      </c>
      <c r="P2222" t="s">
        <v>25535</v>
      </c>
      <c r="Q2222" t="s">
        <v>11508</v>
      </c>
      <c r="R2222" t="s">
        <v>5943</v>
      </c>
      <c r="S2222" t="s">
        <v>32</v>
      </c>
      <c r="T2222" t="s">
        <v>32</v>
      </c>
      <c r="U2222" t="s">
        <v>4682</v>
      </c>
      <c r="V2222" t="s">
        <v>32</v>
      </c>
      <c r="W2222" t="s">
        <v>205</v>
      </c>
      <c r="X2222" t="s">
        <v>5419</v>
      </c>
      <c r="Y2222" t="s">
        <v>157</v>
      </c>
      <c r="Z2222" t="s">
        <v>32</v>
      </c>
      <c r="AA2222" t="s">
        <v>25536</v>
      </c>
      <c r="AB2222" t="s">
        <v>25537</v>
      </c>
      <c r="AC2222" t="s">
        <v>25538</v>
      </c>
      <c r="AD2222" t="s">
        <v>32</v>
      </c>
      <c r="AE2222" t="s">
        <v>25539</v>
      </c>
      <c r="AF2222" t="s">
        <v>46835</v>
      </c>
    </row>
    <row r="2223" spans="1:32" x14ac:dyDescent="0.2">
      <c r="A2223">
        <v>2218</v>
      </c>
      <c r="B2223" t="s">
        <v>25540</v>
      </c>
      <c r="C2223" t="s">
        <v>25541</v>
      </c>
      <c r="D2223" t="s">
        <v>25542</v>
      </c>
      <c r="E2223" t="s">
        <v>25543</v>
      </c>
      <c r="F2223" t="s">
        <v>25544</v>
      </c>
      <c r="G2223" t="s">
        <v>25545</v>
      </c>
      <c r="H2223" t="str">
        <f>"Srsf4"</f>
        <v>Srsf4</v>
      </c>
      <c r="I2223" t="s">
        <v>25546</v>
      </c>
      <c r="J2223" t="s">
        <v>37</v>
      </c>
      <c r="K2223">
        <v>10090</v>
      </c>
      <c r="L2223" s="3" t="str">
        <f>HYPERLINK("http://www.uniprot.org/uniprot/Q8VE97", "Q8VE97")</f>
        <v>Q8VE97</v>
      </c>
      <c r="M2223" t="s">
        <v>25547</v>
      </c>
      <c r="N2223" t="str">
        <f>"Srsf4"</f>
        <v>Srsf4</v>
      </c>
      <c r="O2223" s="3" t="str">
        <f>HYPERLINK("http://www.informatics.jax.org/marker/MGI:1890577", "MGI:1890577")</f>
        <v>MGI:1890577</v>
      </c>
      <c r="P2223" t="s">
        <v>25548</v>
      </c>
      <c r="Q2223" t="s">
        <v>2139</v>
      </c>
      <c r="R2223" t="s">
        <v>2279</v>
      </c>
      <c r="S2223" t="s">
        <v>32</v>
      </c>
      <c r="T2223" t="s">
        <v>32</v>
      </c>
      <c r="U2223" t="s">
        <v>32</v>
      </c>
      <c r="V2223" t="s">
        <v>55</v>
      </c>
      <c r="W2223" t="s">
        <v>32</v>
      </c>
      <c r="X2223" t="s">
        <v>9766</v>
      </c>
      <c r="Y2223" t="s">
        <v>618</v>
      </c>
      <c r="Z2223" t="s">
        <v>32</v>
      </c>
      <c r="AA2223" t="s">
        <v>25549</v>
      </c>
      <c r="AB2223" t="s">
        <v>16760</v>
      </c>
      <c r="AC2223" t="s">
        <v>25550</v>
      </c>
      <c r="AD2223" t="s">
        <v>32</v>
      </c>
      <c r="AE2223" t="s">
        <v>32</v>
      </c>
      <c r="AF2223" t="s">
        <v>46835</v>
      </c>
    </row>
    <row r="2224" spans="1:32" x14ac:dyDescent="0.2">
      <c r="A2224">
        <v>2219</v>
      </c>
      <c r="B2224" t="s">
        <v>25551</v>
      </c>
      <c r="C2224" t="s">
        <v>25552</v>
      </c>
      <c r="D2224" t="s">
        <v>25553</v>
      </c>
      <c r="E2224" t="s">
        <v>25554</v>
      </c>
      <c r="F2224" t="s">
        <v>25555</v>
      </c>
      <c r="G2224" t="s">
        <v>25556</v>
      </c>
      <c r="H2224" t="str">
        <f>"Synrg"</f>
        <v>Synrg</v>
      </c>
      <c r="I2224" t="s">
        <v>25557</v>
      </c>
      <c r="J2224" t="s">
        <v>37</v>
      </c>
      <c r="K2224">
        <v>10090</v>
      </c>
      <c r="L2224" s="3" t="str">
        <f>HYPERLINK("http://www.uniprot.org/uniprot/Q5SV85", "Q5SV85")</f>
        <v>Q5SV85</v>
      </c>
      <c r="M2224" t="s">
        <v>25558</v>
      </c>
      <c r="N2224" t="str">
        <f>"Synrg"</f>
        <v>Synrg</v>
      </c>
      <c r="O2224" s="3" t="str">
        <f>HYPERLINK("http://www.informatics.jax.org/marker/MGI:1354742", "MGI:1354742")</f>
        <v>MGI:1354742</v>
      </c>
      <c r="P2224" t="s">
        <v>25559</v>
      </c>
      <c r="Q2224" t="s">
        <v>910</v>
      </c>
      <c r="R2224" t="s">
        <v>3166</v>
      </c>
      <c r="S2224" t="s">
        <v>41</v>
      </c>
      <c r="T2224" t="s">
        <v>32</v>
      </c>
      <c r="U2224" t="s">
        <v>32</v>
      </c>
      <c r="V2224" t="s">
        <v>137</v>
      </c>
      <c r="W2224" t="s">
        <v>32</v>
      </c>
      <c r="X2224" t="s">
        <v>32</v>
      </c>
      <c r="Y2224" t="s">
        <v>157</v>
      </c>
      <c r="Z2224" t="s">
        <v>32</v>
      </c>
      <c r="AA2224" t="s">
        <v>25560</v>
      </c>
      <c r="AB2224" t="s">
        <v>25561</v>
      </c>
      <c r="AC2224" t="s">
        <v>32</v>
      </c>
      <c r="AD2224" t="s">
        <v>32</v>
      </c>
      <c r="AE2224" t="s">
        <v>32</v>
      </c>
      <c r="AF2224" t="s">
        <v>46835</v>
      </c>
    </row>
    <row r="2225" spans="1:32" x14ac:dyDescent="0.2">
      <c r="A2225">
        <v>2220</v>
      </c>
      <c r="B2225" t="s">
        <v>25562</v>
      </c>
      <c r="C2225" t="s">
        <v>25563</v>
      </c>
      <c r="D2225" t="s">
        <v>32</v>
      </c>
      <c r="E2225" t="s">
        <v>25564</v>
      </c>
      <c r="F2225" t="s">
        <v>25565</v>
      </c>
      <c r="G2225" t="s">
        <v>25566</v>
      </c>
      <c r="H2225" t="str">
        <f>"Dnajc11"</f>
        <v>Dnajc11</v>
      </c>
      <c r="I2225" t="s">
        <v>32</v>
      </c>
      <c r="J2225" t="s">
        <v>37</v>
      </c>
      <c r="K2225">
        <v>10090</v>
      </c>
      <c r="L2225" s="3" t="str">
        <f>HYPERLINK("http://www.uniprot.org/uniprot/Q5U458", "Q5U458")</f>
        <v>Q5U458</v>
      </c>
      <c r="M2225" t="s">
        <v>25567</v>
      </c>
      <c r="N2225" t="str">
        <f>"Dnajc11"</f>
        <v>Dnajc11</v>
      </c>
      <c r="O2225" s="3" t="str">
        <f>HYPERLINK("http://www.informatics.jax.org/marker/MGI:2443386", "MGI:2443386")</f>
        <v>MGI:2443386</v>
      </c>
      <c r="P2225" t="s">
        <v>25568</v>
      </c>
      <c r="Q2225" t="s">
        <v>32</v>
      </c>
      <c r="R2225" t="s">
        <v>4782</v>
      </c>
      <c r="S2225" t="s">
        <v>32</v>
      </c>
      <c r="T2225" t="s">
        <v>32</v>
      </c>
      <c r="U2225" t="s">
        <v>32</v>
      </c>
      <c r="V2225" t="s">
        <v>290</v>
      </c>
      <c r="W2225" t="s">
        <v>32</v>
      </c>
      <c r="X2225" t="s">
        <v>388</v>
      </c>
      <c r="Y2225" t="s">
        <v>157</v>
      </c>
      <c r="Z2225" t="s">
        <v>32</v>
      </c>
      <c r="AA2225" t="s">
        <v>18076</v>
      </c>
      <c r="AB2225" t="s">
        <v>25569</v>
      </c>
      <c r="AC2225" t="s">
        <v>32</v>
      </c>
      <c r="AD2225" t="s">
        <v>32</v>
      </c>
      <c r="AE2225" t="s">
        <v>32</v>
      </c>
      <c r="AF2225" t="s">
        <v>46835</v>
      </c>
    </row>
    <row r="2226" spans="1:32" x14ac:dyDescent="0.2">
      <c r="A2226">
        <v>2221</v>
      </c>
      <c r="B2226" t="s">
        <v>25570</v>
      </c>
      <c r="C2226" t="s">
        <v>25571</v>
      </c>
      <c r="D2226" t="s">
        <v>25572</v>
      </c>
      <c r="E2226" t="s">
        <v>25573</v>
      </c>
      <c r="F2226" t="s">
        <v>25574</v>
      </c>
      <c r="G2226" t="s">
        <v>25575</v>
      </c>
      <c r="H2226" t="str">
        <f>"Erlec1"</f>
        <v>Erlec1</v>
      </c>
      <c r="I2226" t="s">
        <v>32</v>
      </c>
      <c r="J2226" t="s">
        <v>37</v>
      </c>
      <c r="K2226">
        <v>10090</v>
      </c>
      <c r="L2226" s="3" t="str">
        <f>HYPERLINK("http://www.uniprot.org/uniprot/Q8VEH8", "Q8VEH8")</f>
        <v>Q8VEH8</v>
      </c>
      <c r="M2226" t="s">
        <v>25576</v>
      </c>
      <c r="N2226" t="str">
        <f>"Erlec1"</f>
        <v>Erlec1</v>
      </c>
      <c r="O2226" s="3" t="str">
        <f>HYPERLINK("http://www.informatics.jax.org/marker/MGI:1914003", "MGI:1914003")</f>
        <v>MGI:1914003</v>
      </c>
      <c r="P2226" t="s">
        <v>25577</v>
      </c>
      <c r="Q2226" t="s">
        <v>32</v>
      </c>
      <c r="R2226" t="s">
        <v>671</v>
      </c>
      <c r="S2226" t="s">
        <v>32</v>
      </c>
      <c r="T2226" t="s">
        <v>32</v>
      </c>
      <c r="U2226" t="s">
        <v>32</v>
      </c>
      <c r="V2226" t="s">
        <v>478</v>
      </c>
      <c r="W2226" t="s">
        <v>32</v>
      </c>
      <c r="X2226" t="s">
        <v>32</v>
      </c>
      <c r="Y2226" t="s">
        <v>5275</v>
      </c>
      <c r="Z2226" t="s">
        <v>32</v>
      </c>
      <c r="AA2226" t="s">
        <v>25578</v>
      </c>
      <c r="AB2226" t="s">
        <v>15456</v>
      </c>
      <c r="AC2226" t="s">
        <v>2972</v>
      </c>
      <c r="AD2226" t="s">
        <v>32</v>
      </c>
      <c r="AE2226" t="s">
        <v>24146</v>
      </c>
      <c r="AF2226" t="s">
        <v>46835</v>
      </c>
    </row>
    <row r="2227" spans="1:32" x14ac:dyDescent="0.2">
      <c r="A2227">
        <v>2222</v>
      </c>
      <c r="B2227" t="s">
        <v>25579</v>
      </c>
      <c r="C2227" t="s">
        <v>25580</v>
      </c>
      <c r="D2227" t="s">
        <v>32</v>
      </c>
      <c r="E2227" t="s">
        <v>25581</v>
      </c>
      <c r="F2227" t="s">
        <v>25582</v>
      </c>
      <c r="G2227" t="s">
        <v>25583</v>
      </c>
      <c r="H2227" t="str">
        <f>"Acbd6"</f>
        <v>Acbd6</v>
      </c>
      <c r="I2227" t="s">
        <v>32</v>
      </c>
      <c r="J2227" t="s">
        <v>37</v>
      </c>
      <c r="K2227">
        <v>10090</v>
      </c>
      <c r="L2227" s="3" t="str">
        <f>HYPERLINK("http://www.uniprot.org/uniprot/Q9D061", "Q9D061")</f>
        <v>Q9D061</v>
      </c>
      <c r="M2227" t="s">
        <v>25584</v>
      </c>
      <c r="N2227" t="str">
        <f>"Acbd6"</f>
        <v>Acbd6</v>
      </c>
      <c r="O2227" s="3" t="str">
        <f>HYPERLINK("http://www.informatics.jax.org/marker/MGI:1919732", "MGI:1919732")</f>
        <v>MGI:1919732</v>
      </c>
      <c r="P2227" t="s">
        <v>25585</v>
      </c>
      <c r="Q2227" t="s">
        <v>32</v>
      </c>
      <c r="R2227" t="s">
        <v>418</v>
      </c>
      <c r="S2227" t="s">
        <v>41</v>
      </c>
      <c r="T2227" t="s">
        <v>32</v>
      </c>
      <c r="U2227" t="s">
        <v>32</v>
      </c>
      <c r="V2227" t="s">
        <v>912</v>
      </c>
      <c r="W2227" t="s">
        <v>584</v>
      </c>
      <c r="X2227" t="s">
        <v>32</v>
      </c>
      <c r="Y2227" t="s">
        <v>618</v>
      </c>
      <c r="Z2227" t="s">
        <v>32</v>
      </c>
      <c r="AA2227" t="s">
        <v>32</v>
      </c>
      <c r="AB2227" t="s">
        <v>2172</v>
      </c>
      <c r="AC2227" t="s">
        <v>25586</v>
      </c>
      <c r="AD2227" t="s">
        <v>32</v>
      </c>
      <c r="AE2227" t="s">
        <v>4429</v>
      </c>
      <c r="AF2227" t="s">
        <v>46835</v>
      </c>
    </row>
    <row r="2228" spans="1:32" x14ac:dyDescent="0.2">
      <c r="A2228">
        <v>2223</v>
      </c>
      <c r="B2228" t="s">
        <v>25587</v>
      </c>
      <c r="C2228" t="s">
        <v>25588</v>
      </c>
      <c r="D2228" t="s">
        <v>32</v>
      </c>
      <c r="E2228" t="s">
        <v>25589</v>
      </c>
      <c r="F2228" t="s">
        <v>25590</v>
      </c>
      <c r="G2228" t="s">
        <v>25591</v>
      </c>
      <c r="H2228" t="str">
        <f>"Rps27l"</f>
        <v>Rps27l</v>
      </c>
      <c r="I2228" t="s">
        <v>32</v>
      </c>
      <c r="J2228" t="s">
        <v>37</v>
      </c>
      <c r="K2228">
        <v>10090</v>
      </c>
      <c r="L2228" s="3" t="str">
        <f>HYPERLINK("http://www.uniprot.org/uniprot/Q6ZWY3", "Q6ZWY3")</f>
        <v>Q6ZWY3</v>
      </c>
      <c r="M2228" t="s">
        <v>25592</v>
      </c>
      <c r="N2228" t="str">
        <f>"Rps27l"</f>
        <v>Rps27l</v>
      </c>
      <c r="O2228" s="3" t="str">
        <f>HYPERLINK("http://www.informatics.jax.org/marker/MGI:1915191", "MGI:1915191")</f>
        <v>MGI:1915191</v>
      </c>
      <c r="P2228" t="s">
        <v>25593</v>
      </c>
      <c r="Q2228" t="s">
        <v>32</v>
      </c>
      <c r="R2228" t="s">
        <v>32</v>
      </c>
      <c r="S2228" t="s">
        <v>32</v>
      </c>
      <c r="T2228" t="s">
        <v>32</v>
      </c>
      <c r="U2228" t="s">
        <v>32</v>
      </c>
      <c r="V2228" t="s">
        <v>446</v>
      </c>
      <c r="W2228" t="s">
        <v>42</v>
      </c>
      <c r="X2228" t="s">
        <v>447</v>
      </c>
      <c r="Y2228" t="s">
        <v>32</v>
      </c>
      <c r="Z2228" t="s">
        <v>126</v>
      </c>
      <c r="AA2228" t="s">
        <v>25594</v>
      </c>
      <c r="AB2228" t="s">
        <v>25595</v>
      </c>
      <c r="AC2228" t="s">
        <v>25596</v>
      </c>
      <c r="AD2228" t="s">
        <v>32</v>
      </c>
      <c r="AE2228" t="s">
        <v>691</v>
      </c>
      <c r="AF2228" t="s">
        <v>46835</v>
      </c>
    </row>
    <row r="2229" spans="1:32" x14ac:dyDescent="0.2">
      <c r="A2229">
        <v>2224</v>
      </c>
      <c r="B2229" t="s">
        <v>25597</v>
      </c>
      <c r="C2229" t="s">
        <v>25598</v>
      </c>
      <c r="D2229" t="s">
        <v>32</v>
      </c>
      <c r="E2229" t="s">
        <v>25599</v>
      </c>
      <c r="F2229" t="s">
        <v>25600</v>
      </c>
      <c r="G2229" t="s">
        <v>25601</v>
      </c>
      <c r="H2229" t="str">
        <f>"Rsl1d1"</f>
        <v>Rsl1d1</v>
      </c>
      <c r="I2229" t="s">
        <v>32</v>
      </c>
      <c r="J2229" t="s">
        <v>37</v>
      </c>
      <c r="K2229">
        <v>10090</v>
      </c>
      <c r="L2229" s="3" t="str">
        <f>HYPERLINK("http://www.uniprot.org/uniprot/Q8BVY0", "Q8BVY0")</f>
        <v>Q8BVY0</v>
      </c>
      <c r="M2229" t="s">
        <v>25602</v>
      </c>
      <c r="N2229" t="str">
        <f>"Rsl1d1"</f>
        <v>Rsl1d1</v>
      </c>
      <c r="O2229" s="3" t="str">
        <f>HYPERLINK("http://www.informatics.jax.org/marker/MGI:1913659", "MGI:1913659")</f>
        <v>MGI:1913659</v>
      </c>
      <c r="P2229" t="s">
        <v>25603</v>
      </c>
      <c r="Q2229" t="s">
        <v>32</v>
      </c>
      <c r="R2229" t="s">
        <v>2279</v>
      </c>
      <c r="S2229" t="s">
        <v>32</v>
      </c>
      <c r="T2229" t="s">
        <v>32</v>
      </c>
      <c r="U2229" t="s">
        <v>32</v>
      </c>
      <c r="V2229" t="s">
        <v>290</v>
      </c>
      <c r="W2229" t="s">
        <v>32</v>
      </c>
      <c r="X2229" t="s">
        <v>32</v>
      </c>
      <c r="Y2229" t="s">
        <v>516</v>
      </c>
      <c r="Z2229" t="s">
        <v>32</v>
      </c>
      <c r="AA2229" t="s">
        <v>25604</v>
      </c>
      <c r="AB2229" t="s">
        <v>25605</v>
      </c>
      <c r="AC2229" t="s">
        <v>25606</v>
      </c>
      <c r="AD2229" t="s">
        <v>32</v>
      </c>
      <c r="AE2229" t="s">
        <v>32</v>
      </c>
      <c r="AF2229" t="s">
        <v>46835</v>
      </c>
    </row>
    <row r="2230" spans="1:32" x14ac:dyDescent="0.2">
      <c r="A2230">
        <v>2225</v>
      </c>
      <c r="B2230" t="s">
        <v>25607</v>
      </c>
      <c r="C2230" t="s">
        <v>25608</v>
      </c>
      <c r="D2230" t="s">
        <v>25609</v>
      </c>
      <c r="E2230" t="s">
        <v>25610</v>
      </c>
      <c r="F2230" t="s">
        <v>25611</v>
      </c>
      <c r="G2230" t="s">
        <v>32</v>
      </c>
      <c r="H2230" t="str">
        <f>"Rwdd1"</f>
        <v>Rwdd1</v>
      </c>
      <c r="I2230" t="s">
        <v>25612</v>
      </c>
      <c r="J2230" t="s">
        <v>37</v>
      </c>
      <c r="K2230">
        <v>10090</v>
      </c>
      <c r="L2230" s="3" t="str">
        <f>HYPERLINK("http://www.uniprot.org/uniprot/Q9CQK7", "Q9CQK7")</f>
        <v>Q9CQK7</v>
      </c>
      <c r="M2230" t="s">
        <v>25613</v>
      </c>
      <c r="N2230" t="str">
        <f>"Rwdd1"</f>
        <v>Rwdd1</v>
      </c>
      <c r="O2230" s="3" t="str">
        <f>HYPERLINK("http://www.informatics.jax.org/marker/MGI:1913771", "MGI:1913771")</f>
        <v>MGI:1913771</v>
      </c>
      <c r="P2230" t="s">
        <v>157</v>
      </c>
      <c r="Q2230" t="s">
        <v>32</v>
      </c>
      <c r="R2230" t="s">
        <v>32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32</v>
      </c>
      <c r="Y2230" t="s">
        <v>157</v>
      </c>
      <c r="Z2230" t="s">
        <v>32</v>
      </c>
      <c r="AA2230" t="s">
        <v>25614</v>
      </c>
      <c r="AB2230" t="s">
        <v>25615</v>
      </c>
      <c r="AC2230" t="s">
        <v>32</v>
      </c>
      <c r="AD2230" t="s">
        <v>32</v>
      </c>
      <c r="AE2230" t="s">
        <v>32</v>
      </c>
      <c r="AF2230" t="s">
        <v>46835</v>
      </c>
    </row>
    <row r="2231" spans="1:32" x14ac:dyDescent="0.2">
      <c r="A2231">
        <v>2226</v>
      </c>
      <c r="B2231" t="s">
        <v>25616</v>
      </c>
      <c r="C2231" t="s">
        <v>25617</v>
      </c>
      <c r="D2231" t="s">
        <v>32</v>
      </c>
      <c r="E2231" t="s">
        <v>25618</v>
      </c>
      <c r="F2231" t="s">
        <v>25619</v>
      </c>
      <c r="G2231" t="s">
        <v>32</v>
      </c>
      <c r="H2231" t="str">
        <f>"Prkar2a"</f>
        <v>Prkar2a</v>
      </c>
      <c r="I2231" t="s">
        <v>32</v>
      </c>
      <c r="J2231" t="s">
        <v>37</v>
      </c>
      <c r="K2231">
        <v>10090</v>
      </c>
      <c r="L2231" s="3" t="str">
        <f>HYPERLINK("http://www.uniprot.org/uniprot/P12367", "P12367")</f>
        <v>P12367</v>
      </c>
      <c r="M2231" t="s">
        <v>25620</v>
      </c>
      <c r="N2231" t="str">
        <f>"Prkar2a"</f>
        <v>Prkar2a</v>
      </c>
      <c r="O2231" s="3" t="str">
        <f>HYPERLINK("http://www.informatics.jax.org/marker/MGI:108025", "MGI:108025")</f>
        <v>MGI:108025</v>
      </c>
      <c r="P2231" t="s">
        <v>25621</v>
      </c>
      <c r="Q2231" t="s">
        <v>32</v>
      </c>
      <c r="R2231" t="s">
        <v>222</v>
      </c>
      <c r="S2231" t="s">
        <v>32</v>
      </c>
      <c r="T2231" t="s">
        <v>32</v>
      </c>
      <c r="U2231" t="s">
        <v>32</v>
      </c>
      <c r="V2231" t="s">
        <v>55</v>
      </c>
      <c r="W2231" t="s">
        <v>10938</v>
      </c>
      <c r="X2231" t="s">
        <v>32</v>
      </c>
      <c r="Y2231" t="s">
        <v>157</v>
      </c>
      <c r="Z2231" t="s">
        <v>126</v>
      </c>
      <c r="AA2231" t="s">
        <v>25622</v>
      </c>
      <c r="AB2231" t="s">
        <v>25623</v>
      </c>
      <c r="AC2231" t="s">
        <v>25624</v>
      </c>
      <c r="AD2231" t="s">
        <v>32</v>
      </c>
      <c r="AE2231" t="s">
        <v>10942</v>
      </c>
      <c r="AF2231" t="s">
        <v>46835</v>
      </c>
    </row>
    <row r="2232" spans="1:32" x14ac:dyDescent="0.2">
      <c r="A2232">
        <v>2227</v>
      </c>
      <c r="B2232" t="s">
        <v>25625</v>
      </c>
      <c r="C2232" t="s">
        <v>25626</v>
      </c>
      <c r="D2232" t="s">
        <v>32</v>
      </c>
      <c r="E2232" t="s">
        <v>25627</v>
      </c>
      <c r="F2232" t="s">
        <v>25628</v>
      </c>
      <c r="G2232" t="s">
        <v>25629</v>
      </c>
      <c r="H2232" t="str">
        <f>"Gtpbp1"</f>
        <v>Gtpbp1</v>
      </c>
      <c r="I2232" t="s">
        <v>25630</v>
      </c>
      <c r="J2232" t="s">
        <v>37</v>
      </c>
      <c r="K2232">
        <v>10090</v>
      </c>
      <c r="L2232" s="3" t="str">
        <f>HYPERLINK("http://www.uniprot.org/uniprot/O08582", "O08582")</f>
        <v>O08582</v>
      </c>
      <c r="M2232" t="s">
        <v>25631</v>
      </c>
      <c r="N2232" t="str">
        <f>"Gtpbp1"</f>
        <v>Gtpbp1</v>
      </c>
      <c r="O2232" s="3" t="str">
        <f>HYPERLINK("http://www.informatics.jax.org/marker/MGI:109443", "MGI:109443")</f>
        <v>MGI:109443</v>
      </c>
      <c r="P2232" t="s">
        <v>25632</v>
      </c>
      <c r="Q2232" t="s">
        <v>32</v>
      </c>
      <c r="R2232" t="s">
        <v>418</v>
      </c>
      <c r="S2232" t="s">
        <v>32</v>
      </c>
      <c r="T2232" t="s">
        <v>32</v>
      </c>
      <c r="U2232" t="s">
        <v>32</v>
      </c>
      <c r="V2232" t="s">
        <v>32</v>
      </c>
      <c r="W2232" t="s">
        <v>261</v>
      </c>
      <c r="X2232" t="s">
        <v>32</v>
      </c>
      <c r="Y2232" t="s">
        <v>618</v>
      </c>
      <c r="Z2232" t="s">
        <v>126</v>
      </c>
      <c r="AA2232" t="s">
        <v>25633</v>
      </c>
      <c r="AB2232" t="s">
        <v>25634</v>
      </c>
      <c r="AC2232" t="s">
        <v>4572</v>
      </c>
      <c r="AD2232" t="s">
        <v>32</v>
      </c>
      <c r="AE2232" t="s">
        <v>32</v>
      </c>
      <c r="AF2232" t="s">
        <v>46835</v>
      </c>
    </row>
    <row r="2233" spans="1:32" x14ac:dyDescent="0.2">
      <c r="A2233">
        <v>2228</v>
      </c>
      <c r="B2233" t="s">
        <v>25635</v>
      </c>
      <c r="C2233" t="s">
        <v>25636</v>
      </c>
      <c r="D2233" t="s">
        <v>25637</v>
      </c>
      <c r="E2233" t="s">
        <v>25638</v>
      </c>
      <c r="F2233" t="s">
        <v>25639</v>
      </c>
      <c r="G2233" t="s">
        <v>25640</v>
      </c>
      <c r="H2233" t="str">
        <f>"Epb41l5"</f>
        <v>Epb41l5</v>
      </c>
      <c r="I2233" t="s">
        <v>25641</v>
      </c>
      <c r="J2233" t="s">
        <v>37</v>
      </c>
      <c r="K2233">
        <v>10090</v>
      </c>
      <c r="L2233" s="3" t="str">
        <f>HYPERLINK("http://www.uniprot.org/uniprot/Q8BGS1", "Q8BGS1")</f>
        <v>Q8BGS1</v>
      </c>
      <c r="M2233" t="s">
        <v>25642</v>
      </c>
      <c r="N2233" t="str">
        <f>"Epb41l5"</f>
        <v>Epb41l5</v>
      </c>
      <c r="O2233" s="3" t="str">
        <f>HYPERLINK("http://www.informatics.jax.org/marker/MGI:103006", "MGI:103006")</f>
        <v>MGI:103006</v>
      </c>
      <c r="P2233" t="s">
        <v>25643</v>
      </c>
      <c r="Q2233" t="s">
        <v>32</v>
      </c>
      <c r="R2233" t="s">
        <v>23106</v>
      </c>
      <c r="S2233" t="s">
        <v>41</v>
      </c>
      <c r="T2233" t="s">
        <v>32</v>
      </c>
      <c r="U2233" t="s">
        <v>32</v>
      </c>
      <c r="V2233" t="s">
        <v>32</v>
      </c>
      <c r="W2233" t="s">
        <v>32</v>
      </c>
      <c r="X2233" t="s">
        <v>32</v>
      </c>
      <c r="Y2233" t="s">
        <v>175</v>
      </c>
      <c r="Z2233" t="s">
        <v>32</v>
      </c>
      <c r="AA2233" t="s">
        <v>25644</v>
      </c>
      <c r="AB2233" t="s">
        <v>25645</v>
      </c>
      <c r="AC2233" t="s">
        <v>25646</v>
      </c>
      <c r="AD2233" t="s">
        <v>32</v>
      </c>
      <c r="AE2233" t="s">
        <v>2108</v>
      </c>
      <c r="AF2233" t="s">
        <v>46835</v>
      </c>
    </row>
    <row r="2234" spans="1:32" x14ac:dyDescent="0.2">
      <c r="A2234">
        <v>2229</v>
      </c>
      <c r="B2234" t="s">
        <v>25647</v>
      </c>
      <c r="C2234" t="s">
        <v>25648</v>
      </c>
      <c r="D2234" t="s">
        <v>25649</v>
      </c>
      <c r="E2234" t="s">
        <v>25650</v>
      </c>
      <c r="F2234" t="s">
        <v>25651</v>
      </c>
      <c r="G2234" t="s">
        <v>32</v>
      </c>
      <c r="H2234" t="str">
        <f>"Hint2"</f>
        <v>Hint2</v>
      </c>
      <c r="I2234" t="s">
        <v>32</v>
      </c>
      <c r="J2234" t="s">
        <v>37</v>
      </c>
      <c r="K2234">
        <v>10090</v>
      </c>
      <c r="L2234" s="3" t="str">
        <f>HYPERLINK("http://www.uniprot.org/uniprot/Q9D0S9", "Q9D0S9")</f>
        <v>Q9D0S9</v>
      </c>
      <c r="M2234" t="s">
        <v>25652</v>
      </c>
      <c r="N2234" t="str">
        <f>"Hint2"</f>
        <v>Hint2</v>
      </c>
      <c r="O2234" s="3" t="str">
        <f>HYPERLINK("http://www.informatics.jax.org/marker/MGI:1916167", "MGI:1916167")</f>
        <v>MGI:1916167</v>
      </c>
      <c r="P2234" t="s">
        <v>25653</v>
      </c>
      <c r="Q2234" t="s">
        <v>25654</v>
      </c>
      <c r="R2234" t="s">
        <v>1038</v>
      </c>
      <c r="S2234" t="s">
        <v>32</v>
      </c>
      <c r="T2234" t="s">
        <v>32</v>
      </c>
      <c r="U2234" t="s">
        <v>32</v>
      </c>
      <c r="V2234" t="s">
        <v>1039</v>
      </c>
      <c r="W2234" t="s">
        <v>5169</v>
      </c>
      <c r="X2234" t="s">
        <v>343</v>
      </c>
      <c r="Y2234" t="s">
        <v>78</v>
      </c>
      <c r="Z2234" t="s">
        <v>32</v>
      </c>
      <c r="AA2234" t="s">
        <v>25655</v>
      </c>
      <c r="AB2234" t="s">
        <v>3490</v>
      </c>
      <c r="AC2234" t="s">
        <v>25656</v>
      </c>
      <c r="AD2234" t="s">
        <v>32</v>
      </c>
      <c r="AE2234" t="s">
        <v>15538</v>
      </c>
      <c r="AF2234" t="s">
        <v>46835</v>
      </c>
    </row>
    <row r="2235" spans="1:32" x14ac:dyDescent="0.2">
      <c r="A2235">
        <v>2230</v>
      </c>
      <c r="B2235" t="s">
        <v>25657</v>
      </c>
      <c r="C2235" t="s">
        <v>25658</v>
      </c>
      <c r="D2235" t="s">
        <v>25659</v>
      </c>
      <c r="E2235" t="s">
        <v>25660</v>
      </c>
      <c r="F2235" t="s">
        <v>25661</v>
      </c>
      <c r="G2235" t="s">
        <v>25662</v>
      </c>
      <c r="H2235" t="str">
        <f>"Cbr4"</f>
        <v>Cbr4</v>
      </c>
      <c r="I2235" t="s">
        <v>32</v>
      </c>
      <c r="J2235" t="s">
        <v>37</v>
      </c>
      <c r="K2235">
        <v>10090</v>
      </c>
      <c r="L2235" s="3" t="str">
        <f>HYPERLINK("http://www.uniprot.org/uniprot/Q91VT4", "Q91VT4")</f>
        <v>Q91VT4</v>
      </c>
      <c r="M2235" t="s">
        <v>25663</v>
      </c>
      <c r="N2235" t="str">
        <f>"Cbr4"</f>
        <v>Cbr4</v>
      </c>
      <c r="O2235" s="3" t="str">
        <f>HYPERLINK("http://www.informatics.jax.org/marker/MGI:2384567", "MGI:2384567")</f>
        <v>MGI:2384567</v>
      </c>
      <c r="P2235" t="s">
        <v>25664</v>
      </c>
      <c r="Q2235" t="s">
        <v>1249</v>
      </c>
      <c r="R2235" t="s">
        <v>1038</v>
      </c>
      <c r="S2235" t="s">
        <v>32</v>
      </c>
      <c r="T2235" t="s">
        <v>32</v>
      </c>
      <c r="U2235" t="s">
        <v>32</v>
      </c>
      <c r="V2235" t="s">
        <v>32</v>
      </c>
      <c r="W2235" t="s">
        <v>25665</v>
      </c>
      <c r="X2235" t="s">
        <v>600</v>
      </c>
      <c r="Y2235" t="s">
        <v>78</v>
      </c>
      <c r="Z2235" t="s">
        <v>32</v>
      </c>
      <c r="AA2235" t="s">
        <v>25666</v>
      </c>
      <c r="AB2235" t="s">
        <v>25667</v>
      </c>
      <c r="AC2235" t="s">
        <v>25668</v>
      </c>
      <c r="AD2235" t="s">
        <v>1256</v>
      </c>
      <c r="AE2235" t="s">
        <v>25669</v>
      </c>
      <c r="AF2235" t="s">
        <v>46835</v>
      </c>
    </row>
    <row r="2236" spans="1:32" x14ac:dyDescent="0.2">
      <c r="A2236">
        <v>2231</v>
      </c>
      <c r="B2236" t="s">
        <v>25670</v>
      </c>
      <c r="C2236" t="s">
        <v>25671</v>
      </c>
      <c r="D2236" t="s">
        <v>25672</v>
      </c>
      <c r="E2236" t="s">
        <v>25673</v>
      </c>
      <c r="F2236" t="s">
        <v>25674</v>
      </c>
      <c r="G2236" t="s">
        <v>25675</v>
      </c>
      <c r="H2236" t="str">
        <f>"Mrps31"</f>
        <v>Mrps31</v>
      </c>
      <c r="I2236" t="s">
        <v>25676</v>
      </c>
      <c r="J2236" t="s">
        <v>37</v>
      </c>
      <c r="K2236">
        <v>10090</v>
      </c>
      <c r="L2236" s="3" t="str">
        <f>HYPERLINK("http://www.uniprot.org/uniprot/Q61733", "Q61733")</f>
        <v>Q61733</v>
      </c>
      <c r="M2236" t="s">
        <v>25677</v>
      </c>
      <c r="N2236" t="str">
        <f>"Mrps31"</f>
        <v>Mrps31</v>
      </c>
      <c r="O2236" s="3" t="str">
        <f>HYPERLINK("http://www.informatics.jax.org/marker/MGI:1913153", "MGI:1913153")</f>
        <v>MGI:1913153</v>
      </c>
      <c r="P2236" t="s">
        <v>24765</v>
      </c>
      <c r="Q2236" t="s">
        <v>32</v>
      </c>
      <c r="R2236" t="s">
        <v>1038</v>
      </c>
      <c r="S2236" t="s">
        <v>32</v>
      </c>
      <c r="T2236" t="s">
        <v>32</v>
      </c>
      <c r="U2236" t="s">
        <v>32</v>
      </c>
      <c r="V2236" t="s">
        <v>1039</v>
      </c>
      <c r="W2236" t="s">
        <v>32</v>
      </c>
      <c r="X2236" t="s">
        <v>447</v>
      </c>
      <c r="Y2236" t="s">
        <v>32</v>
      </c>
      <c r="Z2236" t="s">
        <v>32</v>
      </c>
      <c r="AA2236" t="s">
        <v>23519</v>
      </c>
      <c r="AB2236" t="s">
        <v>25678</v>
      </c>
      <c r="AC2236" t="s">
        <v>25679</v>
      </c>
      <c r="AD2236" t="s">
        <v>32</v>
      </c>
      <c r="AE2236" t="s">
        <v>17271</v>
      </c>
      <c r="AF2236" t="s">
        <v>46835</v>
      </c>
    </row>
    <row r="2237" spans="1:32" x14ac:dyDescent="0.2">
      <c r="A2237">
        <v>2232</v>
      </c>
      <c r="B2237" t="s">
        <v>25680</v>
      </c>
      <c r="C2237" t="s">
        <v>25681</v>
      </c>
      <c r="D2237" t="s">
        <v>25682</v>
      </c>
      <c r="E2237" t="s">
        <v>25683</v>
      </c>
      <c r="F2237" t="s">
        <v>25684</v>
      </c>
      <c r="G2237" t="s">
        <v>25685</v>
      </c>
      <c r="H2237" t="str">
        <f>"Arhgap31"</f>
        <v>Arhgap31</v>
      </c>
      <c r="I2237" t="s">
        <v>25686</v>
      </c>
      <c r="J2237" t="s">
        <v>37</v>
      </c>
      <c r="K2237">
        <v>10090</v>
      </c>
      <c r="L2237" s="3" t="str">
        <f>HYPERLINK("http://www.uniprot.org/uniprot/A6X8Z5", "A6X8Z5")</f>
        <v>A6X8Z5</v>
      </c>
      <c r="M2237" t="s">
        <v>25687</v>
      </c>
      <c r="N2237" t="str">
        <f>"Arhgap31"</f>
        <v>Arhgap31</v>
      </c>
      <c r="O2237" s="3" t="str">
        <f>HYPERLINK("http://www.informatics.jax.org/marker/MGI:1333857", "MGI:1333857")</f>
        <v>MGI:1333857</v>
      </c>
      <c r="P2237" t="s">
        <v>25688</v>
      </c>
      <c r="Q2237" t="s">
        <v>32</v>
      </c>
      <c r="R2237" t="s">
        <v>25689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715</v>
      </c>
      <c r="Y2237" t="s">
        <v>618</v>
      </c>
      <c r="Z2237" t="s">
        <v>32</v>
      </c>
      <c r="AA2237" t="s">
        <v>25690</v>
      </c>
      <c r="AB2237" t="s">
        <v>25691</v>
      </c>
      <c r="AC2237" t="s">
        <v>25692</v>
      </c>
      <c r="AD2237" t="s">
        <v>32</v>
      </c>
      <c r="AE2237" t="s">
        <v>25693</v>
      </c>
      <c r="AF2237" t="s">
        <v>46835</v>
      </c>
    </row>
    <row r="2238" spans="1:32" x14ac:dyDescent="0.2">
      <c r="A2238">
        <v>2233</v>
      </c>
      <c r="B2238" t="s">
        <v>25694</v>
      </c>
      <c r="C2238" t="s">
        <v>25695</v>
      </c>
      <c r="D2238" t="s">
        <v>25696</v>
      </c>
      <c r="E2238" t="s">
        <v>25697</v>
      </c>
      <c r="F2238" t="s">
        <v>25698</v>
      </c>
      <c r="G2238" t="s">
        <v>25699</v>
      </c>
      <c r="H2238" t="str">
        <f>"Rbmxl1"</f>
        <v>Rbmxl1</v>
      </c>
      <c r="I2238" t="s">
        <v>25700</v>
      </c>
      <c r="J2238" t="s">
        <v>37</v>
      </c>
      <c r="K2238">
        <v>10090</v>
      </c>
      <c r="L2238" s="3" t="str">
        <f>HYPERLINK("http://www.uniprot.org/uniprot/Q91VM5", "Q91VM5")</f>
        <v>Q91VM5</v>
      </c>
      <c r="M2238" t="s">
        <v>25701</v>
      </c>
      <c r="N2238" t="str">
        <f>"Rbmxl1"</f>
        <v>Rbmxl1</v>
      </c>
      <c r="O2238" s="3" t="str">
        <f>HYPERLINK("http://www.informatics.jax.org/marker/MGI:1343045", "MGI:1343045")</f>
        <v>MGI:1343045</v>
      </c>
      <c r="P2238" t="s">
        <v>25702</v>
      </c>
      <c r="Q2238" t="s">
        <v>2139</v>
      </c>
      <c r="R2238" t="s">
        <v>2279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1129</v>
      </c>
      <c r="Y2238" t="s">
        <v>1007</v>
      </c>
      <c r="Z2238" t="s">
        <v>32</v>
      </c>
      <c r="AA2238" t="s">
        <v>25703</v>
      </c>
      <c r="AB2238" t="s">
        <v>25704</v>
      </c>
      <c r="AC2238" t="s">
        <v>25705</v>
      </c>
      <c r="AD2238" t="s">
        <v>32</v>
      </c>
      <c r="AE2238" t="s">
        <v>32</v>
      </c>
      <c r="AF2238" t="s">
        <v>46835</v>
      </c>
    </row>
    <row r="2239" spans="1:32" x14ac:dyDescent="0.2">
      <c r="A2239">
        <v>2234</v>
      </c>
      <c r="B2239" t="s">
        <v>25706</v>
      </c>
      <c r="C2239" t="s">
        <v>25707</v>
      </c>
      <c r="D2239" t="s">
        <v>25708</v>
      </c>
      <c r="E2239" t="s">
        <v>25709</v>
      </c>
      <c r="F2239" t="s">
        <v>25710</v>
      </c>
      <c r="G2239" t="s">
        <v>32</v>
      </c>
      <c r="H2239" t="str">
        <f>"Cpsf2"</f>
        <v>Cpsf2</v>
      </c>
      <c r="I2239" t="s">
        <v>25711</v>
      </c>
      <c r="J2239" t="s">
        <v>37</v>
      </c>
      <c r="K2239">
        <v>10090</v>
      </c>
      <c r="L2239" s="3" t="str">
        <f>HYPERLINK("http://www.uniprot.org/uniprot/O35218", "O35218")</f>
        <v>O35218</v>
      </c>
      <c r="M2239" t="s">
        <v>25712</v>
      </c>
      <c r="N2239" t="str">
        <f>"Cpsf2"</f>
        <v>Cpsf2</v>
      </c>
      <c r="O2239" s="3" t="str">
        <f>HYPERLINK("http://www.informatics.jax.org/marker/MGI:1861601", "MGI:1861601")</f>
        <v>MGI:1861601</v>
      </c>
      <c r="P2239" t="s">
        <v>25713</v>
      </c>
      <c r="Q2239" t="s">
        <v>16601</v>
      </c>
      <c r="R2239" t="s">
        <v>2279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1282</v>
      </c>
      <c r="Y2239" t="s">
        <v>618</v>
      </c>
      <c r="Z2239" t="s">
        <v>32</v>
      </c>
      <c r="AA2239" t="s">
        <v>25714</v>
      </c>
      <c r="AB2239" t="s">
        <v>25715</v>
      </c>
      <c r="AC2239" t="s">
        <v>4711</v>
      </c>
      <c r="AD2239" t="s">
        <v>32</v>
      </c>
      <c r="AE2239" t="s">
        <v>23657</v>
      </c>
      <c r="AF2239" t="s">
        <v>46835</v>
      </c>
    </row>
    <row r="2240" spans="1:32" x14ac:dyDescent="0.2">
      <c r="A2240">
        <v>2235</v>
      </c>
      <c r="B2240" t="s">
        <v>25716</v>
      </c>
      <c r="C2240" t="s">
        <v>25717</v>
      </c>
      <c r="D2240" t="s">
        <v>25718</v>
      </c>
      <c r="E2240" t="s">
        <v>25719</v>
      </c>
      <c r="F2240" t="s">
        <v>25720</v>
      </c>
      <c r="G2240" t="s">
        <v>32</v>
      </c>
      <c r="H2240" t="str">
        <f>"Mab21l1"</f>
        <v>Mab21l1</v>
      </c>
      <c r="I2240" t="s">
        <v>25721</v>
      </c>
      <c r="J2240" t="s">
        <v>37</v>
      </c>
      <c r="K2240">
        <v>10090</v>
      </c>
      <c r="L2240" s="3" t="str">
        <f>HYPERLINK("http://www.uniprot.org/uniprot/O70299", "O70299")</f>
        <v>O70299</v>
      </c>
      <c r="M2240" t="s">
        <v>25722</v>
      </c>
      <c r="N2240" t="str">
        <f>"Mab21l1"</f>
        <v>Mab21l1</v>
      </c>
      <c r="O2240" s="3" t="str">
        <f>HYPERLINK("http://www.informatics.jax.org/marker/MGI:1333773", "MGI:1333773")</f>
        <v>MGI:1333773</v>
      </c>
      <c r="P2240" t="s">
        <v>25723</v>
      </c>
      <c r="Q2240" t="s">
        <v>32</v>
      </c>
      <c r="R2240" t="s">
        <v>2279</v>
      </c>
      <c r="S2240" t="s">
        <v>32</v>
      </c>
      <c r="T2240" t="s">
        <v>32</v>
      </c>
      <c r="U2240" t="s">
        <v>32</v>
      </c>
      <c r="V2240" t="s">
        <v>32</v>
      </c>
      <c r="W2240" t="s">
        <v>14807</v>
      </c>
      <c r="X2240" t="s">
        <v>25724</v>
      </c>
      <c r="Y2240" t="s">
        <v>32</v>
      </c>
      <c r="Z2240" t="s">
        <v>32</v>
      </c>
      <c r="AA2240" t="s">
        <v>25725</v>
      </c>
      <c r="AB2240" t="s">
        <v>3606</v>
      </c>
      <c r="AC2240" t="s">
        <v>25726</v>
      </c>
      <c r="AD2240" t="s">
        <v>32</v>
      </c>
      <c r="AE2240" t="s">
        <v>32</v>
      </c>
      <c r="AF2240" t="s">
        <v>46835</v>
      </c>
    </row>
    <row r="2241" spans="1:32" x14ac:dyDescent="0.2">
      <c r="A2241">
        <v>2236</v>
      </c>
      <c r="B2241" t="s">
        <v>25727</v>
      </c>
      <c r="C2241" t="s">
        <v>25728</v>
      </c>
      <c r="D2241" t="s">
        <v>25729</v>
      </c>
      <c r="E2241" t="s">
        <v>25730</v>
      </c>
      <c r="F2241" t="s">
        <v>25731</v>
      </c>
      <c r="G2241" t="s">
        <v>25732</v>
      </c>
      <c r="H2241" t="str">
        <f>"Abi2"</f>
        <v>Abi2</v>
      </c>
      <c r="I2241" t="s">
        <v>32</v>
      </c>
      <c r="J2241" t="s">
        <v>37</v>
      </c>
      <c r="K2241">
        <v>10090</v>
      </c>
      <c r="L2241" s="3" t="str">
        <f>HYPERLINK("http://www.uniprot.org/uniprot/P62484", "P62484")</f>
        <v>P62484</v>
      </c>
      <c r="M2241" t="s">
        <v>25733</v>
      </c>
      <c r="N2241" t="str">
        <f>"Abi2"</f>
        <v>Abi2</v>
      </c>
      <c r="O2241" s="3" t="str">
        <f>HYPERLINK("http://www.informatics.jax.org/marker/MGI:106913", "MGI:106913")</f>
        <v>MGI:106913</v>
      </c>
      <c r="P2241" t="s">
        <v>25734</v>
      </c>
      <c r="Q2241" t="s">
        <v>1429</v>
      </c>
      <c r="R2241" t="s">
        <v>21355</v>
      </c>
      <c r="S2241" t="s">
        <v>32</v>
      </c>
      <c r="T2241" t="s">
        <v>32</v>
      </c>
      <c r="U2241" t="s">
        <v>32</v>
      </c>
      <c r="V2241" t="s">
        <v>1606</v>
      </c>
      <c r="W2241" t="s">
        <v>32</v>
      </c>
      <c r="X2241" t="s">
        <v>32</v>
      </c>
      <c r="Y2241" t="s">
        <v>618</v>
      </c>
      <c r="Z2241" t="s">
        <v>32</v>
      </c>
      <c r="AA2241" t="s">
        <v>25735</v>
      </c>
      <c r="AB2241" t="s">
        <v>25736</v>
      </c>
      <c r="AC2241" t="s">
        <v>25737</v>
      </c>
      <c r="AD2241" t="s">
        <v>32</v>
      </c>
      <c r="AE2241" t="s">
        <v>10906</v>
      </c>
      <c r="AF2241" t="s">
        <v>46835</v>
      </c>
    </row>
    <row r="2242" spans="1:32" x14ac:dyDescent="0.2">
      <c r="A2242">
        <v>2237</v>
      </c>
      <c r="B2242" t="s">
        <v>25738</v>
      </c>
      <c r="C2242" t="s">
        <v>25739</v>
      </c>
      <c r="D2242" t="s">
        <v>32</v>
      </c>
      <c r="E2242" t="s">
        <v>25740</v>
      </c>
      <c r="F2242" t="s">
        <v>25741</v>
      </c>
      <c r="G2242" t="s">
        <v>25742</v>
      </c>
      <c r="H2242" t="str">
        <f>"Stx18"</f>
        <v>Stx18</v>
      </c>
      <c r="I2242" t="s">
        <v>32</v>
      </c>
      <c r="J2242" t="s">
        <v>37</v>
      </c>
      <c r="K2242">
        <v>10090</v>
      </c>
      <c r="L2242" s="3" t="str">
        <f>HYPERLINK("http://www.uniprot.org/uniprot/Q8VDS8", "Q8VDS8")</f>
        <v>Q8VDS8</v>
      </c>
      <c r="M2242" t="s">
        <v>25743</v>
      </c>
      <c r="N2242" t="str">
        <f>"Stx18"</f>
        <v>Stx18</v>
      </c>
      <c r="O2242" s="3" t="str">
        <f>HYPERLINK("http://www.informatics.jax.org/marker/MGI:1918366", "MGI:1918366")</f>
        <v>MGI:1918366</v>
      </c>
      <c r="P2242" t="s">
        <v>25744</v>
      </c>
      <c r="Q2242" t="s">
        <v>2916</v>
      </c>
      <c r="R2242" t="s">
        <v>11259</v>
      </c>
      <c r="S2242" t="s">
        <v>41</v>
      </c>
      <c r="T2242" t="s">
        <v>32</v>
      </c>
      <c r="U2242" t="s">
        <v>32</v>
      </c>
      <c r="V2242" t="s">
        <v>6500</v>
      </c>
      <c r="W2242" t="s">
        <v>32</v>
      </c>
      <c r="X2242" t="s">
        <v>32</v>
      </c>
      <c r="Y2242" t="s">
        <v>32</v>
      </c>
      <c r="Z2242" t="s">
        <v>32</v>
      </c>
      <c r="AA2242" t="s">
        <v>25745</v>
      </c>
      <c r="AB2242" t="s">
        <v>25746</v>
      </c>
      <c r="AC2242" t="s">
        <v>25747</v>
      </c>
      <c r="AD2242" t="s">
        <v>32</v>
      </c>
      <c r="AE2242" t="s">
        <v>25748</v>
      </c>
      <c r="AF2242" t="s">
        <v>46835</v>
      </c>
    </row>
    <row r="2243" spans="1:32" x14ac:dyDescent="0.2">
      <c r="A2243">
        <v>2238</v>
      </c>
      <c r="B2243" t="s">
        <v>25749</v>
      </c>
      <c r="C2243" t="s">
        <v>25750</v>
      </c>
      <c r="D2243" t="s">
        <v>25751</v>
      </c>
      <c r="E2243" t="s">
        <v>25752</v>
      </c>
      <c r="F2243" t="s">
        <v>25753</v>
      </c>
      <c r="G2243" t="s">
        <v>25754</v>
      </c>
      <c r="H2243" t="str">
        <f>"Tmx4"</f>
        <v>Tmx4</v>
      </c>
      <c r="I2243" t="s">
        <v>25755</v>
      </c>
      <c r="J2243" t="s">
        <v>37</v>
      </c>
      <c r="K2243">
        <v>10090</v>
      </c>
      <c r="L2243" s="3" t="str">
        <f>HYPERLINK("http://www.uniprot.org/uniprot/Q8C0L0", "Q8C0L0")</f>
        <v>Q8C0L0</v>
      </c>
      <c r="M2243" t="s">
        <v>25756</v>
      </c>
      <c r="N2243" t="str">
        <f>"Tmx4"</f>
        <v>Tmx4</v>
      </c>
      <c r="O2243" s="3" t="str">
        <f>HYPERLINK("http://www.informatics.jax.org/marker/MGI:106558", "MGI:106558")</f>
        <v>MGI:106558</v>
      </c>
      <c r="P2243" t="s">
        <v>25757</v>
      </c>
      <c r="Q2243" t="s">
        <v>4599</v>
      </c>
      <c r="R2243" t="s">
        <v>13520</v>
      </c>
      <c r="S2243" t="s">
        <v>32</v>
      </c>
      <c r="T2243" t="s">
        <v>32</v>
      </c>
      <c r="U2243" t="s">
        <v>32</v>
      </c>
      <c r="V2243" t="s">
        <v>19648</v>
      </c>
      <c r="W2243" t="s">
        <v>32</v>
      </c>
      <c r="X2243" t="s">
        <v>32</v>
      </c>
      <c r="Y2243" t="s">
        <v>2080</v>
      </c>
      <c r="Z2243" t="s">
        <v>32</v>
      </c>
      <c r="AA2243" t="s">
        <v>32</v>
      </c>
      <c r="AB2243" t="s">
        <v>25758</v>
      </c>
      <c r="AC2243" t="s">
        <v>19651</v>
      </c>
      <c r="AD2243" t="s">
        <v>32</v>
      </c>
      <c r="AE2243" t="s">
        <v>32</v>
      </c>
      <c r="AF2243" t="s">
        <v>46835</v>
      </c>
    </row>
    <row r="2244" spans="1:32" x14ac:dyDescent="0.2">
      <c r="A2244">
        <v>2239</v>
      </c>
      <c r="B2244" t="s">
        <v>25759</v>
      </c>
      <c r="C2244" t="s">
        <v>25760</v>
      </c>
      <c r="D2244" t="s">
        <v>32</v>
      </c>
      <c r="E2244" t="s">
        <v>25761</v>
      </c>
      <c r="F2244" t="s">
        <v>25762</v>
      </c>
      <c r="G2244" t="s">
        <v>25763</v>
      </c>
      <c r="H2244" t="str">
        <f>"Selenok"</f>
        <v>Selenok</v>
      </c>
      <c r="I2244" t="s">
        <v>32</v>
      </c>
      <c r="J2244" t="s">
        <v>37</v>
      </c>
      <c r="K2244">
        <v>10090</v>
      </c>
      <c r="L2244" s="3" t="str">
        <f>HYPERLINK("http://www.uniprot.org/uniprot/Q9JLJ1", "Q9JLJ1")</f>
        <v>Q9JLJ1</v>
      </c>
      <c r="M2244" t="s">
        <v>25764</v>
      </c>
      <c r="N2244" t="str">
        <f>"Selenok"</f>
        <v>Selenok</v>
      </c>
      <c r="O2244" s="3" t="str">
        <f>HYPERLINK("http://www.informatics.jax.org/marker/MGI:1931466", "MGI:1931466")</f>
        <v>MGI:1931466</v>
      </c>
      <c r="P2244" t="s">
        <v>25765</v>
      </c>
      <c r="Q2244" t="s">
        <v>4052</v>
      </c>
      <c r="R2244" t="s">
        <v>1308</v>
      </c>
      <c r="S2244" t="s">
        <v>8573</v>
      </c>
      <c r="T2244" t="s">
        <v>32</v>
      </c>
      <c r="U2244" t="s">
        <v>32</v>
      </c>
      <c r="V2244" t="s">
        <v>493</v>
      </c>
      <c r="W2244" t="s">
        <v>1380</v>
      </c>
      <c r="X2244" t="s">
        <v>32</v>
      </c>
      <c r="Y2244" t="s">
        <v>5599</v>
      </c>
      <c r="Z2244" t="s">
        <v>32</v>
      </c>
      <c r="AA2244" t="s">
        <v>25766</v>
      </c>
      <c r="AB2244" t="s">
        <v>25767</v>
      </c>
      <c r="AC2244" t="s">
        <v>4516</v>
      </c>
      <c r="AD2244" t="s">
        <v>32</v>
      </c>
      <c r="AE2244" t="s">
        <v>32</v>
      </c>
      <c r="AF2244" t="s">
        <v>46835</v>
      </c>
    </row>
    <row r="2245" spans="1:32" x14ac:dyDescent="0.2">
      <c r="A2245">
        <v>2240</v>
      </c>
      <c r="B2245" t="s">
        <v>25768</v>
      </c>
      <c r="C2245" t="s">
        <v>25769</v>
      </c>
      <c r="D2245" t="s">
        <v>25770</v>
      </c>
      <c r="E2245" t="s">
        <v>25771</v>
      </c>
      <c r="F2245" t="s">
        <v>25772</v>
      </c>
      <c r="G2245" t="s">
        <v>25773</v>
      </c>
      <c r="H2245" t="str">
        <f>"Nit1"</f>
        <v>Nit1</v>
      </c>
      <c r="I2245" t="s">
        <v>32</v>
      </c>
      <c r="J2245" t="s">
        <v>37</v>
      </c>
      <c r="K2245">
        <v>10090</v>
      </c>
      <c r="L2245" s="3" t="str">
        <f>HYPERLINK("http://www.uniprot.org/uniprot/Q8VDK1", "Q8VDK1")</f>
        <v>Q8VDK1</v>
      </c>
      <c r="M2245" t="s">
        <v>25774</v>
      </c>
      <c r="N2245" t="str">
        <f>"Nit1"</f>
        <v>Nit1</v>
      </c>
      <c r="O2245" s="3" t="str">
        <f>HYPERLINK("http://www.informatics.jax.org/marker/MGI:1350916", "MGI:1350916")</f>
        <v>MGI:1350916</v>
      </c>
      <c r="P2245" t="s">
        <v>25775</v>
      </c>
      <c r="Q2245" t="s">
        <v>32</v>
      </c>
      <c r="R2245" t="s">
        <v>1842</v>
      </c>
      <c r="S2245" t="s">
        <v>41</v>
      </c>
      <c r="T2245" t="s">
        <v>32</v>
      </c>
      <c r="U2245" t="s">
        <v>32</v>
      </c>
      <c r="V2245" t="s">
        <v>1039</v>
      </c>
      <c r="W2245" t="s">
        <v>32</v>
      </c>
      <c r="X2245" t="s">
        <v>343</v>
      </c>
      <c r="Y2245" t="s">
        <v>32</v>
      </c>
      <c r="Z2245" t="s">
        <v>32</v>
      </c>
      <c r="AA2245" t="s">
        <v>25776</v>
      </c>
      <c r="AB2245" t="s">
        <v>3490</v>
      </c>
      <c r="AC2245" t="s">
        <v>25777</v>
      </c>
      <c r="AD2245" t="s">
        <v>32</v>
      </c>
      <c r="AE2245" t="s">
        <v>32</v>
      </c>
      <c r="AF2245" t="s">
        <v>46835</v>
      </c>
    </row>
    <row r="2246" spans="1:32" x14ac:dyDescent="0.2">
      <c r="A2246">
        <v>2241</v>
      </c>
      <c r="B2246" t="s">
        <v>25778</v>
      </c>
      <c r="C2246" t="s">
        <v>25779</v>
      </c>
      <c r="D2246" t="s">
        <v>25780</v>
      </c>
      <c r="E2246" t="s">
        <v>25781</v>
      </c>
      <c r="F2246" t="s">
        <v>25782</v>
      </c>
      <c r="G2246" t="s">
        <v>25783</v>
      </c>
      <c r="H2246" t="str">
        <f>"Zmpste24"</f>
        <v>Zmpste24</v>
      </c>
      <c r="I2246" t="s">
        <v>25784</v>
      </c>
      <c r="J2246" t="s">
        <v>37</v>
      </c>
      <c r="K2246">
        <v>10090</v>
      </c>
      <c r="L2246" s="3" t="str">
        <f>HYPERLINK("http://www.uniprot.org/uniprot/Q80W54", "Q80W54")</f>
        <v>Q80W54</v>
      </c>
      <c r="M2246" t="s">
        <v>25785</v>
      </c>
      <c r="N2246" t="str">
        <f>"Zmpste24"</f>
        <v>Zmpste24</v>
      </c>
      <c r="O2246" s="3" t="str">
        <f>HYPERLINK("http://www.informatics.jax.org/marker/MGI:1890508", "MGI:1890508")</f>
        <v>MGI:1890508</v>
      </c>
      <c r="P2246" t="s">
        <v>25786</v>
      </c>
      <c r="Q2246" t="s">
        <v>32</v>
      </c>
      <c r="R2246" t="s">
        <v>17568</v>
      </c>
      <c r="S2246" t="s">
        <v>32</v>
      </c>
      <c r="T2246" t="s">
        <v>32</v>
      </c>
      <c r="U2246" t="s">
        <v>32</v>
      </c>
      <c r="V2246" t="s">
        <v>493</v>
      </c>
      <c r="W2246" t="s">
        <v>42</v>
      </c>
      <c r="X2246" t="s">
        <v>25787</v>
      </c>
      <c r="Y2246" t="s">
        <v>32</v>
      </c>
      <c r="Z2246" t="s">
        <v>32</v>
      </c>
      <c r="AA2246" t="s">
        <v>25788</v>
      </c>
      <c r="AB2246" t="s">
        <v>25789</v>
      </c>
      <c r="AC2246" t="s">
        <v>25790</v>
      </c>
      <c r="AD2246" t="s">
        <v>32</v>
      </c>
      <c r="AE2246" t="s">
        <v>32</v>
      </c>
      <c r="AF2246" t="s">
        <v>46835</v>
      </c>
    </row>
    <row r="2247" spans="1:32" x14ac:dyDescent="0.2">
      <c r="A2247">
        <v>2242</v>
      </c>
      <c r="B2247" t="s">
        <v>25791</v>
      </c>
      <c r="C2247" t="s">
        <v>25792</v>
      </c>
      <c r="D2247" t="s">
        <v>25793</v>
      </c>
      <c r="E2247" t="s">
        <v>25794</v>
      </c>
      <c r="F2247" t="s">
        <v>25795</v>
      </c>
      <c r="G2247" t="s">
        <v>25796</v>
      </c>
      <c r="H2247" t="str">
        <f>"Gigyf2"</f>
        <v>Gigyf2</v>
      </c>
      <c r="I2247" t="s">
        <v>32</v>
      </c>
      <c r="J2247" t="s">
        <v>37</v>
      </c>
      <c r="K2247">
        <v>10090</v>
      </c>
      <c r="L2247" s="3" t="str">
        <f>HYPERLINK("http://www.uniprot.org/uniprot/Q6Y7W8", "Q6Y7W8")</f>
        <v>Q6Y7W8</v>
      </c>
      <c r="M2247" t="s">
        <v>25797</v>
      </c>
      <c r="N2247" t="str">
        <f>"Gigyf2"</f>
        <v>Gigyf2</v>
      </c>
      <c r="O2247" s="3" t="str">
        <f>HYPERLINK("http://www.informatics.jax.org/marker/MGI:2138584", "MGI:2138584")</f>
        <v>MGI:2138584</v>
      </c>
      <c r="P2247" t="s">
        <v>25798</v>
      </c>
      <c r="Q2247" t="s">
        <v>32</v>
      </c>
      <c r="R2247" t="s">
        <v>32</v>
      </c>
      <c r="S2247" t="s">
        <v>41</v>
      </c>
      <c r="T2247" t="s">
        <v>32</v>
      </c>
      <c r="U2247" t="s">
        <v>32</v>
      </c>
      <c r="V2247" t="s">
        <v>32</v>
      </c>
      <c r="W2247" t="s">
        <v>32</v>
      </c>
      <c r="X2247" t="s">
        <v>32</v>
      </c>
      <c r="Y2247" t="s">
        <v>207</v>
      </c>
      <c r="Z2247" t="s">
        <v>32</v>
      </c>
      <c r="AA2247" t="s">
        <v>25799</v>
      </c>
      <c r="AB2247" t="s">
        <v>25800</v>
      </c>
      <c r="AC2247" t="s">
        <v>25801</v>
      </c>
      <c r="AD2247" t="s">
        <v>32</v>
      </c>
      <c r="AE2247" t="s">
        <v>32</v>
      </c>
      <c r="AF2247" t="s">
        <v>46835</v>
      </c>
    </row>
    <row r="2248" spans="1:32" x14ac:dyDescent="0.2">
      <c r="A2248">
        <v>2243</v>
      </c>
      <c r="B2248" t="s">
        <v>25802</v>
      </c>
      <c r="C2248" t="s">
        <v>25803</v>
      </c>
      <c r="D2248" t="s">
        <v>25804</v>
      </c>
      <c r="E2248" t="s">
        <v>25805</v>
      </c>
      <c r="F2248" t="s">
        <v>25806</v>
      </c>
      <c r="G2248" t="s">
        <v>25807</v>
      </c>
      <c r="H2248" t="str">
        <f>"Slc25a24"</f>
        <v>Slc25a24</v>
      </c>
      <c r="I2248" t="s">
        <v>25808</v>
      </c>
      <c r="J2248" t="s">
        <v>37</v>
      </c>
      <c r="K2248">
        <v>10090</v>
      </c>
      <c r="L2248" s="3" t="str">
        <f>HYPERLINK("http://www.uniprot.org/uniprot/Q8BMD8", "Q8BMD8")</f>
        <v>Q8BMD8</v>
      </c>
      <c r="M2248" t="s">
        <v>25809</v>
      </c>
      <c r="N2248" t="str">
        <f>"Slc25a24"</f>
        <v>Slc25a24</v>
      </c>
      <c r="O2248" s="3" t="str">
        <f>HYPERLINK("http://www.informatics.jax.org/marker/MGI:1917160", "MGI:1917160")</f>
        <v>MGI:1917160</v>
      </c>
      <c r="P2248" t="s">
        <v>23313</v>
      </c>
      <c r="Q2248" t="s">
        <v>4425</v>
      </c>
      <c r="R2248" t="s">
        <v>3858</v>
      </c>
      <c r="S2248" t="s">
        <v>32</v>
      </c>
      <c r="T2248" t="s">
        <v>32</v>
      </c>
      <c r="U2248" t="s">
        <v>32</v>
      </c>
      <c r="V2248" t="s">
        <v>1620</v>
      </c>
      <c r="W2248" t="s">
        <v>188</v>
      </c>
      <c r="X2248" t="s">
        <v>32</v>
      </c>
      <c r="Y2248" t="s">
        <v>78</v>
      </c>
      <c r="Z2248" t="s">
        <v>32</v>
      </c>
      <c r="AA2248" t="s">
        <v>25810</v>
      </c>
      <c r="AB2248" t="s">
        <v>21070</v>
      </c>
      <c r="AC2248" t="s">
        <v>25811</v>
      </c>
      <c r="AD2248" t="s">
        <v>32</v>
      </c>
      <c r="AE2248" t="s">
        <v>32</v>
      </c>
      <c r="AF2248" t="s">
        <v>46835</v>
      </c>
    </row>
    <row r="2249" spans="1:32" x14ac:dyDescent="0.2">
      <c r="A2249">
        <v>2244</v>
      </c>
      <c r="B2249" t="s">
        <v>25812</v>
      </c>
      <c r="C2249" t="s">
        <v>25813</v>
      </c>
      <c r="D2249" t="s">
        <v>25814</v>
      </c>
      <c r="E2249" t="s">
        <v>25815</v>
      </c>
      <c r="F2249" t="s">
        <v>25816</v>
      </c>
      <c r="G2249" t="s">
        <v>25817</v>
      </c>
      <c r="H2249" t="str">
        <f>"Arhgap12"</f>
        <v>Arhgap12</v>
      </c>
      <c r="I2249" t="s">
        <v>32</v>
      </c>
      <c r="J2249" t="s">
        <v>37</v>
      </c>
      <c r="K2249">
        <v>10090</v>
      </c>
      <c r="L2249" s="3" t="str">
        <f>HYPERLINK("http://www.uniprot.org/uniprot/Q8C0D4", "Q8C0D4")</f>
        <v>Q8C0D4</v>
      </c>
      <c r="M2249" t="s">
        <v>25818</v>
      </c>
      <c r="N2249" t="str">
        <f>"Arhgap12"</f>
        <v>Arhgap12</v>
      </c>
      <c r="O2249" s="3" t="str">
        <f>HYPERLINK("http://www.informatics.jax.org/marker/MGI:1922665", "MGI:1922665")</f>
        <v>MGI:1922665</v>
      </c>
      <c r="P2249" t="s">
        <v>25819</v>
      </c>
      <c r="Q2249" t="s">
        <v>32</v>
      </c>
      <c r="R2249" t="s">
        <v>32</v>
      </c>
      <c r="S2249" t="s">
        <v>32</v>
      </c>
      <c r="T2249" t="s">
        <v>32</v>
      </c>
      <c r="U2249" t="s">
        <v>32</v>
      </c>
      <c r="V2249" t="s">
        <v>187</v>
      </c>
      <c r="W2249" t="s">
        <v>32</v>
      </c>
      <c r="X2249" t="s">
        <v>715</v>
      </c>
      <c r="Y2249" t="s">
        <v>618</v>
      </c>
      <c r="Z2249" t="s">
        <v>126</v>
      </c>
      <c r="AA2249" t="s">
        <v>25820</v>
      </c>
      <c r="AB2249" t="s">
        <v>25821</v>
      </c>
      <c r="AC2249" t="s">
        <v>14857</v>
      </c>
      <c r="AD2249" t="s">
        <v>32</v>
      </c>
      <c r="AE2249" t="s">
        <v>25822</v>
      </c>
      <c r="AF2249" t="s">
        <v>46835</v>
      </c>
    </row>
    <row r="2250" spans="1:32" x14ac:dyDescent="0.2">
      <c r="A2250">
        <v>2245</v>
      </c>
      <c r="B2250" t="s">
        <v>25823</v>
      </c>
      <c r="C2250" t="s">
        <v>25824</v>
      </c>
      <c r="D2250" t="s">
        <v>25825</v>
      </c>
      <c r="E2250" t="s">
        <v>25826</v>
      </c>
      <c r="F2250" t="s">
        <v>25827</v>
      </c>
      <c r="G2250" t="s">
        <v>25828</v>
      </c>
      <c r="H2250" t="str">
        <f>"Clybl"</f>
        <v>Clybl</v>
      </c>
      <c r="I2250" t="s">
        <v>25829</v>
      </c>
      <c r="J2250" t="s">
        <v>37</v>
      </c>
      <c r="K2250">
        <v>10090</v>
      </c>
      <c r="L2250" s="3" t="str">
        <f>HYPERLINK("http://www.uniprot.org/uniprot/Q8R4N0", "Q8R4N0")</f>
        <v>Q8R4N0</v>
      </c>
      <c r="M2250" t="s">
        <v>25830</v>
      </c>
      <c r="N2250" t="str">
        <f>"Clybl"</f>
        <v>Clybl</v>
      </c>
      <c r="O2250" s="3" t="str">
        <f>HYPERLINK("http://www.informatics.jax.org/marker/MGI:1916884", "MGI:1916884")</f>
        <v>MGI:1916884</v>
      </c>
      <c r="P2250" t="s">
        <v>25831</v>
      </c>
      <c r="Q2250" t="s">
        <v>32</v>
      </c>
      <c r="R2250" t="s">
        <v>1038</v>
      </c>
      <c r="S2250" t="s">
        <v>32</v>
      </c>
      <c r="T2250" t="s">
        <v>32</v>
      </c>
      <c r="U2250" t="s">
        <v>32</v>
      </c>
      <c r="V2250" t="s">
        <v>1039</v>
      </c>
      <c r="W2250" t="s">
        <v>223</v>
      </c>
      <c r="X2250" t="s">
        <v>25832</v>
      </c>
      <c r="Y2250" t="s">
        <v>78</v>
      </c>
      <c r="Z2250" t="s">
        <v>32</v>
      </c>
      <c r="AA2250" t="s">
        <v>25833</v>
      </c>
      <c r="AB2250" t="s">
        <v>3721</v>
      </c>
      <c r="AC2250" t="s">
        <v>25834</v>
      </c>
      <c r="AD2250" t="s">
        <v>32</v>
      </c>
      <c r="AE2250" t="s">
        <v>32</v>
      </c>
      <c r="AF2250" t="s">
        <v>46835</v>
      </c>
    </row>
    <row r="2251" spans="1:32" x14ac:dyDescent="0.2">
      <c r="A2251">
        <v>2246</v>
      </c>
      <c r="B2251" t="s">
        <v>25835</v>
      </c>
      <c r="C2251" t="s">
        <v>25836</v>
      </c>
      <c r="D2251" t="s">
        <v>25837</v>
      </c>
      <c r="E2251" t="s">
        <v>25838</v>
      </c>
      <c r="F2251" t="s">
        <v>25839</v>
      </c>
      <c r="G2251" t="s">
        <v>25840</v>
      </c>
      <c r="H2251" t="str">
        <f>"Nat10"</f>
        <v>Nat10</v>
      </c>
      <c r="I2251" t="s">
        <v>25841</v>
      </c>
      <c r="J2251" t="s">
        <v>37</v>
      </c>
      <c r="K2251">
        <v>10090</v>
      </c>
      <c r="L2251" s="3" t="str">
        <f>HYPERLINK("http://www.uniprot.org/uniprot/Q8K224", "Q8K224")</f>
        <v>Q8K224</v>
      </c>
      <c r="M2251" t="s">
        <v>25842</v>
      </c>
      <c r="N2251" t="str">
        <f>"Nat10"</f>
        <v>Nat10</v>
      </c>
      <c r="O2251" s="3" t="str">
        <f>HYPERLINK("http://www.informatics.jax.org/marker/MGI:2138939", "MGI:2138939")</f>
        <v>MGI:2138939</v>
      </c>
      <c r="P2251" t="s">
        <v>25843</v>
      </c>
      <c r="Q2251" t="s">
        <v>25844</v>
      </c>
      <c r="R2251" t="s">
        <v>2279</v>
      </c>
      <c r="S2251" t="s">
        <v>32</v>
      </c>
      <c r="T2251" t="s">
        <v>32</v>
      </c>
      <c r="U2251" t="s">
        <v>32</v>
      </c>
      <c r="V2251" t="s">
        <v>32</v>
      </c>
      <c r="W2251" t="s">
        <v>205</v>
      </c>
      <c r="X2251" t="s">
        <v>7304</v>
      </c>
      <c r="Y2251" t="s">
        <v>157</v>
      </c>
      <c r="Z2251" t="s">
        <v>32</v>
      </c>
      <c r="AA2251" t="s">
        <v>25845</v>
      </c>
      <c r="AB2251" t="s">
        <v>25846</v>
      </c>
      <c r="AC2251" t="s">
        <v>25847</v>
      </c>
      <c r="AD2251" t="s">
        <v>32</v>
      </c>
      <c r="AE2251" t="s">
        <v>32</v>
      </c>
      <c r="AF2251" t="s">
        <v>46835</v>
      </c>
    </row>
    <row r="2252" spans="1:32" x14ac:dyDescent="0.2">
      <c r="A2252">
        <v>2247</v>
      </c>
      <c r="B2252" t="s">
        <v>25848</v>
      </c>
      <c r="C2252" t="s">
        <v>25849</v>
      </c>
      <c r="D2252" t="s">
        <v>25850</v>
      </c>
      <c r="E2252" t="s">
        <v>25851</v>
      </c>
      <c r="F2252" t="s">
        <v>25852</v>
      </c>
      <c r="G2252" t="s">
        <v>32</v>
      </c>
      <c r="H2252" t="str">
        <f>"Ppm1b"</f>
        <v>Ppm1b</v>
      </c>
      <c r="I2252" t="s">
        <v>25853</v>
      </c>
      <c r="J2252" t="s">
        <v>37</v>
      </c>
      <c r="K2252">
        <v>10090</v>
      </c>
      <c r="L2252" s="3" t="str">
        <f>HYPERLINK("http://www.uniprot.org/uniprot/P36993", "P36993")</f>
        <v>P36993</v>
      </c>
      <c r="M2252" t="s">
        <v>25854</v>
      </c>
      <c r="N2252" t="str">
        <f>"Ppm1b"</f>
        <v>Ppm1b</v>
      </c>
      <c r="O2252" s="3" t="str">
        <f>HYPERLINK("http://www.informatics.jax.org/marker/MGI:101841", "MGI:101841")</f>
        <v>MGI:101841</v>
      </c>
      <c r="P2252" t="s">
        <v>25855</v>
      </c>
      <c r="Q2252" t="s">
        <v>32</v>
      </c>
      <c r="R2252" t="s">
        <v>714</v>
      </c>
      <c r="S2252" t="s">
        <v>41</v>
      </c>
      <c r="T2252" t="s">
        <v>32</v>
      </c>
      <c r="U2252" t="s">
        <v>32</v>
      </c>
      <c r="V2252" t="s">
        <v>32</v>
      </c>
      <c r="W2252" t="s">
        <v>9312</v>
      </c>
      <c r="X2252" t="s">
        <v>3683</v>
      </c>
      <c r="Y2252" t="s">
        <v>2944</v>
      </c>
      <c r="Z2252" t="s">
        <v>32</v>
      </c>
      <c r="AA2252" t="s">
        <v>25856</v>
      </c>
      <c r="AB2252" t="s">
        <v>25857</v>
      </c>
      <c r="AC2252" t="s">
        <v>25858</v>
      </c>
      <c r="AD2252" t="s">
        <v>32</v>
      </c>
      <c r="AE2252" t="s">
        <v>2299</v>
      </c>
      <c r="AF2252" t="s">
        <v>46835</v>
      </c>
    </row>
    <row r="2253" spans="1:32" x14ac:dyDescent="0.2">
      <c r="A2253">
        <v>2248</v>
      </c>
      <c r="B2253" t="s">
        <v>25859</v>
      </c>
      <c r="C2253" t="s">
        <v>25860</v>
      </c>
      <c r="D2253" t="s">
        <v>25861</v>
      </c>
      <c r="E2253" t="s">
        <v>25862</v>
      </c>
      <c r="F2253" t="s">
        <v>25863</v>
      </c>
      <c r="G2253" t="s">
        <v>32</v>
      </c>
      <c r="H2253" t="str">
        <f>"Fen1"</f>
        <v>Fen1</v>
      </c>
      <c r="I2253" t="s">
        <v>25864</v>
      </c>
      <c r="J2253" t="s">
        <v>37</v>
      </c>
      <c r="K2253">
        <v>10090</v>
      </c>
      <c r="L2253" s="3" t="str">
        <f>HYPERLINK("http://www.uniprot.org/uniprot/P39749", "P39749")</f>
        <v>P39749</v>
      </c>
      <c r="M2253" t="s">
        <v>25865</v>
      </c>
      <c r="N2253" t="str">
        <f>"Fen1"</f>
        <v>Fen1</v>
      </c>
      <c r="O2253" s="3" t="str">
        <f>HYPERLINK("http://www.informatics.jax.org/marker/MGI:102779", "MGI:102779")</f>
        <v>MGI:102779</v>
      </c>
      <c r="P2253" t="s">
        <v>25866</v>
      </c>
      <c r="Q2253" t="s">
        <v>5661</v>
      </c>
      <c r="R2253" t="s">
        <v>2377</v>
      </c>
      <c r="S2253" t="s">
        <v>32</v>
      </c>
      <c r="T2253" t="s">
        <v>32</v>
      </c>
      <c r="U2253" t="s">
        <v>32</v>
      </c>
      <c r="V2253" t="s">
        <v>32</v>
      </c>
      <c r="W2253" t="s">
        <v>223</v>
      </c>
      <c r="X2253" t="s">
        <v>25867</v>
      </c>
      <c r="Y2253" t="s">
        <v>97</v>
      </c>
      <c r="Z2253" t="s">
        <v>32</v>
      </c>
      <c r="AA2253" t="s">
        <v>25868</v>
      </c>
      <c r="AB2253" t="s">
        <v>25869</v>
      </c>
      <c r="AC2253" t="s">
        <v>25870</v>
      </c>
      <c r="AD2253" t="s">
        <v>32</v>
      </c>
      <c r="AE2253" t="s">
        <v>25871</v>
      </c>
      <c r="AF2253" t="s">
        <v>46835</v>
      </c>
    </row>
    <row r="2254" spans="1:32" x14ac:dyDescent="0.2">
      <c r="A2254">
        <v>2249</v>
      </c>
      <c r="B2254" t="s">
        <v>25872</v>
      </c>
      <c r="C2254" t="s">
        <v>25873</v>
      </c>
      <c r="D2254" t="s">
        <v>25874</v>
      </c>
      <c r="E2254" t="s">
        <v>25875</v>
      </c>
      <c r="F2254" t="s">
        <v>25876</v>
      </c>
      <c r="G2254" t="s">
        <v>25877</v>
      </c>
      <c r="H2254" t="str">
        <f>"Eloa"</f>
        <v>Eloa</v>
      </c>
      <c r="I2254" t="s">
        <v>25878</v>
      </c>
      <c r="J2254" t="s">
        <v>37</v>
      </c>
      <c r="K2254">
        <v>10090</v>
      </c>
      <c r="L2254" s="3" t="str">
        <f>HYPERLINK("http://www.uniprot.org/uniprot/Q8CB77", "Q8CB77")</f>
        <v>Q8CB77</v>
      </c>
      <c r="M2254" t="s">
        <v>25879</v>
      </c>
      <c r="N2254" t="str">
        <f>"Eloa"</f>
        <v>Eloa</v>
      </c>
      <c r="O2254" s="3" t="str">
        <f>HYPERLINK("http://www.informatics.jax.org/marker/MGI:1351315", "MGI:1351315")</f>
        <v>MGI:1351315</v>
      </c>
      <c r="P2254" t="s">
        <v>25880</v>
      </c>
      <c r="Q2254" t="s">
        <v>4152</v>
      </c>
      <c r="R2254" t="s">
        <v>2279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32</v>
      </c>
      <c r="Y2254" t="s">
        <v>157</v>
      </c>
      <c r="Z2254" t="s">
        <v>32</v>
      </c>
      <c r="AA2254" t="s">
        <v>25881</v>
      </c>
      <c r="AB2254" t="s">
        <v>25882</v>
      </c>
      <c r="AC2254" t="s">
        <v>32</v>
      </c>
      <c r="AD2254" t="s">
        <v>32</v>
      </c>
      <c r="AE2254" t="s">
        <v>25883</v>
      </c>
      <c r="AF2254" t="s">
        <v>46835</v>
      </c>
    </row>
    <row r="2255" spans="1:32" x14ac:dyDescent="0.2">
      <c r="A2255">
        <v>2250</v>
      </c>
      <c r="B2255" t="s">
        <v>25884</v>
      </c>
      <c r="C2255" t="s">
        <v>25885</v>
      </c>
      <c r="D2255" t="s">
        <v>25886</v>
      </c>
      <c r="E2255" t="s">
        <v>25887</v>
      </c>
      <c r="F2255" t="s">
        <v>25888</v>
      </c>
      <c r="G2255" t="s">
        <v>25889</v>
      </c>
      <c r="H2255" t="str">
        <f>"Mtrr"</f>
        <v>Mtrr</v>
      </c>
      <c r="I2255" t="s">
        <v>32</v>
      </c>
      <c r="J2255" t="s">
        <v>37</v>
      </c>
      <c r="K2255">
        <v>10090</v>
      </c>
      <c r="L2255" s="3" t="str">
        <f>HYPERLINK("http://www.uniprot.org/uniprot/Q8C1A3", "Q8C1A3")</f>
        <v>Q8C1A3</v>
      </c>
      <c r="M2255" t="s">
        <v>25890</v>
      </c>
      <c r="N2255" t="str">
        <f>"Mtrr"</f>
        <v>Mtrr</v>
      </c>
      <c r="O2255" s="3" t="str">
        <f>HYPERLINK("http://www.informatics.jax.org/marker/MGI:1891037", "MGI:1891037")</f>
        <v>MGI:1891037</v>
      </c>
      <c r="P2255" t="s">
        <v>25891</v>
      </c>
      <c r="Q2255" t="s">
        <v>12281</v>
      </c>
      <c r="R2255" t="s">
        <v>418</v>
      </c>
      <c r="S2255" t="s">
        <v>32</v>
      </c>
      <c r="T2255" t="s">
        <v>32</v>
      </c>
      <c r="U2255" t="s">
        <v>32</v>
      </c>
      <c r="V2255" t="s">
        <v>32</v>
      </c>
      <c r="W2255" t="s">
        <v>25892</v>
      </c>
      <c r="X2255" t="s">
        <v>600</v>
      </c>
      <c r="Y2255" t="s">
        <v>618</v>
      </c>
      <c r="Z2255" t="s">
        <v>32</v>
      </c>
      <c r="AA2255" t="s">
        <v>25893</v>
      </c>
      <c r="AB2255" t="s">
        <v>25894</v>
      </c>
      <c r="AC2255" t="s">
        <v>25895</v>
      </c>
      <c r="AD2255" t="s">
        <v>32</v>
      </c>
      <c r="AE2255" t="s">
        <v>25896</v>
      </c>
      <c r="AF2255" t="s">
        <v>46835</v>
      </c>
    </row>
    <row r="2256" spans="1:32" x14ac:dyDescent="0.2">
      <c r="A2256">
        <v>2251</v>
      </c>
      <c r="B2256" t="s">
        <v>25897</v>
      </c>
      <c r="C2256" t="s">
        <v>25898</v>
      </c>
      <c r="D2256" t="s">
        <v>25899</v>
      </c>
      <c r="E2256" t="s">
        <v>25900</v>
      </c>
      <c r="F2256" t="s">
        <v>25901</v>
      </c>
      <c r="G2256" t="s">
        <v>25902</v>
      </c>
      <c r="H2256" t="str">
        <f>"Nf1"</f>
        <v>Nf1</v>
      </c>
      <c r="I2256" t="s">
        <v>32</v>
      </c>
      <c r="J2256" t="s">
        <v>37</v>
      </c>
      <c r="K2256">
        <v>10090</v>
      </c>
      <c r="L2256" s="3" t="str">
        <f>HYPERLINK("http://www.uniprot.org/uniprot/Q04690", "Q04690")</f>
        <v>Q04690</v>
      </c>
      <c r="M2256" t="s">
        <v>25903</v>
      </c>
      <c r="N2256" t="str">
        <f>"Nf1"</f>
        <v>Nf1</v>
      </c>
      <c r="O2256" s="3" t="str">
        <f>HYPERLINK("http://www.informatics.jax.org/marker/MGI:97306", "MGI:97306")</f>
        <v>MGI:97306</v>
      </c>
      <c r="P2256" t="s">
        <v>25904</v>
      </c>
      <c r="Q2256" t="s">
        <v>32</v>
      </c>
      <c r="R2256" t="s">
        <v>2279</v>
      </c>
      <c r="S2256" t="s">
        <v>41</v>
      </c>
      <c r="T2256" t="s">
        <v>32</v>
      </c>
      <c r="U2256" t="s">
        <v>32</v>
      </c>
      <c r="V2256" t="s">
        <v>32</v>
      </c>
      <c r="W2256" t="s">
        <v>584</v>
      </c>
      <c r="X2256" t="s">
        <v>715</v>
      </c>
      <c r="Y2256" t="s">
        <v>157</v>
      </c>
      <c r="Z2256" t="s">
        <v>32</v>
      </c>
      <c r="AA2256" t="s">
        <v>25905</v>
      </c>
      <c r="AB2256" t="s">
        <v>25906</v>
      </c>
      <c r="AC2256" t="s">
        <v>25907</v>
      </c>
      <c r="AD2256" t="s">
        <v>32</v>
      </c>
      <c r="AE2256" t="s">
        <v>25908</v>
      </c>
      <c r="AF2256" t="s">
        <v>46835</v>
      </c>
    </row>
    <row r="2257" spans="1:32" x14ac:dyDescent="0.2">
      <c r="A2257">
        <v>2252</v>
      </c>
      <c r="B2257" t="s">
        <v>25909</v>
      </c>
      <c r="C2257" t="s">
        <v>25910</v>
      </c>
      <c r="D2257" t="s">
        <v>32</v>
      </c>
      <c r="E2257" t="s">
        <v>25911</v>
      </c>
      <c r="F2257" t="s">
        <v>25912</v>
      </c>
      <c r="G2257" t="s">
        <v>25913</v>
      </c>
      <c r="H2257" t="str">
        <f>"Fam98b"</f>
        <v>Fam98b</v>
      </c>
      <c r="I2257" t="s">
        <v>32</v>
      </c>
      <c r="J2257" t="s">
        <v>37</v>
      </c>
      <c r="K2257">
        <v>10090</v>
      </c>
      <c r="L2257" s="3" t="str">
        <f>HYPERLINK("http://www.uniprot.org/uniprot/Q80VD1", "Q80VD1")</f>
        <v>Q80VD1</v>
      </c>
      <c r="M2257" t="s">
        <v>25914</v>
      </c>
      <c r="N2257" t="str">
        <f>"Fam98b"</f>
        <v>Fam98b</v>
      </c>
      <c r="O2257" s="3" t="str">
        <f>HYPERLINK("http://www.informatics.jax.org/marker/MGI:1915465", "MGI:1915465")</f>
        <v>MGI:1915465</v>
      </c>
      <c r="P2257" t="s">
        <v>40</v>
      </c>
      <c r="Q2257" t="s">
        <v>32</v>
      </c>
      <c r="R2257" t="s">
        <v>40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32</v>
      </c>
      <c r="Y2257" t="s">
        <v>32</v>
      </c>
      <c r="Z2257" t="s">
        <v>32</v>
      </c>
      <c r="AA2257" t="s">
        <v>25915</v>
      </c>
      <c r="AB2257" t="s">
        <v>25916</v>
      </c>
      <c r="AC2257" t="s">
        <v>25917</v>
      </c>
      <c r="AD2257" t="s">
        <v>32</v>
      </c>
      <c r="AE2257" t="s">
        <v>32</v>
      </c>
      <c r="AF2257" t="s">
        <v>46835</v>
      </c>
    </row>
    <row r="2258" spans="1:32" x14ac:dyDescent="0.2">
      <c r="A2258">
        <v>2253</v>
      </c>
      <c r="B2258" t="s">
        <v>25918</v>
      </c>
      <c r="C2258" t="s">
        <v>25919</v>
      </c>
      <c r="D2258" t="s">
        <v>25920</v>
      </c>
      <c r="E2258" t="s">
        <v>25921</v>
      </c>
      <c r="F2258" t="s">
        <v>25922</v>
      </c>
      <c r="G2258" t="s">
        <v>25923</v>
      </c>
      <c r="H2258" t="str">
        <f>"Folr1"</f>
        <v>Folr1</v>
      </c>
      <c r="I2258" t="s">
        <v>25924</v>
      </c>
      <c r="J2258" t="s">
        <v>37</v>
      </c>
      <c r="K2258">
        <v>10090</v>
      </c>
      <c r="L2258" s="3" t="str">
        <f>HYPERLINK("http://www.uniprot.org/uniprot/P35846", "P35846")</f>
        <v>P35846</v>
      </c>
      <c r="M2258" t="s">
        <v>25925</v>
      </c>
      <c r="N2258" t="str">
        <f>"Folr1"</f>
        <v>Folr1</v>
      </c>
      <c r="O2258" s="3" t="str">
        <f>HYPERLINK("http://www.informatics.jax.org/marker/MGI:95568", "MGI:95568")</f>
        <v>MGI:95568</v>
      </c>
      <c r="P2258" t="s">
        <v>25926</v>
      </c>
      <c r="Q2258" t="s">
        <v>4425</v>
      </c>
      <c r="R2258" t="s">
        <v>25927</v>
      </c>
      <c r="S2258" t="s">
        <v>32</v>
      </c>
      <c r="T2258" t="s">
        <v>32</v>
      </c>
      <c r="U2258" t="s">
        <v>32</v>
      </c>
      <c r="V2258" t="s">
        <v>811</v>
      </c>
      <c r="W2258" t="s">
        <v>25928</v>
      </c>
      <c r="X2258" t="s">
        <v>6983</v>
      </c>
      <c r="Y2258" t="s">
        <v>25929</v>
      </c>
      <c r="Z2258" t="s">
        <v>32</v>
      </c>
      <c r="AA2258" t="s">
        <v>25930</v>
      </c>
      <c r="AB2258" t="s">
        <v>25931</v>
      </c>
      <c r="AC2258" t="s">
        <v>25932</v>
      </c>
      <c r="AD2258" t="s">
        <v>32</v>
      </c>
      <c r="AE2258" t="s">
        <v>25933</v>
      </c>
      <c r="AF2258" t="s">
        <v>46835</v>
      </c>
    </row>
    <row r="2259" spans="1:32" x14ac:dyDescent="0.2">
      <c r="A2259">
        <v>2254</v>
      </c>
      <c r="B2259" t="s">
        <v>25934</v>
      </c>
      <c r="C2259" t="s">
        <v>25935</v>
      </c>
      <c r="D2259" t="s">
        <v>25936</v>
      </c>
      <c r="E2259" t="s">
        <v>25937</v>
      </c>
      <c r="F2259" t="s">
        <v>25938</v>
      </c>
      <c r="G2259" t="s">
        <v>25939</v>
      </c>
      <c r="H2259" t="str">
        <f>"Rptor"</f>
        <v>Rptor</v>
      </c>
      <c r="I2259" t="s">
        <v>32</v>
      </c>
      <c r="J2259" t="s">
        <v>37</v>
      </c>
      <c r="K2259">
        <v>10090</v>
      </c>
      <c r="L2259" s="3" t="str">
        <f>HYPERLINK("http://www.uniprot.org/uniprot/Q8K4Q0", "Q8K4Q0")</f>
        <v>Q8K4Q0</v>
      </c>
      <c r="M2259" t="s">
        <v>25940</v>
      </c>
      <c r="N2259" t="str">
        <f>"Rptor"</f>
        <v>Rptor</v>
      </c>
      <c r="O2259" s="3" t="str">
        <f>HYPERLINK("http://www.informatics.jax.org/marker/MGI:1921620", "MGI:1921620")</f>
        <v>MGI:1921620</v>
      </c>
      <c r="P2259" t="s">
        <v>25941</v>
      </c>
      <c r="Q2259" t="s">
        <v>32</v>
      </c>
      <c r="R2259" t="s">
        <v>4810</v>
      </c>
      <c r="S2259" t="s">
        <v>41</v>
      </c>
      <c r="T2259" t="s">
        <v>32</v>
      </c>
      <c r="U2259" t="s">
        <v>32</v>
      </c>
      <c r="V2259" t="s">
        <v>1910</v>
      </c>
      <c r="W2259" t="s">
        <v>32</v>
      </c>
      <c r="X2259" t="s">
        <v>32</v>
      </c>
      <c r="Y2259" t="s">
        <v>618</v>
      </c>
      <c r="Z2259" t="s">
        <v>32</v>
      </c>
      <c r="AA2259" t="s">
        <v>25942</v>
      </c>
      <c r="AB2259" t="s">
        <v>25943</v>
      </c>
      <c r="AC2259" t="s">
        <v>25944</v>
      </c>
      <c r="AD2259" t="s">
        <v>32</v>
      </c>
      <c r="AE2259" t="s">
        <v>25945</v>
      </c>
      <c r="AF2259" t="s">
        <v>46835</v>
      </c>
    </row>
    <row r="2260" spans="1:32" x14ac:dyDescent="0.2">
      <c r="A2260">
        <v>2255</v>
      </c>
      <c r="B2260" t="s">
        <v>25946</v>
      </c>
      <c r="C2260" t="s">
        <v>25947</v>
      </c>
      <c r="D2260" t="s">
        <v>32</v>
      </c>
      <c r="E2260" t="s">
        <v>25948</v>
      </c>
      <c r="F2260" t="s">
        <v>25949</v>
      </c>
      <c r="G2260" t="s">
        <v>32</v>
      </c>
      <c r="H2260" t="str">
        <f>"Stxbp6"</f>
        <v>Stxbp6</v>
      </c>
      <c r="I2260" t="s">
        <v>32</v>
      </c>
      <c r="J2260" t="s">
        <v>37</v>
      </c>
      <c r="K2260">
        <v>10090</v>
      </c>
      <c r="L2260" s="3" t="str">
        <f>HYPERLINK("http://www.uniprot.org/uniprot/Q8R3T5", "Q8R3T5")</f>
        <v>Q8R3T5</v>
      </c>
      <c r="M2260" t="s">
        <v>25950</v>
      </c>
      <c r="N2260" t="str">
        <f>"Stxbp6"</f>
        <v>Stxbp6</v>
      </c>
      <c r="O2260" s="3" t="str">
        <f>HYPERLINK("http://www.informatics.jax.org/marker/MGI:2384963", "MGI:2384963")</f>
        <v>MGI:2384963</v>
      </c>
      <c r="P2260" t="s">
        <v>25951</v>
      </c>
      <c r="Q2260" t="s">
        <v>32</v>
      </c>
      <c r="R2260" t="s">
        <v>714</v>
      </c>
      <c r="S2260" t="s">
        <v>32</v>
      </c>
      <c r="T2260" t="s">
        <v>32</v>
      </c>
      <c r="U2260" t="s">
        <v>32</v>
      </c>
      <c r="V2260" t="s">
        <v>290</v>
      </c>
      <c r="W2260" t="s">
        <v>32</v>
      </c>
      <c r="X2260" t="s">
        <v>32</v>
      </c>
      <c r="Y2260" t="s">
        <v>78</v>
      </c>
      <c r="Z2260" t="s">
        <v>32</v>
      </c>
      <c r="AA2260" t="s">
        <v>25952</v>
      </c>
      <c r="AB2260" t="s">
        <v>25953</v>
      </c>
      <c r="AC2260" t="s">
        <v>24400</v>
      </c>
      <c r="AD2260" t="s">
        <v>32</v>
      </c>
      <c r="AE2260" t="s">
        <v>32</v>
      </c>
      <c r="AF2260" t="s">
        <v>46835</v>
      </c>
    </row>
    <row r="2261" spans="1:32" x14ac:dyDescent="0.2">
      <c r="A2261">
        <v>2256</v>
      </c>
      <c r="B2261" t="s">
        <v>25954</v>
      </c>
      <c r="C2261" t="s">
        <v>25955</v>
      </c>
      <c r="D2261" t="s">
        <v>25956</v>
      </c>
      <c r="E2261" t="s">
        <v>25957</v>
      </c>
      <c r="F2261" t="s">
        <v>25958</v>
      </c>
      <c r="G2261" t="s">
        <v>25959</v>
      </c>
      <c r="H2261" t="str">
        <f>"Ctps2"</f>
        <v>Ctps2</v>
      </c>
      <c r="I2261" t="s">
        <v>32</v>
      </c>
      <c r="J2261" t="s">
        <v>37</v>
      </c>
      <c r="K2261">
        <v>10090</v>
      </c>
      <c r="L2261" s="3" t="str">
        <f>HYPERLINK("http://www.uniprot.org/uniprot/P70303", "P70303")</f>
        <v>P70303</v>
      </c>
      <c r="M2261" t="s">
        <v>25960</v>
      </c>
      <c r="N2261" t="str">
        <f>"Ctps2"</f>
        <v>Ctps2</v>
      </c>
      <c r="O2261" s="3" t="str">
        <f>HYPERLINK("http://www.informatics.jax.org/marker/MGI:1933185", "MGI:1933185")</f>
        <v>MGI:1933185</v>
      </c>
      <c r="P2261" t="s">
        <v>25961</v>
      </c>
      <c r="Q2261" t="s">
        <v>6845</v>
      </c>
      <c r="R2261" t="s">
        <v>32</v>
      </c>
      <c r="S2261" t="s">
        <v>41</v>
      </c>
      <c r="T2261" t="s">
        <v>32</v>
      </c>
      <c r="U2261" t="s">
        <v>32</v>
      </c>
      <c r="V2261" t="s">
        <v>7957</v>
      </c>
      <c r="W2261" t="s">
        <v>205</v>
      </c>
      <c r="X2261" t="s">
        <v>1022</v>
      </c>
      <c r="Y2261" t="s">
        <v>618</v>
      </c>
      <c r="Z2261" t="s">
        <v>126</v>
      </c>
      <c r="AA2261" t="s">
        <v>25962</v>
      </c>
      <c r="AB2261" t="s">
        <v>25963</v>
      </c>
      <c r="AC2261" t="s">
        <v>10381</v>
      </c>
      <c r="AD2261" t="s">
        <v>25964</v>
      </c>
      <c r="AE2261" t="s">
        <v>6139</v>
      </c>
      <c r="AF2261" t="s">
        <v>46835</v>
      </c>
    </row>
    <row r="2262" spans="1:32" x14ac:dyDescent="0.2">
      <c r="A2262">
        <v>2257</v>
      </c>
      <c r="B2262" t="s">
        <v>25965</v>
      </c>
      <c r="C2262" t="s">
        <v>25966</v>
      </c>
      <c r="D2262" t="s">
        <v>25967</v>
      </c>
      <c r="E2262" t="s">
        <v>25968</v>
      </c>
      <c r="F2262" t="s">
        <v>25969</v>
      </c>
      <c r="G2262" t="s">
        <v>25970</v>
      </c>
      <c r="H2262" t="str">
        <f>"Nup54"</f>
        <v>Nup54</v>
      </c>
      <c r="I2262" t="s">
        <v>32</v>
      </c>
      <c r="J2262" t="s">
        <v>37</v>
      </c>
      <c r="K2262">
        <v>10090</v>
      </c>
      <c r="L2262" s="3" t="str">
        <f>HYPERLINK("http://www.uniprot.org/uniprot/Q8BTS4", "Q8BTS4")</f>
        <v>Q8BTS4</v>
      </c>
      <c r="M2262" t="s">
        <v>25971</v>
      </c>
      <c r="N2262" t="str">
        <f>"Nup54"</f>
        <v>Nup54</v>
      </c>
      <c r="O2262" s="3" t="str">
        <f>HYPERLINK("http://www.informatics.jax.org/marker/MGI:1920460", "MGI:1920460")</f>
        <v>MGI:1920460</v>
      </c>
      <c r="P2262" t="s">
        <v>25972</v>
      </c>
      <c r="Q2262" t="s">
        <v>6423</v>
      </c>
      <c r="R2262" t="s">
        <v>8238</v>
      </c>
      <c r="S2262" t="s">
        <v>32</v>
      </c>
      <c r="T2262" t="s">
        <v>32</v>
      </c>
      <c r="U2262" t="s">
        <v>32</v>
      </c>
      <c r="V2262" t="s">
        <v>55</v>
      </c>
      <c r="W2262" t="s">
        <v>32</v>
      </c>
      <c r="X2262" t="s">
        <v>32</v>
      </c>
      <c r="Y2262" t="s">
        <v>3733</v>
      </c>
      <c r="Z2262" t="s">
        <v>32</v>
      </c>
      <c r="AA2262" t="s">
        <v>25973</v>
      </c>
      <c r="AB2262" t="s">
        <v>25974</v>
      </c>
      <c r="AC2262" t="s">
        <v>25975</v>
      </c>
      <c r="AD2262" t="s">
        <v>32</v>
      </c>
      <c r="AE2262" t="s">
        <v>4686</v>
      </c>
      <c r="AF2262" t="s">
        <v>46835</v>
      </c>
    </row>
    <row r="2263" spans="1:32" x14ac:dyDescent="0.2">
      <c r="A2263">
        <v>2258</v>
      </c>
      <c r="B2263" t="s">
        <v>25976</v>
      </c>
      <c r="C2263" t="s">
        <v>25977</v>
      </c>
      <c r="D2263" t="s">
        <v>32</v>
      </c>
      <c r="E2263" t="s">
        <v>25978</v>
      </c>
      <c r="F2263" t="s">
        <v>25979</v>
      </c>
      <c r="G2263" t="s">
        <v>25980</v>
      </c>
      <c r="H2263" t="str">
        <f>"Ranbp3"</f>
        <v>Ranbp3</v>
      </c>
      <c r="I2263" t="s">
        <v>32</v>
      </c>
      <c r="J2263" t="s">
        <v>37</v>
      </c>
      <c r="K2263">
        <v>10090</v>
      </c>
      <c r="L2263" s="3" t="str">
        <f>HYPERLINK("http://www.uniprot.org/uniprot/Q9CT10", "Q9CT10")</f>
        <v>Q9CT10</v>
      </c>
      <c r="M2263" t="s">
        <v>25981</v>
      </c>
      <c r="N2263" t="str">
        <f>"Ranbp3"</f>
        <v>Ranbp3</v>
      </c>
      <c r="O2263" s="3" t="str">
        <f>HYPERLINK("http://www.informatics.jax.org/marker/MGI:1919060", "MGI:1919060")</f>
        <v>MGI:1919060</v>
      </c>
      <c r="P2263" t="s">
        <v>5967</v>
      </c>
      <c r="Q2263" t="s">
        <v>434</v>
      </c>
      <c r="R2263" t="s">
        <v>40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32</v>
      </c>
      <c r="Y2263" t="s">
        <v>157</v>
      </c>
      <c r="Z2263" t="s">
        <v>32</v>
      </c>
      <c r="AA2263" t="s">
        <v>25982</v>
      </c>
      <c r="AB2263" t="s">
        <v>25983</v>
      </c>
      <c r="AC2263" t="s">
        <v>25984</v>
      </c>
      <c r="AD2263" t="s">
        <v>32</v>
      </c>
      <c r="AE2263" t="s">
        <v>32</v>
      </c>
      <c r="AF2263" t="s">
        <v>46835</v>
      </c>
    </row>
    <row r="2264" spans="1:32" x14ac:dyDescent="0.2">
      <c r="A2264">
        <v>2259</v>
      </c>
      <c r="B2264" t="s">
        <v>25985</v>
      </c>
      <c r="C2264" t="s">
        <v>25986</v>
      </c>
      <c r="D2264" t="s">
        <v>25987</v>
      </c>
      <c r="E2264" t="s">
        <v>25988</v>
      </c>
      <c r="F2264" t="s">
        <v>25989</v>
      </c>
      <c r="G2264" t="s">
        <v>25990</v>
      </c>
      <c r="H2264" t="str">
        <f>"Nub1"</f>
        <v>Nub1</v>
      </c>
      <c r="I2264" t="s">
        <v>25991</v>
      </c>
      <c r="J2264" t="s">
        <v>37</v>
      </c>
      <c r="K2264">
        <v>10090</v>
      </c>
      <c r="L2264" s="3" t="str">
        <f>HYPERLINK("http://www.uniprot.org/uniprot/P54729", "P54729")</f>
        <v>P54729</v>
      </c>
      <c r="M2264" t="s">
        <v>25992</v>
      </c>
      <c r="N2264" t="str">
        <f>"Nub1"</f>
        <v>Nub1</v>
      </c>
      <c r="O2264" s="3" t="str">
        <f>HYPERLINK("http://www.informatics.jax.org/marker/MGI:1889001", "MGI:1889001")</f>
        <v>MGI:1889001</v>
      </c>
      <c r="P2264" t="s">
        <v>25993</v>
      </c>
      <c r="Q2264" t="s">
        <v>32</v>
      </c>
      <c r="R2264" t="s">
        <v>2279</v>
      </c>
      <c r="S2264" t="s">
        <v>32</v>
      </c>
      <c r="T2264" t="s">
        <v>32</v>
      </c>
      <c r="U2264" t="s">
        <v>32</v>
      </c>
      <c r="V2264" t="s">
        <v>137</v>
      </c>
      <c r="W2264" t="s">
        <v>32</v>
      </c>
      <c r="X2264" t="s">
        <v>32</v>
      </c>
      <c r="Y2264" t="s">
        <v>32</v>
      </c>
      <c r="Z2264" t="s">
        <v>126</v>
      </c>
      <c r="AA2264" t="s">
        <v>25994</v>
      </c>
      <c r="AB2264" t="s">
        <v>25995</v>
      </c>
      <c r="AC2264" t="s">
        <v>32</v>
      </c>
      <c r="AD2264" t="s">
        <v>32</v>
      </c>
      <c r="AE2264" t="s">
        <v>14635</v>
      </c>
      <c r="AF2264" t="s">
        <v>46835</v>
      </c>
    </row>
    <row r="2265" spans="1:32" x14ac:dyDescent="0.2">
      <c r="A2265">
        <v>2260</v>
      </c>
      <c r="B2265" t="s">
        <v>25996</v>
      </c>
      <c r="C2265" t="s">
        <v>25997</v>
      </c>
      <c r="D2265" t="s">
        <v>25998</v>
      </c>
      <c r="E2265" t="s">
        <v>25999</v>
      </c>
      <c r="F2265" t="s">
        <v>26000</v>
      </c>
      <c r="G2265" t="s">
        <v>32</v>
      </c>
      <c r="H2265" t="str">
        <f>"Mocs3"</f>
        <v>Mocs3</v>
      </c>
      <c r="I2265" t="s">
        <v>26001</v>
      </c>
      <c r="J2265" t="s">
        <v>37</v>
      </c>
      <c r="K2265">
        <v>10090</v>
      </c>
      <c r="L2265" s="3" t="str">
        <f>HYPERLINK("http://www.uniprot.org/uniprot/A2BDX3", "A2BDX3")</f>
        <v>A2BDX3</v>
      </c>
      <c r="M2265" t="s">
        <v>26002</v>
      </c>
      <c r="N2265" t="str">
        <f>"Mocs3"</f>
        <v>Mocs3</v>
      </c>
      <c r="O2265" s="3" t="str">
        <f>HYPERLINK("http://www.informatics.jax.org/marker/MGI:1916622", "MGI:1916622")</f>
        <v>MGI:1916622</v>
      </c>
      <c r="P2265" t="s">
        <v>26003</v>
      </c>
      <c r="Q2265" t="s">
        <v>26004</v>
      </c>
      <c r="R2265" t="s">
        <v>418</v>
      </c>
      <c r="S2265" t="s">
        <v>32</v>
      </c>
      <c r="T2265" t="s">
        <v>32</v>
      </c>
      <c r="U2265" t="s">
        <v>32</v>
      </c>
      <c r="V2265" t="s">
        <v>32</v>
      </c>
      <c r="W2265" t="s">
        <v>2325</v>
      </c>
      <c r="X2265" t="s">
        <v>26005</v>
      </c>
      <c r="Y2265" t="s">
        <v>494</v>
      </c>
      <c r="Z2265" t="s">
        <v>32</v>
      </c>
      <c r="AA2265" t="s">
        <v>26006</v>
      </c>
      <c r="AB2265" t="s">
        <v>2206</v>
      </c>
      <c r="AC2265" t="s">
        <v>26007</v>
      </c>
      <c r="AD2265" t="s">
        <v>17163</v>
      </c>
      <c r="AE2265" t="s">
        <v>26008</v>
      </c>
      <c r="AF2265" t="s">
        <v>46835</v>
      </c>
    </row>
    <row r="2266" spans="1:32" x14ac:dyDescent="0.2">
      <c r="A2266">
        <v>2261</v>
      </c>
      <c r="B2266" t="s">
        <v>26009</v>
      </c>
      <c r="C2266" t="s">
        <v>26010</v>
      </c>
      <c r="D2266" t="s">
        <v>26011</v>
      </c>
      <c r="E2266" t="s">
        <v>26012</v>
      </c>
      <c r="F2266" t="s">
        <v>26013</v>
      </c>
      <c r="G2266" t="s">
        <v>26014</v>
      </c>
      <c r="H2266" t="str">
        <f>"Arhgef12"</f>
        <v>Arhgef12</v>
      </c>
      <c r="I2266" t="s">
        <v>26015</v>
      </c>
      <c r="J2266" t="s">
        <v>37</v>
      </c>
      <c r="K2266">
        <v>10090</v>
      </c>
      <c r="L2266" s="3" t="str">
        <f>HYPERLINK("http://www.uniprot.org/uniprot/Q8R4H2", "Q8R4H2")</f>
        <v>Q8R4H2</v>
      </c>
      <c r="M2266" t="s">
        <v>26016</v>
      </c>
      <c r="N2266" t="str">
        <f>"Arhgef12"</f>
        <v>Arhgef12</v>
      </c>
      <c r="O2266" s="3" t="str">
        <f>HYPERLINK("http://www.informatics.jax.org/marker/MGI:1916882", "MGI:1916882")</f>
        <v>MGI:1916882</v>
      </c>
      <c r="P2266" t="s">
        <v>26017</v>
      </c>
      <c r="Q2266" t="s">
        <v>32</v>
      </c>
      <c r="R2266" t="s">
        <v>714</v>
      </c>
      <c r="S2266" t="s">
        <v>32</v>
      </c>
      <c r="T2266" t="s">
        <v>32</v>
      </c>
      <c r="U2266" t="s">
        <v>32</v>
      </c>
      <c r="V2266" t="s">
        <v>290</v>
      </c>
      <c r="W2266" t="s">
        <v>32</v>
      </c>
      <c r="X2266" t="s">
        <v>26018</v>
      </c>
      <c r="Y2266" t="s">
        <v>157</v>
      </c>
      <c r="Z2266" t="s">
        <v>32</v>
      </c>
      <c r="AA2266" t="s">
        <v>26019</v>
      </c>
      <c r="AB2266" t="s">
        <v>26020</v>
      </c>
      <c r="AC2266" t="s">
        <v>26021</v>
      </c>
      <c r="AD2266" t="s">
        <v>32</v>
      </c>
      <c r="AE2266" t="s">
        <v>26022</v>
      </c>
      <c r="AF2266" t="s">
        <v>46835</v>
      </c>
    </row>
    <row r="2267" spans="1:32" x14ac:dyDescent="0.2">
      <c r="A2267">
        <v>2262</v>
      </c>
      <c r="B2267" t="s">
        <v>26023</v>
      </c>
      <c r="C2267" t="s">
        <v>26024</v>
      </c>
      <c r="D2267" t="s">
        <v>32</v>
      </c>
      <c r="E2267" t="s">
        <v>26025</v>
      </c>
      <c r="F2267" t="s">
        <v>26026</v>
      </c>
      <c r="G2267" t="s">
        <v>26027</v>
      </c>
      <c r="H2267" t="str">
        <f>"Faim"</f>
        <v>Faim</v>
      </c>
      <c r="I2267" t="s">
        <v>26028</v>
      </c>
      <c r="J2267" t="s">
        <v>37</v>
      </c>
      <c r="K2267">
        <v>10090</v>
      </c>
      <c r="L2267" s="3" t="str">
        <f>HYPERLINK("http://www.uniprot.org/uniprot/Q9WUD8", "Q9WUD8")</f>
        <v>Q9WUD8</v>
      </c>
      <c r="M2267" t="s">
        <v>26029</v>
      </c>
      <c r="N2267" t="str">
        <f>"Faim"</f>
        <v>Faim</v>
      </c>
      <c r="O2267" s="3" t="str">
        <f>HYPERLINK("http://www.informatics.jax.org/marker/MGI:1344387", "MGI:1344387")</f>
        <v>MGI:1344387</v>
      </c>
      <c r="P2267" t="s">
        <v>26030</v>
      </c>
      <c r="Q2267" t="s">
        <v>541</v>
      </c>
      <c r="R2267" t="s">
        <v>418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32</v>
      </c>
      <c r="Y2267" t="s">
        <v>78</v>
      </c>
      <c r="Z2267" t="s">
        <v>126</v>
      </c>
      <c r="AA2267" t="s">
        <v>26031</v>
      </c>
      <c r="AB2267" t="s">
        <v>2172</v>
      </c>
      <c r="AC2267" t="s">
        <v>32</v>
      </c>
      <c r="AD2267" t="s">
        <v>32</v>
      </c>
      <c r="AE2267" t="s">
        <v>32</v>
      </c>
      <c r="AF2267" t="s">
        <v>46835</v>
      </c>
    </row>
    <row r="2268" spans="1:32" x14ac:dyDescent="0.2">
      <c r="A2268">
        <v>2263</v>
      </c>
      <c r="B2268" t="s">
        <v>26032</v>
      </c>
      <c r="C2268" t="s">
        <v>26033</v>
      </c>
      <c r="D2268" t="s">
        <v>26034</v>
      </c>
      <c r="E2268" t="s">
        <v>26035</v>
      </c>
      <c r="F2268" t="s">
        <v>26036</v>
      </c>
      <c r="G2268" t="s">
        <v>32</v>
      </c>
      <c r="H2268" t="str">
        <f>"Lin7c"</f>
        <v>Lin7c</v>
      </c>
      <c r="I2268" t="s">
        <v>26037</v>
      </c>
      <c r="J2268" t="s">
        <v>37</v>
      </c>
      <c r="K2268">
        <v>10090</v>
      </c>
      <c r="L2268" s="3" t="str">
        <f>HYPERLINK("http://www.uniprot.org/uniprot/O88952", "O88952")</f>
        <v>O88952</v>
      </c>
      <c r="M2268" t="s">
        <v>26038</v>
      </c>
      <c r="N2268" t="str">
        <f>"Lin7c"</f>
        <v>Lin7c</v>
      </c>
      <c r="O2268" s="3" t="str">
        <f>HYPERLINK("http://www.informatics.jax.org/marker/MGI:1330839", "MGI:1330839")</f>
        <v>MGI:1330839</v>
      </c>
      <c r="P2268" t="s">
        <v>26039</v>
      </c>
      <c r="Q2268" t="s">
        <v>24397</v>
      </c>
      <c r="R2268" t="s">
        <v>26040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32</v>
      </c>
      <c r="Y2268" t="s">
        <v>78</v>
      </c>
      <c r="Z2268" t="s">
        <v>32</v>
      </c>
      <c r="AA2268" t="s">
        <v>26041</v>
      </c>
      <c r="AB2268" t="s">
        <v>26042</v>
      </c>
      <c r="AC2268" t="s">
        <v>26043</v>
      </c>
      <c r="AD2268" t="s">
        <v>32</v>
      </c>
      <c r="AE2268" t="s">
        <v>26044</v>
      </c>
      <c r="AF2268" t="s">
        <v>46835</v>
      </c>
    </row>
    <row r="2269" spans="1:32" x14ac:dyDescent="0.2">
      <c r="A2269">
        <v>2264</v>
      </c>
      <c r="B2269" t="s">
        <v>26045</v>
      </c>
      <c r="C2269" t="s">
        <v>26046</v>
      </c>
      <c r="D2269" t="s">
        <v>26047</v>
      </c>
      <c r="E2269" t="s">
        <v>26048</v>
      </c>
      <c r="F2269" t="s">
        <v>26049</v>
      </c>
      <c r="G2269" t="s">
        <v>26050</v>
      </c>
      <c r="H2269" t="str">
        <f>"Anapc1"</f>
        <v>Anapc1</v>
      </c>
      <c r="I2269" t="s">
        <v>26051</v>
      </c>
      <c r="J2269" t="s">
        <v>37</v>
      </c>
      <c r="K2269">
        <v>10090</v>
      </c>
      <c r="L2269" s="3" t="str">
        <f>HYPERLINK("http://www.uniprot.org/uniprot/P53995", "P53995")</f>
        <v>P53995</v>
      </c>
      <c r="M2269" t="s">
        <v>26052</v>
      </c>
      <c r="N2269" t="str">
        <f>"Anapc1"</f>
        <v>Anapc1</v>
      </c>
      <c r="O2269" s="3" t="str">
        <f>HYPERLINK("http://www.informatics.jax.org/marker/MGI:103097", "MGI:103097")</f>
        <v>MGI:103097</v>
      </c>
      <c r="P2269" t="s">
        <v>26053</v>
      </c>
      <c r="Q2269" t="s">
        <v>19695</v>
      </c>
      <c r="R2269" t="s">
        <v>32</v>
      </c>
      <c r="S2269" t="s">
        <v>32</v>
      </c>
      <c r="T2269" t="s">
        <v>32</v>
      </c>
      <c r="U2269" t="s">
        <v>32</v>
      </c>
      <c r="V2269" t="s">
        <v>55</v>
      </c>
      <c r="W2269" t="s">
        <v>32</v>
      </c>
      <c r="X2269" t="s">
        <v>32</v>
      </c>
      <c r="Y2269" t="s">
        <v>618</v>
      </c>
      <c r="Z2269" t="s">
        <v>32</v>
      </c>
      <c r="AA2269" t="s">
        <v>26054</v>
      </c>
      <c r="AB2269" t="s">
        <v>26055</v>
      </c>
      <c r="AC2269" t="s">
        <v>11076</v>
      </c>
      <c r="AD2269" t="s">
        <v>1027</v>
      </c>
      <c r="AE2269" t="s">
        <v>19698</v>
      </c>
      <c r="AF2269" t="s">
        <v>46835</v>
      </c>
    </row>
    <row r="2270" spans="1:32" x14ac:dyDescent="0.2">
      <c r="A2270">
        <v>2265</v>
      </c>
      <c r="B2270" t="s">
        <v>26056</v>
      </c>
      <c r="C2270" t="s">
        <v>26057</v>
      </c>
      <c r="D2270" t="s">
        <v>26058</v>
      </c>
      <c r="E2270" t="s">
        <v>26059</v>
      </c>
      <c r="F2270" t="s">
        <v>26060</v>
      </c>
      <c r="G2270" t="s">
        <v>26061</v>
      </c>
      <c r="H2270" t="str">
        <f>"Bphl"</f>
        <v>Bphl</v>
      </c>
      <c r="I2270" t="s">
        <v>32</v>
      </c>
      <c r="J2270" t="s">
        <v>37</v>
      </c>
      <c r="K2270">
        <v>10090</v>
      </c>
      <c r="L2270" s="3" t="str">
        <f>HYPERLINK("http://www.uniprot.org/uniprot/Q8R164", "Q8R164")</f>
        <v>Q8R164</v>
      </c>
      <c r="M2270" t="s">
        <v>26062</v>
      </c>
      <c r="N2270" t="str">
        <f>"Bphl"</f>
        <v>Bphl</v>
      </c>
      <c r="O2270" s="3" t="str">
        <f>HYPERLINK("http://www.informatics.jax.org/marker/MGI:1915271", "MGI:1915271")</f>
        <v>MGI:1915271</v>
      </c>
      <c r="P2270" t="s">
        <v>26063</v>
      </c>
      <c r="Q2270" t="s">
        <v>32</v>
      </c>
      <c r="R2270" t="s">
        <v>418</v>
      </c>
      <c r="S2270" t="s">
        <v>32</v>
      </c>
      <c r="T2270" t="s">
        <v>32</v>
      </c>
      <c r="U2270" t="s">
        <v>32</v>
      </c>
      <c r="V2270" t="s">
        <v>811</v>
      </c>
      <c r="W2270" t="s">
        <v>32</v>
      </c>
      <c r="X2270" t="s">
        <v>343</v>
      </c>
      <c r="Y2270" t="s">
        <v>78</v>
      </c>
      <c r="Z2270" t="s">
        <v>32</v>
      </c>
      <c r="AA2270" t="s">
        <v>32</v>
      </c>
      <c r="AB2270" t="s">
        <v>3721</v>
      </c>
      <c r="AC2270" t="s">
        <v>26064</v>
      </c>
      <c r="AD2270" t="s">
        <v>32</v>
      </c>
      <c r="AE2270" t="s">
        <v>15399</v>
      </c>
      <c r="AF2270" t="s">
        <v>46835</v>
      </c>
    </row>
    <row r="2271" spans="1:32" x14ac:dyDescent="0.2">
      <c r="A2271">
        <v>2266</v>
      </c>
      <c r="B2271" t="s">
        <v>26065</v>
      </c>
      <c r="C2271" t="s">
        <v>26066</v>
      </c>
      <c r="D2271" t="s">
        <v>32</v>
      </c>
      <c r="E2271" t="s">
        <v>26067</v>
      </c>
      <c r="F2271" t="s">
        <v>26068</v>
      </c>
      <c r="G2271" t="s">
        <v>26069</v>
      </c>
      <c r="H2271" t="str">
        <f>"Hspa2"</f>
        <v>Hspa2</v>
      </c>
      <c r="I2271" t="s">
        <v>26070</v>
      </c>
      <c r="J2271" t="s">
        <v>37</v>
      </c>
      <c r="K2271">
        <v>10090</v>
      </c>
      <c r="L2271" s="3" t="str">
        <f>HYPERLINK("http://www.uniprot.org/uniprot/P17156", "P17156")</f>
        <v>P17156</v>
      </c>
      <c r="M2271" t="s">
        <v>26071</v>
      </c>
      <c r="N2271" t="str">
        <f>"Hspa2"</f>
        <v>Hspa2</v>
      </c>
      <c r="O2271" s="3" t="str">
        <f>HYPERLINK("http://www.informatics.jax.org/marker/MGI:96243", "MGI:96243")</f>
        <v>MGI:96243</v>
      </c>
      <c r="P2271" t="s">
        <v>26072</v>
      </c>
      <c r="Q2271" t="s">
        <v>26073</v>
      </c>
      <c r="R2271" t="s">
        <v>186</v>
      </c>
      <c r="S2271" t="s">
        <v>32</v>
      </c>
      <c r="T2271" t="s">
        <v>32</v>
      </c>
      <c r="U2271" t="s">
        <v>32</v>
      </c>
      <c r="V2271" t="s">
        <v>32</v>
      </c>
      <c r="W2271" t="s">
        <v>205</v>
      </c>
      <c r="X2271" t="s">
        <v>388</v>
      </c>
      <c r="Y2271" t="s">
        <v>2734</v>
      </c>
      <c r="Z2271" t="s">
        <v>32</v>
      </c>
      <c r="AA2271" t="s">
        <v>26074</v>
      </c>
      <c r="AB2271" t="s">
        <v>26075</v>
      </c>
      <c r="AC2271" t="s">
        <v>26076</v>
      </c>
      <c r="AD2271" t="s">
        <v>32</v>
      </c>
      <c r="AE2271" t="s">
        <v>26077</v>
      </c>
      <c r="AF2271" t="s">
        <v>46835</v>
      </c>
    </row>
    <row r="2272" spans="1:32" x14ac:dyDescent="0.2">
      <c r="A2272">
        <v>2267</v>
      </c>
      <c r="B2272" t="s">
        <v>26078</v>
      </c>
      <c r="C2272" t="s">
        <v>26079</v>
      </c>
      <c r="D2272" t="s">
        <v>32</v>
      </c>
      <c r="E2272" t="s">
        <v>26080</v>
      </c>
      <c r="F2272" t="s">
        <v>26081</v>
      </c>
      <c r="G2272" t="s">
        <v>26082</v>
      </c>
      <c r="H2272" t="str">
        <f>"Spryd4"</f>
        <v>Spryd4</v>
      </c>
      <c r="I2272" t="s">
        <v>32</v>
      </c>
      <c r="J2272" t="s">
        <v>37</v>
      </c>
      <c r="K2272">
        <v>10090</v>
      </c>
      <c r="L2272" s="3" t="str">
        <f>HYPERLINK("http://www.uniprot.org/uniprot/Q91WK1", "Q91WK1")</f>
        <v>Q91WK1</v>
      </c>
      <c r="M2272" t="s">
        <v>26083</v>
      </c>
      <c r="N2272" t="str">
        <f>"Spryd4"</f>
        <v>Spryd4</v>
      </c>
      <c r="O2272" s="3" t="str">
        <f>HYPERLINK("http://www.informatics.jax.org/marker/MGI:1913951", "MGI:1913951")</f>
        <v>MGI:1913951</v>
      </c>
      <c r="P2272" t="s">
        <v>78</v>
      </c>
      <c r="Q2272" t="s">
        <v>32</v>
      </c>
      <c r="R2272" t="s">
        <v>32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32</v>
      </c>
      <c r="Y2272" t="s">
        <v>78</v>
      </c>
      <c r="Z2272" t="s">
        <v>32</v>
      </c>
      <c r="AA2272" t="s">
        <v>26084</v>
      </c>
      <c r="AB2272" t="s">
        <v>12211</v>
      </c>
      <c r="AC2272" t="s">
        <v>32</v>
      </c>
      <c r="AD2272" t="s">
        <v>32</v>
      </c>
      <c r="AE2272" t="s">
        <v>32</v>
      </c>
      <c r="AF2272" t="s">
        <v>46835</v>
      </c>
    </row>
    <row r="2273" spans="1:32" x14ac:dyDescent="0.2">
      <c r="A2273">
        <v>2268</v>
      </c>
      <c r="B2273" t="s">
        <v>26085</v>
      </c>
      <c r="C2273" t="s">
        <v>26086</v>
      </c>
      <c r="D2273" t="s">
        <v>32</v>
      </c>
      <c r="E2273" t="s">
        <v>26087</v>
      </c>
      <c r="F2273" t="s">
        <v>26088</v>
      </c>
      <c r="G2273" t="s">
        <v>26089</v>
      </c>
      <c r="H2273" t="str">
        <f>"Rhoa"</f>
        <v>Rhoa</v>
      </c>
      <c r="I2273" t="s">
        <v>26090</v>
      </c>
      <c r="J2273" t="s">
        <v>37</v>
      </c>
      <c r="K2273">
        <v>10090</v>
      </c>
      <c r="L2273" s="3" t="str">
        <f>HYPERLINK("http://www.uniprot.org/uniprot/Q9QUI0", "Q9QUI0")</f>
        <v>Q9QUI0</v>
      </c>
      <c r="M2273" t="s">
        <v>26091</v>
      </c>
      <c r="N2273" t="str">
        <f>"Rhoa"</f>
        <v>Rhoa</v>
      </c>
      <c r="O2273" s="3" t="str">
        <f>HYPERLINK("http://www.informatics.jax.org/marker/MGI:1096342", "MGI:1096342")</f>
        <v>MGI:1096342</v>
      </c>
      <c r="P2273" t="s">
        <v>26092</v>
      </c>
      <c r="Q2273" t="s">
        <v>11508</v>
      </c>
      <c r="R2273" t="s">
        <v>2265</v>
      </c>
      <c r="S2273" t="s">
        <v>32</v>
      </c>
      <c r="T2273" t="s">
        <v>32</v>
      </c>
      <c r="U2273" t="s">
        <v>4682</v>
      </c>
      <c r="V2273" t="s">
        <v>32</v>
      </c>
      <c r="W2273" t="s">
        <v>261</v>
      </c>
      <c r="X2273" t="s">
        <v>343</v>
      </c>
      <c r="Y2273" t="s">
        <v>26093</v>
      </c>
      <c r="Z2273" t="s">
        <v>126</v>
      </c>
      <c r="AA2273" t="s">
        <v>26094</v>
      </c>
      <c r="AB2273" t="s">
        <v>26095</v>
      </c>
      <c r="AC2273" t="s">
        <v>26096</v>
      </c>
      <c r="AD2273" t="s">
        <v>32</v>
      </c>
      <c r="AE2273" t="s">
        <v>26097</v>
      </c>
      <c r="AF2273" t="s">
        <v>46835</v>
      </c>
    </row>
    <row r="2274" spans="1:32" x14ac:dyDescent="0.2">
      <c r="A2274">
        <v>2269</v>
      </c>
      <c r="B2274" t="s">
        <v>26098</v>
      </c>
      <c r="C2274" t="s">
        <v>26099</v>
      </c>
      <c r="D2274" t="s">
        <v>26100</v>
      </c>
      <c r="E2274" t="s">
        <v>26101</v>
      </c>
      <c r="F2274" t="s">
        <v>26102</v>
      </c>
      <c r="G2274" t="s">
        <v>32</v>
      </c>
      <c r="H2274" t="str">
        <f>"Nmt2"</f>
        <v>Nmt2</v>
      </c>
      <c r="I2274" t="s">
        <v>32</v>
      </c>
      <c r="J2274" t="s">
        <v>37</v>
      </c>
      <c r="K2274">
        <v>10090</v>
      </c>
      <c r="L2274" s="3" t="str">
        <f>HYPERLINK("http://www.uniprot.org/uniprot/O70311", "O70311")</f>
        <v>O70311</v>
      </c>
      <c r="M2274" t="s">
        <v>26103</v>
      </c>
      <c r="N2274" t="str">
        <f>"Nmt2"</f>
        <v>Nmt2</v>
      </c>
      <c r="O2274" s="3" t="str">
        <f>HYPERLINK("http://www.informatics.jax.org/marker/MGI:1202298", "MGI:1202298")</f>
        <v>MGI:1202298</v>
      </c>
      <c r="P2274" t="s">
        <v>11222</v>
      </c>
      <c r="Q2274" t="s">
        <v>32</v>
      </c>
      <c r="R2274" t="s">
        <v>714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7304</v>
      </c>
      <c r="Y2274" t="s">
        <v>618</v>
      </c>
      <c r="Z2274" t="s">
        <v>32</v>
      </c>
      <c r="AA2274" t="s">
        <v>26104</v>
      </c>
      <c r="AB2274" t="s">
        <v>26105</v>
      </c>
      <c r="AC2274" t="s">
        <v>26106</v>
      </c>
      <c r="AD2274" t="s">
        <v>32</v>
      </c>
      <c r="AE2274" t="s">
        <v>3458</v>
      </c>
      <c r="AF2274" t="s">
        <v>46835</v>
      </c>
    </row>
    <row r="2275" spans="1:32" x14ac:dyDescent="0.2">
      <c r="A2275">
        <v>2270</v>
      </c>
      <c r="B2275" t="s">
        <v>26107</v>
      </c>
      <c r="C2275" t="s">
        <v>26108</v>
      </c>
      <c r="D2275" t="s">
        <v>26109</v>
      </c>
      <c r="E2275" t="s">
        <v>26110</v>
      </c>
      <c r="F2275" t="s">
        <v>26111</v>
      </c>
      <c r="G2275" t="s">
        <v>26112</v>
      </c>
      <c r="H2275" t="str">
        <f>"Zfand6"</f>
        <v>Zfand6</v>
      </c>
      <c r="I2275" t="s">
        <v>26113</v>
      </c>
      <c r="J2275" t="s">
        <v>37</v>
      </c>
      <c r="K2275">
        <v>10090</v>
      </c>
      <c r="L2275" s="3" t="str">
        <f>HYPERLINK("http://www.uniprot.org/uniprot/Q9DCH6", "Q9DCH6")</f>
        <v>Q9DCH6</v>
      </c>
      <c r="M2275" t="s">
        <v>26114</v>
      </c>
      <c r="N2275" t="str">
        <f>"Zfand6"</f>
        <v>Zfand6</v>
      </c>
      <c r="O2275" s="3" t="str">
        <f>HYPERLINK("http://www.informatics.jax.org/marker/MGI:1929510", "MGI:1929510")</f>
        <v>MGI:1929510</v>
      </c>
      <c r="P2275" t="s">
        <v>26115</v>
      </c>
      <c r="Q2275" t="s">
        <v>5895</v>
      </c>
      <c r="R2275" t="s">
        <v>418</v>
      </c>
      <c r="S2275" t="s">
        <v>32</v>
      </c>
      <c r="T2275" t="s">
        <v>32</v>
      </c>
      <c r="U2275" t="s">
        <v>32</v>
      </c>
      <c r="V2275" t="s">
        <v>446</v>
      </c>
      <c r="W2275" t="s">
        <v>42</v>
      </c>
      <c r="X2275" t="s">
        <v>32</v>
      </c>
      <c r="Y2275" t="s">
        <v>157</v>
      </c>
      <c r="Z2275" t="s">
        <v>32</v>
      </c>
      <c r="AA2275" t="s">
        <v>26116</v>
      </c>
      <c r="AB2275" t="s">
        <v>2172</v>
      </c>
      <c r="AC2275" t="s">
        <v>26117</v>
      </c>
      <c r="AD2275" t="s">
        <v>32</v>
      </c>
      <c r="AE2275" t="s">
        <v>26118</v>
      </c>
      <c r="AF2275" t="s">
        <v>46835</v>
      </c>
    </row>
    <row r="2276" spans="1:32" x14ac:dyDescent="0.2">
      <c r="A2276">
        <v>2271</v>
      </c>
      <c r="B2276" t="s">
        <v>26119</v>
      </c>
      <c r="C2276" t="s">
        <v>26120</v>
      </c>
      <c r="D2276" t="s">
        <v>26121</v>
      </c>
      <c r="E2276" t="s">
        <v>26122</v>
      </c>
      <c r="F2276" t="s">
        <v>26123</v>
      </c>
      <c r="G2276" t="s">
        <v>26124</v>
      </c>
      <c r="H2276" t="str">
        <f>"Seh1l"</f>
        <v>Seh1l</v>
      </c>
      <c r="I2276" t="s">
        <v>32</v>
      </c>
      <c r="J2276" t="s">
        <v>37</v>
      </c>
      <c r="K2276">
        <v>10090</v>
      </c>
      <c r="L2276" s="3" t="str">
        <f>HYPERLINK("http://www.uniprot.org/uniprot/Q8R2U0", "Q8R2U0")</f>
        <v>Q8R2U0</v>
      </c>
      <c r="M2276" t="s">
        <v>26125</v>
      </c>
      <c r="N2276" t="str">
        <f>"Seh1l"</f>
        <v>Seh1l</v>
      </c>
      <c r="O2276" s="3" t="str">
        <f>HYPERLINK("http://www.informatics.jax.org/marker/MGI:1919374", "MGI:1919374")</f>
        <v>MGI:1919374</v>
      </c>
      <c r="P2276" t="s">
        <v>26126</v>
      </c>
      <c r="Q2276" t="s">
        <v>21788</v>
      </c>
      <c r="R2276" t="s">
        <v>26127</v>
      </c>
      <c r="S2276" t="s">
        <v>41</v>
      </c>
      <c r="T2276" t="s">
        <v>32</v>
      </c>
      <c r="U2276" t="s">
        <v>32</v>
      </c>
      <c r="V2276" t="s">
        <v>1910</v>
      </c>
      <c r="W2276" t="s">
        <v>32</v>
      </c>
      <c r="X2276" t="s">
        <v>32</v>
      </c>
      <c r="Y2276" t="s">
        <v>1007</v>
      </c>
      <c r="Z2276" t="s">
        <v>32</v>
      </c>
      <c r="AA2276" t="s">
        <v>26128</v>
      </c>
      <c r="AB2276" t="s">
        <v>26129</v>
      </c>
      <c r="AC2276" t="s">
        <v>4591</v>
      </c>
      <c r="AD2276" t="s">
        <v>32</v>
      </c>
      <c r="AE2276" t="s">
        <v>26130</v>
      </c>
      <c r="AF2276" t="s">
        <v>46835</v>
      </c>
    </row>
    <row r="2277" spans="1:32" x14ac:dyDescent="0.2">
      <c r="A2277">
        <v>2272</v>
      </c>
      <c r="B2277" t="s">
        <v>26131</v>
      </c>
      <c r="C2277" t="s">
        <v>26132</v>
      </c>
      <c r="D2277" t="s">
        <v>26133</v>
      </c>
      <c r="E2277" t="s">
        <v>26134</v>
      </c>
      <c r="F2277" t="s">
        <v>26135</v>
      </c>
      <c r="G2277" t="s">
        <v>26136</v>
      </c>
      <c r="H2277" t="str">
        <f>"Magt1"</f>
        <v>Magt1</v>
      </c>
      <c r="I2277" t="s">
        <v>26137</v>
      </c>
      <c r="J2277" t="s">
        <v>37</v>
      </c>
      <c r="K2277">
        <v>10090</v>
      </c>
      <c r="L2277" s="3" t="str">
        <f>HYPERLINK("http://www.uniprot.org/uniprot/Q9CQY5", "Q9CQY5")</f>
        <v>Q9CQY5</v>
      </c>
      <c r="M2277" t="s">
        <v>26138</v>
      </c>
      <c r="N2277" t="str">
        <f>"Magt1"</f>
        <v>Magt1</v>
      </c>
      <c r="O2277" s="3" t="str">
        <f>HYPERLINK("http://www.informatics.jax.org/marker/MGI:1914325", "MGI:1914325")</f>
        <v>MGI:1914325</v>
      </c>
      <c r="P2277" t="s">
        <v>26139</v>
      </c>
      <c r="Q2277" t="s">
        <v>4425</v>
      </c>
      <c r="R2277" t="s">
        <v>1308</v>
      </c>
      <c r="S2277" t="s">
        <v>41</v>
      </c>
      <c r="T2277" t="s">
        <v>32</v>
      </c>
      <c r="U2277" t="s">
        <v>32</v>
      </c>
      <c r="V2277" t="s">
        <v>3948</v>
      </c>
      <c r="W2277" t="s">
        <v>16431</v>
      </c>
      <c r="X2277" t="s">
        <v>32</v>
      </c>
      <c r="Y2277" t="s">
        <v>5275</v>
      </c>
      <c r="Z2277" t="s">
        <v>32</v>
      </c>
      <c r="AA2277" t="s">
        <v>26140</v>
      </c>
      <c r="AB2277" t="s">
        <v>26141</v>
      </c>
      <c r="AC2277" t="s">
        <v>26142</v>
      </c>
      <c r="AD2277" t="s">
        <v>3952</v>
      </c>
      <c r="AE2277" t="s">
        <v>26143</v>
      </c>
      <c r="AF2277" t="s">
        <v>46835</v>
      </c>
    </row>
    <row r="2278" spans="1:32" x14ac:dyDescent="0.2">
      <c r="A2278">
        <v>2273</v>
      </c>
      <c r="B2278" t="s">
        <v>26144</v>
      </c>
      <c r="C2278" t="s">
        <v>26145</v>
      </c>
      <c r="D2278" t="s">
        <v>26146</v>
      </c>
      <c r="E2278" t="s">
        <v>26147</v>
      </c>
      <c r="F2278" t="s">
        <v>26148</v>
      </c>
      <c r="G2278" t="s">
        <v>26149</v>
      </c>
      <c r="H2278" t="str">
        <f>"Mix23"</f>
        <v>Mix23</v>
      </c>
      <c r="I2278" t="s">
        <v>32</v>
      </c>
      <c r="J2278" t="s">
        <v>37</v>
      </c>
      <c r="K2278">
        <v>10090</v>
      </c>
      <c r="L2278" s="3" t="str">
        <f>HYPERLINK("http://www.uniprot.org/uniprot/Q8R3Q6", "Q8R3Q6")</f>
        <v>Q8R3Q6</v>
      </c>
      <c r="M2278" t="s">
        <v>26150</v>
      </c>
      <c r="N2278" t="str">
        <f>"Ccdc58"</f>
        <v>Ccdc58</v>
      </c>
      <c r="O2278" s="3" t="str">
        <f>HYPERLINK("http://www.informatics.jax.org/marker/MGI:2146423", "MGI:2146423")</f>
        <v>MGI:2146423</v>
      </c>
      <c r="P2278" t="s">
        <v>26151</v>
      </c>
      <c r="Q2278" t="s">
        <v>32</v>
      </c>
      <c r="R2278" t="s">
        <v>32</v>
      </c>
      <c r="S2278" t="s">
        <v>32</v>
      </c>
      <c r="T2278" t="s">
        <v>32</v>
      </c>
      <c r="U2278" t="s">
        <v>32</v>
      </c>
      <c r="V2278" t="s">
        <v>290</v>
      </c>
      <c r="W2278" t="s">
        <v>32</v>
      </c>
      <c r="X2278" t="s">
        <v>32</v>
      </c>
      <c r="Y2278" t="s">
        <v>78</v>
      </c>
      <c r="Z2278" t="s">
        <v>32</v>
      </c>
      <c r="AA2278" t="s">
        <v>32</v>
      </c>
      <c r="AB2278" t="s">
        <v>26152</v>
      </c>
      <c r="AC2278" t="s">
        <v>32</v>
      </c>
      <c r="AD2278" t="s">
        <v>32</v>
      </c>
      <c r="AE2278" t="s">
        <v>32</v>
      </c>
      <c r="AF2278" t="s">
        <v>46835</v>
      </c>
    </row>
    <row r="2279" spans="1:32" x14ac:dyDescent="0.2">
      <c r="A2279">
        <v>2274</v>
      </c>
      <c r="B2279" t="s">
        <v>26153</v>
      </c>
      <c r="C2279" t="s">
        <v>26154</v>
      </c>
      <c r="D2279" t="s">
        <v>26155</v>
      </c>
      <c r="E2279" t="s">
        <v>26156</v>
      </c>
      <c r="F2279" t="s">
        <v>26157</v>
      </c>
      <c r="G2279" t="s">
        <v>26158</v>
      </c>
      <c r="H2279" t="str">
        <f>"Asap1"</f>
        <v>Asap1</v>
      </c>
      <c r="I2279" t="s">
        <v>26159</v>
      </c>
      <c r="J2279" t="s">
        <v>37</v>
      </c>
      <c r="K2279">
        <v>10090</v>
      </c>
      <c r="L2279" s="3" t="str">
        <f>HYPERLINK("http://www.uniprot.org/uniprot/Q9QWY8", "Q9QWY8")</f>
        <v>Q9QWY8</v>
      </c>
      <c r="M2279" t="s">
        <v>26160</v>
      </c>
      <c r="N2279" t="str">
        <f>"Asap1"</f>
        <v>Asap1</v>
      </c>
      <c r="O2279" s="3" t="str">
        <f>HYPERLINK("http://www.informatics.jax.org/marker/MGI:1342335", "MGI:1342335")</f>
        <v>MGI:1342335</v>
      </c>
      <c r="P2279" t="s">
        <v>26161</v>
      </c>
      <c r="Q2279" t="s">
        <v>475</v>
      </c>
      <c r="R2279" t="s">
        <v>714</v>
      </c>
      <c r="S2279" t="s">
        <v>41</v>
      </c>
      <c r="T2279" t="s">
        <v>32</v>
      </c>
      <c r="U2279" t="s">
        <v>32</v>
      </c>
      <c r="V2279" t="s">
        <v>26162</v>
      </c>
      <c r="W2279" t="s">
        <v>42</v>
      </c>
      <c r="X2279" t="s">
        <v>715</v>
      </c>
      <c r="Y2279" t="s">
        <v>618</v>
      </c>
      <c r="Z2279" t="s">
        <v>126</v>
      </c>
      <c r="AA2279" t="s">
        <v>26163</v>
      </c>
      <c r="AB2279" t="s">
        <v>26164</v>
      </c>
      <c r="AC2279" t="s">
        <v>26165</v>
      </c>
      <c r="AD2279" t="s">
        <v>32</v>
      </c>
      <c r="AE2279" t="s">
        <v>26166</v>
      </c>
      <c r="AF2279" t="s">
        <v>46835</v>
      </c>
    </row>
    <row r="2280" spans="1:32" x14ac:dyDescent="0.2">
      <c r="A2280">
        <v>2275</v>
      </c>
      <c r="B2280" t="s">
        <v>26167</v>
      </c>
      <c r="C2280" t="s">
        <v>26168</v>
      </c>
      <c r="D2280" t="s">
        <v>26169</v>
      </c>
      <c r="E2280" t="s">
        <v>26170</v>
      </c>
      <c r="F2280" t="s">
        <v>26171</v>
      </c>
      <c r="G2280" t="s">
        <v>26172</v>
      </c>
      <c r="H2280" t="str">
        <f>"Hsd17b11"</f>
        <v>Hsd17b11</v>
      </c>
      <c r="I2280" t="s">
        <v>26173</v>
      </c>
      <c r="J2280" t="s">
        <v>37</v>
      </c>
      <c r="K2280">
        <v>10090</v>
      </c>
      <c r="L2280" s="3" t="str">
        <f>HYPERLINK("http://www.uniprot.org/uniprot/Q9EQ06", "Q9EQ06")</f>
        <v>Q9EQ06</v>
      </c>
      <c r="M2280" t="s">
        <v>26174</v>
      </c>
      <c r="N2280" t="str">
        <f>"Hsd17b11"</f>
        <v>Hsd17b11</v>
      </c>
      <c r="O2280" s="3" t="str">
        <f>HYPERLINK("http://www.informatics.jax.org/marker/MGI:2149821", "MGI:2149821")</f>
        <v>MGI:2149821</v>
      </c>
      <c r="P2280" t="s">
        <v>26175</v>
      </c>
      <c r="Q2280" t="s">
        <v>15601</v>
      </c>
      <c r="R2280" t="s">
        <v>20698</v>
      </c>
      <c r="S2280" t="s">
        <v>41</v>
      </c>
      <c r="T2280" t="s">
        <v>32</v>
      </c>
      <c r="U2280" t="s">
        <v>32</v>
      </c>
      <c r="V2280" t="s">
        <v>811</v>
      </c>
      <c r="W2280" t="s">
        <v>3204</v>
      </c>
      <c r="X2280" t="s">
        <v>600</v>
      </c>
      <c r="Y2280" t="s">
        <v>32</v>
      </c>
      <c r="Z2280" t="s">
        <v>32</v>
      </c>
      <c r="AA2280" t="s">
        <v>26176</v>
      </c>
      <c r="AB2280" t="s">
        <v>26177</v>
      </c>
      <c r="AC2280" t="s">
        <v>26178</v>
      </c>
      <c r="AD2280" t="s">
        <v>32</v>
      </c>
      <c r="AE2280" t="s">
        <v>26179</v>
      </c>
      <c r="AF2280" t="s">
        <v>46835</v>
      </c>
    </row>
    <row r="2281" spans="1:32" x14ac:dyDescent="0.2">
      <c r="A2281">
        <v>2276</v>
      </c>
      <c r="B2281" t="s">
        <v>26180</v>
      </c>
      <c r="C2281" t="s">
        <v>26181</v>
      </c>
      <c r="D2281" t="s">
        <v>26182</v>
      </c>
      <c r="E2281" t="s">
        <v>26183</v>
      </c>
      <c r="F2281" t="s">
        <v>26184</v>
      </c>
      <c r="G2281" t="s">
        <v>26185</v>
      </c>
      <c r="H2281" t="str">
        <f>"Mprip"</f>
        <v>Mprip</v>
      </c>
      <c r="I2281" t="s">
        <v>26186</v>
      </c>
      <c r="J2281" t="s">
        <v>37</v>
      </c>
      <c r="K2281">
        <v>10090</v>
      </c>
      <c r="L2281" s="3" t="str">
        <f>HYPERLINK("http://www.uniprot.org/uniprot/P97434", "P97434")</f>
        <v>P97434</v>
      </c>
      <c r="M2281" t="s">
        <v>26187</v>
      </c>
      <c r="N2281" t="str">
        <f>"Mprip"</f>
        <v>Mprip</v>
      </c>
      <c r="O2281" s="3" t="str">
        <f>HYPERLINK("http://www.informatics.jax.org/marker/MGI:1349438", "MGI:1349438")</f>
        <v>MGI:1349438</v>
      </c>
      <c r="P2281" t="s">
        <v>26188</v>
      </c>
      <c r="Q2281" t="s">
        <v>32</v>
      </c>
      <c r="R2281" t="s">
        <v>186</v>
      </c>
      <c r="S2281" t="s">
        <v>41</v>
      </c>
      <c r="T2281" t="s">
        <v>32</v>
      </c>
      <c r="U2281" t="s">
        <v>32</v>
      </c>
      <c r="V2281" t="s">
        <v>137</v>
      </c>
      <c r="W2281" t="s">
        <v>32</v>
      </c>
      <c r="X2281" t="s">
        <v>405</v>
      </c>
      <c r="Y2281" t="s">
        <v>618</v>
      </c>
      <c r="Z2281" t="s">
        <v>32</v>
      </c>
      <c r="AA2281" t="s">
        <v>26189</v>
      </c>
      <c r="AB2281" t="s">
        <v>26190</v>
      </c>
      <c r="AC2281" t="s">
        <v>2119</v>
      </c>
      <c r="AD2281" t="s">
        <v>32</v>
      </c>
      <c r="AE2281" t="s">
        <v>32</v>
      </c>
      <c r="AF2281" t="s">
        <v>46835</v>
      </c>
    </row>
    <row r="2282" spans="1:32" x14ac:dyDescent="0.2">
      <c r="A2282">
        <v>2277</v>
      </c>
      <c r="B2282" t="s">
        <v>26191</v>
      </c>
      <c r="C2282" t="s">
        <v>26192</v>
      </c>
      <c r="D2282" t="s">
        <v>32</v>
      </c>
      <c r="E2282" t="s">
        <v>26193</v>
      </c>
      <c r="F2282" t="s">
        <v>26194</v>
      </c>
      <c r="G2282" t="s">
        <v>26195</v>
      </c>
      <c r="H2282" t="str">
        <f>"Akt1s1"</f>
        <v>Akt1s1</v>
      </c>
      <c r="I2282" t="s">
        <v>32</v>
      </c>
      <c r="J2282" t="s">
        <v>37</v>
      </c>
      <c r="K2282">
        <v>10090</v>
      </c>
      <c r="L2282" s="3" t="str">
        <f>HYPERLINK("http://www.uniprot.org/uniprot/Q9D1F4", "Q9D1F4")</f>
        <v>Q9D1F4</v>
      </c>
      <c r="M2282" t="s">
        <v>26196</v>
      </c>
      <c r="N2282" t="str">
        <f>"Akt1s1"</f>
        <v>Akt1s1</v>
      </c>
      <c r="O2282" s="3" t="str">
        <f>HYPERLINK("http://www.informatics.jax.org/marker/MGI:1914855", "MGI:1914855")</f>
        <v>MGI:1914855</v>
      </c>
      <c r="P2282" t="s">
        <v>2733</v>
      </c>
      <c r="Q2282" t="s">
        <v>32</v>
      </c>
      <c r="R2282" t="s">
        <v>418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32</v>
      </c>
      <c r="Y2282" t="s">
        <v>2734</v>
      </c>
      <c r="Z2282" t="s">
        <v>32</v>
      </c>
      <c r="AA2282" t="s">
        <v>26197</v>
      </c>
      <c r="AB2282" t="s">
        <v>26198</v>
      </c>
      <c r="AC2282" t="s">
        <v>32</v>
      </c>
      <c r="AD2282" t="s">
        <v>32</v>
      </c>
      <c r="AE2282" t="s">
        <v>26199</v>
      </c>
      <c r="AF2282" t="s">
        <v>46835</v>
      </c>
    </row>
    <row r="2283" spans="1:32" x14ac:dyDescent="0.2">
      <c r="A2283">
        <v>2278</v>
      </c>
      <c r="B2283" t="s">
        <v>26200</v>
      </c>
      <c r="C2283" t="s">
        <v>26201</v>
      </c>
      <c r="D2283" t="s">
        <v>26202</v>
      </c>
      <c r="E2283" t="s">
        <v>26203</v>
      </c>
      <c r="F2283" t="s">
        <v>26204</v>
      </c>
      <c r="G2283" t="s">
        <v>26205</v>
      </c>
      <c r="H2283" t="str">
        <f>"Yap1"</f>
        <v>Yap1</v>
      </c>
      <c r="I2283" t="s">
        <v>26206</v>
      </c>
      <c r="J2283" t="s">
        <v>37</v>
      </c>
      <c r="K2283">
        <v>10090</v>
      </c>
      <c r="L2283" s="3" t="str">
        <f>HYPERLINK("http://www.uniprot.org/uniprot/P46938", "P46938")</f>
        <v>P46938</v>
      </c>
      <c r="M2283" t="s">
        <v>26207</v>
      </c>
      <c r="N2283" t="str">
        <f>"Yap1"</f>
        <v>Yap1</v>
      </c>
      <c r="O2283" s="3" t="str">
        <f>HYPERLINK("http://www.informatics.jax.org/marker/MGI:103262", "MGI:103262")</f>
        <v>MGI:103262</v>
      </c>
      <c r="P2283" t="s">
        <v>26208</v>
      </c>
      <c r="Q2283" t="s">
        <v>4152</v>
      </c>
      <c r="R2283" t="s">
        <v>40</v>
      </c>
      <c r="S2283" t="s">
        <v>41</v>
      </c>
      <c r="T2283" t="s">
        <v>32</v>
      </c>
      <c r="U2283" t="s">
        <v>4682</v>
      </c>
      <c r="V2283" t="s">
        <v>137</v>
      </c>
      <c r="W2283" t="s">
        <v>32</v>
      </c>
      <c r="X2283" t="s">
        <v>6736</v>
      </c>
      <c r="Y2283" t="s">
        <v>2836</v>
      </c>
      <c r="Z2283" t="s">
        <v>126</v>
      </c>
      <c r="AA2283" t="s">
        <v>26209</v>
      </c>
      <c r="AB2283" t="s">
        <v>26210</v>
      </c>
      <c r="AC2283" t="s">
        <v>26211</v>
      </c>
      <c r="AD2283" t="s">
        <v>32</v>
      </c>
      <c r="AE2283" t="s">
        <v>26212</v>
      </c>
      <c r="AF2283" t="s">
        <v>46835</v>
      </c>
    </row>
    <row r="2284" spans="1:32" x14ac:dyDescent="0.2">
      <c r="A2284">
        <v>2279</v>
      </c>
      <c r="B2284" t="s">
        <v>26213</v>
      </c>
      <c r="C2284" t="s">
        <v>26214</v>
      </c>
      <c r="D2284" t="s">
        <v>26215</v>
      </c>
      <c r="E2284" t="s">
        <v>26216</v>
      </c>
      <c r="F2284" t="s">
        <v>26217</v>
      </c>
      <c r="G2284" t="s">
        <v>26218</v>
      </c>
      <c r="H2284" t="str">
        <f>"Arl8b"</f>
        <v>Arl8b</v>
      </c>
      <c r="I2284" t="s">
        <v>32</v>
      </c>
      <c r="J2284" t="s">
        <v>37</v>
      </c>
      <c r="K2284">
        <v>10090</v>
      </c>
      <c r="L2284" s="3" t="str">
        <f>HYPERLINK("http://www.uniprot.org/uniprot/Q9CQW2", "Q9CQW2")</f>
        <v>Q9CQW2</v>
      </c>
      <c r="M2284" t="s">
        <v>26219</v>
      </c>
      <c r="N2284" t="str">
        <f>"Arl8b"</f>
        <v>Arl8b</v>
      </c>
      <c r="O2284" s="3" t="str">
        <f>HYPERLINK("http://www.informatics.jax.org/marker/MGI:1914416", "MGI:1914416")</f>
        <v>MGI:1914416</v>
      </c>
      <c r="P2284" t="s">
        <v>26220</v>
      </c>
      <c r="Q2284" t="s">
        <v>26221</v>
      </c>
      <c r="R2284" t="s">
        <v>26222</v>
      </c>
      <c r="S2284" t="s">
        <v>32</v>
      </c>
      <c r="T2284" t="s">
        <v>32</v>
      </c>
      <c r="U2284" t="s">
        <v>32</v>
      </c>
      <c r="V2284" t="s">
        <v>32</v>
      </c>
      <c r="W2284" t="s">
        <v>261</v>
      </c>
      <c r="X2284" t="s">
        <v>343</v>
      </c>
      <c r="Y2284" t="s">
        <v>7792</v>
      </c>
      <c r="Z2284" t="s">
        <v>32</v>
      </c>
      <c r="AA2284" t="s">
        <v>26223</v>
      </c>
      <c r="AB2284" t="s">
        <v>26224</v>
      </c>
      <c r="AC2284" t="s">
        <v>26225</v>
      </c>
      <c r="AD2284" t="s">
        <v>32</v>
      </c>
      <c r="AE2284" t="s">
        <v>32</v>
      </c>
      <c r="AF2284" t="s">
        <v>46835</v>
      </c>
    </row>
    <row r="2285" spans="1:32" x14ac:dyDescent="0.2">
      <c r="A2285">
        <v>2280</v>
      </c>
      <c r="B2285" t="s">
        <v>26226</v>
      </c>
      <c r="C2285" t="s">
        <v>26227</v>
      </c>
      <c r="D2285" t="s">
        <v>32</v>
      </c>
      <c r="E2285" t="s">
        <v>26228</v>
      </c>
      <c r="F2285" t="s">
        <v>26229</v>
      </c>
      <c r="G2285" t="s">
        <v>26230</v>
      </c>
      <c r="H2285" t="str">
        <f>"Ascc3"</f>
        <v>Ascc3</v>
      </c>
      <c r="I2285" t="s">
        <v>32</v>
      </c>
      <c r="J2285" t="s">
        <v>37</v>
      </c>
      <c r="K2285">
        <v>10090</v>
      </c>
      <c r="L2285" s="3" t="str">
        <f>HYPERLINK("http://www.uniprot.org/uniprot/E9PZJ8", "E9PZJ8")</f>
        <v>E9PZJ8</v>
      </c>
      <c r="M2285" t="s">
        <v>26231</v>
      </c>
      <c r="N2285" t="str">
        <f>"Ascc3"</f>
        <v>Ascc3</v>
      </c>
      <c r="O2285" s="3" t="str">
        <f>HYPERLINK("http://www.informatics.jax.org/marker/MGI:1925237", "MGI:1925237")</f>
        <v>MGI:1925237</v>
      </c>
      <c r="P2285" t="s">
        <v>26232</v>
      </c>
      <c r="Q2285" t="s">
        <v>11306</v>
      </c>
      <c r="R2285" t="s">
        <v>40</v>
      </c>
      <c r="S2285" t="s">
        <v>41</v>
      </c>
      <c r="T2285" t="s">
        <v>32</v>
      </c>
      <c r="U2285" t="s">
        <v>32</v>
      </c>
      <c r="V2285" t="s">
        <v>137</v>
      </c>
      <c r="W2285" t="s">
        <v>205</v>
      </c>
      <c r="X2285" t="s">
        <v>16991</v>
      </c>
      <c r="Y2285" t="s">
        <v>157</v>
      </c>
      <c r="Z2285" t="s">
        <v>32</v>
      </c>
      <c r="AA2285" t="s">
        <v>26233</v>
      </c>
      <c r="AB2285" t="s">
        <v>26234</v>
      </c>
      <c r="AC2285" t="s">
        <v>26235</v>
      </c>
      <c r="AD2285" t="s">
        <v>32</v>
      </c>
      <c r="AE2285" t="s">
        <v>32</v>
      </c>
      <c r="AF2285" t="s">
        <v>46835</v>
      </c>
    </row>
    <row r="2286" spans="1:32" x14ac:dyDescent="0.2">
      <c r="A2286">
        <v>2281</v>
      </c>
      <c r="B2286" t="s">
        <v>26236</v>
      </c>
      <c r="C2286" t="s">
        <v>26237</v>
      </c>
      <c r="D2286" t="s">
        <v>32</v>
      </c>
      <c r="E2286" t="s">
        <v>26238</v>
      </c>
      <c r="F2286" t="s">
        <v>26239</v>
      </c>
      <c r="G2286" t="s">
        <v>26240</v>
      </c>
      <c r="H2286" t="str">
        <f>"Ppp1cb"</f>
        <v>Ppp1cb</v>
      </c>
      <c r="I2286" t="s">
        <v>32</v>
      </c>
      <c r="J2286" t="s">
        <v>37</v>
      </c>
      <c r="K2286">
        <v>10090</v>
      </c>
      <c r="L2286" s="3" t="str">
        <f>HYPERLINK("http://www.uniprot.org/uniprot/P62141", "P62141")</f>
        <v>P62141</v>
      </c>
      <c r="M2286" t="s">
        <v>26241</v>
      </c>
      <c r="N2286" t="str">
        <f>"Ppp1cb"</f>
        <v>Ppp1cb</v>
      </c>
      <c r="O2286" s="3" t="str">
        <f>HYPERLINK("http://www.informatics.jax.org/marker/MGI:104871", "MGI:104871")</f>
        <v>MGI:104871</v>
      </c>
      <c r="P2286" t="s">
        <v>26242</v>
      </c>
      <c r="Q2286" t="s">
        <v>25222</v>
      </c>
      <c r="R2286" t="s">
        <v>40</v>
      </c>
      <c r="S2286" t="s">
        <v>32</v>
      </c>
      <c r="T2286" t="s">
        <v>32</v>
      </c>
      <c r="U2286" t="s">
        <v>32</v>
      </c>
      <c r="V2286" t="s">
        <v>32</v>
      </c>
      <c r="W2286" t="s">
        <v>5883</v>
      </c>
      <c r="X2286" t="s">
        <v>3683</v>
      </c>
      <c r="Y2286" t="s">
        <v>157</v>
      </c>
      <c r="Z2286" t="s">
        <v>32</v>
      </c>
      <c r="AA2286" t="s">
        <v>26243</v>
      </c>
      <c r="AB2286" t="s">
        <v>26244</v>
      </c>
      <c r="AC2286" t="s">
        <v>26245</v>
      </c>
      <c r="AD2286" t="s">
        <v>32</v>
      </c>
      <c r="AE2286" t="s">
        <v>26246</v>
      </c>
      <c r="AF2286" t="s">
        <v>46835</v>
      </c>
    </row>
    <row r="2287" spans="1:32" x14ac:dyDescent="0.2">
      <c r="A2287">
        <v>2282</v>
      </c>
      <c r="B2287" t="s">
        <v>26247</v>
      </c>
      <c r="C2287" t="s">
        <v>26248</v>
      </c>
      <c r="D2287" t="s">
        <v>32</v>
      </c>
      <c r="E2287" t="s">
        <v>26249</v>
      </c>
      <c r="F2287" t="s">
        <v>26250</v>
      </c>
      <c r="G2287" t="s">
        <v>26251</v>
      </c>
      <c r="H2287" t="str">
        <f>"Prpf38b"</f>
        <v>Prpf38b</v>
      </c>
      <c r="I2287" t="s">
        <v>32</v>
      </c>
      <c r="J2287" t="s">
        <v>37</v>
      </c>
      <c r="K2287">
        <v>10090</v>
      </c>
      <c r="L2287" s="3" t="str">
        <f>HYPERLINK("http://www.uniprot.org/uniprot/Q80SY5", "Q80SY5")</f>
        <v>Q80SY5</v>
      </c>
      <c r="M2287" t="s">
        <v>26252</v>
      </c>
      <c r="N2287" t="str">
        <f>"Prpf38b"</f>
        <v>Prpf38b</v>
      </c>
      <c r="O2287" s="3" t="str">
        <f>HYPERLINK("http://www.informatics.jax.org/marker/MGI:1914171", "MGI:1914171")</f>
        <v>MGI:1914171</v>
      </c>
      <c r="P2287" t="s">
        <v>12761</v>
      </c>
      <c r="Q2287" t="s">
        <v>2139</v>
      </c>
      <c r="R2287" t="s">
        <v>2140</v>
      </c>
      <c r="S2287" t="s">
        <v>32</v>
      </c>
      <c r="T2287" t="s">
        <v>32</v>
      </c>
      <c r="U2287" t="s">
        <v>32</v>
      </c>
      <c r="V2287" t="s">
        <v>290</v>
      </c>
      <c r="W2287" t="s">
        <v>32</v>
      </c>
      <c r="X2287" t="s">
        <v>32</v>
      </c>
      <c r="Y2287" t="s">
        <v>157</v>
      </c>
      <c r="Z2287" t="s">
        <v>32</v>
      </c>
      <c r="AA2287" t="s">
        <v>16469</v>
      </c>
      <c r="AB2287" t="s">
        <v>26253</v>
      </c>
      <c r="AC2287" t="s">
        <v>32</v>
      </c>
      <c r="AD2287" t="s">
        <v>32</v>
      </c>
      <c r="AE2287" t="s">
        <v>32</v>
      </c>
      <c r="AF2287" t="s">
        <v>46835</v>
      </c>
    </row>
    <row r="2288" spans="1:32" x14ac:dyDescent="0.2">
      <c r="A2288">
        <v>2283</v>
      </c>
      <c r="B2288" t="s">
        <v>26254</v>
      </c>
      <c r="C2288" t="s">
        <v>26255</v>
      </c>
      <c r="D2288" t="s">
        <v>26256</v>
      </c>
      <c r="E2288" t="s">
        <v>26257</v>
      </c>
      <c r="F2288" t="s">
        <v>26258</v>
      </c>
      <c r="G2288" t="s">
        <v>26259</v>
      </c>
      <c r="H2288" t="str">
        <f>"Txndc9"</f>
        <v>Txndc9</v>
      </c>
      <c r="I2288" t="s">
        <v>26260</v>
      </c>
      <c r="J2288" t="s">
        <v>37</v>
      </c>
      <c r="K2288">
        <v>10090</v>
      </c>
      <c r="L2288" s="3" t="str">
        <f>HYPERLINK("http://www.uniprot.org/uniprot/Q9CQ79", "Q9CQ79")</f>
        <v>Q9CQ79</v>
      </c>
      <c r="M2288" t="s">
        <v>26261</v>
      </c>
      <c r="N2288" t="str">
        <f>"Txndc9"</f>
        <v>Txndc9</v>
      </c>
      <c r="O2288" s="3" t="str">
        <f>HYPERLINK("http://www.informatics.jax.org/marker/MGI:2138153", "MGI:2138153")</f>
        <v>MGI:2138153</v>
      </c>
      <c r="P2288" t="s">
        <v>26262</v>
      </c>
      <c r="Q2288" t="s">
        <v>32</v>
      </c>
      <c r="R2288" t="s">
        <v>324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32</v>
      </c>
      <c r="Y2288" t="s">
        <v>618</v>
      </c>
      <c r="Z2288" t="s">
        <v>32</v>
      </c>
      <c r="AA2288" t="s">
        <v>26263</v>
      </c>
      <c r="AB2288" t="s">
        <v>26264</v>
      </c>
      <c r="AC2288" t="s">
        <v>32</v>
      </c>
      <c r="AD2288" t="s">
        <v>32</v>
      </c>
      <c r="AE2288" t="s">
        <v>32</v>
      </c>
      <c r="AF2288" t="s">
        <v>46835</v>
      </c>
    </row>
    <row r="2289" spans="1:32" x14ac:dyDescent="0.2">
      <c r="A2289">
        <v>2284</v>
      </c>
      <c r="B2289" t="s">
        <v>26265</v>
      </c>
      <c r="C2289" t="s">
        <v>26266</v>
      </c>
      <c r="D2289" t="s">
        <v>32</v>
      </c>
      <c r="E2289" t="s">
        <v>26267</v>
      </c>
      <c r="F2289" t="s">
        <v>26268</v>
      </c>
      <c r="G2289" t="s">
        <v>26269</v>
      </c>
      <c r="H2289" t="str">
        <f>"Cnrip1"</f>
        <v>Cnrip1</v>
      </c>
      <c r="I2289" t="s">
        <v>32</v>
      </c>
      <c r="J2289" t="s">
        <v>37</v>
      </c>
      <c r="K2289">
        <v>10090</v>
      </c>
      <c r="L2289" s="3" t="str">
        <f>HYPERLINK("http://www.uniprot.org/uniprot/Q5M8N0", "Q5M8N0")</f>
        <v>Q5M8N0</v>
      </c>
      <c r="M2289" t="s">
        <v>26270</v>
      </c>
      <c r="N2289" t="str">
        <f>"Cnrip1"</f>
        <v>Cnrip1</v>
      </c>
      <c r="O2289" s="3" t="str">
        <f>HYPERLINK("http://www.informatics.jax.org/marker/MGI:1917505", "MGI:1917505")</f>
        <v>MGI:1917505</v>
      </c>
      <c r="P2289" t="s">
        <v>32</v>
      </c>
      <c r="Q2289" t="s">
        <v>32</v>
      </c>
      <c r="R2289" t="s">
        <v>32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32</v>
      </c>
      <c r="Y2289" t="s">
        <v>32</v>
      </c>
      <c r="Z2289" t="s">
        <v>32</v>
      </c>
      <c r="AA2289" t="s">
        <v>26271</v>
      </c>
      <c r="AB2289" t="s">
        <v>26272</v>
      </c>
      <c r="AC2289" t="s">
        <v>26273</v>
      </c>
      <c r="AD2289" t="s">
        <v>32</v>
      </c>
      <c r="AE2289" t="s">
        <v>32</v>
      </c>
      <c r="AF2289" t="s">
        <v>46835</v>
      </c>
    </row>
    <row r="2290" spans="1:32" x14ac:dyDescent="0.2">
      <c r="A2290">
        <v>2285</v>
      </c>
      <c r="B2290" t="s">
        <v>26274</v>
      </c>
      <c r="C2290" t="s">
        <v>26275</v>
      </c>
      <c r="D2290" t="s">
        <v>26276</v>
      </c>
      <c r="E2290" t="s">
        <v>26277</v>
      </c>
      <c r="F2290" t="s">
        <v>26278</v>
      </c>
      <c r="G2290" t="s">
        <v>26279</v>
      </c>
      <c r="H2290" t="str">
        <f>"Ppp1r12c"</f>
        <v>Ppp1r12c</v>
      </c>
      <c r="I2290" t="s">
        <v>32</v>
      </c>
      <c r="J2290" t="s">
        <v>37</v>
      </c>
      <c r="K2290">
        <v>10090</v>
      </c>
      <c r="L2290" s="3" t="str">
        <f>HYPERLINK("http://www.uniprot.org/uniprot/Q3UMT1", "Q3UMT1")</f>
        <v>Q3UMT1</v>
      </c>
      <c r="M2290" t="s">
        <v>26280</v>
      </c>
      <c r="N2290" t="str">
        <f>"Ppp1r12c"</f>
        <v>Ppp1r12c</v>
      </c>
      <c r="O2290" s="3" t="str">
        <f>HYPERLINK("http://www.informatics.jax.org/marker/MGI:1924258", "MGI:1924258")</f>
        <v>MGI:1924258</v>
      </c>
      <c r="P2290" t="s">
        <v>26281</v>
      </c>
      <c r="Q2290" t="s">
        <v>32</v>
      </c>
      <c r="R2290" t="s">
        <v>186</v>
      </c>
      <c r="S2290" t="s">
        <v>32</v>
      </c>
      <c r="T2290" t="s">
        <v>32</v>
      </c>
      <c r="U2290" t="s">
        <v>32</v>
      </c>
      <c r="V2290" t="s">
        <v>9693</v>
      </c>
      <c r="W2290" t="s">
        <v>32</v>
      </c>
      <c r="X2290" t="s">
        <v>32</v>
      </c>
      <c r="Y2290" t="s">
        <v>157</v>
      </c>
      <c r="Z2290" t="s">
        <v>32</v>
      </c>
      <c r="AA2290" t="s">
        <v>19551</v>
      </c>
      <c r="AB2290" t="s">
        <v>15344</v>
      </c>
      <c r="AC2290" t="s">
        <v>26282</v>
      </c>
      <c r="AD2290" t="s">
        <v>32</v>
      </c>
      <c r="AE2290" t="s">
        <v>32</v>
      </c>
      <c r="AF2290" t="s">
        <v>46835</v>
      </c>
    </row>
    <row r="2291" spans="1:32" x14ac:dyDescent="0.2">
      <c r="A2291">
        <v>2286</v>
      </c>
      <c r="B2291" t="s">
        <v>26283</v>
      </c>
      <c r="C2291" t="s">
        <v>26284</v>
      </c>
      <c r="D2291" t="s">
        <v>26285</v>
      </c>
      <c r="E2291" t="s">
        <v>26286</v>
      </c>
      <c r="F2291" t="s">
        <v>26287</v>
      </c>
      <c r="G2291" t="s">
        <v>32</v>
      </c>
      <c r="H2291" t="str">
        <f>"Zpr1"</f>
        <v>Zpr1</v>
      </c>
      <c r="I2291" t="s">
        <v>26288</v>
      </c>
      <c r="J2291" t="s">
        <v>37</v>
      </c>
      <c r="K2291">
        <v>10090</v>
      </c>
      <c r="L2291" s="3" t="str">
        <f>HYPERLINK("http://www.uniprot.org/uniprot/Q62384", "Q62384")</f>
        <v>Q62384</v>
      </c>
      <c r="M2291" t="s">
        <v>26289</v>
      </c>
      <c r="N2291" t="str">
        <f>"Zpr1"</f>
        <v>Zpr1</v>
      </c>
      <c r="O2291" s="3" t="str">
        <f>HYPERLINK("http://www.informatics.jax.org/marker/MGI:1330262", "MGI:1330262")</f>
        <v>MGI:1330262</v>
      </c>
      <c r="P2291" t="s">
        <v>26290</v>
      </c>
      <c r="Q2291" t="s">
        <v>19731</v>
      </c>
      <c r="R2291" t="s">
        <v>1952</v>
      </c>
      <c r="S2291" t="s">
        <v>32</v>
      </c>
      <c r="T2291" t="s">
        <v>32</v>
      </c>
      <c r="U2291" t="s">
        <v>32</v>
      </c>
      <c r="V2291" t="s">
        <v>3791</v>
      </c>
      <c r="W2291" t="s">
        <v>42</v>
      </c>
      <c r="X2291" t="s">
        <v>2029</v>
      </c>
      <c r="Y2291" t="s">
        <v>32</v>
      </c>
      <c r="Z2291" t="s">
        <v>126</v>
      </c>
      <c r="AA2291" t="s">
        <v>26291</v>
      </c>
      <c r="AB2291" t="s">
        <v>26292</v>
      </c>
      <c r="AC2291" t="s">
        <v>26293</v>
      </c>
      <c r="AD2291" t="s">
        <v>32</v>
      </c>
      <c r="AE2291" t="s">
        <v>32</v>
      </c>
      <c r="AF2291" t="s">
        <v>46835</v>
      </c>
    </row>
    <row r="2292" spans="1:32" x14ac:dyDescent="0.2">
      <c r="A2292">
        <v>2287</v>
      </c>
      <c r="B2292" t="s">
        <v>26294</v>
      </c>
      <c r="C2292" t="s">
        <v>26295</v>
      </c>
      <c r="D2292" t="s">
        <v>26296</v>
      </c>
      <c r="E2292" t="s">
        <v>26297</v>
      </c>
      <c r="F2292" t="s">
        <v>26298</v>
      </c>
      <c r="G2292" t="s">
        <v>26299</v>
      </c>
      <c r="H2292" t="str">
        <f>"Tsc2"</f>
        <v>Tsc2</v>
      </c>
      <c r="I2292" t="s">
        <v>32</v>
      </c>
      <c r="J2292" t="s">
        <v>37</v>
      </c>
      <c r="K2292">
        <v>10090</v>
      </c>
      <c r="L2292" s="3" t="str">
        <f>HYPERLINK("http://www.uniprot.org/uniprot/Q61037", "Q61037")</f>
        <v>Q61037</v>
      </c>
      <c r="M2292" t="s">
        <v>26300</v>
      </c>
      <c r="N2292" t="str">
        <f>"Tsc2"</f>
        <v>Tsc2</v>
      </c>
      <c r="O2292" s="3" t="str">
        <f>HYPERLINK("http://www.informatics.jax.org/marker/MGI:102548", "MGI:102548")</f>
        <v>MGI:102548</v>
      </c>
      <c r="P2292" t="s">
        <v>26301</v>
      </c>
      <c r="Q2292" t="s">
        <v>32</v>
      </c>
      <c r="R2292" t="s">
        <v>714</v>
      </c>
      <c r="S2292" t="s">
        <v>41</v>
      </c>
      <c r="T2292" t="s">
        <v>32</v>
      </c>
      <c r="U2292" t="s">
        <v>1636</v>
      </c>
      <c r="V2292" t="s">
        <v>32</v>
      </c>
      <c r="W2292" t="s">
        <v>32</v>
      </c>
      <c r="X2292" t="s">
        <v>715</v>
      </c>
      <c r="Y2292" t="s">
        <v>2836</v>
      </c>
      <c r="Z2292" t="s">
        <v>32</v>
      </c>
      <c r="AA2292" t="s">
        <v>26302</v>
      </c>
      <c r="AB2292" t="s">
        <v>26303</v>
      </c>
      <c r="AC2292" t="s">
        <v>26304</v>
      </c>
      <c r="AD2292" t="s">
        <v>32</v>
      </c>
      <c r="AE2292" t="s">
        <v>26305</v>
      </c>
      <c r="AF2292" t="s">
        <v>46835</v>
      </c>
    </row>
    <row r="2293" spans="1:32" x14ac:dyDescent="0.2">
      <c r="A2293">
        <v>2288</v>
      </c>
      <c r="B2293" t="s">
        <v>26306</v>
      </c>
      <c r="C2293" t="s">
        <v>26307</v>
      </c>
      <c r="D2293" t="s">
        <v>26308</v>
      </c>
      <c r="E2293" t="s">
        <v>26309</v>
      </c>
      <c r="F2293" t="s">
        <v>26310</v>
      </c>
      <c r="G2293" t="s">
        <v>32</v>
      </c>
      <c r="H2293" t="str">
        <f>"Hibch"</f>
        <v>Hibch</v>
      </c>
      <c r="I2293" t="s">
        <v>32</v>
      </c>
      <c r="J2293" t="s">
        <v>37</v>
      </c>
      <c r="K2293">
        <v>10090</v>
      </c>
      <c r="L2293" s="3" t="str">
        <f>HYPERLINK("http://www.uniprot.org/uniprot/Q8QZS1", "Q8QZS1")</f>
        <v>Q8QZS1</v>
      </c>
      <c r="M2293" t="s">
        <v>26311</v>
      </c>
      <c r="N2293" t="str">
        <f>"Hibch"</f>
        <v>Hibch</v>
      </c>
      <c r="O2293" s="3" t="str">
        <f>HYPERLINK("http://www.informatics.jax.org/marker/MGI:1923792", "MGI:1923792")</f>
        <v>MGI:1923792</v>
      </c>
      <c r="P2293" t="s">
        <v>26312</v>
      </c>
      <c r="Q2293" t="s">
        <v>25078</v>
      </c>
      <c r="R2293" t="s">
        <v>1038</v>
      </c>
      <c r="S2293" t="s">
        <v>32</v>
      </c>
      <c r="T2293" t="s">
        <v>32</v>
      </c>
      <c r="U2293" t="s">
        <v>32</v>
      </c>
      <c r="V2293" t="s">
        <v>1039</v>
      </c>
      <c r="W2293" t="s">
        <v>32</v>
      </c>
      <c r="X2293" t="s">
        <v>343</v>
      </c>
      <c r="Y2293" t="s">
        <v>157</v>
      </c>
      <c r="Z2293" t="s">
        <v>32</v>
      </c>
      <c r="AA2293" t="s">
        <v>25079</v>
      </c>
      <c r="AB2293" t="s">
        <v>3721</v>
      </c>
      <c r="AC2293" t="s">
        <v>26313</v>
      </c>
      <c r="AD2293" t="s">
        <v>25081</v>
      </c>
      <c r="AE2293" t="s">
        <v>8652</v>
      </c>
      <c r="AF2293" t="s">
        <v>46835</v>
      </c>
    </row>
    <row r="2294" spans="1:32" x14ac:dyDescent="0.2">
      <c r="A2294">
        <v>2289</v>
      </c>
      <c r="B2294" t="s">
        <v>26314</v>
      </c>
      <c r="C2294" t="s">
        <v>26315</v>
      </c>
      <c r="D2294" t="s">
        <v>32</v>
      </c>
      <c r="E2294" t="s">
        <v>26316</v>
      </c>
      <c r="F2294" t="s">
        <v>26317</v>
      </c>
      <c r="G2294" t="s">
        <v>32</v>
      </c>
      <c r="H2294" t="str">
        <f>"Rab35"</f>
        <v>Rab35</v>
      </c>
      <c r="I2294" t="s">
        <v>32</v>
      </c>
      <c r="J2294" t="s">
        <v>37</v>
      </c>
      <c r="K2294">
        <v>10090</v>
      </c>
      <c r="L2294" s="3" t="str">
        <f>HYPERLINK("http://www.uniprot.org/uniprot/Q6PHN9", "Q6PHN9")</f>
        <v>Q6PHN9</v>
      </c>
      <c r="M2294" t="s">
        <v>26318</v>
      </c>
      <c r="N2294" t="str">
        <f>"Rab35"</f>
        <v>Rab35</v>
      </c>
      <c r="O2294" s="3" t="str">
        <f>HYPERLINK("http://www.informatics.jax.org/marker/MGI:1924657", "MGI:1924657")</f>
        <v>MGI:1924657</v>
      </c>
      <c r="P2294" t="s">
        <v>26319</v>
      </c>
      <c r="Q2294" t="s">
        <v>434</v>
      </c>
      <c r="R2294" t="s">
        <v>26320</v>
      </c>
      <c r="S2294" t="s">
        <v>32</v>
      </c>
      <c r="T2294" t="s">
        <v>32</v>
      </c>
      <c r="U2294" t="s">
        <v>32</v>
      </c>
      <c r="V2294" t="s">
        <v>32</v>
      </c>
      <c r="W2294" t="s">
        <v>261</v>
      </c>
      <c r="X2294" t="s">
        <v>32</v>
      </c>
      <c r="Y2294" t="s">
        <v>17897</v>
      </c>
      <c r="Z2294" t="s">
        <v>32</v>
      </c>
      <c r="AA2294" t="s">
        <v>26321</v>
      </c>
      <c r="AB2294" t="s">
        <v>26322</v>
      </c>
      <c r="AC2294" t="s">
        <v>26323</v>
      </c>
      <c r="AD2294" t="s">
        <v>32</v>
      </c>
      <c r="AE2294" t="s">
        <v>26324</v>
      </c>
      <c r="AF2294" t="s">
        <v>46835</v>
      </c>
    </row>
    <row r="2295" spans="1:32" x14ac:dyDescent="0.2">
      <c r="A2295">
        <v>2290</v>
      </c>
      <c r="B2295" t="s">
        <v>26325</v>
      </c>
      <c r="C2295" t="s">
        <v>26326</v>
      </c>
      <c r="D2295" t="s">
        <v>26327</v>
      </c>
      <c r="E2295" t="s">
        <v>26328</v>
      </c>
      <c r="F2295" t="s">
        <v>26329</v>
      </c>
      <c r="G2295" t="s">
        <v>26330</v>
      </c>
      <c r="H2295" t="str">
        <f>"Pak1ip1"</f>
        <v>Pak1ip1</v>
      </c>
      <c r="I2295" t="s">
        <v>32</v>
      </c>
      <c r="J2295" t="s">
        <v>37</v>
      </c>
      <c r="K2295">
        <v>10090</v>
      </c>
      <c r="L2295" s="3" t="str">
        <f>HYPERLINK("http://www.uniprot.org/uniprot/Q9DCE5", "Q9DCE5")</f>
        <v>Q9DCE5</v>
      </c>
      <c r="M2295" t="s">
        <v>26331</v>
      </c>
      <c r="N2295" t="str">
        <f>"Pak1ip1"</f>
        <v>Pak1ip1</v>
      </c>
      <c r="O2295" s="3" t="str">
        <f>HYPERLINK("http://www.informatics.jax.org/marker/MGI:1915333", "MGI:1915333")</f>
        <v>MGI:1915333</v>
      </c>
      <c r="P2295" t="s">
        <v>26332</v>
      </c>
      <c r="Q2295" t="s">
        <v>6400</v>
      </c>
      <c r="R2295" t="s">
        <v>2279</v>
      </c>
      <c r="S2295" t="s">
        <v>32</v>
      </c>
      <c r="T2295" t="s">
        <v>32</v>
      </c>
      <c r="U2295" t="s">
        <v>32</v>
      </c>
      <c r="V2295" t="s">
        <v>1910</v>
      </c>
      <c r="W2295" t="s">
        <v>32</v>
      </c>
      <c r="X2295" t="s">
        <v>26333</v>
      </c>
      <c r="Y2295" t="s">
        <v>32</v>
      </c>
      <c r="Z2295" t="s">
        <v>32</v>
      </c>
      <c r="AA2295" t="s">
        <v>26334</v>
      </c>
      <c r="AB2295" t="s">
        <v>6402</v>
      </c>
      <c r="AC2295" t="s">
        <v>32</v>
      </c>
      <c r="AD2295" t="s">
        <v>32</v>
      </c>
      <c r="AE2295" t="s">
        <v>32</v>
      </c>
      <c r="AF2295" t="s">
        <v>46835</v>
      </c>
    </row>
    <row r="2296" spans="1:32" x14ac:dyDescent="0.2">
      <c r="A2296">
        <v>2291</v>
      </c>
      <c r="B2296" t="s">
        <v>26335</v>
      </c>
      <c r="C2296" t="s">
        <v>26336</v>
      </c>
      <c r="D2296" t="s">
        <v>26337</v>
      </c>
      <c r="E2296" t="s">
        <v>26338</v>
      </c>
      <c r="F2296" t="s">
        <v>26339</v>
      </c>
      <c r="G2296" t="s">
        <v>32</v>
      </c>
      <c r="H2296" t="str">
        <f>"Slc4a1"</f>
        <v>Slc4a1</v>
      </c>
      <c r="I2296" t="s">
        <v>26340</v>
      </c>
      <c r="J2296" t="s">
        <v>37</v>
      </c>
      <c r="K2296">
        <v>10090</v>
      </c>
      <c r="L2296" s="3" t="str">
        <f>HYPERLINK("http://www.uniprot.org/uniprot/P04919", "P04919")</f>
        <v>P04919</v>
      </c>
      <c r="M2296" t="s">
        <v>26341</v>
      </c>
      <c r="N2296" t="str">
        <f>"Slc4a1"</f>
        <v>Slc4a1</v>
      </c>
      <c r="O2296" s="3" t="str">
        <f>HYPERLINK("http://www.informatics.jax.org/marker/MGI:109393", "MGI:109393")</f>
        <v>MGI:109393</v>
      </c>
      <c r="P2296" t="s">
        <v>26342</v>
      </c>
      <c r="Q2296" t="s">
        <v>26343</v>
      </c>
      <c r="R2296" t="s">
        <v>2474</v>
      </c>
      <c r="S2296" t="s">
        <v>41</v>
      </c>
      <c r="T2296" t="s">
        <v>32</v>
      </c>
      <c r="U2296" t="s">
        <v>32</v>
      </c>
      <c r="V2296" t="s">
        <v>493</v>
      </c>
      <c r="W2296" t="s">
        <v>32</v>
      </c>
      <c r="X2296" t="s">
        <v>32</v>
      </c>
      <c r="Y2296" t="s">
        <v>26344</v>
      </c>
      <c r="Z2296" t="s">
        <v>32</v>
      </c>
      <c r="AA2296" t="s">
        <v>26345</v>
      </c>
      <c r="AB2296" t="s">
        <v>26346</v>
      </c>
      <c r="AC2296" t="s">
        <v>26347</v>
      </c>
      <c r="AD2296" t="s">
        <v>32</v>
      </c>
      <c r="AE2296" t="s">
        <v>26348</v>
      </c>
      <c r="AF2296" t="s">
        <v>46835</v>
      </c>
    </row>
    <row r="2297" spans="1:32" x14ac:dyDescent="0.2">
      <c r="A2297">
        <v>2292</v>
      </c>
      <c r="B2297" t="s">
        <v>26349</v>
      </c>
      <c r="C2297" t="s">
        <v>26350</v>
      </c>
      <c r="D2297" t="s">
        <v>32</v>
      </c>
      <c r="E2297" t="s">
        <v>26351</v>
      </c>
      <c r="F2297" t="s">
        <v>26352</v>
      </c>
      <c r="G2297" t="s">
        <v>26353</v>
      </c>
      <c r="H2297" t="str">
        <f>"Arf6"</f>
        <v>Arf6</v>
      </c>
      <c r="I2297" t="s">
        <v>32</v>
      </c>
      <c r="J2297" t="s">
        <v>37</v>
      </c>
      <c r="K2297">
        <v>10090</v>
      </c>
      <c r="L2297" s="3" t="str">
        <f>HYPERLINK("http://www.uniprot.org/uniprot/P62331", "P62331")</f>
        <v>P62331</v>
      </c>
      <c r="M2297" t="s">
        <v>26354</v>
      </c>
      <c r="N2297" t="str">
        <f>"Arf6"</f>
        <v>Arf6</v>
      </c>
      <c r="O2297" s="3" t="str">
        <f>HYPERLINK("http://www.informatics.jax.org/marker/MGI:99435", "MGI:99435")</f>
        <v>MGI:99435</v>
      </c>
      <c r="P2297" t="s">
        <v>26355</v>
      </c>
      <c r="Q2297" t="s">
        <v>26356</v>
      </c>
      <c r="R2297" t="s">
        <v>26357</v>
      </c>
      <c r="S2297" t="s">
        <v>32</v>
      </c>
      <c r="T2297" t="s">
        <v>32</v>
      </c>
      <c r="U2297" t="s">
        <v>32</v>
      </c>
      <c r="V2297" t="s">
        <v>32</v>
      </c>
      <c r="W2297" t="s">
        <v>261</v>
      </c>
      <c r="X2297" t="s">
        <v>343</v>
      </c>
      <c r="Y2297" t="s">
        <v>15432</v>
      </c>
      <c r="Z2297" t="s">
        <v>126</v>
      </c>
      <c r="AA2297" t="s">
        <v>26358</v>
      </c>
      <c r="AB2297" t="s">
        <v>26359</v>
      </c>
      <c r="AC2297" t="s">
        <v>26360</v>
      </c>
      <c r="AD2297" t="s">
        <v>32</v>
      </c>
      <c r="AE2297" t="s">
        <v>26361</v>
      </c>
      <c r="AF2297" t="s">
        <v>46835</v>
      </c>
    </row>
    <row r="2298" spans="1:32" x14ac:dyDescent="0.2">
      <c r="A2298">
        <v>2293</v>
      </c>
      <c r="B2298" t="s">
        <v>26362</v>
      </c>
      <c r="C2298" t="s">
        <v>26363</v>
      </c>
      <c r="D2298" t="s">
        <v>26364</v>
      </c>
      <c r="E2298" t="s">
        <v>26365</v>
      </c>
      <c r="F2298" t="s">
        <v>26366</v>
      </c>
      <c r="G2298" t="s">
        <v>26367</v>
      </c>
      <c r="H2298" t="str">
        <f>"Papss1"</f>
        <v>Papss1</v>
      </c>
      <c r="I2298" t="s">
        <v>26368</v>
      </c>
      <c r="J2298" t="s">
        <v>37</v>
      </c>
      <c r="K2298">
        <v>10090</v>
      </c>
      <c r="L2298" s="3" t="str">
        <f>HYPERLINK("http://www.uniprot.org/uniprot/Q60967", "Q60967")</f>
        <v>Q60967</v>
      </c>
      <c r="M2298" t="s">
        <v>26369</v>
      </c>
      <c r="N2298" t="str">
        <f>"Papss1"</f>
        <v>Papss1</v>
      </c>
      <c r="O2298" s="3" t="str">
        <f>HYPERLINK("http://www.informatics.jax.org/marker/MGI:1330587", "MGI:1330587")</f>
        <v>MGI:1330587</v>
      </c>
      <c r="P2298" t="s">
        <v>26370</v>
      </c>
      <c r="Q2298" t="s">
        <v>32</v>
      </c>
      <c r="R2298" t="s">
        <v>32</v>
      </c>
      <c r="S2298" t="s">
        <v>32</v>
      </c>
      <c r="T2298" t="s">
        <v>32</v>
      </c>
      <c r="U2298" t="s">
        <v>32</v>
      </c>
      <c r="V2298" t="s">
        <v>32</v>
      </c>
      <c r="W2298" t="s">
        <v>205</v>
      </c>
      <c r="X2298" t="s">
        <v>22623</v>
      </c>
      <c r="Y2298" t="s">
        <v>78</v>
      </c>
      <c r="Z2298" t="s">
        <v>32</v>
      </c>
      <c r="AA2298" t="s">
        <v>26371</v>
      </c>
      <c r="AB2298" t="s">
        <v>26372</v>
      </c>
      <c r="AC2298" t="s">
        <v>26373</v>
      </c>
      <c r="AD2298" t="s">
        <v>26374</v>
      </c>
      <c r="AE2298" t="s">
        <v>26375</v>
      </c>
      <c r="AF2298" t="s">
        <v>46835</v>
      </c>
    </row>
    <row r="2299" spans="1:32" x14ac:dyDescent="0.2">
      <c r="A2299">
        <v>2294</v>
      </c>
      <c r="B2299" t="s">
        <v>26376</v>
      </c>
      <c r="C2299" t="s">
        <v>26377</v>
      </c>
      <c r="D2299" t="s">
        <v>26378</v>
      </c>
      <c r="E2299" t="s">
        <v>26379</v>
      </c>
      <c r="F2299" t="s">
        <v>26380</v>
      </c>
      <c r="G2299" t="s">
        <v>26381</v>
      </c>
      <c r="H2299" t="str">
        <f>"Arid1a"</f>
        <v>Arid1a</v>
      </c>
      <c r="I2299" t="s">
        <v>26382</v>
      </c>
      <c r="J2299" t="s">
        <v>37</v>
      </c>
      <c r="K2299">
        <v>10090</v>
      </c>
      <c r="L2299" s="3" t="str">
        <f>HYPERLINK("http://www.uniprot.org/uniprot/A2BH40", "A2BH40")</f>
        <v>A2BH40</v>
      </c>
      <c r="M2299" t="s">
        <v>26383</v>
      </c>
      <c r="N2299" t="str">
        <f>"Arid1a"</f>
        <v>Arid1a</v>
      </c>
      <c r="O2299" s="3" t="str">
        <f>HYPERLINK("http://www.informatics.jax.org/marker/MGI:1935147", "MGI:1935147")</f>
        <v>MGI:1935147</v>
      </c>
      <c r="P2299" t="s">
        <v>26384</v>
      </c>
      <c r="Q2299" t="s">
        <v>9987</v>
      </c>
      <c r="R2299" t="s">
        <v>2279</v>
      </c>
      <c r="S2299" t="s">
        <v>41</v>
      </c>
      <c r="T2299" t="s">
        <v>32</v>
      </c>
      <c r="U2299" t="s">
        <v>32</v>
      </c>
      <c r="V2299" t="s">
        <v>32</v>
      </c>
      <c r="W2299" t="s">
        <v>32</v>
      </c>
      <c r="X2299" t="s">
        <v>5712</v>
      </c>
      <c r="Y2299" t="s">
        <v>97</v>
      </c>
      <c r="Z2299" t="s">
        <v>32</v>
      </c>
      <c r="AA2299" t="s">
        <v>26385</v>
      </c>
      <c r="AB2299" t="s">
        <v>26386</v>
      </c>
      <c r="AC2299" t="s">
        <v>26387</v>
      </c>
      <c r="AD2299" t="s">
        <v>32</v>
      </c>
      <c r="AE2299" t="s">
        <v>9992</v>
      </c>
      <c r="AF2299" t="s">
        <v>46835</v>
      </c>
    </row>
    <row r="2300" spans="1:32" x14ac:dyDescent="0.2">
      <c r="A2300">
        <v>2295</v>
      </c>
      <c r="B2300" t="s">
        <v>26388</v>
      </c>
      <c r="C2300" t="s">
        <v>26389</v>
      </c>
      <c r="D2300" t="s">
        <v>26390</v>
      </c>
      <c r="E2300" t="s">
        <v>26391</v>
      </c>
      <c r="F2300" t="s">
        <v>26392</v>
      </c>
      <c r="G2300" t="s">
        <v>26393</v>
      </c>
      <c r="H2300" t="str">
        <f>"Farp1"</f>
        <v>Farp1</v>
      </c>
      <c r="I2300" t="s">
        <v>32</v>
      </c>
      <c r="J2300" t="s">
        <v>37</v>
      </c>
      <c r="K2300">
        <v>10090</v>
      </c>
      <c r="L2300" s="3" t="str">
        <f>HYPERLINK("http://www.uniprot.org/uniprot/F8VPU2", "F8VPU2")</f>
        <v>F8VPU2</v>
      </c>
      <c r="M2300" t="s">
        <v>26394</v>
      </c>
      <c r="N2300" t="str">
        <f>"Farp1"</f>
        <v>Farp1</v>
      </c>
      <c r="O2300" s="3" t="str">
        <f>HYPERLINK("http://www.informatics.jax.org/marker/MGI:2446173", "MGI:2446173")</f>
        <v>MGI:2446173</v>
      </c>
      <c r="P2300" t="s">
        <v>26395</v>
      </c>
      <c r="Q2300" t="s">
        <v>32</v>
      </c>
      <c r="R2300" t="s">
        <v>26396</v>
      </c>
      <c r="S2300" t="s">
        <v>32</v>
      </c>
      <c r="T2300" t="s">
        <v>32</v>
      </c>
      <c r="U2300" t="s">
        <v>32</v>
      </c>
      <c r="V2300" t="s">
        <v>55</v>
      </c>
      <c r="W2300" t="s">
        <v>32</v>
      </c>
      <c r="X2300" t="s">
        <v>20602</v>
      </c>
      <c r="Y2300" t="s">
        <v>618</v>
      </c>
      <c r="Z2300" t="s">
        <v>32</v>
      </c>
      <c r="AA2300" t="s">
        <v>26397</v>
      </c>
      <c r="AB2300" t="s">
        <v>26398</v>
      </c>
      <c r="AC2300" t="s">
        <v>26399</v>
      </c>
      <c r="AD2300" t="s">
        <v>32</v>
      </c>
      <c r="AE2300" t="s">
        <v>26400</v>
      </c>
      <c r="AF2300" t="s">
        <v>46835</v>
      </c>
    </row>
    <row r="2301" spans="1:32" x14ac:dyDescent="0.2">
      <c r="A2301">
        <v>2296</v>
      </c>
      <c r="B2301" t="s">
        <v>26401</v>
      </c>
      <c r="C2301" t="s">
        <v>26402</v>
      </c>
      <c r="D2301" t="s">
        <v>26403</v>
      </c>
      <c r="E2301" t="s">
        <v>26404</v>
      </c>
      <c r="F2301" t="s">
        <v>26405</v>
      </c>
      <c r="G2301" t="s">
        <v>26406</v>
      </c>
      <c r="H2301" t="str">
        <f>"Gmpr2"</f>
        <v>Gmpr2</v>
      </c>
      <c r="I2301" t="s">
        <v>32</v>
      </c>
      <c r="J2301" t="s">
        <v>37</v>
      </c>
      <c r="K2301">
        <v>10090</v>
      </c>
      <c r="L2301" s="3" t="str">
        <f>HYPERLINK("http://www.uniprot.org/uniprot/Q99L27", "Q99L27")</f>
        <v>Q99L27</v>
      </c>
      <c r="M2301" t="s">
        <v>26407</v>
      </c>
      <c r="N2301" t="str">
        <f>"Gmpr2"</f>
        <v>Gmpr2</v>
      </c>
      <c r="O2301" s="3" t="str">
        <f>HYPERLINK("http://www.informatics.jax.org/marker/MGI:1917903", "MGI:1917903")</f>
        <v>MGI:1917903</v>
      </c>
      <c r="P2301" t="s">
        <v>26408</v>
      </c>
      <c r="Q2301" t="s">
        <v>26409</v>
      </c>
      <c r="R2301" t="s">
        <v>32</v>
      </c>
      <c r="S2301" t="s">
        <v>32</v>
      </c>
      <c r="T2301" t="s">
        <v>32</v>
      </c>
      <c r="U2301" t="s">
        <v>32</v>
      </c>
      <c r="V2301" t="s">
        <v>32</v>
      </c>
      <c r="W2301" t="s">
        <v>26410</v>
      </c>
      <c r="X2301" t="s">
        <v>600</v>
      </c>
      <c r="Y2301" t="s">
        <v>78</v>
      </c>
      <c r="Z2301" t="s">
        <v>32</v>
      </c>
      <c r="AA2301" t="s">
        <v>26411</v>
      </c>
      <c r="AB2301" t="s">
        <v>26412</v>
      </c>
      <c r="AC2301" t="s">
        <v>26413</v>
      </c>
      <c r="AD2301" t="s">
        <v>32</v>
      </c>
      <c r="AE2301" t="s">
        <v>10568</v>
      </c>
      <c r="AF2301" t="s">
        <v>46835</v>
      </c>
    </row>
    <row r="2302" spans="1:32" x14ac:dyDescent="0.2">
      <c r="A2302">
        <v>2297</v>
      </c>
      <c r="B2302" t="s">
        <v>26414</v>
      </c>
      <c r="C2302" t="s">
        <v>26415</v>
      </c>
      <c r="D2302" t="s">
        <v>26416</v>
      </c>
      <c r="E2302" t="s">
        <v>26417</v>
      </c>
      <c r="F2302" t="s">
        <v>26418</v>
      </c>
      <c r="G2302" t="s">
        <v>26419</v>
      </c>
      <c r="H2302" t="str">
        <f>"Usp39"</f>
        <v>Usp39</v>
      </c>
      <c r="I2302" t="s">
        <v>32</v>
      </c>
      <c r="J2302" t="s">
        <v>37</v>
      </c>
      <c r="K2302">
        <v>10090</v>
      </c>
      <c r="L2302" s="3" t="str">
        <f>HYPERLINK("http://www.uniprot.org/uniprot/Q3TIX9", "Q3TIX9")</f>
        <v>Q3TIX9</v>
      </c>
      <c r="M2302" t="s">
        <v>26420</v>
      </c>
      <c r="N2302" t="str">
        <f>"Usp39"</f>
        <v>Usp39</v>
      </c>
      <c r="O2302" s="3" t="str">
        <f>HYPERLINK("http://www.informatics.jax.org/marker/MGI:107622", "MGI:107622")</f>
        <v>MGI:107622</v>
      </c>
      <c r="P2302" t="s">
        <v>26421</v>
      </c>
      <c r="Q2302" t="s">
        <v>26422</v>
      </c>
      <c r="R2302" t="s">
        <v>2140</v>
      </c>
      <c r="S2302" t="s">
        <v>32</v>
      </c>
      <c r="T2302" t="s">
        <v>32</v>
      </c>
      <c r="U2302" t="s">
        <v>32</v>
      </c>
      <c r="V2302" t="s">
        <v>446</v>
      </c>
      <c r="W2302" t="s">
        <v>42</v>
      </c>
      <c r="X2302" t="s">
        <v>32</v>
      </c>
      <c r="Y2302" t="s">
        <v>1007</v>
      </c>
      <c r="Z2302" t="s">
        <v>32</v>
      </c>
      <c r="AA2302" t="s">
        <v>26423</v>
      </c>
      <c r="AB2302" t="s">
        <v>26424</v>
      </c>
      <c r="AC2302" t="s">
        <v>26425</v>
      </c>
      <c r="AD2302" t="s">
        <v>32</v>
      </c>
      <c r="AE2302" t="s">
        <v>946</v>
      </c>
      <c r="AF2302" t="s">
        <v>46835</v>
      </c>
    </row>
    <row r="2303" spans="1:32" x14ac:dyDescent="0.2">
      <c r="A2303">
        <v>2298</v>
      </c>
      <c r="B2303" t="s">
        <v>26426</v>
      </c>
      <c r="C2303" t="s">
        <v>26427</v>
      </c>
      <c r="D2303" t="s">
        <v>32</v>
      </c>
      <c r="E2303" t="s">
        <v>26428</v>
      </c>
      <c r="F2303" t="s">
        <v>26429</v>
      </c>
      <c r="G2303" t="s">
        <v>26430</v>
      </c>
      <c r="H2303" t="str">
        <f>"Adpgk"</f>
        <v>Adpgk</v>
      </c>
      <c r="I2303" t="s">
        <v>32</v>
      </c>
      <c r="J2303" t="s">
        <v>37</v>
      </c>
      <c r="K2303">
        <v>10090</v>
      </c>
      <c r="L2303" s="3" t="str">
        <f>HYPERLINK("http://www.uniprot.org/uniprot/Q8VDL4", "Q8VDL4")</f>
        <v>Q8VDL4</v>
      </c>
      <c r="M2303" t="s">
        <v>26431</v>
      </c>
      <c r="N2303" t="str">
        <f>"Adpgk"</f>
        <v>Adpgk</v>
      </c>
      <c r="O2303" s="3" t="str">
        <f>HYPERLINK("http://www.informatics.jax.org/marker/MGI:1919391", "MGI:1919391")</f>
        <v>MGI:1919391</v>
      </c>
      <c r="P2303" t="s">
        <v>26432</v>
      </c>
      <c r="Q2303" t="s">
        <v>221</v>
      </c>
      <c r="R2303" t="s">
        <v>630</v>
      </c>
      <c r="S2303" t="s">
        <v>41</v>
      </c>
      <c r="T2303" t="s">
        <v>32</v>
      </c>
      <c r="U2303" t="s">
        <v>32</v>
      </c>
      <c r="V2303" t="s">
        <v>811</v>
      </c>
      <c r="W2303" t="s">
        <v>223</v>
      </c>
      <c r="X2303" t="s">
        <v>419</v>
      </c>
      <c r="Y2303" t="s">
        <v>32</v>
      </c>
      <c r="Z2303" t="s">
        <v>126</v>
      </c>
      <c r="AA2303" t="s">
        <v>26433</v>
      </c>
      <c r="AB2303" t="s">
        <v>26434</v>
      </c>
      <c r="AC2303" t="s">
        <v>26435</v>
      </c>
      <c r="AD2303" t="s">
        <v>26436</v>
      </c>
      <c r="AE2303" t="s">
        <v>9647</v>
      </c>
      <c r="AF2303" t="s">
        <v>46835</v>
      </c>
    </row>
    <row r="2304" spans="1:32" x14ac:dyDescent="0.2">
      <c r="A2304">
        <v>2299</v>
      </c>
      <c r="B2304" t="s">
        <v>26437</v>
      </c>
      <c r="C2304" t="s">
        <v>26438</v>
      </c>
      <c r="D2304" t="s">
        <v>26439</v>
      </c>
      <c r="E2304" t="s">
        <v>26440</v>
      </c>
      <c r="F2304" t="s">
        <v>26441</v>
      </c>
      <c r="G2304" t="s">
        <v>26442</v>
      </c>
      <c r="H2304" t="str">
        <f>"Lss"</f>
        <v>Lss</v>
      </c>
      <c r="I2304" t="s">
        <v>32</v>
      </c>
      <c r="J2304" t="s">
        <v>37</v>
      </c>
      <c r="K2304">
        <v>10090</v>
      </c>
      <c r="L2304" s="3" t="str">
        <f>HYPERLINK("http://www.uniprot.org/uniprot/Q8BLN5", "Q8BLN5")</f>
        <v>Q8BLN5</v>
      </c>
      <c r="M2304" t="s">
        <v>26443</v>
      </c>
      <c r="N2304" t="str">
        <f>"Lss"</f>
        <v>Lss</v>
      </c>
      <c r="O2304" s="3" t="str">
        <f>HYPERLINK("http://www.informatics.jax.org/marker/MGI:1336155", "MGI:1336155")</f>
        <v>MGI:1336155</v>
      </c>
      <c r="P2304" t="s">
        <v>26444</v>
      </c>
      <c r="Q2304" t="s">
        <v>15601</v>
      </c>
      <c r="R2304" t="s">
        <v>1664</v>
      </c>
      <c r="S2304" t="s">
        <v>32</v>
      </c>
      <c r="T2304" t="s">
        <v>32</v>
      </c>
      <c r="U2304" t="s">
        <v>32</v>
      </c>
      <c r="V2304" t="s">
        <v>55</v>
      </c>
      <c r="W2304" t="s">
        <v>32</v>
      </c>
      <c r="X2304" t="s">
        <v>673</v>
      </c>
      <c r="Y2304" t="s">
        <v>78</v>
      </c>
      <c r="Z2304" t="s">
        <v>32</v>
      </c>
      <c r="AA2304" t="s">
        <v>26445</v>
      </c>
      <c r="AB2304" t="s">
        <v>26446</v>
      </c>
      <c r="AC2304" t="s">
        <v>26447</v>
      </c>
      <c r="AD2304" t="s">
        <v>26448</v>
      </c>
      <c r="AE2304" t="s">
        <v>5365</v>
      </c>
      <c r="AF2304" t="s">
        <v>46835</v>
      </c>
    </row>
    <row r="2305" spans="1:32" x14ac:dyDescent="0.2">
      <c r="A2305">
        <v>2300</v>
      </c>
      <c r="B2305" t="s">
        <v>26449</v>
      </c>
      <c r="C2305" t="s">
        <v>26450</v>
      </c>
      <c r="D2305" t="s">
        <v>32</v>
      </c>
      <c r="E2305" t="s">
        <v>26451</v>
      </c>
      <c r="F2305" t="s">
        <v>26452</v>
      </c>
      <c r="G2305" t="s">
        <v>26453</v>
      </c>
      <c r="H2305" t="str">
        <f>"Atl3"</f>
        <v>Atl3</v>
      </c>
      <c r="I2305" t="s">
        <v>32</v>
      </c>
      <c r="J2305" t="s">
        <v>37</v>
      </c>
      <c r="K2305">
        <v>10090</v>
      </c>
      <c r="L2305" s="3" t="str">
        <f>HYPERLINK("http://www.uniprot.org/uniprot/Q91YH5", "Q91YH5")</f>
        <v>Q91YH5</v>
      </c>
      <c r="M2305" t="s">
        <v>26454</v>
      </c>
      <c r="N2305" t="str">
        <f>"Atl3"</f>
        <v>Atl3</v>
      </c>
      <c r="O2305" s="3" t="str">
        <f>HYPERLINK("http://www.informatics.jax.org/marker/MGI:1924270", "MGI:1924270")</f>
        <v>MGI:1924270</v>
      </c>
      <c r="P2305" t="s">
        <v>26455</v>
      </c>
      <c r="Q2305" t="s">
        <v>32</v>
      </c>
      <c r="R2305" t="s">
        <v>1664</v>
      </c>
      <c r="S2305" t="s">
        <v>41</v>
      </c>
      <c r="T2305" t="s">
        <v>32</v>
      </c>
      <c r="U2305" t="s">
        <v>32</v>
      </c>
      <c r="V2305" t="s">
        <v>493</v>
      </c>
      <c r="W2305" t="s">
        <v>261</v>
      </c>
      <c r="X2305" t="s">
        <v>343</v>
      </c>
      <c r="Y2305" t="s">
        <v>78</v>
      </c>
      <c r="Z2305" t="s">
        <v>32</v>
      </c>
      <c r="AA2305" t="s">
        <v>26456</v>
      </c>
      <c r="AB2305" t="s">
        <v>26457</v>
      </c>
      <c r="AC2305" t="s">
        <v>26458</v>
      </c>
      <c r="AD2305" t="s">
        <v>32</v>
      </c>
      <c r="AE2305" t="s">
        <v>32</v>
      </c>
      <c r="AF2305" t="s">
        <v>46835</v>
      </c>
    </row>
    <row r="2306" spans="1:32" x14ac:dyDescent="0.2">
      <c r="A2306">
        <v>2301</v>
      </c>
      <c r="B2306" t="s">
        <v>26459</v>
      </c>
      <c r="C2306" t="s">
        <v>26460</v>
      </c>
      <c r="D2306" t="s">
        <v>26461</v>
      </c>
      <c r="E2306" t="s">
        <v>26462</v>
      </c>
      <c r="F2306" t="s">
        <v>26463</v>
      </c>
      <c r="G2306" t="s">
        <v>26464</v>
      </c>
      <c r="H2306" t="str">
        <f>"Prpf4b"</f>
        <v>Prpf4b</v>
      </c>
      <c r="I2306" t="s">
        <v>26465</v>
      </c>
      <c r="J2306" t="s">
        <v>37</v>
      </c>
      <c r="K2306">
        <v>10090</v>
      </c>
      <c r="L2306" s="3" t="str">
        <f>HYPERLINK("http://www.uniprot.org/uniprot/Q61136", "Q61136")</f>
        <v>Q61136</v>
      </c>
      <c r="M2306" t="s">
        <v>26466</v>
      </c>
      <c r="N2306" t="str">
        <f>"Prpf4b"</f>
        <v>Prpf4b</v>
      </c>
      <c r="O2306" s="3" t="str">
        <f>HYPERLINK("http://www.informatics.jax.org/marker/MGI:109584", "MGI:109584")</f>
        <v>MGI:109584</v>
      </c>
      <c r="P2306" t="s">
        <v>26467</v>
      </c>
      <c r="Q2306" t="s">
        <v>2139</v>
      </c>
      <c r="R2306" t="s">
        <v>2140</v>
      </c>
      <c r="S2306" t="s">
        <v>32</v>
      </c>
      <c r="T2306" t="s">
        <v>32</v>
      </c>
      <c r="U2306" t="s">
        <v>32</v>
      </c>
      <c r="V2306" t="s">
        <v>32</v>
      </c>
      <c r="W2306" t="s">
        <v>205</v>
      </c>
      <c r="X2306" t="s">
        <v>5419</v>
      </c>
      <c r="Y2306" t="s">
        <v>516</v>
      </c>
      <c r="Z2306" t="s">
        <v>32</v>
      </c>
      <c r="AA2306" t="s">
        <v>26468</v>
      </c>
      <c r="AB2306" t="s">
        <v>26469</v>
      </c>
      <c r="AC2306" t="s">
        <v>26470</v>
      </c>
      <c r="AD2306" t="s">
        <v>32</v>
      </c>
      <c r="AE2306" t="s">
        <v>32</v>
      </c>
      <c r="AF2306" t="s">
        <v>46835</v>
      </c>
    </row>
    <row r="2307" spans="1:32" x14ac:dyDescent="0.2">
      <c r="A2307">
        <v>2302</v>
      </c>
      <c r="B2307" t="s">
        <v>26471</v>
      </c>
      <c r="C2307" t="s">
        <v>26472</v>
      </c>
      <c r="D2307" t="s">
        <v>26473</v>
      </c>
      <c r="E2307" t="s">
        <v>26474</v>
      </c>
      <c r="F2307" t="s">
        <v>26475</v>
      </c>
      <c r="G2307" t="s">
        <v>26476</v>
      </c>
      <c r="H2307" t="str">
        <f>"Eef1akmt2"</f>
        <v>Eef1akmt2</v>
      </c>
      <c r="I2307" t="s">
        <v>32</v>
      </c>
      <c r="J2307" t="s">
        <v>37</v>
      </c>
      <c r="K2307">
        <v>10090</v>
      </c>
      <c r="L2307" s="3" t="str">
        <f>HYPERLINK("http://www.uniprot.org/uniprot/Q9D853", "Q9D853")</f>
        <v>Q9D853</v>
      </c>
      <c r="M2307" t="s">
        <v>26477</v>
      </c>
      <c r="N2307" t="str">
        <f>"Eef1akmt2"</f>
        <v>Eef1akmt2</v>
      </c>
      <c r="O2307" s="3" t="str">
        <f>HYPERLINK("http://www.informatics.jax.org/marker/MGI:1919346", "MGI:1919346")</f>
        <v>MGI:1919346</v>
      </c>
      <c r="P2307" t="s">
        <v>26478</v>
      </c>
      <c r="Q2307" t="s">
        <v>32</v>
      </c>
      <c r="R2307" t="s">
        <v>40</v>
      </c>
      <c r="S2307" t="s">
        <v>32</v>
      </c>
      <c r="T2307" t="s">
        <v>32</v>
      </c>
      <c r="U2307" t="s">
        <v>32</v>
      </c>
      <c r="V2307" t="s">
        <v>32</v>
      </c>
      <c r="W2307" t="s">
        <v>1705</v>
      </c>
      <c r="X2307" t="s">
        <v>1706</v>
      </c>
      <c r="Y2307" t="s">
        <v>618</v>
      </c>
      <c r="Z2307" t="s">
        <v>32</v>
      </c>
      <c r="AA2307" t="s">
        <v>26479</v>
      </c>
      <c r="AB2307" t="s">
        <v>26480</v>
      </c>
      <c r="AC2307" t="s">
        <v>26481</v>
      </c>
      <c r="AD2307" t="s">
        <v>32</v>
      </c>
      <c r="AE2307" t="s">
        <v>21250</v>
      </c>
      <c r="AF2307" t="s">
        <v>46835</v>
      </c>
    </row>
    <row r="2308" spans="1:32" x14ac:dyDescent="0.2">
      <c r="A2308">
        <v>2303</v>
      </c>
      <c r="B2308" t="s">
        <v>26482</v>
      </c>
      <c r="C2308" t="s">
        <v>26483</v>
      </c>
      <c r="D2308" t="s">
        <v>32</v>
      </c>
      <c r="E2308" t="s">
        <v>26484</v>
      </c>
      <c r="F2308" t="s">
        <v>26485</v>
      </c>
      <c r="G2308" t="s">
        <v>32</v>
      </c>
      <c r="H2308" t="str">
        <f>"Apoe"</f>
        <v>Apoe</v>
      </c>
      <c r="I2308" t="s">
        <v>32</v>
      </c>
      <c r="J2308" t="s">
        <v>37</v>
      </c>
      <c r="K2308">
        <v>10090</v>
      </c>
      <c r="L2308" s="3" t="str">
        <f>HYPERLINK("http://www.uniprot.org/uniprot/P08226", "P08226")</f>
        <v>P08226</v>
      </c>
      <c r="M2308" t="s">
        <v>26486</v>
      </c>
      <c r="N2308" t="str">
        <f>"Apoe"</f>
        <v>Apoe</v>
      </c>
      <c r="O2308" s="3" t="str">
        <f>HYPERLINK("http://www.informatics.jax.org/marker/MGI:88057", "MGI:88057")</f>
        <v>MGI:88057</v>
      </c>
      <c r="P2308" t="s">
        <v>26487</v>
      </c>
      <c r="Q2308" t="s">
        <v>582</v>
      </c>
      <c r="R2308" t="s">
        <v>26488</v>
      </c>
      <c r="S2308" t="s">
        <v>32</v>
      </c>
      <c r="T2308" t="s">
        <v>32</v>
      </c>
      <c r="U2308" t="s">
        <v>32</v>
      </c>
      <c r="V2308" t="s">
        <v>478</v>
      </c>
      <c r="W2308" t="s">
        <v>584</v>
      </c>
      <c r="X2308" t="s">
        <v>5246</v>
      </c>
      <c r="Y2308" t="s">
        <v>26489</v>
      </c>
      <c r="Z2308" t="s">
        <v>126</v>
      </c>
      <c r="AA2308" t="s">
        <v>26490</v>
      </c>
      <c r="AB2308" t="s">
        <v>26491</v>
      </c>
      <c r="AC2308" t="s">
        <v>26492</v>
      </c>
      <c r="AD2308" t="s">
        <v>32</v>
      </c>
      <c r="AE2308" t="s">
        <v>26493</v>
      </c>
      <c r="AF2308" t="s">
        <v>46835</v>
      </c>
    </row>
    <row r="2309" spans="1:32" x14ac:dyDescent="0.2">
      <c r="A2309">
        <v>2304</v>
      </c>
      <c r="B2309" t="s">
        <v>26494</v>
      </c>
      <c r="C2309" t="s">
        <v>26495</v>
      </c>
      <c r="D2309" t="s">
        <v>26496</v>
      </c>
      <c r="E2309" t="s">
        <v>26497</v>
      </c>
      <c r="F2309" t="s">
        <v>26498</v>
      </c>
      <c r="G2309" t="s">
        <v>26499</v>
      </c>
      <c r="H2309" t="str">
        <f>"Cul7"</f>
        <v>Cul7</v>
      </c>
      <c r="I2309" t="s">
        <v>26500</v>
      </c>
      <c r="J2309" t="s">
        <v>37</v>
      </c>
      <c r="K2309">
        <v>10090</v>
      </c>
      <c r="L2309" s="3" t="str">
        <f>HYPERLINK("http://www.uniprot.org/uniprot/Q8VE73", "Q8VE73")</f>
        <v>Q8VE73</v>
      </c>
      <c r="M2309" t="s">
        <v>26501</v>
      </c>
      <c r="N2309" t="str">
        <f>"Cul7"</f>
        <v>Cul7</v>
      </c>
      <c r="O2309" s="3" t="str">
        <f>HYPERLINK("http://www.informatics.jax.org/marker/MGI:1913765", "MGI:1913765")</f>
        <v>MGI:1913765</v>
      </c>
      <c r="P2309" t="s">
        <v>26502</v>
      </c>
      <c r="Q2309" t="s">
        <v>1020</v>
      </c>
      <c r="R2309" t="s">
        <v>19585</v>
      </c>
      <c r="S2309" t="s">
        <v>41</v>
      </c>
      <c r="T2309" t="s">
        <v>32</v>
      </c>
      <c r="U2309" t="s">
        <v>32</v>
      </c>
      <c r="V2309" t="s">
        <v>32</v>
      </c>
      <c r="W2309" t="s">
        <v>32</v>
      </c>
      <c r="X2309" t="s">
        <v>32</v>
      </c>
      <c r="Y2309" t="s">
        <v>7792</v>
      </c>
      <c r="Z2309" t="s">
        <v>32</v>
      </c>
      <c r="AA2309" t="s">
        <v>26503</v>
      </c>
      <c r="AB2309" t="s">
        <v>26504</v>
      </c>
      <c r="AC2309" t="s">
        <v>3477</v>
      </c>
      <c r="AD2309" t="s">
        <v>1027</v>
      </c>
      <c r="AE2309" t="s">
        <v>4220</v>
      </c>
      <c r="AF2309" t="s">
        <v>46835</v>
      </c>
    </row>
    <row r="2310" spans="1:32" x14ac:dyDescent="0.2">
      <c r="A2310">
        <v>2305</v>
      </c>
      <c r="B2310" t="s">
        <v>26505</v>
      </c>
      <c r="C2310" t="s">
        <v>26506</v>
      </c>
      <c r="D2310" t="s">
        <v>26507</v>
      </c>
      <c r="E2310" t="s">
        <v>26508</v>
      </c>
      <c r="F2310" t="s">
        <v>26509</v>
      </c>
      <c r="G2310" t="s">
        <v>26510</v>
      </c>
      <c r="H2310" t="str">
        <f>"Gphn"</f>
        <v>Gphn</v>
      </c>
      <c r="I2310" t="s">
        <v>32</v>
      </c>
      <c r="J2310" t="s">
        <v>37</v>
      </c>
      <c r="K2310">
        <v>10090</v>
      </c>
      <c r="L2310" s="3" t="str">
        <f>HYPERLINK("http://www.uniprot.org/uniprot/Q8BUV3", "Q8BUV3")</f>
        <v>Q8BUV3</v>
      </c>
      <c r="M2310" t="s">
        <v>26511</v>
      </c>
      <c r="N2310" t="str">
        <f>"Gphn"</f>
        <v>Gphn</v>
      </c>
      <c r="O2310" s="3" t="str">
        <f>HYPERLINK("http://www.informatics.jax.org/marker/MGI:109602", "MGI:109602")</f>
        <v>MGI:109602</v>
      </c>
      <c r="P2310" t="s">
        <v>26512</v>
      </c>
      <c r="Q2310" t="s">
        <v>17159</v>
      </c>
      <c r="R2310" t="s">
        <v>26513</v>
      </c>
      <c r="S2310" t="s">
        <v>32</v>
      </c>
      <c r="T2310" t="s">
        <v>32</v>
      </c>
      <c r="U2310" t="s">
        <v>32</v>
      </c>
      <c r="V2310" t="s">
        <v>32</v>
      </c>
      <c r="W2310" t="s">
        <v>26514</v>
      </c>
      <c r="X2310" t="s">
        <v>26005</v>
      </c>
      <c r="Y2310" t="s">
        <v>15840</v>
      </c>
      <c r="Z2310" t="s">
        <v>32</v>
      </c>
      <c r="AA2310" t="s">
        <v>26515</v>
      </c>
      <c r="AB2310" t="s">
        <v>26516</v>
      </c>
      <c r="AC2310" t="s">
        <v>26517</v>
      </c>
      <c r="AD2310" t="s">
        <v>17163</v>
      </c>
      <c r="AE2310" t="s">
        <v>26008</v>
      </c>
      <c r="AF2310" t="s">
        <v>46835</v>
      </c>
    </row>
    <row r="2311" spans="1:32" x14ac:dyDescent="0.2">
      <c r="A2311">
        <v>2306</v>
      </c>
      <c r="B2311" t="s">
        <v>26518</v>
      </c>
      <c r="C2311" t="s">
        <v>26519</v>
      </c>
      <c r="D2311" t="s">
        <v>26520</v>
      </c>
      <c r="E2311" t="s">
        <v>26521</v>
      </c>
      <c r="F2311" t="s">
        <v>26522</v>
      </c>
      <c r="G2311" t="s">
        <v>32</v>
      </c>
      <c r="H2311" t="str">
        <f>"Git1"</f>
        <v>Git1</v>
      </c>
      <c r="I2311" t="s">
        <v>32</v>
      </c>
      <c r="J2311" t="s">
        <v>37</v>
      </c>
      <c r="K2311">
        <v>10090</v>
      </c>
      <c r="L2311" s="3" t="str">
        <f>HYPERLINK("http://www.uniprot.org/uniprot/Q68FF6", "Q68FF6")</f>
        <v>Q68FF6</v>
      </c>
      <c r="M2311" t="s">
        <v>26523</v>
      </c>
      <c r="N2311" t="str">
        <f>"Git1"</f>
        <v>Git1</v>
      </c>
      <c r="O2311" s="3" t="str">
        <f>HYPERLINK("http://www.informatics.jax.org/marker/MGI:1927140", "MGI:1927140")</f>
        <v>MGI:1927140</v>
      </c>
      <c r="P2311" t="s">
        <v>26524</v>
      </c>
      <c r="Q2311" t="s">
        <v>32</v>
      </c>
      <c r="R2311" t="s">
        <v>21355</v>
      </c>
      <c r="S2311" t="s">
        <v>32</v>
      </c>
      <c r="T2311" t="s">
        <v>32</v>
      </c>
      <c r="U2311" t="s">
        <v>32</v>
      </c>
      <c r="V2311" t="s">
        <v>22545</v>
      </c>
      <c r="W2311" t="s">
        <v>42</v>
      </c>
      <c r="X2311" t="s">
        <v>715</v>
      </c>
      <c r="Y2311" t="s">
        <v>618</v>
      </c>
      <c r="Z2311" t="s">
        <v>126</v>
      </c>
      <c r="AA2311" t="s">
        <v>26525</v>
      </c>
      <c r="AB2311" t="s">
        <v>26526</v>
      </c>
      <c r="AC2311" t="s">
        <v>26527</v>
      </c>
      <c r="AD2311" t="s">
        <v>32</v>
      </c>
      <c r="AE2311" t="s">
        <v>26528</v>
      </c>
      <c r="AF2311" t="s">
        <v>46835</v>
      </c>
    </row>
    <row r="2312" spans="1:32" x14ac:dyDescent="0.2">
      <c r="A2312">
        <v>2307</v>
      </c>
      <c r="B2312" t="s">
        <v>26529</v>
      </c>
      <c r="C2312" t="s">
        <v>26530</v>
      </c>
      <c r="D2312" t="s">
        <v>32</v>
      </c>
      <c r="E2312" t="s">
        <v>26531</v>
      </c>
      <c r="F2312" t="s">
        <v>26532</v>
      </c>
      <c r="G2312" t="s">
        <v>26533</v>
      </c>
      <c r="H2312" t="str">
        <f>"Rnf214"</f>
        <v>Rnf214</v>
      </c>
      <c r="I2312" t="s">
        <v>32</v>
      </c>
      <c r="J2312" t="s">
        <v>37</v>
      </c>
      <c r="K2312">
        <v>10090</v>
      </c>
      <c r="L2312" s="3" t="str">
        <f>HYPERLINK("http://www.uniprot.org/uniprot/Q8BFU3", "Q8BFU3")</f>
        <v>Q8BFU3</v>
      </c>
      <c r="M2312" t="s">
        <v>26534</v>
      </c>
      <c r="N2312" t="str">
        <f>"Rnf214"</f>
        <v>Rnf214</v>
      </c>
      <c r="O2312" s="3" t="str">
        <f>HYPERLINK("http://www.informatics.jax.org/marker/MGI:2444451", "MGI:2444451")</f>
        <v>MGI:2444451</v>
      </c>
      <c r="P2312" t="s">
        <v>26535</v>
      </c>
      <c r="Q2312" t="s">
        <v>32</v>
      </c>
      <c r="R2312" t="s">
        <v>32</v>
      </c>
      <c r="S2312" t="s">
        <v>41</v>
      </c>
      <c r="T2312" t="s">
        <v>32</v>
      </c>
      <c r="U2312" t="s">
        <v>32</v>
      </c>
      <c r="V2312" t="s">
        <v>11171</v>
      </c>
      <c r="W2312" t="s">
        <v>42</v>
      </c>
      <c r="X2312" t="s">
        <v>32</v>
      </c>
      <c r="Y2312" t="s">
        <v>157</v>
      </c>
      <c r="Z2312" t="s">
        <v>32</v>
      </c>
      <c r="AA2312" t="s">
        <v>32</v>
      </c>
      <c r="AB2312" t="s">
        <v>32</v>
      </c>
      <c r="AC2312" t="s">
        <v>26536</v>
      </c>
      <c r="AD2312" t="s">
        <v>32</v>
      </c>
      <c r="AE2312" t="s">
        <v>32</v>
      </c>
      <c r="AF2312" t="s">
        <v>46835</v>
      </c>
    </row>
    <row r="2313" spans="1:32" x14ac:dyDescent="0.2">
      <c r="A2313">
        <v>2308</v>
      </c>
      <c r="B2313" t="s">
        <v>26537</v>
      </c>
      <c r="C2313" t="s">
        <v>26538</v>
      </c>
      <c r="D2313" t="s">
        <v>26539</v>
      </c>
      <c r="E2313" t="s">
        <v>26540</v>
      </c>
      <c r="F2313" t="s">
        <v>26541</v>
      </c>
      <c r="G2313" t="s">
        <v>26542</v>
      </c>
      <c r="H2313" t="str">
        <f>"Gtf3c4"</f>
        <v>Gtf3c4</v>
      </c>
      <c r="I2313" t="s">
        <v>32</v>
      </c>
      <c r="J2313" t="s">
        <v>37</v>
      </c>
      <c r="K2313">
        <v>10090</v>
      </c>
      <c r="L2313" s="3" t="str">
        <f>HYPERLINK("http://www.uniprot.org/uniprot/Q8BMQ2", "Q8BMQ2")</f>
        <v>Q8BMQ2</v>
      </c>
      <c r="M2313" t="s">
        <v>26543</v>
      </c>
      <c r="N2313" t="str">
        <f>"Gtf3c4"</f>
        <v>Gtf3c4</v>
      </c>
      <c r="O2313" s="3" t="str">
        <f>HYPERLINK("http://www.informatics.jax.org/marker/MGI:2138937", "MGI:2138937")</f>
        <v>MGI:2138937</v>
      </c>
      <c r="P2313" t="s">
        <v>26544</v>
      </c>
      <c r="Q2313" t="s">
        <v>16415</v>
      </c>
      <c r="R2313" t="s">
        <v>2279</v>
      </c>
      <c r="S2313" t="s">
        <v>41</v>
      </c>
      <c r="T2313" t="s">
        <v>32</v>
      </c>
      <c r="U2313" t="s">
        <v>32</v>
      </c>
      <c r="V2313" t="s">
        <v>32</v>
      </c>
      <c r="W2313" t="s">
        <v>32</v>
      </c>
      <c r="X2313" t="s">
        <v>26545</v>
      </c>
      <c r="Y2313" t="s">
        <v>516</v>
      </c>
      <c r="Z2313" t="s">
        <v>32</v>
      </c>
      <c r="AA2313" t="s">
        <v>26546</v>
      </c>
      <c r="AB2313" t="s">
        <v>26547</v>
      </c>
      <c r="AC2313" t="s">
        <v>26548</v>
      </c>
      <c r="AD2313" t="s">
        <v>32</v>
      </c>
      <c r="AE2313" t="s">
        <v>26549</v>
      </c>
      <c r="AF2313" t="s">
        <v>46835</v>
      </c>
    </row>
    <row r="2314" spans="1:32" x14ac:dyDescent="0.2">
      <c r="A2314">
        <v>2309</v>
      </c>
      <c r="B2314" t="s">
        <v>26550</v>
      </c>
      <c r="C2314" t="s">
        <v>26551</v>
      </c>
      <c r="D2314" t="s">
        <v>26552</v>
      </c>
      <c r="E2314" t="s">
        <v>26553</v>
      </c>
      <c r="F2314" t="s">
        <v>26554</v>
      </c>
      <c r="G2314" t="s">
        <v>26555</v>
      </c>
      <c r="H2314" t="str">
        <f>"Cdc42bpb"</f>
        <v>Cdc42bpb</v>
      </c>
      <c r="I2314" t="s">
        <v>32</v>
      </c>
      <c r="J2314" t="s">
        <v>37</v>
      </c>
      <c r="K2314">
        <v>10090</v>
      </c>
      <c r="L2314" s="3" t="str">
        <f>HYPERLINK("http://www.uniprot.org/uniprot/Q7TT50", "Q7TT50")</f>
        <v>Q7TT50</v>
      </c>
      <c r="M2314" t="s">
        <v>26556</v>
      </c>
      <c r="N2314" t="str">
        <f>"Cdc42bpb"</f>
        <v>Cdc42bpb</v>
      </c>
      <c r="O2314" s="3" t="str">
        <f>HYPERLINK("http://www.informatics.jax.org/marker/MGI:2136459", "MGI:2136459")</f>
        <v>MGI:2136459</v>
      </c>
      <c r="P2314" t="s">
        <v>26557</v>
      </c>
      <c r="Q2314" t="s">
        <v>32</v>
      </c>
      <c r="R2314" t="s">
        <v>16223</v>
      </c>
      <c r="S2314" t="s">
        <v>32</v>
      </c>
      <c r="T2314" t="s">
        <v>32</v>
      </c>
      <c r="U2314" t="s">
        <v>32</v>
      </c>
      <c r="V2314" t="s">
        <v>11171</v>
      </c>
      <c r="W2314" t="s">
        <v>17726</v>
      </c>
      <c r="X2314" t="s">
        <v>5419</v>
      </c>
      <c r="Y2314" t="s">
        <v>2734</v>
      </c>
      <c r="Z2314" t="s">
        <v>32</v>
      </c>
      <c r="AA2314" t="s">
        <v>26558</v>
      </c>
      <c r="AB2314" t="s">
        <v>26559</v>
      </c>
      <c r="AC2314" t="s">
        <v>26560</v>
      </c>
      <c r="AD2314" t="s">
        <v>32</v>
      </c>
      <c r="AE2314" t="s">
        <v>26561</v>
      </c>
      <c r="AF2314" t="s">
        <v>46835</v>
      </c>
    </row>
    <row r="2315" spans="1:32" x14ac:dyDescent="0.2">
      <c r="A2315">
        <v>2310</v>
      </c>
      <c r="B2315" t="s">
        <v>26562</v>
      </c>
      <c r="C2315" t="s">
        <v>26563</v>
      </c>
      <c r="D2315" t="s">
        <v>26564</v>
      </c>
      <c r="E2315" t="s">
        <v>26565</v>
      </c>
      <c r="F2315" t="s">
        <v>26566</v>
      </c>
      <c r="G2315" t="s">
        <v>32</v>
      </c>
      <c r="H2315" t="str">
        <f>"Mlf2"</f>
        <v>Mlf2</v>
      </c>
      <c r="I2315" t="s">
        <v>32</v>
      </c>
      <c r="J2315" t="s">
        <v>37</v>
      </c>
      <c r="K2315">
        <v>10090</v>
      </c>
      <c r="L2315" s="3" t="str">
        <f>HYPERLINK("http://www.uniprot.org/uniprot/Q99KX1", "Q99KX1")</f>
        <v>Q99KX1</v>
      </c>
      <c r="M2315" t="s">
        <v>26567</v>
      </c>
      <c r="N2315" t="str">
        <f>"Mlf2"</f>
        <v>Mlf2</v>
      </c>
      <c r="O2315" s="3" t="str">
        <f>HYPERLINK("http://www.informatics.jax.org/marker/MGI:1353554", "MGI:1353554")</f>
        <v>MGI:1353554</v>
      </c>
      <c r="P2315" t="s">
        <v>19197</v>
      </c>
      <c r="Q2315" t="s">
        <v>32</v>
      </c>
      <c r="R2315" t="s">
        <v>40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32</v>
      </c>
      <c r="Y2315" t="s">
        <v>618</v>
      </c>
      <c r="Z2315" t="s">
        <v>32</v>
      </c>
      <c r="AA2315" t="s">
        <v>9733</v>
      </c>
      <c r="AB2315" t="s">
        <v>110</v>
      </c>
      <c r="AC2315" t="s">
        <v>32</v>
      </c>
      <c r="AD2315" t="s">
        <v>32</v>
      </c>
      <c r="AE2315" t="s">
        <v>32</v>
      </c>
      <c r="AF2315" t="s">
        <v>46835</v>
      </c>
    </row>
    <row r="2316" spans="1:32" x14ac:dyDescent="0.2">
      <c r="A2316">
        <v>2311</v>
      </c>
      <c r="B2316" t="s">
        <v>26568</v>
      </c>
      <c r="C2316" t="s">
        <v>26569</v>
      </c>
      <c r="D2316" t="s">
        <v>26570</v>
      </c>
      <c r="E2316" t="s">
        <v>26571</v>
      </c>
      <c r="F2316" t="s">
        <v>26572</v>
      </c>
      <c r="G2316" t="s">
        <v>26573</v>
      </c>
      <c r="H2316" t="str">
        <f>"Emc2"</f>
        <v>Emc2</v>
      </c>
      <c r="I2316" t="s">
        <v>32</v>
      </c>
      <c r="J2316" t="s">
        <v>37</v>
      </c>
      <c r="K2316">
        <v>10090</v>
      </c>
      <c r="L2316" s="3" t="str">
        <f>HYPERLINK("http://www.uniprot.org/uniprot/Q9CRD2", "Q9CRD2")</f>
        <v>Q9CRD2</v>
      </c>
      <c r="M2316" t="s">
        <v>26574</v>
      </c>
      <c r="N2316" t="str">
        <f>"Emc2"</f>
        <v>Emc2</v>
      </c>
      <c r="O2316" s="3" t="str">
        <f>HYPERLINK("http://www.informatics.jax.org/marker/MGI:1913986", "MGI:1913986")</f>
        <v>MGI:1913986</v>
      </c>
      <c r="P2316" t="s">
        <v>26575</v>
      </c>
      <c r="Q2316" t="s">
        <v>32</v>
      </c>
      <c r="R2316" t="s">
        <v>1664</v>
      </c>
      <c r="S2316" t="s">
        <v>32</v>
      </c>
      <c r="T2316" t="s">
        <v>32</v>
      </c>
      <c r="U2316" t="s">
        <v>32</v>
      </c>
      <c r="V2316" t="s">
        <v>995</v>
      </c>
      <c r="W2316" t="s">
        <v>32</v>
      </c>
      <c r="X2316" t="s">
        <v>32</v>
      </c>
      <c r="Y2316" t="s">
        <v>78</v>
      </c>
      <c r="Z2316" t="s">
        <v>32</v>
      </c>
      <c r="AA2316" t="s">
        <v>21751</v>
      </c>
      <c r="AB2316" t="s">
        <v>26576</v>
      </c>
      <c r="AC2316" t="s">
        <v>21753</v>
      </c>
      <c r="AD2316" t="s">
        <v>32</v>
      </c>
      <c r="AE2316" t="s">
        <v>32</v>
      </c>
      <c r="AF2316" t="s">
        <v>46835</v>
      </c>
    </row>
    <row r="2317" spans="1:32" x14ac:dyDescent="0.2">
      <c r="A2317">
        <v>2312</v>
      </c>
      <c r="B2317" t="s">
        <v>26577</v>
      </c>
      <c r="C2317" t="s">
        <v>26578</v>
      </c>
      <c r="D2317" t="s">
        <v>32</v>
      </c>
      <c r="E2317" t="s">
        <v>26579</v>
      </c>
      <c r="F2317" t="s">
        <v>26580</v>
      </c>
      <c r="G2317" t="s">
        <v>26581</v>
      </c>
      <c r="H2317" t="str">
        <f>"Slirp"</f>
        <v>Slirp</v>
      </c>
      <c r="I2317" t="s">
        <v>32</v>
      </c>
      <c r="J2317" t="s">
        <v>37</v>
      </c>
      <c r="K2317">
        <v>10090</v>
      </c>
      <c r="L2317" s="3" t="str">
        <f>HYPERLINK("http://www.uniprot.org/uniprot/Q9D8T7", "Q9D8T7")</f>
        <v>Q9D8T7</v>
      </c>
      <c r="M2317" t="s">
        <v>26582</v>
      </c>
      <c r="N2317" t="str">
        <f>"Slirp"</f>
        <v>Slirp</v>
      </c>
      <c r="O2317" s="3" t="str">
        <f>HYPERLINK("http://www.informatics.jax.org/marker/MGI:1916394", "MGI:1916394")</f>
        <v>MGI:1916394</v>
      </c>
      <c r="P2317" t="s">
        <v>26583</v>
      </c>
      <c r="Q2317" t="s">
        <v>4152</v>
      </c>
      <c r="R2317" t="s">
        <v>2377</v>
      </c>
      <c r="S2317" t="s">
        <v>41</v>
      </c>
      <c r="T2317" t="s">
        <v>32</v>
      </c>
      <c r="U2317" t="s">
        <v>32</v>
      </c>
      <c r="V2317" t="s">
        <v>1039</v>
      </c>
      <c r="W2317" t="s">
        <v>32</v>
      </c>
      <c r="X2317" t="s">
        <v>9766</v>
      </c>
      <c r="Y2317" t="s">
        <v>618</v>
      </c>
      <c r="Z2317" t="s">
        <v>32</v>
      </c>
      <c r="AA2317" t="s">
        <v>26584</v>
      </c>
      <c r="AB2317" t="s">
        <v>26585</v>
      </c>
      <c r="AC2317" t="s">
        <v>4168</v>
      </c>
      <c r="AD2317" t="s">
        <v>32</v>
      </c>
      <c r="AE2317" t="s">
        <v>32</v>
      </c>
      <c r="AF2317" t="s">
        <v>46835</v>
      </c>
    </row>
    <row r="2318" spans="1:32" x14ac:dyDescent="0.2">
      <c r="A2318">
        <v>2313</v>
      </c>
      <c r="B2318" t="s">
        <v>26586</v>
      </c>
      <c r="C2318" t="s">
        <v>26587</v>
      </c>
      <c r="D2318" t="s">
        <v>26588</v>
      </c>
      <c r="E2318" t="s">
        <v>26589</v>
      </c>
      <c r="F2318" t="s">
        <v>26590</v>
      </c>
      <c r="G2318" t="s">
        <v>26591</v>
      </c>
      <c r="H2318" t="str">
        <f>"Cpsf3"</f>
        <v>Cpsf3</v>
      </c>
      <c r="I2318" t="s">
        <v>26592</v>
      </c>
      <c r="J2318" t="s">
        <v>37</v>
      </c>
      <c r="K2318">
        <v>10090</v>
      </c>
      <c r="L2318" s="3" t="str">
        <f>HYPERLINK("http://www.uniprot.org/uniprot/Q9QXK7", "Q9QXK7")</f>
        <v>Q9QXK7</v>
      </c>
      <c r="M2318" t="s">
        <v>26593</v>
      </c>
      <c r="N2318" t="str">
        <f>"Cpsf3"</f>
        <v>Cpsf3</v>
      </c>
      <c r="O2318" s="3" t="str">
        <f>HYPERLINK("http://www.informatics.jax.org/marker/MGI:1859328", "MGI:1859328")</f>
        <v>MGI:1859328</v>
      </c>
      <c r="P2318" t="s">
        <v>26594</v>
      </c>
      <c r="Q2318" t="s">
        <v>16601</v>
      </c>
      <c r="R2318" t="s">
        <v>2279</v>
      </c>
      <c r="S2318" t="s">
        <v>32</v>
      </c>
      <c r="T2318" t="s">
        <v>32</v>
      </c>
      <c r="U2318" t="s">
        <v>32</v>
      </c>
      <c r="V2318" t="s">
        <v>32</v>
      </c>
      <c r="W2318" t="s">
        <v>42</v>
      </c>
      <c r="X2318" t="s">
        <v>26595</v>
      </c>
      <c r="Y2318" t="s">
        <v>516</v>
      </c>
      <c r="Z2318" t="s">
        <v>32</v>
      </c>
      <c r="AA2318" t="s">
        <v>26596</v>
      </c>
      <c r="AB2318" t="s">
        <v>26597</v>
      </c>
      <c r="AC2318" t="s">
        <v>26598</v>
      </c>
      <c r="AD2318" t="s">
        <v>32</v>
      </c>
      <c r="AE2318" t="s">
        <v>23657</v>
      </c>
      <c r="AF2318" t="s">
        <v>46835</v>
      </c>
    </row>
    <row r="2319" spans="1:32" x14ac:dyDescent="0.2">
      <c r="A2319">
        <v>2314</v>
      </c>
      <c r="B2319" t="s">
        <v>26599</v>
      </c>
      <c r="C2319" t="s">
        <v>26600</v>
      </c>
      <c r="D2319" t="s">
        <v>26601</v>
      </c>
      <c r="E2319" t="s">
        <v>26602</v>
      </c>
      <c r="F2319" t="s">
        <v>26603</v>
      </c>
      <c r="G2319" t="s">
        <v>32</v>
      </c>
      <c r="H2319" t="str">
        <f>"Gtf2f2"</f>
        <v>Gtf2f2</v>
      </c>
      <c r="I2319" t="s">
        <v>32</v>
      </c>
      <c r="J2319" t="s">
        <v>37</v>
      </c>
      <c r="K2319">
        <v>10090</v>
      </c>
      <c r="L2319" s="3" t="str">
        <f>HYPERLINK("http://www.uniprot.org/uniprot/Q8R0A0", "Q8R0A0")</f>
        <v>Q8R0A0</v>
      </c>
      <c r="M2319" t="s">
        <v>26604</v>
      </c>
      <c r="N2319" t="str">
        <f>"Gtf2f2"</f>
        <v>Gtf2f2</v>
      </c>
      <c r="O2319" s="3" t="str">
        <f>HYPERLINK("http://www.informatics.jax.org/marker/MGI:1915955", "MGI:1915955")</f>
        <v>MGI:1915955</v>
      </c>
      <c r="P2319" t="s">
        <v>25289</v>
      </c>
      <c r="Q2319" t="s">
        <v>4152</v>
      </c>
      <c r="R2319" t="s">
        <v>2279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247</v>
      </c>
      <c r="Y2319" t="s">
        <v>157</v>
      </c>
      <c r="Z2319" t="s">
        <v>32</v>
      </c>
      <c r="AA2319" t="s">
        <v>26605</v>
      </c>
      <c r="AB2319" t="s">
        <v>26606</v>
      </c>
      <c r="AC2319" t="s">
        <v>26607</v>
      </c>
      <c r="AD2319" t="s">
        <v>32</v>
      </c>
      <c r="AE2319" t="s">
        <v>26608</v>
      </c>
      <c r="AF2319" t="s">
        <v>46835</v>
      </c>
    </row>
    <row r="2320" spans="1:32" x14ac:dyDescent="0.2">
      <c r="A2320">
        <v>2315</v>
      </c>
      <c r="B2320" t="s">
        <v>26609</v>
      </c>
      <c r="C2320" t="s">
        <v>26610</v>
      </c>
      <c r="D2320" t="s">
        <v>32</v>
      </c>
      <c r="E2320" t="s">
        <v>26611</v>
      </c>
      <c r="F2320" t="s">
        <v>26612</v>
      </c>
      <c r="G2320" t="s">
        <v>32</v>
      </c>
      <c r="H2320" t="str">
        <f>"Ccdc6"</f>
        <v>Ccdc6</v>
      </c>
      <c r="I2320" t="s">
        <v>32</v>
      </c>
      <c r="J2320" t="s">
        <v>37</v>
      </c>
      <c r="K2320">
        <v>10090</v>
      </c>
      <c r="L2320" s="3" t="str">
        <f>HYPERLINK("http://www.uniprot.org/uniprot/D3YZP9", "D3YZP9")</f>
        <v>D3YZP9</v>
      </c>
      <c r="M2320" t="s">
        <v>26613</v>
      </c>
      <c r="N2320" t="str">
        <f>"Ccdc6"</f>
        <v>Ccdc6</v>
      </c>
      <c r="O2320" s="3" t="str">
        <f>HYPERLINK("http://www.informatics.jax.org/marker/MGI:1923801", "MGI:1923801")</f>
        <v>MGI:1923801</v>
      </c>
      <c r="P2320" t="s">
        <v>26614</v>
      </c>
      <c r="Q2320" t="s">
        <v>32</v>
      </c>
      <c r="R2320" t="s">
        <v>186</v>
      </c>
      <c r="S2320" t="s">
        <v>26615</v>
      </c>
      <c r="T2320" t="s">
        <v>32</v>
      </c>
      <c r="U2320" t="s">
        <v>32</v>
      </c>
      <c r="V2320" t="s">
        <v>21356</v>
      </c>
      <c r="W2320" t="s">
        <v>32</v>
      </c>
      <c r="X2320" t="s">
        <v>32</v>
      </c>
      <c r="Y2320" t="s">
        <v>97</v>
      </c>
      <c r="Z2320" t="s">
        <v>32</v>
      </c>
      <c r="AA2320" t="s">
        <v>32</v>
      </c>
      <c r="AB2320" t="s">
        <v>26616</v>
      </c>
      <c r="AC2320" t="s">
        <v>26617</v>
      </c>
      <c r="AD2320" t="s">
        <v>32</v>
      </c>
      <c r="AE2320" t="s">
        <v>32</v>
      </c>
      <c r="AF2320" t="s">
        <v>46835</v>
      </c>
    </row>
    <row r="2321" spans="1:32" x14ac:dyDescent="0.2">
      <c r="A2321">
        <v>2316</v>
      </c>
      <c r="B2321" t="s">
        <v>26618</v>
      </c>
      <c r="C2321" t="s">
        <v>26619</v>
      </c>
      <c r="D2321" t="s">
        <v>26620</v>
      </c>
      <c r="E2321" t="s">
        <v>26621</v>
      </c>
      <c r="F2321" t="s">
        <v>26622</v>
      </c>
      <c r="G2321" t="s">
        <v>26623</v>
      </c>
      <c r="H2321" t="str">
        <f>"Ap3b2"</f>
        <v>Ap3b2</v>
      </c>
      <c r="I2321" t="s">
        <v>32</v>
      </c>
      <c r="J2321" t="s">
        <v>37</v>
      </c>
      <c r="K2321">
        <v>10090</v>
      </c>
      <c r="L2321" s="3" t="str">
        <f>HYPERLINK("http://www.uniprot.org/uniprot/Q9JME5", "Q9JME5")</f>
        <v>Q9JME5</v>
      </c>
      <c r="M2321" t="s">
        <v>26624</v>
      </c>
      <c r="N2321" t="str">
        <f>"Ap3b2"</f>
        <v>Ap3b2</v>
      </c>
      <c r="O2321" s="3" t="str">
        <f>HYPERLINK("http://www.informatics.jax.org/marker/MGI:1100869", "MGI:1100869")</f>
        <v>MGI:1100869</v>
      </c>
      <c r="P2321" t="s">
        <v>17204</v>
      </c>
      <c r="Q2321" t="s">
        <v>434</v>
      </c>
      <c r="R2321" t="s">
        <v>9099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32</v>
      </c>
      <c r="Y2321" t="s">
        <v>618</v>
      </c>
      <c r="Z2321" t="s">
        <v>32</v>
      </c>
      <c r="AA2321" t="s">
        <v>26625</v>
      </c>
      <c r="AB2321" t="s">
        <v>26626</v>
      </c>
      <c r="AC2321" t="s">
        <v>32</v>
      </c>
      <c r="AD2321" t="s">
        <v>32</v>
      </c>
      <c r="AE2321" t="s">
        <v>32</v>
      </c>
      <c r="AF2321" t="s">
        <v>46835</v>
      </c>
    </row>
    <row r="2322" spans="1:32" x14ac:dyDescent="0.2">
      <c r="A2322">
        <v>2317</v>
      </c>
      <c r="B2322" t="s">
        <v>26627</v>
      </c>
      <c r="C2322" t="s">
        <v>26628</v>
      </c>
      <c r="D2322" t="s">
        <v>32</v>
      </c>
      <c r="E2322" t="s">
        <v>26629</v>
      </c>
      <c r="F2322" t="s">
        <v>26630</v>
      </c>
      <c r="G2322" t="s">
        <v>26631</v>
      </c>
      <c r="H2322" t="str">
        <f>"Tex264"</f>
        <v>Tex264</v>
      </c>
      <c r="I2322" t="s">
        <v>32</v>
      </c>
      <c r="J2322" t="s">
        <v>37</v>
      </c>
      <c r="K2322">
        <v>10090</v>
      </c>
      <c r="L2322" s="3" t="str">
        <f>HYPERLINK("http://www.uniprot.org/uniprot/E9Q137", "E9Q137")</f>
        <v>E9Q137</v>
      </c>
      <c r="M2322" t="s">
        <v>26632</v>
      </c>
      <c r="N2322" t="str">
        <f>"Tex264"</f>
        <v>Tex264</v>
      </c>
      <c r="O2322" s="3" t="str">
        <f>HYPERLINK("http://www.informatics.jax.org/marker/MGI:1096570", "MGI:1096570")</f>
        <v>MGI:1096570</v>
      </c>
      <c r="P2322" t="s">
        <v>26633</v>
      </c>
      <c r="Q2322" t="s">
        <v>19811</v>
      </c>
      <c r="R2322" t="s">
        <v>26634</v>
      </c>
      <c r="S2322" t="s">
        <v>41</v>
      </c>
      <c r="T2322" t="s">
        <v>32</v>
      </c>
      <c r="U2322" t="s">
        <v>32</v>
      </c>
      <c r="V2322" t="s">
        <v>493</v>
      </c>
      <c r="W2322" t="s">
        <v>32</v>
      </c>
      <c r="X2322" t="s">
        <v>32</v>
      </c>
      <c r="Y2322" t="s">
        <v>618</v>
      </c>
      <c r="Z2322" t="s">
        <v>32</v>
      </c>
      <c r="AA2322" t="s">
        <v>26635</v>
      </c>
      <c r="AB2322" t="s">
        <v>26636</v>
      </c>
      <c r="AC2322" t="s">
        <v>26637</v>
      </c>
      <c r="AD2322" t="s">
        <v>32</v>
      </c>
      <c r="AE2322" t="s">
        <v>2235</v>
      </c>
      <c r="AF2322" t="s">
        <v>46835</v>
      </c>
    </row>
    <row r="2323" spans="1:32" x14ac:dyDescent="0.2">
      <c r="A2323">
        <v>2318</v>
      </c>
      <c r="B2323" t="s">
        <v>26638</v>
      </c>
      <c r="C2323" t="s">
        <v>26639</v>
      </c>
      <c r="D2323" t="s">
        <v>32</v>
      </c>
      <c r="E2323" t="s">
        <v>26640</v>
      </c>
      <c r="F2323" t="s">
        <v>26641</v>
      </c>
      <c r="G2323" t="s">
        <v>26642</v>
      </c>
      <c r="H2323" t="str">
        <f>"Map1a"</f>
        <v>Map1a</v>
      </c>
      <c r="I2323" t="s">
        <v>26643</v>
      </c>
      <c r="J2323" t="s">
        <v>37</v>
      </c>
      <c r="K2323">
        <v>10090</v>
      </c>
      <c r="L2323" s="3" t="str">
        <f>HYPERLINK("http://www.uniprot.org/uniprot/Q9QYR6", "Q9QYR6")</f>
        <v>Q9QYR6</v>
      </c>
      <c r="M2323" t="s">
        <v>26644</v>
      </c>
      <c r="N2323" t="str">
        <f>"Map1a"</f>
        <v>Map1a</v>
      </c>
      <c r="O2323" s="3" t="str">
        <f>HYPERLINK("http://www.informatics.jax.org/marker/MGI:1306776", "MGI:1306776")</f>
        <v>MGI:1306776</v>
      </c>
      <c r="P2323" t="s">
        <v>26645</v>
      </c>
      <c r="Q2323" t="s">
        <v>32</v>
      </c>
      <c r="R2323" t="s">
        <v>341</v>
      </c>
      <c r="S2323" t="s">
        <v>41</v>
      </c>
      <c r="T2323" t="s">
        <v>32</v>
      </c>
      <c r="U2323" t="s">
        <v>32</v>
      </c>
      <c r="V2323" t="s">
        <v>55</v>
      </c>
      <c r="W2323" t="s">
        <v>32</v>
      </c>
      <c r="X2323" t="s">
        <v>32</v>
      </c>
      <c r="Y2323" t="s">
        <v>618</v>
      </c>
      <c r="Z2323" t="s">
        <v>126</v>
      </c>
      <c r="AA2323" t="s">
        <v>26646</v>
      </c>
      <c r="AB2323" t="s">
        <v>26647</v>
      </c>
      <c r="AC2323" t="s">
        <v>26648</v>
      </c>
      <c r="AD2323" t="s">
        <v>32</v>
      </c>
      <c r="AE2323" t="s">
        <v>32</v>
      </c>
      <c r="AF2323" t="s">
        <v>46835</v>
      </c>
    </row>
    <row r="2324" spans="1:32" x14ac:dyDescent="0.2">
      <c r="A2324">
        <v>2319</v>
      </c>
      <c r="B2324" t="s">
        <v>26649</v>
      </c>
      <c r="C2324" t="s">
        <v>26650</v>
      </c>
      <c r="D2324" t="s">
        <v>32</v>
      </c>
      <c r="E2324" t="s">
        <v>26651</v>
      </c>
      <c r="F2324" t="s">
        <v>26652</v>
      </c>
      <c r="G2324" t="s">
        <v>26653</v>
      </c>
      <c r="H2324" t="str">
        <f>"Znf428"</f>
        <v>Znf428</v>
      </c>
      <c r="I2324" t="s">
        <v>26654</v>
      </c>
      <c r="J2324" t="s">
        <v>37</v>
      </c>
      <c r="K2324">
        <v>10090</v>
      </c>
      <c r="L2324" s="3" t="str">
        <f>HYPERLINK("http://www.uniprot.org/uniprot/Q8C1M2", "Q8C1M2")</f>
        <v>Q8C1M2</v>
      </c>
      <c r="M2324" t="s">
        <v>26655</v>
      </c>
      <c r="N2324" t="str">
        <f>"Zfp428"</f>
        <v>Zfp428</v>
      </c>
      <c r="O2324" s="3" t="str">
        <f>HYPERLINK("http://www.informatics.jax.org/marker/MGI:1916463", "MGI:1916463")</f>
        <v>MGI:1916463</v>
      </c>
      <c r="P2324" t="s">
        <v>26656</v>
      </c>
      <c r="Q2324" t="s">
        <v>32</v>
      </c>
      <c r="R2324" t="s">
        <v>32</v>
      </c>
      <c r="S2324" t="s">
        <v>32</v>
      </c>
      <c r="T2324" t="s">
        <v>32</v>
      </c>
      <c r="U2324" t="s">
        <v>32</v>
      </c>
      <c r="V2324" t="s">
        <v>446</v>
      </c>
      <c r="W2324" t="s">
        <v>42</v>
      </c>
      <c r="X2324" t="s">
        <v>32</v>
      </c>
      <c r="Y2324" t="s">
        <v>618</v>
      </c>
      <c r="Z2324" t="s">
        <v>32</v>
      </c>
      <c r="AA2324" t="s">
        <v>32</v>
      </c>
      <c r="AB2324" t="s">
        <v>32</v>
      </c>
      <c r="AC2324" t="s">
        <v>4525</v>
      </c>
      <c r="AD2324" t="s">
        <v>32</v>
      </c>
      <c r="AE2324" t="s">
        <v>32</v>
      </c>
      <c r="AF2324" t="s">
        <v>46835</v>
      </c>
    </row>
    <row r="2325" spans="1:32" x14ac:dyDescent="0.2">
      <c r="A2325">
        <v>2320</v>
      </c>
      <c r="B2325" t="s">
        <v>26657</v>
      </c>
      <c r="C2325" t="s">
        <v>26658</v>
      </c>
      <c r="D2325" t="s">
        <v>26659</v>
      </c>
      <c r="E2325" t="s">
        <v>26660</v>
      </c>
      <c r="F2325" t="s">
        <v>26661</v>
      </c>
      <c r="G2325" t="s">
        <v>26662</v>
      </c>
      <c r="H2325" t="str">
        <f>"Atad1"</f>
        <v>Atad1</v>
      </c>
      <c r="I2325" t="s">
        <v>32</v>
      </c>
      <c r="J2325" t="s">
        <v>37</v>
      </c>
      <c r="K2325">
        <v>10090</v>
      </c>
      <c r="L2325" s="3" t="str">
        <f>HYPERLINK("http://www.uniprot.org/uniprot/Q9D5T0", "Q9D5T0")</f>
        <v>Q9D5T0</v>
      </c>
      <c r="M2325" t="s">
        <v>26663</v>
      </c>
      <c r="N2325" t="str">
        <f>"Atad1"</f>
        <v>Atad1</v>
      </c>
      <c r="O2325" s="3" t="str">
        <f>HYPERLINK("http://www.informatics.jax.org/marker/MGI:1915229", "MGI:1915229")</f>
        <v>MGI:1915229</v>
      </c>
      <c r="P2325" t="s">
        <v>26664</v>
      </c>
      <c r="Q2325" t="s">
        <v>32</v>
      </c>
      <c r="R2325" t="s">
        <v>26665</v>
      </c>
      <c r="S2325" t="s">
        <v>32</v>
      </c>
      <c r="T2325" t="s">
        <v>32</v>
      </c>
      <c r="U2325" t="s">
        <v>32</v>
      </c>
      <c r="V2325" t="s">
        <v>493</v>
      </c>
      <c r="W2325" t="s">
        <v>205</v>
      </c>
      <c r="X2325" t="s">
        <v>1506</v>
      </c>
      <c r="Y2325" t="s">
        <v>618</v>
      </c>
      <c r="Z2325" t="s">
        <v>32</v>
      </c>
      <c r="AA2325" t="s">
        <v>26666</v>
      </c>
      <c r="AB2325" t="s">
        <v>26667</v>
      </c>
      <c r="AC2325" t="s">
        <v>26668</v>
      </c>
      <c r="AD2325" t="s">
        <v>32</v>
      </c>
      <c r="AE2325" t="s">
        <v>15372</v>
      </c>
      <c r="AF2325" t="s">
        <v>46835</v>
      </c>
    </row>
    <row r="2326" spans="1:32" x14ac:dyDescent="0.2">
      <c r="A2326">
        <v>2321</v>
      </c>
      <c r="B2326" t="s">
        <v>26669</v>
      </c>
      <c r="C2326" t="s">
        <v>26670</v>
      </c>
      <c r="D2326" t="s">
        <v>32</v>
      </c>
      <c r="E2326" t="s">
        <v>26671</v>
      </c>
      <c r="F2326" t="s">
        <v>26672</v>
      </c>
      <c r="G2326" t="s">
        <v>26673</v>
      </c>
      <c r="H2326" t="str">
        <f>"Camk2d"</f>
        <v>Camk2d</v>
      </c>
      <c r="I2326" t="s">
        <v>26674</v>
      </c>
      <c r="J2326" t="s">
        <v>37</v>
      </c>
      <c r="K2326">
        <v>10090</v>
      </c>
      <c r="L2326" s="3" t="str">
        <f>HYPERLINK("http://www.uniprot.org/uniprot/Q6PHZ2", "Q6PHZ2")</f>
        <v>Q6PHZ2</v>
      </c>
      <c r="M2326" t="s">
        <v>26675</v>
      </c>
      <c r="N2326" t="str">
        <f>"Camk2d"</f>
        <v>Camk2d</v>
      </c>
      <c r="O2326" s="3" t="str">
        <f>HYPERLINK("http://www.informatics.jax.org/marker/MGI:1341265", "MGI:1341265")</f>
        <v>MGI:1341265</v>
      </c>
      <c r="P2326" t="s">
        <v>26676</v>
      </c>
      <c r="Q2326" t="s">
        <v>32</v>
      </c>
      <c r="R2326" t="s">
        <v>26677</v>
      </c>
      <c r="S2326" t="s">
        <v>41</v>
      </c>
      <c r="T2326" t="s">
        <v>32</v>
      </c>
      <c r="U2326" t="s">
        <v>32</v>
      </c>
      <c r="V2326" t="s">
        <v>32</v>
      </c>
      <c r="W2326" t="s">
        <v>205</v>
      </c>
      <c r="X2326" t="s">
        <v>20787</v>
      </c>
      <c r="Y2326" t="s">
        <v>157</v>
      </c>
      <c r="Z2326" t="s">
        <v>126</v>
      </c>
      <c r="AA2326" t="s">
        <v>26678</v>
      </c>
      <c r="AB2326" t="s">
        <v>26679</v>
      </c>
      <c r="AC2326" t="s">
        <v>26680</v>
      </c>
      <c r="AD2326" t="s">
        <v>32</v>
      </c>
      <c r="AE2326" t="s">
        <v>19210</v>
      </c>
      <c r="AF2326" t="s">
        <v>46835</v>
      </c>
    </row>
    <row r="2327" spans="1:32" x14ac:dyDescent="0.2">
      <c r="A2327">
        <v>2322</v>
      </c>
      <c r="B2327" t="s">
        <v>26681</v>
      </c>
      <c r="C2327" t="s">
        <v>26682</v>
      </c>
      <c r="D2327" t="s">
        <v>26683</v>
      </c>
      <c r="E2327" t="s">
        <v>26684</v>
      </c>
      <c r="F2327" t="s">
        <v>26685</v>
      </c>
      <c r="G2327" t="s">
        <v>26686</v>
      </c>
      <c r="H2327" t="str">
        <f>"Tbcel"</f>
        <v>Tbcel</v>
      </c>
      <c r="I2327" t="s">
        <v>26687</v>
      </c>
      <c r="J2327" t="s">
        <v>37</v>
      </c>
      <c r="K2327">
        <v>10090</v>
      </c>
      <c r="L2327" s="3" t="str">
        <f>HYPERLINK("http://www.uniprot.org/uniprot/Q8C5W3", "Q8C5W3")</f>
        <v>Q8C5W3</v>
      </c>
      <c r="M2327" t="s">
        <v>26688</v>
      </c>
      <c r="N2327" t="str">
        <f>"Tbcel"</f>
        <v>Tbcel</v>
      </c>
      <c r="O2327" s="3" t="str">
        <f>HYPERLINK("http://www.informatics.jax.org/marker/MGI:1925543", "MGI:1925543")</f>
        <v>MGI:1925543</v>
      </c>
      <c r="P2327" t="s">
        <v>26689</v>
      </c>
      <c r="Q2327" t="s">
        <v>32</v>
      </c>
      <c r="R2327" t="s">
        <v>186</v>
      </c>
      <c r="S2327" t="s">
        <v>41</v>
      </c>
      <c r="T2327" t="s">
        <v>32</v>
      </c>
      <c r="U2327" t="s">
        <v>32</v>
      </c>
      <c r="V2327" t="s">
        <v>10018</v>
      </c>
      <c r="W2327" t="s">
        <v>32</v>
      </c>
      <c r="X2327" t="s">
        <v>32</v>
      </c>
      <c r="Y2327" t="s">
        <v>618</v>
      </c>
      <c r="Z2327" t="s">
        <v>32</v>
      </c>
      <c r="AA2327" t="s">
        <v>26690</v>
      </c>
      <c r="AB2327" t="s">
        <v>15344</v>
      </c>
      <c r="AC2327" t="s">
        <v>14774</v>
      </c>
      <c r="AD2327" t="s">
        <v>32</v>
      </c>
      <c r="AE2327" t="s">
        <v>32</v>
      </c>
      <c r="AF2327" t="s">
        <v>46835</v>
      </c>
    </row>
    <row r="2328" spans="1:32" x14ac:dyDescent="0.2">
      <c r="A2328">
        <v>2323</v>
      </c>
      <c r="B2328" t="s">
        <v>26691</v>
      </c>
      <c r="C2328" t="s">
        <v>26692</v>
      </c>
      <c r="D2328" t="s">
        <v>26693</v>
      </c>
      <c r="E2328" t="s">
        <v>26694</v>
      </c>
      <c r="F2328" t="s">
        <v>26695</v>
      </c>
      <c r="G2328" t="s">
        <v>32</v>
      </c>
      <c r="H2328" t="str">
        <f>"Map3k7"</f>
        <v>Map3k7</v>
      </c>
      <c r="I2328" t="s">
        <v>26696</v>
      </c>
      <c r="J2328" t="s">
        <v>37</v>
      </c>
      <c r="K2328">
        <v>10090</v>
      </c>
      <c r="L2328" s="3" t="str">
        <f>HYPERLINK("http://www.uniprot.org/uniprot/Q62073", "Q62073")</f>
        <v>Q62073</v>
      </c>
      <c r="M2328" t="s">
        <v>26697</v>
      </c>
      <c r="N2328" t="str">
        <f>"Map3k7"</f>
        <v>Map3k7</v>
      </c>
      <c r="O2328" s="3" t="str">
        <f>HYPERLINK("http://www.informatics.jax.org/marker/MGI:1346877", "MGI:1346877")</f>
        <v>MGI:1346877</v>
      </c>
      <c r="P2328" t="s">
        <v>26698</v>
      </c>
      <c r="Q2328" t="s">
        <v>22064</v>
      </c>
      <c r="R2328" t="s">
        <v>222</v>
      </c>
      <c r="S2328" t="s">
        <v>32</v>
      </c>
      <c r="T2328" t="s">
        <v>32</v>
      </c>
      <c r="U2328" t="s">
        <v>32</v>
      </c>
      <c r="V2328" t="s">
        <v>32</v>
      </c>
      <c r="W2328" t="s">
        <v>1266</v>
      </c>
      <c r="X2328" t="s">
        <v>5419</v>
      </c>
      <c r="Y2328" t="s">
        <v>1007</v>
      </c>
      <c r="Z2328" t="s">
        <v>32</v>
      </c>
      <c r="AA2328" t="s">
        <v>26699</v>
      </c>
      <c r="AB2328" t="s">
        <v>26700</v>
      </c>
      <c r="AC2328" t="s">
        <v>26701</v>
      </c>
      <c r="AD2328" t="s">
        <v>32</v>
      </c>
      <c r="AE2328" t="s">
        <v>26702</v>
      </c>
      <c r="AF2328" t="s">
        <v>46835</v>
      </c>
    </row>
    <row r="2329" spans="1:32" x14ac:dyDescent="0.2">
      <c r="A2329">
        <v>2324</v>
      </c>
      <c r="B2329" t="s">
        <v>26703</v>
      </c>
      <c r="C2329" t="s">
        <v>26704</v>
      </c>
      <c r="D2329" t="s">
        <v>32</v>
      </c>
      <c r="E2329" t="s">
        <v>26705</v>
      </c>
      <c r="F2329" t="s">
        <v>26706</v>
      </c>
      <c r="G2329" t="s">
        <v>26707</v>
      </c>
      <c r="H2329" t="str">
        <f>"Fxr2"</f>
        <v>Fxr2</v>
      </c>
      <c r="I2329" t="s">
        <v>26708</v>
      </c>
      <c r="J2329" t="s">
        <v>37</v>
      </c>
      <c r="K2329">
        <v>10090</v>
      </c>
      <c r="L2329" s="3" t="str">
        <f>HYPERLINK("http://www.uniprot.org/uniprot/Q9WVR4", "Q9WVR4")</f>
        <v>Q9WVR4</v>
      </c>
      <c r="M2329" t="s">
        <v>26709</v>
      </c>
      <c r="N2329" t="str">
        <f>"Fxr2"</f>
        <v>Fxr2</v>
      </c>
      <c r="O2329" s="3" t="str">
        <f>HYPERLINK("http://www.informatics.jax.org/marker/MGI:1346074", "MGI:1346074")</f>
        <v>MGI:1346074</v>
      </c>
      <c r="P2329" t="s">
        <v>26710</v>
      </c>
      <c r="Q2329" t="s">
        <v>32</v>
      </c>
      <c r="R2329" t="s">
        <v>418</v>
      </c>
      <c r="S2329" t="s">
        <v>32</v>
      </c>
      <c r="T2329" t="s">
        <v>32</v>
      </c>
      <c r="U2329" t="s">
        <v>32</v>
      </c>
      <c r="V2329" t="s">
        <v>55</v>
      </c>
      <c r="W2329" t="s">
        <v>32</v>
      </c>
      <c r="X2329" t="s">
        <v>1282</v>
      </c>
      <c r="Y2329" t="s">
        <v>618</v>
      </c>
      <c r="Z2329" t="s">
        <v>32</v>
      </c>
      <c r="AA2329" t="s">
        <v>26711</v>
      </c>
      <c r="AB2329" t="s">
        <v>26712</v>
      </c>
      <c r="AC2329" t="s">
        <v>26713</v>
      </c>
      <c r="AD2329" t="s">
        <v>32</v>
      </c>
      <c r="AE2329" t="s">
        <v>32</v>
      </c>
      <c r="AF2329" t="s">
        <v>46835</v>
      </c>
    </row>
    <row r="2330" spans="1:32" x14ac:dyDescent="0.2">
      <c r="A2330">
        <v>2325</v>
      </c>
      <c r="B2330" t="s">
        <v>26714</v>
      </c>
      <c r="C2330" t="s">
        <v>26715</v>
      </c>
      <c r="D2330" t="s">
        <v>32</v>
      </c>
      <c r="E2330" t="s">
        <v>26716</v>
      </c>
      <c r="F2330" t="s">
        <v>26717</v>
      </c>
      <c r="G2330" t="s">
        <v>26718</v>
      </c>
      <c r="H2330" t="str">
        <f>"Sec61a1"</f>
        <v>Sec61a1</v>
      </c>
      <c r="I2330" t="s">
        <v>26719</v>
      </c>
      <c r="J2330" t="s">
        <v>37</v>
      </c>
      <c r="K2330">
        <v>10090</v>
      </c>
      <c r="L2330" s="3" t="str">
        <f>HYPERLINK("http://www.uniprot.org/uniprot/P61620", "P61620")</f>
        <v>P61620</v>
      </c>
      <c r="M2330" t="s">
        <v>26720</v>
      </c>
      <c r="N2330" t="str">
        <f>"Sec61a1"</f>
        <v>Sec61a1</v>
      </c>
      <c r="O2330" s="3" t="str">
        <f>HYPERLINK("http://www.informatics.jax.org/marker/MGI:1858417", "MGI:1858417")</f>
        <v>MGI:1858417</v>
      </c>
      <c r="P2330" t="s">
        <v>26721</v>
      </c>
      <c r="Q2330" t="s">
        <v>4270</v>
      </c>
      <c r="R2330" t="s">
        <v>1664</v>
      </c>
      <c r="S2330" t="s">
        <v>32</v>
      </c>
      <c r="T2330" t="s">
        <v>32</v>
      </c>
      <c r="U2330" t="s">
        <v>32</v>
      </c>
      <c r="V2330" t="s">
        <v>493</v>
      </c>
      <c r="W2330" t="s">
        <v>32</v>
      </c>
      <c r="X2330" t="s">
        <v>2029</v>
      </c>
      <c r="Y2330" t="s">
        <v>32</v>
      </c>
      <c r="Z2330" t="s">
        <v>32</v>
      </c>
      <c r="AA2330" t="s">
        <v>26722</v>
      </c>
      <c r="AB2330" t="s">
        <v>26723</v>
      </c>
      <c r="AC2330" t="s">
        <v>26724</v>
      </c>
      <c r="AD2330" t="s">
        <v>32</v>
      </c>
      <c r="AE2330" t="s">
        <v>32</v>
      </c>
      <c r="AF2330" t="s">
        <v>46835</v>
      </c>
    </row>
    <row r="2331" spans="1:32" x14ac:dyDescent="0.2">
      <c r="A2331">
        <v>2326</v>
      </c>
      <c r="B2331" t="s">
        <v>26725</v>
      </c>
      <c r="C2331" t="s">
        <v>26726</v>
      </c>
      <c r="D2331" t="s">
        <v>26727</v>
      </c>
      <c r="E2331" t="s">
        <v>26728</v>
      </c>
      <c r="F2331" t="s">
        <v>26729</v>
      </c>
      <c r="G2331" t="s">
        <v>26730</v>
      </c>
      <c r="H2331" t="str">
        <f>"Cplx2"</f>
        <v>Cplx2</v>
      </c>
      <c r="I2331" t="s">
        <v>32</v>
      </c>
      <c r="J2331" t="s">
        <v>37</v>
      </c>
      <c r="K2331">
        <v>10090</v>
      </c>
      <c r="L2331" s="3" t="str">
        <f>HYPERLINK("http://www.uniprot.org/uniprot/P84086", "P84086")</f>
        <v>P84086</v>
      </c>
      <c r="M2331" t="s">
        <v>26731</v>
      </c>
      <c r="N2331" t="str">
        <f>"Cplx2"</f>
        <v>Cplx2</v>
      </c>
      <c r="O2331" s="3" t="str">
        <f>HYPERLINK("http://www.informatics.jax.org/marker/MGI:104726", "MGI:104726")</f>
        <v>MGI:104726</v>
      </c>
      <c r="P2331" t="s">
        <v>26732</v>
      </c>
      <c r="Q2331" t="s">
        <v>26733</v>
      </c>
      <c r="R2331" t="s">
        <v>3277</v>
      </c>
      <c r="S2331" t="s">
        <v>32</v>
      </c>
      <c r="T2331" t="s">
        <v>32</v>
      </c>
      <c r="U2331" t="s">
        <v>32</v>
      </c>
      <c r="V2331" t="s">
        <v>290</v>
      </c>
      <c r="W2331" t="s">
        <v>32</v>
      </c>
      <c r="X2331" t="s">
        <v>32</v>
      </c>
      <c r="Y2331" t="s">
        <v>618</v>
      </c>
      <c r="Z2331" t="s">
        <v>32</v>
      </c>
      <c r="AA2331" t="s">
        <v>26734</v>
      </c>
      <c r="AB2331" t="s">
        <v>26735</v>
      </c>
      <c r="AC2331" t="s">
        <v>26736</v>
      </c>
      <c r="AD2331" t="s">
        <v>32</v>
      </c>
      <c r="AE2331" t="s">
        <v>32</v>
      </c>
      <c r="AF2331" t="s">
        <v>46835</v>
      </c>
    </row>
    <row r="2332" spans="1:32" x14ac:dyDescent="0.2">
      <c r="A2332">
        <v>2327</v>
      </c>
      <c r="B2332" t="s">
        <v>26737</v>
      </c>
      <c r="C2332" t="s">
        <v>26738</v>
      </c>
      <c r="D2332" t="s">
        <v>26739</v>
      </c>
      <c r="E2332" t="s">
        <v>26740</v>
      </c>
      <c r="F2332" t="s">
        <v>26741</v>
      </c>
      <c r="G2332" t="s">
        <v>32</v>
      </c>
      <c r="H2332" t="str">
        <f>"Prpsap2"</f>
        <v>Prpsap2</v>
      </c>
      <c r="I2332" t="s">
        <v>32</v>
      </c>
      <c r="J2332" t="s">
        <v>37</v>
      </c>
      <c r="K2332">
        <v>10090</v>
      </c>
      <c r="L2332" s="3" t="str">
        <f>HYPERLINK("http://www.uniprot.org/uniprot/Q8R574", "Q8R574")</f>
        <v>Q8R574</v>
      </c>
      <c r="M2332" t="s">
        <v>26742</v>
      </c>
      <c r="N2332" t="str">
        <f>"Prpsap2"</f>
        <v>Prpsap2</v>
      </c>
      <c r="O2332" s="3" t="str">
        <f>HYPERLINK("http://www.informatics.jax.org/marker/MGI:2384838", "MGI:2384838")</f>
        <v>MGI:2384838</v>
      </c>
      <c r="P2332" t="s">
        <v>26743</v>
      </c>
      <c r="Q2332" t="s">
        <v>16817</v>
      </c>
      <c r="R2332" t="s">
        <v>32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32</v>
      </c>
      <c r="Y2332" t="s">
        <v>157</v>
      </c>
      <c r="Z2332" t="s">
        <v>32</v>
      </c>
      <c r="AA2332" t="s">
        <v>26744</v>
      </c>
      <c r="AB2332" t="s">
        <v>26745</v>
      </c>
      <c r="AC2332" t="s">
        <v>26746</v>
      </c>
      <c r="AD2332" t="s">
        <v>32</v>
      </c>
      <c r="AE2332" t="s">
        <v>32</v>
      </c>
      <c r="AF2332" t="s">
        <v>46835</v>
      </c>
    </row>
    <row r="2333" spans="1:32" x14ac:dyDescent="0.2">
      <c r="A2333">
        <v>2328</v>
      </c>
      <c r="B2333" t="s">
        <v>26747</v>
      </c>
      <c r="C2333" t="s">
        <v>26748</v>
      </c>
      <c r="D2333" t="s">
        <v>26749</v>
      </c>
      <c r="E2333" t="s">
        <v>26750</v>
      </c>
      <c r="F2333" t="s">
        <v>26751</v>
      </c>
      <c r="G2333" t="s">
        <v>26752</v>
      </c>
      <c r="H2333" t="str">
        <f>"Larp7"</f>
        <v>Larp7</v>
      </c>
      <c r="I2333" t="s">
        <v>32</v>
      </c>
      <c r="J2333" t="s">
        <v>37</v>
      </c>
      <c r="K2333">
        <v>10090</v>
      </c>
      <c r="L2333" s="3" t="str">
        <f>HYPERLINK("http://www.uniprot.org/uniprot/Q05CL8", "Q05CL8")</f>
        <v>Q05CL8</v>
      </c>
      <c r="M2333" t="s">
        <v>26753</v>
      </c>
      <c r="N2333" t="str">
        <f>"Larp7"</f>
        <v>Larp7</v>
      </c>
      <c r="O2333" s="3" t="str">
        <f>HYPERLINK("http://www.informatics.jax.org/marker/MGI:107634", "MGI:107634")</f>
        <v>MGI:107634</v>
      </c>
      <c r="P2333" t="s">
        <v>26754</v>
      </c>
      <c r="Q2333" t="s">
        <v>26755</v>
      </c>
      <c r="R2333" t="s">
        <v>2279</v>
      </c>
      <c r="S2333" t="s">
        <v>41</v>
      </c>
      <c r="T2333" t="s">
        <v>32</v>
      </c>
      <c r="U2333" t="s">
        <v>32</v>
      </c>
      <c r="V2333" t="s">
        <v>32</v>
      </c>
      <c r="W2333" t="s">
        <v>32</v>
      </c>
      <c r="X2333" t="s">
        <v>1282</v>
      </c>
      <c r="Y2333" t="s">
        <v>516</v>
      </c>
      <c r="Z2333" t="s">
        <v>32</v>
      </c>
      <c r="AA2333" t="s">
        <v>26756</v>
      </c>
      <c r="AB2333" t="s">
        <v>26757</v>
      </c>
      <c r="AC2333" t="s">
        <v>26758</v>
      </c>
      <c r="AD2333" t="s">
        <v>32</v>
      </c>
      <c r="AE2333" t="s">
        <v>32</v>
      </c>
      <c r="AF2333" t="s">
        <v>46835</v>
      </c>
    </row>
    <row r="2334" spans="1:32" x14ac:dyDescent="0.2">
      <c r="A2334">
        <v>2329</v>
      </c>
      <c r="B2334" t="s">
        <v>26759</v>
      </c>
      <c r="C2334" t="s">
        <v>26760</v>
      </c>
      <c r="D2334" t="s">
        <v>26761</v>
      </c>
      <c r="E2334" t="s">
        <v>26762</v>
      </c>
      <c r="F2334" t="s">
        <v>26763</v>
      </c>
      <c r="G2334" t="s">
        <v>26764</v>
      </c>
      <c r="H2334" t="str">
        <f>"Nup107"</f>
        <v>Nup107</v>
      </c>
      <c r="I2334" t="s">
        <v>32</v>
      </c>
      <c r="J2334" t="s">
        <v>37</v>
      </c>
      <c r="K2334">
        <v>10090</v>
      </c>
      <c r="L2334" s="3" t="str">
        <f>HYPERLINK("http://www.uniprot.org/uniprot/Q8BH74", "Q8BH74")</f>
        <v>Q8BH74</v>
      </c>
      <c r="M2334" t="s">
        <v>26765</v>
      </c>
      <c r="N2334" t="str">
        <f>"Nup107"</f>
        <v>Nup107</v>
      </c>
      <c r="O2334" s="3" t="str">
        <f>HYPERLINK("http://www.informatics.jax.org/marker/MGI:2143854", "MGI:2143854")</f>
        <v>MGI:2143854</v>
      </c>
      <c r="P2334" t="s">
        <v>26766</v>
      </c>
      <c r="Q2334" t="s">
        <v>6423</v>
      </c>
      <c r="R2334" t="s">
        <v>26767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32</v>
      </c>
      <c r="Y2334" t="s">
        <v>97</v>
      </c>
      <c r="Z2334" t="s">
        <v>32</v>
      </c>
      <c r="AA2334" t="s">
        <v>26768</v>
      </c>
      <c r="AB2334" t="s">
        <v>26769</v>
      </c>
      <c r="AC2334" t="s">
        <v>12315</v>
      </c>
      <c r="AD2334" t="s">
        <v>32</v>
      </c>
      <c r="AE2334" t="s">
        <v>15358</v>
      </c>
      <c r="AF2334" t="s">
        <v>46835</v>
      </c>
    </row>
    <row r="2335" spans="1:32" x14ac:dyDescent="0.2">
      <c r="A2335">
        <v>2330</v>
      </c>
      <c r="B2335" t="s">
        <v>26770</v>
      </c>
      <c r="C2335" t="s">
        <v>26771</v>
      </c>
      <c r="D2335" t="s">
        <v>32</v>
      </c>
      <c r="E2335" t="s">
        <v>26772</v>
      </c>
      <c r="F2335" t="s">
        <v>26773</v>
      </c>
      <c r="G2335" t="s">
        <v>32</v>
      </c>
      <c r="H2335" t="str">
        <f>"Iqgap2"</f>
        <v>Iqgap2</v>
      </c>
      <c r="I2335" t="s">
        <v>32</v>
      </c>
      <c r="J2335" t="s">
        <v>37</v>
      </c>
      <c r="K2335">
        <v>10090</v>
      </c>
      <c r="L2335" s="3" t="str">
        <f>HYPERLINK("http://www.uniprot.org/uniprot/Q3UQ44", "Q3UQ44")</f>
        <v>Q3UQ44</v>
      </c>
      <c r="M2335" t="s">
        <v>26774</v>
      </c>
      <c r="N2335" t="str">
        <f>"Iqgap2"</f>
        <v>Iqgap2</v>
      </c>
      <c r="O2335" s="3" t="str">
        <f>HYPERLINK("http://www.informatics.jax.org/marker/MGI:2449975", "MGI:2449975")</f>
        <v>MGI:2449975</v>
      </c>
      <c r="P2335" t="s">
        <v>26775</v>
      </c>
      <c r="Q2335" t="s">
        <v>32</v>
      </c>
      <c r="R2335" t="s">
        <v>32</v>
      </c>
      <c r="S2335" t="s">
        <v>32</v>
      </c>
      <c r="T2335" t="s">
        <v>32</v>
      </c>
      <c r="U2335" t="s">
        <v>32</v>
      </c>
      <c r="V2335" t="s">
        <v>55</v>
      </c>
      <c r="W2335" t="s">
        <v>32</v>
      </c>
      <c r="X2335" t="s">
        <v>1926</v>
      </c>
      <c r="Y2335" t="s">
        <v>618</v>
      </c>
      <c r="Z2335" t="s">
        <v>32</v>
      </c>
      <c r="AA2335" t="s">
        <v>26776</v>
      </c>
      <c r="AB2335" t="s">
        <v>26777</v>
      </c>
      <c r="AC2335" t="s">
        <v>26778</v>
      </c>
      <c r="AD2335" t="s">
        <v>32</v>
      </c>
      <c r="AE2335" t="s">
        <v>26779</v>
      </c>
      <c r="AF2335" t="s">
        <v>46835</v>
      </c>
    </row>
    <row r="2336" spans="1:32" x14ac:dyDescent="0.2">
      <c r="A2336">
        <v>2331</v>
      </c>
      <c r="B2336" t="s">
        <v>26780</v>
      </c>
      <c r="C2336" t="s">
        <v>26781</v>
      </c>
      <c r="D2336" t="s">
        <v>26782</v>
      </c>
      <c r="E2336" t="s">
        <v>26783</v>
      </c>
      <c r="F2336" t="s">
        <v>26784</v>
      </c>
      <c r="G2336" t="s">
        <v>26785</v>
      </c>
      <c r="H2336" t="str">
        <f>"Gtf3c1"</f>
        <v>Gtf3c1</v>
      </c>
      <c r="I2336" t="s">
        <v>32</v>
      </c>
      <c r="J2336" t="s">
        <v>37</v>
      </c>
      <c r="K2336">
        <v>10090</v>
      </c>
      <c r="L2336" s="3" t="str">
        <f>HYPERLINK("http://www.uniprot.org/uniprot/Q8K284", "Q8K284")</f>
        <v>Q8K284</v>
      </c>
      <c r="M2336" t="s">
        <v>26786</v>
      </c>
      <c r="N2336" t="str">
        <f>"Gtf3c1"</f>
        <v>Gtf3c1</v>
      </c>
      <c r="O2336" s="3" t="str">
        <f>HYPERLINK("http://www.informatics.jax.org/marker/MGI:107887", "MGI:107887")</f>
        <v>MGI:107887</v>
      </c>
      <c r="P2336" t="s">
        <v>26787</v>
      </c>
      <c r="Q2336" t="s">
        <v>16415</v>
      </c>
      <c r="R2336" t="s">
        <v>2279</v>
      </c>
      <c r="S2336" t="s">
        <v>41</v>
      </c>
      <c r="T2336" t="s">
        <v>32</v>
      </c>
      <c r="U2336" t="s">
        <v>32</v>
      </c>
      <c r="V2336" t="s">
        <v>32</v>
      </c>
      <c r="W2336" t="s">
        <v>32</v>
      </c>
      <c r="X2336" t="s">
        <v>247</v>
      </c>
      <c r="Y2336" t="s">
        <v>1007</v>
      </c>
      <c r="Z2336" t="s">
        <v>32</v>
      </c>
      <c r="AA2336" t="s">
        <v>26788</v>
      </c>
      <c r="AB2336" t="s">
        <v>26789</v>
      </c>
      <c r="AC2336" t="s">
        <v>26790</v>
      </c>
      <c r="AD2336" t="s">
        <v>32</v>
      </c>
      <c r="AE2336" t="s">
        <v>26549</v>
      </c>
      <c r="AF2336" t="s">
        <v>46835</v>
      </c>
    </row>
    <row r="2337" spans="1:32" x14ac:dyDescent="0.2">
      <c r="A2337">
        <v>2332</v>
      </c>
      <c r="B2337" t="s">
        <v>26791</v>
      </c>
      <c r="C2337" t="s">
        <v>26792</v>
      </c>
      <c r="D2337" t="s">
        <v>26793</v>
      </c>
      <c r="E2337" t="s">
        <v>26794</v>
      </c>
      <c r="F2337" t="s">
        <v>26795</v>
      </c>
      <c r="G2337" t="s">
        <v>26796</v>
      </c>
      <c r="H2337" t="str">
        <f>"Dcaf8"</f>
        <v>Dcaf8</v>
      </c>
      <c r="I2337" t="s">
        <v>26797</v>
      </c>
      <c r="J2337" t="s">
        <v>37</v>
      </c>
      <c r="K2337">
        <v>10090</v>
      </c>
      <c r="L2337" s="3" t="str">
        <f>HYPERLINK("http://www.uniprot.org/uniprot/Q8N7N5", "Q8N7N5")</f>
        <v>Q8N7N5</v>
      </c>
      <c r="M2337" t="s">
        <v>26798</v>
      </c>
      <c r="N2337" t="str">
        <f>"Dcaf8"</f>
        <v>Dcaf8</v>
      </c>
      <c r="O2337" s="3" t="str">
        <f>HYPERLINK("http://www.informatics.jax.org/marker/MGI:91860", "MGI:91860")</f>
        <v>MGI:91860</v>
      </c>
      <c r="P2337" t="s">
        <v>26799</v>
      </c>
      <c r="Q2337" t="s">
        <v>1020</v>
      </c>
      <c r="R2337" t="s">
        <v>40</v>
      </c>
      <c r="S2337" t="s">
        <v>41</v>
      </c>
      <c r="T2337" t="s">
        <v>32</v>
      </c>
      <c r="U2337" t="s">
        <v>32</v>
      </c>
      <c r="V2337" t="s">
        <v>1910</v>
      </c>
      <c r="W2337" t="s">
        <v>32</v>
      </c>
      <c r="X2337" t="s">
        <v>32</v>
      </c>
      <c r="Y2337" t="s">
        <v>2734</v>
      </c>
      <c r="Z2337" t="s">
        <v>32</v>
      </c>
      <c r="AA2337" t="s">
        <v>24460</v>
      </c>
      <c r="AB2337" t="s">
        <v>26800</v>
      </c>
      <c r="AC2337" t="s">
        <v>32</v>
      </c>
      <c r="AD2337" t="s">
        <v>1027</v>
      </c>
      <c r="AE2337" t="s">
        <v>14635</v>
      </c>
      <c r="AF2337" t="s">
        <v>46835</v>
      </c>
    </row>
    <row r="2338" spans="1:32" x14ac:dyDescent="0.2">
      <c r="A2338">
        <v>2333</v>
      </c>
      <c r="B2338" t="s">
        <v>26801</v>
      </c>
      <c r="C2338" t="s">
        <v>26802</v>
      </c>
      <c r="D2338" t="s">
        <v>32</v>
      </c>
      <c r="E2338" t="s">
        <v>26803</v>
      </c>
      <c r="F2338" t="s">
        <v>26804</v>
      </c>
      <c r="G2338" t="s">
        <v>26805</v>
      </c>
      <c r="H2338" t="str">
        <f>"Ubl7"</f>
        <v>Ubl7</v>
      </c>
      <c r="I2338" t="s">
        <v>32</v>
      </c>
      <c r="J2338" t="s">
        <v>37</v>
      </c>
      <c r="K2338">
        <v>10090</v>
      </c>
      <c r="L2338" s="3" t="str">
        <f>HYPERLINK("http://www.uniprot.org/uniprot/Q91W67", "Q91W67")</f>
        <v>Q91W67</v>
      </c>
      <c r="M2338" t="s">
        <v>26806</v>
      </c>
      <c r="N2338" t="str">
        <f>"Ubl7"</f>
        <v>Ubl7</v>
      </c>
      <c r="O2338" s="3" t="str">
        <f>HYPERLINK("http://www.informatics.jax.org/marker/MGI:1916709", "MGI:1916709")</f>
        <v>MGI:1916709</v>
      </c>
      <c r="P2338" t="s">
        <v>26807</v>
      </c>
      <c r="Q2338" t="s">
        <v>1020</v>
      </c>
      <c r="R2338" t="s">
        <v>32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32</v>
      </c>
      <c r="Y2338" t="s">
        <v>618</v>
      </c>
      <c r="Z2338" t="s">
        <v>126</v>
      </c>
      <c r="AA2338" t="s">
        <v>8269</v>
      </c>
      <c r="AB2338" t="s">
        <v>1268</v>
      </c>
      <c r="AC2338" t="s">
        <v>26808</v>
      </c>
      <c r="AD2338" t="s">
        <v>32</v>
      </c>
      <c r="AE2338" t="s">
        <v>32</v>
      </c>
      <c r="AF2338" t="s">
        <v>46835</v>
      </c>
    </row>
    <row r="2339" spans="1:32" x14ac:dyDescent="0.2">
      <c r="A2339">
        <v>2334</v>
      </c>
      <c r="B2339" t="s">
        <v>26809</v>
      </c>
      <c r="C2339" t="s">
        <v>26810</v>
      </c>
      <c r="D2339" t="s">
        <v>26811</v>
      </c>
      <c r="E2339" t="s">
        <v>26812</v>
      </c>
      <c r="F2339" t="s">
        <v>26813</v>
      </c>
      <c r="G2339" t="s">
        <v>26814</v>
      </c>
      <c r="H2339" t="str">
        <f>"Tceal5"</f>
        <v>Tceal5</v>
      </c>
      <c r="I2339" t="s">
        <v>32</v>
      </c>
      <c r="J2339" t="s">
        <v>37</v>
      </c>
      <c r="K2339">
        <v>10090</v>
      </c>
      <c r="L2339" s="3" t="str">
        <f>HYPERLINK("http://www.uniprot.org/uniprot/Q8CCT4", "Q8CCT4")</f>
        <v>Q8CCT4</v>
      </c>
      <c r="M2339" t="s">
        <v>26815</v>
      </c>
      <c r="N2339" t="str">
        <f>"Tceal5"</f>
        <v>Tceal5</v>
      </c>
      <c r="O2339" s="3" t="str">
        <f>HYPERLINK("http://www.informatics.jax.org/marker/MGI:3036236", "MGI:3036236")</f>
        <v>MGI:3036236</v>
      </c>
      <c r="P2339" t="s">
        <v>26816</v>
      </c>
      <c r="Q2339" t="s">
        <v>4152</v>
      </c>
      <c r="R2339" t="s">
        <v>2279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32</v>
      </c>
      <c r="Y2339" t="s">
        <v>32</v>
      </c>
      <c r="Z2339" t="s">
        <v>32</v>
      </c>
      <c r="AA2339" t="s">
        <v>32</v>
      </c>
      <c r="AB2339" t="s">
        <v>3606</v>
      </c>
      <c r="AC2339" t="s">
        <v>26817</v>
      </c>
      <c r="AD2339" t="s">
        <v>32</v>
      </c>
      <c r="AE2339" t="s">
        <v>32</v>
      </c>
      <c r="AF2339" t="s">
        <v>46835</v>
      </c>
    </row>
    <row r="2340" spans="1:32" x14ac:dyDescent="0.2">
      <c r="A2340">
        <v>2335</v>
      </c>
      <c r="B2340" t="s">
        <v>26818</v>
      </c>
      <c r="C2340" t="s">
        <v>26819</v>
      </c>
      <c r="D2340" t="s">
        <v>26820</v>
      </c>
      <c r="E2340" t="s">
        <v>26821</v>
      </c>
      <c r="F2340" t="s">
        <v>26822</v>
      </c>
      <c r="G2340" t="s">
        <v>26823</v>
      </c>
      <c r="H2340" t="str">
        <f>"Acad9"</f>
        <v>Acad9</v>
      </c>
      <c r="I2340" t="s">
        <v>32</v>
      </c>
      <c r="J2340" t="s">
        <v>37</v>
      </c>
      <c r="K2340">
        <v>10090</v>
      </c>
      <c r="L2340" s="3" t="str">
        <f>HYPERLINK("http://www.uniprot.org/uniprot/Q8JZN5", "Q8JZN5")</f>
        <v>Q8JZN5</v>
      </c>
      <c r="M2340" t="s">
        <v>26824</v>
      </c>
      <c r="N2340" t="str">
        <f>"Acad9"</f>
        <v>Acad9</v>
      </c>
      <c r="O2340" s="3" t="str">
        <f>HYPERLINK("http://www.informatics.jax.org/marker/MGI:1914272", "MGI:1914272")</f>
        <v>MGI:1914272</v>
      </c>
      <c r="P2340" t="s">
        <v>26825</v>
      </c>
      <c r="Q2340" t="s">
        <v>32</v>
      </c>
      <c r="R2340" t="s">
        <v>3858</v>
      </c>
      <c r="S2340" t="s">
        <v>32</v>
      </c>
      <c r="T2340" t="s">
        <v>32</v>
      </c>
      <c r="U2340" t="s">
        <v>32</v>
      </c>
      <c r="V2340" t="s">
        <v>1039</v>
      </c>
      <c r="W2340" t="s">
        <v>4600</v>
      </c>
      <c r="X2340" t="s">
        <v>600</v>
      </c>
      <c r="Y2340" t="s">
        <v>157</v>
      </c>
      <c r="Z2340" t="s">
        <v>32</v>
      </c>
      <c r="AA2340" t="s">
        <v>26826</v>
      </c>
      <c r="AB2340" t="s">
        <v>26827</v>
      </c>
      <c r="AC2340" t="s">
        <v>26828</v>
      </c>
      <c r="AD2340" t="s">
        <v>32</v>
      </c>
      <c r="AE2340" t="s">
        <v>24653</v>
      </c>
      <c r="AF2340" t="s">
        <v>46835</v>
      </c>
    </row>
    <row r="2341" spans="1:32" x14ac:dyDescent="0.2">
      <c r="A2341">
        <v>2336</v>
      </c>
      <c r="B2341" t="s">
        <v>26829</v>
      </c>
      <c r="C2341" t="s">
        <v>26830</v>
      </c>
      <c r="D2341" t="s">
        <v>26831</v>
      </c>
      <c r="E2341" t="s">
        <v>26832</v>
      </c>
      <c r="F2341" t="s">
        <v>26833</v>
      </c>
      <c r="G2341" t="s">
        <v>32</v>
      </c>
      <c r="H2341" t="str">
        <f>"Fam162a"</f>
        <v>Fam162a</v>
      </c>
      <c r="I2341" t="s">
        <v>26834</v>
      </c>
      <c r="J2341" t="s">
        <v>37</v>
      </c>
      <c r="K2341">
        <v>10090</v>
      </c>
      <c r="L2341" s="3" t="str">
        <f>HYPERLINK("http://www.uniprot.org/uniprot/Q9D6U8", "Q9D6U8")</f>
        <v>Q9D6U8</v>
      </c>
      <c r="M2341" t="s">
        <v>26835</v>
      </c>
      <c r="N2341" t="str">
        <f>"Fam162a"</f>
        <v>Fam162a</v>
      </c>
      <c r="O2341" s="3" t="str">
        <f>HYPERLINK("http://www.informatics.jax.org/marker/MGI:1917436", "MGI:1917436")</f>
        <v>MGI:1917436</v>
      </c>
      <c r="P2341" t="s">
        <v>26836</v>
      </c>
      <c r="Q2341" t="s">
        <v>541</v>
      </c>
      <c r="R2341" t="s">
        <v>6354</v>
      </c>
      <c r="S2341" t="s">
        <v>32</v>
      </c>
      <c r="T2341" t="s">
        <v>32</v>
      </c>
      <c r="U2341" t="s">
        <v>32</v>
      </c>
      <c r="V2341" t="s">
        <v>493</v>
      </c>
      <c r="W2341" t="s">
        <v>32</v>
      </c>
      <c r="X2341" t="s">
        <v>32</v>
      </c>
      <c r="Y2341" t="s">
        <v>32</v>
      </c>
      <c r="Z2341" t="s">
        <v>32</v>
      </c>
      <c r="AA2341" t="s">
        <v>26837</v>
      </c>
      <c r="AB2341" t="s">
        <v>26838</v>
      </c>
      <c r="AC2341" t="s">
        <v>32</v>
      </c>
      <c r="AD2341" t="s">
        <v>32</v>
      </c>
      <c r="AE2341" t="s">
        <v>32</v>
      </c>
      <c r="AF2341" t="s">
        <v>46835</v>
      </c>
    </row>
    <row r="2342" spans="1:32" x14ac:dyDescent="0.2">
      <c r="A2342">
        <v>2337</v>
      </c>
      <c r="B2342" t="s">
        <v>26839</v>
      </c>
      <c r="C2342" t="s">
        <v>26840</v>
      </c>
      <c r="D2342" t="s">
        <v>32</v>
      </c>
      <c r="E2342" t="s">
        <v>26841</v>
      </c>
      <c r="F2342" t="s">
        <v>26842</v>
      </c>
      <c r="G2342" t="s">
        <v>26843</v>
      </c>
      <c r="H2342" t="str">
        <f>"Vat1l"</f>
        <v>Vat1l</v>
      </c>
      <c r="I2342" t="s">
        <v>26844</v>
      </c>
      <c r="J2342" t="s">
        <v>37</v>
      </c>
      <c r="K2342">
        <v>10090</v>
      </c>
      <c r="L2342" s="3" t="str">
        <f>HYPERLINK("http://www.uniprot.org/uniprot/Q80TB8", "Q80TB8")</f>
        <v>Q80TB8</v>
      </c>
      <c r="M2342" t="s">
        <v>26845</v>
      </c>
      <c r="N2342" t="str">
        <f>"Vat1l"</f>
        <v>Vat1l</v>
      </c>
      <c r="O2342" s="3" t="str">
        <f>HYPERLINK("http://www.informatics.jax.org/marker/MGI:2142534", "MGI:2142534")</f>
        <v>MGI:2142534</v>
      </c>
      <c r="P2342" t="s">
        <v>26846</v>
      </c>
      <c r="Q2342" t="s">
        <v>32</v>
      </c>
      <c r="R2342" t="s">
        <v>32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600</v>
      </c>
      <c r="Y2342" t="s">
        <v>618</v>
      </c>
      <c r="Z2342" t="s">
        <v>32</v>
      </c>
      <c r="AA2342" t="s">
        <v>32</v>
      </c>
      <c r="AB2342" t="s">
        <v>32</v>
      </c>
      <c r="AC2342" t="s">
        <v>12719</v>
      </c>
      <c r="AD2342" t="s">
        <v>32</v>
      </c>
      <c r="AE2342" t="s">
        <v>32</v>
      </c>
      <c r="AF2342" t="s">
        <v>46835</v>
      </c>
    </row>
    <row r="2343" spans="1:32" x14ac:dyDescent="0.2">
      <c r="A2343">
        <v>2338</v>
      </c>
      <c r="B2343" t="s">
        <v>26847</v>
      </c>
      <c r="C2343" t="s">
        <v>26848</v>
      </c>
      <c r="D2343" t="s">
        <v>32</v>
      </c>
      <c r="E2343" t="s">
        <v>26849</v>
      </c>
      <c r="F2343" t="s">
        <v>26850</v>
      </c>
      <c r="G2343" t="s">
        <v>26851</v>
      </c>
      <c r="H2343" t="str">
        <f>"Apob"</f>
        <v>Apob</v>
      </c>
      <c r="I2343" t="s">
        <v>32</v>
      </c>
      <c r="J2343" t="s">
        <v>37</v>
      </c>
      <c r="K2343">
        <v>10090</v>
      </c>
      <c r="L2343" s="3" t="str">
        <f>HYPERLINK("http://www.uniprot.org/uniprot/E9Q414", "E9Q414")</f>
        <v>E9Q414</v>
      </c>
      <c r="M2343" t="s">
        <v>26852</v>
      </c>
      <c r="N2343" t="str">
        <f>"Apob"</f>
        <v>Apob</v>
      </c>
      <c r="O2343" s="3" t="str">
        <f>HYPERLINK("http://www.informatics.jax.org/marker/MGI:88052", "MGI:88052")</f>
        <v>MGI:88052</v>
      </c>
      <c r="P2343" t="s">
        <v>26853</v>
      </c>
      <c r="Q2343" t="s">
        <v>4164</v>
      </c>
      <c r="R2343" t="s">
        <v>26854</v>
      </c>
      <c r="S2343" t="s">
        <v>1565</v>
      </c>
      <c r="T2343" t="s">
        <v>32</v>
      </c>
      <c r="U2343" t="s">
        <v>32</v>
      </c>
      <c r="V2343" t="s">
        <v>9706</v>
      </c>
      <c r="W2343" t="s">
        <v>32</v>
      </c>
      <c r="X2343" t="s">
        <v>5246</v>
      </c>
      <c r="Y2343" t="s">
        <v>26855</v>
      </c>
      <c r="Z2343" t="s">
        <v>32</v>
      </c>
      <c r="AA2343" t="s">
        <v>26856</v>
      </c>
      <c r="AB2343" t="s">
        <v>26857</v>
      </c>
      <c r="AC2343" t="s">
        <v>26858</v>
      </c>
      <c r="AD2343" t="s">
        <v>32</v>
      </c>
      <c r="AE2343" t="s">
        <v>26859</v>
      </c>
      <c r="AF2343" t="s">
        <v>46835</v>
      </c>
    </row>
    <row r="2344" spans="1:32" x14ac:dyDescent="0.2">
      <c r="A2344">
        <v>2339</v>
      </c>
      <c r="B2344" t="s">
        <v>26860</v>
      </c>
      <c r="C2344" t="s">
        <v>26861</v>
      </c>
      <c r="D2344" t="s">
        <v>26862</v>
      </c>
      <c r="E2344" t="s">
        <v>26863</v>
      </c>
      <c r="F2344" t="s">
        <v>26864</v>
      </c>
      <c r="G2344" t="s">
        <v>26865</v>
      </c>
      <c r="H2344" t="str">
        <f>"Cdc16"</f>
        <v>Cdc16</v>
      </c>
      <c r="I2344" t="s">
        <v>26866</v>
      </c>
      <c r="J2344" t="s">
        <v>37</v>
      </c>
      <c r="K2344">
        <v>10090</v>
      </c>
      <c r="L2344" s="3" t="str">
        <f>HYPERLINK("http://www.uniprot.org/uniprot/Q8R349", "Q8R349")</f>
        <v>Q8R349</v>
      </c>
      <c r="M2344" t="s">
        <v>26867</v>
      </c>
      <c r="N2344" t="str">
        <f>"Cdc16"</f>
        <v>Cdc16</v>
      </c>
      <c r="O2344" s="3" t="str">
        <f>HYPERLINK("http://www.informatics.jax.org/marker/MGI:1917207", "MGI:1917207")</f>
        <v>MGI:1917207</v>
      </c>
      <c r="P2344" t="s">
        <v>26868</v>
      </c>
      <c r="Q2344" t="s">
        <v>19695</v>
      </c>
      <c r="R2344" t="s">
        <v>32</v>
      </c>
      <c r="S2344" t="s">
        <v>32</v>
      </c>
      <c r="T2344" t="s">
        <v>32</v>
      </c>
      <c r="U2344" t="s">
        <v>32</v>
      </c>
      <c r="V2344" t="s">
        <v>995</v>
      </c>
      <c r="W2344" t="s">
        <v>32</v>
      </c>
      <c r="X2344" t="s">
        <v>32</v>
      </c>
      <c r="Y2344" t="s">
        <v>618</v>
      </c>
      <c r="Z2344" t="s">
        <v>32</v>
      </c>
      <c r="AA2344" t="s">
        <v>26869</v>
      </c>
      <c r="AB2344" t="s">
        <v>26870</v>
      </c>
      <c r="AC2344" t="s">
        <v>32</v>
      </c>
      <c r="AD2344" t="s">
        <v>1027</v>
      </c>
      <c r="AE2344" t="s">
        <v>19698</v>
      </c>
      <c r="AF2344" t="s">
        <v>46835</v>
      </c>
    </row>
    <row r="2345" spans="1:32" x14ac:dyDescent="0.2">
      <c r="A2345">
        <v>2340</v>
      </c>
      <c r="B2345" t="s">
        <v>26871</v>
      </c>
      <c r="C2345" t="s">
        <v>26872</v>
      </c>
      <c r="D2345" t="s">
        <v>26873</v>
      </c>
      <c r="E2345" t="s">
        <v>26874</v>
      </c>
      <c r="F2345" t="s">
        <v>26875</v>
      </c>
      <c r="G2345" t="s">
        <v>26876</v>
      </c>
      <c r="H2345" t="str">
        <f>"Psph"</f>
        <v>Psph</v>
      </c>
      <c r="I2345" t="s">
        <v>32</v>
      </c>
      <c r="J2345" t="s">
        <v>37</v>
      </c>
      <c r="K2345">
        <v>10090</v>
      </c>
      <c r="L2345" s="3" t="str">
        <f>HYPERLINK("http://www.uniprot.org/uniprot/Q99LS3", "Q99LS3")</f>
        <v>Q99LS3</v>
      </c>
      <c r="M2345" t="s">
        <v>26877</v>
      </c>
      <c r="N2345" t="str">
        <f>"Psph"</f>
        <v>Psph</v>
      </c>
      <c r="O2345" s="3" t="str">
        <f>HYPERLINK("http://www.informatics.jax.org/marker/MGI:97788", "MGI:97788")</f>
        <v>MGI:97788</v>
      </c>
      <c r="P2345" t="s">
        <v>26878</v>
      </c>
      <c r="Q2345" t="s">
        <v>2043</v>
      </c>
      <c r="R2345" t="s">
        <v>418</v>
      </c>
      <c r="S2345" t="s">
        <v>32</v>
      </c>
      <c r="T2345" t="s">
        <v>32</v>
      </c>
      <c r="U2345" t="s">
        <v>32</v>
      </c>
      <c r="V2345" t="s">
        <v>32</v>
      </c>
      <c r="W2345" t="s">
        <v>223</v>
      </c>
      <c r="X2345" t="s">
        <v>343</v>
      </c>
      <c r="Y2345" t="s">
        <v>78</v>
      </c>
      <c r="Z2345" t="s">
        <v>32</v>
      </c>
      <c r="AA2345" t="s">
        <v>26879</v>
      </c>
      <c r="AB2345" t="s">
        <v>26880</v>
      </c>
      <c r="AC2345" t="s">
        <v>26881</v>
      </c>
      <c r="AD2345" t="s">
        <v>26882</v>
      </c>
      <c r="AE2345" t="s">
        <v>2048</v>
      </c>
      <c r="AF2345" t="s">
        <v>46835</v>
      </c>
    </row>
    <row r="2346" spans="1:32" x14ac:dyDescent="0.2">
      <c r="A2346">
        <v>2341</v>
      </c>
      <c r="B2346" t="s">
        <v>26883</v>
      </c>
      <c r="C2346" t="s">
        <v>26884</v>
      </c>
      <c r="D2346" t="s">
        <v>32</v>
      </c>
      <c r="E2346" t="s">
        <v>26885</v>
      </c>
      <c r="F2346" t="s">
        <v>26886</v>
      </c>
      <c r="G2346" t="s">
        <v>32</v>
      </c>
      <c r="H2346" t="str">
        <f>"Pmm2"</f>
        <v>Pmm2</v>
      </c>
      <c r="I2346" t="s">
        <v>32</v>
      </c>
      <c r="J2346" t="s">
        <v>37</v>
      </c>
      <c r="K2346">
        <v>10090</v>
      </c>
      <c r="L2346" s="3" t="str">
        <f>HYPERLINK("http://www.uniprot.org/uniprot/Q9Z2M7", "Q9Z2M7")</f>
        <v>Q9Z2M7</v>
      </c>
      <c r="M2346" t="s">
        <v>26887</v>
      </c>
      <c r="N2346" t="str">
        <f>"Pmm2"</f>
        <v>Pmm2</v>
      </c>
      <c r="O2346" s="3" t="str">
        <f>HYPERLINK("http://www.informatics.jax.org/marker/MGI:1859214", "MGI:1859214")</f>
        <v>MGI:1859214</v>
      </c>
      <c r="P2346" t="s">
        <v>26888</v>
      </c>
      <c r="Q2346" t="s">
        <v>32</v>
      </c>
      <c r="R2346" t="s">
        <v>418</v>
      </c>
      <c r="S2346" t="s">
        <v>32</v>
      </c>
      <c r="T2346" t="s">
        <v>32</v>
      </c>
      <c r="U2346" t="s">
        <v>32</v>
      </c>
      <c r="V2346" t="s">
        <v>32</v>
      </c>
      <c r="W2346" t="s">
        <v>223</v>
      </c>
      <c r="X2346" t="s">
        <v>673</v>
      </c>
      <c r="Y2346" t="s">
        <v>78</v>
      </c>
      <c r="Z2346" t="s">
        <v>32</v>
      </c>
      <c r="AA2346" t="s">
        <v>26889</v>
      </c>
      <c r="AB2346" t="s">
        <v>26890</v>
      </c>
      <c r="AC2346" t="s">
        <v>26891</v>
      </c>
      <c r="AD2346" t="s">
        <v>26892</v>
      </c>
      <c r="AE2346" t="s">
        <v>15038</v>
      </c>
      <c r="AF2346" t="s">
        <v>46835</v>
      </c>
    </row>
    <row r="2347" spans="1:32" x14ac:dyDescent="0.2">
      <c r="A2347">
        <v>2342</v>
      </c>
      <c r="B2347" t="s">
        <v>26893</v>
      </c>
      <c r="C2347" t="s">
        <v>26894</v>
      </c>
      <c r="D2347" t="s">
        <v>26895</v>
      </c>
      <c r="E2347" t="s">
        <v>26896</v>
      </c>
      <c r="F2347" t="s">
        <v>26897</v>
      </c>
      <c r="G2347" t="s">
        <v>26898</v>
      </c>
      <c r="H2347" t="str">
        <f>"Mat2b"</f>
        <v>Mat2b</v>
      </c>
      <c r="I2347" t="s">
        <v>32</v>
      </c>
      <c r="J2347" t="s">
        <v>37</v>
      </c>
      <c r="K2347">
        <v>10090</v>
      </c>
      <c r="L2347" s="3" t="str">
        <f>HYPERLINK("http://www.uniprot.org/uniprot/Q99LB6", "Q99LB6")</f>
        <v>Q99LB6</v>
      </c>
      <c r="M2347" t="s">
        <v>26899</v>
      </c>
      <c r="N2347" t="str">
        <f>"Mat2b"</f>
        <v>Mat2b</v>
      </c>
      <c r="O2347" s="3" t="str">
        <f>HYPERLINK("http://www.informatics.jax.org/marker/MGI:1913667", "MGI:1913667")</f>
        <v>MGI:1913667</v>
      </c>
      <c r="P2347" t="s">
        <v>26900</v>
      </c>
      <c r="Q2347" t="s">
        <v>2308</v>
      </c>
      <c r="R2347" t="s">
        <v>32</v>
      </c>
      <c r="S2347" t="s">
        <v>41</v>
      </c>
      <c r="T2347" t="s">
        <v>32</v>
      </c>
      <c r="U2347" t="s">
        <v>32</v>
      </c>
      <c r="V2347" t="s">
        <v>32</v>
      </c>
      <c r="W2347" t="s">
        <v>3204</v>
      </c>
      <c r="X2347" t="s">
        <v>32</v>
      </c>
      <c r="Y2347" t="s">
        <v>618</v>
      </c>
      <c r="Z2347" t="s">
        <v>32</v>
      </c>
      <c r="AA2347" t="s">
        <v>26901</v>
      </c>
      <c r="AB2347" t="s">
        <v>26902</v>
      </c>
      <c r="AC2347" t="s">
        <v>26903</v>
      </c>
      <c r="AD2347" t="s">
        <v>11995</v>
      </c>
      <c r="AE2347" t="s">
        <v>26904</v>
      </c>
      <c r="AF2347" t="s">
        <v>46835</v>
      </c>
    </row>
    <row r="2348" spans="1:32" x14ac:dyDescent="0.2">
      <c r="A2348">
        <v>2343</v>
      </c>
      <c r="B2348" t="s">
        <v>26905</v>
      </c>
      <c r="C2348" t="s">
        <v>26906</v>
      </c>
      <c r="D2348" t="s">
        <v>26907</v>
      </c>
      <c r="E2348" t="s">
        <v>26908</v>
      </c>
      <c r="F2348" t="s">
        <v>26909</v>
      </c>
      <c r="G2348" t="s">
        <v>26910</v>
      </c>
      <c r="H2348" t="str">
        <f>"Sike1"</f>
        <v>Sike1</v>
      </c>
      <c r="I2348" t="s">
        <v>32</v>
      </c>
      <c r="J2348" t="s">
        <v>37</v>
      </c>
      <c r="K2348">
        <v>10090</v>
      </c>
      <c r="L2348" s="3" t="str">
        <f>HYPERLINK("http://www.uniprot.org/uniprot/Q9CPR7", "Q9CPR7")</f>
        <v>Q9CPR7</v>
      </c>
      <c r="M2348" t="s">
        <v>26911</v>
      </c>
      <c r="N2348" t="str">
        <f>"Sike1"</f>
        <v>Sike1</v>
      </c>
      <c r="O2348" s="3" t="str">
        <f>HYPERLINK("http://www.informatics.jax.org/marker/MGI:1913891", "MGI:1913891")</f>
        <v>MGI:1913891</v>
      </c>
      <c r="P2348" t="s">
        <v>16009</v>
      </c>
      <c r="Q2348" t="s">
        <v>32</v>
      </c>
      <c r="R2348" t="s">
        <v>418</v>
      </c>
      <c r="S2348" t="s">
        <v>32</v>
      </c>
      <c r="T2348" t="s">
        <v>32</v>
      </c>
      <c r="U2348" t="s">
        <v>32</v>
      </c>
      <c r="V2348" t="s">
        <v>290</v>
      </c>
      <c r="W2348" t="s">
        <v>32</v>
      </c>
      <c r="X2348" t="s">
        <v>32</v>
      </c>
      <c r="Y2348" t="s">
        <v>32</v>
      </c>
      <c r="Z2348" t="s">
        <v>32</v>
      </c>
      <c r="AA2348" t="s">
        <v>32</v>
      </c>
      <c r="AB2348" t="s">
        <v>2172</v>
      </c>
      <c r="AC2348" t="s">
        <v>13310</v>
      </c>
      <c r="AD2348" t="s">
        <v>32</v>
      </c>
      <c r="AE2348" t="s">
        <v>32</v>
      </c>
      <c r="AF2348" t="s">
        <v>46835</v>
      </c>
    </row>
    <row r="2349" spans="1:32" x14ac:dyDescent="0.2">
      <c r="A2349">
        <v>2344</v>
      </c>
      <c r="B2349" t="s">
        <v>26912</v>
      </c>
      <c r="C2349" t="s">
        <v>26913</v>
      </c>
      <c r="D2349" t="s">
        <v>32</v>
      </c>
      <c r="E2349" t="s">
        <v>26914</v>
      </c>
      <c r="F2349" t="s">
        <v>26915</v>
      </c>
      <c r="G2349" t="s">
        <v>26916</v>
      </c>
      <c r="H2349" t="str">
        <f>"Itih2"</f>
        <v>Itih2</v>
      </c>
      <c r="I2349" t="s">
        <v>32</v>
      </c>
      <c r="J2349" t="s">
        <v>37</v>
      </c>
      <c r="K2349">
        <v>10090</v>
      </c>
      <c r="L2349" s="3" t="str">
        <f>HYPERLINK("http://www.uniprot.org/uniprot/Q61703", "Q61703")</f>
        <v>Q61703</v>
      </c>
      <c r="M2349" t="s">
        <v>26917</v>
      </c>
      <c r="N2349" t="str">
        <f>"Itih2"</f>
        <v>Itih2</v>
      </c>
      <c r="O2349" s="3" t="str">
        <f>HYPERLINK("http://www.informatics.jax.org/marker/MGI:96619", "MGI:96619")</f>
        <v>MGI:96619</v>
      </c>
      <c r="P2349" t="s">
        <v>26918</v>
      </c>
      <c r="Q2349" t="s">
        <v>32</v>
      </c>
      <c r="R2349" t="s">
        <v>630</v>
      </c>
      <c r="S2349" t="s">
        <v>32</v>
      </c>
      <c r="T2349" t="s">
        <v>32</v>
      </c>
      <c r="U2349" t="s">
        <v>32</v>
      </c>
      <c r="V2349" t="s">
        <v>811</v>
      </c>
      <c r="W2349" t="s">
        <v>32</v>
      </c>
      <c r="X2349" t="s">
        <v>2661</v>
      </c>
      <c r="Y2349" t="s">
        <v>26919</v>
      </c>
      <c r="Z2349" t="s">
        <v>32</v>
      </c>
      <c r="AA2349" t="s">
        <v>26920</v>
      </c>
      <c r="AB2349" t="s">
        <v>26921</v>
      </c>
      <c r="AC2349" t="s">
        <v>26922</v>
      </c>
      <c r="AD2349" t="s">
        <v>32</v>
      </c>
      <c r="AE2349" t="s">
        <v>636</v>
      </c>
      <c r="AF2349" t="s">
        <v>46835</v>
      </c>
    </row>
    <row r="2350" spans="1:32" x14ac:dyDescent="0.2">
      <c r="A2350">
        <v>2345</v>
      </c>
      <c r="B2350" t="s">
        <v>26923</v>
      </c>
      <c r="C2350" t="s">
        <v>26924</v>
      </c>
      <c r="D2350" t="s">
        <v>32</v>
      </c>
      <c r="E2350" t="s">
        <v>26925</v>
      </c>
      <c r="F2350" t="s">
        <v>26926</v>
      </c>
      <c r="G2350" t="s">
        <v>26927</v>
      </c>
      <c r="H2350" t="str">
        <f>"Strn"</f>
        <v>Strn</v>
      </c>
      <c r="I2350" t="s">
        <v>32</v>
      </c>
      <c r="J2350" t="s">
        <v>37</v>
      </c>
      <c r="K2350">
        <v>10090</v>
      </c>
      <c r="L2350" s="3" t="str">
        <f>HYPERLINK("http://www.uniprot.org/uniprot/O55106", "O55106")</f>
        <v>O55106</v>
      </c>
      <c r="M2350" t="s">
        <v>26928</v>
      </c>
      <c r="N2350" t="str">
        <f>"Strn"</f>
        <v>Strn</v>
      </c>
      <c r="O2350" s="3" t="str">
        <f>HYPERLINK("http://www.informatics.jax.org/marker/MGI:1333757", "MGI:1333757")</f>
        <v>MGI:1333757</v>
      </c>
      <c r="P2350" t="s">
        <v>26929</v>
      </c>
      <c r="Q2350" t="s">
        <v>32</v>
      </c>
      <c r="R2350" t="s">
        <v>26930</v>
      </c>
      <c r="S2350" t="s">
        <v>32</v>
      </c>
      <c r="T2350" t="s">
        <v>32</v>
      </c>
      <c r="U2350" t="s">
        <v>32</v>
      </c>
      <c r="V2350" t="s">
        <v>3167</v>
      </c>
      <c r="W2350" t="s">
        <v>32</v>
      </c>
      <c r="X2350" t="s">
        <v>1926</v>
      </c>
      <c r="Y2350" t="s">
        <v>618</v>
      </c>
      <c r="Z2350" t="s">
        <v>32</v>
      </c>
      <c r="AA2350" t="s">
        <v>26931</v>
      </c>
      <c r="AB2350" t="s">
        <v>26932</v>
      </c>
      <c r="AC2350" t="s">
        <v>26933</v>
      </c>
      <c r="AD2350" t="s">
        <v>32</v>
      </c>
      <c r="AE2350" t="s">
        <v>26934</v>
      </c>
      <c r="AF2350" t="s">
        <v>46835</v>
      </c>
    </row>
    <row r="2351" spans="1:32" x14ac:dyDescent="0.2">
      <c r="A2351">
        <v>2346</v>
      </c>
      <c r="B2351" t="s">
        <v>26935</v>
      </c>
      <c r="C2351" t="s">
        <v>26936</v>
      </c>
      <c r="D2351" t="s">
        <v>32</v>
      </c>
      <c r="E2351" t="s">
        <v>26937</v>
      </c>
      <c r="F2351" t="s">
        <v>26938</v>
      </c>
      <c r="G2351" t="s">
        <v>26939</v>
      </c>
      <c r="H2351" t="s">
        <v>32</v>
      </c>
      <c r="I2351" t="s">
        <v>32</v>
      </c>
      <c r="J2351" t="s">
        <v>37</v>
      </c>
      <c r="K2351">
        <v>10090</v>
      </c>
      <c r="L2351" s="3" t="str">
        <f>HYPERLINK("http://www.uniprot.org/uniprot/Q3TQI7", "Q3TQI7")</f>
        <v>Q3TQI7</v>
      </c>
      <c r="M2351" t="s">
        <v>26940</v>
      </c>
      <c r="N2351" t="str">
        <f>"BC005624"</f>
        <v>BC005624</v>
      </c>
      <c r="O2351" s="3" t="str">
        <f>HYPERLINK("http://www.informatics.jax.org/marker/MGI:2385132", "MGI:2385132")</f>
        <v>MGI:2385132</v>
      </c>
      <c r="P2351" t="s">
        <v>618</v>
      </c>
      <c r="Q2351" t="s">
        <v>32</v>
      </c>
      <c r="R2351" t="s">
        <v>32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32</v>
      </c>
      <c r="Y2351" t="s">
        <v>618</v>
      </c>
      <c r="Z2351" t="s">
        <v>32</v>
      </c>
      <c r="AA2351" t="s">
        <v>8104</v>
      </c>
      <c r="AB2351" t="s">
        <v>26941</v>
      </c>
      <c r="AC2351" t="s">
        <v>32</v>
      </c>
      <c r="AD2351" t="s">
        <v>32</v>
      </c>
      <c r="AE2351" t="s">
        <v>32</v>
      </c>
      <c r="AF2351" t="s">
        <v>46835</v>
      </c>
    </row>
    <row r="2352" spans="1:32" x14ac:dyDescent="0.2">
      <c r="A2352">
        <v>2347</v>
      </c>
      <c r="B2352" t="s">
        <v>26942</v>
      </c>
      <c r="C2352" t="s">
        <v>26943</v>
      </c>
      <c r="D2352" t="s">
        <v>26944</v>
      </c>
      <c r="E2352" t="s">
        <v>26945</v>
      </c>
      <c r="F2352" t="s">
        <v>26946</v>
      </c>
      <c r="G2352" t="s">
        <v>26947</v>
      </c>
      <c r="H2352" t="str">
        <f>"Atg7"</f>
        <v>Atg7</v>
      </c>
      <c r="I2352" t="s">
        <v>26948</v>
      </c>
      <c r="J2352" t="s">
        <v>37</v>
      </c>
      <c r="K2352">
        <v>10090</v>
      </c>
      <c r="L2352" s="3" t="str">
        <f>HYPERLINK("http://www.uniprot.org/uniprot/Q9D906", "Q9D906")</f>
        <v>Q9D906</v>
      </c>
      <c r="M2352" t="s">
        <v>26949</v>
      </c>
      <c r="N2352" t="str">
        <f>"Atg7"</f>
        <v>Atg7</v>
      </c>
      <c r="O2352" s="3" t="str">
        <f>HYPERLINK("http://www.informatics.jax.org/marker/MGI:1921494", "MGI:1921494")</f>
        <v>MGI:1921494</v>
      </c>
      <c r="P2352" t="s">
        <v>26950</v>
      </c>
      <c r="Q2352" t="s">
        <v>26951</v>
      </c>
      <c r="R2352" t="s">
        <v>418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32</v>
      </c>
      <c r="Y2352" t="s">
        <v>157</v>
      </c>
      <c r="Z2352" t="s">
        <v>32</v>
      </c>
      <c r="AA2352" t="s">
        <v>26952</v>
      </c>
      <c r="AB2352" t="s">
        <v>26953</v>
      </c>
      <c r="AC2352" t="s">
        <v>26954</v>
      </c>
      <c r="AD2352" t="s">
        <v>32</v>
      </c>
      <c r="AE2352" t="s">
        <v>26955</v>
      </c>
      <c r="AF2352" t="s">
        <v>46835</v>
      </c>
    </row>
    <row r="2353" spans="1:32" x14ac:dyDescent="0.2">
      <c r="A2353">
        <v>2348</v>
      </c>
      <c r="B2353" t="s">
        <v>26956</v>
      </c>
      <c r="C2353" t="s">
        <v>26957</v>
      </c>
      <c r="D2353" t="s">
        <v>26958</v>
      </c>
      <c r="E2353" t="s">
        <v>26959</v>
      </c>
      <c r="F2353" t="s">
        <v>26960</v>
      </c>
      <c r="G2353" t="s">
        <v>26961</v>
      </c>
      <c r="H2353" t="str">
        <f>"Gpaa1"</f>
        <v>Gpaa1</v>
      </c>
      <c r="I2353" t="s">
        <v>26962</v>
      </c>
      <c r="J2353" t="s">
        <v>37</v>
      </c>
      <c r="K2353">
        <v>10090</v>
      </c>
      <c r="L2353" s="3" t="str">
        <f>HYPERLINK("http://www.uniprot.org/uniprot/Q9WTK3", "Q9WTK3")</f>
        <v>Q9WTK3</v>
      </c>
      <c r="M2353" t="s">
        <v>26963</v>
      </c>
      <c r="N2353" t="str">
        <f>"Gpaa1"</f>
        <v>Gpaa1</v>
      </c>
      <c r="O2353" s="3" t="str">
        <f>HYPERLINK("http://www.informatics.jax.org/marker/MGI:1202392", "MGI:1202392")</f>
        <v>MGI:1202392</v>
      </c>
      <c r="P2353" t="s">
        <v>22428</v>
      </c>
      <c r="Q2353" t="s">
        <v>21283</v>
      </c>
      <c r="R2353" t="s">
        <v>1664</v>
      </c>
      <c r="S2353" t="s">
        <v>32</v>
      </c>
      <c r="T2353" t="s">
        <v>32</v>
      </c>
      <c r="U2353" t="s">
        <v>32</v>
      </c>
      <c r="V2353" t="s">
        <v>493</v>
      </c>
      <c r="W2353" t="s">
        <v>32</v>
      </c>
      <c r="X2353" t="s">
        <v>32</v>
      </c>
      <c r="Y2353" t="s">
        <v>3733</v>
      </c>
      <c r="Z2353" t="s">
        <v>32</v>
      </c>
      <c r="AA2353" t="s">
        <v>26964</v>
      </c>
      <c r="AB2353" t="s">
        <v>26965</v>
      </c>
      <c r="AC2353" t="s">
        <v>26966</v>
      </c>
      <c r="AD2353" t="s">
        <v>21286</v>
      </c>
      <c r="AE2353" t="s">
        <v>21287</v>
      </c>
      <c r="AF2353" t="s">
        <v>46835</v>
      </c>
    </row>
    <row r="2354" spans="1:32" x14ac:dyDescent="0.2">
      <c r="A2354">
        <v>2349</v>
      </c>
      <c r="B2354" t="s">
        <v>26967</v>
      </c>
      <c r="C2354" t="s">
        <v>26968</v>
      </c>
      <c r="D2354" t="s">
        <v>26969</v>
      </c>
      <c r="E2354" t="s">
        <v>26970</v>
      </c>
      <c r="F2354" t="s">
        <v>26971</v>
      </c>
      <c r="G2354" t="s">
        <v>26972</v>
      </c>
      <c r="H2354" t="str">
        <f>"Grb10"</f>
        <v>Grb10</v>
      </c>
      <c r="I2354" t="s">
        <v>26973</v>
      </c>
      <c r="J2354" t="s">
        <v>37</v>
      </c>
      <c r="K2354">
        <v>10090</v>
      </c>
      <c r="L2354" s="3" t="str">
        <f>HYPERLINK("http://www.uniprot.org/uniprot/Q60760", "Q60760")</f>
        <v>Q60760</v>
      </c>
      <c r="M2354" t="s">
        <v>26974</v>
      </c>
      <c r="N2354" t="str">
        <f>"Grb10"</f>
        <v>Grb10</v>
      </c>
      <c r="O2354" s="3" t="str">
        <f>HYPERLINK("http://www.informatics.jax.org/marker/MGI:103232", "MGI:103232")</f>
        <v>MGI:103232</v>
      </c>
      <c r="P2354" t="s">
        <v>26975</v>
      </c>
      <c r="Q2354" t="s">
        <v>32</v>
      </c>
      <c r="R2354" t="s">
        <v>418</v>
      </c>
      <c r="S2354" t="s">
        <v>41</v>
      </c>
      <c r="T2354" t="s">
        <v>32</v>
      </c>
      <c r="U2354" t="s">
        <v>32</v>
      </c>
      <c r="V2354" t="s">
        <v>12625</v>
      </c>
      <c r="W2354" t="s">
        <v>32</v>
      </c>
      <c r="X2354" t="s">
        <v>32</v>
      </c>
      <c r="Y2354" t="s">
        <v>618</v>
      </c>
      <c r="Z2354" t="s">
        <v>126</v>
      </c>
      <c r="AA2354" t="s">
        <v>26976</v>
      </c>
      <c r="AB2354" t="s">
        <v>2414</v>
      </c>
      <c r="AC2354" t="s">
        <v>26977</v>
      </c>
      <c r="AD2354" t="s">
        <v>32</v>
      </c>
      <c r="AE2354" t="s">
        <v>26978</v>
      </c>
      <c r="AF2354" t="s">
        <v>46835</v>
      </c>
    </row>
    <row r="2355" spans="1:32" x14ac:dyDescent="0.2">
      <c r="A2355">
        <v>2350</v>
      </c>
      <c r="B2355" t="s">
        <v>26979</v>
      </c>
      <c r="C2355" t="s">
        <v>26980</v>
      </c>
      <c r="D2355" t="s">
        <v>26981</v>
      </c>
      <c r="E2355" t="s">
        <v>26982</v>
      </c>
      <c r="F2355" t="s">
        <v>26983</v>
      </c>
      <c r="G2355" t="s">
        <v>26984</v>
      </c>
      <c r="H2355" t="str">
        <f>"Ptgr2"</f>
        <v>Ptgr2</v>
      </c>
      <c r="I2355" t="s">
        <v>26985</v>
      </c>
      <c r="J2355" t="s">
        <v>37</v>
      </c>
      <c r="K2355">
        <v>10090</v>
      </c>
      <c r="L2355" s="3" t="str">
        <f>HYPERLINK("http://www.uniprot.org/uniprot/Q8VDQ1", "Q8VDQ1")</f>
        <v>Q8VDQ1</v>
      </c>
      <c r="M2355" t="s">
        <v>26986</v>
      </c>
      <c r="N2355" t="str">
        <f>"Ptgr2"</f>
        <v>Ptgr2</v>
      </c>
      <c r="O2355" s="3" t="str">
        <f>HYPERLINK("http://www.informatics.jax.org/marker/MGI:1916372", "MGI:1916372")</f>
        <v>MGI:1916372</v>
      </c>
      <c r="P2355" t="s">
        <v>26987</v>
      </c>
      <c r="Q2355" t="s">
        <v>598</v>
      </c>
      <c r="R2355" t="s">
        <v>418</v>
      </c>
      <c r="S2355" t="s">
        <v>41</v>
      </c>
      <c r="T2355" t="s">
        <v>32</v>
      </c>
      <c r="U2355" t="s">
        <v>32</v>
      </c>
      <c r="V2355" t="s">
        <v>32</v>
      </c>
      <c r="W2355" t="s">
        <v>3204</v>
      </c>
      <c r="X2355" t="s">
        <v>600</v>
      </c>
      <c r="Y2355" t="s">
        <v>32</v>
      </c>
      <c r="Z2355" t="s">
        <v>126</v>
      </c>
      <c r="AA2355" t="s">
        <v>26988</v>
      </c>
      <c r="AB2355" t="s">
        <v>5676</v>
      </c>
      <c r="AC2355" t="s">
        <v>26989</v>
      </c>
      <c r="AD2355" t="s">
        <v>32</v>
      </c>
      <c r="AE2355" t="s">
        <v>32</v>
      </c>
      <c r="AF2355" t="s">
        <v>46835</v>
      </c>
    </row>
    <row r="2356" spans="1:32" x14ac:dyDescent="0.2">
      <c r="A2356">
        <v>2351</v>
      </c>
      <c r="B2356" t="s">
        <v>26990</v>
      </c>
      <c r="C2356" t="s">
        <v>26991</v>
      </c>
      <c r="D2356" t="s">
        <v>26992</v>
      </c>
      <c r="E2356" t="s">
        <v>26993</v>
      </c>
      <c r="F2356" t="s">
        <v>26994</v>
      </c>
      <c r="G2356" t="s">
        <v>26995</v>
      </c>
      <c r="H2356" t="str">
        <f>"Raver1"</f>
        <v>Raver1</v>
      </c>
      <c r="I2356" t="s">
        <v>26996</v>
      </c>
      <c r="J2356" t="s">
        <v>37</v>
      </c>
      <c r="K2356">
        <v>10090</v>
      </c>
      <c r="L2356" s="3" t="str">
        <f>HYPERLINK("http://www.uniprot.org/uniprot/Q9CW46", "Q9CW46")</f>
        <v>Q9CW46</v>
      </c>
      <c r="M2356" t="s">
        <v>26997</v>
      </c>
      <c r="N2356" t="str">
        <f>"Raver1"</f>
        <v>Raver1</v>
      </c>
      <c r="O2356" s="3" t="str">
        <f>HYPERLINK("http://www.informatics.jax.org/marker/MGI:1919016", "MGI:1919016")</f>
        <v>MGI:1919016</v>
      </c>
      <c r="P2356" t="s">
        <v>7746</v>
      </c>
      <c r="Q2356" t="s">
        <v>32</v>
      </c>
      <c r="R2356" t="s">
        <v>40</v>
      </c>
      <c r="S2356" t="s">
        <v>41</v>
      </c>
      <c r="T2356" t="s">
        <v>32</v>
      </c>
      <c r="U2356" t="s">
        <v>32</v>
      </c>
      <c r="V2356" t="s">
        <v>55</v>
      </c>
      <c r="W2356" t="s">
        <v>32</v>
      </c>
      <c r="X2356" t="s">
        <v>1282</v>
      </c>
      <c r="Y2356" t="s">
        <v>157</v>
      </c>
      <c r="Z2356" t="s">
        <v>126</v>
      </c>
      <c r="AA2356" t="s">
        <v>26998</v>
      </c>
      <c r="AB2356" t="s">
        <v>110</v>
      </c>
      <c r="AC2356" t="s">
        <v>4168</v>
      </c>
      <c r="AD2356" t="s">
        <v>32</v>
      </c>
      <c r="AE2356" t="s">
        <v>32</v>
      </c>
      <c r="AF2356" t="s">
        <v>46835</v>
      </c>
    </row>
    <row r="2357" spans="1:32" x14ac:dyDescent="0.2">
      <c r="A2357">
        <v>2352</v>
      </c>
      <c r="B2357" t="s">
        <v>26999</v>
      </c>
      <c r="C2357" t="s">
        <v>27000</v>
      </c>
      <c r="D2357" t="s">
        <v>27001</v>
      </c>
      <c r="E2357" t="s">
        <v>27002</v>
      </c>
      <c r="F2357" t="s">
        <v>27003</v>
      </c>
      <c r="G2357" t="s">
        <v>27004</v>
      </c>
      <c r="H2357" t="str">
        <f>"Ppfibp1"</f>
        <v>Ppfibp1</v>
      </c>
      <c r="I2357" t="s">
        <v>27005</v>
      </c>
      <c r="J2357" t="s">
        <v>37</v>
      </c>
      <c r="K2357">
        <v>10090</v>
      </c>
      <c r="L2357" s="3" t="str">
        <f>HYPERLINK("http://www.uniprot.org/uniprot/Q8C8U0", "Q8C8U0")</f>
        <v>Q8C8U0</v>
      </c>
      <c r="M2357" t="s">
        <v>27006</v>
      </c>
      <c r="N2357" t="str">
        <f>"Ppfibp1"</f>
        <v>Ppfibp1</v>
      </c>
      <c r="O2357" s="3" t="str">
        <f>HYPERLINK("http://www.informatics.jax.org/marker/MGI:1914783", "MGI:1914783")</f>
        <v>MGI:1914783</v>
      </c>
      <c r="P2357" t="s">
        <v>27007</v>
      </c>
      <c r="Q2357" t="s">
        <v>32</v>
      </c>
      <c r="R2357" t="s">
        <v>32</v>
      </c>
      <c r="S2357" t="s">
        <v>41</v>
      </c>
      <c r="T2357" t="s">
        <v>32</v>
      </c>
      <c r="U2357" t="s">
        <v>32</v>
      </c>
      <c r="V2357" t="s">
        <v>137</v>
      </c>
      <c r="W2357" t="s">
        <v>32</v>
      </c>
      <c r="X2357" t="s">
        <v>32</v>
      </c>
      <c r="Y2357" t="s">
        <v>516</v>
      </c>
      <c r="Z2357" t="s">
        <v>126</v>
      </c>
      <c r="AA2357" t="s">
        <v>27008</v>
      </c>
      <c r="AB2357" t="s">
        <v>27009</v>
      </c>
      <c r="AC2357" t="s">
        <v>32</v>
      </c>
      <c r="AD2357" t="s">
        <v>32</v>
      </c>
      <c r="AE2357" t="s">
        <v>27010</v>
      </c>
      <c r="AF2357" t="s">
        <v>46835</v>
      </c>
    </row>
    <row r="2358" spans="1:32" x14ac:dyDescent="0.2">
      <c r="A2358">
        <v>2353</v>
      </c>
      <c r="B2358" t="s">
        <v>27011</v>
      </c>
      <c r="C2358" t="s">
        <v>27012</v>
      </c>
      <c r="D2358" t="s">
        <v>27013</v>
      </c>
      <c r="E2358" t="s">
        <v>27014</v>
      </c>
      <c r="F2358" t="s">
        <v>27015</v>
      </c>
      <c r="G2358" t="s">
        <v>27016</v>
      </c>
      <c r="H2358" t="str">
        <f>"Osgep"</f>
        <v>Osgep</v>
      </c>
      <c r="I2358" t="s">
        <v>32</v>
      </c>
      <c r="J2358" t="s">
        <v>37</v>
      </c>
      <c r="K2358">
        <v>10090</v>
      </c>
      <c r="L2358" s="3" t="str">
        <f>HYPERLINK("http://www.uniprot.org/uniprot/Q8BWU5", "Q8BWU5")</f>
        <v>Q8BWU5</v>
      </c>
      <c r="M2358" t="s">
        <v>27017</v>
      </c>
      <c r="N2358" t="str">
        <f>"Osgep"</f>
        <v>Osgep</v>
      </c>
      <c r="O2358" s="3" t="str">
        <f>HYPERLINK("http://www.informatics.jax.org/marker/MGI:1913496", "MGI:1913496")</f>
        <v>MGI:1913496</v>
      </c>
      <c r="P2358" t="s">
        <v>27018</v>
      </c>
      <c r="Q2358" t="s">
        <v>4386</v>
      </c>
      <c r="R2358" t="s">
        <v>40</v>
      </c>
      <c r="S2358" t="s">
        <v>32</v>
      </c>
      <c r="T2358" t="s">
        <v>32</v>
      </c>
      <c r="U2358" t="s">
        <v>32</v>
      </c>
      <c r="V2358" t="s">
        <v>32</v>
      </c>
      <c r="W2358" t="s">
        <v>8683</v>
      </c>
      <c r="X2358" t="s">
        <v>7304</v>
      </c>
      <c r="Y2358" t="s">
        <v>32</v>
      </c>
      <c r="Z2358" t="s">
        <v>32</v>
      </c>
      <c r="AA2358" t="s">
        <v>27019</v>
      </c>
      <c r="AB2358" t="s">
        <v>27020</v>
      </c>
      <c r="AC2358" t="s">
        <v>27021</v>
      </c>
      <c r="AD2358" t="s">
        <v>32</v>
      </c>
      <c r="AE2358" t="s">
        <v>32</v>
      </c>
      <c r="AF2358" t="s">
        <v>46835</v>
      </c>
    </row>
    <row r="2359" spans="1:32" x14ac:dyDescent="0.2">
      <c r="A2359">
        <v>2354</v>
      </c>
      <c r="B2359" t="s">
        <v>27022</v>
      </c>
      <c r="C2359" t="s">
        <v>27023</v>
      </c>
      <c r="D2359" t="s">
        <v>27024</v>
      </c>
      <c r="E2359" t="s">
        <v>27025</v>
      </c>
      <c r="F2359" t="s">
        <v>27026</v>
      </c>
      <c r="G2359" t="s">
        <v>27027</v>
      </c>
      <c r="H2359" t="str">
        <f>"Dpf2"</f>
        <v>Dpf2</v>
      </c>
      <c r="I2359" t="s">
        <v>27028</v>
      </c>
      <c r="J2359" t="s">
        <v>37</v>
      </c>
      <c r="K2359">
        <v>10090</v>
      </c>
      <c r="L2359" s="3" t="str">
        <f>HYPERLINK("http://www.uniprot.org/uniprot/Q61103", "Q61103")</f>
        <v>Q61103</v>
      </c>
      <c r="M2359" t="s">
        <v>27029</v>
      </c>
      <c r="N2359" t="str">
        <f>"Dpf2"</f>
        <v>Dpf2</v>
      </c>
      <c r="O2359" s="3" t="str">
        <f>HYPERLINK("http://www.informatics.jax.org/marker/MGI:109529", "MGI:109529")</f>
        <v>MGI:109529</v>
      </c>
      <c r="P2359" t="s">
        <v>27030</v>
      </c>
      <c r="Q2359" t="s">
        <v>20510</v>
      </c>
      <c r="R2359" t="s">
        <v>40</v>
      </c>
      <c r="S2359" t="s">
        <v>32</v>
      </c>
      <c r="T2359" t="s">
        <v>32</v>
      </c>
      <c r="U2359" t="s">
        <v>32</v>
      </c>
      <c r="V2359" t="s">
        <v>3791</v>
      </c>
      <c r="W2359" t="s">
        <v>42</v>
      </c>
      <c r="X2359" t="s">
        <v>9988</v>
      </c>
      <c r="Y2359" t="s">
        <v>516</v>
      </c>
      <c r="Z2359" t="s">
        <v>32</v>
      </c>
      <c r="AA2359" t="s">
        <v>27031</v>
      </c>
      <c r="AB2359" t="s">
        <v>27032</v>
      </c>
      <c r="AC2359" t="s">
        <v>27033</v>
      </c>
      <c r="AD2359" t="s">
        <v>32</v>
      </c>
      <c r="AE2359" t="s">
        <v>32</v>
      </c>
      <c r="AF2359" t="s">
        <v>46835</v>
      </c>
    </row>
    <row r="2360" spans="1:32" x14ac:dyDescent="0.2">
      <c r="A2360">
        <v>2355</v>
      </c>
      <c r="B2360" t="s">
        <v>27034</v>
      </c>
      <c r="C2360" t="s">
        <v>27035</v>
      </c>
      <c r="D2360" t="s">
        <v>27036</v>
      </c>
      <c r="E2360" t="s">
        <v>27037</v>
      </c>
      <c r="F2360" t="s">
        <v>27038</v>
      </c>
      <c r="G2360" t="s">
        <v>27039</v>
      </c>
      <c r="H2360" t="str">
        <f>"Ddx41"</f>
        <v>Ddx41</v>
      </c>
      <c r="I2360" t="s">
        <v>32</v>
      </c>
      <c r="J2360" t="s">
        <v>37</v>
      </c>
      <c r="K2360">
        <v>10090</v>
      </c>
      <c r="L2360" s="3" t="str">
        <f>HYPERLINK("http://www.uniprot.org/uniprot/Q91VN6", "Q91VN6")</f>
        <v>Q91VN6</v>
      </c>
      <c r="M2360" t="s">
        <v>27040</v>
      </c>
      <c r="N2360" t="str">
        <f>"Ddx41"</f>
        <v>Ddx41</v>
      </c>
      <c r="O2360" s="3" t="str">
        <f>HYPERLINK("http://www.informatics.jax.org/marker/MGI:1920185", "MGI:1920185")</f>
        <v>MGI:1920185</v>
      </c>
      <c r="P2360" t="s">
        <v>27041</v>
      </c>
      <c r="Q2360" t="s">
        <v>2139</v>
      </c>
      <c r="R2360" t="s">
        <v>2140</v>
      </c>
      <c r="S2360" t="s">
        <v>32</v>
      </c>
      <c r="T2360" t="s">
        <v>32</v>
      </c>
      <c r="U2360" t="s">
        <v>32</v>
      </c>
      <c r="V2360" t="s">
        <v>446</v>
      </c>
      <c r="W2360" t="s">
        <v>2325</v>
      </c>
      <c r="X2360" t="s">
        <v>5050</v>
      </c>
      <c r="Y2360" t="s">
        <v>1007</v>
      </c>
      <c r="Z2360" t="s">
        <v>32</v>
      </c>
      <c r="AA2360" t="s">
        <v>27042</v>
      </c>
      <c r="AB2360" t="s">
        <v>27043</v>
      </c>
      <c r="AC2360" t="s">
        <v>27044</v>
      </c>
      <c r="AD2360" t="s">
        <v>32</v>
      </c>
      <c r="AE2360" t="s">
        <v>27045</v>
      </c>
      <c r="AF2360" t="s">
        <v>46835</v>
      </c>
    </row>
    <row r="2361" spans="1:32" x14ac:dyDescent="0.2">
      <c r="A2361">
        <v>2356</v>
      </c>
      <c r="B2361" t="s">
        <v>27046</v>
      </c>
      <c r="C2361" t="s">
        <v>27047</v>
      </c>
      <c r="D2361" t="s">
        <v>27048</v>
      </c>
      <c r="E2361" t="s">
        <v>27049</v>
      </c>
      <c r="F2361" t="s">
        <v>27050</v>
      </c>
      <c r="G2361" t="s">
        <v>27051</v>
      </c>
      <c r="H2361" t="str">
        <f>"Rab21"</f>
        <v>Rab21</v>
      </c>
      <c r="I2361" t="s">
        <v>32</v>
      </c>
      <c r="J2361" t="s">
        <v>37</v>
      </c>
      <c r="K2361">
        <v>10090</v>
      </c>
      <c r="L2361" s="3" t="str">
        <f>HYPERLINK("http://www.uniprot.org/uniprot/P35282", "P35282")</f>
        <v>P35282</v>
      </c>
      <c r="M2361" t="s">
        <v>27052</v>
      </c>
      <c r="N2361" t="str">
        <f>"Rab21"</f>
        <v>Rab21</v>
      </c>
      <c r="O2361" s="3" t="str">
        <f>HYPERLINK("http://www.informatics.jax.org/marker/MGI:894308", "MGI:894308")</f>
        <v>MGI:894308</v>
      </c>
      <c r="P2361" t="s">
        <v>27053</v>
      </c>
      <c r="Q2361" t="s">
        <v>434</v>
      </c>
      <c r="R2361" t="s">
        <v>27054</v>
      </c>
      <c r="S2361" t="s">
        <v>32</v>
      </c>
      <c r="T2361" t="s">
        <v>32</v>
      </c>
      <c r="U2361" t="s">
        <v>32</v>
      </c>
      <c r="V2361" t="s">
        <v>32</v>
      </c>
      <c r="W2361" t="s">
        <v>261</v>
      </c>
      <c r="X2361" t="s">
        <v>32</v>
      </c>
      <c r="Y2361" t="s">
        <v>14127</v>
      </c>
      <c r="Z2361" t="s">
        <v>32</v>
      </c>
      <c r="AA2361" t="s">
        <v>27055</v>
      </c>
      <c r="AB2361" t="s">
        <v>27056</v>
      </c>
      <c r="AC2361" t="s">
        <v>15334</v>
      </c>
      <c r="AD2361" t="s">
        <v>32</v>
      </c>
      <c r="AE2361" t="s">
        <v>27057</v>
      </c>
      <c r="AF2361" t="s">
        <v>46835</v>
      </c>
    </row>
    <row r="2362" spans="1:32" x14ac:dyDescent="0.2">
      <c r="A2362">
        <v>2357</v>
      </c>
      <c r="B2362" t="s">
        <v>27058</v>
      </c>
      <c r="C2362" t="s">
        <v>27059</v>
      </c>
      <c r="D2362" t="s">
        <v>32</v>
      </c>
      <c r="E2362" t="s">
        <v>27060</v>
      </c>
      <c r="F2362" t="s">
        <v>27061</v>
      </c>
      <c r="G2362" t="s">
        <v>27062</v>
      </c>
      <c r="H2362" t="str">
        <f>"Lsm8"</f>
        <v>Lsm8</v>
      </c>
      <c r="I2362" t="s">
        <v>32</v>
      </c>
      <c r="J2362" t="s">
        <v>37</v>
      </c>
      <c r="K2362">
        <v>10090</v>
      </c>
      <c r="L2362" s="3" t="str">
        <f>HYPERLINK("http://www.uniprot.org/uniprot/Q6ZWM4", "Q6ZWM4")</f>
        <v>Q6ZWM4</v>
      </c>
      <c r="M2362" t="s">
        <v>27063</v>
      </c>
      <c r="N2362" t="str">
        <f>"Lsm8"</f>
        <v>Lsm8</v>
      </c>
      <c r="O2362" s="3" t="str">
        <f>HYPERLINK("http://www.informatics.jax.org/marker/MGI:1923772", "MGI:1923772")</f>
        <v>MGI:1923772</v>
      </c>
      <c r="P2362" t="s">
        <v>19254</v>
      </c>
      <c r="Q2362" t="s">
        <v>2139</v>
      </c>
      <c r="R2362" t="s">
        <v>2140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1129</v>
      </c>
      <c r="Y2362" t="s">
        <v>78</v>
      </c>
      <c r="Z2362" t="s">
        <v>32</v>
      </c>
      <c r="AA2362" t="s">
        <v>27064</v>
      </c>
      <c r="AB2362" t="s">
        <v>27065</v>
      </c>
      <c r="AC2362" t="s">
        <v>4711</v>
      </c>
      <c r="AD2362" t="s">
        <v>32</v>
      </c>
      <c r="AE2362" t="s">
        <v>946</v>
      </c>
      <c r="AF2362" t="s">
        <v>46835</v>
      </c>
    </row>
    <row r="2363" spans="1:32" x14ac:dyDescent="0.2">
      <c r="A2363">
        <v>2358</v>
      </c>
      <c r="B2363" t="s">
        <v>27066</v>
      </c>
      <c r="C2363" t="s">
        <v>27067</v>
      </c>
      <c r="D2363" t="s">
        <v>32</v>
      </c>
      <c r="E2363" t="s">
        <v>27068</v>
      </c>
      <c r="F2363" t="s">
        <v>27069</v>
      </c>
      <c r="G2363" t="s">
        <v>27070</v>
      </c>
      <c r="H2363" t="str">
        <f>"Itgb5"</f>
        <v>Itgb5</v>
      </c>
      <c r="I2363" t="s">
        <v>32</v>
      </c>
      <c r="J2363" t="s">
        <v>37</v>
      </c>
      <c r="K2363">
        <v>10090</v>
      </c>
      <c r="L2363" s="3" t="str">
        <f>HYPERLINK("http://www.uniprot.org/uniprot/O70309", "O70309")</f>
        <v>O70309</v>
      </c>
      <c r="M2363" t="s">
        <v>27071</v>
      </c>
      <c r="N2363" t="str">
        <f>"Itgb5"</f>
        <v>Itgb5</v>
      </c>
      <c r="O2363" s="3" t="str">
        <f>HYPERLINK("http://www.informatics.jax.org/marker/MGI:96614", "MGI:96614")</f>
        <v>MGI:96614</v>
      </c>
      <c r="P2363" t="s">
        <v>27072</v>
      </c>
      <c r="Q2363" t="s">
        <v>2784</v>
      </c>
      <c r="R2363" t="s">
        <v>5989</v>
      </c>
      <c r="S2363" t="s">
        <v>41</v>
      </c>
      <c r="T2363" t="s">
        <v>32</v>
      </c>
      <c r="U2363" t="s">
        <v>32</v>
      </c>
      <c r="V2363" t="s">
        <v>1665</v>
      </c>
      <c r="W2363" t="s">
        <v>32</v>
      </c>
      <c r="X2363" t="s">
        <v>8879</v>
      </c>
      <c r="Y2363" t="s">
        <v>2865</v>
      </c>
      <c r="Z2363" t="s">
        <v>32</v>
      </c>
      <c r="AA2363" t="s">
        <v>27073</v>
      </c>
      <c r="AB2363" t="s">
        <v>27074</v>
      </c>
      <c r="AC2363" t="s">
        <v>27075</v>
      </c>
      <c r="AD2363" t="s">
        <v>32</v>
      </c>
      <c r="AE2363" t="s">
        <v>27076</v>
      </c>
      <c r="AF2363" t="s">
        <v>46835</v>
      </c>
    </row>
    <row r="2364" spans="1:32" x14ac:dyDescent="0.2">
      <c r="A2364">
        <v>2359</v>
      </c>
      <c r="B2364" t="s">
        <v>27077</v>
      </c>
      <c r="C2364" t="s">
        <v>27078</v>
      </c>
      <c r="D2364" t="s">
        <v>32</v>
      </c>
      <c r="E2364" t="s">
        <v>27079</v>
      </c>
      <c r="F2364" t="s">
        <v>27080</v>
      </c>
      <c r="G2364" t="s">
        <v>27081</v>
      </c>
      <c r="H2364" t="str">
        <f>"Bsdc1"</f>
        <v>Bsdc1</v>
      </c>
      <c r="I2364" t="s">
        <v>32</v>
      </c>
      <c r="J2364" t="s">
        <v>37</v>
      </c>
      <c r="K2364">
        <v>10090</v>
      </c>
      <c r="L2364" s="3" t="str">
        <f>HYPERLINK("http://www.uniprot.org/uniprot/Q80Y55", "Q80Y55")</f>
        <v>Q80Y55</v>
      </c>
      <c r="M2364" t="s">
        <v>27082</v>
      </c>
      <c r="N2364" t="str">
        <f>"Bsdc1"</f>
        <v>Bsdc1</v>
      </c>
      <c r="O2364" s="3" t="str">
        <f>HYPERLINK("http://www.informatics.jax.org/marker/MGI:1913466", "MGI:1913466")</f>
        <v>MGI:1913466</v>
      </c>
      <c r="P2364" t="s">
        <v>618</v>
      </c>
      <c r="Q2364" t="s">
        <v>32</v>
      </c>
      <c r="R2364" t="s">
        <v>32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32</v>
      </c>
      <c r="Y2364" t="s">
        <v>618</v>
      </c>
      <c r="Z2364" t="s">
        <v>32</v>
      </c>
      <c r="AA2364" t="s">
        <v>32</v>
      </c>
      <c r="AB2364" t="s">
        <v>2172</v>
      </c>
      <c r="AC2364" t="s">
        <v>32</v>
      </c>
      <c r="AD2364" t="s">
        <v>32</v>
      </c>
      <c r="AE2364" t="s">
        <v>32</v>
      </c>
      <c r="AF2364" t="s">
        <v>46835</v>
      </c>
    </row>
    <row r="2365" spans="1:32" x14ac:dyDescent="0.2">
      <c r="A2365">
        <v>2360</v>
      </c>
      <c r="B2365" t="s">
        <v>27083</v>
      </c>
      <c r="C2365" t="s">
        <v>27084</v>
      </c>
      <c r="D2365" t="s">
        <v>27085</v>
      </c>
      <c r="E2365" t="s">
        <v>27086</v>
      </c>
      <c r="F2365" t="s">
        <v>27087</v>
      </c>
      <c r="G2365" t="s">
        <v>27088</v>
      </c>
      <c r="H2365" t="str">
        <f>"Naga"</f>
        <v>Naga</v>
      </c>
      <c r="I2365" t="s">
        <v>32</v>
      </c>
      <c r="J2365" t="s">
        <v>37</v>
      </c>
      <c r="K2365">
        <v>10090</v>
      </c>
      <c r="L2365" s="3" t="str">
        <f>HYPERLINK("http://www.uniprot.org/uniprot/Q9QWR8", "Q9QWR8")</f>
        <v>Q9QWR8</v>
      </c>
      <c r="M2365" t="s">
        <v>27089</v>
      </c>
      <c r="N2365" t="str">
        <f>"Naga"</f>
        <v>Naga</v>
      </c>
      <c r="O2365" s="3" t="str">
        <f>HYPERLINK("http://www.informatics.jax.org/marker/MGI:1261422", "MGI:1261422")</f>
        <v>MGI:1261422</v>
      </c>
      <c r="P2365" t="s">
        <v>27090</v>
      </c>
      <c r="Q2365" t="s">
        <v>598</v>
      </c>
      <c r="R2365" t="s">
        <v>13962</v>
      </c>
      <c r="S2365" t="s">
        <v>32</v>
      </c>
      <c r="T2365" t="s">
        <v>32</v>
      </c>
      <c r="U2365" t="s">
        <v>32</v>
      </c>
      <c r="V2365" t="s">
        <v>811</v>
      </c>
      <c r="W2365" t="s">
        <v>32</v>
      </c>
      <c r="X2365" t="s">
        <v>4316</v>
      </c>
      <c r="Y2365" t="s">
        <v>2865</v>
      </c>
      <c r="Z2365" t="s">
        <v>32</v>
      </c>
      <c r="AA2365" t="s">
        <v>27091</v>
      </c>
      <c r="AB2365" t="s">
        <v>27092</v>
      </c>
      <c r="AC2365" t="s">
        <v>27093</v>
      </c>
      <c r="AD2365" t="s">
        <v>32</v>
      </c>
      <c r="AE2365" t="s">
        <v>32</v>
      </c>
      <c r="AF2365" t="s">
        <v>46835</v>
      </c>
    </row>
    <row r="2366" spans="1:32" x14ac:dyDescent="0.2">
      <c r="A2366">
        <v>2361</v>
      </c>
      <c r="B2366" t="s">
        <v>27094</v>
      </c>
      <c r="C2366" t="s">
        <v>27095</v>
      </c>
      <c r="D2366" t="s">
        <v>27096</v>
      </c>
      <c r="E2366" t="s">
        <v>27097</v>
      </c>
      <c r="F2366" t="s">
        <v>27098</v>
      </c>
      <c r="G2366" t="s">
        <v>27099</v>
      </c>
      <c r="H2366" t="str">
        <f>"Map4k5"</f>
        <v>Map4k5</v>
      </c>
      <c r="I2366" t="s">
        <v>32</v>
      </c>
      <c r="J2366" t="s">
        <v>37</v>
      </c>
      <c r="K2366">
        <v>10090</v>
      </c>
      <c r="L2366" s="3" t="str">
        <f>HYPERLINK("http://www.uniprot.org/uniprot/Q8BPM2", "Q8BPM2")</f>
        <v>Q8BPM2</v>
      </c>
      <c r="M2366" t="s">
        <v>27100</v>
      </c>
      <c r="N2366" t="str">
        <f>"Map4k5"</f>
        <v>Map4k5</v>
      </c>
      <c r="O2366" s="3" t="str">
        <f>HYPERLINK("http://www.informatics.jax.org/marker/MGI:1925503", "MGI:1925503")</f>
        <v>MGI:1925503</v>
      </c>
      <c r="P2366" t="s">
        <v>27101</v>
      </c>
      <c r="Q2366" t="s">
        <v>32</v>
      </c>
      <c r="R2366" t="s">
        <v>418</v>
      </c>
      <c r="S2366" t="s">
        <v>41</v>
      </c>
      <c r="T2366" t="s">
        <v>32</v>
      </c>
      <c r="U2366" t="s">
        <v>32</v>
      </c>
      <c r="V2366" t="s">
        <v>32</v>
      </c>
      <c r="W2366" t="s">
        <v>205</v>
      </c>
      <c r="X2366" t="s">
        <v>5419</v>
      </c>
      <c r="Y2366" t="s">
        <v>618</v>
      </c>
      <c r="Z2366" t="s">
        <v>32</v>
      </c>
      <c r="AA2366" t="s">
        <v>27102</v>
      </c>
      <c r="AB2366" t="s">
        <v>2172</v>
      </c>
      <c r="AC2366" t="s">
        <v>27103</v>
      </c>
      <c r="AD2366" t="s">
        <v>32</v>
      </c>
      <c r="AE2366" t="s">
        <v>32</v>
      </c>
      <c r="AF2366" t="s">
        <v>46835</v>
      </c>
    </row>
    <row r="2367" spans="1:32" x14ac:dyDescent="0.2">
      <c r="A2367">
        <v>2362</v>
      </c>
      <c r="B2367" t="s">
        <v>27104</v>
      </c>
      <c r="C2367" t="s">
        <v>27105</v>
      </c>
      <c r="D2367" t="s">
        <v>27106</v>
      </c>
      <c r="E2367" t="s">
        <v>27107</v>
      </c>
      <c r="F2367" t="s">
        <v>27108</v>
      </c>
      <c r="G2367" t="s">
        <v>27109</v>
      </c>
      <c r="H2367" t="str">
        <f>"Kctd12"</f>
        <v>Kctd12</v>
      </c>
      <c r="I2367" t="s">
        <v>27110</v>
      </c>
      <c r="J2367" t="s">
        <v>37</v>
      </c>
      <c r="K2367">
        <v>10090</v>
      </c>
      <c r="L2367" s="3" t="str">
        <f>HYPERLINK("http://www.uniprot.org/uniprot/Q6WVG3", "Q6WVG3")</f>
        <v>Q6WVG3</v>
      </c>
      <c r="M2367" t="s">
        <v>27111</v>
      </c>
      <c r="N2367" t="str">
        <f>"Kctd12"</f>
        <v>Kctd12</v>
      </c>
      <c r="O2367" s="3" t="str">
        <f>HYPERLINK("http://www.informatics.jax.org/marker/MGI:2145823", "MGI:2145823")</f>
        <v>MGI:2145823</v>
      </c>
      <c r="P2367" t="s">
        <v>27112</v>
      </c>
      <c r="Q2367" t="s">
        <v>32</v>
      </c>
      <c r="R2367" t="s">
        <v>27113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32</v>
      </c>
      <c r="Y2367" t="s">
        <v>157</v>
      </c>
      <c r="Z2367" t="s">
        <v>32</v>
      </c>
      <c r="AA2367" t="s">
        <v>27114</v>
      </c>
      <c r="AB2367" t="s">
        <v>27115</v>
      </c>
      <c r="AC2367" t="s">
        <v>4516</v>
      </c>
      <c r="AD2367" t="s">
        <v>32</v>
      </c>
      <c r="AE2367" t="s">
        <v>32</v>
      </c>
      <c r="AF2367" t="s">
        <v>46835</v>
      </c>
    </row>
    <row r="2368" spans="1:32" x14ac:dyDescent="0.2">
      <c r="A2368">
        <v>2363</v>
      </c>
      <c r="B2368" t="s">
        <v>27116</v>
      </c>
      <c r="C2368" t="s">
        <v>27117</v>
      </c>
      <c r="D2368" t="s">
        <v>27118</v>
      </c>
      <c r="E2368" t="s">
        <v>27119</v>
      </c>
      <c r="F2368" t="s">
        <v>27120</v>
      </c>
      <c r="G2368" t="s">
        <v>32</v>
      </c>
      <c r="H2368" t="str">
        <f>"Rpa2"</f>
        <v>Rpa2</v>
      </c>
      <c r="I2368" t="s">
        <v>27121</v>
      </c>
      <c r="J2368" t="s">
        <v>37</v>
      </c>
      <c r="K2368">
        <v>10090</v>
      </c>
      <c r="L2368" s="3" t="str">
        <f>HYPERLINK("http://www.uniprot.org/uniprot/Q62193", "Q62193")</f>
        <v>Q62193</v>
      </c>
      <c r="M2368" t="s">
        <v>27122</v>
      </c>
      <c r="N2368" t="str">
        <f>"Rpa2"</f>
        <v>Rpa2</v>
      </c>
      <c r="O2368" s="3" t="str">
        <f>HYPERLINK("http://www.informatics.jax.org/marker/MGI:1339939", "MGI:1339939")</f>
        <v>MGI:1339939</v>
      </c>
      <c r="P2368" t="s">
        <v>27123</v>
      </c>
      <c r="Q2368" t="s">
        <v>18566</v>
      </c>
      <c r="R2368" t="s">
        <v>2279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247</v>
      </c>
      <c r="Y2368" t="s">
        <v>516</v>
      </c>
      <c r="Z2368" t="s">
        <v>32</v>
      </c>
      <c r="AA2368" t="s">
        <v>27124</v>
      </c>
      <c r="AB2368" t="s">
        <v>27125</v>
      </c>
      <c r="AC2368" t="s">
        <v>27126</v>
      </c>
      <c r="AD2368" t="s">
        <v>32</v>
      </c>
      <c r="AE2368" t="s">
        <v>27127</v>
      </c>
      <c r="AF2368" t="s">
        <v>46835</v>
      </c>
    </row>
    <row r="2369" spans="1:33" x14ac:dyDescent="0.2">
      <c r="A2369">
        <v>2364</v>
      </c>
      <c r="B2369" t="s">
        <v>27128</v>
      </c>
      <c r="C2369" t="s">
        <v>27129</v>
      </c>
      <c r="D2369" t="s">
        <v>32</v>
      </c>
      <c r="E2369" t="s">
        <v>27130</v>
      </c>
      <c r="F2369" t="s">
        <v>27131</v>
      </c>
      <c r="G2369" t="s">
        <v>27132</v>
      </c>
      <c r="H2369" t="str">
        <f>"Osbpl9"</f>
        <v>Osbpl9</v>
      </c>
      <c r="I2369" t="s">
        <v>27133</v>
      </c>
      <c r="J2369" t="s">
        <v>37</v>
      </c>
      <c r="K2369">
        <v>10090</v>
      </c>
      <c r="L2369" s="3" t="str">
        <f>HYPERLINK("http://www.uniprot.org/uniprot/A2A8Z1", "A2A8Z1")</f>
        <v>A2A8Z1</v>
      </c>
      <c r="M2369" t="s">
        <v>27134</v>
      </c>
      <c r="N2369" t="str">
        <f>"Osbpl9"</f>
        <v>Osbpl9</v>
      </c>
      <c r="O2369" s="3" t="str">
        <f>HYPERLINK("http://www.informatics.jax.org/marker/MGI:1923784", "MGI:1923784")</f>
        <v>MGI:1923784</v>
      </c>
      <c r="P2369" t="s">
        <v>27135</v>
      </c>
      <c r="Q2369" t="s">
        <v>582</v>
      </c>
      <c r="R2369" t="s">
        <v>6982</v>
      </c>
      <c r="S2369" t="s">
        <v>41</v>
      </c>
      <c r="T2369" t="s">
        <v>32</v>
      </c>
      <c r="U2369" t="s">
        <v>32</v>
      </c>
      <c r="V2369" t="s">
        <v>32</v>
      </c>
      <c r="W2369" t="s">
        <v>584</v>
      </c>
      <c r="X2369" t="s">
        <v>32</v>
      </c>
      <c r="Y2369" t="s">
        <v>157</v>
      </c>
      <c r="Z2369" t="s">
        <v>32</v>
      </c>
      <c r="AA2369" t="s">
        <v>32</v>
      </c>
      <c r="AB2369" t="s">
        <v>27136</v>
      </c>
      <c r="AC2369" t="s">
        <v>14942</v>
      </c>
      <c r="AD2369" t="s">
        <v>32</v>
      </c>
      <c r="AE2369" t="s">
        <v>10057</v>
      </c>
      <c r="AF2369" t="s">
        <v>46835</v>
      </c>
    </row>
    <row r="2370" spans="1:33" x14ac:dyDescent="0.2">
      <c r="A2370">
        <v>2365</v>
      </c>
      <c r="B2370" t="s">
        <v>27137</v>
      </c>
      <c r="C2370" t="s">
        <v>27138</v>
      </c>
      <c r="D2370" t="s">
        <v>32</v>
      </c>
      <c r="E2370" t="s">
        <v>27139</v>
      </c>
      <c r="F2370" t="s">
        <v>27140</v>
      </c>
      <c r="G2370" t="s">
        <v>27141</v>
      </c>
      <c r="H2370" t="str">
        <f>"Carnmt1"</f>
        <v>Carnmt1</v>
      </c>
      <c r="I2370" t="s">
        <v>32</v>
      </c>
      <c r="J2370" t="s">
        <v>37</v>
      </c>
      <c r="K2370">
        <v>10090</v>
      </c>
      <c r="L2370" s="3" t="str">
        <f>HYPERLINK("http://www.uniprot.org/uniprot/Q80UY1", "Q80UY1")</f>
        <v>Q80UY1</v>
      </c>
      <c r="M2370" t="s">
        <v>27142</v>
      </c>
      <c r="N2370" t="str">
        <f>"Carnmt1"</f>
        <v>Carnmt1</v>
      </c>
      <c r="O2370" s="3" t="str">
        <f>HYPERLINK("http://www.informatics.jax.org/marker/MGI:1914633", "MGI:1914633")</f>
        <v>MGI:1914633</v>
      </c>
      <c r="P2370" t="s">
        <v>27143</v>
      </c>
      <c r="Q2370" t="s">
        <v>32</v>
      </c>
      <c r="R2370" t="s">
        <v>40</v>
      </c>
      <c r="S2370" t="s">
        <v>32</v>
      </c>
      <c r="T2370" t="s">
        <v>32</v>
      </c>
      <c r="U2370" t="s">
        <v>32</v>
      </c>
      <c r="V2370" t="s">
        <v>32</v>
      </c>
      <c r="W2370" t="s">
        <v>1705</v>
      </c>
      <c r="X2370" t="s">
        <v>1706</v>
      </c>
      <c r="Y2370" t="s">
        <v>32</v>
      </c>
      <c r="Z2370" t="s">
        <v>32</v>
      </c>
      <c r="AA2370" t="s">
        <v>27144</v>
      </c>
      <c r="AB2370" t="s">
        <v>928</v>
      </c>
      <c r="AC2370" t="s">
        <v>27145</v>
      </c>
      <c r="AD2370" t="s">
        <v>32</v>
      </c>
      <c r="AE2370" t="s">
        <v>27146</v>
      </c>
      <c r="AF2370" t="s">
        <v>46835</v>
      </c>
    </row>
    <row r="2371" spans="1:33" x14ac:dyDescent="0.2">
      <c r="A2371">
        <v>2366</v>
      </c>
      <c r="B2371" t="s">
        <v>27147</v>
      </c>
      <c r="C2371" t="s">
        <v>27148</v>
      </c>
      <c r="D2371" t="s">
        <v>32</v>
      </c>
      <c r="E2371" t="s">
        <v>27149</v>
      </c>
      <c r="F2371" t="s">
        <v>27150</v>
      </c>
      <c r="G2371" t="s">
        <v>27151</v>
      </c>
      <c r="H2371" t="str">
        <f>"Mrpl19"</f>
        <v>Mrpl19</v>
      </c>
      <c r="I2371" t="s">
        <v>32</v>
      </c>
      <c r="J2371" t="s">
        <v>37</v>
      </c>
      <c r="K2371">
        <v>10090</v>
      </c>
      <c r="L2371" s="3" t="str">
        <f>HYPERLINK("http://www.uniprot.org/uniprot/Q9D338", "Q9D338")</f>
        <v>Q9D338</v>
      </c>
      <c r="M2371" t="s">
        <v>27152</v>
      </c>
      <c r="N2371" t="str">
        <f>"Mrpl19"</f>
        <v>Mrpl19</v>
      </c>
      <c r="O2371" s="3" t="str">
        <f>HYPERLINK("http://www.informatics.jax.org/marker/MGI:1926274", "MGI:1926274")</f>
        <v>MGI:1926274</v>
      </c>
      <c r="P2371" t="s">
        <v>27153</v>
      </c>
      <c r="Q2371" t="s">
        <v>32</v>
      </c>
      <c r="R2371" t="s">
        <v>1038</v>
      </c>
      <c r="S2371" t="s">
        <v>32</v>
      </c>
      <c r="T2371" t="s">
        <v>32</v>
      </c>
      <c r="U2371" t="s">
        <v>32</v>
      </c>
      <c r="V2371" t="s">
        <v>1039</v>
      </c>
      <c r="W2371" t="s">
        <v>32</v>
      </c>
      <c r="X2371" t="s">
        <v>447</v>
      </c>
      <c r="Y2371" t="s">
        <v>618</v>
      </c>
      <c r="Z2371" t="s">
        <v>32</v>
      </c>
      <c r="AA2371" t="s">
        <v>23519</v>
      </c>
      <c r="AB2371" t="s">
        <v>27154</v>
      </c>
      <c r="AC2371" t="s">
        <v>1010</v>
      </c>
      <c r="AD2371" t="s">
        <v>32</v>
      </c>
      <c r="AE2371" t="s">
        <v>17271</v>
      </c>
      <c r="AF2371" t="s">
        <v>46835</v>
      </c>
    </row>
    <row r="2372" spans="1:33" x14ac:dyDescent="0.2">
      <c r="A2372">
        <v>2367</v>
      </c>
      <c r="B2372" t="s">
        <v>27155</v>
      </c>
      <c r="C2372" t="s">
        <v>47202</v>
      </c>
      <c r="D2372" t="s">
        <v>32</v>
      </c>
      <c r="E2372" t="s">
        <v>46962</v>
      </c>
      <c r="F2372" t="s">
        <v>46961</v>
      </c>
      <c r="G2372" t="s">
        <v>32</v>
      </c>
      <c r="H2372" t="s">
        <v>47334</v>
      </c>
      <c r="I2372" t="s">
        <v>32</v>
      </c>
      <c r="J2372" t="s">
        <v>37</v>
      </c>
      <c r="K2372">
        <v>10090</v>
      </c>
      <c r="L2372" s="3" t="str">
        <f>HYPERLINK(CONCATENATE("https://www.uniprot.org/uniprotkb/", AG2372, "/entry"), AG2372)</f>
        <v>E9PWW9</v>
      </c>
      <c r="M2372" t="s">
        <v>32</v>
      </c>
      <c r="N2372" t="s">
        <v>32</v>
      </c>
      <c r="O2372" s="3" t="s">
        <v>32</v>
      </c>
      <c r="P2372" t="s">
        <v>32</v>
      </c>
      <c r="Q2372" t="s">
        <v>32</v>
      </c>
      <c r="R2372" t="s">
        <v>32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32</v>
      </c>
      <c r="Y2372" t="s">
        <v>32</v>
      </c>
      <c r="Z2372" t="s">
        <v>32</v>
      </c>
      <c r="AA2372" t="s">
        <v>32</v>
      </c>
      <c r="AB2372" t="s">
        <v>32</v>
      </c>
      <c r="AC2372" t="s">
        <v>32</v>
      </c>
      <c r="AD2372" t="s">
        <v>32</v>
      </c>
      <c r="AE2372" t="s">
        <v>32</v>
      </c>
      <c r="AF2372" t="s">
        <v>46835</v>
      </c>
      <c r="AG2372" t="s">
        <v>46961</v>
      </c>
    </row>
    <row r="2373" spans="1:33" x14ac:dyDescent="0.2">
      <c r="A2373">
        <v>2368</v>
      </c>
      <c r="B2373" t="s">
        <v>27156</v>
      </c>
      <c r="C2373" t="s">
        <v>27157</v>
      </c>
      <c r="D2373" t="s">
        <v>27158</v>
      </c>
      <c r="E2373" t="s">
        <v>27159</v>
      </c>
      <c r="F2373" t="s">
        <v>27160</v>
      </c>
      <c r="G2373" t="s">
        <v>27161</v>
      </c>
      <c r="H2373" t="str">
        <f>"Fkbp15"</f>
        <v>Fkbp15</v>
      </c>
      <c r="I2373" t="s">
        <v>27162</v>
      </c>
      <c r="J2373" t="s">
        <v>37</v>
      </c>
      <c r="K2373">
        <v>10090</v>
      </c>
      <c r="L2373" s="3" t="str">
        <f>HYPERLINK("http://www.uniprot.org/uniprot/Q6P9Q6", "Q6P9Q6")</f>
        <v>Q6P9Q6</v>
      </c>
      <c r="M2373" t="s">
        <v>27163</v>
      </c>
      <c r="N2373" t="str">
        <f>"Fkbp15"</f>
        <v>Fkbp15</v>
      </c>
      <c r="O2373" s="3" t="str">
        <f>HYPERLINK("http://www.informatics.jax.org/marker/MGI:2444782", "MGI:2444782")</f>
        <v>MGI:2444782</v>
      </c>
      <c r="P2373" t="s">
        <v>27164</v>
      </c>
      <c r="Q2373" t="s">
        <v>27165</v>
      </c>
      <c r="R2373" t="s">
        <v>27166</v>
      </c>
      <c r="S2373" t="s">
        <v>41</v>
      </c>
      <c r="T2373" t="s">
        <v>32</v>
      </c>
      <c r="U2373" t="s">
        <v>32</v>
      </c>
      <c r="V2373" t="s">
        <v>290</v>
      </c>
      <c r="W2373" t="s">
        <v>32</v>
      </c>
      <c r="X2373" t="s">
        <v>405</v>
      </c>
      <c r="Y2373" t="s">
        <v>157</v>
      </c>
      <c r="Z2373" t="s">
        <v>32</v>
      </c>
      <c r="AA2373" t="s">
        <v>27167</v>
      </c>
      <c r="AB2373" t="s">
        <v>27168</v>
      </c>
      <c r="AC2373" t="s">
        <v>7225</v>
      </c>
      <c r="AD2373" t="s">
        <v>32</v>
      </c>
      <c r="AE2373" t="s">
        <v>32</v>
      </c>
      <c r="AF2373" t="s">
        <v>46835</v>
      </c>
    </row>
    <row r="2374" spans="1:33" x14ac:dyDescent="0.2">
      <c r="A2374">
        <v>2369</v>
      </c>
      <c r="B2374" t="s">
        <v>27169</v>
      </c>
      <c r="C2374" t="s">
        <v>27170</v>
      </c>
      <c r="D2374" t="s">
        <v>32</v>
      </c>
      <c r="E2374" t="s">
        <v>27171</v>
      </c>
      <c r="F2374" t="s">
        <v>27172</v>
      </c>
      <c r="G2374" t="s">
        <v>27173</v>
      </c>
      <c r="H2374" t="str">
        <f>"Gas7"</f>
        <v>Gas7</v>
      </c>
      <c r="I2374" t="s">
        <v>32</v>
      </c>
      <c r="J2374" t="s">
        <v>37</v>
      </c>
      <c r="K2374">
        <v>10090</v>
      </c>
      <c r="L2374" s="3" t="str">
        <f>HYPERLINK("http://www.uniprot.org/uniprot/Q60780", "Q60780")</f>
        <v>Q60780</v>
      </c>
      <c r="M2374" t="s">
        <v>27174</v>
      </c>
      <c r="N2374" t="str">
        <f>"Gas7"</f>
        <v>Gas7</v>
      </c>
      <c r="O2374" s="3" t="str">
        <f>HYPERLINK("http://www.informatics.jax.org/marker/MGI:1202388", "MGI:1202388")</f>
        <v>MGI:1202388</v>
      </c>
      <c r="P2374" t="s">
        <v>27175</v>
      </c>
      <c r="Q2374" t="s">
        <v>2027</v>
      </c>
      <c r="R2374" t="s">
        <v>418</v>
      </c>
      <c r="S2374" t="s">
        <v>41</v>
      </c>
      <c r="T2374" t="s">
        <v>32</v>
      </c>
      <c r="U2374" t="s">
        <v>32</v>
      </c>
      <c r="V2374" t="s">
        <v>290</v>
      </c>
      <c r="W2374" t="s">
        <v>32</v>
      </c>
      <c r="X2374" t="s">
        <v>2029</v>
      </c>
      <c r="Y2374" t="s">
        <v>618</v>
      </c>
      <c r="Z2374" t="s">
        <v>126</v>
      </c>
      <c r="AA2374" t="s">
        <v>27176</v>
      </c>
      <c r="AB2374" t="s">
        <v>27177</v>
      </c>
      <c r="AC2374" t="s">
        <v>2298</v>
      </c>
      <c r="AD2374" t="s">
        <v>32</v>
      </c>
      <c r="AE2374" t="s">
        <v>32</v>
      </c>
      <c r="AF2374" t="s">
        <v>46835</v>
      </c>
    </row>
    <row r="2375" spans="1:33" x14ac:dyDescent="0.2">
      <c r="A2375">
        <v>2370</v>
      </c>
      <c r="B2375" t="s">
        <v>27178</v>
      </c>
      <c r="C2375" t="s">
        <v>27179</v>
      </c>
      <c r="D2375" t="s">
        <v>32</v>
      </c>
      <c r="E2375" t="s">
        <v>27180</v>
      </c>
      <c r="F2375" t="s">
        <v>27181</v>
      </c>
      <c r="G2375" t="s">
        <v>27182</v>
      </c>
      <c r="H2375" t="str">
        <f>"Smap1"</f>
        <v>Smap1</v>
      </c>
      <c r="I2375" t="s">
        <v>32</v>
      </c>
      <c r="J2375" t="s">
        <v>37</v>
      </c>
      <c r="K2375">
        <v>10090</v>
      </c>
      <c r="L2375" s="3" t="str">
        <f>HYPERLINK("http://www.uniprot.org/uniprot/Q91VZ6", "Q91VZ6")</f>
        <v>Q91VZ6</v>
      </c>
      <c r="M2375" t="s">
        <v>27183</v>
      </c>
      <c r="N2375" t="str">
        <f>"Smap1"</f>
        <v>Smap1</v>
      </c>
      <c r="O2375" s="3" t="str">
        <f>HYPERLINK("http://www.informatics.jax.org/marker/MGI:2138261", "MGI:2138261")</f>
        <v>MGI:2138261</v>
      </c>
      <c r="P2375" t="s">
        <v>27184</v>
      </c>
      <c r="Q2375" t="s">
        <v>32</v>
      </c>
      <c r="R2375" t="s">
        <v>2474</v>
      </c>
      <c r="S2375" t="s">
        <v>32</v>
      </c>
      <c r="T2375" t="s">
        <v>32</v>
      </c>
      <c r="U2375" t="s">
        <v>32</v>
      </c>
      <c r="V2375" t="s">
        <v>446</v>
      </c>
      <c r="W2375" t="s">
        <v>42</v>
      </c>
      <c r="X2375" t="s">
        <v>715</v>
      </c>
      <c r="Y2375" t="s">
        <v>32</v>
      </c>
      <c r="Z2375" t="s">
        <v>32</v>
      </c>
      <c r="AA2375" t="s">
        <v>27185</v>
      </c>
      <c r="AB2375" t="s">
        <v>22182</v>
      </c>
      <c r="AC2375" t="s">
        <v>27186</v>
      </c>
      <c r="AD2375" t="s">
        <v>32</v>
      </c>
      <c r="AE2375" t="s">
        <v>32</v>
      </c>
      <c r="AF2375" t="s">
        <v>46835</v>
      </c>
    </row>
    <row r="2376" spans="1:33" x14ac:dyDescent="0.2">
      <c r="A2376">
        <v>2371</v>
      </c>
      <c r="B2376" t="s">
        <v>27187</v>
      </c>
      <c r="C2376" t="s">
        <v>47195</v>
      </c>
      <c r="D2376" t="s">
        <v>32</v>
      </c>
      <c r="E2376" t="s">
        <v>46964</v>
      </c>
      <c r="F2376" t="s">
        <v>46963</v>
      </c>
      <c r="G2376" t="s">
        <v>32</v>
      </c>
      <c r="H2376" t="s">
        <v>47326</v>
      </c>
      <c r="I2376" t="s">
        <v>32</v>
      </c>
      <c r="J2376" t="s">
        <v>37</v>
      </c>
      <c r="K2376">
        <v>10090</v>
      </c>
      <c r="L2376" s="3" t="str">
        <f>HYPERLINK(CONCATENATE("https://www.uniprot.org/uniprotkb/", AG2376, "/entry"), AG2376)</f>
        <v>E9Q166</v>
      </c>
      <c r="M2376" t="s">
        <v>32</v>
      </c>
      <c r="N2376" t="s">
        <v>32</v>
      </c>
      <c r="O2376" s="3" t="s">
        <v>32</v>
      </c>
      <c r="P2376" t="s">
        <v>32</v>
      </c>
      <c r="Q2376" t="s">
        <v>32</v>
      </c>
      <c r="R2376" t="s">
        <v>32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32</v>
      </c>
      <c r="Y2376" t="s">
        <v>32</v>
      </c>
      <c r="Z2376" t="s">
        <v>32</v>
      </c>
      <c r="AA2376" t="s">
        <v>32</v>
      </c>
      <c r="AB2376" t="s">
        <v>32</v>
      </c>
      <c r="AC2376" t="s">
        <v>32</v>
      </c>
      <c r="AD2376" t="s">
        <v>32</v>
      </c>
      <c r="AE2376" t="s">
        <v>32</v>
      </c>
      <c r="AF2376" t="s">
        <v>46835</v>
      </c>
      <c r="AG2376" t="s">
        <v>46963</v>
      </c>
    </row>
    <row r="2377" spans="1:33" x14ac:dyDescent="0.2">
      <c r="A2377">
        <v>2372</v>
      </c>
      <c r="B2377" t="s">
        <v>27188</v>
      </c>
      <c r="C2377" t="s">
        <v>27189</v>
      </c>
      <c r="D2377" t="s">
        <v>32</v>
      </c>
      <c r="E2377" t="s">
        <v>27190</v>
      </c>
      <c r="F2377" t="s">
        <v>27191</v>
      </c>
      <c r="G2377" t="s">
        <v>32</v>
      </c>
      <c r="H2377" t="str">
        <f>"Ubl5"</f>
        <v>Ubl5</v>
      </c>
      <c r="I2377" t="s">
        <v>32</v>
      </c>
      <c r="J2377" t="s">
        <v>37</v>
      </c>
      <c r="K2377">
        <v>10090</v>
      </c>
      <c r="L2377" s="3" t="str">
        <f>HYPERLINK("http://www.uniprot.org/uniprot/Q9EPV8", "Q9EPV8")</f>
        <v>Q9EPV8</v>
      </c>
      <c r="M2377" t="s">
        <v>27192</v>
      </c>
      <c r="N2377" t="str">
        <f>"Ubl5"</f>
        <v>Ubl5</v>
      </c>
      <c r="O2377" s="3" t="str">
        <f>HYPERLINK("http://www.informatics.jax.org/marker/MGI:1913427", "MGI:1913427")</f>
        <v>MGI:1913427</v>
      </c>
      <c r="P2377" t="s">
        <v>27193</v>
      </c>
      <c r="Q2377" t="s">
        <v>1020</v>
      </c>
      <c r="R2377" t="s">
        <v>418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32</v>
      </c>
      <c r="Y2377" t="s">
        <v>32</v>
      </c>
      <c r="Z2377" t="s">
        <v>126</v>
      </c>
      <c r="AA2377" t="s">
        <v>27194</v>
      </c>
      <c r="AB2377" t="s">
        <v>110</v>
      </c>
      <c r="AC2377" t="s">
        <v>27195</v>
      </c>
      <c r="AD2377" t="s">
        <v>32</v>
      </c>
      <c r="AE2377" t="s">
        <v>32</v>
      </c>
      <c r="AF2377" t="s">
        <v>46835</v>
      </c>
    </row>
    <row r="2378" spans="1:33" x14ac:dyDescent="0.2">
      <c r="A2378">
        <v>2373</v>
      </c>
      <c r="B2378" t="s">
        <v>27196</v>
      </c>
      <c r="C2378" t="s">
        <v>27197</v>
      </c>
      <c r="D2378" t="s">
        <v>32</v>
      </c>
      <c r="E2378" t="s">
        <v>27198</v>
      </c>
      <c r="F2378" t="s">
        <v>27199</v>
      </c>
      <c r="G2378" t="s">
        <v>32</v>
      </c>
      <c r="H2378" t="str">
        <f>"Nipsnap1"</f>
        <v>Nipsnap1</v>
      </c>
      <c r="I2378" t="s">
        <v>32</v>
      </c>
      <c r="J2378" t="s">
        <v>37</v>
      </c>
      <c r="K2378">
        <v>10090</v>
      </c>
      <c r="L2378" s="3" t="str">
        <f>HYPERLINK("http://www.uniprot.org/uniprot/O55125", "O55125")</f>
        <v>O55125</v>
      </c>
      <c r="M2378" t="s">
        <v>27200</v>
      </c>
      <c r="N2378" t="str">
        <f>"Nipsnap1"</f>
        <v>Nipsnap1</v>
      </c>
      <c r="O2378" s="3" t="str">
        <f>HYPERLINK("http://www.informatics.jax.org/marker/MGI:1278344", "MGI:1278344")</f>
        <v>MGI:1278344</v>
      </c>
      <c r="P2378" t="s">
        <v>157</v>
      </c>
      <c r="Q2378" t="s">
        <v>32</v>
      </c>
      <c r="R2378" t="s">
        <v>32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32</v>
      </c>
      <c r="Y2378" t="s">
        <v>157</v>
      </c>
      <c r="Z2378" t="s">
        <v>32</v>
      </c>
      <c r="AA2378" t="s">
        <v>27201</v>
      </c>
      <c r="AB2378" t="s">
        <v>27202</v>
      </c>
      <c r="AC2378" t="s">
        <v>27203</v>
      </c>
      <c r="AD2378" t="s">
        <v>32</v>
      </c>
      <c r="AE2378" t="s">
        <v>32</v>
      </c>
      <c r="AF2378" t="s">
        <v>46835</v>
      </c>
    </row>
    <row r="2379" spans="1:33" x14ac:dyDescent="0.2">
      <c r="A2379">
        <v>2374</v>
      </c>
      <c r="B2379" t="s">
        <v>27204</v>
      </c>
      <c r="C2379" t="s">
        <v>27205</v>
      </c>
      <c r="D2379" t="s">
        <v>27206</v>
      </c>
      <c r="E2379" t="s">
        <v>27207</v>
      </c>
      <c r="F2379" t="s">
        <v>27208</v>
      </c>
      <c r="G2379" t="s">
        <v>27209</v>
      </c>
      <c r="H2379" t="str">
        <f>"Mbd3"</f>
        <v>Mbd3</v>
      </c>
      <c r="I2379" t="s">
        <v>32</v>
      </c>
      <c r="J2379" t="s">
        <v>37</v>
      </c>
      <c r="K2379">
        <v>10090</v>
      </c>
      <c r="L2379" s="3" t="str">
        <f>HYPERLINK("http://www.uniprot.org/uniprot/Q9Z2D8", "Q9Z2D8")</f>
        <v>Q9Z2D8</v>
      </c>
      <c r="M2379" t="s">
        <v>27210</v>
      </c>
      <c r="N2379" t="str">
        <f>"Mbd3"</f>
        <v>Mbd3</v>
      </c>
      <c r="O2379" s="3" t="str">
        <f>HYPERLINK("http://www.informatics.jax.org/marker/MGI:1333812", "MGI:1333812")</f>
        <v>MGI:1333812</v>
      </c>
      <c r="P2379" t="s">
        <v>27211</v>
      </c>
      <c r="Q2379" t="s">
        <v>4152</v>
      </c>
      <c r="R2379" t="s">
        <v>1939</v>
      </c>
      <c r="S2379" t="s">
        <v>41</v>
      </c>
      <c r="T2379" t="s">
        <v>32</v>
      </c>
      <c r="U2379" t="s">
        <v>32</v>
      </c>
      <c r="V2379" t="s">
        <v>290</v>
      </c>
      <c r="W2379" t="s">
        <v>32</v>
      </c>
      <c r="X2379" t="s">
        <v>247</v>
      </c>
      <c r="Y2379" t="s">
        <v>1007</v>
      </c>
      <c r="Z2379" t="s">
        <v>32</v>
      </c>
      <c r="AA2379" t="s">
        <v>27212</v>
      </c>
      <c r="AB2379" t="s">
        <v>27213</v>
      </c>
      <c r="AC2379" t="s">
        <v>27214</v>
      </c>
      <c r="AD2379" t="s">
        <v>32</v>
      </c>
      <c r="AE2379" t="s">
        <v>19827</v>
      </c>
      <c r="AF2379" t="s">
        <v>46835</v>
      </c>
    </row>
    <row r="2380" spans="1:33" x14ac:dyDescent="0.2">
      <c r="A2380">
        <v>2375</v>
      </c>
      <c r="B2380" t="s">
        <v>27215</v>
      </c>
      <c r="C2380" t="s">
        <v>27216</v>
      </c>
      <c r="D2380" t="s">
        <v>32</v>
      </c>
      <c r="E2380" t="s">
        <v>27217</v>
      </c>
      <c r="F2380" t="s">
        <v>27218</v>
      </c>
      <c r="G2380" t="s">
        <v>27219</v>
      </c>
      <c r="H2380" t="str">
        <f>"Mrpl39"</f>
        <v>Mrpl39</v>
      </c>
      <c r="I2380" t="s">
        <v>32</v>
      </c>
      <c r="J2380" t="s">
        <v>37</v>
      </c>
      <c r="K2380">
        <v>10090</v>
      </c>
      <c r="L2380" s="3" t="str">
        <f>HYPERLINK("http://www.uniprot.org/uniprot/Q9JKF7", "Q9JKF7")</f>
        <v>Q9JKF7</v>
      </c>
      <c r="M2380" t="s">
        <v>27220</v>
      </c>
      <c r="N2380" t="str">
        <f>"Mrpl39"</f>
        <v>Mrpl39</v>
      </c>
      <c r="O2380" s="3" t="str">
        <f>HYPERLINK("http://www.informatics.jax.org/marker/MGI:1351620", "MGI:1351620")</f>
        <v>MGI:1351620</v>
      </c>
      <c r="P2380" t="s">
        <v>27221</v>
      </c>
      <c r="Q2380" t="s">
        <v>32</v>
      </c>
      <c r="R2380" t="s">
        <v>1038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447</v>
      </c>
      <c r="Y2380" t="s">
        <v>78</v>
      </c>
      <c r="Z2380" t="s">
        <v>32</v>
      </c>
      <c r="AA2380" t="s">
        <v>27222</v>
      </c>
      <c r="AB2380" t="s">
        <v>27223</v>
      </c>
      <c r="AC2380" t="s">
        <v>27224</v>
      </c>
      <c r="AD2380" t="s">
        <v>32</v>
      </c>
      <c r="AE2380" t="s">
        <v>17271</v>
      </c>
      <c r="AF2380" t="s">
        <v>46835</v>
      </c>
    </row>
    <row r="2381" spans="1:33" x14ac:dyDescent="0.2">
      <c r="A2381">
        <v>2376</v>
      </c>
      <c r="B2381" t="s">
        <v>27225</v>
      </c>
      <c r="C2381" t="s">
        <v>27226</v>
      </c>
      <c r="D2381" t="s">
        <v>27227</v>
      </c>
      <c r="E2381" t="s">
        <v>27228</v>
      </c>
      <c r="F2381" t="s">
        <v>27229</v>
      </c>
      <c r="G2381" t="s">
        <v>27230</v>
      </c>
      <c r="H2381" t="str">
        <f>"Dag1"</f>
        <v>Dag1</v>
      </c>
      <c r="I2381" t="s">
        <v>32</v>
      </c>
      <c r="J2381" t="s">
        <v>37</v>
      </c>
      <c r="K2381">
        <v>10090</v>
      </c>
      <c r="L2381" s="3" t="str">
        <f>HYPERLINK("http://www.uniprot.org/uniprot/Q62165", "Q62165")</f>
        <v>Q62165</v>
      </c>
      <c r="M2381" t="s">
        <v>27231</v>
      </c>
      <c r="N2381" t="str">
        <f>"Dag1"</f>
        <v>Dag1</v>
      </c>
      <c r="O2381" s="3" t="str">
        <f>HYPERLINK("http://www.informatics.jax.org/marker/MGI:101864", "MGI:101864")</f>
        <v>MGI:101864</v>
      </c>
      <c r="P2381" t="s">
        <v>27232</v>
      </c>
      <c r="Q2381" t="s">
        <v>27233</v>
      </c>
      <c r="R2381" t="s">
        <v>27234</v>
      </c>
      <c r="S2381" t="s">
        <v>32</v>
      </c>
      <c r="T2381" t="s">
        <v>32</v>
      </c>
      <c r="U2381" t="s">
        <v>32</v>
      </c>
      <c r="V2381" t="s">
        <v>3948</v>
      </c>
      <c r="W2381" t="s">
        <v>32</v>
      </c>
      <c r="X2381" t="s">
        <v>32</v>
      </c>
      <c r="Y2381" t="s">
        <v>2865</v>
      </c>
      <c r="Z2381" t="s">
        <v>126</v>
      </c>
      <c r="AA2381" t="s">
        <v>27235</v>
      </c>
      <c r="AB2381" t="s">
        <v>27236</v>
      </c>
      <c r="AC2381" t="s">
        <v>27237</v>
      </c>
      <c r="AD2381" t="s">
        <v>32</v>
      </c>
      <c r="AE2381" t="s">
        <v>27238</v>
      </c>
      <c r="AF2381" t="s">
        <v>46835</v>
      </c>
    </row>
    <row r="2382" spans="1:33" x14ac:dyDescent="0.2">
      <c r="A2382">
        <v>2377</v>
      </c>
      <c r="B2382" t="s">
        <v>27239</v>
      </c>
      <c r="C2382" t="s">
        <v>27240</v>
      </c>
      <c r="D2382" t="s">
        <v>27241</v>
      </c>
      <c r="E2382" t="s">
        <v>27242</v>
      </c>
      <c r="F2382" t="s">
        <v>27243</v>
      </c>
      <c r="G2382" t="s">
        <v>27244</v>
      </c>
      <c r="H2382" t="str">
        <f>"Trim32"</f>
        <v>Trim32</v>
      </c>
      <c r="I2382" t="s">
        <v>32</v>
      </c>
      <c r="J2382" t="s">
        <v>37</v>
      </c>
      <c r="K2382">
        <v>10090</v>
      </c>
      <c r="L2382" s="3" t="str">
        <f>HYPERLINK("http://www.uniprot.org/uniprot/Q8CH72", "Q8CH72")</f>
        <v>Q8CH72</v>
      </c>
      <c r="M2382" t="s">
        <v>27245</v>
      </c>
      <c r="N2382" t="str">
        <f>"Trim32"</f>
        <v>Trim32</v>
      </c>
      <c r="O2382" s="3" t="str">
        <f>HYPERLINK("http://www.informatics.jax.org/marker/MGI:1917057", "MGI:1917057")</f>
        <v>MGI:1917057</v>
      </c>
      <c r="P2382" t="s">
        <v>27246</v>
      </c>
      <c r="Q2382" t="s">
        <v>1020</v>
      </c>
      <c r="R2382" t="s">
        <v>418</v>
      </c>
      <c r="S2382" t="s">
        <v>32</v>
      </c>
      <c r="T2382" t="s">
        <v>32</v>
      </c>
      <c r="U2382" t="s">
        <v>32</v>
      </c>
      <c r="V2382" t="s">
        <v>12028</v>
      </c>
      <c r="W2382" t="s">
        <v>42</v>
      </c>
      <c r="X2382" t="s">
        <v>515</v>
      </c>
      <c r="Y2382" t="s">
        <v>2836</v>
      </c>
      <c r="Z2382" t="s">
        <v>32</v>
      </c>
      <c r="AA2382" t="s">
        <v>27247</v>
      </c>
      <c r="AB2382" t="s">
        <v>27248</v>
      </c>
      <c r="AC2382" t="s">
        <v>27249</v>
      </c>
      <c r="AD2382" t="s">
        <v>1027</v>
      </c>
      <c r="AE2382" t="s">
        <v>27250</v>
      </c>
      <c r="AF2382" t="s">
        <v>46835</v>
      </c>
    </row>
    <row r="2383" spans="1:33" x14ac:dyDescent="0.2">
      <c r="A2383">
        <v>2378</v>
      </c>
      <c r="B2383" t="s">
        <v>27251</v>
      </c>
      <c r="C2383" t="s">
        <v>27252</v>
      </c>
      <c r="D2383" t="s">
        <v>27253</v>
      </c>
      <c r="E2383" t="s">
        <v>27254</v>
      </c>
      <c r="F2383" t="s">
        <v>27255</v>
      </c>
      <c r="G2383" t="s">
        <v>27256</v>
      </c>
      <c r="H2383" t="str">
        <f>"Washc4"</f>
        <v>Washc4</v>
      </c>
      <c r="I2383" t="s">
        <v>32</v>
      </c>
      <c r="J2383" t="s">
        <v>37</v>
      </c>
      <c r="K2383">
        <v>10090</v>
      </c>
      <c r="L2383" s="3" t="str">
        <f>HYPERLINK("http://www.uniprot.org/uniprot/Q3UMB9", "Q3UMB9")</f>
        <v>Q3UMB9</v>
      </c>
      <c r="M2383" t="s">
        <v>27257</v>
      </c>
      <c r="N2383" t="str">
        <f>"Washc4"</f>
        <v>Washc4</v>
      </c>
      <c r="O2383" s="3" t="str">
        <f>HYPERLINK("http://www.informatics.jax.org/marker/MGI:2441787", "MGI:2441787")</f>
        <v>MGI:2441787</v>
      </c>
      <c r="P2383" t="s">
        <v>27258</v>
      </c>
      <c r="Q2383" t="s">
        <v>434</v>
      </c>
      <c r="R2383" t="s">
        <v>11451</v>
      </c>
      <c r="S2383" t="s">
        <v>32</v>
      </c>
      <c r="T2383" t="s">
        <v>32</v>
      </c>
      <c r="U2383" t="s">
        <v>32</v>
      </c>
      <c r="V2383" t="s">
        <v>290</v>
      </c>
      <c r="W2383" t="s">
        <v>32</v>
      </c>
      <c r="X2383" t="s">
        <v>32</v>
      </c>
      <c r="Y2383" t="s">
        <v>157</v>
      </c>
      <c r="Z2383" t="s">
        <v>32</v>
      </c>
      <c r="AA2383" t="s">
        <v>27259</v>
      </c>
      <c r="AB2383" t="s">
        <v>27260</v>
      </c>
      <c r="AC2383" t="s">
        <v>32</v>
      </c>
      <c r="AD2383" t="s">
        <v>32</v>
      </c>
      <c r="AE2383" t="s">
        <v>32</v>
      </c>
      <c r="AF2383" t="s">
        <v>46835</v>
      </c>
    </row>
    <row r="2384" spans="1:33" x14ac:dyDescent="0.2">
      <c r="A2384">
        <v>2379</v>
      </c>
      <c r="B2384" t="s">
        <v>27261</v>
      </c>
      <c r="C2384" t="s">
        <v>27262</v>
      </c>
      <c r="D2384" t="s">
        <v>27263</v>
      </c>
      <c r="E2384" t="s">
        <v>27264</v>
      </c>
      <c r="F2384" t="s">
        <v>27265</v>
      </c>
      <c r="G2384" t="s">
        <v>27266</v>
      </c>
      <c r="H2384" t="str">
        <f>"Dhx36"</f>
        <v>Dhx36</v>
      </c>
      <c r="I2384" t="s">
        <v>32</v>
      </c>
      <c r="J2384" t="s">
        <v>37</v>
      </c>
      <c r="K2384">
        <v>10090</v>
      </c>
      <c r="L2384" s="3" t="str">
        <f>HYPERLINK("http://www.uniprot.org/uniprot/Q8VHK9", "Q8VHK9")</f>
        <v>Q8VHK9</v>
      </c>
      <c r="M2384" t="s">
        <v>27267</v>
      </c>
      <c r="N2384" t="str">
        <f>"Dhx36"</f>
        <v>Dhx36</v>
      </c>
      <c r="O2384" s="3" t="str">
        <f>HYPERLINK("http://www.informatics.jax.org/marker/MGI:1919412", "MGI:1919412")</f>
        <v>MGI:1919412</v>
      </c>
      <c r="P2384" t="s">
        <v>27268</v>
      </c>
      <c r="Q2384" t="s">
        <v>27269</v>
      </c>
      <c r="R2384" t="s">
        <v>27270</v>
      </c>
      <c r="S2384" t="s">
        <v>32</v>
      </c>
      <c r="T2384" t="s">
        <v>32</v>
      </c>
      <c r="U2384" t="s">
        <v>32</v>
      </c>
      <c r="V2384" t="s">
        <v>137</v>
      </c>
      <c r="W2384" t="s">
        <v>1266</v>
      </c>
      <c r="X2384" t="s">
        <v>27271</v>
      </c>
      <c r="Y2384" t="s">
        <v>157</v>
      </c>
      <c r="Z2384" t="s">
        <v>126</v>
      </c>
      <c r="AA2384" t="s">
        <v>27272</v>
      </c>
      <c r="AB2384" t="s">
        <v>27273</v>
      </c>
      <c r="AC2384" t="s">
        <v>27274</v>
      </c>
      <c r="AD2384" t="s">
        <v>32</v>
      </c>
      <c r="AE2384" t="s">
        <v>27275</v>
      </c>
      <c r="AF2384" t="s">
        <v>46835</v>
      </c>
    </row>
    <row r="2385" spans="1:33" x14ac:dyDescent="0.2">
      <c r="A2385">
        <v>2380</v>
      </c>
      <c r="B2385" t="s">
        <v>27276</v>
      </c>
      <c r="C2385" t="s">
        <v>27277</v>
      </c>
      <c r="D2385" t="s">
        <v>27278</v>
      </c>
      <c r="E2385" t="s">
        <v>27279</v>
      </c>
      <c r="F2385" t="s">
        <v>27280</v>
      </c>
      <c r="G2385" t="s">
        <v>27281</v>
      </c>
      <c r="H2385" t="str">
        <f>"Celf2"</f>
        <v>Celf2</v>
      </c>
      <c r="I2385" t="s">
        <v>27282</v>
      </c>
      <c r="J2385" t="s">
        <v>37</v>
      </c>
      <c r="K2385">
        <v>10090</v>
      </c>
      <c r="L2385" s="3" t="str">
        <f>HYPERLINK("http://www.uniprot.org/uniprot/Q9Z0H4", "Q9Z0H4")</f>
        <v>Q9Z0H4</v>
      </c>
      <c r="M2385" t="s">
        <v>27283</v>
      </c>
      <c r="N2385" t="str">
        <f>"Celf2"</f>
        <v>Celf2</v>
      </c>
      <c r="O2385" s="3" t="str">
        <f>HYPERLINK("http://www.informatics.jax.org/marker/MGI:1338822", "MGI:1338822")</f>
        <v>MGI:1338822</v>
      </c>
      <c r="P2385" t="s">
        <v>27284</v>
      </c>
      <c r="Q2385" t="s">
        <v>16601</v>
      </c>
      <c r="R2385" t="s">
        <v>40</v>
      </c>
      <c r="S2385" t="s">
        <v>41</v>
      </c>
      <c r="T2385" t="s">
        <v>32</v>
      </c>
      <c r="U2385" t="s">
        <v>32</v>
      </c>
      <c r="V2385" t="s">
        <v>55</v>
      </c>
      <c r="W2385" t="s">
        <v>32</v>
      </c>
      <c r="X2385" t="s">
        <v>9766</v>
      </c>
      <c r="Y2385" t="s">
        <v>32</v>
      </c>
      <c r="Z2385" t="s">
        <v>32</v>
      </c>
      <c r="AA2385" t="s">
        <v>27285</v>
      </c>
      <c r="AB2385" t="s">
        <v>27286</v>
      </c>
      <c r="AC2385" t="s">
        <v>27287</v>
      </c>
      <c r="AD2385" t="s">
        <v>32</v>
      </c>
      <c r="AE2385" t="s">
        <v>32</v>
      </c>
      <c r="AF2385" t="s">
        <v>46835</v>
      </c>
    </row>
    <row r="2386" spans="1:33" x14ac:dyDescent="0.2">
      <c r="A2386">
        <v>2381</v>
      </c>
      <c r="B2386" t="s">
        <v>27288</v>
      </c>
      <c r="C2386" t="s">
        <v>27289</v>
      </c>
      <c r="D2386" t="s">
        <v>32</v>
      </c>
      <c r="E2386" t="s">
        <v>27290</v>
      </c>
      <c r="F2386" t="s">
        <v>27291</v>
      </c>
      <c r="G2386" t="s">
        <v>27292</v>
      </c>
      <c r="H2386" t="str">
        <f>"Mecp2"</f>
        <v>Mecp2</v>
      </c>
      <c r="I2386" t="s">
        <v>32</v>
      </c>
      <c r="J2386" t="s">
        <v>37</v>
      </c>
      <c r="K2386">
        <v>10090</v>
      </c>
      <c r="L2386" s="3" t="str">
        <f>HYPERLINK("http://www.uniprot.org/uniprot/Q9Z2D6", "Q9Z2D6")</f>
        <v>Q9Z2D6</v>
      </c>
      <c r="M2386" t="s">
        <v>27293</v>
      </c>
      <c r="N2386" t="str">
        <f>"Mecp2"</f>
        <v>Mecp2</v>
      </c>
      <c r="O2386" s="3" t="str">
        <f>HYPERLINK("http://www.informatics.jax.org/marker/MGI:99918", "MGI:99918")</f>
        <v>MGI:99918</v>
      </c>
      <c r="P2386" t="s">
        <v>27294</v>
      </c>
      <c r="Q2386" t="s">
        <v>4152</v>
      </c>
      <c r="R2386" t="s">
        <v>2279</v>
      </c>
      <c r="S2386" t="s">
        <v>41</v>
      </c>
      <c r="T2386" t="s">
        <v>32</v>
      </c>
      <c r="U2386" t="s">
        <v>32</v>
      </c>
      <c r="V2386" t="s">
        <v>55</v>
      </c>
      <c r="W2386" t="s">
        <v>32</v>
      </c>
      <c r="X2386" t="s">
        <v>7046</v>
      </c>
      <c r="Y2386" t="s">
        <v>97</v>
      </c>
      <c r="Z2386" t="s">
        <v>126</v>
      </c>
      <c r="AA2386" t="s">
        <v>27295</v>
      </c>
      <c r="AB2386" t="s">
        <v>27296</v>
      </c>
      <c r="AC2386" t="s">
        <v>27297</v>
      </c>
      <c r="AD2386" t="s">
        <v>32</v>
      </c>
      <c r="AE2386" t="s">
        <v>27298</v>
      </c>
      <c r="AF2386" t="s">
        <v>46835</v>
      </c>
    </row>
    <row r="2387" spans="1:33" x14ac:dyDescent="0.2">
      <c r="A2387">
        <v>2382</v>
      </c>
      <c r="B2387" t="s">
        <v>27299</v>
      </c>
      <c r="C2387" t="s">
        <v>27300</v>
      </c>
      <c r="D2387" t="s">
        <v>27301</v>
      </c>
      <c r="E2387" t="s">
        <v>27302</v>
      </c>
      <c r="F2387" t="s">
        <v>27303</v>
      </c>
      <c r="G2387" t="s">
        <v>27304</v>
      </c>
      <c r="H2387" t="str">
        <f>"Gstp2"</f>
        <v>Gstp2</v>
      </c>
      <c r="I2387" t="s">
        <v>27305</v>
      </c>
      <c r="J2387" t="s">
        <v>37</v>
      </c>
      <c r="K2387">
        <v>10090</v>
      </c>
      <c r="L2387" s="3" t="str">
        <f>HYPERLINK("http://www.uniprot.org/uniprot/P46425", "P46425")</f>
        <v>P46425</v>
      </c>
      <c r="M2387" t="s">
        <v>27306</v>
      </c>
      <c r="N2387" t="str">
        <f>"Gstp2"</f>
        <v>Gstp2</v>
      </c>
      <c r="O2387" s="3" t="str">
        <f>HYPERLINK("http://www.informatics.jax.org/marker/MGI:95864", "MGI:95864")</f>
        <v>MGI:95864</v>
      </c>
      <c r="P2387" t="s">
        <v>515</v>
      </c>
      <c r="Q2387" t="s">
        <v>32</v>
      </c>
      <c r="R2387" t="s">
        <v>32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515</v>
      </c>
      <c r="Y2387" t="s">
        <v>32</v>
      </c>
      <c r="Z2387" t="s">
        <v>32</v>
      </c>
      <c r="AA2387" t="s">
        <v>27307</v>
      </c>
      <c r="AB2387" t="s">
        <v>27308</v>
      </c>
      <c r="AC2387" t="s">
        <v>27309</v>
      </c>
      <c r="AD2387" t="s">
        <v>32</v>
      </c>
      <c r="AE2387" t="s">
        <v>32</v>
      </c>
      <c r="AF2387" t="s">
        <v>46835</v>
      </c>
    </row>
    <row r="2388" spans="1:33" x14ac:dyDescent="0.2">
      <c r="A2388">
        <v>2383</v>
      </c>
      <c r="B2388" t="s">
        <v>27310</v>
      </c>
      <c r="C2388" t="s">
        <v>27311</v>
      </c>
      <c r="D2388" t="s">
        <v>27312</v>
      </c>
      <c r="E2388" t="s">
        <v>27313</v>
      </c>
      <c r="F2388" t="s">
        <v>27314</v>
      </c>
      <c r="G2388" t="s">
        <v>27315</v>
      </c>
      <c r="H2388" t="str">
        <f>"Arfgap1"</f>
        <v>Arfgap1</v>
      </c>
      <c r="I2388" t="s">
        <v>27316</v>
      </c>
      <c r="J2388" t="s">
        <v>37</v>
      </c>
      <c r="K2388">
        <v>10090</v>
      </c>
      <c r="L2388" s="3" t="str">
        <f>HYPERLINK("http://www.uniprot.org/uniprot/Q9EPJ9", "Q9EPJ9")</f>
        <v>Q9EPJ9</v>
      </c>
      <c r="M2388" t="s">
        <v>27317</v>
      </c>
      <c r="N2388" t="str">
        <f>"Arfgap1"</f>
        <v>Arfgap1</v>
      </c>
      <c r="O2388" s="3" t="str">
        <f>HYPERLINK("http://www.informatics.jax.org/marker/MGI:2183559", "MGI:2183559")</f>
        <v>MGI:2183559</v>
      </c>
      <c r="P2388" t="s">
        <v>27318</v>
      </c>
      <c r="Q2388" t="s">
        <v>2916</v>
      </c>
      <c r="R2388" t="s">
        <v>8179</v>
      </c>
      <c r="S2388" t="s">
        <v>41</v>
      </c>
      <c r="T2388" t="s">
        <v>32</v>
      </c>
      <c r="U2388" t="s">
        <v>32</v>
      </c>
      <c r="V2388" t="s">
        <v>446</v>
      </c>
      <c r="W2388" t="s">
        <v>42</v>
      </c>
      <c r="X2388" t="s">
        <v>715</v>
      </c>
      <c r="Y2388" t="s">
        <v>157</v>
      </c>
      <c r="Z2388" t="s">
        <v>32</v>
      </c>
      <c r="AA2388" t="s">
        <v>27319</v>
      </c>
      <c r="AB2388" t="s">
        <v>27320</v>
      </c>
      <c r="AC2388" t="s">
        <v>20628</v>
      </c>
      <c r="AD2388" t="s">
        <v>32</v>
      </c>
      <c r="AE2388" t="s">
        <v>27321</v>
      </c>
      <c r="AF2388" t="s">
        <v>46835</v>
      </c>
    </row>
    <row r="2389" spans="1:33" x14ac:dyDescent="0.2">
      <c r="A2389">
        <v>2384</v>
      </c>
      <c r="B2389" t="s">
        <v>27322</v>
      </c>
      <c r="C2389" t="s">
        <v>27323</v>
      </c>
      <c r="D2389" t="s">
        <v>27324</v>
      </c>
      <c r="E2389" t="s">
        <v>27325</v>
      </c>
      <c r="F2389" t="s">
        <v>27326</v>
      </c>
      <c r="G2389" t="s">
        <v>27327</v>
      </c>
      <c r="H2389" t="str">
        <f>"Ncoa5"</f>
        <v>Ncoa5</v>
      </c>
      <c r="I2389" t="s">
        <v>32</v>
      </c>
      <c r="J2389" t="s">
        <v>37</v>
      </c>
      <c r="K2389">
        <v>10090</v>
      </c>
      <c r="L2389" s="3" t="str">
        <f>HYPERLINK("http://www.uniprot.org/uniprot/Q91W39", "Q91W39")</f>
        <v>Q91W39</v>
      </c>
      <c r="M2389" t="s">
        <v>27328</v>
      </c>
      <c r="N2389" t="str">
        <f>"Ncoa5"</f>
        <v>Ncoa5</v>
      </c>
      <c r="O2389" s="3" t="str">
        <f>HYPERLINK("http://www.informatics.jax.org/marker/MGI:2385165", "MGI:2385165")</f>
        <v>MGI:2385165</v>
      </c>
      <c r="P2389" t="s">
        <v>27329</v>
      </c>
      <c r="Q2389" t="s">
        <v>4152</v>
      </c>
      <c r="R2389" t="s">
        <v>2279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5195</v>
      </c>
      <c r="Y2389" t="s">
        <v>157</v>
      </c>
      <c r="Z2389" t="s">
        <v>32</v>
      </c>
      <c r="AA2389" t="s">
        <v>27330</v>
      </c>
      <c r="AB2389" t="s">
        <v>27331</v>
      </c>
      <c r="AC2389" t="s">
        <v>16404</v>
      </c>
      <c r="AD2389" t="s">
        <v>32</v>
      </c>
      <c r="AE2389" t="s">
        <v>32</v>
      </c>
      <c r="AF2389" t="s">
        <v>46835</v>
      </c>
    </row>
    <row r="2390" spans="1:33" x14ac:dyDescent="0.2">
      <c r="A2390">
        <v>2385</v>
      </c>
      <c r="B2390" t="s">
        <v>27332</v>
      </c>
      <c r="C2390" t="s">
        <v>27333</v>
      </c>
      <c r="D2390" t="s">
        <v>32</v>
      </c>
      <c r="E2390" t="s">
        <v>27334</v>
      </c>
      <c r="F2390" t="s">
        <v>27335</v>
      </c>
      <c r="G2390" t="s">
        <v>27336</v>
      </c>
      <c r="H2390" t="str">
        <f>"Prx"</f>
        <v>Prx</v>
      </c>
      <c r="I2390" t="s">
        <v>32</v>
      </c>
      <c r="J2390" t="s">
        <v>37</v>
      </c>
      <c r="K2390">
        <v>10090</v>
      </c>
      <c r="L2390" s="3" t="str">
        <f>HYPERLINK("http://www.uniprot.org/uniprot/O55103", "O55103")</f>
        <v>O55103</v>
      </c>
      <c r="M2390" t="s">
        <v>27337</v>
      </c>
      <c r="N2390" t="str">
        <f>"Prx"</f>
        <v>Prx</v>
      </c>
      <c r="O2390" s="3" t="str">
        <f>HYPERLINK("http://www.informatics.jax.org/marker/MGI:108176", "MGI:108176")</f>
        <v>MGI:108176</v>
      </c>
      <c r="P2390" t="s">
        <v>27338</v>
      </c>
      <c r="Q2390" t="s">
        <v>32</v>
      </c>
      <c r="R2390" t="s">
        <v>11087</v>
      </c>
      <c r="S2390" t="s">
        <v>41</v>
      </c>
      <c r="T2390" t="s">
        <v>32</v>
      </c>
      <c r="U2390" t="s">
        <v>32</v>
      </c>
      <c r="V2390" t="s">
        <v>55</v>
      </c>
      <c r="W2390" t="s">
        <v>32</v>
      </c>
      <c r="X2390" t="s">
        <v>32</v>
      </c>
      <c r="Y2390" t="s">
        <v>618</v>
      </c>
      <c r="Z2390" t="s">
        <v>32</v>
      </c>
      <c r="AA2390" t="s">
        <v>27339</v>
      </c>
      <c r="AB2390" t="s">
        <v>27340</v>
      </c>
      <c r="AC2390" t="s">
        <v>32</v>
      </c>
      <c r="AD2390" t="s">
        <v>32</v>
      </c>
      <c r="AE2390" t="s">
        <v>32</v>
      </c>
      <c r="AF2390" t="s">
        <v>46835</v>
      </c>
    </row>
    <row r="2391" spans="1:33" x14ac:dyDescent="0.2">
      <c r="A2391">
        <v>2386</v>
      </c>
      <c r="B2391" t="s">
        <v>27341</v>
      </c>
      <c r="C2391" t="s">
        <v>27342</v>
      </c>
      <c r="D2391" t="s">
        <v>27343</v>
      </c>
      <c r="E2391" t="s">
        <v>27344</v>
      </c>
      <c r="F2391" t="s">
        <v>27345</v>
      </c>
      <c r="G2391" t="s">
        <v>32</v>
      </c>
      <c r="H2391" t="str">
        <f>"Exoc3"</f>
        <v>Exoc3</v>
      </c>
      <c r="I2391" t="s">
        <v>27346</v>
      </c>
      <c r="J2391" t="s">
        <v>37</v>
      </c>
      <c r="K2391">
        <v>10090</v>
      </c>
      <c r="L2391" s="3" t="str">
        <f>HYPERLINK("http://www.uniprot.org/uniprot/Q6KAR6", "Q6KAR6")</f>
        <v>Q6KAR6</v>
      </c>
      <c r="M2391" t="s">
        <v>27347</v>
      </c>
      <c r="N2391" t="str">
        <f>"Exoc3"</f>
        <v>Exoc3</v>
      </c>
      <c r="O2391" s="3" t="str">
        <f>HYPERLINK("http://www.informatics.jax.org/marker/MGI:2443972", "MGI:2443972")</f>
        <v>MGI:2443972</v>
      </c>
      <c r="P2391" t="s">
        <v>27348</v>
      </c>
      <c r="Q2391" t="s">
        <v>24397</v>
      </c>
      <c r="R2391" t="s">
        <v>27349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32</v>
      </c>
      <c r="Y2391" t="s">
        <v>78</v>
      </c>
      <c r="Z2391" t="s">
        <v>32</v>
      </c>
      <c r="AA2391" t="s">
        <v>27350</v>
      </c>
      <c r="AB2391" t="s">
        <v>27351</v>
      </c>
      <c r="AC2391" t="s">
        <v>27352</v>
      </c>
      <c r="AD2391" t="s">
        <v>32</v>
      </c>
      <c r="AE2391" t="s">
        <v>24401</v>
      </c>
      <c r="AF2391" t="s">
        <v>46835</v>
      </c>
    </row>
    <row r="2392" spans="1:33" x14ac:dyDescent="0.2">
      <c r="A2392">
        <v>2387</v>
      </c>
      <c r="B2392" t="s">
        <v>27353</v>
      </c>
      <c r="C2392" t="s">
        <v>27354</v>
      </c>
      <c r="D2392" t="s">
        <v>27355</v>
      </c>
      <c r="E2392" t="s">
        <v>27356</v>
      </c>
      <c r="F2392" t="s">
        <v>27357</v>
      </c>
      <c r="G2392" t="s">
        <v>27358</v>
      </c>
      <c r="H2392" t="str">
        <f>"Epb41l1"</f>
        <v>Epb41l1</v>
      </c>
      <c r="I2392" t="s">
        <v>32</v>
      </c>
      <c r="J2392" t="s">
        <v>37</v>
      </c>
      <c r="K2392">
        <v>10090</v>
      </c>
      <c r="L2392" s="3" t="str">
        <f>HYPERLINK("http://www.uniprot.org/uniprot/Q9Z2H5", "Q9Z2H5")</f>
        <v>Q9Z2H5</v>
      </c>
      <c r="M2392" t="s">
        <v>27359</v>
      </c>
      <c r="N2392" t="str">
        <f>"Epb41l1"</f>
        <v>Epb41l1</v>
      </c>
      <c r="O2392" s="3" t="str">
        <f>HYPERLINK("http://www.informatics.jax.org/marker/MGI:103010", "MGI:103010")</f>
        <v>MGI:103010</v>
      </c>
      <c r="P2392" t="s">
        <v>21886</v>
      </c>
      <c r="Q2392" t="s">
        <v>32</v>
      </c>
      <c r="R2392" t="s">
        <v>186</v>
      </c>
      <c r="S2392" t="s">
        <v>41</v>
      </c>
      <c r="T2392" t="s">
        <v>32</v>
      </c>
      <c r="U2392" t="s">
        <v>32</v>
      </c>
      <c r="V2392" t="s">
        <v>32</v>
      </c>
      <c r="W2392" t="s">
        <v>32</v>
      </c>
      <c r="X2392" t="s">
        <v>405</v>
      </c>
      <c r="Y2392" t="s">
        <v>618</v>
      </c>
      <c r="Z2392" t="s">
        <v>32</v>
      </c>
      <c r="AA2392" t="s">
        <v>27360</v>
      </c>
      <c r="AB2392" t="s">
        <v>27361</v>
      </c>
      <c r="AC2392" t="s">
        <v>27362</v>
      </c>
      <c r="AD2392" t="s">
        <v>32</v>
      </c>
      <c r="AE2392" t="s">
        <v>27363</v>
      </c>
      <c r="AF2392" t="s">
        <v>46835</v>
      </c>
    </row>
    <row r="2393" spans="1:33" x14ac:dyDescent="0.2">
      <c r="A2393">
        <v>2388</v>
      </c>
      <c r="B2393" t="s">
        <v>27364</v>
      </c>
      <c r="C2393" t="s">
        <v>27365</v>
      </c>
      <c r="D2393" t="s">
        <v>27366</v>
      </c>
      <c r="E2393" t="s">
        <v>27367</v>
      </c>
      <c r="F2393" t="s">
        <v>27368</v>
      </c>
      <c r="G2393" t="s">
        <v>27369</v>
      </c>
      <c r="H2393" t="str">
        <f>"Ccdc88a"</f>
        <v>Ccdc88a</v>
      </c>
      <c r="I2393" t="s">
        <v>27370</v>
      </c>
      <c r="J2393" t="s">
        <v>37</v>
      </c>
      <c r="K2393">
        <v>10090</v>
      </c>
      <c r="L2393" s="3" t="str">
        <f>HYPERLINK("http://www.uniprot.org/uniprot/Q5SNZ0", "Q5SNZ0")</f>
        <v>Q5SNZ0</v>
      </c>
      <c r="M2393" t="s">
        <v>27371</v>
      </c>
      <c r="N2393" t="str">
        <f>"Ccdc88a"</f>
        <v>Ccdc88a</v>
      </c>
      <c r="O2393" s="3" t="str">
        <f>HYPERLINK("http://www.informatics.jax.org/marker/MGI:1925177", "MGI:1925177")</f>
        <v>MGI:1925177</v>
      </c>
      <c r="P2393" t="s">
        <v>27372</v>
      </c>
      <c r="Q2393" t="s">
        <v>27373</v>
      </c>
      <c r="R2393" t="s">
        <v>27374</v>
      </c>
      <c r="S2393" t="s">
        <v>41</v>
      </c>
      <c r="T2393" t="s">
        <v>32</v>
      </c>
      <c r="U2393" t="s">
        <v>32</v>
      </c>
      <c r="V2393" t="s">
        <v>290</v>
      </c>
      <c r="W2393" t="s">
        <v>32</v>
      </c>
      <c r="X2393" t="s">
        <v>5011</v>
      </c>
      <c r="Y2393" t="s">
        <v>618</v>
      </c>
      <c r="Z2393" t="s">
        <v>32</v>
      </c>
      <c r="AA2393" t="s">
        <v>27375</v>
      </c>
      <c r="AB2393" t="s">
        <v>27376</v>
      </c>
      <c r="AC2393" t="s">
        <v>27377</v>
      </c>
      <c r="AD2393" t="s">
        <v>32</v>
      </c>
      <c r="AE2393" t="s">
        <v>27378</v>
      </c>
      <c r="AF2393" t="s">
        <v>46835</v>
      </c>
    </row>
    <row r="2394" spans="1:33" x14ac:dyDescent="0.2">
      <c r="A2394">
        <v>2389</v>
      </c>
      <c r="B2394" t="s">
        <v>27379</v>
      </c>
      <c r="C2394" t="s">
        <v>27380</v>
      </c>
      <c r="D2394" t="s">
        <v>27381</v>
      </c>
      <c r="E2394" t="s">
        <v>27382</v>
      </c>
      <c r="F2394" t="s">
        <v>27383</v>
      </c>
      <c r="G2394" t="s">
        <v>27384</v>
      </c>
      <c r="H2394" t="str">
        <f>"Dnaja3"</f>
        <v>Dnaja3</v>
      </c>
      <c r="I2394" t="s">
        <v>27385</v>
      </c>
      <c r="J2394" t="s">
        <v>37</v>
      </c>
      <c r="K2394">
        <v>10090</v>
      </c>
      <c r="L2394" s="3" t="str">
        <f>HYPERLINK("http://www.uniprot.org/uniprot/Q99M87", "Q99M87")</f>
        <v>Q99M87</v>
      </c>
      <c r="M2394" t="s">
        <v>27386</v>
      </c>
      <c r="N2394" t="str">
        <f>"Dnaja3"</f>
        <v>Dnaja3</v>
      </c>
      <c r="O2394" s="3" t="str">
        <f>HYPERLINK("http://www.informatics.jax.org/marker/MGI:1933786", "MGI:1933786")</f>
        <v>MGI:1933786</v>
      </c>
      <c r="P2394" t="s">
        <v>27387</v>
      </c>
      <c r="Q2394" t="s">
        <v>541</v>
      </c>
      <c r="R2394" t="s">
        <v>27388</v>
      </c>
      <c r="S2394" t="s">
        <v>41</v>
      </c>
      <c r="T2394" t="s">
        <v>32</v>
      </c>
      <c r="U2394" t="s">
        <v>32</v>
      </c>
      <c r="V2394" t="s">
        <v>27389</v>
      </c>
      <c r="W2394" t="s">
        <v>42</v>
      </c>
      <c r="X2394" t="s">
        <v>388</v>
      </c>
      <c r="Y2394" t="s">
        <v>97</v>
      </c>
      <c r="Z2394" t="s">
        <v>32</v>
      </c>
      <c r="AA2394" t="s">
        <v>27390</v>
      </c>
      <c r="AB2394" t="s">
        <v>27391</v>
      </c>
      <c r="AC2394" t="s">
        <v>27392</v>
      </c>
      <c r="AD2394" t="s">
        <v>32</v>
      </c>
      <c r="AE2394" t="s">
        <v>32</v>
      </c>
      <c r="AF2394" t="s">
        <v>46835</v>
      </c>
    </row>
    <row r="2395" spans="1:33" x14ac:dyDescent="0.2">
      <c r="A2395">
        <v>2390</v>
      </c>
      <c r="B2395" t="s">
        <v>27393</v>
      </c>
      <c r="C2395" t="s">
        <v>47199</v>
      </c>
      <c r="D2395" t="s">
        <v>32</v>
      </c>
      <c r="E2395" t="s">
        <v>46966</v>
      </c>
      <c r="F2395" t="s">
        <v>46965</v>
      </c>
      <c r="G2395" t="s">
        <v>32</v>
      </c>
      <c r="H2395" t="s">
        <v>47330</v>
      </c>
      <c r="I2395" t="s">
        <v>32</v>
      </c>
      <c r="J2395" t="s">
        <v>37</v>
      </c>
      <c r="K2395">
        <v>10090</v>
      </c>
      <c r="L2395" s="3" t="str">
        <f>HYPERLINK(CONCATENATE("https://www.uniprot.org/uniprotkb/", AG2395, "/entry"), AG2395)</f>
        <v>E9PYG6</v>
      </c>
      <c r="M2395" t="s">
        <v>32</v>
      </c>
      <c r="N2395" t="s">
        <v>32</v>
      </c>
      <c r="O2395" s="3" t="s">
        <v>32</v>
      </c>
      <c r="P2395" t="s">
        <v>32</v>
      </c>
      <c r="Q2395" t="s">
        <v>32</v>
      </c>
      <c r="R2395" t="s">
        <v>32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32</v>
      </c>
      <c r="Y2395" t="s">
        <v>32</v>
      </c>
      <c r="Z2395" t="s">
        <v>32</v>
      </c>
      <c r="AA2395" t="s">
        <v>32</v>
      </c>
      <c r="AB2395" t="s">
        <v>32</v>
      </c>
      <c r="AC2395" t="s">
        <v>32</v>
      </c>
      <c r="AD2395" t="s">
        <v>32</v>
      </c>
      <c r="AE2395" t="s">
        <v>32</v>
      </c>
      <c r="AF2395" t="s">
        <v>46835</v>
      </c>
      <c r="AG2395" t="s">
        <v>46965</v>
      </c>
    </row>
    <row r="2396" spans="1:33" x14ac:dyDescent="0.2">
      <c r="A2396">
        <v>2391</v>
      </c>
      <c r="B2396" t="s">
        <v>27394</v>
      </c>
      <c r="C2396" t="s">
        <v>27395</v>
      </c>
      <c r="D2396" t="s">
        <v>27396</v>
      </c>
      <c r="E2396" t="s">
        <v>27397</v>
      </c>
      <c r="F2396" t="s">
        <v>27398</v>
      </c>
      <c r="G2396" t="s">
        <v>27399</v>
      </c>
      <c r="H2396" t="str">
        <f>"Shmt1"</f>
        <v>Shmt1</v>
      </c>
      <c r="I2396" t="s">
        <v>27400</v>
      </c>
      <c r="J2396" t="s">
        <v>37</v>
      </c>
      <c r="K2396">
        <v>10090</v>
      </c>
      <c r="L2396" s="3" t="str">
        <f>HYPERLINK("http://www.uniprot.org/uniprot/P50431", "P50431")</f>
        <v>P50431</v>
      </c>
      <c r="M2396" t="s">
        <v>27401</v>
      </c>
      <c r="N2396" t="str">
        <f>"Shmt1"</f>
        <v>Shmt1</v>
      </c>
      <c r="O2396" s="3" t="str">
        <f>HYPERLINK("http://www.informatics.jax.org/marker/MGI:98299", "MGI:98299")</f>
        <v>MGI:98299</v>
      </c>
      <c r="P2396" t="s">
        <v>27402</v>
      </c>
      <c r="Q2396" t="s">
        <v>2308</v>
      </c>
      <c r="R2396" t="s">
        <v>418</v>
      </c>
      <c r="S2396" t="s">
        <v>32</v>
      </c>
      <c r="T2396" t="s">
        <v>32</v>
      </c>
      <c r="U2396" t="s">
        <v>32</v>
      </c>
      <c r="V2396" t="s">
        <v>32</v>
      </c>
      <c r="W2396" t="s">
        <v>3373</v>
      </c>
      <c r="X2396" t="s">
        <v>515</v>
      </c>
      <c r="Y2396" t="s">
        <v>32</v>
      </c>
      <c r="Z2396" t="s">
        <v>126</v>
      </c>
      <c r="AA2396" t="s">
        <v>27403</v>
      </c>
      <c r="AB2396" t="s">
        <v>22053</v>
      </c>
      <c r="AC2396" t="s">
        <v>27404</v>
      </c>
      <c r="AD2396" t="s">
        <v>7201</v>
      </c>
      <c r="AE2396" t="s">
        <v>27405</v>
      </c>
      <c r="AF2396" t="s">
        <v>46835</v>
      </c>
    </row>
    <row r="2397" spans="1:33" x14ac:dyDescent="0.2">
      <c r="A2397">
        <v>2392</v>
      </c>
      <c r="B2397" t="s">
        <v>27406</v>
      </c>
      <c r="C2397" t="s">
        <v>27407</v>
      </c>
      <c r="D2397" t="s">
        <v>32</v>
      </c>
      <c r="E2397" t="s">
        <v>27408</v>
      </c>
      <c r="F2397" t="s">
        <v>27409</v>
      </c>
      <c r="G2397" t="s">
        <v>27410</v>
      </c>
      <c r="H2397" t="str">
        <f>"Zc3hav1l"</f>
        <v>Zc3hav1l</v>
      </c>
      <c r="I2397" t="s">
        <v>32</v>
      </c>
      <c r="J2397" t="s">
        <v>37</v>
      </c>
      <c r="K2397">
        <v>10090</v>
      </c>
      <c r="L2397" s="3" t="str">
        <f>HYPERLINK("http://www.uniprot.org/uniprot/Q8BFR1", "Q8BFR1")</f>
        <v>Q8BFR1</v>
      </c>
      <c r="M2397" t="s">
        <v>27411</v>
      </c>
      <c r="N2397" t="str">
        <f>"Zc3hav1l"</f>
        <v>Zc3hav1l</v>
      </c>
      <c r="O2397" s="3" t="str">
        <f>HYPERLINK("http://www.informatics.jax.org/marker/MGI:2443387", "MGI:2443387")</f>
        <v>MGI:2443387</v>
      </c>
      <c r="P2397" t="s">
        <v>27412</v>
      </c>
      <c r="Q2397" t="s">
        <v>32</v>
      </c>
      <c r="R2397" t="s">
        <v>32</v>
      </c>
      <c r="S2397" t="s">
        <v>41</v>
      </c>
      <c r="T2397" t="s">
        <v>32</v>
      </c>
      <c r="U2397" t="s">
        <v>32</v>
      </c>
      <c r="V2397" t="s">
        <v>3791</v>
      </c>
      <c r="W2397" t="s">
        <v>42</v>
      </c>
      <c r="X2397" t="s">
        <v>32</v>
      </c>
      <c r="Y2397" t="s">
        <v>78</v>
      </c>
      <c r="Z2397" t="s">
        <v>32</v>
      </c>
      <c r="AA2397" t="s">
        <v>32</v>
      </c>
      <c r="AB2397" t="s">
        <v>1268</v>
      </c>
      <c r="AC2397" t="s">
        <v>4525</v>
      </c>
      <c r="AD2397" t="s">
        <v>32</v>
      </c>
      <c r="AE2397" t="s">
        <v>32</v>
      </c>
      <c r="AF2397" t="s">
        <v>46835</v>
      </c>
    </row>
    <row r="2398" spans="1:33" x14ac:dyDescent="0.2">
      <c r="A2398">
        <v>2393</v>
      </c>
      <c r="B2398" t="s">
        <v>27413</v>
      </c>
      <c r="C2398" t="s">
        <v>27414</v>
      </c>
      <c r="D2398" t="s">
        <v>32</v>
      </c>
      <c r="E2398" t="s">
        <v>27415</v>
      </c>
      <c r="F2398" t="s">
        <v>27416</v>
      </c>
      <c r="G2398" t="s">
        <v>27417</v>
      </c>
      <c r="H2398" t="str">
        <f>"Itih3"</f>
        <v>Itih3</v>
      </c>
      <c r="I2398" t="s">
        <v>32</v>
      </c>
      <c r="J2398" t="s">
        <v>37</v>
      </c>
      <c r="K2398">
        <v>10090</v>
      </c>
      <c r="L2398" s="3" t="str">
        <f>HYPERLINK("http://www.uniprot.org/uniprot/Q61704", "Q61704")</f>
        <v>Q61704</v>
      </c>
      <c r="M2398" t="s">
        <v>27418</v>
      </c>
      <c r="N2398" t="str">
        <f>"Itih3"</f>
        <v>Itih3</v>
      </c>
      <c r="O2398" s="3" t="str">
        <f>HYPERLINK("http://www.informatics.jax.org/marker/MGI:96620", "MGI:96620")</f>
        <v>MGI:96620</v>
      </c>
      <c r="P2398" t="s">
        <v>27419</v>
      </c>
      <c r="Q2398" t="s">
        <v>32</v>
      </c>
      <c r="R2398" t="s">
        <v>630</v>
      </c>
      <c r="S2398" t="s">
        <v>32</v>
      </c>
      <c r="T2398" t="s">
        <v>32</v>
      </c>
      <c r="U2398" t="s">
        <v>32</v>
      </c>
      <c r="V2398" t="s">
        <v>811</v>
      </c>
      <c r="W2398" t="s">
        <v>32</v>
      </c>
      <c r="X2398" t="s">
        <v>2661</v>
      </c>
      <c r="Y2398" t="s">
        <v>27420</v>
      </c>
      <c r="Z2398" t="s">
        <v>32</v>
      </c>
      <c r="AA2398" t="s">
        <v>26920</v>
      </c>
      <c r="AB2398" t="s">
        <v>26921</v>
      </c>
      <c r="AC2398" t="s">
        <v>27421</v>
      </c>
      <c r="AD2398" t="s">
        <v>32</v>
      </c>
      <c r="AE2398" t="s">
        <v>2235</v>
      </c>
      <c r="AF2398" t="s">
        <v>46835</v>
      </c>
    </row>
    <row r="2399" spans="1:33" x14ac:dyDescent="0.2">
      <c r="A2399">
        <v>2394</v>
      </c>
      <c r="B2399" t="s">
        <v>27422</v>
      </c>
      <c r="C2399" t="s">
        <v>27423</v>
      </c>
      <c r="D2399" t="s">
        <v>27424</v>
      </c>
      <c r="E2399" t="s">
        <v>27425</v>
      </c>
      <c r="F2399" t="s">
        <v>27426</v>
      </c>
      <c r="G2399" t="s">
        <v>32</v>
      </c>
      <c r="H2399" t="str">
        <f>"Bckdhb"</f>
        <v>Bckdhb</v>
      </c>
      <c r="I2399" t="s">
        <v>32</v>
      </c>
      <c r="J2399" t="s">
        <v>37</v>
      </c>
      <c r="K2399">
        <v>10090</v>
      </c>
      <c r="L2399" s="3" t="str">
        <f>HYPERLINK("http://www.uniprot.org/uniprot/Q6P3A8", "Q6P3A8")</f>
        <v>Q6P3A8</v>
      </c>
      <c r="M2399" t="s">
        <v>27427</v>
      </c>
      <c r="N2399" t="str">
        <f>"Bckdhb"</f>
        <v>Bckdhb</v>
      </c>
      <c r="O2399" s="3" t="str">
        <f>HYPERLINK("http://www.informatics.jax.org/marker/MGI:88137", "MGI:88137")</f>
        <v>MGI:88137</v>
      </c>
      <c r="P2399" t="s">
        <v>27428</v>
      </c>
      <c r="Q2399" t="s">
        <v>598</v>
      </c>
      <c r="R2399" t="s">
        <v>1038</v>
      </c>
      <c r="S2399" t="s">
        <v>41</v>
      </c>
      <c r="T2399" t="s">
        <v>32</v>
      </c>
      <c r="U2399" t="s">
        <v>32</v>
      </c>
      <c r="V2399" t="s">
        <v>1039</v>
      </c>
      <c r="W2399" t="s">
        <v>32</v>
      </c>
      <c r="X2399" t="s">
        <v>600</v>
      </c>
      <c r="Y2399" t="s">
        <v>78</v>
      </c>
      <c r="Z2399" t="s">
        <v>32</v>
      </c>
      <c r="AA2399" t="s">
        <v>27429</v>
      </c>
      <c r="AB2399" t="s">
        <v>27430</v>
      </c>
      <c r="AC2399" t="s">
        <v>27431</v>
      </c>
      <c r="AD2399" t="s">
        <v>32</v>
      </c>
      <c r="AE2399" t="s">
        <v>27432</v>
      </c>
      <c r="AF2399" t="s">
        <v>46835</v>
      </c>
    </row>
    <row r="2400" spans="1:33" x14ac:dyDescent="0.2">
      <c r="A2400">
        <v>2395</v>
      </c>
      <c r="B2400" t="s">
        <v>27433</v>
      </c>
      <c r="C2400" t="s">
        <v>27434</v>
      </c>
      <c r="D2400" t="s">
        <v>27435</v>
      </c>
      <c r="E2400" t="s">
        <v>27436</v>
      </c>
      <c r="F2400" t="s">
        <v>27437</v>
      </c>
      <c r="G2400" t="s">
        <v>27438</v>
      </c>
      <c r="H2400" t="str">
        <f>"Ate1"</f>
        <v>Ate1</v>
      </c>
      <c r="I2400" t="s">
        <v>32</v>
      </c>
      <c r="J2400" t="s">
        <v>37</v>
      </c>
      <c r="K2400">
        <v>10090</v>
      </c>
      <c r="L2400" s="3" t="str">
        <f>HYPERLINK("http://www.uniprot.org/uniprot/Q9Z2A5", "Q9Z2A5")</f>
        <v>Q9Z2A5</v>
      </c>
      <c r="M2400" t="s">
        <v>27439</v>
      </c>
      <c r="N2400" t="str">
        <f>"Ate1"</f>
        <v>Ate1</v>
      </c>
      <c r="O2400" s="3" t="str">
        <f>HYPERLINK("http://www.informatics.jax.org/marker/MGI:1333870", "MGI:1333870")</f>
        <v>MGI:1333870</v>
      </c>
      <c r="P2400" t="s">
        <v>27440</v>
      </c>
      <c r="Q2400" t="s">
        <v>1020</v>
      </c>
      <c r="R2400" t="s">
        <v>40</v>
      </c>
      <c r="S2400" t="s">
        <v>41</v>
      </c>
      <c r="T2400" t="s">
        <v>32</v>
      </c>
      <c r="U2400" t="s">
        <v>32</v>
      </c>
      <c r="V2400" t="s">
        <v>32</v>
      </c>
      <c r="W2400" t="s">
        <v>32</v>
      </c>
      <c r="X2400" t="s">
        <v>7304</v>
      </c>
      <c r="Y2400" t="s">
        <v>32</v>
      </c>
      <c r="Z2400" t="s">
        <v>32</v>
      </c>
      <c r="AA2400" t="s">
        <v>27441</v>
      </c>
      <c r="AB2400" t="s">
        <v>110</v>
      </c>
      <c r="AC2400" t="s">
        <v>27442</v>
      </c>
      <c r="AD2400" t="s">
        <v>32</v>
      </c>
      <c r="AE2400" t="s">
        <v>32</v>
      </c>
      <c r="AF2400" t="s">
        <v>46835</v>
      </c>
    </row>
    <row r="2401" spans="1:33" x14ac:dyDescent="0.2">
      <c r="A2401">
        <v>2396</v>
      </c>
      <c r="B2401" t="s">
        <v>27443</v>
      </c>
      <c r="C2401" t="s">
        <v>27444</v>
      </c>
      <c r="D2401" t="s">
        <v>27445</v>
      </c>
      <c r="E2401" t="s">
        <v>27446</v>
      </c>
      <c r="F2401" t="s">
        <v>27447</v>
      </c>
      <c r="G2401" t="s">
        <v>27448</v>
      </c>
      <c r="H2401" t="str">
        <f>"Poldip3"</f>
        <v>Poldip3</v>
      </c>
      <c r="I2401" t="s">
        <v>32</v>
      </c>
      <c r="J2401" t="s">
        <v>37</v>
      </c>
      <c r="K2401">
        <v>10090</v>
      </c>
      <c r="L2401" s="3" t="str">
        <f>HYPERLINK("http://www.uniprot.org/uniprot/Q8BG81", "Q8BG81")</f>
        <v>Q8BG81</v>
      </c>
      <c r="M2401" t="s">
        <v>27449</v>
      </c>
      <c r="N2401" t="str">
        <f>"Poldip3"</f>
        <v>Poldip3</v>
      </c>
      <c r="O2401" s="3" t="str">
        <f>HYPERLINK("http://www.informatics.jax.org/marker/MGI:1921076", "MGI:1921076")</f>
        <v>MGI:1921076</v>
      </c>
      <c r="P2401" t="s">
        <v>27450</v>
      </c>
      <c r="Q2401" t="s">
        <v>3276</v>
      </c>
      <c r="R2401" t="s">
        <v>40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1282</v>
      </c>
      <c r="Y2401" t="s">
        <v>207</v>
      </c>
      <c r="Z2401" t="s">
        <v>32</v>
      </c>
      <c r="AA2401" t="s">
        <v>27451</v>
      </c>
      <c r="AB2401" t="s">
        <v>27452</v>
      </c>
      <c r="AC2401" t="s">
        <v>27453</v>
      </c>
      <c r="AD2401" t="s">
        <v>32</v>
      </c>
      <c r="AE2401" t="s">
        <v>16560</v>
      </c>
      <c r="AF2401" t="s">
        <v>46835</v>
      </c>
    </row>
    <row r="2402" spans="1:33" x14ac:dyDescent="0.2">
      <c r="A2402">
        <v>2397</v>
      </c>
      <c r="B2402" t="s">
        <v>27454</v>
      </c>
      <c r="C2402" t="s">
        <v>27455</v>
      </c>
      <c r="D2402" t="s">
        <v>27456</v>
      </c>
      <c r="E2402" t="s">
        <v>27457</v>
      </c>
      <c r="F2402" t="s">
        <v>27458</v>
      </c>
      <c r="G2402" t="s">
        <v>27459</v>
      </c>
      <c r="H2402" t="str">
        <f>"Cog5"</f>
        <v>Cog5</v>
      </c>
      <c r="I2402" t="s">
        <v>32</v>
      </c>
      <c r="J2402" t="s">
        <v>37</v>
      </c>
      <c r="K2402">
        <v>10090</v>
      </c>
      <c r="L2402" s="3" t="str">
        <f>HYPERLINK("http://www.uniprot.org/uniprot/Q8C0L8", "Q8C0L8")</f>
        <v>Q8C0L8</v>
      </c>
      <c r="M2402" t="s">
        <v>27460</v>
      </c>
      <c r="N2402" t="str">
        <f>"Cog5"</f>
        <v>Cog5</v>
      </c>
      <c r="O2402" s="3" t="str">
        <f>HYPERLINK("http://www.informatics.jax.org/marker/MGI:2145130", "MGI:2145130")</f>
        <v>MGI:2145130</v>
      </c>
      <c r="P2402" t="s">
        <v>27461</v>
      </c>
      <c r="Q2402" t="s">
        <v>434</v>
      </c>
      <c r="R2402" t="s">
        <v>7998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32</v>
      </c>
      <c r="Y2402" t="s">
        <v>618</v>
      </c>
      <c r="Z2402" t="s">
        <v>32</v>
      </c>
      <c r="AA2402" t="s">
        <v>27462</v>
      </c>
      <c r="AB2402" t="s">
        <v>27463</v>
      </c>
      <c r="AC2402" t="s">
        <v>32</v>
      </c>
      <c r="AD2402" t="s">
        <v>32</v>
      </c>
      <c r="AE2402" t="s">
        <v>24940</v>
      </c>
      <c r="AF2402" t="s">
        <v>46835</v>
      </c>
    </row>
    <row r="2403" spans="1:33" x14ac:dyDescent="0.2">
      <c r="A2403">
        <v>2398</v>
      </c>
      <c r="B2403" t="s">
        <v>27464</v>
      </c>
      <c r="C2403" t="s">
        <v>27465</v>
      </c>
      <c r="D2403" t="s">
        <v>32</v>
      </c>
      <c r="E2403" t="s">
        <v>27466</v>
      </c>
      <c r="F2403" t="s">
        <v>27467</v>
      </c>
      <c r="G2403" t="s">
        <v>27468</v>
      </c>
      <c r="H2403" t="str">
        <f>"Mvp"</f>
        <v>Mvp</v>
      </c>
      <c r="I2403" t="s">
        <v>32</v>
      </c>
      <c r="J2403" t="s">
        <v>37</v>
      </c>
      <c r="K2403">
        <v>10090</v>
      </c>
      <c r="L2403" s="3" t="str">
        <f>HYPERLINK("http://www.uniprot.org/uniprot/Q9EQK5", "Q9EQK5")</f>
        <v>Q9EQK5</v>
      </c>
      <c r="M2403" t="s">
        <v>27469</v>
      </c>
      <c r="N2403" t="str">
        <f>"Mvp"</f>
        <v>Mvp</v>
      </c>
      <c r="O2403" s="3" t="str">
        <f>HYPERLINK("http://www.informatics.jax.org/marker/MGI:1925638", "MGI:1925638")</f>
        <v>MGI:1925638</v>
      </c>
      <c r="P2403" t="s">
        <v>27470</v>
      </c>
      <c r="Q2403" t="s">
        <v>32</v>
      </c>
      <c r="R2403" t="s">
        <v>40</v>
      </c>
      <c r="S2403" t="s">
        <v>32</v>
      </c>
      <c r="T2403" t="s">
        <v>32</v>
      </c>
      <c r="U2403" t="s">
        <v>32</v>
      </c>
      <c r="V2403" t="s">
        <v>55</v>
      </c>
      <c r="W2403" t="s">
        <v>32</v>
      </c>
      <c r="X2403" t="s">
        <v>7646</v>
      </c>
      <c r="Y2403" t="s">
        <v>516</v>
      </c>
      <c r="Z2403" t="s">
        <v>126</v>
      </c>
      <c r="AA2403" t="s">
        <v>27471</v>
      </c>
      <c r="AB2403" t="s">
        <v>27472</v>
      </c>
      <c r="AC2403" t="s">
        <v>27473</v>
      </c>
      <c r="AD2403" t="s">
        <v>32</v>
      </c>
      <c r="AE2403" t="s">
        <v>548</v>
      </c>
      <c r="AF2403" t="s">
        <v>46835</v>
      </c>
    </row>
    <row r="2404" spans="1:33" x14ac:dyDescent="0.2">
      <c r="A2404">
        <v>2399</v>
      </c>
      <c r="B2404" t="s">
        <v>27474</v>
      </c>
      <c r="C2404" t="s">
        <v>27475</v>
      </c>
      <c r="D2404" t="s">
        <v>27476</v>
      </c>
      <c r="E2404" t="s">
        <v>27477</v>
      </c>
      <c r="F2404" t="s">
        <v>27478</v>
      </c>
      <c r="G2404" t="s">
        <v>27479</v>
      </c>
      <c r="H2404" t="str">
        <f>"Me2"</f>
        <v>Me2</v>
      </c>
      <c r="I2404" t="s">
        <v>32</v>
      </c>
      <c r="J2404" t="s">
        <v>37</v>
      </c>
      <c r="K2404">
        <v>10090</v>
      </c>
      <c r="L2404" s="3" t="str">
        <f>HYPERLINK("http://www.uniprot.org/uniprot/Q99KE1", "Q99KE1")</f>
        <v>Q99KE1</v>
      </c>
      <c r="M2404" t="s">
        <v>27480</v>
      </c>
      <c r="N2404" t="str">
        <f>"Me2"</f>
        <v>Me2</v>
      </c>
      <c r="O2404" s="3" t="str">
        <f>HYPERLINK("http://www.informatics.jax.org/marker/MGI:2147351", "MGI:2147351")</f>
        <v>MGI:2147351</v>
      </c>
      <c r="P2404" t="s">
        <v>27481</v>
      </c>
      <c r="Q2404" t="s">
        <v>32</v>
      </c>
      <c r="R2404" t="s">
        <v>1038</v>
      </c>
      <c r="S2404" t="s">
        <v>32</v>
      </c>
      <c r="T2404" t="s">
        <v>32</v>
      </c>
      <c r="U2404" t="s">
        <v>32</v>
      </c>
      <c r="V2404" t="s">
        <v>1039</v>
      </c>
      <c r="W2404" t="s">
        <v>27482</v>
      </c>
      <c r="X2404" t="s">
        <v>13948</v>
      </c>
      <c r="Y2404" t="s">
        <v>78</v>
      </c>
      <c r="Z2404" t="s">
        <v>32</v>
      </c>
      <c r="AA2404" t="s">
        <v>27483</v>
      </c>
      <c r="AB2404" t="s">
        <v>27484</v>
      </c>
      <c r="AC2404" t="s">
        <v>27485</v>
      </c>
      <c r="AD2404" t="s">
        <v>32</v>
      </c>
      <c r="AE2404" t="s">
        <v>3390</v>
      </c>
      <c r="AF2404" t="s">
        <v>46835</v>
      </c>
    </row>
    <row r="2405" spans="1:33" x14ac:dyDescent="0.2">
      <c r="A2405">
        <v>2400</v>
      </c>
      <c r="B2405" t="s">
        <v>27486</v>
      </c>
      <c r="C2405" t="s">
        <v>27487</v>
      </c>
      <c r="D2405" t="s">
        <v>32</v>
      </c>
      <c r="E2405" t="s">
        <v>27488</v>
      </c>
      <c r="F2405" t="s">
        <v>27489</v>
      </c>
      <c r="G2405" t="s">
        <v>27490</v>
      </c>
      <c r="H2405" t="str">
        <f>"Crtap"</f>
        <v>Crtap</v>
      </c>
      <c r="I2405" t="s">
        <v>27491</v>
      </c>
      <c r="J2405" t="s">
        <v>37</v>
      </c>
      <c r="K2405">
        <v>10090</v>
      </c>
      <c r="L2405" s="3" t="str">
        <f>HYPERLINK("http://www.uniprot.org/uniprot/Q9CYD3", "Q9CYD3")</f>
        <v>Q9CYD3</v>
      </c>
      <c r="M2405" t="s">
        <v>27492</v>
      </c>
      <c r="N2405" t="str">
        <f>"Crtap"</f>
        <v>Crtap</v>
      </c>
      <c r="O2405" s="3" t="str">
        <f>HYPERLINK("http://www.informatics.jax.org/marker/MGI:1891221", "MGI:1891221")</f>
        <v>MGI:1891221</v>
      </c>
      <c r="P2405" t="s">
        <v>27493</v>
      </c>
      <c r="Q2405" t="s">
        <v>32</v>
      </c>
      <c r="R2405" t="s">
        <v>5586</v>
      </c>
      <c r="S2405" t="s">
        <v>32</v>
      </c>
      <c r="T2405" t="s">
        <v>32</v>
      </c>
      <c r="U2405" t="s">
        <v>32</v>
      </c>
      <c r="V2405" t="s">
        <v>811</v>
      </c>
      <c r="W2405" t="s">
        <v>32</v>
      </c>
      <c r="X2405" t="s">
        <v>32</v>
      </c>
      <c r="Y2405" t="s">
        <v>27494</v>
      </c>
      <c r="Z2405" t="s">
        <v>32</v>
      </c>
      <c r="AA2405" t="s">
        <v>27495</v>
      </c>
      <c r="AB2405" t="s">
        <v>27496</v>
      </c>
      <c r="AC2405" t="s">
        <v>32</v>
      </c>
      <c r="AD2405" t="s">
        <v>32</v>
      </c>
      <c r="AE2405" t="s">
        <v>2061</v>
      </c>
      <c r="AF2405" t="s">
        <v>46835</v>
      </c>
    </row>
    <row r="2406" spans="1:33" x14ac:dyDescent="0.2">
      <c r="A2406">
        <v>2401</v>
      </c>
      <c r="B2406" t="s">
        <v>27497</v>
      </c>
      <c r="C2406" t="s">
        <v>27498</v>
      </c>
      <c r="D2406" t="s">
        <v>27499</v>
      </c>
      <c r="E2406" t="s">
        <v>27500</v>
      </c>
      <c r="F2406" t="s">
        <v>27501</v>
      </c>
      <c r="G2406" t="s">
        <v>27502</v>
      </c>
      <c r="H2406" t="str">
        <f>"Grwd1"</f>
        <v>Grwd1</v>
      </c>
      <c r="I2406" t="s">
        <v>27503</v>
      </c>
      <c r="J2406" t="s">
        <v>37</v>
      </c>
      <c r="K2406">
        <v>10090</v>
      </c>
      <c r="L2406" s="3" t="str">
        <f>HYPERLINK("http://www.uniprot.org/uniprot/Q810D6", "Q810D6")</f>
        <v>Q810D6</v>
      </c>
      <c r="M2406" t="s">
        <v>27504</v>
      </c>
      <c r="N2406" t="str">
        <f>"Grwd1"</f>
        <v>Grwd1</v>
      </c>
      <c r="O2406" s="3" t="str">
        <f>HYPERLINK("http://www.informatics.jax.org/marker/MGI:2141989", "MGI:2141989")</f>
        <v>MGI:2141989</v>
      </c>
      <c r="P2406" t="s">
        <v>27505</v>
      </c>
      <c r="Q2406" t="s">
        <v>32</v>
      </c>
      <c r="R2406" t="s">
        <v>1939</v>
      </c>
      <c r="S2406" t="s">
        <v>32</v>
      </c>
      <c r="T2406" t="s">
        <v>32</v>
      </c>
      <c r="U2406" t="s">
        <v>32</v>
      </c>
      <c r="V2406" t="s">
        <v>1910</v>
      </c>
      <c r="W2406" t="s">
        <v>32</v>
      </c>
      <c r="X2406" t="s">
        <v>32</v>
      </c>
      <c r="Y2406" t="s">
        <v>618</v>
      </c>
      <c r="Z2406" t="s">
        <v>32</v>
      </c>
      <c r="AA2406" t="s">
        <v>27506</v>
      </c>
      <c r="AB2406" t="s">
        <v>27507</v>
      </c>
      <c r="AC2406" t="s">
        <v>27508</v>
      </c>
      <c r="AD2406" t="s">
        <v>32</v>
      </c>
      <c r="AE2406" t="s">
        <v>32</v>
      </c>
      <c r="AF2406" t="s">
        <v>46835</v>
      </c>
    </row>
    <row r="2407" spans="1:33" x14ac:dyDescent="0.2">
      <c r="A2407">
        <v>2402</v>
      </c>
      <c r="B2407" t="s">
        <v>27509</v>
      </c>
      <c r="C2407" t="s">
        <v>47218</v>
      </c>
      <c r="D2407" t="s">
        <v>32</v>
      </c>
      <c r="E2407" t="s">
        <v>46968</v>
      </c>
      <c r="F2407" t="s">
        <v>46967</v>
      </c>
      <c r="G2407" t="s">
        <v>32</v>
      </c>
      <c r="H2407" t="s">
        <v>47351</v>
      </c>
      <c r="I2407" t="s">
        <v>32</v>
      </c>
      <c r="J2407" t="s">
        <v>37</v>
      </c>
      <c r="K2407">
        <v>10090</v>
      </c>
      <c r="L2407" s="3" t="str">
        <f>HYPERLINK(CONCATENATE("https://www.uniprot.org/uniprotkb/", AG2407, "/entry"), AG2407)</f>
        <v>B1AVK5</v>
      </c>
      <c r="M2407" t="s">
        <v>32</v>
      </c>
      <c r="N2407" t="s">
        <v>32</v>
      </c>
      <c r="O2407" s="3" t="s">
        <v>32</v>
      </c>
      <c r="P2407" t="s">
        <v>32</v>
      </c>
      <c r="Q2407" t="s">
        <v>32</v>
      </c>
      <c r="R2407" t="s">
        <v>32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32</v>
      </c>
      <c r="Y2407" t="s">
        <v>32</v>
      </c>
      <c r="Z2407" t="s">
        <v>32</v>
      </c>
      <c r="AA2407" t="s">
        <v>32</v>
      </c>
      <c r="AB2407" t="s">
        <v>32</v>
      </c>
      <c r="AC2407" t="s">
        <v>32</v>
      </c>
      <c r="AD2407" t="s">
        <v>32</v>
      </c>
      <c r="AE2407" t="s">
        <v>32</v>
      </c>
      <c r="AF2407" t="s">
        <v>46835</v>
      </c>
      <c r="AG2407" t="s">
        <v>46967</v>
      </c>
    </row>
    <row r="2408" spans="1:33" x14ac:dyDescent="0.2">
      <c r="A2408">
        <v>2403</v>
      </c>
      <c r="B2408" t="s">
        <v>27510</v>
      </c>
      <c r="C2408" t="s">
        <v>27511</v>
      </c>
      <c r="D2408" t="s">
        <v>27512</v>
      </c>
      <c r="E2408" t="s">
        <v>27513</v>
      </c>
      <c r="F2408" t="s">
        <v>27514</v>
      </c>
      <c r="G2408" t="s">
        <v>27515</v>
      </c>
      <c r="H2408" t="str">
        <f>"Cgnl1"</f>
        <v>Cgnl1</v>
      </c>
      <c r="I2408" t="s">
        <v>27516</v>
      </c>
      <c r="J2408" t="s">
        <v>37</v>
      </c>
      <c r="K2408">
        <v>10090</v>
      </c>
      <c r="L2408" s="3" t="str">
        <f>HYPERLINK("http://www.uniprot.org/uniprot/Q6AW69", "Q6AW69")</f>
        <v>Q6AW69</v>
      </c>
      <c r="M2408" t="s">
        <v>27517</v>
      </c>
      <c r="N2408" t="str">
        <f>"Cgnl1"</f>
        <v>Cgnl1</v>
      </c>
      <c r="O2408" s="3" t="str">
        <f>HYPERLINK("http://www.informatics.jax.org/marker/MGI:1915428", "MGI:1915428")</f>
        <v>MGI:1915428</v>
      </c>
      <c r="P2408" t="s">
        <v>27518</v>
      </c>
      <c r="Q2408" t="s">
        <v>32</v>
      </c>
      <c r="R2408" t="s">
        <v>27519</v>
      </c>
      <c r="S2408" t="s">
        <v>41</v>
      </c>
      <c r="T2408" t="s">
        <v>32</v>
      </c>
      <c r="U2408" t="s">
        <v>32</v>
      </c>
      <c r="V2408" t="s">
        <v>290</v>
      </c>
      <c r="W2408" t="s">
        <v>32</v>
      </c>
      <c r="X2408" t="s">
        <v>32</v>
      </c>
      <c r="Y2408" t="s">
        <v>618</v>
      </c>
      <c r="Z2408" t="s">
        <v>32</v>
      </c>
      <c r="AA2408" t="s">
        <v>27520</v>
      </c>
      <c r="AB2408" t="s">
        <v>27521</v>
      </c>
      <c r="AC2408" t="s">
        <v>32</v>
      </c>
      <c r="AD2408" t="s">
        <v>32</v>
      </c>
      <c r="AE2408" t="s">
        <v>32</v>
      </c>
      <c r="AF2408" t="s">
        <v>46835</v>
      </c>
    </row>
    <row r="2409" spans="1:33" x14ac:dyDescent="0.2">
      <c r="A2409">
        <v>2404</v>
      </c>
      <c r="B2409" t="s">
        <v>27522</v>
      </c>
      <c r="C2409" t="s">
        <v>27523</v>
      </c>
      <c r="D2409" t="s">
        <v>27524</v>
      </c>
      <c r="E2409" t="s">
        <v>27525</v>
      </c>
      <c r="F2409" t="s">
        <v>27526</v>
      </c>
      <c r="G2409" t="s">
        <v>27527</v>
      </c>
      <c r="H2409" t="str">
        <f>"Tmem165"</f>
        <v>Tmem165</v>
      </c>
      <c r="I2409" t="s">
        <v>27528</v>
      </c>
      <c r="J2409" t="s">
        <v>37</v>
      </c>
      <c r="K2409">
        <v>10090</v>
      </c>
      <c r="L2409" s="3" t="str">
        <f>HYPERLINK("http://www.uniprot.org/uniprot/P52875", "P52875")</f>
        <v>P52875</v>
      </c>
      <c r="M2409" t="s">
        <v>27529</v>
      </c>
      <c r="N2409" t="str">
        <f>"Tmem165"</f>
        <v>Tmem165</v>
      </c>
      <c r="O2409" s="3" t="str">
        <f>HYPERLINK("http://www.informatics.jax.org/marker/MGI:894407", "MGI:894407")</f>
        <v>MGI:894407</v>
      </c>
      <c r="P2409" t="s">
        <v>27530</v>
      </c>
      <c r="Q2409" t="s">
        <v>32</v>
      </c>
      <c r="R2409" t="s">
        <v>27531</v>
      </c>
      <c r="S2409" t="s">
        <v>32</v>
      </c>
      <c r="T2409" t="s">
        <v>32</v>
      </c>
      <c r="U2409" t="s">
        <v>32</v>
      </c>
      <c r="V2409" t="s">
        <v>15639</v>
      </c>
      <c r="W2409" t="s">
        <v>32</v>
      </c>
      <c r="X2409" t="s">
        <v>32</v>
      </c>
      <c r="Y2409" t="s">
        <v>32</v>
      </c>
      <c r="Z2409" t="s">
        <v>32</v>
      </c>
      <c r="AA2409" t="s">
        <v>27532</v>
      </c>
      <c r="AB2409" t="s">
        <v>27533</v>
      </c>
      <c r="AC2409" t="s">
        <v>27534</v>
      </c>
      <c r="AD2409" t="s">
        <v>32</v>
      </c>
      <c r="AE2409" t="s">
        <v>32</v>
      </c>
      <c r="AF2409" t="s">
        <v>46835</v>
      </c>
    </row>
    <row r="2410" spans="1:33" x14ac:dyDescent="0.2">
      <c r="A2410">
        <v>2405</v>
      </c>
      <c r="B2410" t="s">
        <v>27535</v>
      </c>
      <c r="C2410" t="s">
        <v>27536</v>
      </c>
      <c r="D2410" t="s">
        <v>27537</v>
      </c>
      <c r="E2410" t="s">
        <v>27538</v>
      </c>
      <c r="F2410" t="s">
        <v>27539</v>
      </c>
      <c r="G2410" t="s">
        <v>27540</v>
      </c>
      <c r="H2410" t="str">
        <f>"Fam234a"</f>
        <v>Fam234a</v>
      </c>
      <c r="I2410" t="s">
        <v>27541</v>
      </c>
      <c r="J2410" t="s">
        <v>37</v>
      </c>
      <c r="K2410">
        <v>10090</v>
      </c>
      <c r="L2410" s="3" t="str">
        <f>HYPERLINK("http://www.uniprot.org/uniprot/Q8C0Z1", "Q8C0Z1")</f>
        <v>Q8C0Z1</v>
      </c>
      <c r="M2410" t="s">
        <v>27542</v>
      </c>
      <c r="N2410" t="str">
        <f>"Fam234a"</f>
        <v>Fam234a</v>
      </c>
      <c r="O2410" s="3" t="str">
        <f>HYPERLINK("http://www.informatics.jax.org/marker/MGI:2146854", "MGI:2146854")</f>
        <v>MGI:2146854</v>
      </c>
      <c r="P2410" t="s">
        <v>27543</v>
      </c>
      <c r="Q2410" t="s">
        <v>32</v>
      </c>
      <c r="R2410" t="s">
        <v>5989</v>
      </c>
      <c r="S2410" t="s">
        <v>32</v>
      </c>
      <c r="T2410" t="s">
        <v>32</v>
      </c>
      <c r="U2410" t="s">
        <v>32</v>
      </c>
      <c r="V2410" t="s">
        <v>1550</v>
      </c>
      <c r="W2410" t="s">
        <v>32</v>
      </c>
      <c r="X2410" t="s">
        <v>32</v>
      </c>
      <c r="Y2410" t="s">
        <v>4720</v>
      </c>
      <c r="Z2410" t="s">
        <v>32</v>
      </c>
      <c r="AA2410" t="s">
        <v>32</v>
      </c>
      <c r="AB2410" t="s">
        <v>27544</v>
      </c>
      <c r="AC2410" t="s">
        <v>32</v>
      </c>
      <c r="AD2410" t="s">
        <v>32</v>
      </c>
      <c r="AE2410" t="s">
        <v>32</v>
      </c>
      <c r="AF2410" t="s">
        <v>46835</v>
      </c>
    </row>
    <row r="2411" spans="1:33" x14ac:dyDescent="0.2">
      <c r="A2411">
        <v>2406</v>
      </c>
      <c r="B2411" t="s">
        <v>27545</v>
      </c>
      <c r="C2411" t="s">
        <v>27546</v>
      </c>
      <c r="D2411" t="s">
        <v>27547</v>
      </c>
      <c r="E2411" t="s">
        <v>27548</v>
      </c>
      <c r="F2411" t="s">
        <v>27549</v>
      </c>
      <c r="G2411" t="s">
        <v>27550</v>
      </c>
      <c r="H2411" t="str">
        <f>"Creld1"</f>
        <v>Creld1</v>
      </c>
      <c r="I2411" t="s">
        <v>32</v>
      </c>
      <c r="J2411" t="s">
        <v>37</v>
      </c>
      <c r="K2411">
        <v>10090</v>
      </c>
      <c r="L2411" s="3" t="str">
        <f>HYPERLINK("http://www.uniprot.org/uniprot/Q91XD7", "Q91XD7")</f>
        <v>Q91XD7</v>
      </c>
      <c r="M2411" t="s">
        <v>27551</v>
      </c>
      <c r="N2411" t="str">
        <f>"Creld1"</f>
        <v>Creld1</v>
      </c>
      <c r="O2411" s="3" t="str">
        <f>HYPERLINK("http://www.informatics.jax.org/marker/MGI:2152539", "MGI:2152539")</f>
        <v>MGI:2152539</v>
      </c>
      <c r="P2411" t="s">
        <v>27552</v>
      </c>
      <c r="Q2411" t="s">
        <v>32</v>
      </c>
      <c r="R2411" t="s">
        <v>5989</v>
      </c>
      <c r="S2411" t="s">
        <v>32</v>
      </c>
      <c r="T2411" t="s">
        <v>32</v>
      </c>
      <c r="U2411" t="s">
        <v>32</v>
      </c>
      <c r="V2411" t="s">
        <v>27553</v>
      </c>
      <c r="W2411" t="s">
        <v>1380</v>
      </c>
      <c r="X2411" t="s">
        <v>673</v>
      </c>
      <c r="Y2411" t="s">
        <v>5275</v>
      </c>
      <c r="Z2411" t="s">
        <v>32</v>
      </c>
      <c r="AA2411" t="s">
        <v>32</v>
      </c>
      <c r="AB2411" t="s">
        <v>14923</v>
      </c>
      <c r="AC2411" t="s">
        <v>27554</v>
      </c>
      <c r="AD2411" t="s">
        <v>32</v>
      </c>
      <c r="AE2411" t="s">
        <v>32</v>
      </c>
      <c r="AF2411" t="s">
        <v>46835</v>
      </c>
    </row>
    <row r="2412" spans="1:33" x14ac:dyDescent="0.2">
      <c r="A2412">
        <v>2407</v>
      </c>
      <c r="B2412" t="s">
        <v>27555</v>
      </c>
      <c r="C2412" t="s">
        <v>27556</v>
      </c>
      <c r="D2412" t="s">
        <v>32</v>
      </c>
      <c r="E2412" t="s">
        <v>27557</v>
      </c>
      <c r="F2412" t="s">
        <v>27558</v>
      </c>
      <c r="G2412" t="s">
        <v>27559</v>
      </c>
      <c r="H2412" t="str">
        <f>"Pogz"</f>
        <v>Pogz</v>
      </c>
      <c r="I2412" t="s">
        <v>27560</v>
      </c>
      <c r="J2412" t="s">
        <v>37</v>
      </c>
      <c r="K2412">
        <v>10090</v>
      </c>
      <c r="L2412" s="3" t="str">
        <f>HYPERLINK("http://www.uniprot.org/uniprot/Q8BZH4", "Q8BZH4")</f>
        <v>Q8BZH4</v>
      </c>
      <c r="M2412" t="s">
        <v>27561</v>
      </c>
      <c r="N2412" t="str">
        <f>"Pogz"</f>
        <v>Pogz</v>
      </c>
      <c r="O2412" s="3" t="str">
        <f>HYPERLINK("http://www.informatics.jax.org/marker/MGI:2442117", "MGI:2442117")</f>
        <v>MGI:2442117</v>
      </c>
      <c r="P2412" t="s">
        <v>27562</v>
      </c>
      <c r="Q2412" t="s">
        <v>27563</v>
      </c>
      <c r="R2412" t="s">
        <v>8375</v>
      </c>
      <c r="S2412" t="s">
        <v>32</v>
      </c>
      <c r="T2412" t="s">
        <v>32</v>
      </c>
      <c r="U2412" t="s">
        <v>32</v>
      </c>
      <c r="V2412" t="s">
        <v>12028</v>
      </c>
      <c r="W2412" t="s">
        <v>42</v>
      </c>
      <c r="X2412" t="s">
        <v>247</v>
      </c>
      <c r="Y2412" t="s">
        <v>1007</v>
      </c>
      <c r="Z2412" t="s">
        <v>32</v>
      </c>
      <c r="AA2412" t="s">
        <v>27564</v>
      </c>
      <c r="AB2412" t="s">
        <v>10334</v>
      </c>
      <c r="AC2412" t="s">
        <v>21239</v>
      </c>
      <c r="AD2412" t="s">
        <v>32</v>
      </c>
      <c r="AE2412" t="s">
        <v>32</v>
      </c>
      <c r="AF2412" t="s">
        <v>46835</v>
      </c>
    </row>
    <row r="2413" spans="1:33" x14ac:dyDescent="0.2">
      <c r="A2413">
        <v>2408</v>
      </c>
      <c r="B2413" t="s">
        <v>27565</v>
      </c>
      <c r="C2413" t="s">
        <v>27566</v>
      </c>
      <c r="D2413" t="s">
        <v>27567</v>
      </c>
      <c r="E2413" t="s">
        <v>27568</v>
      </c>
      <c r="F2413" t="s">
        <v>27569</v>
      </c>
      <c r="G2413" t="s">
        <v>32</v>
      </c>
      <c r="H2413" t="str">
        <f>"Svbp"</f>
        <v>Svbp</v>
      </c>
      <c r="I2413" t="s">
        <v>32</v>
      </c>
      <c r="J2413" t="s">
        <v>37</v>
      </c>
      <c r="K2413">
        <v>10090</v>
      </c>
      <c r="L2413" s="3" t="str">
        <f>HYPERLINK("http://www.uniprot.org/uniprot/Q99LQ4", "Q99LQ4")</f>
        <v>Q99LQ4</v>
      </c>
      <c r="M2413" t="s">
        <v>27570</v>
      </c>
      <c r="N2413" t="str">
        <f>"Svbp"</f>
        <v>Svbp</v>
      </c>
      <c r="O2413" s="3" t="str">
        <f>HYPERLINK("http://www.informatics.jax.org/marker/MGI:1916466", "MGI:1916466")</f>
        <v>MGI:1916466</v>
      </c>
      <c r="P2413" t="s">
        <v>27571</v>
      </c>
      <c r="Q2413" t="s">
        <v>32</v>
      </c>
      <c r="R2413" t="s">
        <v>476</v>
      </c>
      <c r="S2413" t="s">
        <v>32</v>
      </c>
      <c r="T2413" t="s">
        <v>32</v>
      </c>
      <c r="U2413" t="s">
        <v>32</v>
      </c>
      <c r="V2413" t="s">
        <v>290</v>
      </c>
      <c r="W2413" t="s">
        <v>32</v>
      </c>
      <c r="X2413" t="s">
        <v>32</v>
      </c>
      <c r="Y2413" t="s">
        <v>32</v>
      </c>
      <c r="Z2413" t="s">
        <v>32</v>
      </c>
      <c r="AA2413" t="s">
        <v>27572</v>
      </c>
      <c r="AB2413" t="s">
        <v>27573</v>
      </c>
      <c r="AC2413" t="s">
        <v>27574</v>
      </c>
      <c r="AD2413" t="s">
        <v>32</v>
      </c>
      <c r="AE2413" t="s">
        <v>32</v>
      </c>
      <c r="AF2413" t="s">
        <v>46835</v>
      </c>
    </row>
    <row r="2414" spans="1:33" x14ac:dyDescent="0.2">
      <c r="A2414">
        <v>2409</v>
      </c>
      <c r="B2414" t="s">
        <v>27575</v>
      </c>
      <c r="C2414" t="s">
        <v>27576</v>
      </c>
      <c r="D2414" t="s">
        <v>32</v>
      </c>
      <c r="E2414" t="s">
        <v>27577</v>
      </c>
      <c r="F2414" t="s">
        <v>27578</v>
      </c>
      <c r="G2414" t="s">
        <v>27579</v>
      </c>
      <c r="H2414" t="str">
        <f>"Arhgef18"</f>
        <v>Arhgef18</v>
      </c>
      <c r="I2414" t="s">
        <v>27580</v>
      </c>
      <c r="J2414" t="s">
        <v>37</v>
      </c>
      <c r="K2414">
        <v>10090</v>
      </c>
      <c r="L2414" s="3" t="str">
        <f>HYPERLINK("http://www.uniprot.org/uniprot/Q6P9R4", "Q6P9R4")</f>
        <v>Q6P9R4</v>
      </c>
      <c r="M2414" t="s">
        <v>27581</v>
      </c>
      <c r="N2414" t="str">
        <f>"Arhgef18"</f>
        <v>Arhgef18</v>
      </c>
      <c r="O2414" s="3" t="str">
        <f>HYPERLINK("http://www.informatics.jax.org/marker/MGI:2142567", "MGI:2142567")</f>
        <v>MGI:2142567</v>
      </c>
      <c r="P2414" t="s">
        <v>27582</v>
      </c>
      <c r="Q2414" t="s">
        <v>32</v>
      </c>
      <c r="R2414" t="s">
        <v>371</v>
      </c>
      <c r="S2414" t="s">
        <v>41</v>
      </c>
      <c r="T2414" t="s">
        <v>32</v>
      </c>
      <c r="U2414" t="s">
        <v>32</v>
      </c>
      <c r="V2414" t="s">
        <v>11171</v>
      </c>
      <c r="W2414" t="s">
        <v>42</v>
      </c>
      <c r="X2414" t="s">
        <v>5011</v>
      </c>
      <c r="Y2414" t="s">
        <v>618</v>
      </c>
      <c r="Z2414" t="s">
        <v>126</v>
      </c>
      <c r="AA2414" t="s">
        <v>27583</v>
      </c>
      <c r="AB2414" t="s">
        <v>27584</v>
      </c>
      <c r="AC2414" t="s">
        <v>27585</v>
      </c>
      <c r="AD2414" t="s">
        <v>32</v>
      </c>
      <c r="AE2414" t="s">
        <v>27586</v>
      </c>
      <c r="AF2414" t="s">
        <v>46835</v>
      </c>
    </row>
    <row r="2415" spans="1:33" x14ac:dyDescent="0.2">
      <c r="A2415">
        <v>2410</v>
      </c>
      <c r="B2415" t="s">
        <v>27587</v>
      </c>
      <c r="C2415" t="s">
        <v>27588</v>
      </c>
      <c r="D2415" t="s">
        <v>27589</v>
      </c>
      <c r="E2415" t="s">
        <v>27590</v>
      </c>
      <c r="F2415" t="s">
        <v>27591</v>
      </c>
      <c r="G2415" t="s">
        <v>27592</v>
      </c>
      <c r="H2415" t="str">
        <f>"Rnf40"</f>
        <v>Rnf40</v>
      </c>
      <c r="I2415" t="s">
        <v>27593</v>
      </c>
      <c r="J2415" t="s">
        <v>37</v>
      </c>
      <c r="K2415">
        <v>10090</v>
      </c>
      <c r="L2415" s="3" t="str">
        <f>HYPERLINK("http://www.uniprot.org/uniprot/Q3U319", "Q3U319")</f>
        <v>Q3U319</v>
      </c>
      <c r="M2415" t="s">
        <v>27594</v>
      </c>
      <c r="N2415" t="str">
        <f>"Rnf40"</f>
        <v>Rnf40</v>
      </c>
      <c r="O2415" s="3" t="str">
        <f>HYPERLINK("http://www.informatics.jax.org/marker/MGI:2142048", "MGI:2142048")</f>
        <v>MGI:2142048</v>
      </c>
      <c r="P2415" t="s">
        <v>27595</v>
      </c>
      <c r="Q2415" t="s">
        <v>1020</v>
      </c>
      <c r="R2415" t="s">
        <v>2279</v>
      </c>
      <c r="S2415" t="s">
        <v>32</v>
      </c>
      <c r="T2415" t="s">
        <v>32</v>
      </c>
      <c r="U2415" t="s">
        <v>32</v>
      </c>
      <c r="V2415" t="s">
        <v>11171</v>
      </c>
      <c r="W2415" t="s">
        <v>42</v>
      </c>
      <c r="X2415" t="s">
        <v>23778</v>
      </c>
      <c r="Y2415" t="s">
        <v>516</v>
      </c>
      <c r="Z2415" t="s">
        <v>32</v>
      </c>
      <c r="AA2415" t="s">
        <v>27596</v>
      </c>
      <c r="AB2415" t="s">
        <v>27597</v>
      </c>
      <c r="AC2415" t="s">
        <v>27598</v>
      </c>
      <c r="AD2415" t="s">
        <v>1027</v>
      </c>
      <c r="AE2415" t="s">
        <v>27599</v>
      </c>
      <c r="AF2415" t="s">
        <v>46835</v>
      </c>
    </row>
    <row r="2416" spans="1:33" x14ac:dyDescent="0.2">
      <c r="A2416">
        <v>2411</v>
      </c>
      <c r="B2416" t="s">
        <v>27600</v>
      </c>
      <c r="C2416" t="s">
        <v>27601</v>
      </c>
      <c r="D2416" t="s">
        <v>27602</v>
      </c>
      <c r="E2416" t="s">
        <v>27603</v>
      </c>
      <c r="F2416" t="s">
        <v>27604</v>
      </c>
      <c r="G2416" t="s">
        <v>27605</v>
      </c>
      <c r="H2416" t="str">
        <f>"Cpe"</f>
        <v>Cpe</v>
      </c>
      <c r="I2416" t="s">
        <v>32</v>
      </c>
      <c r="J2416" t="s">
        <v>37</v>
      </c>
      <c r="K2416">
        <v>10090</v>
      </c>
      <c r="L2416" s="3" t="str">
        <f>HYPERLINK("http://www.uniprot.org/uniprot/Q00493", "Q00493")</f>
        <v>Q00493</v>
      </c>
      <c r="M2416" t="s">
        <v>27606</v>
      </c>
      <c r="N2416" t="str">
        <f>"Cpe"</f>
        <v>Cpe</v>
      </c>
      <c r="O2416" s="3" t="str">
        <f>HYPERLINK("http://www.informatics.jax.org/marker/MGI:101932", "MGI:101932")</f>
        <v>MGI:101932</v>
      </c>
      <c r="P2416" t="s">
        <v>27607</v>
      </c>
      <c r="Q2416" t="s">
        <v>32</v>
      </c>
      <c r="R2416" t="s">
        <v>27608</v>
      </c>
      <c r="S2416" t="s">
        <v>32</v>
      </c>
      <c r="T2416" t="s">
        <v>32</v>
      </c>
      <c r="U2416" t="s">
        <v>829</v>
      </c>
      <c r="V2416" t="s">
        <v>811</v>
      </c>
      <c r="W2416" t="s">
        <v>42</v>
      </c>
      <c r="X2416" t="s">
        <v>8141</v>
      </c>
      <c r="Y2416" t="s">
        <v>27609</v>
      </c>
      <c r="Z2416" t="s">
        <v>32</v>
      </c>
      <c r="AA2416" t="s">
        <v>27610</v>
      </c>
      <c r="AB2416" t="s">
        <v>27611</v>
      </c>
      <c r="AC2416" t="s">
        <v>27612</v>
      </c>
      <c r="AD2416" t="s">
        <v>32</v>
      </c>
      <c r="AE2416" t="s">
        <v>32</v>
      </c>
      <c r="AF2416" t="s">
        <v>46835</v>
      </c>
    </row>
    <row r="2417" spans="1:33" x14ac:dyDescent="0.2">
      <c r="A2417">
        <v>2412</v>
      </c>
      <c r="B2417" t="s">
        <v>27613</v>
      </c>
      <c r="C2417" t="s">
        <v>27614</v>
      </c>
      <c r="D2417" t="s">
        <v>27615</v>
      </c>
      <c r="E2417" t="s">
        <v>27616</v>
      </c>
      <c r="F2417" t="s">
        <v>27617</v>
      </c>
      <c r="G2417" t="s">
        <v>27618</v>
      </c>
      <c r="H2417" t="str">
        <f>"Rabgap1"</f>
        <v>Rabgap1</v>
      </c>
      <c r="I2417" t="s">
        <v>32</v>
      </c>
      <c r="J2417" t="s">
        <v>37</v>
      </c>
      <c r="K2417">
        <v>10090</v>
      </c>
      <c r="L2417" s="3" t="str">
        <f>HYPERLINK("http://www.uniprot.org/uniprot/A2AWA9", "A2AWA9")</f>
        <v>A2AWA9</v>
      </c>
      <c r="M2417" t="s">
        <v>27619</v>
      </c>
      <c r="N2417" t="str">
        <f>"Rabgap1"</f>
        <v>Rabgap1</v>
      </c>
      <c r="O2417" s="3" t="str">
        <f>HYPERLINK("http://www.informatics.jax.org/marker/MGI:2385139", "MGI:2385139")</f>
        <v>MGI:2385139</v>
      </c>
      <c r="P2417" t="s">
        <v>27620</v>
      </c>
      <c r="Q2417" t="s">
        <v>9824</v>
      </c>
      <c r="R2417" t="s">
        <v>186</v>
      </c>
      <c r="S2417" t="s">
        <v>41</v>
      </c>
      <c r="T2417" t="s">
        <v>32</v>
      </c>
      <c r="U2417" t="s">
        <v>32</v>
      </c>
      <c r="V2417" t="s">
        <v>290</v>
      </c>
      <c r="W2417" t="s">
        <v>32</v>
      </c>
      <c r="X2417" t="s">
        <v>715</v>
      </c>
      <c r="Y2417" t="s">
        <v>618</v>
      </c>
      <c r="Z2417" t="s">
        <v>32</v>
      </c>
      <c r="AA2417" t="s">
        <v>27621</v>
      </c>
      <c r="AB2417" t="s">
        <v>27622</v>
      </c>
      <c r="AC2417" t="s">
        <v>27623</v>
      </c>
      <c r="AD2417" t="s">
        <v>32</v>
      </c>
      <c r="AE2417" t="s">
        <v>20884</v>
      </c>
      <c r="AF2417" t="s">
        <v>46835</v>
      </c>
    </row>
    <row r="2418" spans="1:33" x14ac:dyDescent="0.2">
      <c r="A2418">
        <v>2413</v>
      </c>
      <c r="B2418" t="s">
        <v>27624</v>
      </c>
      <c r="C2418" t="s">
        <v>47221</v>
      </c>
      <c r="D2418" t="s">
        <v>32</v>
      </c>
      <c r="E2418" t="s">
        <v>46970</v>
      </c>
      <c r="F2418" t="s">
        <v>46969</v>
      </c>
      <c r="G2418" t="s">
        <v>32</v>
      </c>
      <c r="H2418" t="s">
        <v>47354</v>
      </c>
      <c r="I2418" t="s">
        <v>32</v>
      </c>
      <c r="J2418" t="s">
        <v>37</v>
      </c>
      <c r="K2418">
        <v>10090</v>
      </c>
      <c r="L2418" s="3" t="str">
        <f>HYPERLINK(CONCATENATE("https://www.uniprot.org/uniprotkb/", AG2418, "/entry"), AG2418)</f>
        <v>A2AT37</v>
      </c>
      <c r="M2418" t="s">
        <v>32</v>
      </c>
      <c r="N2418" t="s">
        <v>32</v>
      </c>
      <c r="O2418" s="3" t="s">
        <v>32</v>
      </c>
      <c r="P2418" t="s">
        <v>32</v>
      </c>
      <c r="Q2418" t="s">
        <v>32</v>
      </c>
      <c r="R2418" t="s">
        <v>32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32</v>
      </c>
      <c r="Y2418" t="s">
        <v>32</v>
      </c>
      <c r="Z2418" t="s">
        <v>32</v>
      </c>
      <c r="AA2418" t="s">
        <v>32</v>
      </c>
      <c r="AB2418" t="s">
        <v>32</v>
      </c>
      <c r="AC2418" t="s">
        <v>32</v>
      </c>
      <c r="AD2418" t="s">
        <v>32</v>
      </c>
      <c r="AE2418" t="s">
        <v>32</v>
      </c>
      <c r="AF2418" t="s">
        <v>46835</v>
      </c>
      <c r="AG2418" t="s">
        <v>46969</v>
      </c>
    </row>
    <row r="2419" spans="1:33" x14ac:dyDescent="0.2">
      <c r="A2419">
        <v>2414</v>
      </c>
      <c r="B2419" t="s">
        <v>27625</v>
      </c>
      <c r="C2419" t="s">
        <v>27626</v>
      </c>
      <c r="D2419" t="s">
        <v>27627</v>
      </c>
      <c r="E2419" t="s">
        <v>27628</v>
      </c>
      <c r="F2419" t="s">
        <v>27629</v>
      </c>
      <c r="G2419" t="s">
        <v>27630</v>
      </c>
      <c r="H2419" t="str">
        <f>"Chchd6"</f>
        <v>Chchd6</v>
      </c>
      <c r="I2419" t="s">
        <v>27631</v>
      </c>
      <c r="J2419" t="s">
        <v>37</v>
      </c>
      <c r="K2419">
        <v>10090</v>
      </c>
      <c r="L2419" s="3" t="str">
        <f>HYPERLINK("http://www.uniprot.org/uniprot/Q91VN4", "Q91VN4")</f>
        <v>Q91VN4</v>
      </c>
      <c r="M2419" t="s">
        <v>27632</v>
      </c>
      <c r="N2419" t="str">
        <f>"Chchd6"</f>
        <v>Chchd6</v>
      </c>
      <c r="O2419" s="3" t="str">
        <f>HYPERLINK("http://www.informatics.jax.org/marker/MGI:1913348", "MGI:1913348")</f>
        <v>MGI:1913348</v>
      </c>
      <c r="P2419" t="s">
        <v>27633</v>
      </c>
      <c r="Q2419" t="s">
        <v>32</v>
      </c>
      <c r="R2419" t="s">
        <v>3858</v>
      </c>
      <c r="S2419" t="s">
        <v>32</v>
      </c>
      <c r="T2419" t="s">
        <v>32</v>
      </c>
      <c r="U2419" t="s">
        <v>32</v>
      </c>
      <c r="V2419" t="s">
        <v>290</v>
      </c>
      <c r="W2419" t="s">
        <v>32</v>
      </c>
      <c r="X2419" t="s">
        <v>32</v>
      </c>
      <c r="Y2419" t="s">
        <v>27634</v>
      </c>
      <c r="Z2419" t="s">
        <v>32</v>
      </c>
      <c r="AA2419" t="s">
        <v>27635</v>
      </c>
      <c r="AB2419" t="s">
        <v>27636</v>
      </c>
      <c r="AC2419" t="s">
        <v>32</v>
      </c>
      <c r="AD2419" t="s">
        <v>32</v>
      </c>
      <c r="AE2419" t="s">
        <v>32</v>
      </c>
      <c r="AF2419" t="s">
        <v>46835</v>
      </c>
    </row>
    <row r="2420" spans="1:33" x14ac:dyDescent="0.2">
      <c r="A2420">
        <v>2415</v>
      </c>
      <c r="B2420" t="s">
        <v>27637</v>
      </c>
      <c r="C2420" t="s">
        <v>27638</v>
      </c>
      <c r="D2420" t="s">
        <v>32</v>
      </c>
      <c r="E2420" t="s">
        <v>27639</v>
      </c>
      <c r="F2420" t="s">
        <v>27640</v>
      </c>
      <c r="G2420" t="s">
        <v>32</v>
      </c>
      <c r="H2420" t="str">
        <f>"Cox17"</f>
        <v>Cox17</v>
      </c>
      <c r="I2420" t="s">
        <v>27641</v>
      </c>
      <c r="J2420" t="s">
        <v>37</v>
      </c>
      <c r="K2420">
        <v>10090</v>
      </c>
      <c r="L2420" s="3" t="str">
        <f>HYPERLINK("http://www.uniprot.org/uniprot/P56394", "P56394")</f>
        <v>P56394</v>
      </c>
      <c r="M2420" t="s">
        <v>27642</v>
      </c>
      <c r="N2420" t="str">
        <f>"Cox17"</f>
        <v>Cox17</v>
      </c>
      <c r="O2420" s="3" t="str">
        <f>HYPERLINK("http://www.informatics.jax.org/marker/MGI:1333806", "MGI:1333806")</f>
        <v>MGI:1333806</v>
      </c>
      <c r="P2420" t="s">
        <v>27643</v>
      </c>
      <c r="Q2420" t="s">
        <v>32</v>
      </c>
      <c r="R2420" t="s">
        <v>1842</v>
      </c>
      <c r="S2420" t="s">
        <v>32</v>
      </c>
      <c r="T2420" t="s">
        <v>32</v>
      </c>
      <c r="U2420" t="s">
        <v>32</v>
      </c>
      <c r="V2420" t="s">
        <v>32</v>
      </c>
      <c r="W2420" t="s">
        <v>11627</v>
      </c>
      <c r="X2420" t="s">
        <v>388</v>
      </c>
      <c r="Y2420" t="s">
        <v>494</v>
      </c>
      <c r="Z2420" t="s">
        <v>32</v>
      </c>
      <c r="AA2420" t="s">
        <v>27644</v>
      </c>
      <c r="AB2420" t="s">
        <v>27645</v>
      </c>
      <c r="AC2420" t="s">
        <v>27646</v>
      </c>
      <c r="AD2420" t="s">
        <v>32</v>
      </c>
      <c r="AE2420" t="s">
        <v>32</v>
      </c>
      <c r="AF2420" t="s">
        <v>46835</v>
      </c>
    </row>
    <row r="2421" spans="1:33" x14ac:dyDescent="0.2">
      <c r="A2421">
        <v>2416</v>
      </c>
      <c r="B2421" t="s">
        <v>27647</v>
      </c>
      <c r="C2421" t="s">
        <v>27648</v>
      </c>
      <c r="D2421" t="s">
        <v>27649</v>
      </c>
      <c r="E2421" t="s">
        <v>27650</v>
      </c>
      <c r="F2421" t="s">
        <v>27651</v>
      </c>
      <c r="G2421" t="s">
        <v>32</v>
      </c>
      <c r="H2421" t="str">
        <f>"Cdc73"</f>
        <v>Cdc73</v>
      </c>
      <c r="I2421" t="s">
        <v>32</v>
      </c>
      <c r="J2421" t="s">
        <v>37</v>
      </c>
      <c r="K2421">
        <v>10090</v>
      </c>
      <c r="L2421" s="3" t="str">
        <f>HYPERLINK("http://www.uniprot.org/uniprot/Q8JZM7", "Q8JZM7")</f>
        <v>Q8JZM7</v>
      </c>
      <c r="M2421" t="s">
        <v>27652</v>
      </c>
      <c r="N2421" t="str">
        <f>"Cdc73"</f>
        <v>Cdc73</v>
      </c>
      <c r="O2421" s="3" t="str">
        <f>HYPERLINK("http://www.informatics.jax.org/marker/MGI:2384876", "MGI:2384876")</f>
        <v>MGI:2384876</v>
      </c>
      <c r="P2421" t="s">
        <v>27653</v>
      </c>
      <c r="Q2421" t="s">
        <v>27654</v>
      </c>
      <c r="R2421" t="s">
        <v>2279</v>
      </c>
      <c r="S2421" t="s">
        <v>32</v>
      </c>
      <c r="T2421" t="s">
        <v>32</v>
      </c>
      <c r="U2421" t="s">
        <v>1636</v>
      </c>
      <c r="V2421" t="s">
        <v>32</v>
      </c>
      <c r="W2421" t="s">
        <v>32</v>
      </c>
      <c r="X2421" t="s">
        <v>32</v>
      </c>
      <c r="Y2421" t="s">
        <v>516</v>
      </c>
      <c r="Z2421" t="s">
        <v>32</v>
      </c>
      <c r="AA2421" t="s">
        <v>27655</v>
      </c>
      <c r="AB2421" t="s">
        <v>27656</v>
      </c>
      <c r="AC2421" t="s">
        <v>27657</v>
      </c>
      <c r="AD2421" t="s">
        <v>32</v>
      </c>
      <c r="AE2421" t="s">
        <v>27658</v>
      </c>
      <c r="AF2421" t="s">
        <v>46835</v>
      </c>
    </row>
    <row r="2422" spans="1:33" x14ac:dyDescent="0.2">
      <c r="A2422">
        <v>2417</v>
      </c>
      <c r="B2422" t="s">
        <v>27659</v>
      </c>
      <c r="C2422" t="s">
        <v>27660</v>
      </c>
      <c r="D2422" t="s">
        <v>32</v>
      </c>
      <c r="E2422" t="s">
        <v>27661</v>
      </c>
      <c r="F2422" t="s">
        <v>27662</v>
      </c>
      <c r="G2422" t="s">
        <v>27663</v>
      </c>
      <c r="H2422" t="str">
        <f>"Sox1"</f>
        <v>Sox1</v>
      </c>
      <c r="I2422" t="s">
        <v>27664</v>
      </c>
      <c r="J2422" t="s">
        <v>37</v>
      </c>
      <c r="K2422">
        <v>10090</v>
      </c>
      <c r="L2422" s="3" t="str">
        <f>HYPERLINK("http://www.uniprot.org/uniprot/P53783", "P53783")</f>
        <v>P53783</v>
      </c>
      <c r="M2422" t="s">
        <v>27665</v>
      </c>
      <c r="N2422" t="str">
        <f>"Sox1"</f>
        <v>Sox1</v>
      </c>
      <c r="O2422" s="3" t="str">
        <f>HYPERLINK("http://www.informatics.jax.org/marker/MGI:98357", "MGI:98357")</f>
        <v>MGI:98357</v>
      </c>
      <c r="P2422" t="s">
        <v>27666</v>
      </c>
      <c r="Q2422" t="s">
        <v>4152</v>
      </c>
      <c r="R2422" t="s">
        <v>2279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2350</v>
      </c>
      <c r="Y2422" t="s">
        <v>32</v>
      </c>
      <c r="Z2422" t="s">
        <v>32</v>
      </c>
      <c r="AA2422" t="s">
        <v>27667</v>
      </c>
      <c r="AB2422" t="s">
        <v>3606</v>
      </c>
      <c r="AC2422" t="s">
        <v>27668</v>
      </c>
      <c r="AD2422" t="s">
        <v>32</v>
      </c>
      <c r="AE2422" t="s">
        <v>32</v>
      </c>
      <c r="AF2422" t="s">
        <v>46835</v>
      </c>
    </row>
    <row r="2423" spans="1:33" x14ac:dyDescent="0.2">
      <c r="A2423">
        <v>2418</v>
      </c>
      <c r="B2423" t="s">
        <v>27669</v>
      </c>
      <c r="C2423" t="s">
        <v>27670</v>
      </c>
      <c r="D2423" t="s">
        <v>32</v>
      </c>
      <c r="E2423" t="s">
        <v>27671</v>
      </c>
      <c r="F2423" t="s">
        <v>27672</v>
      </c>
      <c r="G2423" t="s">
        <v>32</v>
      </c>
      <c r="H2423" t="str">
        <f>"Wdr18"</f>
        <v>Wdr18</v>
      </c>
      <c r="I2423" t="s">
        <v>32</v>
      </c>
      <c r="J2423" t="s">
        <v>37</v>
      </c>
      <c r="K2423">
        <v>10090</v>
      </c>
      <c r="L2423" s="3" t="str">
        <f>HYPERLINK("http://www.uniprot.org/uniprot/Q4VBE8", "Q4VBE8")</f>
        <v>Q4VBE8</v>
      </c>
      <c r="M2423" t="s">
        <v>27673</v>
      </c>
      <c r="N2423" t="str">
        <f>"Wdr18"</f>
        <v>Wdr18</v>
      </c>
      <c r="O2423" s="3" t="str">
        <f>HYPERLINK("http://www.informatics.jax.org/marker/MGI:2158400", "MGI:2158400")</f>
        <v>MGI:2158400</v>
      </c>
      <c r="P2423" t="s">
        <v>27674</v>
      </c>
      <c r="Q2423" t="s">
        <v>32</v>
      </c>
      <c r="R2423" t="s">
        <v>40</v>
      </c>
      <c r="S2423" t="s">
        <v>32</v>
      </c>
      <c r="T2423" t="s">
        <v>32</v>
      </c>
      <c r="U2423" t="s">
        <v>32</v>
      </c>
      <c r="V2423" t="s">
        <v>1910</v>
      </c>
      <c r="W2423" t="s">
        <v>32</v>
      </c>
      <c r="X2423" t="s">
        <v>2029</v>
      </c>
      <c r="Y2423" t="s">
        <v>32</v>
      </c>
      <c r="Z2423" t="s">
        <v>32</v>
      </c>
      <c r="AA2423" t="s">
        <v>27675</v>
      </c>
      <c r="AB2423" t="s">
        <v>27676</v>
      </c>
      <c r="AC2423" t="s">
        <v>32</v>
      </c>
      <c r="AD2423" t="s">
        <v>32</v>
      </c>
      <c r="AE2423" t="s">
        <v>960</v>
      </c>
      <c r="AF2423" t="s">
        <v>46835</v>
      </c>
    </row>
    <row r="2424" spans="1:33" x14ac:dyDescent="0.2">
      <c r="A2424">
        <v>2419</v>
      </c>
      <c r="B2424" t="s">
        <v>27677</v>
      </c>
      <c r="C2424" t="s">
        <v>27678</v>
      </c>
      <c r="D2424" t="s">
        <v>27679</v>
      </c>
      <c r="E2424" t="s">
        <v>27680</v>
      </c>
      <c r="F2424" t="s">
        <v>27681</v>
      </c>
      <c r="G2424" t="s">
        <v>27682</v>
      </c>
      <c r="H2424" t="str">
        <f>"Sumf2"</f>
        <v>Sumf2</v>
      </c>
      <c r="I2424" t="s">
        <v>32</v>
      </c>
      <c r="J2424" t="s">
        <v>37</v>
      </c>
      <c r="K2424">
        <v>10090</v>
      </c>
      <c r="L2424" s="3" t="str">
        <f>HYPERLINK("http://www.uniprot.org/uniprot/Q8BPG6", "Q8BPG6")</f>
        <v>Q8BPG6</v>
      </c>
      <c r="M2424" t="s">
        <v>27683</v>
      </c>
      <c r="N2424" t="str">
        <f>"Sumf2"</f>
        <v>Sumf2</v>
      </c>
      <c r="O2424" s="3" t="str">
        <f>HYPERLINK("http://www.informatics.jax.org/marker/MGI:1915152", "MGI:1915152")</f>
        <v>MGI:1915152</v>
      </c>
      <c r="P2424" t="s">
        <v>27684</v>
      </c>
      <c r="Q2424" t="s">
        <v>32</v>
      </c>
      <c r="R2424" t="s">
        <v>671</v>
      </c>
      <c r="S2424" t="s">
        <v>32</v>
      </c>
      <c r="T2424" t="s">
        <v>32</v>
      </c>
      <c r="U2424" t="s">
        <v>32</v>
      </c>
      <c r="V2424" t="s">
        <v>811</v>
      </c>
      <c r="W2424" t="s">
        <v>188</v>
      </c>
      <c r="X2424" t="s">
        <v>32</v>
      </c>
      <c r="Y2424" t="s">
        <v>5275</v>
      </c>
      <c r="Z2424" t="s">
        <v>32</v>
      </c>
      <c r="AA2424" t="s">
        <v>32</v>
      </c>
      <c r="AB2424" t="s">
        <v>4722</v>
      </c>
      <c r="AC2424" t="s">
        <v>12920</v>
      </c>
      <c r="AD2424" t="s">
        <v>32</v>
      </c>
      <c r="AE2424" t="s">
        <v>27685</v>
      </c>
      <c r="AF2424" t="s">
        <v>46835</v>
      </c>
    </row>
    <row r="2425" spans="1:33" x14ac:dyDescent="0.2">
      <c r="A2425">
        <v>2420</v>
      </c>
      <c r="B2425" t="s">
        <v>27686</v>
      </c>
      <c r="C2425" t="s">
        <v>27687</v>
      </c>
      <c r="D2425" t="s">
        <v>27688</v>
      </c>
      <c r="E2425" t="s">
        <v>27689</v>
      </c>
      <c r="F2425" t="s">
        <v>27690</v>
      </c>
      <c r="G2425" t="s">
        <v>27691</v>
      </c>
      <c r="H2425" t="str">
        <f>"Msra"</f>
        <v>Msra</v>
      </c>
      <c r="I2425" t="s">
        <v>32</v>
      </c>
      <c r="J2425" t="s">
        <v>37</v>
      </c>
      <c r="K2425">
        <v>10090</v>
      </c>
      <c r="L2425" s="3" t="str">
        <f>HYPERLINK("http://www.uniprot.org/uniprot/Q9D6Y7", "Q9D6Y7")</f>
        <v>Q9D6Y7</v>
      </c>
      <c r="M2425" t="s">
        <v>27692</v>
      </c>
      <c r="N2425" t="str">
        <f>"Msra"</f>
        <v>Msra</v>
      </c>
      <c r="O2425" s="3" t="str">
        <f>HYPERLINK("http://www.informatics.jax.org/marker/MGI:106916", "MGI:106916")</f>
        <v>MGI:106916</v>
      </c>
      <c r="P2425" t="s">
        <v>27693</v>
      </c>
      <c r="Q2425" t="s">
        <v>32</v>
      </c>
      <c r="R2425" t="s">
        <v>27694</v>
      </c>
      <c r="S2425" t="s">
        <v>8503</v>
      </c>
      <c r="T2425" t="s">
        <v>32</v>
      </c>
      <c r="U2425" t="s">
        <v>32</v>
      </c>
      <c r="V2425" t="s">
        <v>5688</v>
      </c>
      <c r="W2425" t="s">
        <v>32</v>
      </c>
      <c r="X2425" t="s">
        <v>600</v>
      </c>
      <c r="Y2425" t="s">
        <v>27695</v>
      </c>
      <c r="Z2425" t="s">
        <v>126</v>
      </c>
      <c r="AA2425" t="s">
        <v>27696</v>
      </c>
      <c r="AB2425" t="s">
        <v>27697</v>
      </c>
      <c r="AC2425" t="s">
        <v>27698</v>
      </c>
      <c r="AD2425" t="s">
        <v>32</v>
      </c>
      <c r="AE2425" t="s">
        <v>9875</v>
      </c>
      <c r="AF2425" t="s">
        <v>46835</v>
      </c>
    </row>
    <row r="2426" spans="1:33" x14ac:dyDescent="0.2">
      <c r="A2426">
        <v>2421</v>
      </c>
      <c r="B2426" t="s">
        <v>27699</v>
      </c>
      <c r="C2426" t="s">
        <v>27700</v>
      </c>
      <c r="D2426" t="s">
        <v>32</v>
      </c>
      <c r="E2426" t="s">
        <v>27701</v>
      </c>
      <c r="F2426" t="s">
        <v>27702</v>
      </c>
      <c r="G2426" t="s">
        <v>27703</v>
      </c>
      <c r="H2426" t="str">
        <f>"Paf1"</f>
        <v>Paf1</v>
      </c>
      <c r="I2426" t="s">
        <v>32</v>
      </c>
      <c r="J2426" t="s">
        <v>37</v>
      </c>
      <c r="K2426">
        <v>10090</v>
      </c>
      <c r="L2426" s="3" t="str">
        <f>HYPERLINK("http://www.uniprot.org/uniprot/Q8K2T8", "Q8K2T8")</f>
        <v>Q8K2T8</v>
      </c>
      <c r="M2426" t="s">
        <v>27704</v>
      </c>
      <c r="N2426" t="str">
        <f>"Paf1"</f>
        <v>Paf1</v>
      </c>
      <c r="O2426" s="3" t="str">
        <f>HYPERLINK("http://www.informatics.jax.org/marker/MGI:1923988", "MGI:1923988")</f>
        <v>MGI:1923988</v>
      </c>
      <c r="P2426" t="s">
        <v>27705</v>
      </c>
      <c r="Q2426" t="s">
        <v>17650</v>
      </c>
      <c r="R2426" t="s">
        <v>2279</v>
      </c>
      <c r="S2426" t="s">
        <v>32</v>
      </c>
      <c r="T2426" t="s">
        <v>32</v>
      </c>
      <c r="U2426" t="s">
        <v>32</v>
      </c>
      <c r="V2426" t="s">
        <v>290</v>
      </c>
      <c r="W2426" t="s">
        <v>32</v>
      </c>
      <c r="X2426" t="s">
        <v>32</v>
      </c>
      <c r="Y2426" t="s">
        <v>1007</v>
      </c>
      <c r="Z2426" t="s">
        <v>32</v>
      </c>
      <c r="AA2426" t="s">
        <v>27706</v>
      </c>
      <c r="AB2426" t="s">
        <v>27707</v>
      </c>
      <c r="AC2426" t="s">
        <v>27708</v>
      </c>
      <c r="AD2426" t="s">
        <v>32</v>
      </c>
      <c r="AE2426" t="s">
        <v>27709</v>
      </c>
      <c r="AF2426" t="s">
        <v>46835</v>
      </c>
    </row>
    <row r="2427" spans="1:33" x14ac:dyDescent="0.2">
      <c r="A2427">
        <v>2422</v>
      </c>
      <c r="B2427" t="s">
        <v>27710</v>
      </c>
      <c r="C2427" t="s">
        <v>27711</v>
      </c>
      <c r="D2427" t="s">
        <v>27712</v>
      </c>
      <c r="E2427" t="s">
        <v>27713</v>
      </c>
      <c r="F2427" t="s">
        <v>27714</v>
      </c>
      <c r="G2427" t="s">
        <v>27715</v>
      </c>
      <c r="H2427" t="str">
        <f>"Ppp1r10"</f>
        <v>Ppp1r10</v>
      </c>
      <c r="I2427" t="s">
        <v>27716</v>
      </c>
      <c r="J2427" t="s">
        <v>37</v>
      </c>
      <c r="K2427">
        <v>10090</v>
      </c>
      <c r="L2427" s="3" t="str">
        <f>HYPERLINK("http://www.uniprot.org/uniprot/Q80W00", "Q80W00")</f>
        <v>Q80W00</v>
      </c>
      <c r="M2427" t="s">
        <v>27717</v>
      </c>
      <c r="N2427" t="str">
        <f>"Ppp1r10"</f>
        <v>Ppp1r10</v>
      </c>
      <c r="O2427" s="3" t="str">
        <f>HYPERLINK("http://www.informatics.jax.org/marker/MGI:1289273", "MGI:1289273")</f>
        <v>MGI:1289273</v>
      </c>
      <c r="P2427" t="s">
        <v>27718</v>
      </c>
      <c r="Q2427" t="s">
        <v>32</v>
      </c>
      <c r="R2427" t="s">
        <v>2279</v>
      </c>
      <c r="S2427" t="s">
        <v>41</v>
      </c>
      <c r="T2427" t="s">
        <v>32</v>
      </c>
      <c r="U2427" t="s">
        <v>32</v>
      </c>
      <c r="V2427" t="s">
        <v>446</v>
      </c>
      <c r="W2427" t="s">
        <v>42</v>
      </c>
      <c r="X2427" t="s">
        <v>27719</v>
      </c>
      <c r="Y2427" t="s">
        <v>2192</v>
      </c>
      <c r="Z2427" t="s">
        <v>32</v>
      </c>
      <c r="AA2427" t="s">
        <v>27720</v>
      </c>
      <c r="AB2427" t="s">
        <v>27721</v>
      </c>
      <c r="AC2427" t="s">
        <v>27722</v>
      </c>
      <c r="AD2427" t="s">
        <v>32</v>
      </c>
      <c r="AE2427" t="s">
        <v>32</v>
      </c>
      <c r="AF2427" t="s">
        <v>46835</v>
      </c>
    </row>
    <row r="2428" spans="1:33" x14ac:dyDescent="0.2">
      <c r="A2428">
        <v>2423</v>
      </c>
      <c r="B2428" t="s">
        <v>27723</v>
      </c>
      <c r="C2428" t="s">
        <v>27724</v>
      </c>
      <c r="D2428" t="s">
        <v>27725</v>
      </c>
      <c r="E2428" t="s">
        <v>27726</v>
      </c>
      <c r="F2428" t="s">
        <v>27727</v>
      </c>
      <c r="G2428" t="s">
        <v>32</v>
      </c>
      <c r="H2428" t="str">
        <f>"Ndufb7"</f>
        <v>Ndufb7</v>
      </c>
      <c r="I2428" t="s">
        <v>32</v>
      </c>
      <c r="J2428" t="s">
        <v>37</v>
      </c>
      <c r="K2428">
        <v>10090</v>
      </c>
      <c r="L2428" s="3" t="str">
        <f>HYPERLINK("http://www.uniprot.org/uniprot/Q9CR61", "Q9CR61")</f>
        <v>Q9CR61</v>
      </c>
      <c r="M2428" t="s">
        <v>27728</v>
      </c>
      <c r="N2428" t="str">
        <f>"Ndufb7"</f>
        <v>Ndufb7</v>
      </c>
      <c r="O2428" s="3" t="str">
        <f>HYPERLINK("http://www.informatics.jax.org/marker/MGI:1914166", "MGI:1914166")</f>
        <v>MGI:1914166</v>
      </c>
      <c r="P2428" t="s">
        <v>27729</v>
      </c>
      <c r="Q2428" t="s">
        <v>6888</v>
      </c>
      <c r="R2428" t="s">
        <v>3858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32</v>
      </c>
      <c r="Y2428" t="s">
        <v>27634</v>
      </c>
      <c r="Z2428" t="s">
        <v>126</v>
      </c>
      <c r="AA2428" t="s">
        <v>12491</v>
      </c>
      <c r="AB2428" t="s">
        <v>17823</v>
      </c>
      <c r="AC2428" t="s">
        <v>32</v>
      </c>
      <c r="AD2428" t="s">
        <v>32</v>
      </c>
      <c r="AE2428" t="s">
        <v>10470</v>
      </c>
      <c r="AF2428" t="s">
        <v>46835</v>
      </c>
    </row>
    <row r="2429" spans="1:33" x14ac:dyDescent="0.2">
      <c r="A2429">
        <v>2424</v>
      </c>
      <c r="B2429" t="s">
        <v>27730</v>
      </c>
      <c r="C2429" t="s">
        <v>47192</v>
      </c>
      <c r="D2429" t="s">
        <v>32</v>
      </c>
      <c r="E2429" t="s">
        <v>46972</v>
      </c>
      <c r="F2429" t="s">
        <v>46971</v>
      </c>
      <c r="G2429" t="s">
        <v>32</v>
      </c>
      <c r="H2429" t="s">
        <v>47323</v>
      </c>
      <c r="I2429" t="s">
        <v>32</v>
      </c>
      <c r="J2429" t="s">
        <v>37</v>
      </c>
      <c r="K2429">
        <v>10090</v>
      </c>
      <c r="L2429" s="3" t="str">
        <f>HYPERLINK(CONCATENATE("https://www.uniprot.org/uniprotkb/", AG2429, "/entry"), AG2429)</f>
        <v>E9Q3G8</v>
      </c>
      <c r="M2429" t="s">
        <v>32</v>
      </c>
      <c r="N2429" t="s">
        <v>32</v>
      </c>
      <c r="O2429" s="3" t="s">
        <v>32</v>
      </c>
      <c r="P2429" t="s">
        <v>32</v>
      </c>
      <c r="Q2429" t="s">
        <v>32</v>
      </c>
      <c r="R2429" t="s">
        <v>32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32</v>
      </c>
      <c r="Y2429" t="s">
        <v>32</v>
      </c>
      <c r="Z2429" t="s">
        <v>32</v>
      </c>
      <c r="AA2429" t="s">
        <v>32</v>
      </c>
      <c r="AB2429" t="s">
        <v>32</v>
      </c>
      <c r="AC2429" t="s">
        <v>32</v>
      </c>
      <c r="AD2429" t="s">
        <v>32</v>
      </c>
      <c r="AE2429" t="s">
        <v>32</v>
      </c>
      <c r="AF2429" t="s">
        <v>46835</v>
      </c>
      <c r="AG2429" t="s">
        <v>46971</v>
      </c>
    </row>
    <row r="2430" spans="1:33" x14ac:dyDescent="0.2">
      <c r="A2430">
        <v>2425</v>
      </c>
      <c r="B2430" t="s">
        <v>27731</v>
      </c>
      <c r="C2430" t="s">
        <v>27732</v>
      </c>
      <c r="D2430" t="s">
        <v>27733</v>
      </c>
      <c r="E2430" t="s">
        <v>27734</v>
      </c>
      <c r="F2430" t="s">
        <v>27735</v>
      </c>
      <c r="G2430" t="s">
        <v>27736</v>
      </c>
      <c r="H2430" t="str">
        <f>"Rab3gap1"</f>
        <v>Rab3gap1</v>
      </c>
      <c r="I2430" t="s">
        <v>27737</v>
      </c>
      <c r="J2430" t="s">
        <v>37</v>
      </c>
      <c r="K2430">
        <v>10090</v>
      </c>
      <c r="L2430" s="3" t="str">
        <f>HYPERLINK("http://www.uniprot.org/uniprot/Q80UJ7", "Q80UJ7")</f>
        <v>Q80UJ7</v>
      </c>
      <c r="M2430" t="s">
        <v>27738</v>
      </c>
      <c r="N2430" t="str">
        <f>"Rab3gap1"</f>
        <v>Rab3gap1</v>
      </c>
      <c r="O2430" s="3" t="str">
        <f>HYPERLINK("http://www.informatics.jax.org/marker/MGI:2445001", "MGI:2445001")</f>
        <v>MGI:2445001</v>
      </c>
      <c r="P2430" t="s">
        <v>27739</v>
      </c>
      <c r="Q2430" t="s">
        <v>32</v>
      </c>
      <c r="R2430" t="s">
        <v>418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715</v>
      </c>
      <c r="Y2430" t="s">
        <v>618</v>
      </c>
      <c r="Z2430" t="s">
        <v>32</v>
      </c>
      <c r="AA2430" t="s">
        <v>27740</v>
      </c>
      <c r="AB2430" t="s">
        <v>27741</v>
      </c>
      <c r="AC2430" t="s">
        <v>17149</v>
      </c>
      <c r="AD2430" t="s">
        <v>32</v>
      </c>
      <c r="AE2430" t="s">
        <v>18144</v>
      </c>
      <c r="AF2430" t="s">
        <v>46835</v>
      </c>
    </row>
    <row r="2431" spans="1:33" x14ac:dyDescent="0.2">
      <c r="A2431">
        <v>2426</v>
      </c>
      <c r="B2431" t="s">
        <v>27742</v>
      </c>
      <c r="C2431" t="s">
        <v>27743</v>
      </c>
      <c r="D2431" t="s">
        <v>27744</v>
      </c>
      <c r="E2431" t="s">
        <v>27745</v>
      </c>
      <c r="F2431" t="s">
        <v>27746</v>
      </c>
      <c r="G2431" t="s">
        <v>27747</v>
      </c>
      <c r="H2431" t="str">
        <f>"Arfip1"</f>
        <v>Arfip1</v>
      </c>
      <c r="I2431" t="s">
        <v>32</v>
      </c>
      <c r="J2431" t="s">
        <v>37</v>
      </c>
      <c r="K2431">
        <v>10090</v>
      </c>
      <c r="L2431" s="3" t="str">
        <f>HYPERLINK("http://www.uniprot.org/uniprot/G5E8V9", "G5E8V9")</f>
        <v>G5E8V9</v>
      </c>
      <c r="M2431" t="s">
        <v>27748</v>
      </c>
      <c r="N2431" t="str">
        <f>"Arfip1"</f>
        <v>Arfip1</v>
      </c>
      <c r="O2431" s="3" t="str">
        <f>HYPERLINK("http://www.informatics.jax.org/marker/MGI:1277120", "MGI:1277120")</f>
        <v>MGI:1277120</v>
      </c>
      <c r="P2431" t="s">
        <v>27749</v>
      </c>
      <c r="Q2431" t="s">
        <v>32</v>
      </c>
      <c r="R2431" t="s">
        <v>13904</v>
      </c>
      <c r="S2431" t="s">
        <v>41</v>
      </c>
      <c r="T2431" t="s">
        <v>32</v>
      </c>
      <c r="U2431" t="s">
        <v>32</v>
      </c>
      <c r="V2431" t="s">
        <v>32</v>
      </c>
      <c r="W2431" t="s">
        <v>32</v>
      </c>
      <c r="X2431" t="s">
        <v>32</v>
      </c>
      <c r="Y2431" t="s">
        <v>157</v>
      </c>
      <c r="Z2431" t="s">
        <v>32</v>
      </c>
      <c r="AA2431" t="s">
        <v>27750</v>
      </c>
      <c r="AB2431" t="s">
        <v>27751</v>
      </c>
      <c r="AC2431" t="s">
        <v>27752</v>
      </c>
      <c r="AD2431" t="s">
        <v>32</v>
      </c>
      <c r="AE2431" t="s">
        <v>32</v>
      </c>
      <c r="AF2431" t="s">
        <v>46835</v>
      </c>
    </row>
    <row r="2432" spans="1:33" x14ac:dyDescent="0.2">
      <c r="A2432">
        <v>2427</v>
      </c>
      <c r="B2432" t="s">
        <v>27753</v>
      </c>
      <c r="C2432" t="s">
        <v>27754</v>
      </c>
      <c r="D2432" t="s">
        <v>32</v>
      </c>
      <c r="E2432" t="s">
        <v>27755</v>
      </c>
      <c r="F2432" t="s">
        <v>27756</v>
      </c>
      <c r="G2432" t="s">
        <v>27757</v>
      </c>
      <c r="H2432" t="str">
        <f>"Wdr26"</f>
        <v>Wdr26</v>
      </c>
      <c r="I2432" t="s">
        <v>32</v>
      </c>
      <c r="J2432" t="s">
        <v>37</v>
      </c>
      <c r="K2432">
        <v>10090</v>
      </c>
      <c r="L2432" s="3" t="str">
        <f>HYPERLINK("http://www.uniprot.org/uniprot/Q8C6G8", "Q8C6G8")</f>
        <v>Q8C6G8</v>
      </c>
      <c r="M2432" t="s">
        <v>27758</v>
      </c>
      <c r="N2432" t="str">
        <f>"Wdr26"</f>
        <v>Wdr26</v>
      </c>
      <c r="O2432" s="3" t="str">
        <f>HYPERLINK("http://www.informatics.jax.org/marker/MGI:1923825", "MGI:1923825")</f>
        <v>MGI:1923825</v>
      </c>
      <c r="P2432" t="s">
        <v>27759</v>
      </c>
      <c r="Q2432" t="s">
        <v>32</v>
      </c>
      <c r="R2432" t="s">
        <v>1021</v>
      </c>
      <c r="S2432" t="s">
        <v>32</v>
      </c>
      <c r="T2432" t="s">
        <v>32</v>
      </c>
      <c r="U2432" t="s">
        <v>32</v>
      </c>
      <c r="V2432" t="s">
        <v>1910</v>
      </c>
      <c r="W2432" t="s">
        <v>32</v>
      </c>
      <c r="X2432" t="s">
        <v>32</v>
      </c>
      <c r="Y2432" t="s">
        <v>618</v>
      </c>
      <c r="Z2432" t="s">
        <v>32</v>
      </c>
      <c r="AA2432" t="s">
        <v>5542</v>
      </c>
      <c r="AB2432" t="s">
        <v>27760</v>
      </c>
      <c r="AC2432" t="s">
        <v>32</v>
      </c>
      <c r="AD2432" t="s">
        <v>32</v>
      </c>
      <c r="AE2432" t="s">
        <v>32</v>
      </c>
      <c r="AF2432" t="s">
        <v>46835</v>
      </c>
    </row>
    <row r="2433" spans="1:33" x14ac:dyDescent="0.2">
      <c r="A2433">
        <v>2428</v>
      </c>
      <c r="B2433" t="s">
        <v>27761</v>
      </c>
      <c r="C2433" t="s">
        <v>27762</v>
      </c>
      <c r="D2433" t="s">
        <v>32</v>
      </c>
      <c r="E2433" t="s">
        <v>27763</v>
      </c>
      <c r="F2433" t="s">
        <v>27764</v>
      </c>
      <c r="G2433" t="s">
        <v>27765</v>
      </c>
      <c r="H2433" t="str">
        <f>"Clpx"</f>
        <v>Clpx</v>
      </c>
      <c r="I2433" t="s">
        <v>32</v>
      </c>
      <c r="J2433" t="s">
        <v>37</v>
      </c>
      <c r="K2433">
        <v>10090</v>
      </c>
      <c r="L2433" s="3" t="str">
        <f>HYPERLINK("http://www.uniprot.org/uniprot/Q9JHS4", "Q9JHS4")</f>
        <v>Q9JHS4</v>
      </c>
      <c r="M2433" t="s">
        <v>27766</v>
      </c>
      <c r="N2433" t="str">
        <f>"Clpx"</f>
        <v>Clpx</v>
      </c>
      <c r="O2433" s="3" t="str">
        <f>HYPERLINK("http://www.informatics.jax.org/marker/MGI:1346017", "MGI:1346017")</f>
        <v>MGI:1346017</v>
      </c>
      <c r="P2433" t="s">
        <v>27767</v>
      </c>
      <c r="Q2433" t="s">
        <v>32</v>
      </c>
      <c r="R2433" t="s">
        <v>8647</v>
      </c>
      <c r="S2433" t="s">
        <v>32</v>
      </c>
      <c r="T2433" t="s">
        <v>32</v>
      </c>
      <c r="U2433" t="s">
        <v>32</v>
      </c>
      <c r="V2433" t="s">
        <v>1039</v>
      </c>
      <c r="W2433" t="s">
        <v>2325</v>
      </c>
      <c r="X2433" t="s">
        <v>388</v>
      </c>
      <c r="Y2433" t="s">
        <v>157</v>
      </c>
      <c r="Z2433" t="s">
        <v>32</v>
      </c>
      <c r="AA2433" t="s">
        <v>27768</v>
      </c>
      <c r="AB2433" t="s">
        <v>27769</v>
      </c>
      <c r="AC2433" t="s">
        <v>27770</v>
      </c>
      <c r="AD2433" t="s">
        <v>32</v>
      </c>
      <c r="AE2433" t="s">
        <v>32</v>
      </c>
      <c r="AF2433" t="s">
        <v>46835</v>
      </c>
    </row>
    <row r="2434" spans="1:33" x14ac:dyDescent="0.2">
      <c r="A2434">
        <v>2429</v>
      </c>
      <c r="B2434" t="s">
        <v>27771</v>
      </c>
      <c r="C2434" t="s">
        <v>27772</v>
      </c>
      <c r="D2434" t="s">
        <v>27773</v>
      </c>
      <c r="E2434" t="s">
        <v>27774</v>
      </c>
      <c r="F2434" t="s">
        <v>27775</v>
      </c>
      <c r="G2434" t="s">
        <v>27776</v>
      </c>
      <c r="H2434" t="str">
        <f>"Nifk"</f>
        <v>Nifk</v>
      </c>
      <c r="I2434" t="s">
        <v>27777</v>
      </c>
      <c r="J2434" t="s">
        <v>37</v>
      </c>
      <c r="K2434">
        <v>10090</v>
      </c>
      <c r="L2434" s="3" t="str">
        <f>HYPERLINK("http://www.uniprot.org/uniprot/Q91VE6", "Q91VE6")</f>
        <v>Q91VE6</v>
      </c>
      <c r="M2434" t="s">
        <v>27778</v>
      </c>
      <c r="N2434" t="str">
        <f>"Nifk"</f>
        <v>Nifk</v>
      </c>
      <c r="O2434" s="3" t="str">
        <f>HYPERLINK("http://www.informatics.jax.org/marker/MGI:1915199", "MGI:1915199")</f>
        <v>MGI:1915199</v>
      </c>
      <c r="P2434" t="s">
        <v>27779</v>
      </c>
      <c r="Q2434" t="s">
        <v>32</v>
      </c>
      <c r="R2434" t="s">
        <v>1939</v>
      </c>
      <c r="S2434" t="s">
        <v>41</v>
      </c>
      <c r="T2434" t="s">
        <v>32</v>
      </c>
      <c r="U2434" t="s">
        <v>32</v>
      </c>
      <c r="V2434" t="s">
        <v>32</v>
      </c>
      <c r="W2434" t="s">
        <v>32</v>
      </c>
      <c r="X2434" t="s">
        <v>1282</v>
      </c>
      <c r="Y2434" t="s">
        <v>761</v>
      </c>
      <c r="Z2434" t="s">
        <v>32</v>
      </c>
      <c r="AA2434" t="s">
        <v>27780</v>
      </c>
      <c r="AB2434" t="s">
        <v>27781</v>
      </c>
      <c r="AC2434" t="s">
        <v>4711</v>
      </c>
      <c r="AD2434" t="s">
        <v>32</v>
      </c>
      <c r="AE2434" t="s">
        <v>32</v>
      </c>
      <c r="AF2434" t="s">
        <v>46835</v>
      </c>
    </row>
    <row r="2435" spans="1:33" x14ac:dyDescent="0.2">
      <c r="A2435">
        <v>2430</v>
      </c>
      <c r="B2435" t="s">
        <v>27782</v>
      </c>
      <c r="C2435" t="s">
        <v>27783</v>
      </c>
      <c r="D2435" t="s">
        <v>32</v>
      </c>
      <c r="E2435" t="s">
        <v>27784</v>
      </c>
      <c r="F2435" t="s">
        <v>27785</v>
      </c>
      <c r="G2435" t="s">
        <v>27786</v>
      </c>
      <c r="H2435" t="str">
        <f>"Tbc1d7"</f>
        <v>Tbc1d7</v>
      </c>
      <c r="I2435" t="s">
        <v>32</v>
      </c>
      <c r="J2435" t="s">
        <v>37</v>
      </c>
      <c r="K2435">
        <v>10090</v>
      </c>
      <c r="L2435" s="3" t="str">
        <f>HYPERLINK("http://www.uniprot.org/uniprot/Q9D0K0", "Q9D0K0")</f>
        <v>Q9D0K0</v>
      </c>
      <c r="M2435" t="s">
        <v>27787</v>
      </c>
      <c r="N2435" t="str">
        <f>"Tbc1d7"</f>
        <v>Tbc1d7</v>
      </c>
      <c r="O2435" s="3" t="str">
        <f>HYPERLINK("http://www.informatics.jax.org/marker/MGI:1914296", "MGI:1914296")</f>
        <v>MGI:1914296</v>
      </c>
      <c r="P2435" t="s">
        <v>27788</v>
      </c>
      <c r="Q2435" t="s">
        <v>32</v>
      </c>
      <c r="R2435" t="s">
        <v>27789</v>
      </c>
      <c r="S2435" t="s">
        <v>41</v>
      </c>
      <c r="T2435" t="s">
        <v>32</v>
      </c>
      <c r="U2435" t="s">
        <v>32</v>
      </c>
      <c r="V2435" t="s">
        <v>32</v>
      </c>
      <c r="W2435" t="s">
        <v>32</v>
      </c>
      <c r="X2435" t="s">
        <v>715</v>
      </c>
      <c r="Y2435" t="s">
        <v>32</v>
      </c>
      <c r="Z2435" t="s">
        <v>32</v>
      </c>
      <c r="AA2435" t="s">
        <v>27790</v>
      </c>
      <c r="AB2435" t="s">
        <v>27791</v>
      </c>
      <c r="AC2435" t="s">
        <v>27623</v>
      </c>
      <c r="AD2435" t="s">
        <v>32</v>
      </c>
      <c r="AE2435" t="s">
        <v>20884</v>
      </c>
      <c r="AF2435" t="s">
        <v>46835</v>
      </c>
    </row>
    <row r="2436" spans="1:33" x14ac:dyDescent="0.2">
      <c r="A2436">
        <v>2431</v>
      </c>
      <c r="B2436" t="s">
        <v>27792</v>
      </c>
      <c r="C2436" t="s">
        <v>27793</v>
      </c>
      <c r="D2436" t="s">
        <v>27794</v>
      </c>
      <c r="E2436" t="s">
        <v>27795</v>
      </c>
      <c r="F2436" t="s">
        <v>27796</v>
      </c>
      <c r="G2436" t="s">
        <v>27797</v>
      </c>
      <c r="H2436" t="str">
        <f>"Fstl1"</f>
        <v>Fstl1</v>
      </c>
      <c r="I2436" t="s">
        <v>27798</v>
      </c>
      <c r="J2436" t="s">
        <v>37</v>
      </c>
      <c r="K2436">
        <v>10090</v>
      </c>
      <c r="L2436" s="3" t="str">
        <f>HYPERLINK("http://www.uniprot.org/uniprot/Q62356", "Q62356")</f>
        <v>Q62356</v>
      </c>
      <c r="M2436" t="s">
        <v>27799</v>
      </c>
      <c r="N2436" t="str">
        <f>"Fstl1"</f>
        <v>Fstl1</v>
      </c>
      <c r="O2436" s="3" t="str">
        <f>HYPERLINK("http://www.informatics.jax.org/marker/MGI:102793", "MGI:102793")</f>
        <v>MGI:102793</v>
      </c>
      <c r="P2436" t="s">
        <v>27800</v>
      </c>
      <c r="Q2436" t="s">
        <v>32</v>
      </c>
      <c r="R2436" t="s">
        <v>630</v>
      </c>
      <c r="S2436" t="s">
        <v>32</v>
      </c>
      <c r="T2436" t="s">
        <v>32</v>
      </c>
      <c r="U2436" t="s">
        <v>32</v>
      </c>
      <c r="V2436" t="s">
        <v>478</v>
      </c>
      <c r="W2436" t="s">
        <v>32</v>
      </c>
      <c r="X2436" t="s">
        <v>5246</v>
      </c>
      <c r="Y2436" t="s">
        <v>2865</v>
      </c>
      <c r="Z2436" t="s">
        <v>126</v>
      </c>
      <c r="AA2436" t="s">
        <v>27801</v>
      </c>
      <c r="AB2436" t="s">
        <v>9349</v>
      </c>
      <c r="AC2436" t="s">
        <v>27802</v>
      </c>
      <c r="AD2436" t="s">
        <v>32</v>
      </c>
      <c r="AE2436" t="s">
        <v>27803</v>
      </c>
      <c r="AF2436" t="s">
        <v>46835</v>
      </c>
    </row>
    <row r="2437" spans="1:33" x14ac:dyDescent="0.2">
      <c r="A2437">
        <v>2432</v>
      </c>
      <c r="B2437" t="s">
        <v>27804</v>
      </c>
      <c r="C2437" t="s">
        <v>27805</v>
      </c>
      <c r="D2437" t="s">
        <v>32</v>
      </c>
      <c r="E2437" t="s">
        <v>27806</v>
      </c>
      <c r="F2437" t="s">
        <v>27807</v>
      </c>
      <c r="G2437" t="s">
        <v>27808</v>
      </c>
      <c r="H2437" t="str">
        <f>"Lsg1"</f>
        <v>Lsg1</v>
      </c>
      <c r="I2437" t="s">
        <v>27809</v>
      </c>
      <c r="J2437" t="s">
        <v>37</v>
      </c>
      <c r="K2437">
        <v>10090</v>
      </c>
      <c r="L2437" s="3" t="str">
        <f>HYPERLINK("http://www.uniprot.org/uniprot/Q3UM18", "Q3UM18")</f>
        <v>Q3UM18</v>
      </c>
      <c r="M2437" t="s">
        <v>27810</v>
      </c>
      <c r="N2437" t="str">
        <f>"Lsg1"</f>
        <v>Lsg1</v>
      </c>
      <c r="O2437" s="3" t="str">
        <f>HYPERLINK("http://www.informatics.jax.org/marker/MGI:107236", "MGI:107236")</f>
        <v>MGI:107236</v>
      </c>
      <c r="P2437" t="s">
        <v>27811</v>
      </c>
      <c r="Q2437" t="s">
        <v>434</v>
      </c>
      <c r="R2437" t="s">
        <v>729</v>
      </c>
      <c r="S2437" t="s">
        <v>41</v>
      </c>
      <c r="T2437" t="s">
        <v>32</v>
      </c>
      <c r="U2437" t="s">
        <v>32</v>
      </c>
      <c r="V2437" t="s">
        <v>32</v>
      </c>
      <c r="W2437" t="s">
        <v>261</v>
      </c>
      <c r="X2437" t="s">
        <v>343</v>
      </c>
      <c r="Y2437" t="s">
        <v>618</v>
      </c>
      <c r="Z2437" t="s">
        <v>32</v>
      </c>
      <c r="AA2437" t="s">
        <v>27812</v>
      </c>
      <c r="AB2437" t="s">
        <v>27813</v>
      </c>
      <c r="AC2437" t="s">
        <v>15410</v>
      </c>
      <c r="AD2437" t="s">
        <v>32</v>
      </c>
      <c r="AE2437" t="s">
        <v>32</v>
      </c>
      <c r="AF2437" t="s">
        <v>46835</v>
      </c>
    </row>
    <row r="2438" spans="1:33" x14ac:dyDescent="0.2">
      <c r="A2438">
        <v>2433</v>
      </c>
      <c r="B2438" t="s">
        <v>27814</v>
      </c>
      <c r="C2438" t="s">
        <v>27815</v>
      </c>
      <c r="D2438" t="s">
        <v>27816</v>
      </c>
      <c r="E2438" t="s">
        <v>27817</v>
      </c>
      <c r="F2438" t="s">
        <v>27818</v>
      </c>
      <c r="G2438" t="s">
        <v>32</v>
      </c>
      <c r="H2438" t="str">
        <f>"Ddx50"</f>
        <v>Ddx50</v>
      </c>
      <c r="I2438" t="s">
        <v>32</v>
      </c>
      <c r="J2438" t="s">
        <v>37</v>
      </c>
      <c r="K2438">
        <v>10090</v>
      </c>
      <c r="L2438" s="3" t="str">
        <f>HYPERLINK("http://www.uniprot.org/uniprot/Q99MJ9", "Q99MJ9")</f>
        <v>Q99MJ9</v>
      </c>
      <c r="M2438" t="s">
        <v>27819</v>
      </c>
      <c r="N2438" t="str">
        <f>"Ddx50"</f>
        <v>Ddx50</v>
      </c>
      <c r="O2438" s="3" t="str">
        <f>HYPERLINK("http://www.informatics.jax.org/marker/MGI:2182303", "MGI:2182303")</f>
        <v>MGI:2182303</v>
      </c>
      <c r="P2438" t="s">
        <v>27820</v>
      </c>
      <c r="Q2438" t="s">
        <v>32</v>
      </c>
      <c r="R2438" t="s">
        <v>2279</v>
      </c>
      <c r="S2438" t="s">
        <v>32</v>
      </c>
      <c r="T2438" t="s">
        <v>32</v>
      </c>
      <c r="U2438" t="s">
        <v>32</v>
      </c>
      <c r="V2438" t="s">
        <v>32</v>
      </c>
      <c r="W2438" t="s">
        <v>205</v>
      </c>
      <c r="X2438" t="s">
        <v>5050</v>
      </c>
      <c r="Y2438" t="s">
        <v>1007</v>
      </c>
      <c r="Z2438" t="s">
        <v>32</v>
      </c>
      <c r="AA2438" t="s">
        <v>32</v>
      </c>
      <c r="AB2438" t="s">
        <v>27821</v>
      </c>
      <c r="AC2438" t="s">
        <v>5185</v>
      </c>
      <c r="AD2438" t="s">
        <v>32</v>
      </c>
      <c r="AE2438" t="s">
        <v>32</v>
      </c>
      <c r="AF2438" t="s">
        <v>46835</v>
      </c>
    </row>
    <row r="2439" spans="1:33" x14ac:dyDescent="0.2">
      <c r="A2439">
        <v>2434</v>
      </c>
      <c r="B2439" t="s">
        <v>27822</v>
      </c>
      <c r="C2439" t="s">
        <v>27823</v>
      </c>
      <c r="D2439" t="s">
        <v>27824</v>
      </c>
      <c r="E2439" t="s">
        <v>27825</v>
      </c>
      <c r="F2439" t="s">
        <v>27826</v>
      </c>
      <c r="G2439" t="s">
        <v>27827</v>
      </c>
      <c r="H2439" t="str">
        <f>"Maf"</f>
        <v>Maf</v>
      </c>
      <c r="I2439" t="s">
        <v>27828</v>
      </c>
      <c r="J2439" t="s">
        <v>37</v>
      </c>
      <c r="K2439">
        <v>10090</v>
      </c>
      <c r="L2439" s="3" t="str">
        <f>HYPERLINK("http://www.uniprot.org/uniprot/P54843", "P54843")</f>
        <v>P54843</v>
      </c>
      <c r="M2439" t="s">
        <v>27829</v>
      </c>
      <c r="N2439" t="str">
        <f>"Maf"</f>
        <v>Maf</v>
      </c>
      <c r="O2439" s="3" t="str">
        <f>HYPERLINK("http://www.informatics.jax.org/marker/MGI:96909", "MGI:96909")</f>
        <v>MGI:96909</v>
      </c>
      <c r="P2439" t="s">
        <v>27830</v>
      </c>
      <c r="Q2439" t="s">
        <v>4152</v>
      </c>
      <c r="R2439" t="s">
        <v>2279</v>
      </c>
      <c r="S2439" t="s">
        <v>41</v>
      </c>
      <c r="T2439" t="s">
        <v>32</v>
      </c>
      <c r="U2439" t="s">
        <v>27831</v>
      </c>
      <c r="V2439" t="s">
        <v>32</v>
      </c>
      <c r="W2439" t="s">
        <v>32</v>
      </c>
      <c r="X2439" t="s">
        <v>17531</v>
      </c>
      <c r="Y2439" t="s">
        <v>7792</v>
      </c>
      <c r="Z2439" t="s">
        <v>32</v>
      </c>
      <c r="AA2439" t="s">
        <v>27832</v>
      </c>
      <c r="AB2439" t="s">
        <v>27833</v>
      </c>
      <c r="AC2439" t="s">
        <v>27834</v>
      </c>
      <c r="AD2439" t="s">
        <v>32</v>
      </c>
      <c r="AE2439" t="s">
        <v>32</v>
      </c>
      <c r="AF2439" t="s">
        <v>46835</v>
      </c>
    </row>
    <row r="2440" spans="1:33" x14ac:dyDescent="0.2">
      <c r="A2440">
        <v>2435</v>
      </c>
      <c r="B2440" t="s">
        <v>27835</v>
      </c>
      <c r="C2440" t="s">
        <v>27836</v>
      </c>
      <c r="D2440" t="s">
        <v>27837</v>
      </c>
      <c r="E2440" t="s">
        <v>27838</v>
      </c>
      <c r="F2440" t="s">
        <v>27839</v>
      </c>
      <c r="G2440" t="s">
        <v>32</v>
      </c>
      <c r="H2440" t="str">
        <f>"Sf3a2"</f>
        <v>Sf3a2</v>
      </c>
      <c r="I2440" t="s">
        <v>27840</v>
      </c>
      <c r="J2440" t="s">
        <v>37</v>
      </c>
      <c r="K2440">
        <v>10090</v>
      </c>
      <c r="L2440" s="3" t="str">
        <f>HYPERLINK("http://www.uniprot.org/uniprot/Q62203", "Q62203")</f>
        <v>Q62203</v>
      </c>
      <c r="M2440" t="s">
        <v>27841</v>
      </c>
      <c r="N2440" t="str">
        <f>"Sf3a2"</f>
        <v>Sf3a2</v>
      </c>
      <c r="O2440" s="3" t="str">
        <f>HYPERLINK("http://www.informatics.jax.org/marker/MGI:104912", "MGI:104912")</f>
        <v>MGI:104912</v>
      </c>
      <c r="P2440" t="s">
        <v>27842</v>
      </c>
      <c r="Q2440" t="s">
        <v>2139</v>
      </c>
      <c r="R2440" t="s">
        <v>2140</v>
      </c>
      <c r="S2440" t="s">
        <v>32</v>
      </c>
      <c r="T2440" t="s">
        <v>32</v>
      </c>
      <c r="U2440" t="s">
        <v>32</v>
      </c>
      <c r="V2440" t="s">
        <v>3791</v>
      </c>
      <c r="W2440" t="s">
        <v>42</v>
      </c>
      <c r="X2440" t="s">
        <v>32</v>
      </c>
      <c r="Y2440" t="s">
        <v>157</v>
      </c>
      <c r="Z2440" t="s">
        <v>32</v>
      </c>
      <c r="AA2440" t="s">
        <v>27843</v>
      </c>
      <c r="AB2440" t="s">
        <v>27844</v>
      </c>
      <c r="AC2440" t="s">
        <v>27845</v>
      </c>
      <c r="AD2440" t="s">
        <v>32</v>
      </c>
      <c r="AE2440" t="s">
        <v>946</v>
      </c>
      <c r="AF2440" t="s">
        <v>46835</v>
      </c>
    </row>
    <row r="2441" spans="1:33" x14ac:dyDescent="0.2">
      <c r="A2441">
        <v>2436</v>
      </c>
      <c r="B2441" t="s">
        <v>27846</v>
      </c>
      <c r="C2441" t="s">
        <v>27847</v>
      </c>
      <c r="D2441" t="s">
        <v>32</v>
      </c>
      <c r="E2441" t="s">
        <v>27848</v>
      </c>
      <c r="F2441" t="s">
        <v>27849</v>
      </c>
      <c r="G2441" t="s">
        <v>27850</v>
      </c>
      <c r="H2441" t="str">
        <f>"Tax1bp1"</f>
        <v>Tax1bp1</v>
      </c>
      <c r="I2441" t="s">
        <v>32</v>
      </c>
      <c r="J2441" t="s">
        <v>37</v>
      </c>
      <c r="K2441">
        <v>10090</v>
      </c>
      <c r="L2441" s="3" t="str">
        <f>HYPERLINK("http://www.uniprot.org/uniprot/Q3UKC1", "Q3UKC1")</f>
        <v>Q3UKC1</v>
      </c>
      <c r="M2441" t="s">
        <v>27851</v>
      </c>
      <c r="N2441" t="str">
        <f>"Tax1bp1"</f>
        <v>Tax1bp1</v>
      </c>
      <c r="O2441" s="3" t="str">
        <f>HYPERLINK("http://www.informatics.jax.org/marker/MGI:1289308", "MGI:1289308")</f>
        <v>MGI:1289308</v>
      </c>
      <c r="P2441" t="s">
        <v>27852</v>
      </c>
      <c r="Q2441" t="s">
        <v>541</v>
      </c>
      <c r="R2441" t="s">
        <v>32</v>
      </c>
      <c r="S2441" t="s">
        <v>32</v>
      </c>
      <c r="T2441" t="s">
        <v>32</v>
      </c>
      <c r="U2441" t="s">
        <v>32</v>
      </c>
      <c r="V2441" t="s">
        <v>12028</v>
      </c>
      <c r="W2441" t="s">
        <v>42</v>
      </c>
      <c r="X2441" t="s">
        <v>32</v>
      </c>
      <c r="Y2441" t="s">
        <v>618</v>
      </c>
      <c r="Z2441" t="s">
        <v>32</v>
      </c>
      <c r="AA2441" t="s">
        <v>27853</v>
      </c>
      <c r="AB2441" t="s">
        <v>32</v>
      </c>
      <c r="AC2441" t="s">
        <v>27854</v>
      </c>
      <c r="AD2441" t="s">
        <v>32</v>
      </c>
      <c r="AE2441" t="s">
        <v>27855</v>
      </c>
      <c r="AF2441" t="s">
        <v>46835</v>
      </c>
    </row>
    <row r="2442" spans="1:33" x14ac:dyDescent="0.2">
      <c r="A2442">
        <v>2437</v>
      </c>
      <c r="B2442" t="s">
        <v>27856</v>
      </c>
      <c r="C2442" t="s">
        <v>27857</v>
      </c>
      <c r="D2442" t="s">
        <v>27858</v>
      </c>
      <c r="E2442" t="s">
        <v>27859</v>
      </c>
      <c r="F2442" t="s">
        <v>27860</v>
      </c>
      <c r="G2442" t="s">
        <v>27861</v>
      </c>
      <c r="H2442" t="str">
        <f>"Hmgn5"</f>
        <v>Hmgn5</v>
      </c>
      <c r="I2442" t="s">
        <v>27862</v>
      </c>
      <c r="J2442" t="s">
        <v>37</v>
      </c>
      <c r="K2442">
        <v>10090</v>
      </c>
      <c r="L2442" s="3" t="str">
        <f>HYPERLINK("http://www.uniprot.org/uniprot/Q9JL35", "Q9JL35")</f>
        <v>Q9JL35</v>
      </c>
      <c r="M2442" t="s">
        <v>27863</v>
      </c>
      <c r="N2442" t="str">
        <f>"Hmgn5"</f>
        <v>Hmgn5</v>
      </c>
      <c r="O2442" s="3" t="str">
        <f>HYPERLINK("http://www.informatics.jax.org/marker/MGI:1355295", "MGI:1355295")</f>
        <v>MGI:1355295</v>
      </c>
      <c r="P2442" t="s">
        <v>27864</v>
      </c>
      <c r="Q2442" t="s">
        <v>4152</v>
      </c>
      <c r="R2442" t="s">
        <v>2279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5712</v>
      </c>
      <c r="Y2442" t="s">
        <v>1007</v>
      </c>
      <c r="Z2442" t="s">
        <v>32</v>
      </c>
      <c r="AA2442" t="s">
        <v>27865</v>
      </c>
      <c r="AB2442" t="s">
        <v>27866</v>
      </c>
      <c r="AC2442" t="s">
        <v>9045</v>
      </c>
      <c r="AD2442" t="s">
        <v>32</v>
      </c>
      <c r="AE2442" t="s">
        <v>32</v>
      </c>
      <c r="AF2442" t="s">
        <v>46835</v>
      </c>
    </row>
    <row r="2443" spans="1:33" x14ac:dyDescent="0.2">
      <c r="A2443">
        <v>2438</v>
      </c>
      <c r="B2443" t="s">
        <v>27867</v>
      </c>
      <c r="C2443" t="s">
        <v>27868</v>
      </c>
      <c r="D2443" t="s">
        <v>27869</v>
      </c>
      <c r="E2443" t="s">
        <v>27870</v>
      </c>
      <c r="F2443" t="s">
        <v>27871</v>
      </c>
      <c r="G2443" t="s">
        <v>27872</v>
      </c>
      <c r="H2443" t="str">
        <f>"Usp19"</f>
        <v>Usp19</v>
      </c>
      <c r="I2443" t="s">
        <v>27873</v>
      </c>
      <c r="J2443" t="s">
        <v>37</v>
      </c>
      <c r="K2443">
        <v>10090</v>
      </c>
      <c r="L2443" s="3" t="str">
        <f>HYPERLINK("http://www.uniprot.org/uniprot/Q3UJD6", "Q3UJD6")</f>
        <v>Q3UJD6</v>
      </c>
      <c r="M2443" t="s">
        <v>27874</v>
      </c>
      <c r="N2443" t="str">
        <f>"Usp19"</f>
        <v>Usp19</v>
      </c>
      <c r="O2443" s="3" t="str">
        <f>HYPERLINK("http://www.informatics.jax.org/marker/MGI:1918722", "MGI:1918722")</f>
        <v>MGI:1918722</v>
      </c>
      <c r="P2443" t="s">
        <v>27875</v>
      </c>
      <c r="Q2443" t="s">
        <v>1020</v>
      </c>
      <c r="R2443" t="s">
        <v>1664</v>
      </c>
      <c r="S2443" t="s">
        <v>41</v>
      </c>
      <c r="T2443" t="s">
        <v>32</v>
      </c>
      <c r="U2443" t="s">
        <v>32</v>
      </c>
      <c r="V2443" t="s">
        <v>27876</v>
      </c>
      <c r="W2443" t="s">
        <v>42</v>
      </c>
      <c r="X2443" t="s">
        <v>557</v>
      </c>
      <c r="Y2443" t="s">
        <v>618</v>
      </c>
      <c r="Z2443" t="s">
        <v>32</v>
      </c>
      <c r="AA2443" t="s">
        <v>27877</v>
      </c>
      <c r="AB2443" t="s">
        <v>27878</v>
      </c>
      <c r="AC2443" t="s">
        <v>27879</v>
      </c>
      <c r="AD2443" t="s">
        <v>32</v>
      </c>
      <c r="AE2443" t="s">
        <v>6333</v>
      </c>
      <c r="AF2443" t="s">
        <v>46835</v>
      </c>
    </row>
    <row r="2444" spans="1:33" x14ac:dyDescent="0.2">
      <c r="A2444">
        <v>2439</v>
      </c>
      <c r="B2444" t="s">
        <v>27880</v>
      </c>
      <c r="C2444" t="s">
        <v>27881</v>
      </c>
      <c r="D2444" t="s">
        <v>32</v>
      </c>
      <c r="E2444" t="s">
        <v>27882</v>
      </c>
      <c r="F2444" t="s">
        <v>27883</v>
      </c>
      <c r="G2444" t="s">
        <v>32</v>
      </c>
      <c r="H2444" t="str">
        <f>"Bax"</f>
        <v>Bax</v>
      </c>
      <c r="I2444" t="s">
        <v>32</v>
      </c>
      <c r="J2444" t="s">
        <v>37</v>
      </c>
      <c r="K2444">
        <v>10090</v>
      </c>
      <c r="L2444" s="3" t="str">
        <f>HYPERLINK("http://www.uniprot.org/uniprot/Q07813", "Q07813")</f>
        <v>Q07813</v>
      </c>
      <c r="M2444" t="s">
        <v>27884</v>
      </c>
      <c r="N2444" t="str">
        <f>"Bax"</f>
        <v>Bax</v>
      </c>
      <c r="O2444" s="3" t="str">
        <f>HYPERLINK("http://www.informatics.jax.org/marker/MGI:99702", "MGI:99702")</f>
        <v>MGI:99702</v>
      </c>
      <c r="P2444" t="s">
        <v>27885</v>
      </c>
      <c r="Q2444" t="s">
        <v>27886</v>
      </c>
      <c r="R2444" t="s">
        <v>9642</v>
      </c>
      <c r="S2444" t="s">
        <v>41</v>
      </c>
      <c r="T2444" t="s">
        <v>32</v>
      </c>
      <c r="U2444" t="s">
        <v>32</v>
      </c>
      <c r="V2444" t="s">
        <v>493</v>
      </c>
      <c r="W2444" t="s">
        <v>32</v>
      </c>
      <c r="X2444" t="s">
        <v>32</v>
      </c>
      <c r="Y2444" t="s">
        <v>78</v>
      </c>
      <c r="Z2444" t="s">
        <v>126</v>
      </c>
      <c r="AA2444" t="s">
        <v>27887</v>
      </c>
      <c r="AB2444" t="s">
        <v>27888</v>
      </c>
      <c r="AC2444" t="s">
        <v>27889</v>
      </c>
      <c r="AD2444" t="s">
        <v>32</v>
      </c>
      <c r="AE2444" t="s">
        <v>27890</v>
      </c>
      <c r="AF2444" t="s">
        <v>46835</v>
      </c>
    </row>
    <row r="2445" spans="1:33" x14ac:dyDescent="0.2">
      <c r="A2445">
        <v>2440</v>
      </c>
      <c r="B2445" t="s">
        <v>27891</v>
      </c>
      <c r="C2445" t="s">
        <v>47231</v>
      </c>
      <c r="D2445" t="s">
        <v>32</v>
      </c>
      <c r="E2445" t="s">
        <v>46974</v>
      </c>
      <c r="F2445" t="s">
        <v>46973</v>
      </c>
      <c r="G2445" t="s">
        <v>32</v>
      </c>
      <c r="H2445" t="s">
        <v>47364</v>
      </c>
      <c r="I2445" t="s">
        <v>32</v>
      </c>
      <c r="J2445" t="s">
        <v>37</v>
      </c>
      <c r="K2445">
        <v>10090</v>
      </c>
      <c r="L2445" s="3" t="str">
        <f>HYPERLINK(CONCATENATE("https://www.uniprot.org/uniprotkb/", AG2445, "/entry"), AG2445)</f>
        <v>A0A286YCX6</v>
      </c>
      <c r="M2445" t="s">
        <v>32</v>
      </c>
      <c r="N2445" t="s">
        <v>32</v>
      </c>
      <c r="O2445" s="3" t="s">
        <v>32</v>
      </c>
      <c r="P2445" t="s">
        <v>32</v>
      </c>
      <c r="Q2445" t="s">
        <v>32</v>
      </c>
      <c r="R2445" t="s">
        <v>32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32</v>
      </c>
      <c r="Y2445" t="s">
        <v>32</v>
      </c>
      <c r="Z2445" t="s">
        <v>32</v>
      </c>
      <c r="AA2445" t="s">
        <v>32</v>
      </c>
      <c r="AB2445" t="s">
        <v>32</v>
      </c>
      <c r="AC2445" t="s">
        <v>32</v>
      </c>
      <c r="AD2445" t="s">
        <v>32</v>
      </c>
      <c r="AE2445" t="s">
        <v>32</v>
      </c>
      <c r="AF2445" t="s">
        <v>46835</v>
      </c>
      <c r="AG2445" t="s">
        <v>46973</v>
      </c>
    </row>
    <row r="2446" spans="1:33" x14ac:dyDescent="0.2">
      <c r="A2446">
        <v>2441</v>
      </c>
      <c r="B2446" t="s">
        <v>27892</v>
      </c>
      <c r="C2446" t="s">
        <v>27893</v>
      </c>
      <c r="D2446" t="s">
        <v>27894</v>
      </c>
      <c r="E2446" t="s">
        <v>27895</v>
      </c>
      <c r="F2446" t="s">
        <v>27896</v>
      </c>
      <c r="G2446" t="s">
        <v>32</v>
      </c>
      <c r="H2446" t="str">
        <f>"Creld2"</f>
        <v>Creld2</v>
      </c>
      <c r="I2446" t="s">
        <v>32</v>
      </c>
      <c r="J2446" t="s">
        <v>37</v>
      </c>
      <c r="K2446">
        <v>10090</v>
      </c>
      <c r="L2446" s="3" t="str">
        <f>HYPERLINK("http://www.uniprot.org/uniprot/Q9CYA0", "Q9CYA0")</f>
        <v>Q9CYA0</v>
      </c>
      <c r="M2446" t="s">
        <v>27897</v>
      </c>
      <c r="N2446" t="str">
        <f>"Creld2"</f>
        <v>Creld2</v>
      </c>
      <c r="O2446" s="3" t="str">
        <f>HYPERLINK("http://www.informatics.jax.org/marker/MGI:1923987", "MGI:1923987")</f>
        <v>MGI:1923987</v>
      </c>
      <c r="P2446" t="s">
        <v>27898</v>
      </c>
      <c r="Q2446" t="s">
        <v>32</v>
      </c>
      <c r="R2446" t="s">
        <v>671</v>
      </c>
      <c r="S2446" t="s">
        <v>32</v>
      </c>
      <c r="T2446" t="s">
        <v>32</v>
      </c>
      <c r="U2446" t="s">
        <v>32</v>
      </c>
      <c r="V2446" t="s">
        <v>27899</v>
      </c>
      <c r="W2446" t="s">
        <v>1380</v>
      </c>
      <c r="X2446" t="s">
        <v>673</v>
      </c>
      <c r="Y2446" t="s">
        <v>5275</v>
      </c>
      <c r="Z2446" t="s">
        <v>32</v>
      </c>
      <c r="AA2446" t="s">
        <v>32</v>
      </c>
      <c r="AB2446" t="s">
        <v>27900</v>
      </c>
      <c r="AC2446" t="s">
        <v>27554</v>
      </c>
      <c r="AD2446" t="s">
        <v>32</v>
      </c>
      <c r="AE2446" t="s">
        <v>32</v>
      </c>
      <c r="AF2446" t="s">
        <v>46835</v>
      </c>
    </row>
    <row r="2447" spans="1:33" x14ac:dyDescent="0.2">
      <c r="A2447">
        <v>2442</v>
      </c>
      <c r="B2447" t="s">
        <v>27901</v>
      </c>
      <c r="C2447" t="s">
        <v>27902</v>
      </c>
      <c r="D2447" t="s">
        <v>27903</v>
      </c>
      <c r="E2447" t="s">
        <v>27904</v>
      </c>
      <c r="F2447" t="s">
        <v>27905</v>
      </c>
      <c r="G2447" t="s">
        <v>27906</v>
      </c>
      <c r="H2447" t="str">
        <f>"Sra1"</f>
        <v>Sra1</v>
      </c>
      <c r="I2447" t="s">
        <v>32</v>
      </c>
      <c r="J2447" t="s">
        <v>37</v>
      </c>
      <c r="K2447">
        <v>10090</v>
      </c>
      <c r="L2447" s="3" t="str">
        <f>HYPERLINK("http://www.uniprot.org/uniprot/Q80VJ2", "Q80VJ2")</f>
        <v>Q80VJ2</v>
      </c>
      <c r="M2447" t="s">
        <v>27907</v>
      </c>
      <c r="N2447" t="str">
        <f>"Sra1"</f>
        <v>Sra1</v>
      </c>
      <c r="O2447" s="3" t="str">
        <f>HYPERLINK("http://www.informatics.jax.org/marker/MGI:1344414", "MGI:1344414")</f>
        <v>MGI:1344414</v>
      </c>
      <c r="P2447" t="s">
        <v>27908</v>
      </c>
      <c r="Q2447" t="s">
        <v>20510</v>
      </c>
      <c r="R2447" t="s">
        <v>40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27909</v>
      </c>
      <c r="Y2447" t="s">
        <v>618</v>
      </c>
      <c r="Z2447" t="s">
        <v>126</v>
      </c>
      <c r="AA2447" t="s">
        <v>27910</v>
      </c>
      <c r="AB2447" t="s">
        <v>27911</v>
      </c>
      <c r="AC2447" t="s">
        <v>27912</v>
      </c>
      <c r="AD2447" t="s">
        <v>32</v>
      </c>
      <c r="AE2447" t="s">
        <v>32</v>
      </c>
      <c r="AF2447" t="s">
        <v>46835</v>
      </c>
    </row>
    <row r="2448" spans="1:33" x14ac:dyDescent="0.2">
      <c r="A2448">
        <v>2443</v>
      </c>
      <c r="B2448" t="s">
        <v>27913</v>
      </c>
      <c r="C2448" t="s">
        <v>27914</v>
      </c>
      <c r="D2448" t="s">
        <v>32</v>
      </c>
      <c r="E2448" t="s">
        <v>27915</v>
      </c>
      <c r="F2448" t="s">
        <v>27916</v>
      </c>
      <c r="G2448" t="s">
        <v>27917</v>
      </c>
      <c r="H2448" t="s">
        <v>32</v>
      </c>
      <c r="I2448" t="s">
        <v>32</v>
      </c>
      <c r="J2448" t="s">
        <v>37</v>
      </c>
      <c r="K2448">
        <v>10090</v>
      </c>
      <c r="L2448" s="3" t="str">
        <f>HYPERLINK("http://www.uniprot.org/uniprot/Q8C5K5", "Q8C5K5")</f>
        <v>Q8C5K5</v>
      </c>
      <c r="M2448" t="s">
        <v>27918</v>
      </c>
      <c r="N2448" t="str">
        <f>"1810030O07Rik"</f>
        <v>1810030O07Rik</v>
      </c>
      <c r="O2448" s="3" t="str">
        <f>HYPERLINK("http://www.informatics.jax.org/marker/MGI:1916405", "MGI:1916405")</f>
        <v>MGI:1916405</v>
      </c>
      <c r="P2448" t="s">
        <v>27919</v>
      </c>
      <c r="Q2448" t="s">
        <v>32</v>
      </c>
      <c r="R2448" t="s">
        <v>32</v>
      </c>
      <c r="S2448" t="s">
        <v>41</v>
      </c>
      <c r="T2448" t="s">
        <v>32</v>
      </c>
      <c r="U2448" t="s">
        <v>32</v>
      </c>
      <c r="V2448" t="s">
        <v>32</v>
      </c>
      <c r="W2448" t="s">
        <v>32</v>
      </c>
      <c r="X2448" t="s">
        <v>32</v>
      </c>
      <c r="Y2448" t="s">
        <v>2734</v>
      </c>
      <c r="Z2448" t="s">
        <v>32</v>
      </c>
      <c r="AA2448" t="s">
        <v>32</v>
      </c>
      <c r="AB2448" t="s">
        <v>32</v>
      </c>
      <c r="AC2448" t="s">
        <v>32</v>
      </c>
      <c r="AD2448" t="s">
        <v>32</v>
      </c>
      <c r="AE2448" t="s">
        <v>32</v>
      </c>
      <c r="AF2448" t="s">
        <v>46835</v>
      </c>
    </row>
    <row r="2449" spans="1:32" x14ac:dyDescent="0.2">
      <c r="A2449">
        <v>2444</v>
      </c>
      <c r="B2449" t="s">
        <v>27920</v>
      </c>
      <c r="C2449" t="s">
        <v>27921</v>
      </c>
      <c r="D2449" t="s">
        <v>27922</v>
      </c>
      <c r="E2449" t="s">
        <v>27923</v>
      </c>
      <c r="F2449" t="s">
        <v>27924</v>
      </c>
      <c r="G2449" t="s">
        <v>32</v>
      </c>
      <c r="H2449" t="str">
        <f>"Sgtb"</f>
        <v>Sgtb</v>
      </c>
      <c r="I2449" t="s">
        <v>32</v>
      </c>
      <c r="J2449" t="s">
        <v>37</v>
      </c>
      <c r="K2449">
        <v>10090</v>
      </c>
      <c r="L2449" s="3" t="str">
        <f>HYPERLINK("http://www.uniprot.org/uniprot/Q8VD33", "Q8VD33")</f>
        <v>Q8VD33</v>
      </c>
      <c r="M2449" t="s">
        <v>27925</v>
      </c>
      <c r="N2449" t="str">
        <f>"Sgtb"</f>
        <v>Sgtb</v>
      </c>
      <c r="O2449" s="3" t="str">
        <f>HYPERLINK("http://www.informatics.jax.org/marker/MGI:2444615", "MGI:2444615")</f>
        <v>MGI:2444615</v>
      </c>
      <c r="P2449" t="s">
        <v>27926</v>
      </c>
      <c r="Q2449" t="s">
        <v>32</v>
      </c>
      <c r="R2449" t="s">
        <v>32</v>
      </c>
      <c r="S2449" t="s">
        <v>32</v>
      </c>
      <c r="T2449" t="s">
        <v>32</v>
      </c>
      <c r="U2449" t="s">
        <v>32</v>
      </c>
      <c r="V2449" t="s">
        <v>995</v>
      </c>
      <c r="W2449" t="s">
        <v>32</v>
      </c>
      <c r="X2449" t="s">
        <v>388</v>
      </c>
      <c r="Y2449" t="s">
        <v>157</v>
      </c>
      <c r="Z2449" t="s">
        <v>32</v>
      </c>
      <c r="AA2449" t="s">
        <v>27927</v>
      </c>
      <c r="AB2449" t="s">
        <v>27928</v>
      </c>
      <c r="AC2449" t="s">
        <v>27929</v>
      </c>
      <c r="AD2449" t="s">
        <v>32</v>
      </c>
      <c r="AE2449" t="s">
        <v>32</v>
      </c>
      <c r="AF2449" t="s">
        <v>46835</v>
      </c>
    </row>
    <row r="2450" spans="1:32" x14ac:dyDescent="0.2">
      <c r="A2450">
        <v>2445</v>
      </c>
      <c r="B2450" t="s">
        <v>27930</v>
      </c>
      <c r="C2450" t="s">
        <v>27931</v>
      </c>
      <c r="D2450" t="s">
        <v>27932</v>
      </c>
      <c r="E2450" t="s">
        <v>27933</v>
      </c>
      <c r="F2450" t="s">
        <v>27934</v>
      </c>
      <c r="G2450" t="s">
        <v>27935</v>
      </c>
      <c r="H2450" t="str">
        <f>"Hspb11"</f>
        <v>Hspb11</v>
      </c>
      <c r="I2450" t="s">
        <v>27936</v>
      </c>
      <c r="J2450" t="s">
        <v>37</v>
      </c>
      <c r="K2450">
        <v>10090</v>
      </c>
      <c r="L2450" s="3" t="str">
        <f>HYPERLINK("http://www.uniprot.org/uniprot/Q9D6H2", "Q9D6H2")</f>
        <v>Q9D6H2</v>
      </c>
      <c r="M2450" t="s">
        <v>27937</v>
      </c>
      <c r="N2450" t="str">
        <f>"Hspb11"</f>
        <v>Hspb11</v>
      </c>
      <c r="O2450" s="3" t="str">
        <f>HYPERLINK("http://www.informatics.jax.org/marker/MGI:1920188", "MGI:1920188")</f>
        <v>MGI:1920188</v>
      </c>
      <c r="P2450" t="s">
        <v>27938</v>
      </c>
      <c r="Q2450" t="s">
        <v>27939</v>
      </c>
      <c r="R2450" t="s">
        <v>23210</v>
      </c>
      <c r="S2450" t="s">
        <v>32</v>
      </c>
      <c r="T2450" t="s">
        <v>32</v>
      </c>
      <c r="U2450" t="s">
        <v>32</v>
      </c>
      <c r="V2450" t="s">
        <v>32</v>
      </c>
      <c r="W2450" t="s">
        <v>188</v>
      </c>
      <c r="X2450" t="s">
        <v>32</v>
      </c>
      <c r="Y2450" t="s">
        <v>32</v>
      </c>
      <c r="Z2450" t="s">
        <v>32</v>
      </c>
      <c r="AA2450" t="s">
        <v>27940</v>
      </c>
      <c r="AB2450" t="s">
        <v>23212</v>
      </c>
      <c r="AC2450" t="s">
        <v>4525</v>
      </c>
      <c r="AD2450" t="s">
        <v>32</v>
      </c>
      <c r="AE2450" t="s">
        <v>8858</v>
      </c>
      <c r="AF2450" t="s">
        <v>46835</v>
      </c>
    </row>
    <row r="2451" spans="1:32" x14ac:dyDescent="0.2">
      <c r="A2451">
        <v>2446</v>
      </c>
      <c r="B2451" t="s">
        <v>27941</v>
      </c>
      <c r="C2451" t="s">
        <v>27942</v>
      </c>
      <c r="D2451" t="s">
        <v>27943</v>
      </c>
      <c r="E2451" t="s">
        <v>27944</v>
      </c>
      <c r="F2451" t="s">
        <v>27945</v>
      </c>
      <c r="G2451" t="s">
        <v>27946</v>
      </c>
      <c r="H2451" t="str">
        <f>"Faf2"</f>
        <v>Faf2</v>
      </c>
      <c r="I2451" t="s">
        <v>27947</v>
      </c>
      <c r="J2451" t="s">
        <v>37</v>
      </c>
      <c r="K2451">
        <v>10090</v>
      </c>
      <c r="L2451" s="3" t="str">
        <f>HYPERLINK("http://www.uniprot.org/uniprot/Q3TDN2", "Q3TDN2")</f>
        <v>Q3TDN2</v>
      </c>
      <c r="M2451" t="s">
        <v>27948</v>
      </c>
      <c r="N2451" t="str">
        <f>"Faf2"</f>
        <v>Faf2</v>
      </c>
      <c r="O2451" s="3" t="str">
        <f>HYPERLINK("http://www.informatics.jax.org/marker/MGI:1923827", "MGI:1923827")</f>
        <v>MGI:1923827</v>
      </c>
      <c r="P2451" t="s">
        <v>27949</v>
      </c>
      <c r="Q2451" t="s">
        <v>12126</v>
      </c>
      <c r="R2451" t="s">
        <v>27950</v>
      </c>
      <c r="S2451" t="s">
        <v>41</v>
      </c>
      <c r="T2451" t="s">
        <v>32</v>
      </c>
      <c r="U2451" t="s">
        <v>32</v>
      </c>
      <c r="V2451" t="s">
        <v>290</v>
      </c>
      <c r="W2451" t="s">
        <v>32</v>
      </c>
      <c r="X2451" t="s">
        <v>32</v>
      </c>
      <c r="Y2451" t="s">
        <v>78</v>
      </c>
      <c r="Z2451" t="s">
        <v>32</v>
      </c>
      <c r="AA2451" t="s">
        <v>27951</v>
      </c>
      <c r="AB2451" t="s">
        <v>27952</v>
      </c>
      <c r="AC2451" t="s">
        <v>27953</v>
      </c>
      <c r="AD2451" t="s">
        <v>32</v>
      </c>
      <c r="AE2451" t="s">
        <v>27954</v>
      </c>
      <c r="AF2451" t="s">
        <v>46835</v>
      </c>
    </row>
    <row r="2452" spans="1:32" x14ac:dyDescent="0.2">
      <c r="A2452">
        <v>2447</v>
      </c>
      <c r="B2452" t="s">
        <v>27955</v>
      </c>
      <c r="C2452" t="s">
        <v>27956</v>
      </c>
      <c r="D2452" t="s">
        <v>27957</v>
      </c>
      <c r="E2452" t="s">
        <v>27958</v>
      </c>
      <c r="F2452" t="s">
        <v>27959</v>
      </c>
      <c r="G2452" t="s">
        <v>32</v>
      </c>
      <c r="H2452" t="str">
        <f>"Serpinb6"</f>
        <v>Serpinb6</v>
      </c>
      <c r="I2452" t="s">
        <v>27960</v>
      </c>
      <c r="J2452" t="s">
        <v>37</v>
      </c>
      <c r="K2452">
        <v>10090</v>
      </c>
      <c r="L2452" s="3" t="str">
        <f>HYPERLINK("http://www.uniprot.org/uniprot/Q60854", "Q60854")</f>
        <v>Q60854</v>
      </c>
      <c r="M2452" t="s">
        <v>27961</v>
      </c>
      <c r="N2452" t="str">
        <f>"Serpinb6a"</f>
        <v>Serpinb6a</v>
      </c>
      <c r="O2452" s="3" t="str">
        <f>HYPERLINK("http://www.informatics.jax.org/marker/MGI:103123", "MGI:103123")</f>
        <v>MGI:103123</v>
      </c>
      <c r="P2452" t="s">
        <v>27962</v>
      </c>
      <c r="Q2452" t="s">
        <v>32</v>
      </c>
      <c r="R2452" t="s">
        <v>418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2661</v>
      </c>
      <c r="Y2452" t="s">
        <v>157</v>
      </c>
      <c r="Z2452" t="s">
        <v>32</v>
      </c>
      <c r="AA2452" t="s">
        <v>27963</v>
      </c>
      <c r="AB2452" t="s">
        <v>27964</v>
      </c>
      <c r="AC2452" t="s">
        <v>27965</v>
      </c>
      <c r="AD2452" t="s">
        <v>32</v>
      </c>
      <c r="AE2452" t="s">
        <v>5095</v>
      </c>
      <c r="AF2452" t="s">
        <v>46835</v>
      </c>
    </row>
    <row r="2453" spans="1:32" x14ac:dyDescent="0.2">
      <c r="A2453">
        <v>2448</v>
      </c>
      <c r="B2453" t="s">
        <v>27966</v>
      </c>
      <c r="C2453" t="s">
        <v>27967</v>
      </c>
      <c r="D2453" t="s">
        <v>32</v>
      </c>
      <c r="E2453" t="s">
        <v>27968</v>
      </c>
      <c r="F2453" t="s">
        <v>27969</v>
      </c>
      <c r="G2453" t="s">
        <v>27970</v>
      </c>
      <c r="H2453" t="str">
        <f>"Pds5a"</f>
        <v>Pds5a</v>
      </c>
      <c r="I2453" t="s">
        <v>27971</v>
      </c>
      <c r="J2453" t="s">
        <v>37</v>
      </c>
      <c r="K2453">
        <v>10090</v>
      </c>
      <c r="L2453" s="3" t="str">
        <f>HYPERLINK("http://www.uniprot.org/uniprot/Q6A026", "Q6A026")</f>
        <v>Q6A026</v>
      </c>
      <c r="M2453" t="s">
        <v>27972</v>
      </c>
      <c r="N2453" t="str">
        <f>"Pds5a"</f>
        <v>Pds5a</v>
      </c>
      <c r="O2453" s="3" t="str">
        <f>HYPERLINK("http://www.informatics.jax.org/marker/MGI:1918771", "MGI:1918771")</f>
        <v>MGI:1918771</v>
      </c>
      <c r="P2453" t="s">
        <v>27973</v>
      </c>
      <c r="Q2453" t="s">
        <v>2968</v>
      </c>
      <c r="R2453" t="s">
        <v>2279</v>
      </c>
      <c r="S2453" t="s">
        <v>32</v>
      </c>
      <c r="T2453" t="s">
        <v>32</v>
      </c>
      <c r="U2453" t="s">
        <v>32</v>
      </c>
      <c r="V2453" t="s">
        <v>55</v>
      </c>
      <c r="W2453" t="s">
        <v>32</v>
      </c>
      <c r="X2453" t="s">
        <v>32</v>
      </c>
      <c r="Y2453" t="s">
        <v>157</v>
      </c>
      <c r="Z2453" t="s">
        <v>32</v>
      </c>
      <c r="AA2453" t="s">
        <v>27974</v>
      </c>
      <c r="AB2453" t="s">
        <v>27975</v>
      </c>
      <c r="AC2453" t="s">
        <v>32</v>
      </c>
      <c r="AD2453" t="s">
        <v>32</v>
      </c>
      <c r="AE2453" t="s">
        <v>22043</v>
      </c>
      <c r="AF2453" t="s">
        <v>46835</v>
      </c>
    </row>
    <row r="2454" spans="1:32" x14ac:dyDescent="0.2">
      <c r="A2454">
        <v>2449</v>
      </c>
      <c r="B2454" t="s">
        <v>27976</v>
      </c>
      <c r="C2454" t="s">
        <v>27977</v>
      </c>
      <c r="D2454" t="s">
        <v>27978</v>
      </c>
      <c r="E2454" t="s">
        <v>27979</v>
      </c>
      <c r="F2454" t="s">
        <v>27980</v>
      </c>
      <c r="G2454" t="s">
        <v>27981</v>
      </c>
      <c r="H2454" t="str">
        <f>"Stn1"</f>
        <v>Stn1</v>
      </c>
      <c r="I2454" t="s">
        <v>27982</v>
      </c>
      <c r="J2454" t="s">
        <v>37</v>
      </c>
      <c r="K2454">
        <v>10090</v>
      </c>
      <c r="L2454" s="3" t="str">
        <f>HYPERLINK("http://www.uniprot.org/uniprot/Q8K2X3", "Q8K2X3")</f>
        <v>Q8K2X3</v>
      </c>
      <c r="M2454" t="s">
        <v>27983</v>
      </c>
      <c r="N2454" t="str">
        <f>"Stn1"</f>
        <v>Stn1</v>
      </c>
      <c r="O2454" s="3" t="str">
        <f>HYPERLINK("http://www.informatics.jax.org/marker/MGI:1915581", "MGI:1915581")</f>
        <v>MGI:1915581</v>
      </c>
      <c r="P2454" t="s">
        <v>27984</v>
      </c>
      <c r="Q2454" t="s">
        <v>32</v>
      </c>
      <c r="R2454" t="s">
        <v>9085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247</v>
      </c>
      <c r="Y2454" t="s">
        <v>32</v>
      </c>
      <c r="Z2454" t="s">
        <v>126</v>
      </c>
      <c r="AA2454" t="s">
        <v>27985</v>
      </c>
      <c r="AB2454" t="s">
        <v>27986</v>
      </c>
      <c r="AC2454" t="s">
        <v>27987</v>
      </c>
      <c r="AD2454" t="s">
        <v>32</v>
      </c>
      <c r="AE2454" t="s">
        <v>27988</v>
      </c>
      <c r="AF2454" t="s">
        <v>46835</v>
      </c>
    </row>
    <row r="2455" spans="1:32" x14ac:dyDescent="0.2">
      <c r="A2455">
        <v>2450</v>
      </c>
      <c r="B2455" t="s">
        <v>27989</v>
      </c>
      <c r="C2455" t="s">
        <v>27990</v>
      </c>
      <c r="D2455" t="s">
        <v>27991</v>
      </c>
      <c r="E2455" t="s">
        <v>27992</v>
      </c>
      <c r="F2455" t="s">
        <v>27993</v>
      </c>
      <c r="G2455" t="s">
        <v>27994</v>
      </c>
      <c r="H2455" t="str">
        <f>"Cep131"</f>
        <v>Cep131</v>
      </c>
      <c r="I2455" t="s">
        <v>27995</v>
      </c>
      <c r="J2455" t="s">
        <v>37</v>
      </c>
      <c r="K2455">
        <v>10090</v>
      </c>
      <c r="L2455" s="3" t="str">
        <f>HYPERLINK("http://www.uniprot.org/uniprot/Q62036", "Q62036")</f>
        <v>Q62036</v>
      </c>
      <c r="M2455" t="s">
        <v>27996</v>
      </c>
      <c r="N2455" t="str">
        <f>"Cep131"</f>
        <v>Cep131</v>
      </c>
      <c r="O2455" s="3" t="str">
        <f>HYPERLINK("http://www.informatics.jax.org/marker/MGI:107440", "MGI:107440")</f>
        <v>MGI:107440</v>
      </c>
      <c r="P2455" t="s">
        <v>27997</v>
      </c>
      <c r="Q2455" t="s">
        <v>27998</v>
      </c>
      <c r="R2455" t="s">
        <v>27999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2029</v>
      </c>
      <c r="Y2455" t="s">
        <v>2836</v>
      </c>
      <c r="Z2455" t="s">
        <v>32</v>
      </c>
      <c r="AA2455" t="s">
        <v>28000</v>
      </c>
      <c r="AB2455" t="s">
        <v>28001</v>
      </c>
      <c r="AC2455" t="s">
        <v>28002</v>
      </c>
      <c r="AD2455" t="s">
        <v>32</v>
      </c>
      <c r="AE2455" t="s">
        <v>17387</v>
      </c>
      <c r="AF2455" t="s">
        <v>46835</v>
      </c>
    </row>
    <row r="2456" spans="1:32" x14ac:dyDescent="0.2">
      <c r="A2456">
        <v>2451</v>
      </c>
      <c r="B2456" t="s">
        <v>28003</v>
      </c>
      <c r="C2456" t="s">
        <v>28004</v>
      </c>
      <c r="D2456" t="s">
        <v>28005</v>
      </c>
      <c r="E2456" t="s">
        <v>28006</v>
      </c>
      <c r="F2456" t="s">
        <v>28007</v>
      </c>
      <c r="G2456" t="s">
        <v>28008</v>
      </c>
      <c r="H2456" t="str">
        <f>"Pole3"</f>
        <v>Pole3</v>
      </c>
      <c r="I2456" t="s">
        <v>32</v>
      </c>
      <c r="J2456" t="s">
        <v>37</v>
      </c>
      <c r="K2456">
        <v>10090</v>
      </c>
      <c r="L2456" s="3" t="str">
        <f>HYPERLINK("http://www.uniprot.org/uniprot/Q9JKP7", "Q9JKP7")</f>
        <v>Q9JKP7</v>
      </c>
      <c r="M2456" t="s">
        <v>28009</v>
      </c>
      <c r="N2456" t="str">
        <f>"Pole3"</f>
        <v>Pole3</v>
      </c>
      <c r="O2456" s="3" t="str">
        <f>HYPERLINK("http://www.informatics.jax.org/marker/MGI:1933378", "MGI:1933378")</f>
        <v>MGI:1933378</v>
      </c>
      <c r="P2456" t="s">
        <v>28010</v>
      </c>
      <c r="Q2456" t="s">
        <v>32</v>
      </c>
      <c r="R2456" t="s">
        <v>2279</v>
      </c>
      <c r="S2456" t="s">
        <v>32</v>
      </c>
      <c r="T2456" t="s">
        <v>32</v>
      </c>
      <c r="U2456" t="s">
        <v>32</v>
      </c>
      <c r="V2456" t="s">
        <v>290</v>
      </c>
      <c r="W2456" t="s">
        <v>32</v>
      </c>
      <c r="X2456" t="s">
        <v>247</v>
      </c>
      <c r="Y2456" t="s">
        <v>157</v>
      </c>
      <c r="Z2456" t="s">
        <v>32</v>
      </c>
      <c r="AA2456" t="s">
        <v>28011</v>
      </c>
      <c r="AB2456" t="s">
        <v>28012</v>
      </c>
      <c r="AC2456" t="s">
        <v>28013</v>
      </c>
      <c r="AD2456" t="s">
        <v>32</v>
      </c>
      <c r="AE2456" t="s">
        <v>28014</v>
      </c>
      <c r="AF2456" t="s">
        <v>46835</v>
      </c>
    </row>
    <row r="2457" spans="1:32" x14ac:dyDescent="0.2">
      <c r="A2457">
        <v>2452</v>
      </c>
      <c r="B2457" t="s">
        <v>28015</v>
      </c>
      <c r="C2457" t="s">
        <v>28016</v>
      </c>
      <c r="D2457" t="s">
        <v>32</v>
      </c>
      <c r="E2457" t="s">
        <v>28017</v>
      </c>
      <c r="F2457" t="s">
        <v>28018</v>
      </c>
      <c r="G2457" t="s">
        <v>28019</v>
      </c>
      <c r="H2457" t="str">
        <f>"Klhdc4"</f>
        <v>Klhdc4</v>
      </c>
      <c r="I2457" t="s">
        <v>32</v>
      </c>
      <c r="J2457" t="s">
        <v>37</v>
      </c>
      <c r="K2457">
        <v>10090</v>
      </c>
      <c r="L2457" s="3" t="str">
        <f>HYPERLINK("http://www.uniprot.org/uniprot/Q921I2", "Q921I2")</f>
        <v>Q921I2</v>
      </c>
      <c r="M2457" t="s">
        <v>28020</v>
      </c>
      <c r="N2457" t="str">
        <f>"Klhdc4"</f>
        <v>Klhdc4</v>
      </c>
      <c r="O2457" s="3" t="str">
        <f>HYPERLINK("http://www.informatics.jax.org/marker/MGI:2384569", "MGI:2384569")</f>
        <v>MGI:2384569</v>
      </c>
      <c r="P2457" t="s">
        <v>28021</v>
      </c>
      <c r="Q2457" t="s">
        <v>32</v>
      </c>
      <c r="R2457" t="s">
        <v>32</v>
      </c>
      <c r="S2457" t="s">
        <v>32</v>
      </c>
      <c r="T2457" t="s">
        <v>32</v>
      </c>
      <c r="U2457" t="s">
        <v>32</v>
      </c>
      <c r="V2457" t="s">
        <v>11766</v>
      </c>
      <c r="W2457" t="s">
        <v>32</v>
      </c>
      <c r="X2457" t="s">
        <v>32</v>
      </c>
      <c r="Y2457" t="s">
        <v>618</v>
      </c>
      <c r="Z2457" t="s">
        <v>32</v>
      </c>
      <c r="AA2457" t="s">
        <v>32</v>
      </c>
      <c r="AB2457" t="s">
        <v>32</v>
      </c>
      <c r="AC2457" t="s">
        <v>32</v>
      </c>
      <c r="AD2457" t="s">
        <v>32</v>
      </c>
      <c r="AE2457" t="s">
        <v>32</v>
      </c>
      <c r="AF2457" t="s">
        <v>46835</v>
      </c>
    </row>
    <row r="2458" spans="1:32" x14ac:dyDescent="0.2">
      <c r="A2458">
        <v>2453</v>
      </c>
      <c r="B2458" t="s">
        <v>28022</v>
      </c>
      <c r="C2458" t="s">
        <v>28023</v>
      </c>
      <c r="D2458" t="s">
        <v>28024</v>
      </c>
      <c r="E2458" t="s">
        <v>28025</v>
      </c>
      <c r="F2458" t="s">
        <v>28026</v>
      </c>
      <c r="G2458" t="s">
        <v>28027</v>
      </c>
      <c r="H2458" t="str">
        <f>"Gtf2b"</f>
        <v>Gtf2b</v>
      </c>
      <c r="I2458" t="s">
        <v>32</v>
      </c>
      <c r="J2458" t="s">
        <v>37</v>
      </c>
      <c r="K2458">
        <v>10090</v>
      </c>
      <c r="L2458" s="3" t="str">
        <f>HYPERLINK("http://www.uniprot.org/uniprot/P62915", "P62915")</f>
        <v>P62915</v>
      </c>
      <c r="M2458" t="s">
        <v>28028</v>
      </c>
      <c r="N2458" t="str">
        <f>"Gtf2b"</f>
        <v>Gtf2b</v>
      </c>
      <c r="O2458" s="3" t="str">
        <f>HYPERLINK("http://www.informatics.jax.org/marker/MGI:2385191", "MGI:2385191")</f>
        <v>MGI:2385191</v>
      </c>
      <c r="P2458" t="s">
        <v>28029</v>
      </c>
      <c r="Q2458" t="s">
        <v>4152</v>
      </c>
      <c r="R2458" t="s">
        <v>1939</v>
      </c>
      <c r="S2458" t="s">
        <v>32</v>
      </c>
      <c r="T2458" t="s">
        <v>32</v>
      </c>
      <c r="U2458" t="s">
        <v>32</v>
      </c>
      <c r="V2458" t="s">
        <v>3791</v>
      </c>
      <c r="W2458" t="s">
        <v>42</v>
      </c>
      <c r="X2458" t="s">
        <v>26545</v>
      </c>
      <c r="Y2458" t="s">
        <v>157</v>
      </c>
      <c r="Z2458" t="s">
        <v>32</v>
      </c>
      <c r="AA2458" t="s">
        <v>28030</v>
      </c>
      <c r="AB2458" t="s">
        <v>28031</v>
      </c>
      <c r="AC2458" t="s">
        <v>28032</v>
      </c>
      <c r="AD2458" t="s">
        <v>32</v>
      </c>
      <c r="AE2458" t="s">
        <v>23922</v>
      </c>
      <c r="AF2458" t="s">
        <v>46835</v>
      </c>
    </row>
    <row r="2459" spans="1:32" x14ac:dyDescent="0.2">
      <c r="A2459">
        <v>2454</v>
      </c>
      <c r="B2459" t="s">
        <v>28033</v>
      </c>
      <c r="C2459" t="s">
        <v>28034</v>
      </c>
      <c r="D2459" t="s">
        <v>32</v>
      </c>
      <c r="E2459" t="s">
        <v>28035</v>
      </c>
      <c r="F2459" t="s">
        <v>28036</v>
      </c>
      <c r="G2459" t="s">
        <v>28037</v>
      </c>
      <c r="H2459" t="str">
        <f>"Nop16"</f>
        <v>Nop16</v>
      </c>
      <c r="I2459" t="s">
        <v>28038</v>
      </c>
      <c r="J2459" t="s">
        <v>37</v>
      </c>
      <c r="K2459">
        <v>10090</v>
      </c>
      <c r="L2459" s="3" t="str">
        <f>HYPERLINK("http://www.uniprot.org/uniprot/Q9CPT5", "Q9CPT5")</f>
        <v>Q9CPT5</v>
      </c>
      <c r="M2459" t="s">
        <v>28039</v>
      </c>
      <c r="N2459" t="str">
        <f>"Nop16"</f>
        <v>Nop16</v>
      </c>
      <c r="O2459" s="3" t="str">
        <f>HYPERLINK("http://www.informatics.jax.org/marker/MGI:107862", "MGI:107862")</f>
        <v>MGI:107862</v>
      </c>
      <c r="P2459" t="s">
        <v>28040</v>
      </c>
      <c r="Q2459" t="s">
        <v>32</v>
      </c>
      <c r="R2459" t="s">
        <v>2279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32</v>
      </c>
      <c r="Y2459" t="s">
        <v>516</v>
      </c>
      <c r="Z2459" t="s">
        <v>32</v>
      </c>
      <c r="AA2459" t="s">
        <v>28041</v>
      </c>
      <c r="AB2459" t="s">
        <v>28042</v>
      </c>
      <c r="AC2459" t="s">
        <v>32</v>
      </c>
      <c r="AD2459" t="s">
        <v>32</v>
      </c>
      <c r="AE2459" t="s">
        <v>32</v>
      </c>
      <c r="AF2459" t="s">
        <v>46835</v>
      </c>
    </row>
    <row r="2460" spans="1:32" x14ac:dyDescent="0.2">
      <c r="A2460">
        <v>2455</v>
      </c>
      <c r="B2460" t="s">
        <v>28043</v>
      </c>
      <c r="C2460" t="s">
        <v>28044</v>
      </c>
      <c r="D2460" t="s">
        <v>32</v>
      </c>
      <c r="E2460" t="s">
        <v>28045</v>
      </c>
      <c r="F2460" t="s">
        <v>28046</v>
      </c>
      <c r="G2460" t="s">
        <v>28047</v>
      </c>
      <c r="H2460" t="str">
        <f>"Arl6"</f>
        <v>Arl6</v>
      </c>
      <c r="I2460" t="s">
        <v>28048</v>
      </c>
      <c r="J2460" t="s">
        <v>37</v>
      </c>
      <c r="K2460">
        <v>10090</v>
      </c>
      <c r="L2460" s="3" t="str">
        <f>HYPERLINK("http://www.uniprot.org/uniprot/O88848", "O88848")</f>
        <v>O88848</v>
      </c>
      <c r="M2460" t="s">
        <v>28049</v>
      </c>
      <c r="N2460" t="str">
        <f>"Arl6"</f>
        <v>Arl6</v>
      </c>
      <c r="O2460" s="3" t="str">
        <f>HYPERLINK("http://www.informatics.jax.org/marker/MGI:1927136", "MGI:1927136")</f>
        <v>MGI:1927136</v>
      </c>
      <c r="P2460" t="s">
        <v>28050</v>
      </c>
      <c r="Q2460" t="s">
        <v>9112</v>
      </c>
      <c r="R2460" t="s">
        <v>647</v>
      </c>
      <c r="S2460" t="s">
        <v>41</v>
      </c>
      <c r="T2460" t="s">
        <v>32</v>
      </c>
      <c r="U2460" t="s">
        <v>32</v>
      </c>
      <c r="V2460" t="s">
        <v>32</v>
      </c>
      <c r="W2460" t="s">
        <v>342</v>
      </c>
      <c r="X2460" t="s">
        <v>32</v>
      </c>
      <c r="Y2460" t="s">
        <v>15432</v>
      </c>
      <c r="Z2460" t="s">
        <v>32</v>
      </c>
      <c r="AA2460" t="s">
        <v>28051</v>
      </c>
      <c r="AB2460" t="s">
        <v>28052</v>
      </c>
      <c r="AC2460" t="s">
        <v>28053</v>
      </c>
      <c r="AD2460" t="s">
        <v>32</v>
      </c>
      <c r="AE2460" t="s">
        <v>16013</v>
      </c>
      <c r="AF2460" t="s">
        <v>46835</v>
      </c>
    </row>
    <row r="2461" spans="1:32" x14ac:dyDescent="0.2">
      <c r="A2461">
        <v>2456</v>
      </c>
      <c r="B2461" t="s">
        <v>28054</v>
      </c>
      <c r="C2461" t="s">
        <v>28055</v>
      </c>
      <c r="D2461" t="s">
        <v>28056</v>
      </c>
      <c r="E2461" t="s">
        <v>28057</v>
      </c>
      <c r="F2461" t="s">
        <v>28058</v>
      </c>
      <c r="G2461" t="s">
        <v>28059</v>
      </c>
      <c r="H2461" t="str">
        <f>"Dus3l"</f>
        <v>Dus3l</v>
      </c>
      <c r="I2461" t="s">
        <v>32</v>
      </c>
      <c r="J2461" t="s">
        <v>37</v>
      </c>
      <c r="K2461">
        <v>10090</v>
      </c>
      <c r="L2461" s="3" t="str">
        <f>HYPERLINK("http://www.uniprot.org/uniprot/Q91XI1", "Q91XI1")</f>
        <v>Q91XI1</v>
      </c>
      <c r="M2461" t="s">
        <v>28060</v>
      </c>
      <c r="N2461" t="str">
        <f>"Dus3l"</f>
        <v>Dus3l</v>
      </c>
      <c r="O2461" s="3" t="str">
        <f>HYPERLINK("http://www.informatics.jax.org/marker/MGI:2147092", "MGI:2147092")</f>
        <v>MGI:2147092</v>
      </c>
      <c r="P2461" t="s">
        <v>28061</v>
      </c>
      <c r="Q2461" t="s">
        <v>28062</v>
      </c>
      <c r="R2461" t="s">
        <v>32</v>
      </c>
      <c r="S2461" t="s">
        <v>41</v>
      </c>
      <c r="T2461" t="s">
        <v>32</v>
      </c>
      <c r="U2461" t="s">
        <v>32</v>
      </c>
      <c r="V2461" t="s">
        <v>3791</v>
      </c>
      <c r="W2461" t="s">
        <v>28063</v>
      </c>
      <c r="X2461" t="s">
        <v>600</v>
      </c>
      <c r="Y2461" t="s">
        <v>1007</v>
      </c>
      <c r="Z2461" t="s">
        <v>32</v>
      </c>
      <c r="AA2461" t="s">
        <v>28064</v>
      </c>
      <c r="AB2461" t="s">
        <v>32</v>
      </c>
      <c r="AC2461" t="s">
        <v>28065</v>
      </c>
      <c r="AD2461" t="s">
        <v>32</v>
      </c>
      <c r="AE2461" t="s">
        <v>32</v>
      </c>
      <c r="AF2461" t="s">
        <v>46835</v>
      </c>
    </row>
    <row r="2462" spans="1:32" x14ac:dyDescent="0.2">
      <c r="A2462">
        <v>2457</v>
      </c>
      <c r="B2462" t="s">
        <v>28066</v>
      </c>
      <c r="C2462" t="s">
        <v>28067</v>
      </c>
      <c r="D2462" t="s">
        <v>28068</v>
      </c>
      <c r="E2462" t="s">
        <v>28069</v>
      </c>
      <c r="F2462" t="s">
        <v>28070</v>
      </c>
      <c r="G2462" t="s">
        <v>32</v>
      </c>
      <c r="H2462" t="str">
        <f>"Smpd2"</f>
        <v>Smpd2</v>
      </c>
      <c r="I2462" t="s">
        <v>32</v>
      </c>
      <c r="J2462" t="s">
        <v>37</v>
      </c>
      <c r="K2462">
        <v>10090</v>
      </c>
      <c r="L2462" s="3" t="str">
        <f>HYPERLINK("http://www.uniprot.org/uniprot/O70572", "O70572")</f>
        <v>O70572</v>
      </c>
      <c r="M2462" t="s">
        <v>28071</v>
      </c>
      <c r="N2462" t="str">
        <f>"Smpd2"</f>
        <v>Smpd2</v>
      </c>
      <c r="O2462" s="3" t="str">
        <f>HYPERLINK("http://www.informatics.jax.org/marker/MGI:1278330", "MGI:1278330")</f>
        <v>MGI:1278330</v>
      </c>
      <c r="P2462" t="s">
        <v>28072</v>
      </c>
      <c r="Q2462" t="s">
        <v>23187</v>
      </c>
      <c r="R2462" t="s">
        <v>2474</v>
      </c>
      <c r="S2462" t="s">
        <v>32</v>
      </c>
      <c r="T2462" t="s">
        <v>32</v>
      </c>
      <c r="U2462" t="s">
        <v>32</v>
      </c>
      <c r="V2462" t="s">
        <v>493</v>
      </c>
      <c r="W2462" t="s">
        <v>223</v>
      </c>
      <c r="X2462" t="s">
        <v>343</v>
      </c>
      <c r="Y2462" t="s">
        <v>32</v>
      </c>
      <c r="Z2462" t="s">
        <v>32</v>
      </c>
      <c r="AA2462" t="s">
        <v>28073</v>
      </c>
      <c r="AB2462" t="s">
        <v>28074</v>
      </c>
      <c r="AC2462" t="s">
        <v>28075</v>
      </c>
      <c r="AD2462" t="s">
        <v>9930</v>
      </c>
      <c r="AE2462" t="s">
        <v>28076</v>
      </c>
      <c r="AF2462" t="s">
        <v>46835</v>
      </c>
    </row>
    <row r="2463" spans="1:32" x14ac:dyDescent="0.2">
      <c r="A2463">
        <v>2458</v>
      </c>
      <c r="B2463" t="s">
        <v>28077</v>
      </c>
      <c r="C2463" t="s">
        <v>28078</v>
      </c>
      <c r="D2463" t="s">
        <v>28079</v>
      </c>
      <c r="E2463" t="s">
        <v>28080</v>
      </c>
      <c r="F2463" t="s">
        <v>28081</v>
      </c>
      <c r="G2463" t="s">
        <v>32</v>
      </c>
      <c r="H2463" t="str">
        <f>"Wasf2"</f>
        <v>Wasf2</v>
      </c>
      <c r="I2463" t="s">
        <v>32</v>
      </c>
      <c r="J2463" t="s">
        <v>37</v>
      </c>
      <c r="K2463">
        <v>10090</v>
      </c>
      <c r="L2463" s="3" t="str">
        <f>HYPERLINK("http://www.uniprot.org/uniprot/Q8BH43", "Q8BH43")</f>
        <v>Q8BH43</v>
      </c>
      <c r="M2463" t="s">
        <v>28082</v>
      </c>
      <c r="N2463" t="str">
        <f>"Wasf2"</f>
        <v>Wasf2</v>
      </c>
      <c r="O2463" s="3" t="str">
        <f>HYPERLINK("http://www.informatics.jax.org/marker/MGI:1098641", "MGI:1098641")</f>
        <v>MGI:1098641</v>
      </c>
      <c r="P2463" t="s">
        <v>28083</v>
      </c>
      <c r="Q2463" t="s">
        <v>32</v>
      </c>
      <c r="R2463" t="s">
        <v>647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405</v>
      </c>
      <c r="Y2463" t="s">
        <v>618</v>
      </c>
      <c r="Z2463" t="s">
        <v>32</v>
      </c>
      <c r="AA2463" t="s">
        <v>28084</v>
      </c>
      <c r="AB2463" t="s">
        <v>28085</v>
      </c>
      <c r="AC2463" t="s">
        <v>28086</v>
      </c>
      <c r="AD2463" t="s">
        <v>32</v>
      </c>
      <c r="AE2463" t="s">
        <v>10906</v>
      </c>
      <c r="AF2463" t="s">
        <v>46835</v>
      </c>
    </row>
    <row r="2464" spans="1:32" x14ac:dyDescent="0.2">
      <c r="A2464">
        <v>2459</v>
      </c>
      <c r="B2464" t="s">
        <v>28087</v>
      </c>
      <c r="C2464" t="s">
        <v>28088</v>
      </c>
      <c r="D2464" t="s">
        <v>32</v>
      </c>
      <c r="E2464" t="s">
        <v>28089</v>
      </c>
      <c r="F2464" t="s">
        <v>28090</v>
      </c>
      <c r="G2464" t="s">
        <v>28091</v>
      </c>
      <c r="H2464" t="str">
        <f>"Zw10"</f>
        <v>Zw10</v>
      </c>
      <c r="I2464" t="s">
        <v>32</v>
      </c>
      <c r="J2464" t="s">
        <v>37</v>
      </c>
      <c r="K2464">
        <v>10090</v>
      </c>
      <c r="L2464" s="3" t="str">
        <f>HYPERLINK("http://www.uniprot.org/uniprot/O54692", "O54692")</f>
        <v>O54692</v>
      </c>
      <c r="M2464" t="s">
        <v>28092</v>
      </c>
      <c r="N2464" t="str">
        <f>"Zw10"</f>
        <v>Zw10</v>
      </c>
      <c r="O2464" s="3" t="str">
        <f>HYPERLINK("http://www.informatics.jax.org/marker/MGI:1349478", "MGI:1349478")</f>
        <v>MGI:1349478</v>
      </c>
      <c r="P2464" t="s">
        <v>28093</v>
      </c>
      <c r="Q2464" t="s">
        <v>28094</v>
      </c>
      <c r="R2464" t="s">
        <v>28095</v>
      </c>
      <c r="S2464" t="s">
        <v>32</v>
      </c>
      <c r="T2464" t="s">
        <v>32</v>
      </c>
      <c r="U2464" t="s">
        <v>32</v>
      </c>
      <c r="V2464" t="s">
        <v>290</v>
      </c>
      <c r="W2464" t="s">
        <v>32</v>
      </c>
      <c r="X2464" t="s">
        <v>32</v>
      </c>
      <c r="Y2464" t="s">
        <v>157</v>
      </c>
      <c r="Z2464" t="s">
        <v>32</v>
      </c>
      <c r="AA2464" t="s">
        <v>28096</v>
      </c>
      <c r="AB2464" t="s">
        <v>28097</v>
      </c>
      <c r="AC2464" t="s">
        <v>32</v>
      </c>
      <c r="AD2464" t="s">
        <v>32</v>
      </c>
      <c r="AE2464" t="s">
        <v>28098</v>
      </c>
      <c r="AF2464" t="s">
        <v>46835</v>
      </c>
    </row>
    <row r="2465" spans="1:32" x14ac:dyDescent="0.2">
      <c r="A2465">
        <v>2460</v>
      </c>
      <c r="B2465" t="s">
        <v>28099</v>
      </c>
      <c r="C2465" t="s">
        <v>28100</v>
      </c>
      <c r="D2465" t="s">
        <v>28101</v>
      </c>
      <c r="E2465" t="s">
        <v>28102</v>
      </c>
      <c r="F2465" t="s">
        <v>28103</v>
      </c>
      <c r="G2465" t="s">
        <v>28104</v>
      </c>
      <c r="H2465" t="str">
        <f>"Ubac2"</f>
        <v>Ubac2</v>
      </c>
      <c r="I2465" t="s">
        <v>28105</v>
      </c>
      <c r="J2465" t="s">
        <v>37</v>
      </c>
      <c r="K2465">
        <v>10090</v>
      </c>
      <c r="L2465" s="3" t="str">
        <f>HYPERLINK("http://www.uniprot.org/uniprot/Q8R1K1", "Q8R1K1")</f>
        <v>Q8R1K1</v>
      </c>
      <c r="M2465" t="s">
        <v>28106</v>
      </c>
      <c r="N2465" t="str">
        <f>"Ubac2"</f>
        <v>Ubac2</v>
      </c>
      <c r="O2465" s="3" t="str">
        <f>HYPERLINK("http://www.informatics.jax.org/marker/MGI:1916139", "MGI:1916139")</f>
        <v>MGI:1916139</v>
      </c>
      <c r="P2465" t="s">
        <v>28107</v>
      </c>
      <c r="Q2465" t="s">
        <v>3043</v>
      </c>
      <c r="R2465" t="s">
        <v>1664</v>
      </c>
      <c r="S2465" t="s">
        <v>32</v>
      </c>
      <c r="T2465" t="s">
        <v>32</v>
      </c>
      <c r="U2465" t="s">
        <v>32</v>
      </c>
      <c r="V2465" t="s">
        <v>3948</v>
      </c>
      <c r="W2465" t="s">
        <v>32</v>
      </c>
      <c r="X2465" t="s">
        <v>32</v>
      </c>
      <c r="Y2465" t="s">
        <v>3733</v>
      </c>
      <c r="Z2465" t="s">
        <v>32</v>
      </c>
      <c r="AA2465" t="s">
        <v>28108</v>
      </c>
      <c r="AB2465" t="s">
        <v>16952</v>
      </c>
      <c r="AC2465" t="s">
        <v>32</v>
      </c>
      <c r="AD2465" t="s">
        <v>32</v>
      </c>
      <c r="AE2465" t="s">
        <v>32</v>
      </c>
      <c r="AF2465" t="s">
        <v>46835</v>
      </c>
    </row>
    <row r="2466" spans="1:32" x14ac:dyDescent="0.2">
      <c r="A2466">
        <v>2461</v>
      </c>
      <c r="B2466" t="s">
        <v>28109</v>
      </c>
      <c r="C2466" t="s">
        <v>28110</v>
      </c>
      <c r="D2466" t="s">
        <v>28111</v>
      </c>
      <c r="E2466" t="s">
        <v>28112</v>
      </c>
      <c r="F2466" t="s">
        <v>28113</v>
      </c>
      <c r="G2466" t="s">
        <v>28114</v>
      </c>
      <c r="H2466" t="str">
        <f>"Nup88"</f>
        <v>Nup88</v>
      </c>
      <c r="I2466" t="s">
        <v>32</v>
      </c>
      <c r="J2466" t="s">
        <v>37</v>
      </c>
      <c r="K2466">
        <v>10090</v>
      </c>
      <c r="L2466" s="3" t="str">
        <f>HYPERLINK("http://www.uniprot.org/uniprot/Q8CEC0", "Q8CEC0")</f>
        <v>Q8CEC0</v>
      </c>
      <c r="M2466" t="s">
        <v>28115</v>
      </c>
      <c r="N2466" t="str">
        <f>"Nup88"</f>
        <v>Nup88</v>
      </c>
      <c r="O2466" s="3" t="str">
        <f>HYPERLINK("http://www.informatics.jax.org/marker/MGI:104900", "MGI:104900")</f>
        <v>MGI:104900</v>
      </c>
      <c r="P2466" t="s">
        <v>28116</v>
      </c>
      <c r="Q2466" t="s">
        <v>6423</v>
      </c>
      <c r="R2466" t="s">
        <v>20711</v>
      </c>
      <c r="S2466" t="s">
        <v>41</v>
      </c>
      <c r="T2466" t="s">
        <v>32</v>
      </c>
      <c r="U2466" t="s">
        <v>32</v>
      </c>
      <c r="V2466" t="s">
        <v>290</v>
      </c>
      <c r="W2466" t="s">
        <v>32</v>
      </c>
      <c r="X2466" t="s">
        <v>32</v>
      </c>
      <c r="Y2466" t="s">
        <v>157</v>
      </c>
      <c r="Z2466" t="s">
        <v>32</v>
      </c>
      <c r="AA2466" t="s">
        <v>28117</v>
      </c>
      <c r="AB2466" t="s">
        <v>28118</v>
      </c>
      <c r="AC2466" t="s">
        <v>12315</v>
      </c>
      <c r="AD2466" t="s">
        <v>32</v>
      </c>
      <c r="AE2466" t="s">
        <v>4686</v>
      </c>
      <c r="AF2466" t="s">
        <v>46835</v>
      </c>
    </row>
    <row r="2467" spans="1:32" x14ac:dyDescent="0.2">
      <c r="A2467">
        <v>2462</v>
      </c>
      <c r="B2467" t="s">
        <v>28119</v>
      </c>
      <c r="C2467" t="s">
        <v>28120</v>
      </c>
      <c r="D2467" t="s">
        <v>28121</v>
      </c>
      <c r="E2467" t="s">
        <v>28122</v>
      </c>
      <c r="F2467" t="s">
        <v>28123</v>
      </c>
      <c r="G2467" t="s">
        <v>28124</v>
      </c>
      <c r="H2467" t="str">
        <f>"Pdxk"</f>
        <v>Pdxk</v>
      </c>
      <c r="I2467" t="s">
        <v>28125</v>
      </c>
      <c r="J2467" t="s">
        <v>37</v>
      </c>
      <c r="K2467">
        <v>10090</v>
      </c>
      <c r="L2467" s="3" t="str">
        <f>HYPERLINK("http://www.uniprot.org/uniprot/Q8K183", "Q8K183")</f>
        <v>Q8K183</v>
      </c>
      <c r="M2467" t="s">
        <v>28126</v>
      </c>
      <c r="N2467" t="str">
        <f>"Pdxk"</f>
        <v>Pdxk</v>
      </c>
      <c r="O2467" s="3" t="str">
        <f>HYPERLINK("http://www.informatics.jax.org/marker/MGI:1351869", "MGI:1351869")</f>
        <v>MGI:1351869</v>
      </c>
      <c r="P2467" t="s">
        <v>28127</v>
      </c>
      <c r="Q2467" t="s">
        <v>32</v>
      </c>
      <c r="R2467" t="s">
        <v>418</v>
      </c>
      <c r="S2467" t="s">
        <v>32</v>
      </c>
      <c r="T2467" t="s">
        <v>32</v>
      </c>
      <c r="U2467" t="s">
        <v>32</v>
      </c>
      <c r="V2467" t="s">
        <v>32</v>
      </c>
      <c r="W2467" t="s">
        <v>28128</v>
      </c>
      <c r="X2467" t="s">
        <v>419</v>
      </c>
      <c r="Y2467" t="s">
        <v>157</v>
      </c>
      <c r="Z2467" t="s">
        <v>126</v>
      </c>
      <c r="AA2467" t="s">
        <v>28129</v>
      </c>
      <c r="AB2467" t="s">
        <v>4202</v>
      </c>
      <c r="AC2467" t="s">
        <v>28130</v>
      </c>
      <c r="AD2467" t="s">
        <v>28131</v>
      </c>
      <c r="AE2467" t="s">
        <v>28132</v>
      </c>
      <c r="AF2467" t="s">
        <v>46835</v>
      </c>
    </row>
    <row r="2468" spans="1:32" x14ac:dyDescent="0.2">
      <c r="A2468">
        <v>2463</v>
      </c>
      <c r="B2468" t="s">
        <v>28133</v>
      </c>
      <c r="C2468" t="s">
        <v>28134</v>
      </c>
      <c r="D2468" t="s">
        <v>32</v>
      </c>
      <c r="E2468" t="s">
        <v>28135</v>
      </c>
      <c r="F2468" t="s">
        <v>28136</v>
      </c>
      <c r="G2468" t="s">
        <v>32</v>
      </c>
      <c r="H2468" t="str">
        <f>"Timm23"</f>
        <v>Timm23</v>
      </c>
      <c r="I2468" t="s">
        <v>28137</v>
      </c>
      <c r="J2468" t="s">
        <v>37</v>
      </c>
      <c r="K2468">
        <v>10090</v>
      </c>
      <c r="L2468" s="3" t="str">
        <f>HYPERLINK("http://www.uniprot.org/uniprot/Q9WTQ8", "Q9WTQ8")</f>
        <v>Q9WTQ8</v>
      </c>
      <c r="M2468" t="s">
        <v>28138</v>
      </c>
      <c r="N2468" t="str">
        <f>"Timm23"</f>
        <v>Timm23</v>
      </c>
      <c r="O2468" s="3" t="str">
        <f>HYPERLINK("http://www.informatics.jax.org/marker/MGI:1858317", "MGI:1858317")</f>
        <v>MGI:1858317</v>
      </c>
      <c r="P2468" t="s">
        <v>28139</v>
      </c>
      <c r="Q2468" t="s">
        <v>4270</v>
      </c>
      <c r="R2468" t="s">
        <v>3858</v>
      </c>
      <c r="S2468" t="s">
        <v>32</v>
      </c>
      <c r="T2468" t="s">
        <v>32</v>
      </c>
      <c r="U2468" t="s">
        <v>32</v>
      </c>
      <c r="V2468" t="s">
        <v>493</v>
      </c>
      <c r="W2468" t="s">
        <v>32</v>
      </c>
      <c r="X2468" t="s">
        <v>32</v>
      </c>
      <c r="Y2468" t="s">
        <v>32</v>
      </c>
      <c r="Z2468" t="s">
        <v>32</v>
      </c>
      <c r="AA2468" t="s">
        <v>28140</v>
      </c>
      <c r="AB2468" t="s">
        <v>28141</v>
      </c>
      <c r="AC2468" t="s">
        <v>28142</v>
      </c>
      <c r="AD2468" t="s">
        <v>32</v>
      </c>
      <c r="AE2468" t="s">
        <v>32</v>
      </c>
      <c r="AF2468" t="s">
        <v>46835</v>
      </c>
    </row>
    <row r="2469" spans="1:32" x14ac:dyDescent="0.2">
      <c r="A2469">
        <v>2464</v>
      </c>
      <c r="B2469" t="s">
        <v>28143</v>
      </c>
      <c r="C2469" t="s">
        <v>28144</v>
      </c>
      <c r="D2469" t="s">
        <v>13394</v>
      </c>
      <c r="E2469" t="s">
        <v>28145</v>
      </c>
      <c r="F2469" t="s">
        <v>28146</v>
      </c>
      <c r="G2469" t="s">
        <v>28147</v>
      </c>
      <c r="H2469" t="str">
        <f>"Ubxn6"</f>
        <v>Ubxn6</v>
      </c>
      <c r="I2469" t="s">
        <v>32</v>
      </c>
      <c r="J2469" t="s">
        <v>37</v>
      </c>
      <c r="K2469">
        <v>10090</v>
      </c>
      <c r="L2469" s="3" t="str">
        <f>HYPERLINK("http://www.uniprot.org/uniprot/Q99PL6", "Q99PL6")</f>
        <v>Q99PL6</v>
      </c>
      <c r="M2469" t="s">
        <v>28148</v>
      </c>
      <c r="N2469" t="str">
        <f>"Ubxn6"</f>
        <v>Ubxn6</v>
      </c>
      <c r="O2469" s="3" t="str">
        <f>HYPERLINK("http://www.informatics.jax.org/marker/MGI:1913780", "MGI:1913780")</f>
        <v>MGI:1913780</v>
      </c>
      <c r="P2469" t="s">
        <v>28149</v>
      </c>
      <c r="Q2469" t="s">
        <v>1020</v>
      </c>
      <c r="R2469" t="s">
        <v>28150</v>
      </c>
      <c r="S2469" t="s">
        <v>41</v>
      </c>
      <c r="T2469" t="s">
        <v>32</v>
      </c>
      <c r="U2469" t="s">
        <v>32</v>
      </c>
      <c r="V2469" t="s">
        <v>32</v>
      </c>
      <c r="W2469" t="s">
        <v>32</v>
      </c>
      <c r="X2469" t="s">
        <v>32</v>
      </c>
      <c r="Y2469" t="s">
        <v>618</v>
      </c>
      <c r="Z2469" t="s">
        <v>32</v>
      </c>
      <c r="AA2469" t="s">
        <v>28151</v>
      </c>
      <c r="AB2469" t="s">
        <v>28152</v>
      </c>
      <c r="AC2469" t="s">
        <v>32</v>
      </c>
      <c r="AD2469" t="s">
        <v>32</v>
      </c>
      <c r="AE2469" t="s">
        <v>32</v>
      </c>
      <c r="AF2469" t="s">
        <v>46835</v>
      </c>
    </row>
    <row r="2470" spans="1:32" x14ac:dyDescent="0.2">
      <c r="A2470">
        <v>2465</v>
      </c>
      <c r="B2470" t="s">
        <v>28153</v>
      </c>
      <c r="C2470" t="s">
        <v>28154</v>
      </c>
      <c r="D2470" t="s">
        <v>28155</v>
      </c>
      <c r="E2470" t="s">
        <v>28156</v>
      </c>
      <c r="F2470" t="s">
        <v>28157</v>
      </c>
      <c r="G2470" t="s">
        <v>28158</v>
      </c>
      <c r="H2470" t="str">
        <f>"Smap2"</f>
        <v>Smap2</v>
      </c>
      <c r="I2470" t="s">
        <v>28159</v>
      </c>
      <c r="J2470" t="s">
        <v>37</v>
      </c>
      <c r="K2470">
        <v>10090</v>
      </c>
      <c r="L2470" s="3" t="str">
        <f>HYPERLINK("http://www.uniprot.org/uniprot/Q7TN29", "Q7TN29")</f>
        <v>Q7TN29</v>
      </c>
      <c r="M2470" t="s">
        <v>28160</v>
      </c>
      <c r="N2470" t="str">
        <f>"Smap2"</f>
        <v>Smap2</v>
      </c>
      <c r="O2470" s="3" t="str">
        <f>HYPERLINK("http://www.informatics.jax.org/marker/MGI:1917030", "MGI:1917030")</f>
        <v>MGI:1917030</v>
      </c>
      <c r="P2470" t="s">
        <v>28161</v>
      </c>
      <c r="Q2470" t="s">
        <v>32</v>
      </c>
      <c r="R2470" t="s">
        <v>418</v>
      </c>
      <c r="S2470" t="s">
        <v>41</v>
      </c>
      <c r="T2470" t="s">
        <v>32</v>
      </c>
      <c r="U2470" t="s">
        <v>32</v>
      </c>
      <c r="V2470" t="s">
        <v>446</v>
      </c>
      <c r="W2470" t="s">
        <v>42</v>
      </c>
      <c r="X2470" t="s">
        <v>715</v>
      </c>
      <c r="Y2470" t="s">
        <v>618</v>
      </c>
      <c r="Z2470" t="s">
        <v>32</v>
      </c>
      <c r="AA2470" t="s">
        <v>32</v>
      </c>
      <c r="AB2470" t="s">
        <v>4202</v>
      </c>
      <c r="AC2470" t="s">
        <v>20628</v>
      </c>
      <c r="AD2470" t="s">
        <v>32</v>
      </c>
      <c r="AE2470" t="s">
        <v>32</v>
      </c>
      <c r="AF2470" t="s">
        <v>46835</v>
      </c>
    </row>
    <row r="2471" spans="1:32" x14ac:dyDescent="0.2">
      <c r="A2471">
        <v>2466</v>
      </c>
      <c r="B2471" t="s">
        <v>28162</v>
      </c>
      <c r="C2471" t="s">
        <v>28163</v>
      </c>
      <c r="D2471" t="s">
        <v>32</v>
      </c>
      <c r="E2471" t="s">
        <v>28164</v>
      </c>
      <c r="F2471" t="s">
        <v>28165</v>
      </c>
      <c r="G2471" t="s">
        <v>28166</v>
      </c>
      <c r="H2471" t="str">
        <f>"Vps45"</f>
        <v>Vps45</v>
      </c>
      <c r="I2471" t="s">
        <v>28167</v>
      </c>
      <c r="J2471" t="s">
        <v>37</v>
      </c>
      <c r="K2471">
        <v>10090</v>
      </c>
      <c r="L2471" s="3" t="str">
        <f>HYPERLINK("http://www.uniprot.org/uniprot/P97390", "P97390")</f>
        <v>P97390</v>
      </c>
      <c r="M2471" t="s">
        <v>28168</v>
      </c>
      <c r="N2471" t="str">
        <f>"Vps45"</f>
        <v>Vps45</v>
      </c>
      <c r="O2471" s="3" t="str">
        <f>HYPERLINK("http://www.informatics.jax.org/marker/MGI:891965", "MGI:891965")</f>
        <v>MGI:891965</v>
      </c>
      <c r="P2471" t="s">
        <v>28169</v>
      </c>
      <c r="Q2471" t="s">
        <v>434</v>
      </c>
      <c r="R2471" t="s">
        <v>6982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32</v>
      </c>
      <c r="Y2471" t="s">
        <v>618</v>
      </c>
      <c r="Z2471" t="s">
        <v>32</v>
      </c>
      <c r="AA2471" t="s">
        <v>14337</v>
      </c>
      <c r="AB2471" t="s">
        <v>28170</v>
      </c>
      <c r="AC2471" t="s">
        <v>32</v>
      </c>
      <c r="AD2471" t="s">
        <v>32</v>
      </c>
      <c r="AE2471" t="s">
        <v>28171</v>
      </c>
      <c r="AF2471" t="s">
        <v>46835</v>
      </c>
    </row>
    <row r="2472" spans="1:32" x14ac:dyDescent="0.2">
      <c r="A2472">
        <v>2467</v>
      </c>
      <c r="B2472" t="s">
        <v>28172</v>
      </c>
      <c r="C2472" t="s">
        <v>28173</v>
      </c>
      <c r="D2472" t="s">
        <v>3610</v>
      </c>
      <c r="E2472" t="s">
        <v>28174</v>
      </c>
      <c r="F2472" t="s">
        <v>28175</v>
      </c>
      <c r="G2472" t="s">
        <v>28176</v>
      </c>
      <c r="H2472" t="str">
        <f>"Rars2"</f>
        <v>Rars2</v>
      </c>
      <c r="I2472" t="s">
        <v>28177</v>
      </c>
      <c r="J2472" t="s">
        <v>37</v>
      </c>
      <c r="K2472">
        <v>10090</v>
      </c>
      <c r="L2472" s="3" t="str">
        <f>HYPERLINK("http://www.uniprot.org/uniprot/Q3U186", "Q3U186")</f>
        <v>Q3U186</v>
      </c>
      <c r="M2472" t="s">
        <v>28178</v>
      </c>
      <c r="N2472" t="str">
        <f>"Rars2"</f>
        <v>Rars2</v>
      </c>
      <c r="O2472" s="3" t="str">
        <f>HYPERLINK("http://www.informatics.jax.org/marker/MGI:1923596", "MGI:1923596")</f>
        <v>MGI:1923596</v>
      </c>
      <c r="P2472" t="s">
        <v>22783</v>
      </c>
      <c r="Q2472" t="s">
        <v>260</v>
      </c>
      <c r="R2472" t="s">
        <v>1038</v>
      </c>
      <c r="S2472" t="s">
        <v>32</v>
      </c>
      <c r="T2472" t="s">
        <v>32</v>
      </c>
      <c r="U2472" t="s">
        <v>32</v>
      </c>
      <c r="V2472" t="s">
        <v>1039</v>
      </c>
      <c r="W2472" t="s">
        <v>205</v>
      </c>
      <c r="X2472" t="s">
        <v>2983</v>
      </c>
      <c r="Y2472" t="s">
        <v>78</v>
      </c>
      <c r="Z2472" t="s">
        <v>32</v>
      </c>
      <c r="AA2472" t="s">
        <v>28179</v>
      </c>
      <c r="AB2472" t="s">
        <v>2128</v>
      </c>
      <c r="AC2472" t="s">
        <v>28180</v>
      </c>
      <c r="AD2472" t="s">
        <v>32</v>
      </c>
      <c r="AE2472" t="s">
        <v>32</v>
      </c>
      <c r="AF2472" t="s">
        <v>46835</v>
      </c>
    </row>
    <row r="2473" spans="1:32" x14ac:dyDescent="0.2">
      <c r="A2473">
        <v>2468</v>
      </c>
      <c r="B2473" t="s">
        <v>28181</v>
      </c>
      <c r="C2473" t="s">
        <v>28182</v>
      </c>
      <c r="D2473" t="s">
        <v>28183</v>
      </c>
      <c r="E2473" t="s">
        <v>28184</v>
      </c>
      <c r="F2473" t="s">
        <v>28185</v>
      </c>
      <c r="G2473" t="s">
        <v>28186</v>
      </c>
      <c r="H2473" t="str">
        <f>"Syne1"</f>
        <v>Syne1</v>
      </c>
      <c r="I2473" t="s">
        <v>32</v>
      </c>
      <c r="J2473" t="s">
        <v>37</v>
      </c>
      <c r="K2473">
        <v>10090</v>
      </c>
      <c r="L2473" s="3" t="str">
        <f>HYPERLINK("http://www.uniprot.org/uniprot/Q6ZWR6", "Q6ZWR6")</f>
        <v>Q6ZWR6</v>
      </c>
      <c r="M2473" t="s">
        <v>28187</v>
      </c>
      <c r="N2473" t="str">
        <f>"Syne1"</f>
        <v>Syne1</v>
      </c>
      <c r="O2473" s="3" t="str">
        <f>HYPERLINK("http://www.informatics.jax.org/marker/MGI:1927152", "MGI:1927152")</f>
        <v>MGI:1927152</v>
      </c>
      <c r="P2473" t="s">
        <v>28188</v>
      </c>
      <c r="Q2473" t="s">
        <v>615</v>
      </c>
      <c r="R2473" t="s">
        <v>6797</v>
      </c>
      <c r="S2473" t="s">
        <v>41</v>
      </c>
      <c r="T2473" t="s">
        <v>32</v>
      </c>
      <c r="U2473" t="s">
        <v>32</v>
      </c>
      <c r="V2473" t="s">
        <v>14659</v>
      </c>
      <c r="W2473" t="s">
        <v>32</v>
      </c>
      <c r="X2473" t="s">
        <v>405</v>
      </c>
      <c r="Y2473" t="s">
        <v>2080</v>
      </c>
      <c r="Z2473" t="s">
        <v>32</v>
      </c>
      <c r="AA2473" t="s">
        <v>28189</v>
      </c>
      <c r="AB2473" t="s">
        <v>28190</v>
      </c>
      <c r="AC2473" t="s">
        <v>28191</v>
      </c>
      <c r="AD2473" t="s">
        <v>32</v>
      </c>
      <c r="AE2473" t="s">
        <v>32</v>
      </c>
      <c r="AF2473" t="s">
        <v>46835</v>
      </c>
    </row>
    <row r="2474" spans="1:32" x14ac:dyDescent="0.2">
      <c r="A2474">
        <v>2469</v>
      </c>
      <c r="B2474" t="s">
        <v>28192</v>
      </c>
      <c r="C2474" t="s">
        <v>28193</v>
      </c>
      <c r="D2474" t="s">
        <v>32</v>
      </c>
      <c r="E2474" t="s">
        <v>28194</v>
      </c>
      <c r="F2474" t="s">
        <v>28195</v>
      </c>
      <c r="G2474" t="s">
        <v>28196</v>
      </c>
      <c r="H2474" t="str">
        <f>"Prkag1"</f>
        <v>Prkag1</v>
      </c>
      <c r="I2474" t="s">
        <v>28197</v>
      </c>
      <c r="J2474" t="s">
        <v>37</v>
      </c>
      <c r="K2474">
        <v>10090</v>
      </c>
      <c r="L2474" s="3" t="str">
        <f>HYPERLINK("http://www.uniprot.org/uniprot/O54950", "O54950")</f>
        <v>O54950</v>
      </c>
      <c r="M2474" t="s">
        <v>28198</v>
      </c>
      <c r="N2474" t="str">
        <f>"Prkag1"</f>
        <v>Prkag1</v>
      </c>
      <c r="O2474" s="3" t="str">
        <f>HYPERLINK("http://www.informatics.jax.org/marker/MGI:108411", "MGI:108411")</f>
        <v>MGI:108411</v>
      </c>
      <c r="P2474" t="s">
        <v>28199</v>
      </c>
      <c r="Q2474" t="s">
        <v>1249</v>
      </c>
      <c r="R2474" t="s">
        <v>32</v>
      </c>
      <c r="S2474" t="s">
        <v>32</v>
      </c>
      <c r="T2474" t="s">
        <v>32</v>
      </c>
      <c r="U2474" t="s">
        <v>32</v>
      </c>
      <c r="V2474" t="s">
        <v>6080</v>
      </c>
      <c r="W2474" t="s">
        <v>205</v>
      </c>
      <c r="X2474" t="s">
        <v>32</v>
      </c>
      <c r="Y2474" t="s">
        <v>618</v>
      </c>
      <c r="Z2474" t="s">
        <v>32</v>
      </c>
      <c r="AA2474" t="s">
        <v>28200</v>
      </c>
      <c r="AB2474" t="s">
        <v>28201</v>
      </c>
      <c r="AC2474" t="s">
        <v>28202</v>
      </c>
      <c r="AD2474" t="s">
        <v>32</v>
      </c>
      <c r="AE2474" t="s">
        <v>28203</v>
      </c>
      <c r="AF2474" t="s">
        <v>46835</v>
      </c>
    </row>
    <row r="2475" spans="1:32" x14ac:dyDescent="0.2">
      <c r="A2475">
        <v>2470</v>
      </c>
      <c r="B2475" t="s">
        <v>28204</v>
      </c>
      <c r="C2475" t="s">
        <v>28205</v>
      </c>
      <c r="D2475" t="s">
        <v>28206</v>
      </c>
      <c r="E2475" t="s">
        <v>28207</v>
      </c>
      <c r="F2475" t="s">
        <v>28208</v>
      </c>
      <c r="G2475" t="s">
        <v>32</v>
      </c>
      <c r="H2475" t="str">
        <f>"Pals1"</f>
        <v>Pals1</v>
      </c>
      <c r="I2475" t="s">
        <v>32</v>
      </c>
      <c r="J2475" t="s">
        <v>37</v>
      </c>
      <c r="K2475">
        <v>10090</v>
      </c>
      <c r="L2475" s="3" t="str">
        <f>HYPERLINK("http://www.uniprot.org/uniprot/Q9JLB2", "Q9JLB2")</f>
        <v>Q9JLB2</v>
      </c>
      <c r="M2475" t="s">
        <v>28209</v>
      </c>
      <c r="N2475" t="str">
        <f>"Pals1"</f>
        <v>Pals1</v>
      </c>
      <c r="O2475" s="3" t="str">
        <f>HYPERLINK("http://www.informatics.jax.org/marker/MGI:1927339", "MGI:1927339")</f>
        <v>MGI:1927339</v>
      </c>
      <c r="P2475" t="s">
        <v>28210</v>
      </c>
      <c r="Q2475" t="s">
        <v>32</v>
      </c>
      <c r="R2475" t="s">
        <v>28211</v>
      </c>
      <c r="S2475" t="s">
        <v>32</v>
      </c>
      <c r="T2475" t="s">
        <v>32</v>
      </c>
      <c r="U2475" t="s">
        <v>32</v>
      </c>
      <c r="V2475" t="s">
        <v>187</v>
      </c>
      <c r="W2475" t="s">
        <v>205</v>
      </c>
      <c r="X2475" t="s">
        <v>32</v>
      </c>
      <c r="Y2475" t="s">
        <v>618</v>
      </c>
      <c r="Z2475" t="s">
        <v>126</v>
      </c>
      <c r="AA2475" t="s">
        <v>28212</v>
      </c>
      <c r="AB2475" t="s">
        <v>28213</v>
      </c>
      <c r="AC2475" t="s">
        <v>28214</v>
      </c>
      <c r="AD2475" t="s">
        <v>32</v>
      </c>
      <c r="AE2475" t="s">
        <v>32</v>
      </c>
      <c r="AF2475" t="s">
        <v>46835</v>
      </c>
    </row>
    <row r="2476" spans="1:32" x14ac:dyDescent="0.2">
      <c r="A2476">
        <v>2471</v>
      </c>
      <c r="B2476" t="s">
        <v>28215</v>
      </c>
      <c r="C2476" t="s">
        <v>28216</v>
      </c>
      <c r="D2476" t="s">
        <v>28217</v>
      </c>
      <c r="E2476" t="s">
        <v>28218</v>
      </c>
      <c r="F2476" t="s">
        <v>28219</v>
      </c>
      <c r="G2476" t="s">
        <v>28220</v>
      </c>
      <c r="H2476" t="str">
        <f>"Chmp2b"</f>
        <v>Chmp2b</v>
      </c>
      <c r="I2476" t="s">
        <v>32</v>
      </c>
      <c r="J2476" t="s">
        <v>37</v>
      </c>
      <c r="K2476">
        <v>10090</v>
      </c>
      <c r="L2476" s="3" t="str">
        <f>HYPERLINK("http://www.uniprot.org/uniprot/Q8BJF9", "Q8BJF9")</f>
        <v>Q8BJF9</v>
      </c>
      <c r="M2476" t="s">
        <v>28221</v>
      </c>
      <c r="N2476" t="str">
        <f>"Chmp2b"</f>
        <v>Chmp2b</v>
      </c>
      <c r="O2476" s="3" t="str">
        <f>HYPERLINK("http://www.informatics.jax.org/marker/MGI:1916192", "MGI:1916192")</f>
        <v>MGI:1916192</v>
      </c>
      <c r="P2476" t="s">
        <v>28222</v>
      </c>
      <c r="Q2476" t="s">
        <v>434</v>
      </c>
      <c r="R2476" t="s">
        <v>6558</v>
      </c>
      <c r="S2476" t="s">
        <v>32</v>
      </c>
      <c r="T2476" t="s">
        <v>32</v>
      </c>
      <c r="U2476" t="s">
        <v>32</v>
      </c>
      <c r="V2476" t="s">
        <v>290</v>
      </c>
      <c r="W2476" t="s">
        <v>32</v>
      </c>
      <c r="X2476" t="s">
        <v>32</v>
      </c>
      <c r="Y2476" t="s">
        <v>157</v>
      </c>
      <c r="Z2476" t="s">
        <v>32</v>
      </c>
      <c r="AA2476" t="s">
        <v>28223</v>
      </c>
      <c r="AB2476" t="s">
        <v>28224</v>
      </c>
      <c r="AC2476" t="s">
        <v>23040</v>
      </c>
      <c r="AD2476" t="s">
        <v>32</v>
      </c>
      <c r="AE2476" t="s">
        <v>7806</v>
      </c>
      <c r="AF2476" t="s">
        <v>46835</v>
      </c>
    </row>
    <row r="2477" spans="1:32" x14ac:dyDescent="0.2">
      <c r="A2477">
        <v>2472</v>
      </c>
      <c r="B2477" t="s">
        <v>28225</v>
      </c>
      <c r="C2477" t="s">
        <v>28226</v>
      </c>
      <c r="D2477" t="s">
        <v>28227</v>
      </c>
      <c r="E2477" t="s">
        <v>28228</v>
      </c>
      <c r="F2477" t="s">
        <v>28229</v>
      </c>
      <c r="G2477" t="s">
        <v>32</v>
      </c>
      <c r="H2477" t="str">
        <f>"Pex14"</f>
        <v>Pex14</v>
      </c>
      <c r="I2477" t="s">
        <v>32</v>
      </c>
      <c r="J2477" t="s">
        <v>37</v>
      </c>
      <c r="K2477">
        <v>10090</v>
      </c>
      <c r="L2477" s="3" t="str">
        <f>HYPERLINK("http://www.uniprot.org/uniprot/Q9R0A0", "Q9R0A0")</f>
        <v>Q9R0A0</v>
      </c>
      <c r="M2477" t="s">
        <v>28230</v>
      </c>
      <c r="N2477" t="str">
        <f>"Pex14"</f>
        <v>Pex14</v>
      </c>
      <c r="O2477" s="3" t="str">
        <f>HYPERLINK("http://www.informatics.jax.org/marker/MGI:1927868", "MGI:1927868")</f>
        <v>MGI:1927868</v>
      </c>
      <c r="P2477" t="s">
        <v>28231</v>
      </c>
      <c r="Q2477" t="s">
        <v>4270</v>
      </c>
      <c r="R2477" t="s">
        <v>23835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32</v>
      </c>
      <c r="Y2477" t="s">
        <v>157</v>
      </c>
      <c r="Z2477" t="s">
        <v>32</v>
      </c>
      <c r="AA2477" t="s">
        <v>28232</v>
      </c>
      <c r="AB2477" t="s">
        <v>28233</v>
      </c>
      <c r="AC2477" t="s">
        <v>28234</v>
      </c>
      <c r="AD2477" t="s">
        <v>32</v>
      </c>
      <c r="AE2477" t="s">
        <v>28235</v>
      </c>
      <c r="AF2477" t="s">
        <v>46835</v>
      </c>
    </row>
    <row r="2478" spans="1:32" x14ac:dyDescent="0.2">
      <c r="A2478">
        <v>2473</v>
      </c>
      <c r="B2478" t="s">
        <v>28236</v>
      </c>
      <c r="C2478" t="s">
        <v>28237</v>
      </c>
      <c r="D2478" t="s">
        <v>28238</v>
      </c>
      <c r="E2478" t="s">
        <v>28239</v>
      </c>
      <c r="F2478" t="s">
        <v>28240</v>
      </c>
      <c r="G2478" t="s">
        <v>28241</v>
      </c>
      <c r="H2478" t="str">
        <f>"Tars3"</f>
        <v>Tars3</v>
      </c>
      <c r="I2478" t="s">
        <v>28242</v>
      </c>
      <c r="J2478" t="s">
        <v>37</v>
      </c>
      <c r="K2478">
        <v>10090</v>
      </c>
      <c r="L2478" s="3" t="str">
        <f>HYPERLINK("http://www.uniprot.org/uniprot/Q8BLY2", "Q8BLY2")</f>
        <v>Q8BLY2</v>
      </c>
      <c r="M2478" t="s">
        <v>28243</v>
      </c>
      <c r="N2478" t="str">
        <f>"Tarsl2"</f>
        <v>Tarsl2</v>
      </c>
      <c r="O2478" s="3" t="str">
        <f>HYPERLINK("http://www.informatics.jax.org/marker/MGI:2444486", "MGI:2444486")</f>
        <v>MGI:2444486</v>
      </c>
      <c r="P2478" t="s">
        <v>28244</v>
      </c>
      <c r="Q2478" t="s">
        <v>260</v>
      </c>
      <c r="R2478" t="s">
        <v>40</v>
      </c>
      <c r="S2478" t="s">
        <v>32</v>
      </c>
      <c r="T2478" t="s">
        <v>32</v>
      </c>
      <c r="U2478" t="s">
        <v>32</v>
      </c>
      <c r="V2478" t="s">
        <v>290</v>
      </c>
      <c r="W2478" t="s">
        <v>205</v>
      </c>
      <c r="X2478" t="s">
        <v>2983</v>
      </c>
      <c r="Y2478" t="s">
        <v>157</v>
      </c>
      <c r="Z2478" t="s">
        <v>32</v>
      </c>
      <c r="AA2478" t="s">
        <v>8421</v>
      </c>
      <c r="AB2478" t="s">
        <v>110</v>
      </c>
      <c r="AC2478" t="s">
        <v>28245</v>
      </c>
      <c r="AD2478" t="s">
        <v>32</v>
      </c>
      <c r="AE2478" t="s">
        <v>32</v>
      </c>
      <c r="AF2478" t="s">
        <v>46835</v>
      </c>
    </row>
    <row r="2479" spans="1:32" x14ac:dyDescent="0.2">
      <c r="A2479">
        <v>2474</v>
      </c>
      <c r="B2479" t="s">
        <v>28246</v>
      </c>
      <c r="C2479" t="s">
        <v>28247</v>
      </c>
      <c r="D2479" t="s">
        <v>32</v>
      </c>
      <c r="E2479" t="s">
        <v>28248</v>
      </c>
      <c r="F2479" t="s">
        <v>28249</v>
      </c>
      <c r="G2479" t="s">
        <v>28250</v>
      </c>
      <c r="H2479" t="str">
        <f>"Hpx"</f>
        <v>Hpx</v>
      </c>
      <c r="I2479" t="s">
        <v>28251</v>
      </c>
      <c r="J2479" t="s">
        <v>37</v>
      </c>
      <c r="K2479">
        <v>10090</v>
      </c>
      <c r="L2479" s="3" t="str">
        <f>HYPERLINK("http://www.uniprot.org/uniprot/Q91X72", "Q91X72")</f>
        <v>Q91X72</v>
      </c>
      <c r="M2479" t="s">
        <v>28252</v>
      </c>
      <c r="N2479" t="str">
        <f>"Hpx"</f>
        <v>Hpx</v>
      </c>
      <c r="O2479" s="3" t="str">
        <f>HYPERLINK("http://www.informatics.jax.org/marker/MGI:105112", "MGI:105112")</f>
        <v>MGI:105112</v>
      </c>
      <c r="P2479" t="s">
        <v>28253</v>
      </c>
      <c r="Q2479" t="s">
        <v>4425</v>
      </c>
      <c r="R2479" t="s">
        <v>630</v>
      </c>
      <c r="S2479" t="s">
        <v>32</v>
      </c>
      <c r="T2479" t="s">
        <v>32</v>
      </c>
      <c r="U2479" t="s">
        <v>32</v>
      </c>
      <c r="V2479" t="s">
        <v>478</v>
      </c>
      <c r="W2479" t="s">
        <v>6053</v>
      </c>
      <c r="X2479" t="s">
        <v>32</v>
      </c>
      <c r="Y2479" t="s">
        <v>5275</v>
      </c>
      <c r="Z2479" t="s">
        <v>32</v>
      </c>
      <c r="AA2479" t="s">
        <v>28254</v>
      </c>
      <c r="AB2479" t="s">
        <v>9349</v>
      </c>
      <c r="AC2479" t="s">
        <v>28255</v>
      </c>
      <c r="AD2479" t="s">
        <v>32</v>
      </c>
      <c r="AE2479" t="s">
        <v>28256</v>
      </c>
      <c r="AF2479" t="s">
        <v>46835</v>
      </c>
    </row>
    <row r="2480" spans="1:32" x14ac:dyDescent="0.2">
      <c r="A2480">
        <v>2475</v>
      </c>
      <c r="B2480" t="s">
        <v>28257</v>
      </c>
      <c r="C2480" t="s">
        <v>28258</v>
      </c>
      <c r="D2480" t="s">
        <v>28259</v>
      </c>
      <c r="E2480" t="s">
        <v>28260</v>
      </c>
      <c r="F2480" t="s">
        <v>28261</v>
      </c>
      <c r="G2480" t="s">
        <v>28262</v>
      </c>
      <c r="H2480" t="str">
        <f>"Ghitm"</f>
        <v>Ghitm</v>
      </c>
      <c r="I2480" t="s">
        <v>28263</v>
      </c>
      <c r="J2480" t="s">
        <v>37</v>
      </c>
      <c r="K2480">
        <v>10090</v>
      </c>
      <c r="L2480" s="3" t="str">
        <f>HYPERLINK("http://www.uniprot.org/uniprot/Q91VC9", "Q91VC9")</f>
        <v>Q91VC9</v>
      </c>
      <c r="M2480" t="s">
        <v>28264</v>
      </c>
      <c r="N2480" t="str">
        <f>"Ghitm"</f>
        <v>Ghitm</v>
      </c>
      <c r="O2480" s="3" t="str">
        <f>HYPERLINK("http://www.informatics.jax.org/marker/MGI:1913342", "MGI:1913342")</f>
        <v>MGI:1913342</v>
      </c>
      <c r="P2480" t="s">
        <v>28265</v>
      </c>
      <c r="Q2480" t="s">
        <v>541</v>
      </c>
      <c r="R2480" t="s">
        <v>3858</v>
      </c>
      <c r="S2480" t="s">
        <v>32</v>
      </c>
      <c r="T2480" t="s">
        <v>32</v>
      </c>
      <c r="U2480" t="s">
        <v>32</v>
      </c>
      <c r="V2480" t="s">
        <v>3859</v>
      </c>
      <c r="W2480" t="s">
        <v>32</v>
      </c>
      <c r="X2480" t="s">
        <v>32</v>
      </c>
      <c r="Y2480" t="s">
        <v>32</v>
      </c>
      <c r="Z2480" t="s">
        <v>32</v>
      </c>
      <c r="AA2480" t="s">
        <v>28266</v>
      </c>
      <c r="AB2480" t="s">
        <v>28267</v>
      </c>
      <c r="AC2480" t="s">
        <v>32</v>
      </c>
      <c r="AD2480" t="s">
        <v>32</v>
      </c>
      <c r="AE2480" t="s">
        <v>32</v>
      </c>
      <c r="AF2480" t="s">
        <v>46835</v>
      </c>
    </row>
    <row r="2481" spans="1:33" x14ac:dyDescent="0.2">
      <c r="A2481">
        <v>2476</v>
      </c>
      <c r="B2481" t="s">
        <v>28268</v>
      </c>
      <c r="C2481" t="s">
        <v>28269</v>
      </c>
      <c r="D2481" t="s">
        <v>28270</v>
      </c>
      <c r="E2481" t="s">
        <v>28271</v>
      </c>
      <c r="F2481" t="s">
        <v>28272</v>
      </c>
      <c r="G2481" t="s">
        <v>28273</v>
      </c>
      <c r="H2481" t="str">
        <f>"Ston2"</f>
        <v>Ston2</v>
      </c>
      <c r="I2481" t="s">
        <v>28274</v>
      </c>
      <c r="J2481" t="s">
        <v>37</v>
      </c>
      <c r="K2481">
        <v>10090</v>
      </c>
      <c r="L2481" s="3" t="str">
        <f>HYPERLINK("http://www.uniprot.org/uniprot/Q8BZ60", "Q8BZ60")</f>
        <v>Q8BZ60</v>
      </c>
      <c r="M2481" t="s">
        <v>28275</v>
      </c>
      <c r="N2481" t="str">
        <f>"Ston2"</f>
        <v>Ston2</v>
      </c>
      <c r="O2481" s="3" t="str">
        <f>HYPERLINK("http://www.informatics.jax.org/marker/MGI:1918272", "MGI:1918272")</f>
        <v>MGI:1918272</v>
      </c>
      <c r="P2481" t="s">
        <v>28276</v>
      </c>
      <c r="Q2481" t="s">
        <v>2822</v>
      </c>
      <c r="R2481" t="s">
        <v>28277</v>
      </c>
      <c r="S2481" t="s">
        <v>32</v>
      </c>
      <c r="T2481" t="s">
        <v>32</v>
      </c>
      <c r="U2481" t="s">
        <v>32</v>
      </c>
      <c r="V2481" t="s">
        <v>55</v>
      </c>
      <c r="W2481" t="s">
        <v>32</v>
      </c>
      <c r="X2481" t="s">
        <v>32</v>
      </c>
      <c r="Y2481" t="s">
        <v>2836</v>
      </c>
      <c r="Z2481" t="s">
        <v>32</v>
      </c>
      <c r="AA2481" t="s">
        <v>28278</v>
      </c>
      <c r="AB2481" t="s">
        <v>28279</v>
      </c>
      <c r="AC2481" t="s">
        <v>16930</v>
      </c>
      <c r="AD2481" t="s">
        <v>32</v>
      </c>
      <c r="AE2481" t="s">
        <v>13103</v>
      </c>
      <c r="AF2481" t="s">
        <v>46835</v>
      </c>
    </row>
    <row r="2482" spans="1:33" x14ac:dyDescent="0.2">
      <c r="A2482">
        <v>2477</v>
      </c>
      <c r="B2482" t="s">
        <v>28280</v>
      </c>
      <c r="C2482" t="s">
        <v>28281</v>
      </c>
      <c r="D2482" t="s">
        <v>32</v>
      </c>
      <c r="E2482" t="s">
        <v>28282</v>
      </c>
      <c r="F2482" t="s">
        <v>28283</v>
      </c>
      <c r="G2482" t="s">
        <v>28284</v>
      </c>
      <c r="H2482" t="str">
        <f>"Tomm5"</f>
        <v>Tomm5</v>
      </c>
      <c r="I2482" t="s">
        <v>32</v>
      </c>
      <c r="J2482" t="s">
        <v>37</v>
      </c>
      <c r="K2482">
        <v>10090</v>
      </c>
      <c r="L2482" s="3" t="str">
        <f>HYPERLINK("http://www.uniprot.org/uniprot/B1AXP6", "B1AXP6")</f>
        <v>B1AXP6</v>
      </c>
      <c r="M2482" t="s">
        <v>28285</v>
      </c>
      <c r="N2482" t="str">
        <f>"Tomm5"</f>
        <v>Tomm5</v>
      </c>
      <c r="O2482" s="3" t="str">
        <f>HYPERLINK("http://www.informatics.jax.org/marker/MGI:1915762", "MGI:1915762")</f>
        <v>MGI:1915762</v>
      </c>
      <c r="P2482" t="s">
        <v>28286</v>
      </c>
      <c r="Q2482" t="s">
        <v>434</v>
      </c>
      <c r="R2482" t="s">
        <v>4782</v>
      </c>
      <c r="S2482" t="s">
        <v>41</v>
      </c>
      <c r="T2482" t="s">
        <v>32</v>
      </c>
      <c r="U2482" t="s">
        <v>32</v>
      </c>
      <c r="V2482" t="s">
        <v>493</v>
      </c>
      <c r="W2482" t="s">
        <v>32</v>
      </c>
      <c r="X2482" t="s">
        <v>32</v>
      </c>
      <c r="Y2482" t="s">
        <v>461</v>
      </c>
      <c r="Z2482" t="s">
        <v>32</v>
      </c>
      <c r="AA2482" t="s">
        <v>13642</v>
      </c>
      <c r="AB2482" t="s">
        <v>28287</v>
      </c>
      <c r="AC2482" t="s">
        <v>32</v>
      </c>
      <c r="AD2482" t="s">
        <v>32</v>
      </c>
      <c r="AE2482" t="s">
        <v>19748</v>
      </c>
      <c r="AF2482" t="s">
        <v>46835</v>
      </c>
    </row>
    <row r="2483" spans="1:33" x14ac:dyDescent="0.2">
      <c r="A2483">
        <v>2478</v>
      </c>
      <c r="B2483" t="s">
        <v>28288</v>
      </c>
      <c r="C2483" t="s">
        <v>28289</v>
      </c>
      <c r="D2483" t="s">
        <v>28290</v>
      </c>
      <c r="E2483" t="s">
        <v>28291</v>
      </c>
      <c r="F2483" t="s">
        <v>28292</v>
      </c>
      <c r="G2483" t="s">
        <v>28293</v>
      </c>
      <c r="H2483" t="str">
        <f>"Snap23"</f>
        <v>Snap23</v>
      </c>
      <c r="I2483" t="s">
        <v>28294</v>
      </c>
      <c r="J2483" t="s">
        <v>37</v>
      </c>
      <c r="K2483">
        <v>10090</v>
      </c>
      <c r="L2483" s="3" t="str">
        <f>HYPERLINK("http://www.uniprot.org/uniprot/O09044", "O09044")</f>
        <v>O09044</v>
      </c>
      <c r="M2483" t="s">
        <v>28295</v>
      </c>
      <c r="N2483" t="str">
        <f>"Snap23"</f>
        <v>Snap23</v>
      </c>
      <c r="O2483" s="3" t="str">
        <f>HYPERLINK("http://www.informatics.jax.org/marker/MGI:109356", "MGI:109356")</f>
        <v>MGI:109356</v>
      </c>
      <c r="P2483" t="s">
        <v>28296</v>
      </c>
      <c r="Q2483" t="s">
        <v>434</v>
      </c>
      <c r="R2483" t="s">
        <v>28297</v>
      </c>
      <c r="S2483" t="s">
        <v>32</v>
      </c>
      <c r="T2483" t="s">
        <v>32</v>
      </c>
      <c r="U2483" t="s">
        <v>32</v>
      </c>
      <c r="V2483" t="s">
        <v>137</v>
      </c>
      <c r="W2483" t="s">
        <v>32</v>
      </c>
      <c r="X2483" t="s">
        <v>32</v>
      </c>
      <c r="Y2483" t="s">
        <v>3079</v>
      </c>
      <c r="Z2483" t="s">
        <v>32</v>
      </c>
      <c r="AA2483" t="s">
        <v>28298</v>
      </c>
      <c r="AB2483" t="s">
        <v>28299</v>
      </c>
      <c r="AC2483" t="s">
        <v>14493</v>
      </c>
      <c r="AD2483" t="s">
        <v>32</v>
      </c>
      <c r="AE2483" t="s">
        <v>28300</v>
      </c>
      <c r="AF2483" t="s">
        <v>46835</v>
      </c>
    </row>
    <row r="2484" spans="1:33" x14ac:dyDescent="0.2">
      <c r="A2484">
        <v>2479</v>
      </c>
      <c r="B2484" t="s">
        <v>28301</v>
      </c>
      <c r="C2484" t="s">
        <v>28302</v>
      </c>
      <c r="D2484" t="s">
        <v>28303</v>
      </c>
      <c r="E2484" t="s">
        <v>28304</v>
      </c>
      <c r="F2484" t="s">
        <v>28305</v>
      </c>
      <c r="G2484" t="s">
        <v>28306</v>
      </c>
      <c r="H2484" t="str">
        <f>"Srpra"</f>
        <v>Srpra</v>
      </c>
      <c r="I2484" t="s">
        <v>28307</v>
      </c>
      <c r="J2484" t="s">
        <v>37</v>
      </c>
      <c r="K2484">
        <v>10090</v>
      </c>
      <c r="L2484" s="3" t="str">
        <f>HYPERLINK("http://www.uniprot.org/uniprot/Q9DBG7", "Q9DBG7")</f>
        <v>Q9DBG7</v>
      </c>
      <c r="M2484" t="s">
        <v>28308</v>
      </c>
      <c r="N2484" t="str">
        <f>"Srpr"</f>
        <v>Srpr</v>
      </c>
      <c r="O2484" s="3" t="str">
        <f>HYPERLINK("http://www.informatics.jax.org/marker/MGI:1914648", "MGI:1914648")</f>
        <v>MGI:1914648</v>
      </c>
      <c r="P2484" t="s">
        <v>28309</v>
      </c>
      <c r="Q2484" t="s">
        <v>32</v>
      </c>
      <c r="R2484" t="s">
        <v>1664</v>
      </c>
      <c r="S2484" t="s">
        <v>32</v>
      </c>
      <c r="T2484" t="s">
        <v>32</v>
      </c>
      <c r="U2484" t="s">
        <v>32</v>
      </c>
      <c r="V2484" t="s">
        <v>32</v>
      </c>
      <c r="W2484" t="s">
        <v>261</v>
      </c>
      <c r="X2484" t="s">
        <v>6983</v>
      </c>
      <c r="Y2484" t="s">
        <v>618</v>
      </c>
      <c r="Z2484" t="s">
        <v>32</v>
      </c>
      <c r="AA2484" t="s">
        <v>28310</v>
      </c>
      <c r="AB2484" t="s">
        <v>28311</v>
      </c>
      <c r="AC2484" t="s">
        <v>28312</v>
      </c>
      <c r="AD2484" t="s">
        <v>32</v>
      </c>
      <c r="AE2484" t="s">
        <v>32</v>
      </c>
      <c r="AF2484" t="s">
        <v>46835</v>
      </c>
    </row>
    <row r="2485" spans="1:33" x14ac:dyDescent="0.2">
      <c r="A2485">
        <v>2480</v>
      </c>
      <c r="B2485" t="s">
        <v>28313</v>
      </c>
      <c r="C2485" t="s">
        <v>28314</v>
      </c>
      <c r="D2485" t="s">
        <v>28315</v>
      </c>
      <c r="E2485" t="s">
        <v>28316</v>
      </c>
      <c r="F2485" t="s">
        <v>28317</v>
      </c>
      <c r="G2485" t="s">
        <v>32</v>
      </c>
      <c r="H2485" t="str">
        <f>"Actr1b"</f>
        <v>Actr1b</v>
      </c>
      <c r="I2485" t="s">
        <v>32</v>
      </c>
      <c r="J2485" t="s">
        <v>37</v>
      </c>
      <c r="K2485">
        <v>10090</v>
      </c>
      <c r="L2485" s="3" t="str">
        <f>HYPERLINK("http://www.uniprot.org/uniprot/Q8R5C5", "Q8R5C5")</f>
        <v>Q8R5C5</v>
      </c>
      <c r="M2485" t="s">
        <v>28318</v>
      </c>
      <c r="N2485" t="str">
        <f>"Actr1b"</f>
        <v>Actr1b</v>
      </c>
      <c r="O2485" s="3" t="str">
        <f>HYPERLINK("http://www.informatics.jax.org/marker/MGI:1917446", "MGI:1917446")</f>
        <v>MGI:1917446</v>
      </c>
      <c r="P2485" t="s">
        <v>28319</v>
      </c>
      <c r="Q2485" t="s">
        <v>32</v>
      </c>
      <c r="R2485" t="s">
        <v>186</v>
      </c>
      <c r="S2485" t="s">
        <v>32</v>
      </c>
      <c r="T2485" t="s">
        <v>32</v>
      </c>
      <c r="U2485" t="s">
        <v>32</v>
      </c>
      <c r="V2485" t="s">
        <v>32</v>
      </c>
      <c r="W2485" t="s">
        <v>205</v>
      </c>
      <c r="X2485" t="s">
        <v>32</v>
      </c>
      <c r="Y2485" t="s">
        <v>9100</v>
      </c>
      <c r="Z2485" t="s">
        <v>32</v>
      </c>
      <c r="AA2485" t="s">
        <v>32</v>
      </c>
      <c r="AB2485" t="s">
        <v>28320</v>
      </c>
      <c r="AC2485" t="s">
        <v>12108</v>
      </c>
      <c r="AD2485" t="s">
        <v>32</v>
      </c>
      <c r="AE2485" t="s">
        <v>28321</v>
      </c>
      <c r="AF2485" t="s">
        <v>46835</v>
      </c>
    </row>
    <row r="2486" spans="1:33" x14ac:dyDescent="0.2">
      <c r="A2486">
        <v>2481</v>
      </c>
      <c r="B2486" t="s">
        <v>28322</v>
      </c>
      <c r="C2486" t="s">
        <v>28323</v>
      </c>
      <c r="D2486" t="s">
        <v>28324</v>
      </c>
      <c r="E2486" t="s">
        <v>28325</v>
      </c>
      <c r="F2486" t="s">
        <v>28326</v>
      </c>
      <c r="G2486" t="s">
        <v>28327</v>
      </c>
      <c r="H2486" t="str">
        <f>"Pcbp4"</f>
        <v>Pcbp4</v>
      </c>
      <c r="I2486" t="s">
        <v>32</v>
      </c>
      <c r="J2486" t="s">
        <v>37</v>
      </c>
      <c r="K2486">
        <v>10090</v>
      </c>
      <c r="L2486" s="3" t="str">
        <f>HYPERLINK("http://www.uniprot.org/uniprot/P57724", "P57724")</f>
        <v>P57724</v>
      </c>
      <c r="M2486" t="s">
        <v>28328</v>
      </c>
      <c r="N2486" t="str">
        <f>"Pcbp4"</f>
        <v>Pcbp4</v>
      </c>
      <c r="O2486" s="3" t="str">
        <f>HYPERLINK("http://www.informatics.jax.org/marker/MGI:1890471", "MGI:1890471")</f>
        <v>MGI:1890471</v>
      </c>
      <c r="P2486" t="s">
        <v>28329</v>
      </c>
      <c r="Q2486" t="s">
        <v>32</v>
      </c>
      <c r="R2486" t="s">
        <v>418</v>
      </c>
      <c r="S2486" t="s">
        <v>32</v>
      </c>
      <c r="T2486" t="s">
        <v>32</v>
      </c>
      <c r="U2486" t="s">
        <v>32</v>
      </c>
      <c r="V2486" t="s">
        <v>55</v>
      </c>
      <c r="W2486" t="s">
        <v>32</v>
      </c>
      <c r="X2486" t="s">
        <v>1993</v>
      </c>
      <c r="Y2486" t="s">
        <v>32</v>
      </c>
      <c r="Z2486" t="s">
        <v>32</v>
      </c>
      <c r="AA2486" t="s">
        <v>28330</v>
      </c>
      <c r="AB2486" t="s">
        <v>28331</v>
      </c>
      <c r="AC2486" t="s">
        <v>28332</v>
      </c>
      <c r="AD2486" t="s">
        <v>32</v>
      </c>
      <c r="AE2486" t="s">
        <v>32</v>
      </c>
      <c r="AF2486" t="s">
        <v>46835</v>
      </c>
    </row>
    <row r="2487" spans="1:33" x14ac:dyDescent="0.2">
      <c r="A2487">
        <v>2482</v>
      </c>
      <c r="B2487" t="s">
        <v>28333</v>
      </c>
      <c r="C2487" t="s">
        <v>47111</v>
      </c>
      <c r="D2487" t="s">
        <v>32</v>
      </c>
      <c r="E2487" t="s">
        <v>46976</v>
      </c>
      <c r="F2487" t="s">
        <v>46975</v>
      </c>
      <c r="G2487" t="s">
        <v>32</v>
      </c>
      <c r="H2487" t="s">
        <v>47242</v>
      </c>
      <c r="I2487" t="s">
        <v>32</v>
      </c>
      <c r="J2487" t="s">
        <v>37</v>
      </c>
      <c r="K2487">
        <v>10090</v>
      </c>
      <c r="L2487" s="3" t="str">
        <f>HYPERLINK(CONCATENATE("https://www.uniprot.org/uniprotkb/", AG2487, "/entry"), AG2487)</f>
        <v>Q9DCD2</v>
      </c>
      <c r="M2487" t="s">
        <v>32</v>
      </c>
      <c r="N2487" t="s">
        <v>32</v>
      </c>
      <c r="O2487" s="3" t="s">
        <v>32</v>
      </c>
      <c r="P2487" t="s">
        <v>32</v>
      </c>
      <c r="Q2487" t="s">
        <v>32</v>
      </c>
      <c r="R2487" t="s">
        <v>32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32</v>
      </c>
      <c r="Y2487" t="s">
        <v>32</v>
      </c>
      <c r="Z2487" t="s">
        <v>32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t="s">
        <v>46835</v>
      </c>
      <c r="AG2487" t="s">
        <v>46975</v>
      </c>
    </row>
    <row r="2488" spans="1:33" x14ac:dyDescent="0.2">
      <c r="A2488">
        <v>2483</v>
      </c>
      <c r="B2488" t="s">
        <v>28334</v>
      </c>
      <c r="C2488" t="s">
        <v>28335</v>
      </c>
      <c r="D2488" t="s">
        <v>32</v>
      </c>
      <c r="E2488" t="s">
        <v>28336</v>
      </c>
      <c r="F2488" t="s">
        <v>28337</v>
      </c>
      <c r="G2488" t="s">
        <v>28338</v>
      </c>
      <c r="H2488" t="str">
        <f>"Lrrc42"</f>
        <v>Lrrc42</v>
      </c>
      <c r="I2488" t="s">
        <v>32</v>
      </c>
      <c r="J2488" t="s">
        <v>37</v>
      </c>
      <c r="K2488">
        <v>10090</v>
      </c>
      <c r="L2488" s="3" t="str">
        <f>HYPERLINK("http://www.uniprot.org/uniprot/Q8R2U7", "Q8R2U7")</f>
        <v>Q8R2U7</v>
      </c>
      <c r="M2488" t="s">
        <v>28339</v>
      </c>
      <c r="N2488" t="str">
        <f>"Lrrc42"</f>
        <v>Lrrc42</v>
      </c>
      <c r="O2488" s="3" t="str">
        <f>HYPERLINK("http://www.informatics.jax.org/marker/MGI:1925059", "MGI:1925059")</f>
        <v>MGI:1925059</v>
      </c>
      <c r="P2488" t="s">
        <v>19550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2701</v>
      </c>
      <c r="W2488" t="s">
        <v>32</v>
      </c>
      <c r="X2488" t="s">
        <v>32</v>
      </c>
      <c r="Y2488" t="s">
        <v>618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t="s">
        <v>46835</v>
      </c>
    </row>
    <row r="2489" spans="1:33" x14ac:dyDescent="0.2">
      <c r="A2489">
        <v>2484</v>
      </c>
      <c r="B2489" t="s">
        <v>28340</v>
      </c>
      <c r="C2489" t="s">
        <v>28341</v>
      </c>
      <c r="D2489" t="s">
        <v>28342</v>
      </c>
      <c r="E2489" t="s">
        <v>28343</v>
      </c>
      <c r="F2489" t="s">
        <v>28344</v>
      </c>
      <c r="G2489" t="s">
        <v>32</v>
      </c>
      <c r="H2489" t="str">
        <f>"Dpy30"</f>
        <v>Dpy30</v>
      </c>
      <c r="I2489" t="s">
        <v>32</v>
      </c>
      <c r="J2489" t="s">
        <v>37</v>
      </c>
      <c r="K2489">
        <v>10090</v>
      </c>
      <c r="L2489" s="3" t="str">
        <f>HYPERLINK("http://www.uniprot.org/uniprot/Q99LT0", "Q99LT0")</f>
        <v>Q99LT0</v>
      </c>
      <c r="M2489" t="s">
        <v>28345</v>
      </c>
      <c r="N2489" t="str">
        <f>"Dpy30"</f>
        <v>Dpy30</v>
      </c>
      <c r="O2489" s="3" t="str">
        <f>HYPERLINK("http://www.informatics.jax.org/marker/MGI:1913560", "MGI:1913560")</f>
        <v>MGI:1913560</v>
      </c>
      <c r="P2489" t="s">
        <v>28346</v>
      </c>
      <c r="Q2489" t="s">
        <v>4152</v>
      </c>
      <c r="R2489" t="s">
        <v>28347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9988</v>
      </c>
      <c r="Y2489" t="s">
        <v>516</v>
      </c>
      <c r="Z2489" t="s">
        <v>32</v>
      </c>
      <c r="AA2489" t="s">
        <v>28348</v>
      </c>
      <c r="AB2489" t="s">
        <v>28349</v>
      </c>
      <c r="AC2489" t="s">
        <v>7805</v>
      </c>
      <c r="AD2489" t="s">
        <v>32</v>
      </c>
      <c r="AE2489" t="s">
        <v>32</v>
      </c>
      <c r="AF2489" t="s">
        <v>46835</v>
      </c>
    </row>
    <row r="2490" spans="1:33" x14ac:dyDescent="0.2">
      <c r="A2490">
        <v>2485</v>
      </c>
      <c r="B2490" t="s">
        <v>28350</v>
      </c>
      <c r="C2490" t="s">
        <v>28351</v>
      </c>
      <c r="D2490" t="s">
        <v>28352</v>
      </c>
      <c r="E2490" t="s">
        <v>28353</v>
      </c>
      <c r="F2490" t="s">
        <v>28354</v>
      </c>
      <c r="G2490" t="s">
        <v>28355</v>
      </c>
      <c r="H2490" t="str">
        <f>"Trmt2a"</f>
        <v>Trmt2a</v>
      </c>
      <c r="I2490" t="s">
        <v>32</v>
      </c>
      <c r="J2490" t="s">
        <v>37</v>
      </c>
      <c r="K2490">
        <v>10090</v>
      </c>
      <c r="L2490" s="3" t="str">
        <f>HYPERLINK("http://www.uniprot.org/uniprot/Q8BNV1", "Q8BNV1")</f>
        <v>Q8BNV1</v>
      </c>
      <c r="M2490" t="s">
        <v>28356</v>
      </c>
      <c r="N2490" t="str">
        <f>"Trmt2a"</f>
        <v>Trmt2a</v>
      </c>
      <c r="O2490" s="3" t="str">
        <f>HYPERLINK("http://www.informatics.jax.org/marker/MGI:96270", "MGI:96270")</f>
        <v>MGI:96270</v>
      </c>
      <c r="P2490" t="s">
        <v>28357</v>
      </c>
      <c r="Q2490" t="s">
        <v>28062</v>
      </c>
      <c r="R2490" t="s">
        <v>418</v>
      </c>
      <c r="S2490" t="s">
        <v>41</v>
      </c>
      <c r="T2490" t="s">
        <v>32</v>
      </c>
      <c r="U2490" t="s">
        <v>32</v>
      </c>
      <c r="V2490" t="s">
        <v>290</v>
      </c>
      <c r="W2490" t="s">
        <v>1705</v>
      </c>
      <c r="X2490" t="s">
        <v>17597</v>
      </c>
      <c r="Y2490" t="s">
        <v>618</v>
      </c>
      <c r="Z2490" t="s">
        <v>32</v>
      </c>
      <c r="AA2490" t="s">
        <v>28358</v>
      </c>
      <c r="AB2490" t="s">
        <v>1268</v>
      </c>
      <c r="AC2490" t="s">
        <v>28359</v>
      </c>
      <c r="AD2490" t="s">
        <v>32</v>
      </c>
      <c r="AE2490" t="s">
        <v>32</v>
      </c>
      <c r="AF2490" t="s">
        <v>46835</v>
      </c>
    </row>
    <row r="2491" spans="1:33" x14ac:dyDescent="0.2">
      <c r="A2491">
        <v>2486</v>
      </c>
      <c r="B2491" t="s">
        <v>28360</v>
      </c>
      <c r="C2491" t="s">
        <v>28361</v>
      </c>
      <c r="D2491" t="s">
        <v>28362</v>
      </c>
      <c r="E2491" t="s">
        <v>28363</v>
      </c>
      <c r="F2491" t="s">
        <v>28364</v>
      </c>
      <c r="G2491" t="s">
        <v>28365</v>
      </c>
      <c r="H2491" t="str">
        <f>"Ppp1r21"</f>
        <v>Ppp1r21</v>
      </c>
      <c r="I2491" t="s">
        <v>28366</v>
      </c>
      <c r="J2491" t="s">
        <v>37</v>
      </c>
      <c r="K2491">
        <v>10090</v>
      </c>
      <c r="L2491" s="3" t="str">
        <f>HYPERLINK("http://www.uniprot.org/uniprot/Q3TDD9", "Q3TDD9")</f>
        <v>Q3TDD9</v>
      </c>
      <c r="M2491" t="s">
        <v>28367</v>
      </c>
      <c r="N2491" t="str">
        <f>"Ppp1r21"</f>
        <v>Ppp1r21</v>
      </c>
      <c r="O2491" s="3" t="str">
        <f>HYPERLINK("http://www.informatics.jax.org/marker/MGI:1921075", "MGI:1921075")</f>
        <v>MGI:1921075</v>
      </c>
      <c r="P2491" t="s">
        <v>28368</v>
      </c>
      <c r="Q2491" t="s">
        <v>32</v>
      </c>
      <c r="R2491" t="s">
        <v>11451</v>
      </c>
      <c r="S2491" t="s">
        <v>41</v>
      </c>
      <c r="T2491" t="s">
        <v>32</v>
      </c>
      <c r="U2491" t="s">
        <v>32</v>
      </c>
      <c r="V2491" t="s">
        <v>290</v>
      </c>
      <c r="W2491" t="s">
        <v>32</v>
      </c>
      <c r="X2491" t="s">
        <v>32</v>
      </c>
      <c r="Y2491" t="s">
        <v>618</v>
      </c>
      <c r="Z2491" t="s">
        <v>32</v>
      </c>
      <c r="AA2491" t="s">
        <v>32</v>
      </c>
      <c r="AB2491" t="s">
        <v>28369</v>
      </c>
      <c r="AC2491" t="s">
        <v>32</v>
      </c>
      <c r="AD2491" t="s">
        <v>32</v>
      </c>
      <c r="AE2491" t="s">
        <v>32</v>
      </c>
      <c r="AF2491" t="s">
        <v>46835</v>
      </c>
    </row>
    <row r="2492" spans="1:33" x14ac:dyDescent="0.2">
      <c r="A2492">
        <v>2487</v>
      </c>
      <c r="B2492" t="s">
        <v>28370</v>
      </c>
      <c r="C2492" t="s">
        <v>28371</v>
      </c>
      <c r="D2492" t="s">
        <v>28372</v>
      </c>
      <c r="E2492" t="s">
        <v>28373</v>
      </c>
      <c r="F2492" t="s">
        <v>28374</v>
      </c>
      <c r="G2492" t="s">
        <v>28375</v>
      </c>
      <c r="H2492" t="str">
        <f>"Psme3ip1"</f>
        <v>Psme3ip1</v>
      </c>
      <c r="I2492" t="s">
        <v>32</v>
      </c>
      <c r="J2492" t="s">
        <v>37</v>
      </c>
      <c r="K2492">
        <v>10090</v>
      </c>
      <c r="L2492" s="3" t="str">
        <f>HYPERLINK("http://www.uniprot.org/uniprot/Q91WE2", "Q91WE2")</f>
        <v>Q91WE2</v>
      </c>
      <c r="M2492" t="s">
        <v>28376</v>
      </c>
      <c r="N2492" t="str">
        <f>"Psme3ip1"</f>
        <v>Psme3ip1</v>
      </c>
      <c r="O2492" s="3" t="str">
        <f>HYPERLINK("http://www.informatics.jax.org/marker/MGI:1919637", "MGI:1919637")</f>
        <v>MGI:1919637</v>
      </c>
      <c r="P2492" t="s">
        <v>28377</v>
      </c>
      <c r="Q2492" t="s">
        <v>32</v>
      </c>
      <c r="R2492" t="s">
        <v>2279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32</v>
      </c>
      <c r="Y2492" t="s">
        <v>157</v>
      </c>
      <c r="Z2492" t="s">
        <v>32</v>
      </c>
      <c r="AA2492" t="s">
        <v>28378</v>
      </c>
      <c r="AB2492" t="s">
        <v>3606</v>
      </c>
      <c r="AC2492" t="s">
        <v>32</v>
      </c>
      <c r="AD2492" t="s">
        <v>32</v>
      </c>
      <c r="AE2492" t="s">
        <v>32</v>
      </c>
      <c r="AF2492" t="s">
        <v>46835</v>
      </c>
    </row>
    <row r="2493" spans="1:33" x14ac:dyDescent="0.2">
      <c r="A2493">
        <v>2488</v>
      </c>
      <c r="B2493" t="s">
        <v>28379</v>
      </c>
      <c r="C2493" t="s">
        <v>28380</v>
      </c>
      <c r="D2493" t="s">
        <v>28381</v>
      </c>
      <c r="E2493" t="s">
        <v>28382</v>
      </c>
      <c r="F2493" t="s">
        <v>28383</v>
      </c>
      <c r="G2493" t="s">
        <v>28384</v>
      </c>
      <c r="H2493" t="str">
        <f>"Rrp1"</f>
        <v>Rrp1</v>
      </c>
      <c r="I2493" t="s">
        <v>28385</v>
      </c>
      <c r="J2493" t="s">
        <v>37</v>
      </c>
      <c r="K2493">
        <v>10090</v>
      </c>
      <c r="L2493" s="3" t="str">
        <f>HYPERLINK("http://www.uniprot.org/uniprot/P56183", "P56183")</f>
        <v>P56183</v>
      </c>
      <c r="M2493" t="s">
        <v>28386</v>
      </c>
      <c r="N2493" t="str">
        <f>"Rrp1"</f>
        <v>Rrp1</v>
      </c>
      <c r="O2493" s="3" t="str">
        <f>HYPERLINK("http://www.informatics.jax.org/marker/MGI:1203500", "MGI:1203500")</f>
        <v>MGI:1203500</v>
      </c>
      <c r="P2493" t="s">
        <v>28387</v>
      </c>
      <c r="Q2493" t="s">
        <v>15770</v>
      </c>
      <c r="R2493" t="s">
        <v>2279</v>
      </c>
      <c r="S2493" t="s">
        <v>41</v>
      </c>
      <c r="T2493" t="s">
        <v>32</v>
      </c>
      <c r="U2493" t="s">
        <v>32</v>
      </c>
      <c r="V2493" t="s">
        <v>32</v>
      </c>
      <c r="W2493" t="s">
        <v>32</v>
      </c>
      <c r="X2493" t="s">
        <v>32</v>
      </c>
      <c r="Y2493" t="s">
        <v>618</v>
      </c>
      <c r="Z2493" t="s">
        <v>32</v>
      </c>
      <c r="AA2493" t="s">
        <v>25279</v>
      </c>
      <c r="AB2493" t="s">
        <v>28388</v>
      </c>
      <c r="AC2493" t="s">
        <v>32</v>
      </c>
      <c r="AD2493" t="s">
        <v>32</v>
      </c>
      <c r="AE2493" t="s">
        <v>32</v>
      </c>
      <c r="AF2493" t="s">
        <v>46835</v>
      </c>
    </row>
    <row r="2494" spans="1:33" x14ac:dyDescent="0.2">
      <c r="A2494">
        <v>2489</v>
      </c>
      <c r="B2494" t="s">
        <v>28389</v>
      </c>
      <c r="C2494" t="s">
        <v>28390</v>
      </c>
      <c r="D2494" t="s">
        <v>32</v>
      </c>
      <c r="E2494" t="s">
        <v>28391</v>
      </c>
      <c r="F2494" t="s">
        <v>28392</v>
      </c>
      <c r="G2494" t="s">
        <v>28393</v>
      </c>
      <c r="H2494" t="str">
        <f>"Tmem40"</f>
        <v>Tmem40</v>
      </c>
      <c r="I2494" t="s">
        <v>32</v>
      </c>
      <c r="J2494" t="s">
        <v>37</v>
      </c>
      <c r="K2494">
        <v>10090</v>
      </c>
      <c r="L2494" s="3" t="str">
        <f>HYPERLINK("http://www.uniprot.org/uniprot/Q4FJU9", "Q4FJU9")</f>
        <v>Q4FJU9</v>
      </c>
      <c r="M2494" t="s">
        <v>28394</v>
      </c>
      <c r="N2494" t="str">
        <f>"Tmem40"</f>
        <v>Tmem40</v>
      </c>
      <c r="O2494" s="3" t="str">
        <f>HYPERLINK("http://www.informatics.jax.org/marker/MGI:2137870", "MGI:2137870")</f>
        <v>MGI:2137870</v>
      </c>
      <c r="P2494" t="s">
        <v>28395</v>
      </c>
      <c r="Q2494" t="s">
        <v>32</v>
      </c>
      <c r="R2494" t="s">
        <v>5989</v>
      </c>
      <c r="S2494" t="s">
        <v>32</v>
      </c>
      <c r="T2494" t="s">
        <v>32</v>
      </c>
      <c r="U2494" t="s">
        <v>32</v>
      </c>
      <c r="V2494" t="s">
        <v>493</v>
      </c>
      <c r="W2494" t="s">
        <v>32</v>
      </c>
      <c r="X2494" t="s">
        <v>32</v>
      </c>
      <c r="Y2494" t="s">
        <v>157</v>
      </c>
      <c r="Z2494" t="s">
        <v>32</v>
      </c>
      <c r="AA2494" t="s">
        <v>32</v>
      </c>
      <c r="AB2494" t="s">
        <v>14923</v>
      </c>
      <c r="AC2494" t="s">
        <v>32</v>
      </c>
      <c r="AD2494" t="s">
        <v>32</v>
      </c>
      <c r="AE2494" t="s">
        <v>32</v>
      </c>
      <c r="AF2494" t="s">
        <v>46835</v>
      </c>
    </row>
    <row r="2495" spans="1:33" x14ac:dyDescent="0.2">
      <c r="A2495">
        <v>2490</v>
      </c>
      <c r="B2495" t="s">
        <v>28396</v>
      </c>
      <c r="C2495" t="s">
        <v>28397</v>
      </c>
      <c r="D2495" t="s">
        <v>28398</v>
      </c>
      <c r="E2495" t="s">
        <v>28399</v>
      </c>
      <c r="F2495" t="s">
        <v>28400</v>
      </c>
      <c r="G2495" t="s">
        <v>28401</v>
      </c>
      <c r="H2495" t="str">
        <f>"Anapc5"</f>
        <v>Anapc5</v>
      </c>
      <c r="I2495" t="s">
        <v>32</v>
      </c>
      <c r="J2495" t="s">
        <v>37</v>
      </c>
      <c r="K2495">
        <v>10090</v>
      </c>
      <c r="L2495" s="3" t="str">
        <f>HYPERLINK("http://www.uniprot.org/uniprot/Q8BTZ4", "Q8BTZ4")</f>
        <v>Q8BTZ4</v>
      </c>
      <c r="M2495" t="s">
        <v>28402</v>
      </c>
      <c r="N2495" t="str">
        <f>"Anapc5"</f>
        <v>Anapc5</v>
      </c>
      <c r="O2495" s="3" t="str">
        <f>HYPERLINK("http://www.informatics.jax.org/marker/MGI:1929722", "MGI:1929722")</f>
        <v>MGI:1929722</v>
      </c>
      <c r="P2495" t="s">
        <v>28403</v>
      </c>
      <c r="Q2495" t="s">
        <v>19695</v>
      </c>
      <c r="R2495" t="s">
        <v>324</v>
      </c>
      <c r="S2495" t="s">
        <v>41</v>
      </c>
      <c r="T2495" t="s">
        <v>32</v>
      </c>
      <c r="U2495" t="s">
        <v>32</v>
      </c>
      <c r="V2495" t="s">
        <v>995</v>
      </c>
      <c r="W2495" t="s">
        <v>32</v>
      </c>
      <c r="X2495" t="s">
        <v>32</v>
      </c>
      <c r="Y2495" t="s">
        <v>618</v>
      </c>
      <c r="Z2495" t="s">
        <v>32</v>
      </c>
      <c r="AA2495" t="s">
        <v>28404</v>
      </c>
      <c r="AB2495" t="s">
        <v>28405</v>
      </c>
      <c r="AC2495" t="s">
        <v>28406</v>
      </c>
      <c r="AD2495" t="s">
        <v>1027</v>
      </c>
      <c r="AE2495" t="s">
        <v>19698</v>
      </c>
      <c r="AF2495" t="s">
        <v>46835</v>
      </c>
    </row>
    <row r="2496" spans="1:33" x14ac:dyDescent="0.2">
      <c r="A2496">
        <v>2491</v>
      </c>
      <c r="B2496" t="s">
        <v>28407</v>
      </c>
      <c r="C2496" t="s">
        <v>28408</v>
      </c>
      <c r="D2496" t="s">
        <v>28409</v>
      </c>
      <c r="E2496" t="s">
        <v>28410</v>
      </c>
      <c r="F2496" t="s">
        <v>28411</v>
      </c>
      <c r="G2496" t="s">
        <v>28412</v>
      </c>
      <c r="H2496" t="str">
        <f>"Pdlim7"</f>
        <v>Pdlim7</v>
      </c>
      <c r="I2496" t="s">
        <v>28413</v>
      </c>
      <c r="J2496" t="s">
        <v>37</v>
      </c>
      <c r="K2496">
        <v>10090</v>
      </c>
      <c r="L2496" s="3" t="str">
        <f>HYPERLINK("http://www.uniprot.org/uniprot/Q3TJD7", "Q3TJD7")</f>
        <v>Q3TJD7</v>
      </c>
      <c r="M2496" t="s">
        <v>28414</v>
      </c>
      <c r="N2496" t="str">
        <f>"Pdlim7"</f>
        <v>Pdlim7</v>
      </c>
      <c r="O2496" s="3" t="str">
        <f>HYPERLINK("http://www.informatics.jax.org/marker/MGI:1914649", "MGI:1914649")</f>
        <v>MGI:1914649</v>
      </c>
      <c r="P2496" t="s">
        <v>28415</v>
      </c>
      <c r="Q2496" t="s">
        <v>28416</v>
      </c>
      <c r="R2496" t="s">
        <v>186</v>
      </c>
      <c r="S2496" t="s">
        <v>41</v>
      </c>
      <c r="T2496" t="s">
        <v>32</v>
      </c>
      <c r="U2496" t="s">
        <v>32</v>
      </c>
      <c r="V2496" t="s">
        <v>11332</v>
      </c>
      <c r="W2496" t="s">
        <v>42</v>
      </c>
      <c r="X2496" t="s">
        <v>2029</v>
      </c>
      <c r="Y2496" t="s">
        <v>2734</v>
      </c>
      <c r="Z2496" t="s">
        <v>32</v>
      </c>
      <c r="AA2496" t="s">
        <v>28417</v>
      </c>
      <c r="AB2496" t="s">
        <v>28418</v>
      </c>
      <c r="AC2496" t="s">
        <v>28419</v>
      </c>
      <c r="AD2496" t="s">
        <v>32</v>
      </c>
      <c r="AE2496" t="s">
        <v>28420</v>
      </c>
      <c r="AF2496" t="s">
        <v>46835</v>
      </c>
    </row>
    <row r="2497" spans="1:32" x14ac:dyDescent="0.2">
      <c r="A2497">
        <v>2492</v>
      </c>
      <c r="B2497" t="s">
        <v>28421</v>
      </c>
      <c r="C2497" t="s">
        <v>28422</v>
      </c>
      <c r="D2497" t="s">
        <v>28423</v>
      </c>
      <c r="E2497" t="s">
        <v>28424</v>
      </c>
      <c r="F2497" t="s">
        <v>28425</v>
      </c>
      <c r="G2497" t="s">
        <v>28426</v>
      </c>
      <c r="H2497" t="str">
        <f>"Ncapd2"</f>
        <v>Ncapd2</v>
      </c>
      <c r="I2497" t="s">
        <v>28427</v>
      </c>
      <c r="J2497" t="s">
        <v>37</v>
      </c>
      <c r="K2497">
        <v>10090</v>
      </c>
      <c r="L2497" s="3" t="str">
        <f>HYPERLINK("http://www.uniprot.org/uniprot/Q8K2Z4", "Q8K2Z4")</f>
        <v>Q8K2Z4</v>
      </c>
      <c r="M2497" t="s">
        <v>28428</v>
      </c>
      <c r="N2497" t="str">
        <f>"Ncapd2"</f>
        <v>Ncapd2</v>
      </c>
      <c r="O2497" s="3" t="str">
        <f>HYPERLINK("http://www.informatics.jax.org/marker/MGI:1915548", "MGI:1915548")</f>
        <v>MGI:1915548</v>
      </c>
      <c r="P2497" t="s">
        <v>28429</v>
      </c>
      <c r="Q2497" t="s">
        <v>13745</v>
      </c>
      <c r="R2497" t="s">
        <v>8375</v>
      </c>
      <c r="S2497" t="s">
        <v>41</v>
      </c>
      <c r="T2497" t="s">
        <v>32</v>
      </c>
      <c r="U2497" t="s">
        <v>32</v>
      </c>
      <c r="V2497" t="s">
        <v>32</v>
      </c>
      <c r="W2497" t="s">
        <v>32</v>
      </c>
      <c r="X2497" t="s">
        <v>32</v>
      </c>
      <c r="Y2497" t="s">
        <v>618</v>
      </c>
      <c r="Z2497" t="s">
        <v>32</v>
      </c>
      <c r="AA2497" t="s">
        <v>28430</v>
      </c>
      <c r="AB2497" t="s">
        <v>28431</v>
      </c>
      <c r="AC2497" t="s">
        <v>5198</v>
      </c>
      <c r="AD2497" t="s">
        <v>32</v>
      </c>
      <c r="AE2497" t="s">
        <v>24999</v>
      </c>
      <c r="AF2497" t="s">
        <v>46835</v>
      </c>
    </row>
    <row r="2498" spans="1:32" x14ac:dyDescent="0.2">
      <c r="A2498">
        <v>2493</v>
      </c>
      <c r="B2498" t="s">
        <v>28432</v>
      </c>
      <c r="C2498" t="s">
        <v>28433</v>
      </c>
      <c r="D2498" t="s">
        <v>28434</v>
      </c>
      <c r="E2498" t="s">
        <v>28435</v>
      </c>
      <c r="F2498" t="s">
        <v>28436</v>
      </c>
      <c r="G2498" t="s">
        <v>28437</v>
      </c>
      <c r="H2498" t="str">
        <f>"Pold1"</f>
        <v>Pold1</v>
      </c>
      <c r="I2498" t="s">
        <v>32</v>
      </c>
      <c r="J2498" t="s">
        <v>37</v>
      </c>
      <c r="K2498">
        <v>10090</v>
      </c>
      <c r="L2498" s="3" t="str">
        <f>HYPERLINK("http://www.uniprot.org/uniprot/P52431", "P52431")</f>
        <v>P52431</v>
      </c>
      <c r="M2498" t="s">
        <v>28438</v>
      </c>
      <c r="N2498" t="str">
        <f>"Pold1"</f>
        <v>Pold1</v>
      </c>
      <c r="O2498" s="3" t="str">
        <f>HYPERLINK("http://www.informatics.jax.org/marker/MGI:97741", "MGI:97741")</f>
        <v>MGI:97741</v>
      </c>
      <c r="P2498" t="s">
        <v>28439</v>
      </c>
      <c r="Q2498" t="s">
        <v>28440</v>
      </c>
      <c r="R2498" t="s">
        <v>2279</v>
      </c>
      <c r="S2498" t="s">
        <v>32</v>
      </c>
      <c r="T2498" t="s">
        <v>32</v>
      </c>
      <c r="U2498" t="s">
        <v>32</v>
      </c>
      <c r="V2498" t="s">
        <v>446</v>
      </c>
      <c r="W2498" t="s">
        <v>28441</v>
      </c>
      <c r="X2498" t="s">
        <v>28442</v>
      </c>
      <c r="Y2498" t="s">
        <v>10927</v>
      </c>
      <c r="Z2498" t="s">
        <v>32</v>
      </c>
      <c r="AA2498" t="s">
        <v>28443</v>
      </c>
      <c r="AB2498" t="s">
        <v>28444</v>
      </c>
      <c r="AC2498" t="s">
        <v>28445</v>
      </c>
      <c r="AD2498" t="s">
        <v>32</v>
      </c>
      <c r="AE2498" t="s">
        <v>28446</v>
      </c>
      <c r="AF2498" t="s">
        <v>46835</v>
      </c>
    </row>
    <row r="2499" spans="1:32" x14ac:dyDescent="0.2">
      <c r="A2499">
        <v>2494</v>
      </c>
      <c r="B2499" t="s">
        <v>28447</v>
      </c>
      <c r="C2499" t="s">
        <v>28448</v>
      </c>
      <c r="D2499" t="s">
        <v>32</v>
      </c>
      <c r="E2499" t="s">
        <v>28449</v>
      </c>
      <c r="F2499" t="s">
        <v>28450</v>
      </c>
      <c r="G2499" t="s">
        <v>28451</v>
      </c>
      <c r="H2499" t="str">
        <f>"Ppp1r2"</f>
        <v>Ppp1r2</v>
      </c>
      <c r="I2499" t="s">
        <v>32</v>
      </c>
      <c r="J2499" t="s">
        <v>37</v>
      </c>
      <c r="K2499">
        <v>10090</v>
      </c>
      <c r="L2499" s="3" t="str">
        <f>HYPERLINK("http://www.uniprot.org/uniprot/Q9DCL8", "Q9DCL8")</f>
        <v>Q9DCL8</v>
      </c>
      <c r="M2499" t="s">
        <v>28452</v>
      </c>
      <c r="N2499" t="str">
        <f>"Ppp1r2"</f>
        <v>Ppp1r2</v>
      </c>
      <c r="O2499" s="3" t="str">
        <f>HYPERLINK("http://www.informatics.jax.org/marker/MGI:1914099", "MGI:1914099")</f>
        <v>MGI:1914099</v>
      </c>
      <c r="P2499" t="s">
        <v>28453</v>
      </c>
      <c r="Q2499" t="s">
        <v>1718</v>
      </c>
      <c r="R2499" t="s">
        <v>32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14951</v>
      </c>
      <c r="Y2499" t="s">
        <v>157</v>
      </c>
      <c r="Z2499" t="s">
        <v>126</v>
      </c>
      <c r="AA2499" t="s">
        <v>28454</v>
      </c>
      <c r="AB2499" t="s">
        <v>28455</v>
      </c>
      <c r="AC2499" t="s">
        <v>28456</v>
      </c>
      <c r="AD2499" t="s">
        <v>32</v>
      </c>
      <c r="AE2499" t="s">
        <v>32</v>
      </c>
      <c r="AF2499" t="s">
        <v>46835</v>
      </c>
    </row>
    <row r="2500" spans="1:32" x14ac:dyDescent="0.2">
      <c r="A2500">
        <v>2495</v>
      </c>
      <c r="B2500" t="s">
        <v>28457</v>
      </c>
      <c r="C2500" t="s">
        <v>28458</v>
      </c>
      <c r="D2500" t="s">
        <v>32</v>
      </c>
      <c r="E2500" t="s">
        <v>28459</v>
      </c>
      <c r="F2500" t="s">
        <v>28460</v>
      </c>
      <c r="G2500" t="s">
        <v>28461</v>
      </c>
      <c r="H2500" t="str">
        <f>"Zc3h14"</f>
        <v>Zc3h14</v>
      </c>
      <c r="I2500" t="s">
        <v>32</v>
      </c>
      <c r="J2500" t="s">
        <v>37</v>
      </c>
      <c r="K2500">
        <v>10090</v>
      </c>
      <c r="L2500" s="3" t="str">
        <f>HYPERLINK("http://www.uniprot.org/uniprot/Q8BJ05", "Q8BJ05")</f>
        <v>Q8BJ05</v>
      </c>
      <c r="M2500" t="s">
        <v>28462</v>
      </c>
      <c r="N2500" t="str">
        <f>"Zc3h14"</f>
        <v>Zc3h14</v>
      </c>
      <c r="O2500" s="3" t="str">
        <f>HYPERLINK("http://www.informatics.jax.org/marker/MGI:1919824", "MGI:1919824")</f>
        <v>MGI:1919824</v>
      </c>
      <c r="P2500" t="s">
        <v>28463</v>
      </c>
      <c r="Q2500" t="s">
        <v>32</v>
      </c>
      <c r="R2500" t="s">
        <v>2279</v>
      </c>
      <c r="S2500" t="s">
        <v>41</v>
      </c>
      <c r="T2500" t="s">
        <v>32</v>
      </c>
      <c r="U2500" t="s">
        <v>32</v>
      </c>
      <c r="V2500" t="s">
        <v>3791</v>
      </c>
      <c r="W2500" t="s">
        <v>42</v>
      </c>
      <c r="X2500" t="s">
        <v>1282</v>
      </c>
      <c r="Y2500" t="s">
        <v>516</v>
      </c>
      <c r="Z2500" t="s">
        <v>32</v>
      </c>
      <c r="AA2500" t="s">
        <v>28464</v>
      </c>
      <c r="AB2500" t="s">
        <v>28465</v>
      </c>
      <c r="AC2500" t="s">
        <v>28466</v>
      </c>
      <c r="AD2500" t="s">
        <v>32</v>
      </c>
      <c r="AE2500" t="s">
        <v>32</v>
      </c>
      <c r="AF2500" t="s">
        <v>46835</v>
      </c>
    </row>
    <row r="2501" spans="1:32" x14ac:dyDescent="0.2">
      <c r="A2501">
        <v>2496</v>
      </c>
      <c r="B2501" t="s">
        <v>28467</v>
      </c>
      <c r="C2501" t="s">
        <v>28468</v>
      </c>
      <c r="D2501" t="s">
        <v>28469</v>
      </c>
      <c r="E2501" t="s">
        <v>28470</v>
      </c>
      <c r="F2501" t="s">
        <v>28471</v>
      </c>
      <c r="G2501" t="s">
        <v>28472</v>
      </c>
      <c r="H2501" t="str">
        <f>"Exosc6"</f>
        <v>Exosc6</v>
      </c>
      <c r="I2501" t="s">
        <v>28473</v>
      </c>
      <c r="J2501" t="s">
        <v>37</v>
      </c>
      <c r="K2501">
        <v>10090</v>
      </c>
      <c r="L2501" s="3" t="str">
        <f>HYPERLINK("http://www.uniprot.org/uniprot/Q8BTW3", "Q8BTW3")</f>
        <v>Q8BTW3</v>
      </c>
      <c r="M2501" t="s">
        <v>28474</v>
      </c>
      <c r="N2501" t="str">
        <f>"Exosc6"</f>
        <v>Exosc6</v>
      </c>
      <c r="O2501" s="3" t="str">
        <f>HYPERLINK("http://www.informatics.jax.org/marker/MGI:1919794", "MGI:1919794")</f>
        <v>MGI:1919794</v>
      </c>
      <c r="P2501" t="s">
        <v>28475</v>
      </c>
      <c r="Q2501" t="s">
        <v>15770</v>
      </c>
      <c r="R2501" t="s">
        <v>28476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1282</v>
      </c>
      <c r="Y2501" t="s">
        <v>32</v>
      </c>
      <c r="Z2501" t="s">
        <v>32</v>
      </c>
      <c r="AA2501" t="s">
        <v>28477</v>
      </c>
      <c r="AB2501" t="s">
        <v>28478</v>
      </c>
      <c r="AC2501" t="s">
        <v>4711</v>
      </c>
      <c r="AD2501" t="s">
        <v>32</v>
      </c>
      <c r="AE2501" t="s">
        <v>28479</v>
      </c>
      <c r="AF2501" t="s">
        <v>46835</v>
      </c>
    </row>
    <row r="2502" spans="1:32" x14ac:dyDescent="0.2">
      <c r="A2502">
        <v>2497</v>
      </c>
      <c r="B2502" t="s">
        <v>28480</v>
      </c>
      <c r="C2502" t="s">
        <v>28481</v>
      </c>
      <c r="D2502" t="s">
        <v>28482</v>
      </c>
      <c r="E2502" t="s">
        <v>28483</v>
      </c>
      <c r="F2502" t="s">
        <v>28484</v>
      </c>
      <c r="G2502" t="s">
        <v>28485</v>
      </c>
      <c r="H2502" t="str">
        <f>"Tmem30a"</f>
        <v>Tmem30a</v>
      </c>
      <c r="I2502" t="s">
        <v>28486</v>
      </c>
      <c r="J2502" t="s">
        <v>37</v>
      </c>
      <c r="K2502">
        <v>10090</v>
      </c>
      <c r="L2502" s="3" t="str">
        <f>HYPERLINK("http://www.uniprot.org/uniprot/Q8VEK0", "Q8VEK0")</f>
        <v>Q8VEK0</v>
      </c>
      <c r="M2502" t="s">
        <v>28487</v>
      </c>
      <c r="N2502" t="str">
        <f>"Tmem30a"</f>
        <v>Tmem30a</v>
      </c>
      <c r="O2502" s="3" t="str">
        <f>HYPERLINK("http://www.informatics.jax.org/marker/MGI:106402", "MGI:106402")</f>
        <v>MGI:106402</v>
      </c>
      <c r="P2502" t="s">
        <v>28488</v>
      </c>
      <c r="Q2502" t="s">
        <v>582</v>
      </c>
      <c r="R2502" t="s">
        <v>28489</v>
      </c>
      <c r="S2502" t="s">
        <v>32</v>
      </c>
      <c r="T2502" t="s">
        <v>32</v>
      </c>
      <c r="U2502" t="s">
        <v>32</v>
      </c>
      <c r="V2502" t="s">
        <v>493</v>
      </c>
      <c r="W2502" t="s">
        <v>32</v>
      </c>
      <c r="X2502" t="s">
        <v>32</v>
      </c>
      <c r="Y2502" t="s">
        <v>1066</v>
      </c>
      <c r="Z2502" t="s">
        <v>32</v>
      </c>
      <c r="AA2502" t="s">
        <v>28490</v>
      </c>
      <c r="AB2502" t="s">
        <v>28491</v>
      </c>
      <c r="AC2502" t="s">
        <v>28492</v>
      </c>
      <c r="AD2502" t="s">
        <v>32</v>
      </c>
      <c r="AE2502" t="s">
        <v>548</v>
      </c>
      <c r="AF2502" t="s">
        <v>46835</v>
      </c>
    </row>
    <row r="2503" spans="1:32" x14ac:dyDescent="0.2">
      <c r="A2503">
        <v>2498</v>
      </c>
      <c r="B2503" t="s">
        <v>28493</v>
      </c>
      <c r="C2503" t="s">
        <v>28494</v>
      </c>
      <c r="D2503" t="s">
        <v>28495</v>
      </c>
      <c r="E2503" t="s">
        <v>28496</v>
      </c>
      <c r="F2503" t="s">
        <v>28497</v>
      </c>
      <c r="G2503" t="s">
        <v>32</v>
      </c>
      <c r="H2503" t="str">
        <f>"Kpna4"</f>
        <v>Kpna4</v>
      </c>
      <c r="I2503" t="s">
        <v>28498</v>
      </c>
      <c r="J2503" t="s">
        <v>37</v>
      </c>
      <c r="K2503">
        <v>10090</v>
      </c>
      <c r="L2503" s="3" t="str">
        <f>HYPERLINK("http://www.uniprot.org/uniprot/O35343", "O35343")</f>
        <v>O35343</v>
      </c>
      <c r="M2503" t="s">
        <v>28499</v>
      </c>
      <c r="N2503" t="str">
        <f>"Kpna4"</f>
        <v>Kpna4</v>
      </c>
      <c r="O2503" s="3" t="str">
        <f>HYPERLINK("http://www.informatics.jax.org/marker/MGI:1100848", "MGI:1100848")</f>
        <v>MGI:1100848</v>
      </c>
      <c r="P2503" t="s">
        <v>12200</v>
      </c>
      <c r="Q2503" t="s">
        <v>434</v>
      </c>
      <c r="R2503" t="s">
        <v>40</v>
      </c>
      <c r="S2503" t="s">
        <v>32</v>
      </c>
      <c r="T2503" t="s">
        <v>32</v>
      </c>
      <c r="U2503" t="s">
        <v>32</v>
      </c>
      <c r="V2503" t="s">
        <v>55</v>
      </c>
      <c r="W2503" t="s">
        <v>32</v>
      </c>
      <c r="X2503" t="s">
        <v>32</v>
      </c>
      <c r="Y2503" t="s">
        <v>157</v>
      </c>
      <c r="Z2503" t="s">
        <v>32</v>
      </c>
      <c r="AA2503" t="s">
        <v>28500</v>
      </c>
      <c r="AB2503" t="s">
        <v>28501</v>
      </c>
      <c r="AC2503" t="s">
        <v>12439</v>
      </c>
      <c r="AD2503" t="s">
        <v>32</v>
      </c>
      <c r="AE2503" t="s">
        <v>32</v>
      </c>
      <c r="AF2503" t="s">
        <v>46835</v>
      </c>
    </row>
    <row r="2504" spans="1:32" x14ac:dyDescent="0.2">
      <c r="A2504">
        <v>2499</v>
      </c>
      <c r="B2504" t="s">
        <v>28502</v>
      </c>
      <c r="C2504" t="s">
        <v>28503</v>
      </c>
      <c r="D2504" t="s">
        <v>28504</v>
      </c>
      <c r="E2504" t="s">
        <v>28505</v>
      </c>
      <c r="F2504" t="s">
        <v>28506</v>
      </c>
      <c r="G2504" t="s">
        <v>32</v>
      </c>
      <c r="H2504" t="str">
        <f>"Pc"</f>
        <v>Pc</v>
      </c>
      <c r="I2504" t="s">
        <v>28507</v>
      </c>
      <c r="J2504" t="s">
        <v>37</v>
      </c>
      <c r="K2504">
        <v>10090</v>
      </c>
      <c r="L2504" s="3" t="str">
        <f>HYPERLINK("http://www.uniprot.org/uniprot/Q05920", "Q05920")</f>
        <v>Q05920</v>
      </c>
      <c r="M2504" t="s">
        <v>28508</v>
      </c>
      <c r="N2504" t="str">
        <f>"Pcx"</f>
        <v>Pcx</v>
      </c>
      <c r="O2504" s="3" t="str">
        <f>HYPERLINK("http://www.informatics.jax.org/marker/MGI:97520", "MGI:97520")</f>
        <v>MGI:97520</v>
      </c>
      <c r="P2504" t="s">
        <v>28509</v>
      </c>
      <c r="Q2504" t="s">
        <v>28510</v>
      </c>
      <c r="R2504" t="s">
        <v>1038</v>
      </c>
      <c r="S2504" t="s">
        <v>32</v>
      </c>
      <c r="T2504" t="s">
        <v>32</v>
      </c>
      <c r="U2504" t="s">
        <v>32</v>
      </c>
      <c r="V2504" t="s">
        <v>1039</v>
      </c>
      <c r="W2504" t="s">
        <v>28511</v>
      </c>
      <c r="X2504" t="s">
        <v>19407</v>
      </c>
      <c r="Y2504" t="s">
        <v>157</v>
      </c>
      <c r="Z2504" t="s">
        <v>32</v>
      </c>
      <c r="AA2504" t="s">
        <v>28512</v>
      </c>
      <c r="AB2504" t="s">
        <v>28513</v>
      </c>
      <c r="AC2504" t="s">
        <v>28514</v>
      </c>
      <c r="AD2504" t="s">
        <v>930</v>
      </c>
      <c r="AE2504" t="s">
        <v>28515</v>
      </c>
      <c r="AF2504" t="s">
        <v>46835</v>
      </c>
    </row>
    <row r="2505" spans="1:32" x14ac:dyDescent="0.2">
      <c r="A2505">
        <v>2500</v>
      </c>
      <c r="B2505" t="s">
        <v>28516</v>
      </c>
      <c r="C2505" t="s">
        <v>28517</v>
      </c>
      <c r="D2505" t="s">
        <v>32</v>
      </c>
      <c r="E2505" t="s">
        <v>28518</v>
      </c>
      <c r="F2505" t="s">
        <v>28519</v>
      </c>
      <c r="G2505" t="s">
        <v>28520</v>
      </c>
      <c r="H2505" t="str">
        <f>"Ythdf3"</f>
        <v>Ythdf3</v>
      </c>
      <c r="I2505" t="s">
        <v>32</v>
      </c>
      <c r="J2505" t="s">
        <v>37</v>
      </c>
      <c r="K2505">
        <v>10090</v>
      </c>
      <c r="L2505" s="3" t="str">
        <f>HYPERLINK("http://www.uniprot.org/uniprot/Q8BYK6", "Q8BYK6")</f>
        <v>Q8BYK6</v>
      </c>
      <c r="M2505" t="s">
        <v>28521</v>
      </c>
      <c r="N2505" t="str">
        <f>"Ythdf3"</f>
        <v>Ythdf3</v>
      </c>
      <c r="O2505" s="3" t="str">
        <f>HYPERLINK("http://www.informatics.jax.org/marker/MGI:1918850", "MGI:1918850")</f>
        <v>MGI:1918850</v>
      </c>
      <c r="P2505" t="s">
        <v>28522</v>
      </c>
      <c r="Q2505" t="s">
        <v>32</v>
      </c>
      <c r="R2505" t="s">
        <v>418</v>
      </c>
      <c r="S2505" t="s">
        <v>41</v>
      </c>
      <c r="T2505" t="s">
        <v>32</v>
      </c>
      <c r="U2505" t="s">
        <v>32</v>
      </c>
      <c r="V2505" t="s">
        <v>32</v>
      </c>
      <c r="W2505" t="s">
        <v>32</v>
      </c>
      <c r="X2505" t="s">
        <v>1282</v>
      </c>
      <c r="Y2505" t="s">
        <v>157</v>
      </c>
      <c r="Z2505" t="s">
        <v>32</v>
      </c>
      <c r="AA2505" t="s">
        <v>28523</v>
      </c>
      <c r="AB2505" t="s">
        <v>28524</v>
      </c>
      <c r="AC2505" t="s">
        <v>28525</v>
      </c>
      <c r="AD2505" t="s">
        <v>32</v>
      </c>
      <c r="AE2505" t="s">
        <v>32</v>
      </c>
      <c r="AF2505" t="s">
        <v>46835</v>
      </c>
    </row>
    <row r="2506" spans="1:32" x14ac:dyDescent="0.2">
      <c r="A2506">
        <v>2501</v>
      </c>
      <c r="B2506" t="s">
        <v>28526</v>
      </c>
      <c r="C2506" t="s">
        <v>28527</v>
      </c>
      <c r="D2506" t="s">
        <v>28528</v>
      </c>
      <c r="E2506" t="s">
        <v>28529</v>
      </c>
      <c r="F2506" t="s">
        <v>28530</v>
      </c>
      <c r="G2506" t="s">
        <v>32</v>
      </c>
      <c r="H2506" t="str">
        <f>"Ndrg3"</f>
        <v>Ndrg3</v>
      </c>
      <c r="I2506" t="s">
        <v>28531</v>
      </c>
      <c r="J2506" t="s">
        <v>37</v>
      </c>
      <c r="K2506">
        <v>10090</v>
      </c>
      <c r="L2506" s="3" t="str">
        <f>HYPERLINK("http://www.uniprot.org/uniprot/Q9QYF9", "Q9QYF9")</f>
        <v>Q9QYF9</v>
      </c>
      <c r="M2506" t="s">
        <v>28532</v>
      </c>
      <c r="N2506" t="str">
        <f>"Ndrg3"</f>
        <v>Ndrg3</v>
      </c>
      <c r="O2506" s="3" t="str">
        <f>HYPERLINK("http://www.informatics.jax.org/marker/MGI:1352499", "MGI:1352499")</f>
        <v>MGI:1352499</v>
      </c>
      <c r="P2506" t="s">
        <v>157</v>
      </c>
      <c r="Q2506" t="s">
        <v>32</v>
      </c>
      <c r="R2506" t="s">
        <v>32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32</v>
      </c>
      <c r="Y2506" t="s">
        <v>157</v>
      </c>
      <c r="Z2506" t="s">
        <v>32</v>
      </c>
      <c r="AA2506" t="s">
        <v>19551</v>
      </c>
      <c r="AB2506" t="s">
        <v>2172</v>
      </c>
      <c r="AC2506" t="s">
        <v>32</v>
      </c>
      <c r="AD2506" t="s">
        <v>32</v>
      </c>
      <c r="AE2506" t="s">
        <v>32</v>
      </c>
      <c r="AF2506" t="s">
        <v>46835</v>
      </c>
    </row>
    <row r="2507" spans="1:32" x14ac:dyDescent="0.2">
      <c r="A2507">
        <v>2502</v>
      </c>
      <c r="B2507" t="s">
        <v>28533</v>
      </c>
      <c r="C2507" t="s">
        <v>28534</v>
      </c>
      <c r="D2507" t="s">
        <v>32</v>
      </c>
      <c r="E2507" t="s">
        <v>28535</v>
      </c>
      <c r="F2507" t="s">
        <v>28536</v>
      </c>
      <c r="G2507" t="s">
        <v>28537</v>
      </c>
      <c r="H2507" t="str">
        <f>"Cyb5r2"</f>
        <v>Cyb5r2</v>
      </c>
      <c r="I2507" t="s">
        <v>32</v>
      </c>
      <c r="J2507" t="s">
        <v>37</v>
      </c>
      <c r="K2507">
        <v>10090</v>
      </c>
      <c r="L2507" s="3" t="str">
        <f>HYPERLINK("http://www.uniprot.org/uniprot/Q3KNK3", "Q3KNK3")</f>
        <v>Q3KNK3</v>
      </c>
      <c r="M2507" t="s">
        <v>28538</v>
      </c>
      <c r="N2507" t="str">
        <f>"Cyb5r2"</f>
        <v>Cyb5r2</v>
      </c>
      <c r="O2507" s="3" t="str">
        <f>HYPERLINK("http://www.informatics.jax.org/marker/MGI:2444415", "MGI:2444415")</f>
        <v>MGI:2444415</v>
      </c>
      <c r="P2507" t="s">
        <v>28539</v>
      </c>
      <c r="Q2507" t="s">
        <v>28540</v>
      </c>
      <c r="R2507" t="s">
        <v>32</v>
      </c>
      <c r="S2507" t="s">
        <v>41</v>
      </c>
      <c r="T2507" t="s">
        <v>32</v>
      </c>
      <c r="U2507" t="s">
        <v>32</v>
      </c>
      <c r="V2507" t="s">
        <v>32</v>
      </c>
      <c r="W2507" t="s">
        <v>7933</v>
      </c>
      <c r="X2507" t="s">
        <v>600</v>
      </c>
      <c r="Y2507" t="s">
        <v>157</v>
      </c>
      <c r="Z2507" t="s">
        <v>32</v>
      </c>
      <c r="AA2507" t="s">
        <v>28541</v>
      </c>
      <c r="AB2507" t="s">
        <v>24652</v>
      </c>
      <c r="AC2507" t="s">
        <v>28542</v>
      </c>
      <c r="AD2507" t="s">
        <v>32</v>
      </c>
      <c r="AE2507" t="s">
        <v>28543</v>
      </c>
      <c r="AF2507" t="s">
        <v>46835</v>
      </c>
    </row>
    <row r="2508" spans="1:32" x14ac:dyDescent="0.2">
      <c r="A2508">
        <v>2503</v>
      </c>
      <c r="B2508" t="s">
        <v>28544</v>
      </c>
      <c r="C2508" t="s">
        <v>28545</v>
      </c>
      <c r="D2508" t="s">
        <v>28546</v>
      </c>
      <c r="E2508" t="s">
        <v>28547</v>
      </c>
      <c r="F2508" t="s">
        <v>28548</v>
      </c>
      <c r="G2508" t="s">
        <v>28549</v>
      </c>
      <c r="H2508" t="str">
        <f>"Smyd5"</f>
        <v>Smyd5</v>
      </c>
      <c r="I2508" t="s">
        <v>28550</v>
      </c>
      <c r="J2508" t="s">
        <v>37</v>
      </c>
      <c r="K2508">
        <v>10090</v>
      </c>
      <c r="L2508" s="3" t="str">
        <f>HYPERLINK("http://www.uniprot.org/uniprot/Q3TYX3", "Q3TYX3")</f>
        <v>Q3TYX3</v>
      </c>
      <c r="M2508" t="s">
        <v>28551</v>
      </c>
      <c r="N2508" t="str">
        <f>"Smyd5"</f>
        <v>Smyd5</v>
      </c>
      <c r="O2508" s="3" t="str">
        <f>HYPERLINK("http://www.informatics.jax.org/marker/MGI:108048", "MGI:108048")</f>
        <v>MGI:108048</v>
      </c>
      <c r="P2508" t="s">
        <v>28552</v>
      </c>
      <c r="Q2508" t="s">
        <v>32</v>
      </c>
      <c r="R2508" t="s">
        <v>32</v>
      </c>
      <c r="S2508" t="s">
        <v>32</v>
      </c>
      <c r="T2508" t="s">
        <v>32</v>
      </c>
      <c r="U2508" t="s">
        <v>32</v>
      </c>
      <c r="V2508" t="s">
        <v>446</v>
      </c>
      <c r="W2508" t="s">
        <v>15120</v>
      </c>
      <c r="X2508" t="s">
        <v>1706</v>
      </c>
      <c r="Y2508" t="s">
        <v>32</v>
      </c>
      <c r="Z2508" t="s">
        <v>32</v>
      </c>
      <c r="AA2508" t="s">
        <v>28553</v>
      </c>
      <c r="AB2508" t="s">
        <v>32</v>
      </c>
      <c r="AC2508" t="s">
        <v>28554</v>
      </c>
      <c r="AD2508" t="s">
        <v>32</v>
      </c>
      <c r="AE2508" t="s">
        <v>32</v>
      </c>
      <c r="AF2508" t="s">
        <v>46835</v>
      </c>
    </row>
    <row r="2509" spans="1:32" x14ac:dyDescent="0.2">
      <c r="A2509">
        <v>2504</v>
      </c>
      <c r="B2509" t="s">
        <v>28555</v>
      </c>
      <c r="C2509" t="s">
        <v>28556</v>
      </c>
      <c r="D2509" t="s">
        <v>28557</v>
      </c>
      <c r="E2509" t="s">
        <v>28558</v>
      </c>
      <c r="F2509" t="s">
        <v>28559</v>
      </c>
      <c r="G2509" t="s">
        <v>28560</v>
      </c>
      <c r="H2509" t="str">
        <f>"Ube2r2"</f>
        <v>Ube2r2</v>
      </c>
      <c r="I2509" t="s">
        <v>28561</v>
      </c>
      <c r="J2509" t="s">
        <v>37</v>
      </c>
      <c r="K2509">
        <v>10090</v>
      </c>
      <c r="L2509" s="3" t="str">
        <f>HYPERLINK("http://www.uniprot.org/uniprot/Q6ZWZ2", "Q6ZWZ2")</f>
        <v>Q6ZWZ2</v>
      </c>
      <c r="M2509" t="s">
        <v>28562</v>
      </c>
      <c r="N2509" t="str">
        <f>"Ube2r2"</f>
        <v>Ube2r2</v>
      </c>
      <c r="O2509" s="3" t="str">
        <f>HYPERLINK("http://www.informatics.jax.org/marker/MGI:1914865", "MGI:1914865")</f>
        <v>MGI:1914865</v>
      </c>
      <c r="P2509" t="s">
        <v>28563</v>
      </c>
      <c r="Q2509" t="s">
        <v>1020</v>
      </c>
      <c r="R2509" t="s">
        <v>32</v>
      </c>
      <c r="S2509" t="s">
        <v>32</v>
      </c>
      <c r="T2509" t="s">
        <v>32</v>
      </c>
      <c r="U2509" t="s">
        <v>32</v>
      </c>
      <c r="V2509" t="s">
        <v>32</v>
      </c>
      <c r="W2509" t="s">
        <v>205</v>
      </c>
      <c r="X2509" t="s">
        <v>515</v>
      </c>
      <c r="Y2509" t="s">
        <v>618</v>
      </c>
      <c r="Z2509" t="s">
        <v>32</v>
      </c>
      <c r="AA2509" t="s">
        <v>28564</v>
      </c>
      <c r="AB2509" t="s">
        <v>32</v>
      </c>
      <c r="AC2509" t="s">
        <v>24561</v>
      </c>
      <c r="AD2509" t="s">
        <v>1027</v>
      </c>
      <c r="AE2509" t="s">
        <v>1028</v>
      </c>
      <c r="AF2509" t="s">
        <v>46835</v>
      </c>
    </row>
    <row r="2510" spans="1:32" x14ac:dyDescent="0.2">
      <c r="A2510">
        <v>2505</v>
      </c>
      <c r="B2510" t="s">
        <v>28565</v>
      </c>
      <c r="C2510" t="s">
        <v>28566</v>
      </c>
      <c r="D2510" t="s">
        <v>32</v>
      </c>
      <c r="E2510" t="s">
        <v>28567</v>
      </c>
      <c r="F2510" t="s">
        <v>28568</v>
      </c>
      <c r="G2510" t="s">
        <v>28569</v>
      </c>
      <c r="H2510" t="str">
        <f>"Plrg1"</f>
        <v>Plrg1</v>
      </c>
      <c r="I2510" t="s">
        <v>32</v>
      </c>
      <c r="J2510" t="s">
        <v>37</v>
      </c>
      <c r="K2510">
        <v>10090</v>
      </c>
      <c r="L2510" s="3" t="str">
        <f>HYPERLINK("http://www.uniprot.org/uniprot/Q922V4", "Q922V4")</f>
        <v>Q922V4</v>
      </c>
      <c r="M2510" t="s">
        <v>28570</v>
      </c>
      <c r="N2510" t="str">
        <f>"Plrg1"</f>
        <v>Plrg1</v>
      </c>
      <c r="O2510" s="3" t="str">
        <f>HYPERLINK("http://www.informatics.jax.org/marker/MGI:1858197", "MGI:1858197")</f>
        <v>MGI:1858197</v>
      </c>
      <c r="P2510" t="s">
        <v>28571</v>
      </c>
      <c r="Q2510" t="s">
        <v>2139</v>
      </c>
      <c r="R2510" t="s">
        <v>2140</v>
      </c>
      <c r="S2510" t="s">
        <v>32</v>
      </c>
      <c r="T2510" t="s">
        <v>32</v>
      </c>
      <c r="U2510" t="s">
        <v>32</v>
      </c>
      <c r="V2510" t="s">
        <v>1910</v>
      </c>
      <c r="W2510" t="s">
        <v>32</v>
      </c>
      <c r="X2510" t="s">
        <v>32</v>
      </c>
      <c r="Y2510" t="s">
        <v>157</v>
      </c>
      <c r="Z2510" t="s">
        <v>32</v>
      </c>
      <c r="AA2510" t="s">
        <v>28572</v>
      </c>
      <c r="AB2510" t="s">
        <v>28573</v>
      </c>
      <c r="AC2510" t="s">
        <v>32</v>
      </c>
      <c r="AD2510" t="s">
        <v>32</v>
      </c>
      <c r="AE2510" t="s">
        <v>946</v>
      </c>
      <c r="AF2510" t="s">
        <v>46835</v>
      </c>
    </row>
    <row r="2511" spans="1:32" x14ac:dyDescent="0.2">
      <c r="A2511">
        <v>2506</v>
      </c>
      <c r="B2511" t="s">
        <v>28574</v>
      </c>
      <c r="C2511" t="s">
        <v>28575</v>
      </c>
      <c r="D2511" t="s">
        <v>28576</v>
      </c>
      <c r="E2511" t="s">
        <v>28577</v>
      </c>
      <c r="F2511" t="s">
        <v>28578</v>
      </c>
      <c r="G2511" t="s">
        <v>28579</v>
      </c>
      <c r="H2511" t="str">
        <f>"Uaca"</f>
        <v>Uaca</v>
      </c>
      <c r="I2511" t="s">
        <v>28580</v>
      </c>
      <c r="J2511" t="s">
        <v>37</v>
      </c>
      <c r="K2511">
        <v>10090</v>
      </c>
      <c r="L2511" s="3" t="str">
        <f>HYPERLINK("http://www.uniprot.org/uniprot/Q8CGB3", "Q8CGB3")</f>
        <v>Q8CGB3</v>
      </c>
      <c r="M2511" t="s">
        <v>28581</v>
      </c>
      <c r="N2511" t="str">
        <f>"Uaca"</f>
        <v>Uaca</v>
      </c>
      <c r="O2511" s="3" t="str">
        <f>HYPERLINK("http://www.informatics.jax.org/marker/MGI:1919815", "MGI:1919815")</f>
        <v>MGI:1919815</v>
      </c>
      <c r="P2511" t="s">
        <v>28582</v>
      </c>
      <c r="Q2511" t="s">
        <v>32</v>
      </c>
      <c r="R2511" t="s">
        <v>324</v>
      </c>
      <c r="S2511" t="s">
        <v>41</v>
      </c>
      <c r="T2511" t="s">
        <v>32</v>
      </c>
      <c r="U2511" t="s">
        <v>32</v>
      </c>
      <c r="V2511" t="s">
        <v>9693</v>
      </c>
      <c r="W2511" t="s">
        <v>32</v>
      </c>
      <c r="X2511" t="s">
        <v>32</v>
      </c>
      <c r="Y2511" t="s">
        <v>157</v>
      </c>
      <c r="Z2511" t="s">
        <v>32</v>
      </c>
      <c r="AA2511" t="s">
        <v>28583</v>
      </c>
      <c r="AB2511" t="s">
        <v>28584</v>
      </c>
      <c r="AC2511" t="s">
        <v>32</v>
      </c>
      <c r="AD2511" t="s">
        <v>32</v>
      </c>
      <c r="AE2511" t="s">
        <v>4969</v>
      </c>
      <c r="AF2511" t="s">
        <v>46835</v>
      </c>
    </row>
    <row r="2512" spans="1:32" x14ac:dyDescent="0.2">
      <c r="A2512">
        <v>2507</v>
      </c>
      <c r="B2512" t="s">
        <v>28585</v>
      </c>
      <c r="C2512" t="s">
        <v>28586</v>
      </c>
      <c r="D2512" t="s">
        <v>32</v>
      </c>
      <c r="E2512" t="s">
        <v>28587</v>
      </c>
      <c r="F2512" t="s">
        <v>28588</v>
      </c>
      <c r="G2512" t="s">
        <v>28589</v>
      </c>
      <c r="H2512" t="str">
        <f>"Pck2"</f>
        <v>Pck2</v>
      </c>
      <c r="I2512" t="s">
        <v>32</v>
      </c>
      <c r="J2512" t="s">
        <v>37</v>
      </c>
      <c r="K2512">
        <v>10090</v>
      </c>
      <c r="L2512" s="3" t="str">
        <f>HYPERLINK("http://www.uniprot.org/uniprot/Q8BH04", "Q8BH04")</f>
        <v>Q8BH04</v>
      </c>
      <c r="M2512" t="s">
        <v>28590</v>
      </c>
      <c r="N2512" t="str">
        <f>"Pck2"</f>
        <v>Pck2</v>
      </c>
      <c r="O2512" s="3" t="str">
        <f>HYPERLINK("http://www.informatics.jax.org/marker/MGI:1860456", "MGI:1860456")</f>
        <v>MGI:1860456</v>
      </c>
      <c r="P2512" t="s">
        <v>28591</v>
      </c>
      <c r="Q2512" t="s">
        <v>28592</v>
      </c>
      <c r="R2512" t="s">
        <v>1038</v>
      </c>
      <c r="S2512" t="s">
        <v>32</v>
      </c>
      <c r="T2512" t="s">
        <v>32</v>
      </c>
      <c r="U2512" t="s">
        <v>32</v>
      </c>
      <c r="V2512" t="s">
        <v>1039</v>
      </c>
      <c r="W2512" t="s">
        <v>4387</v>
      </c>
      <c r="X2512" t="s">
        <v>19521</v>
      </c>
      <c r="Y2512" t="s">
        <v>157</v>
      </c>
      <c r="Z2512" t="s">
        <v>32</v>
      </c>
      <c r="AA2512" t="s">
        <v>28593</v>
      </c>
      <c r="AB2512" t="s">
        <v>5676</v>
      </c>
      <c r="AC2512" t="s">
        <v>28594</v>
      </c>
      <c r="AD2512" t="s">
        <v>930</v>
      </c>
      <c r="AE2512" t="s">
        <v>2428</v>
      </c>
      <c r="AF2512" t="s">
        <v>46835</v>
      </c>
    </row>
    <row r="2513" spans="1:33" x14ac:dyDescent="0.2">
      <c r="A2513">
        <v>2508</v>
      </c>
      <c r="B2513" t="s">
        <v>28595</v>
      </c>
      <c r="C2513" t="s">
        <v>28596</v>
      </c>
      <c r="D2513" t="s">
        <v>32</v>
      </c>
      <c r="E2513" t="s">
        <v>28597</v>
      </c>
      <c r="F2513" t="s">
        <v>28598</v>
      </c>
      <c r="G2513" t="s">
        <v>28599</v>
      </c>
      <c r="H2513" t="str">
        <f>"Tbc1d17"</f>
        <v>Tbc1d17</v>
      </c>
      <c r="I2513" t="s">
        <v>32</v>
      </c>
      <c r="J2513" t="s">
        <v>37</v>
      </c>
      <c r="K2513">
        <v>10090</v>
      </c>
      <c r="L2513" s="3" t="str">
        <f>HYPERLINK("http://www.uniprot.org/uniprot/Q8BYH7", "Q8BYH7")</f>
        <v>Q8BYH7</v>
      </c>
      <c r="M2513" t="s">
        <v>28600</v>
      </c>
      <c r="N2513" t="str">
        <f>"Tbc1d17"</f>
        <v>Tbc1d17</v>
      </c>
      <c r="O2513" s="3" t="str">
        <f>HYPERLINK("http://www.informatics.jax.org/marker/MGI:2449973", "MGI:2449973")</f>
        <v>MGI:2449973</v>
      </c>
      <c r="P2513" t="s">
        <v>28601</v>
      </c>
      <c r="Q2513" t="s">
        <v>23025</v>
      </c>
      <c r="R2513" t="s">
        <v>27789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715</v>
      </c>
      <c r="Y2513" t="s">
        <v>618</v>
      </c>
      <c r="Z2513" t="s">
        <v>32</v>
      </c>
      <c r="AA2513" t="s">
        <v>28602</v>
      </c>
      <c r="AB2513" t="s">
        <v>28603</v>
      </c>
      <c r="AC2513" t="s">
        <v>14857</v>
      </c>
      <c r="AD2513" t="s">
        <v>32</v>
      </c>
      <c r="AE2513" t="s">
        <v>20884</v>
      </c>
      <c r="AF2513" t="s">
        <v>46835</v>
      </c>
    </row>
    <row r="2514" spans="1:33" x14ac:dyDescent="0.2">
      <c r="A2514">
        <v>2509</v>
      </c>
      <c r="B2514" t="s">
        <v>28604</v>
      </c>
      <c r="C2514" t="s">
        <v>28605</v>
      </c>
      <c r="D2514" t="s">
        <v>28606</v>
      </c>
      <c r="E2514" t="s">
        <v>28607</v>
      </c>
      <c r="F2514" t="s">
        <v>28608</v>
      </c>
      <c r="G2514" t="s">
        <v>32</v>
      </c>
      <c r="H2514" t="str">
        <f>"Ggps1"</f>
        <v>Ggps1</v>
      </c>
      <c r="I2514" t="s">
        <v>32</v>
      </c>
      <c r="J2514" t="s">
        <v>37</v>
      </c>
      <c r="K2514">
        <v>10090</v>
      </c>
      <c r="L2514" s="3" t="str">
        <f>HYPERLINK("http://www.uniprot.org/uniprot/Q9WTN0", "Q9WTN0")</f>
        <v>Q9WTN0</v>
      </c>
      <c r="M2514" t="s">
        <v>28609</v>
      </c>
      <c r="N2514" t="str">
        <f>"Ggps1"</f>
        <v>Ggps1</v>
      </c>
      <c r="O2514" s="3" t="str">
        <f>HYPERLINK("http://www.informatics.jax.org/marker/MGI:1341724", "MGI:1341724")</f>
        <v>MGI:1341724</v>
      </c>
      <c r="P2514" t="s">
        <v>28610</v>
      </c>
      <c r="Q2514" t="s">
        <v>28611</v>
      </c>
      <c r="R2514" t="s">
        <v>418</v>
      </c>
      <c r="S2514" t="s">
        <v>32</v>
      </c>
      <c r="T2514" t="s">
        <v>32</v>
      </c>
      <c r="U2514" t="s">
        <v>32</v>
      </c>
      <c r="V2514" t="s">
        <v>32</v>
      </c>
      <c r="W2514" t="s">
        <v>223</v>
      </c>
      <c r="X2514" t="s">
        <v>515</v>
      </c>
      <c r="Y2514" t="s">
        <v>78</v>
      </c>
      <c r="Z2514" t="s">
        <v>32</v>
      </c>
      <c r="AA2514" t="s">
        <v>28612</v>
      </c>
      <c r="AB2514" t="s">
        <v>28613</v>
      </c>
      <c r="AC2514" t="s">
        <v>28614</v>
      </c>
      <c r="AD2514" t="s">
        <v>28615</v>
      </c>
      <c r="AE2514" t="s">
        <v>5365</v>
      </c>
      <c r="AF2514" t="s">
        <v>46835</v>
      </c>
    </row>
    <row r="2515" spans="1:33" x14ac:dyDescent="0.2">
      <c r="A2515">
        <v>2510</v>
      </c>
      <c r="B2515" t="s">
        <v>28616</v>
      </c>
      <c r="C2515" t="s">
        <v>28617</v>
      </c>
      <c r="D2515" t="s">
        <v>28618</v>
      </c>
      <c r="E2515" t="s">
        <v>28619</v>
      </c>
      <c r="F2515" t="s">
        <v>28620</v>
      </c>
      <c r="G2515" t="s">
        <v>28621</v>
      </c>
      <c r="H2515" t="str">
        <f>"Fam50a"</f>
        <v>Fam50a</v>
      </c>
      <c r="I2515" t="s">
        <v>28622</v>
      </c>
      <c r="J2515" t="s">
        <v>37</v>
      </c>
      <c r="K2515">
        <v>10090</v>
      </c>
      <c r="L2515" s="3" t="str">
        <f>HYPERLINK("http://www.uniprot.org/uniprot/Q9WV03", "Q9WV03")</f>
        <v>Q9WV03</v>
      </c>
      <c r="M2515" t="s">
        <v>28623</v>
      </c>
      <c r="N2515" t="str">
        <f>"Fam50a"</f>
        <v>Fam50a</v>
      </c>
      <c r="O2515" s="3" t="str">
        <f>HYPERLINK("http://www.informatics.jax.org/marker/MGI:1351626", "MGI:1351626")</f>
        <v>MGI:1351626</v>
      </c>
      <c r="P2515" t="s">
        <v>28624</v>
      </c>
      <c r="Q2515" t="s">
        <v>2139</v>
      </c>
      <c r="R2515" t="s">
        <v>2279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32</v>
      </c>
      <c r="Y2515" t="s">
        <v>461</v>
      </c>
      <c r="Z2515" t="s">
        <v>32</v>
      </c>
      <c r="AA2515" t="s">
        <v>28625</v>
      </c>
      <c r="AB2515" t="s">
        <v>7318</v>
      </c>
      <c r="AC2515" t="s">
        <v>32</v>
      </c>
      <c r="AD2515" t="s">
        <v>32</v>
      </c>
      <c r="AE2515" t="s">
        <v>32</v>
      </c>
      <c r="AF2515" t="s">
        <v>46835</v>
      </c>
    </row>
    <row r="2516" spans="1:33" x14ac:dyDescent="0.2">
      <c r="A2516">
        <v>2511</v>
      </c>
      <c r="B2516" t="s">
        <v>28626</v>
      </c>
      <c r="C2516" t="s">
        <v>28627</v>
      </c>
      <c r="D2516" t="s">
        <v>28628</v>
      </c>
      <c r="E2516" t="s">
        <v>28629</v>
      </c>
      <c r="F2516" t="s">
        <v>28630</v>
      </c>
      <c r="G2516" t="s">
        <v>28631</v>
      </c>
      <c r="H2516" t="str">
        <f>"Tpm1"</f>
        <v>Tpm1</v>
      </c>
      <c r="I2516" t="s">
        <v>28632</v>
      </c>
      <c r="J2516" t="s">
        <v>37</v>
      </c>
      <c r="K2516">
        <v>10090</v>
      </c>
      <c r="L2516" s="3" t="str">
        <f>HYPERLINK("http://www.uniprot.org/uniprot/P58771", "P58771")</f>
        <v>P58771</v>
      </c>
      <c r="M2516" t="s">
        <v>28633</v>
      </c>
      <c r="N2516" t="str">
        <f>"Tpm1"</f>
        <v>Tpm1</v>
      </c>
      <c r="O2516" s="3" t="str">
        <f>HYPERLINK("http://www.informatics.jax.org/marker/MGI:98809", "MGI:98809")</f>
        <v>MGI:98809</v>
      </c>
      <c r="P2516" t="s">
        <v>28634</v>
      </c>
      <c r="Q2516" t="s">
        <v>32</v>
      </c>
      <c r="R2516" t="s">
        <v>186</v>
      </c>
      <c r="S2516" t="s">
        <v>41</v>
      </c>
      <c r="T2516" t="s">
        <v>32</v>
      </c>
      <c r="U2516" t="s">
        <v>32</v>
      </c>
      <c r="V2516" t="s">
        <v>290</v>
      </c>
      <c r="W2516" t="s">
        <v>32</v>
      </c>
      <c r="X2516" t="s">
        <v>9286</v>
      </c>
      <c r="Y2516" t="s">
        <v>157</v>
      </c>
      <c r="Z2516" t="s">
        <v>126</v>
      </c>
      <c r="AA2516" t="s">
        <v>28635</v>
      </c>
      <c r="AB2516" t="s">
        <v>28636</v>
      </c>
      <c r="AC2516" t="s">
        <v>28637</v>
      </c>
      <c r="AD2516" t="s">
        <v>32</v>
      </c>
      <c r="AE2516" t="s">
        <v>21345</v>
      </c>
      <c r="AF2516" t="s">
        <v>46835</v>
      </c>
    </row>
    <row r="2517" spans="1:33" x14ac:dyDescent="0.2">
      <c r="A2517">
        <v>2512</v>
      </c>
      <c r="B2517" t="s">
        <v>28638</v>
      </c>
      <c r="C2517" t="s">
        <v>28639</v>
      </c>
      <c r="D2517" t="s">
        <v>28640</v>
      </c>
      <c r="E2517" t="s">
        <v>28641</v>
      </c>
      <c r="F2517" t="s">
        <v>28642</v>
      </c>
      <c r="G2517" t="s">
        <v>28643</v>
      </c>
      <c r="H2517" t="str">
        <f>"Prpf31"</f>
        <v>Prpf31</v>
      </c>
      <c r="I2517" t="s">
        <v>28644</v>
      </c>
      <c r="J2517" t="s">
        <v>37</v>
      </c>
      <c r="K2517">
        <v>10090</v>
      </c>
      <c r="L2517" s="3" t="str">
        <f>HYPERLINK("http://www.uniprot.org/uniprot/Q8CCF0", "Q8CCF0")</f>
        <v>Q8CCF0</v>
      </c>
      <c r="M2517" t="s">
        <v>28645</v>
      </c>
      <c r="N2517" t="str">
        <f>"Prpf31"</f>
        <v>Prpf31</v>
      </c>
      <c r="O2517" s="3" t="str">
        <f>HYPERLINK("http://www.informatics.jax.org/marker/MGI:1916238", "MGI:1916238")</f>
        <v>MGI:1916238</v>
      </c>
      <c r="P2517" t="s">
        <v>3179</v>
      </c>
      <c r="Q2517" t="s">
        <v>2139</v>
      </c>
      <c r="R2517" t="s">
        <v>2140</v>
      </c>
      <c r="S2517" t="s">
        <v>41</v>
      </c>
      <c r="T2517" t="s">
        <v>32</v>
      </c>
      <c r="U2517" t="s">
        <v>32</v>
      </c>
      <c r="V2517" t="s">
        <v>290</v>
      </c>
      <c r="W2517" t="s">
        <v>32</v>
      </c>
      <c r="X2517" t="s">
        <v>1129</v>
      </c>
      <c r="Y2517" t="s">
        <v>516</v>
      </c>
      <c r="Z2517" t="s">
        <v>32</v>
      </c>
      <c r="AA2517" t="s">
        <v>28646</v>
      </c>
      <c r="AB2517" t="s">
        <v>28647</v>
      </c>
      <c r="AC2517" t="s">
        <v>28648</v>
      </c>
      <c r="AD2517" t="s">
        <v>32</v>
      </c>
      <c r="AE2517" t="s">
        <v>946</v>
      </c>
      <c r="AF2517" t="s">
        <v>46835</v>
      </c>
    </row>
    <row r="2518" spans="1:33" x14ac:dyDescent="0.2">
      <c r="A2518">
        <v>2513</v>
      </c>
      <c r="B2518" t="s">
        <v>28649</v>
      </c>
      <c r="C2518" t="s">
        <v>47144</v>
      </c>
      <c r="D2518" t="s">
        <v>32</v>
      </c>
      <c r="E2518" t="s">
        <v>46978</v>
      </c>
      <c r="F2518" t="s">
        <v>46977</v>
      </c>
      <c r="G2518" t="s">
        <v>32</v>
      </c>
      <c r="H2518" t="s">
        <v>47275</v>
      </c>
      <c r="I2518" t="s">
        <v>32</v>
      </c>
      <c r="J2518" t="s">
        <v>37</v>
      </c>
      <c r="K2518">
        <v>10090</v>
      </c>
      <c r="L2518" s="3" t="str">
        <f>HYPERLINK(CONCATENATE("https://www.uniprot.org/uniprotkb/", AG2518, "/entry"), AG2518)</f>
        <v>Q6ZWQ7</v>
      </c>
      <c r="M2518" t="s">
        <v>32</v>
      </c>
      <c r="N2518" t="s">
        <v>32</v>
      </c>
      <c r="O2518" s="3" t="s">
        <v>32</v>
      </c>
      <c r="P2518" t="s">
        <v>32</v>
      </c>
      <c r="Q2518" t="s">
        <v>32</v>
      </c>
      <c r="R2518" t="s">
        <v>32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32</v>
      </c>
      <c r="Y2518" t="s">
        <v>32</v>
      </c>
      <c r="Z2518" t="s">
        <v>32</v>
      </c>
      <c r="AA2518" t="s">
        <v>32</v>
      </c>
      <c r="AB2518" t="s">
        <v>32</v>
      </c>
      <c r="AC2518" t="s">
        <v>32</v>
      </c>
      <c r="AD2518" t="s">
        <v>32</v>
      </c>
      <c r="AE2518" t="s">
        <v>32</v>
      </c>
      <c r="AF2518" t="s">
        <v>46835</v>
      </c>
      <c r="AG2518" t="s">
        <v>46977</v>
      </c>
    </row>
    <row r="2519" spans="1:33" x14ac:dyDescent="0.2">
      <c r="A2519">
        <v>2514</v>
      </c>
      <c r="B2519" t="s">
        <v>28650</v>
      </c>
      <c r="C2519" t="s">
        <v>28651</v>
      </c>
      <c r="D2519" t="s">
        <v>28652</v>
      </c>
      <c r="E2519" t="s">
        <v>28653</v>
      </c>
      <c r="F2519" t="s">
        <v>28654</v>
      </c>
      <c r="G2519" t="s">
        <v>28655</v>
      </c>
      <c r="H2519" t="str">
        <f>"Pofut1"</f>
        <v>Pofut1</v>
      </c>
      <c r="I2519" t="s">
        <v>32</v>
      </c>
      <c r="J2519" t="s">
        <v>37</v>
      </c>
      <c r="K2519">
        <v>10090</v>
      </c>
      <c r="L2519" s="3" t="str">
        <f>HYPERLINK("http://www.uniprot.org/uniprot/Q91ZW2", "Q91ZW2")</f>
        <v>Q91ZW2</v>
      </c>
      <c r="M2519" t="s">
        <v>28656</v>
      </c>
      <c r="N2519" t="str">
        <f>"Pofut1"</f>
        <v>Pofut1</v>
      </c>
      <c r="O2519" s="3" t="str">
        <f>HYPERLINK("http://www.informatics.jax.org/marker/MGI:2153207", "MGI:2153207")</f>
        <v>MGI:2153207</v>
      </c>
      <c r="P2519" t="s">
        <v>28657</v>
      </c>
      <c r="Q2519" t="s">
        <v>28658</v>
      </c>
      <c r="R2519" t="s">
        <v>671</v>
      </c>
      <c r="S2519" t="s">
        <v>32</v>
      </c>
      <c r="T2519" t="s">
        <v>32</v>
      </c>
      <c r="U2519" t="s">
        <v>32</v>
      </c>
      <c r="V2519" t="s">
        <v>811</v>
      </c>
      <c r="W2519" t="s">
        <v>28659</v>
      </c>
      <c r="X2519" t="s">
        <v>2362</v>
      </c>
      <c r="Y2519" t="s">
        <v>5275</v>
      </c>
      <c r="Z2519" t="s">
        <v>126</v>
      </c>
      <c r="AA2519" t="s">
        <v>28660</v>
      </c>
      <c r="AB2519" t="s">
        <v>28661</v>
      </c>
      <c r="AC2519" t="s">
        <v>20985</v>
      </c>
      <c r="AD2519" t="s">
        <v>3952</v>
      </c>
      <c r="AE2519" t="s">
        <v>32</v>
      </c>
      <c r="AF2519" t="s">
        <v>46835</v>
      </c>
    </row>
    <row r="2520" spans="1:33" x14ac:dyDescent="0.2">
      <c r="A2520">
        <v>2515</v>
      </c>
      <c r="B2520" t="s">
        <v>28662</v>
      </c>
      <c r="C2520" t="s">
        <v>28663</v>
      </c>
      <c r="D2520" t="s">
        <v>32</v>
      </c>
      <c r="E2520" t="s">
        <v>28664</v>
      </c>
      <c r="F2520" t="s">
        <v>28665</v>
      </c>
      <c r="G2520" t="s">
        <v>28666</v>
      </c>
      <c r="H2520" t="str">
        <f>"Crot"</f>
        <v>Crot</v>
      </c>
      <c r="I2520" t="s">
        <v>28667</v>
      </c>
      <c r="J2520" t="s">
        <v>37</v>
      </c>
      <c r="K2520">
        <v>10090</v>
      </c>
      <c r="L2520" s="3" t="str">
        <f>HYPERLINK("http://www.uniprot.org/uniprot/Q9DC50", "Q9DC50")</f>
        <v>Q9DC50</v>
      </c>
      <c r="M2520" t="s">
        <v>28668</v>
      </c>
      <c r="N2520" t="str">
        <f>"Crot"</f>
        <v>Crot</v>
      </c>
      <c r="O2520" s="3" t="str">
        <f>HYPERLINK("http://www.informatics.jax.org/marker/MGI:1921364", "MGI:1921364")</f>
        <v>MGI:1921364</v>
      </c>
      <c r="P2520" t="s">
        <v>28669</v>
      </c>
      <c r="Q2520" t="s">
        <v>7303</v>
      </c>
      <c r="R2520" t="s">
        <v>5745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7304</v>
      </c>
      <c r="Y2520" t="s">
        <v>78</v>
      </c>
      <c r="Z2520" t="s">
        <v>126</v>
      </c>
      <c r="AA2520" t="s">
        <v>28670</v>
      </c>
      <c r="AB2520" t="s">
        <v>28671</v>
      </c>
      <c r="AC2520" t="s">
        <v>28672</v>
      </c>
      <c r="AD2520" t="s">
        <v>6218</v>
      </c>
      <c r="AE2520" t="s">
        <v>28673</v>
      </c>
      <c r="AF2520" t="s">
        <v>46835</v>
      </c>
    </row>
    <row r="2521" spans="1:33" x14ac:dyDescent="0.2">
      <c r="A2521">
        <v>2516</v>
      </c>
      <c r="B2521" t="s">
        <v>28674</v>
      </c>
      <c r="C2521" t="s">
        <v>28675</v>
      </c>
      <c r="D2521" t="s">
        <v>28676</v>
      </c>
      <c r="E2521" t="s">
        <v>28677</v>
      </c>
      <c r="F2521" t="s">
        <v>28678</v>
      </c>
      <c r="G2521" t="s">
        <v>28679</v>
      </c>
      <c r="H2521" t="str">
        <f>"Atf2"</f>
        <v>Atf2</v>
      </c>
      <c r="I2521" t="s">
        <v>32</v>
      </c>
      <c r="J2521" t="s">
        <v>37</v>
      </c>
      <c r="K2521">
        <v>10090</v>
      </c>
      <c r="L2521" s="3" t="str">
        <f>HYPERLINK("http://www.uniprot.org/uniprot/P16951", "P16951")</f>
        <v>P16951</v>
      </c>
      <c r="M2521" t="s">
        <v>28680</v>
      </c>
      <c r="N2521" t="str">
        <f>"Atf2"</f>
        <v>Atf2</v>
      </c>
      <c r="O2521" s="3" t="str">
        <f>HYPERLINK("http://www.informatics.jax.org/marker/MGI:109349", "MGI:109349")</f>
        <v>MGI:109349</v>
      </c>
      <c r="P2521" t="s">
        <v>28681</v>
      </c>
      <c r="Q2521" t="s">
        <v>17339</v>
      </c>
      <c r="R2521" t="s">
        <v>28682</v>
      </c>
      <c r="S2521" t="s">
        <v>41</v>
      </c>
      <c r="T2521" t="s">
        <v>32</v>
      </c>
      <c r="U2521" t="s">
        <v>32</v>
      </c>
      <c r="V2521" t="s">
        <v>446</v>
      </c>
      <c r="W2521" t="s">
        <v>42</v>
      </c>
      <c r="X2521" t="s">
        <v>2350</v>
      </c>
      <c r="Y2521" t="s">
        <v>157</v>
      </c>
      <c r="Z2521" t="s">
        <v>32</v>
      </c>
      <c r="AA2521" t="s">
        <v>28683</v>
      </c>
      <c r="AB2521" t="s">
        <v>28684</v>
      </c>
      <c r="AC2521" t="s">
        <v>28685</v>
      </c>
      <c r="AD2521" t="s">
        <v>32</v>
      </c>
      <c r="AE2521" t="s">
        <v>28686</v>
      </c>
      <c r="AF2521" t="s">
        <v>46835</v>
      </c>
    </row>
    <row r="2522" spans="1:33" x14ac:dyDescent="0.2">
      <c r="A2522">
        <v>2517</v>
      </c>
      <c r="B2522" t="s">
        <v>28687</v>
      </c>
      <c r="C2522" t="s">
        <v>28688</v>
      </c>
      <c r="D2522" t="s">
        <v>28689</v>
      </c>
      <c r="E2522" t="s">
        <v>28690</v>
      </c>
      <c r="F2522" t="s">
        <v>28691</v>
      </c>
      <c r="G2522" t="s">
        <v>28692</v>
      </c>
      <c r="H2522" t="str">
        <f>"Mia2"</f>
        <v>Mia2</v>
      </c>
      <c r="I2522" t="s">
        <v>32</v>
      </c>
      <c r="J2522" t="s">
        <v>37</v>
      </c>
      <c r="K2522">
        <v>10090</v>
      </c>
      <c r="L2522" s="3" t="str">
        <f>HYPERLINK("http://www.uniprot.org/uniprot/Q91ZV0", "Q91ZV0")</f>
        <v>Q91ZV0</v>
      </c>
      <c r="M2522" t="s">
        <v>28693</v>
      </c>
      <c r="N2522" t="str">
        <f>"Mia2"</f>
        <v>Mia2</v>
      </c>
      <c r="O2522" s="3" t="str">
        <f>HYPERLINK("http://www.informatics.jax.org/marker/MGI:2159614", "MGI:2159614")</f>
        <v>MGI:2159614</v>
      </c>
      <c r="P2522" t="s">
        <v>28694</v>
      </c>
      <c r="Q2522" t="s">
        <v>32</v>
      </c>
      <c r="R2522" t="s">
        <v>1664</v>
      </c>
      <c r="S2522" t="s">
        <v>41</v>
      </c>
      <c r="T2522" t="s">
        <v>32</v>
      </c>
      <c r="U2522" t="s">
        <v>32</v>
      </c>
      <c r="V2522" t="s">
        <v>14267</v>
      </c>
      <c r="W2522" t="s">
        <v>32</v>
      </c>
      <c r="X2522" t="s">
        <v>32</v>
      </c>
      <c r="Y2522" t="s">
        <v>3733</v>
      </c>
      <c r="Z2522" t="s">
        <v>32</v>
      </c>
      <c r="AA2522" t="s">
        <v>28695</v>
      </c>
      <c r="AB2522" t="s">
        <v>28696</v>
      </c>
      <c r="AC2522" t="s">
        <v>14271</v>
      </c>
      <c r="AD2522" t="s">
        <v>32</v>
      </c>
      <c r="AE2522" t="s">
        <v>28697</v>
      </c>
      <c r="AF2522" t="s">
        <v>46835</v>
      </c>
    </row>
    <row r="2523" spans="1:33" x14ac:dyDescent="0.2">
      <c r="A2523">
        <v>2518</v>
      </c>
      <c r="B2523" t="s">
        <v>28698</v>
      </c>
      <c r="C2523" t="s">
        <v>28699</v>
      </c>
      <c r="D2523" t="s">
        <v>28700</v>
      </c>
      <c r="E2523" t="s">
        <v>28701</v>
      </c>
      <c r="F2523" t="s">
        <v>28702</v>
      </c>
      <c r="G2523" t="s">
        <v>28703</v>
      </c>
      <c r="H2523" t="str">
        <f>"Hpcal1"</f>
        <v>Hpcal1</v>
      </c>
      <c r="I2523" t="s">
        <v>32</v>
      </c>
      <c r="J2523" t="s">
        <v>37</v>
      </c>
      <c r="K2523">
        <v>10090</v>
      </c>
      <c r="L2523" s="3" t="str">
        <f>HYPERLINK("http://www.uniprot.org/uniprot/P62748", "P62748")</f>
        <v>P62748</v>
      </c>
      <c r="M2523" t="s">
        <v>28704</v>
      </c>
      <c r="N2523" t="str">
        <f>"Hpcal1"</f>
        <v>Hpcal1</v>
      </c>
      <c r="O2523" s="3" t="str">
        <f>HYPERLINK("http://www.informatics.jax.org/marker/MGI:1855689", "MGI:1855689")</f>
        <v>MGI:1855689</v>
      </c>
      <c r="P2523" t="s">
        <v>28705</v>
      </c>
      <c r="Q2523" t="s">
        <v>32</v>
      </c>
      <c r="R2523" t="s">
        <v>5989</v>
      </c>
      <c r="S2523" t="s">
        <v>32</v>
      </c>
      <c r="T2523" t="s">
        <v>32</v>
      </c>
      <c r="U2523" t="s">
        <v>32</v>
      </c>
      <c r="V2523" t="s">
        <v>55</v>
      </c>
      <c r="W2523" t="s">
        <v>188</v>
      </c>
      <c r="X2523" t="s">
        <v>32</v>
      </c>
      <c r="Y2523" t="s">
        <v>15432</v>
      </c>
      <c r="Z2523" t="s">
        <v>32</v>
      </c>
      <c r="AA2523" t="s">
        <v>32</v>
      </c>
      <c r="AB2523" t="s">
        <v>20478</v>
      </c>
      <c r="AC2523" t="s">
        <v>4723</v>
      </c>
      <c r="AD2523" t="s">
        <v>32</v>
      </c>
      <c r="AE2523" t="s">
        <v>32</v>
      </c>
      <c r="AF2523" t="s">
        <v>46835</v>
      </c>
    </row>
    <row r="2524" spans="1:33" x14ac:dyDescent="0.2">
      <c r="A2524">
        <v>2519</v>
      </c>
      <c r="B2524" t="s">
        <v>28706</v>
      </c>
      <c r="C2524" t="s">
        <v>28707</v>
      </c>
      <c r="D2524" t="s">
        <v>28708</v>
      </c>
      <c r="E2524" t="s">
        <v>28709</v>
      </c>
      <c r="F2524" t="s">
        <v>28710</v>
      </c>
      <c r="G2524" t="s">
        <v>28711</v>
      </c>
      <c r="H2524" t="str">
        <f>"Arpin"</f>
        <v>Arpin</v>
      </c>
      <c r="I2524" t="s">
        <v>32</v>
      </c>
      <c r="J2524" t="s">
        <v>37</v>
      </c>
      <c r="K2524">
        <v>10090</v>
      </c>
      <c r="L2524" s="3" t="str">
        <f>HYPERLINK("http://www.uniprot.org/uniprot/Q9D0A3", "Q9D0A3")</f>
        <v>Q9D0A3</v>
      </c>
      <c r="M2524" t="s">
        <v>28712</v>
      </c>
      <c r="N2524" t="str">
        <f>"Arpin"</f>
        <v>Arpin</v>
      </c>
      <c r="O2524" s="3" t="str">
        <f>HYPERLINK("http://www.informatics.jax.org/marker/MGI:1917670", "MGI:1917670")</f>
        <v>MGI:1917670</v>
      </c>
      <c r="P2524" t="s">
        <v>3262</v>
      </c>
      <c r="Q2524" t="s">
        <v>32</v>
      </c>
      <c r="R2524" t="s">
        <v>3262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32</v>
      </c>
      <c r="Y2524" t="s">
        <v>32</v>
      </c>
      <c r="Z2524" t="s">
        <v>32</v>
      </c>
      <c r="AA2524" t="s">
        <v>28713</v>
      </c>
      <c r="AB2524" t="s">
        <v>28714</v>
      </c>
      <c r="AC2524" t="s">
        <v>32</v>
      </c>
      <c r="AD2524" t="s">
        <v>32</v>
      </c>
      <c r="AE2524" t="s">
        <v>32</v>
      </c>
      <c r="AF2524" t="s">
        <v>46835</v>
      </c>
    </row>
    <row r="2525" spans="1:33" x14ac:dyDescent="0.2">
      <c r="A2525">
        <v>2520</v>
      </c>
      <c r="B2525" t="s">
        <v>28715</v>
      </c>
      <c r="C2525" t="s">
        <v>28716</v>
      </c>
      <c r="D2525" t="s">
        <v>32</v>
      </c>
      <c r="E2525" t="s">
        <v>28717</v>
      </c>
      <c r="F2525" t="s">
        <v>28718</v>
      </c>
      <c r="G2525" t="s">
        <v>28719</v>
      </c>
      <c r="H2525" t="str">
        <f>"Ppm1h"</f>
        <v>Ppm1h</v>
      </c>
      <c r="I2525" t="s">
        <v>28720</v>
      </c>
      <c r="J2525" t="s">
        <v>37</v>
      </c>
      <c r="K2525">
        <v>10090</v>
      </c>
      <c r="L2525" s="3" t="str">
        <f>HYPERLINK("http://www.uniprot.org/uniprot/Q3UYC0", "Q3UYC0")</f>
        <v>Q3UYC0</v>
      </c>
      <c r="M2525" t="s">
        <v>28721</v>
      </c>
      <c r="N2525" t="str">
        <f>"Ppm1h"</f>
        <v>Ppm1h</v>
      </c>
      <c r="O2525" s="3" t="str">
        <f>HYPERLINK("http://www.informatics.jax.org/marker/MGI:2442087", "MGI:2442087")</f>
        <v>MGI:2442087</v>
      </c>
      <c r="P2525" t="s">
        <v>28722</v>
      </c>
      <c r="Q2525" t="s">
        <v>32</v>
      </c>
      <c r="R2525" t="s">
        <v>40</v>
      </c>
      <c r="S2525" t="s">
        <v>41</v>
      </c>
      <c r="T2525" t="s">
        <v>32</v>
      </c>
      <c r="U2525" t="s">
        <v>32</v>
      </c>
      <c r="V2525" t="s">
        <v>32</v>
      </c>
      <c r="W2525" t="s">
        <v>32</v>
      </c>
      <c r="X2525" t="s">
        <v>3683</v>
      </c>
      <c r="Y2525" t="s">
        <v>2734</v>
      </c>
      <c r="Z2525" t="s">
        <v>32</v>
      </c>
      <c r="AA2525" t="s">
        <v>28723</v>
      </c>
      <c r="AB2525" t="s">
        <v>28724</v>
      </c>
      <c r="AC2525" t="s">
        <v>28725</v>
      </c>
      <c r="AD2525" t="s">
        <v>32</v>
      </c>
      <c r="AE2525" t="s">
        <v>32</v>
      </c>
      <c r="AF2525" t="s">
        <v>46835</v>
      </c>
    </row>
    <row r="2526" spans="1:33" x14ac:dyDescent="0.2">
      <c r="A2526">
        <v>2521</v>
      </c>
      <c r="B2526" t="s">
        <v>28726</v>
      </c>
      <c r="C2526" t="s">
        <v>28727</v>
      </c>
      <c r="D2526" t="s">
        <v>28728</v>
      </c>
      <c r="E2526" t="s">
        <v>28729</v>
      </c>
      <c r="F2526" t="s">
        <v>28730</v>
      </c>
      <c r="G2526" t="s">
        <v>28731</v>
      </c>
      <c r="H2526" t="str">
        <f>"Nudt3"</f>
        <v>Nudt3</v>
      </c>
      <c r="I2526" t="s">
        <v>28732</v>
      </c>
      <c r="J2526" t="s">
        <v>37</v>
      </c>
      <c r="K2526">
        <v>10090</v>
      </c>
      <c r="L2526" s="3" t="str">
        <f>HYPERLINK("http://www.uniprot.org/uniprot/Q9JI46", "Q9JI46")</f>
        <v>Q9JI46</v>
      </c>
      <c r="M2526" t="s">
        <v>28733</v>
      </c>
      <c r="N2526" t="str">
        <f>"Nudt3"</f>
        <v>Nudt3</v>
      </c>
      <c r="O2526" s="3" t="str">
        <f>HYPERLINK("http://www.informatics.jax.org/marker/MGI:1928484", "MGI:1928484")</f>
        <v>MGI:1928484</v>
      </c>
      <c r="P2526" t="s">
        <v>28734</v>
      </c>
      <c r="Q2526" t="s">
        <v>32</v>
      </c>
      <c r="R2526" t="s">
        <v>418</v>
      </c>
      <c r="S2526" t="s">
        <v>32</v>
      </c>
      <c r="T2526" t="s">
        <v>32</v>
      </c>
      <c r="U2526" t="s">
        <v>32</v>
      </c>
      <c r="V2526" t="s">
        <v>32</v>
      </c>
      <c r="W2526" t="s">
        <v>223</v>
      </c>
      <c r="X2526" t="s">
        <v>343</v>
      </c>
      <c r="Y2526" t="s">
        <v>78</v>
      </c>
      <c r="Z2526" t="s">
        <v>32</v>
      </c>
      <c r="AA2526" t="s">
        <v>28735</v>
      </c>
      <c r="AB2526" t="s">
        <v>4218</v>
      </c>
      <c r="AC2526" t="s">
        <v>28736</v>
      </c>
      <c r="AD2526" t="s">
        <v>32</v>
      </c>
      <c r="AE2526" t="s">
        <v>18340</v>
      </c>
      <c r="AF2526" t="s">
        <v>46835</v>
      </c>
    </row>
    <row r="2527" spans="1:33" x14ac:dyDescent="0.2">
      <c r="A2527">
        <v>2522</v>
      </c>
      <c r="B2527" t="s">
        <v>28737</v>
      </c>
      <c r="C2527" t="s">
        <v>28738</v>
      </c>
      <c r="D2527" t="s">
        <v>28739</v>
      </c>
      <c r="E2527" t="s">
        <v>28740</v>
      </c>
      <c r="F2527" t="s">
        <v>28741</v>
      </c>
      <c r="G2527" t="s">
        <v>32</v>
      </c>
      <c r="H2527" t="str">
        <f>"Clns1a"</f>
        <v>Clns1a</v>
      </c>
      <c r="I2527" t="s">
        <v>28742</v>
      </c>
      <c r="J2527" t="s">
        <v>37</v>
      </c>
      <c r="K2527">
        <v>10090</v>
      </c>
      <c r="L2527" s="3" t="str">
        <f>HYPERLINK("http://www.uniprot.org/uniprot/Q61189", "Q61189")</f>
        <v>Q61189</v>
      </c>
      <c r="M2527" t="s">
        <v>28743</v>
      </c>
      <c r="N2527" t="str">
        <f>"Clns1a"</f>
        <v>Clns1a</v>
      </c>
      <c r="O2527" s="3" t="str">
        <f>HYPERLINK("http://www.informatics.jax.org/marker/MGI:109638", "MGI:109638")</f>
        <v>MGI:109638</v>
      </c>
      <c r="P2527" t="s">
        <v>28744</v>
      </c>
      <c r="Q2527" t="s">
        <v>2139</v>
      </c>
      <c r="R2527" t="s">
        <v>324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32</v>
      </c>
      <c r="Y2527" t="s">
        <v>157</v>
      </c>
      <c r="Z2527" t="s">
        <v>32</v>
      </c>
      <c r="AA2527" t="s">
        <v>28745</v>
      </c>
      <c r="AB2527" t="s">
        <v>28746</v>
      </c>
      <c r="AC2527" t="s">
        <v>32</v>
      </c>
      <c r="AD2527" t="s">
        <v>32</v>
      </c>
      <c r="AE2527" t="s">
        <v>23017</v>
      </c>
      <c r="AF2527" t="s">
        <v>46835</v>
      </c>
    </row>
    <row r="2528" spans="1:33" x14ac:dyDescent="0.2">
      <c r="A2528">
        <v>2523</v>
      </c>
      <c r="B2528" t="s">
        <v>28747</v>
      </c>
      <c r="C2528" t="s">
        <v>28748</v>
      </c>
      <c r="D2528" t="s">
        <v>28749</v>
      </c>
      <c r="E2528" t="s">
        <v>28750</v>
      </c>
      <c r="F2528" t="s">
        <v>28751</v>
      </c>
      <c r="G2528" t="s">
        <v>28752</v>
      </c>
      <c r="H2528" t="str">
        <f>"Appl2"</f>
        <v>Appl2</v>
      </c>
      <c r="I2528" t="s">
        <v>32</v>
      </c>
      <c r="J2528" t="s">
        <v>37</v>
      </c>
      <c r="K2528">
        <v>10090</v>
      </c>
      <c r="L2528" s="3" t="str">
        <f>HYPERLINK("http://www.uniprot.org/uniprot/Q8K3G9", "Q8K3G9")</f>
        <v>Q8K3G9</v>
      </c>
      <c r="M2528" t="s">
        <v>28753</v>
      </c>
      <c r="N2528" t="str">
        <f>"Appl2"</f>
        <v>Appl2</v>
      </c>
      <c r="O2528" s="3" t="str">
        <f>HYPERLINK("http://www.informatics.jax.org/marker/MGI:2384914", "MGI:2384914")</f>
        <v>MGI:2384914</v>
      </c>
      <c r="P2528" t="s">
        <v>28754</v>
      </c>
      <c r="Q2528" t="s">
        <v>9824</v>
      </c>
      <c r="R2528" t="s">
        <v>28755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32</v>
      </c>
      <c r="Y2528" t="s">
        <v>32</v>
      </c>
      <c r="Z2528" t="s">
        <v>32</v>
      </c>
      <c r="AA2528" t="s">
        <v>28756</v>
      </c>
      <c r="AB2528" t="s">
        <v>28757</v>
      </c>
      <c r="AC2528" t="s">
        <v>28758</v>
      </c>
      <c r="AD2528" t="s">
        <v>32</v>
      </c>
      <c r="AE2528" t="s">
        <v>32</v>
      </c>
      <c r="AF2528" t="s">
        <v>46835</v>
      </c>
    </row>
    <row r="2529" spans="1:32" x14ac:dyDescent="0.2">
      <c r="A2529">
        <v>2524</v>
      </c>
      <c r="B2529" t="s">
        <v>28759</v>
      </c>
      <c r="C2529" t="s">
        <v>28760</v>
      </c>
      <c r="D2529" t="s">
        <v>32</v>
      </c>
      <c r="E2529" t="s">
        <v>28761</v>
      </c>
      <c r="F2529" t="s">
        <v>28762</v>
      </c>
      <c r="G2529" t="s">
        <v>28763</v>
      </c>
      <c r="H2529" t="str">
        <f>"Sesn3"</f>
        <v>Sesn3</v>
      </c>
      <c r="I2529" t="s">
        <v>32</v>
      </c>
      <c r="J2529" t="s">
        <v>37</v>
      </c>
      <c r="K2529">
        <v>10090</v>
      </c>
      <c r="L2529" s="3" t="str">
        <f>HYPERLINK("http://www.uniprot.org/uniprot/Q9CYP7", "Q9CYP7")</f>
        <v>Q9CYP7</v>
      </c>
      <c r="M2529" t="s">
        <v>28764</v>
      </c>
      <c r="N2529" t="str">
        <f>"Sesn3"</f>
        <v>Sesn3</v>
      </c>
      <c r="O2529" s="3" t="str">
        <f>HYPERLINK("http://www.informatics.jax.org/marker/MGI:1922997", "MGI:1922997")</f>
        <v>MGI:1922997</v>
      </c>
      <c r="P2529" t="s">
        <v>28765</v>
      </c>
      <c r="Q2529" t="s">
        <v>32</v>
      </c>
      <c r="R2529" t="s">
        <v>418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600</v>
      </c>
      <c r="Y2529" t="s">
        <v>32</v>
      </c>
      <c r="Z2529" t="s">
        <v>32</v>
      </c>
      <c r="AA2529" t="s">
        <v>28766</v>
      </c>
      <c r="AB2529" t="s">
        <v>28767</v>
      </c>
      <c r="AC2529" t="s">
        <v>28768</v>
      </c>
      <c r="AD2529" t="s">
        <v>32</v>
      </c>
      <c r="AE2529" t="s">
        <v>28769</v>
      </c>
      <c r="AF2529" t="s">
        <v>46835</v>
      </c>
    </row>
    <row r="2530" spans="1:32" x14ac:dyDescent="0.2">
      <c r="A2530">
        <v>2525</v>
      </c>
      <c r="B2530" t="s">
        <v>28770</v>
      </c>
      <c r="C2530" t="s">
        <v>28771</v>
      </c>
      <c r="D2530" t="s">
        <v>28772</v>
      </c>
      <c r="E2530" t="s">
        <v>28773</v>
      </c>
      <c r="F2530" t="s">
        <v>28774</v>
      </c>
      <c r="G2530" t="s">
        <v>28775</v>
      </c>
      <c r="H2530" t="str">
        <f>"Atp6v1h"</f>
        <v>Atp6v1h</v>
      </c>
      <c r="I2530" t="s">
        <v>32</v>
      </c>
      <c r="J2530" t="s">
        <v>37</v>
      </c>
      <c r="K2530">
        <v>10090</v>
      </c>
      <c r="L2530" s="3" t="str">
        <f>HYPERLINK("http://www.uniprot.org/uniprot/Q8BVE3", "Q8BVE3")</f>
        <v>Q8BVE3</v>
      </c>
      <c r="M2530" t="s">
        <v>28776</v>
      </c>
      <c r="N2530" t="str">
        <f>"Atp6v1h"</f>
        <v>Atp6v1h</v>
      </c>
      <c r="O2530" s="3" t="str">
        <f>HYPERLINK("http://www.informatics.jax.org/marker/MGI:1914864", "MGI:1914864")</f>
        <v>MGI:1914864</v>
      </c>
      <c r="P2530" t="s">
        <v>28777</v>
      </c>
      <c r="Q2530" t="s">
        <v>4257</v>
      </c>
      <c r="R2530" t="s">
        <v>20042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32</v>
      </c>
      <c r="Y2530" t="s">
        <v>618</v>
      </c>
      <c r="Z2530" t="s">
        <v>32</v>
      </c>
      <c r="AA2530" t="s">
        <v>27167</v>
      </c>
      <c r="AB2530" t="s">
        <v>28778</v>
      </c>
      <c r="AC2530" t="s">
        <v>10252</v>
      </c>
      <c r="AD2530" t="s">
        <v>32</v>
      </c>
      <c r="AE2530" t="s">
        <v>6963</v>
      </c>
      <c r="AF2530" t="s">
        <v>46835</v>
      </c>
    </row>
    <row r="2531" spans="1:32" x14ac:dyDescent="0.2">
      <c r="A2531">
        <v>2526</v>
      </c>
      <c r="B2531" t="s">
        <v>28779</v>
      </c>
      <c r="C2531" t="s">
        <v>28780</v>
      </c>
      <c r="D2531" t="s">
        <v>28781</v>
      </c>
      <c r="E2531" t="s">
        <v>28782</v>
      </c>
      <c r="F2531" t="s">
        <v>28783</v>
      </c>
      <c r="G2531" t="s">
        <v>28784</v>
      </c>
      <c r="H2531" t="str">
        <f>"Dclk1"</f>
        <v>Dclk1</v>
      </c>
      <c r="I2531" t="s">
        <v>28785</v>
      </c>
      <c r="J2531" t="s">
        <v>37</v>
      </c>
      <c r="K2531">
        <v>10090</v>
      </c>
      <c r="L2531" s="3" t="str">
        <f>HYPERLINK("http://www.uniprot.org/uniprot/Q9JLM8", "Q9JLM8")</f>
        <v>Q9JLM8</v>
      </c>
      <c r="M2531" t="s">
        <v>28786</v>
      </c>
      <c r="N2531" t="str">
        <f>"Dclk1"</f>
        <v>Dclk1</v>
      </c>
      <c r="O2531" s="3" t="str">
        <f>HYPERLINK("http://www.informatics.jax.org/marker/MGI:1330861", "MGI:1330861")</f>
        <v>MGI:1330861</v>
      </c>
      <c r="P2531" t="s">
        <v>28787</v>
      </c>
      <c r="Q2531" t="s">
        <v>2027</v>
      </c>
      <c r="R2531" t="s">
        <v>32</v>
      </c>
      <c r="S2531" t="s">
        <v>41</v>
      </c>
      <c r="T2531" t="s">
        <v>32</v>
      </c>
      <c r="U2531" t="s">
        <v>32</v>
      </c>
      <c r="V2531" t="s">
        <v>55</v>
      </c>
      <c r="W2531" t="s">
        <v>205</v>
      </c>
      <c r="X2531" t="s">
        <v>19330</v>
      </c>
      <c r="Y2531" t="s">
        <v>618</v>
      </c>
      <c r="Z2531" t="s">
        <v>32</v>
      </c>
      <c r="AA2531" t="s">
        <v>28788</v>
      </c>
      <c r="AB2531" t="s">
        <v>28789</v>
      </c>
      <c r="AC2531" t="s">
        <v>26470</v>
      </c>
      <c r="AD2531" t="s">
        <v>32</v>
      </c>
      <c r="AE2531" t="s">
        <v>32</v>
      </c>
      <c r="AF2531" t="s">
        <v>46835</v>
      </c>
    </row>
    <row r="2532" spans="1:32" x14ac:dyDescent="0.2">
      <c r="A2532">
        <v>2527</v>
      </c>
      <c r="B2532" t="s">
        <v>28790</v>
      </c>
      <c r="C2532" t="s">
        <v>28791</v>
      </c>
      <c r="D2532" t="s">
        <v>28792</v>
      </c>
      <c r="E2532" t="s">
        <v>28793</v>
      </c>
      <c r="F2532" t="s">
        <v>28794</v>
      </c>
      <c r="G2532" t="s">
        <v>28795</v>
      </c>
      <c r="H2532" t="str">
        <f>"Cavin1"</f>
        <v>Cavin1</v>
      </c>
      <c r="I2532" t="s">
        <v>28796</v>
      </c>
      <c r="J2532" t="s">
        <v>37</v>
      </c>
      <c r="K2532">
        <v>10090</v>
      </c>
      <c r="L2532" s="3" t="str">
        <f>HYPERLINK("http://www.uniprot.org/uniprot/O54724", "O54724")</f>
        <v>O54724</v>
      </c>
      <c r="M2532" t="s">
        <v>28797</v>
      </c>
      <c r="N2532" t="str">
        <f>"Cavin1"</f>
        <v>Cavin1</v>
      </c>
      <c r="O2532" s="3" t="str">
        <f>HYPERLINK("http://www.informatics.jax.org/marker/MGI:1277968", "MGI:1277968")</f>
        <v>MGI:1277968</v>
      </c>
      <c r="P2532" t="s">
        <v>28798</v>
      </c>
      <c r="Q2532" t="s">
        <v>15914</v>
      </c>
      <c r="R2532" t="s">
        <v>28799</v>
      </c>
      <c r="S2532" t="s">
        <v>32</v>
      </c>
      <c r="T2532" t="s">
        <v>32</v>
      </c>
      <c r="U2532" t="s">
        <v>32</v>
      </c>
      <c r="V2532" t="s">
        <v>137</v>
      </c>
      <c r="W2532" t="s">
        <v>32</v>
      </c>
      <c r="X2532" t="s">
        <v>28800</v>
      </c>
      <c r="Y2532" t="s">
        <v>516</v>
      </c>
      <c r="Z2532" t="s">
        <v>126</v>
      </c>
      <c r="AA2532" t="s">
        <v>28801</v>
      </c>
      <c r="AB2532" t="s">
        <v>28802</v>
      </c>
      <c r="AC2532" t="s">
        <v>28803</v>
      </c>
      <c r="AD2532" t="s">
        <v>32</v>
      </c>
      <c r="AE2532" t="s">
        <v>28804</v>
      </c>
      <c r="AF2532" t="s">
        <v>46835</v>
      </c>
    </row>
    <row r="2533" spans="1:32" x14ac:dyDescent="0.2">
      <c r="A2533">
        <v>2528</v>
      </c>
      <c r="B2533" t="s">
        <v>28805</v>
      </c>
      <c r="C2533" t="s">
        <v>28806</v>
      </c>
      <c r="D2533" t="s">
        <v>28807</v>
      </c>
      <c r="E2533" t="s">
        <v>28808</v>
      </c>
      <c r="F2533" t="s">
        <v>28809</v>
      </c>
      <c r="G2533" t="s">
        <v>28810</v>
      </c>
      <c r="H2533" t="str">
        <f>"Tom1l1"</f>
        <v>Tom1l1</v>
      </c>
      <c r="I2533" t="s">
        <v>28811</v>
      </c>
      <c r="J2533" t="s">
        <v>37</v>
      </c>
      <c r="K2533">
        <v>10090</v>
      </c>
      <c r="L2533" s="3" t="str">
        <f>HYPERLINK("http://www.uniprot.org/uniprot/Q923U0", "Q923U0")</f>
        <v>Q923U0</v>
      </c>
      <c r="M2533" t="s">
        <v>28812</v>
      </c>
      <c r="N2533" t="str">
        <f>"Tom1l1"</f>
        <v>Tom1l1</v>
      </c>
      <c r="O2533" s="3" t="str">
        <f>HYPERLINK("http://www.informatics.jax.org/marker/MGI:1919193", "MGI:1919193")</f>
        <v>MGI:1919193</v>
      </c>
      <c r="P2533" t="s">
        <v>28813</v>
      </c>
      <c r="Q2533" t="s">
        <v>434</v>
      </c>
      <c r="R2533" t="s">
        <v>28814</v>
      </c>
      <c r="S2533" t="s">
        <v>41</v>
      </c>
      <c r="T2533" t="s">
        <v>32</v>
      </c>
      <c r="U2533" t="s">
        <v>32</v>
      </c>
      <c r="V2533" t="s">
        <v>7861</v>
      </c>
      <c r="W2533" t="s">
        <v>32</v>
      </c>
      <c r="X2533" t="s">
        <v>32</v>
      </c>
      <c r="Y2533" t="s">
        <v>618</v>
      </c>
      <c r="Z2533" t="s">
        <v>32</v>
      </c>
      <c r="AA2533" t="s">
        <v>28815</v>
      </c>
      <c r="AB2533" t="s">
        <v>28816</v>
      </c>
      <c r="AC2533" t="s">
        <v>28817</v>
      </c>
      <c r="AD2533" t="s">
        <v>32</v>
      </c>
      <c r="AE2533" t="s">
        <v>32</v>
      </c>
      <c r="AF2533" t="s">
        <v>46835</v>
      </c>
    </row>
    <row r="2534" spans="1:32" x14ac:dyDescent="0.2">
      <c r="A2534">
        <v>2529</v>
      </c>
      <c r="B2534" t="s">
        <v>28818</v>
      </c>
      <c r="C2534" t="s">
        <v>28819</v>
      </c>
      <c r="D2534" t="s">
        <v>32</v>
      </c>
      <c r="E2534" t="s">
        <v>28820</v>
      </c>
      <c r="F2534" t="s">
        <v>28821</v>
      </c>
      <c r="G2534" t="s">
        <v>28822</v>
      </c>
      <c r="H2534" t="str">
        <f>"Wdr20"</f>
        <v>Wdr20</v>
      </c>
      <c r="I2534" t="s">
        <v>28823</v>
      </c>
      <c r="J2534" t="s">
        <v>37</v>
      </c>
      <c r="K2534">
        <v>10090</v>
      </c>
      <c r="L2534" s="3" t="str">
        <f>HYPERLINK("http://www.uniprot.org/uniprot/Q9D5R2", "Q9D5R2")</f>
        <v>Q9D5R2</v>
      </c>
      <c r="M2534" t="s">
        <v>28824</v>
      </c>
      <c r="N2534" t="str">
        <f>"Wdr20rt"</f>
        <v>Wdr20rt</v>
      </c>
      <c r="O2534" s="3" t="str">
        <f>HYPERLINK("http://www.informatics.jax.org/marker/MGI:1918198", "MGI:1918198")</f>
        <v>MGI:1918198</v>
      </c>
      <c r="P2534" t="s">
        <v>28825</v>
      </c>
      <c r="Q2534" t="s">
        <v>32</v>
      </c>
      <c r="R2534" t="s">
        <v>32</v>
      </c>
      <c r="S2534" t="s">
        <v>32</v>
      </c>
      <c r="T2534" t="s">
        <v>32</v>
      </c>
      <c r="U2534" t="s">
        <v>32</v>
      </c>
      <c r="V2534" t="s">
        <v>1910</v>
      </c>
      <c r="W2534" t="s">
        <v>32</v>
      </c>
      <c r="X2534" t="s">
        <v>32</v>
      </c>
      <c r="Y2534" t="s">
        <v>157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t="s">
        <v>46835</v>
      </c>
    </row>
    <row r="2535" spans="1:32" x14ac:dyDescent="0.2">
      <c r="A2535">
        <v>2530</v>
      </c>
      <c r="B2535" t="s">
        <v>28826</v>
      </c>
      <c r="C2535" t="s">
        <v>28827</v>
      </c>
      <c r="D2535" t="s">
        <v>28828</v>
      </c>
      <c r="E2535" t="s">
        <v>28829</v>
      </c>
      <c r="F2535" t="s">
        <v>28830</v>
      </c>
      <c r="G2535" t="s">
        <v>28831</v>
      </c>
      <c r="H2535" t="str">
        <f>"Galnt1"</f>
        <v>Galnt1</v>
      </c>
      <c r="I2535" t="s">
        <v>32</v>
      </c>
      <c r="J2535" t="s">
        <v>37</v>
      </c>
      <c r="K2535">
        <v>10090</v>
      </c>
      <c r="L2535" s="3" t="str">
        <f>HYPERLINK("http://www.uniprot.org/uniprot/O08912", "O08912")</f>
        <v>O08912</v>
      </c>
      <c r="M2535" t="s">
        <v>28832</v>
      </c>
      <c r="N2535" t="str">
        <f>"Galnt1"</f>
        <v>Galnt1</v>
      </c>
      <c r="O2535" s="3" t="str">
        <f>HYPERLINK("http://www.informatics.jax.org/marker/MGI:894693", "MGI:894693")</f>
        <v>MGI:894693</v>
      </c>
      <c r="P2535" t="s">
        <v>28833</v>
      </c>
      <c r="Q2535" t="s">
        <v>32</v>
      </c>
      <c r="R2535" t="s">
        <v>14502</v>
      </c>
      <c r="S2535" t="s">
        <v>32</v>
      </c>
      <c r="T2535" t="s">
        <v>32</v>
      </c>
      <c r="U2535" t="s">
        <v>32</v>
      </c>
      <c r="V2535" t="s">
        <v>1550</v>
      </c>
      <c r="W2535" t="s">
        <v>14503</v>
      </c>
      <c r="X2535" t="s">
        <v>2362</v>
      </c>
      <c r="Y2535" t="s">
        <v>5275</v>
      </c>
      <c r="Z2535" t="s">
        <v>126</v>
      </c>
      <c r="AA2535" t="s">
        <v>28834</v>
      </c>
      <c r="AB2535" t="s">
        <v>28835</v>
      </c>
      <c r="AC2535" t="s">
        <v>14506</v>
      </c>
      <c r="AD2535" t="s">
        <v>3952</v>
      </c>
      <c r="AE2535" t="s">
        <v>14507</v>
      </c>
      <c r="AF2535" t="s">
        <v>46835</v>
      </c>
    </row>
    <row r="2536" spans="1:32" x14ac:dyDescent="0.2">
      <c r="A2536">
        <v>2531</v>
      </c>
      <c r="B2536" t="s">
        <v>28836</v>
      </c>
      <c r="C2536" t="s">
        <v>28837</v>
      </c>
      <c r="D2536" t="s">
        <v>32</v>
      </c>
      <c r="E2536" t="s">
        <v>28838</v>
      </c>
      <c r="F2536" t="s">
        <v>28839</v>
      </c>
      <c r="G2536" t="s">
        <v>32</v>
      </c>
      <c r="H2536" t="str">
        <f>"Gnl3l"</f>
        <v>Gnl3l</v>
      </c>
      <c r="I2536" t="s">
        <v>32</v>
      </c>
      <c r="J2536" t="s">
        <v>37</v>
      </c>
      <c r="K2536">
        <v>10090</v>
      </c>
      <c r="L2536" s="3" t="str">
        <f>HYPERLINK("http://www.uniprot.org/uniprot/Q6PGG6", "Q6PGG6")</f>
        <v>Q6PGG6</v>
      </c>
      <c r="M2536" t="s">
        <v>28840</v>
      </c>
      <c r="N2536" t="str">
        <f>"Gnl3l"</f>
        <v>Gnl3l</v>
      </c>
      <c r="O2536" s="3" t="str">
        <f>HYPERLINK("http://www.informatics.jax.org/marker/MGI:2448557", "MGI:2448557")</f>
        <v>MGI:2448557</v>
      </c>
      <c r="P2536" t="s">
        <v>28841</v>
      </c>
      <c r="Q2536" t="s">
        <v>6400</v>
      </c>
      <c r="R2536" t="s">
        <v>2279</v>
      </c>
      <c r="S2536" t="s">
        <v>32</v>
      </c>
      <c r="T2536" t="s">
        <v>32</v>
      </c>
      <c r="U2536" t="s">
        <v>32</v>
      </c>
      <c r="V2536" t="s">
        <v>290</v>
      </c>
      <c r="W2536" t="s">
        <v>261</v>
      </c>
      <c r="X2536" t="s">
        <v>32</v>
      </c>
      <c r="Y2536" t="s">
        <v>32</v>
      </c>
      <c r="Z2536" t="s">
        <v>32</v>
      </c>
      <c r="AA2536" t="s">
        <v>28842</v>
      </c>
      <c r="AB2536" t="s">
        <v>28843</v>
      </c>
      <c r="AC2536" t="s">
        <v>28844</v>
      </c>
      <c r="AD2536" t="s">
        <v>32</v>
      </c>
      <c r="AE2536" t="s">
        <v>32</v>
      </c>
      <c r="AF2536" t="s">
        <v>46835</v>
      </c>
    </row>
    <row r="2537" spans="1:32" x14ac:dyDescent="0.2">
      <c r="A2537">
        <v>2532</v>
      </c>
      <c r="B2537" t="s">
        <v>28845</v>
      </c>
      <c r="C2537" t="s">
        <v>28846</v>
      </c>
      <c r="D2537" t="s">
        <v>28847</v>
      </c>
      <c r="E2537" t="s">
        <v>28848</v>
      </c>
      <c r="F2537" t="s">
        <v>28849</v>
      </c>
      <c r="G2537" t="s">
        <v>28850</v>
      </c>
      <c r="H2537" t="str">
        <f>"Cnot3"</f>
        <v>Cnot3</v>
      </c>
      <c r="I2537" t="s">
        <v>28851</v>
      </c>
      <c r="J2537" t="s">
        <v>37</v>
      </c>
      <c r="K2537">
        <v>10090</v>
      </c>
      <c r="L2537" s="3" t="str">
        <f>HYPERLINK("http://www.uniprot.org/uniprot/Q8K0V4", "Q8K0V4")</f>
        <v>Q8K0V4</v>
      </c>
      <c r="M2537" t="s">
        <v>28852</v>
      </c>
      <c r="N2537" t="str">
        <f>"Cnot3"</f>
        <v>Cnot3</v>
      </c>
      <c r="O2537" s="3" t="str">
        <f>HYPERLINK("http://www.informatics.jax.org/marker/MGI:2385261", "MGI:2385261")</f>
        <v>MGI:2385261</v>
      </c>
      <c r="P2537" t="s">
        <v>28853</v>
      </c>
      <c r="Q2537" t="s">
        <v>18937</v>
      </c>
      <c r="R2537" t="s">
        <v>40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18938</v>
      </c>
      <c r="Y2537" t="s">
        <v>618</v>
      </c>
      <c r="Z2537" t="s">
        <v>32</v>
      </c>
      <c r="AA2537" t="s">
        <v>28854</v>
      </c>
      <c r="AB2537" t="s">
        <v>28855</v>
      </c>
      <c r="AC2537" t="s">
        <v>32</v>
      </c>
      <c r="AD2537" t="s">
        <v>32</v>
      </c>
      <c r="AE2537" t="s">
        <v>18942</v>
      </c>
      <c r="AF2537" t="s">
        <v>46835</v>
      </c>
    </row>
    <row r="2538" spans="1:32" x14ac:dyDescent="0.2">
      <c r="A2538">
        <v>2533</v>
      </c>
      <c r="B2538" t="s">
        <v>28856</v>
      </c>
      <c r="C2538" t="s">
        <v>28857</v>
      </c>
      <c r="D2538" t="s">
        <v>28858</v>
      </c>
      <c r="E2538" t="s">
        <v>28859</v>
      </c>
      <c r="F2538" t="s">
        <v>28860</v>
      </c>
      <c r="G2538" t="s">
        <v>28861</v>
      </c>
      <c r="H2538" t="str">
        <f>"Rprd1b"</f>
        <v>Rprd1b</v>
      </c>
      <c r="I2538" t="s">
        <v>28862</v>
      </c>
      <c r="J2538" t="s">
        <v>37</v>
      </c>
      <c r="K2538">
        <v>10090</v>
      </c>
      <c r="L2538" s="3" t="str">
        <f>HYPERLINK("http://www.uniprot.org/uniprot/Q9CSU0", "Q9CSU0")</f>
        <v>Q9CSU0</v>
      </c>
      <c r="M2538" t="s">
        <v>28863</v>
      </c>
      <c r="N2538" t="str">
        <f>"Rprd1b"</f>
        <v>Rprd1b</v>
      </c>
      <c r="O2538" s="3" t="str">
        <f>HYPERLINK("http://www.informatics.jax.org/marker/MGI:1917720", "MGI:1917720")</f>
        <v>MGI:1917720</v>
      </c>
      <c r="P2538" t="s">
        <v>28864</v>
      </c>
      <c r="Q2538" t="s">
        <v>4152</v>
      </c>
      <c r="R2538" t="s">
        <v>2279</v>
      </c>
      <c r="S2538" t="s">
        <v>41</v>
      </c>
      <c r="T2538" t="s">
        <v>32</v>
      </c>
      <c r="U2538" t="s">
        <v>32</v>
      </c>
      <c r="V2538" t="s">
        <v>32</v>
      </c>
      <c r="W2538" t="s">
        <v>32</v>
      </c>
      <c r="X2538" t="s">
        <v>32</v>
      </c>
      <c r="Y2538" t="s">
        <v>157</v>
      </c>
      <c r="Z2538" t="s">
        <v>32</v>
      </c>
      <c r="AA2538" t="s">
        <v>28865</v>
      </c>
      <c r="AB2538" t="s">
        <v>28866</v>
      </c>
      <c r="AC2538" t="s">
        <v>28867</v>
      </c>
      <c r="AD2538" t="s">
        <v>32</v>
      </c>
      <c r="AE2538" t="s">
        <v>22679</v>
      </c>
      <c r="AF2538" t="s">
        <v>46835</v>
      </c>
    </row>
    <row r="2539" spans="1:32" x14ac:dyDescent="0.2">
      <c r="A2539">
        <v>2534</v>
      </c>
      <c r="B2539" t="s">
        <v>28868</v>
      </c>
      <c r="C2539" t="s">
        <v>28869</v>
      </c>
      <c r="D2539" t="s">
        <v>32</v>
      </c>
      <c r="E2539" t="s">
        <v>28870</v>
      </c>
      <c r="F2539" t="s">
        <v>28871</v>
      </c>
      <c r="G2539" t="s">
        <v>28872</v>
      </c>
      <c r="H2539" t="str">
        <f>"Eepd1"</f>
        <v>Eepd1</v>
      </c>
      <c r="I2539" t="s">
        <v>28873</v>
      </c>
      <c r="J2539" t="s">
        <v>37</v>
      </c>
      <c r="K2539">
        <v>10090</v>
      </c>
      <c r="L2539" s="3" t="str">
        <f>HYPERLINK("http://www.uniprot.org/uniprot/Q3TGW2", "Q3TGW2")</f>
        <v>Q3TGW2</v>
      </c>
      <c r="M2539" t="s">
        <v>28874</v>
      </c>
      <c r="N2539" t="str">
        <f>"Eepd1"</f>
        <v>Eepd1</v>
      </c>
      <c r="O2539" s="3" t="str">
        <f>HYPERLINK("http://www.informatics.jax.org/marker/MGI:1914734", "MGI:1914734")</f>
        <v>MGI:1914734</v>
      </c>
      <c r="P2539" t="s">
        <v>5562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t="s">
        <v>5562</v>
      </c>
      <c r="Z2539" t="s">
        <v>32</v>
      </c>
      <c r="AA2539" t="s">
        <v>28875</v>
      </c>
      <c r="AB2539" t="s">
        <v>28876</v>
      </c>
      <c r="AC2539" t="s">
        <v>13572</v>
      </c>
      <c r="AD2539" t="s">
        <v>32</v>
      </c>
      <c r="AE2539" t="s">
        <v>32</v>
      </c>
      <c r="AF2539" t="s">
        <v>46835</v>
      </c>
    </row>
    <row r="2540" spans="1:32" x14ac:dyDescent="0.2">
      <c r="A2540">
        <v>2535</v>
      </c>
      <c r="B2540" t="s">
        <v>28877</v>
      </c>
      <c r="C2540" t="s">
        <v>28878</v>
      </c>
      <c r="D2540" t="s">
        <v>28879</v>
      </c>
      <c r="E2540" t="s">
        <v>28880</v>
      </c>
      <c r="F2540" t="s">
        <v>28881</v>
      </c>
      <c r="G2540" t="s">
        <v>32</v>
      </c>
      <c r="H2540" t="str">
        <f>"Fkbp5"</f>
        <v>Fkbp5</v>
      </c>
      <c r="I2540" t="s">
        <v>28882</v>
      </c>
      <c r="J2540" t="s">
        <v>37</v>
      </c>
      <c r="K2540">
        <v>10090</v>
      </c>
      <c r="L2540" s="3" t="str">
        <f>HYPERLINK("http://www.uniprot.org/uniprot/Q64378", "Q64378")</f>
        <v>Q64378</v>
      </c>
      <c r="M2540" t="s">
        <v>28883</v>
      </c>
      <c r="N2540" t="str">
        <f>"Fkbp5"</f>
        <v>Fkbp5</v>
      </c>
      <c r="O2540" s="3" t="str">
        <f>HYPERLINK("http://www.informatics.jax.org/marker/MGI:104670", "MGI:104670")</f>
        <v>MGI:104670</v>
      </c>
      <c r="P2540" t="s">
        <v>28884</v>
      </c>
      <c r="Q2540" t="s">
        <v>32</v>
      </c>
      <c r="R2540" t="s">
        <v>40</v>
      </c>
      <c r="S2540" t="s">
        <v>32</v>
      </c>
      <c r="T2540" t="s">
        <v>32</v>
      </c>
      <c r="U2540" t="s">
        <v>32</v>
      </c>
      <c r="V2540" t="s">
        <v>995</v>
      </c>
      <c r="W2540" t="s">
        <v>32</v>
      </c>
      <c r="X2540" t="s">
        <v>1805</v>
      </c>
      <c r="Y2540" t="s">
        <v>157</v>
      </c>
      <c r="Z2540" t="s">
        <v>32</v>
      </c>
      <c r="AA2540" t="s">
        <v>28885</v>
      </c>
      <c r="AB2540" t="s">
        <v>2364</v>
      </c>
      <c r="AC2540" t="s">
        <v>28886</v>
      </c>
      <c r="AD2540" t="s">
        <v>32</v>
      </c>
      <c r="AE2540" t="s">
        <v>28887</v>
      </c>
      <c r="AF2540" t="s">
        <v>46835</v>
      </c>
    </row>
    <row r="2541" spans="1:32" x14ac:dyDescent="0.2">
      <c r="A2541">
        <v>2536</v>
      </c>
      <c r="B2541" t="s">
        <v>28888</v>
      </c>
      <c r="C2541" t="s">
        <v>28889</v>
      </c>
      <c r="D2541" t="s">
        <v>28890</v>
      </c>
      <c r="E2541" t="s">
        <v>28891</v>
      </c>
      <c r="F2541" t="s">
        <v>28892</v>
      </c>
      <c r="G2541" t="s">
        <v>28893</v>
      </c>
      <c r="H2541" t="str">
        <f>"Fat4"</f>
        <v>Fat4</v>
      </c>
      <c r="I2541" t="s">
        <v>28894</v>
      </c>
      <c r="J2541" t="s">
        <v>37</v>
      </c>
      <c r="K2541">
        <v>10090</v>
      </c>
      <c r="L2541" s="3" t="str">
        <f>HYPERLINK("http://www.uniprot.org/uniprot/Q2PZL6", "Q2PZL6")</f>
        <v>Q2PZL6</v>
      </c>
      <c r="M2541" t="s">
        <v>28895</v>
      </c>
      <c r="N2541" t="str">
        <f>"Fat4"</f>
        <v>Fat4</v>
      </c>
      <c r="O2541" s="3" t="str">
        <f>HYPERLINK("http://www.informatics.jax.org/marker/MGI:3045256", "MGI:3045256")</f>
        <v>MGI:3045256</v>
      </c>
      <c r="P2541" t="s">
        <v>28896</v>
      </c>
      <c r="Q2541" t="s">
        <v>2784</v>
      </c>
      <c r="R2541" t="s">
        <v>5989</v>
      </c>
      <c r="S2541" t="s">
        <v>41</v>
      </c>
      <c r="T2541" t="s">
        <v>32</v>
      </c>
      <c r="U2541" t="s">
        <v>32</v>
      </c>
      <c r="V2541" t="s">
        <v>9013</v>
      </c>
      <c r="W2541" t="s">
        <v>1380</v>
      </c>
      <c r="X2541" t="s">
        <v>32</v>
      </c>
      <c r="Y2541" t="s">
        <v>2865</v>
      </c>
      <c r="Z2541" t="s">
        <v>32</v>
      </c>
      <c r="AA2541" t="s">
        <v>28897</v>
      </c>
      <c r="AB2541" t="s">
        <v>28898</v>
      </c>
      <c r="AC2541" t="s">
        <v>4723</v>
      </c>
      <c r="AD2541" t="s">
        <v>32</v>
      </c>
      <c r="AE2541" t="s">
        <v>32</v>
      </c>
      <c r="AF2541" t="s">
        <v>46835</v>
      </c>
    </row>
    <row r="2542" spans="1:32" x14ac:dyDescent="0.2">
      <c r="A2542">
        <v>2537</v>
      </c>
      <c r="B2542" t="s">
        <v>28899</v>
      </c>
      <c r="C2542" t="s">
        <v>28900</v>
      </c>
      <c r="D2542" t="s">
        <v>28901</v>
      </c>
      <c r="E2542" t="s">
        <v>28902</v>
      </c>
      <c r="F2542" t="s">
        <v>28903</v>
      </c>
      <c r="G2542" t="s">
        <v>28904</v>
      </c>
      <c r="H2542" t="str">
        <f>"Bloc1s1"</f>
        <v>Bloc1s1</v>
      </c>
      <c r="I2542" t="s">
        <v>28905</v>
      </c>
      <c r="J2542" t="s">
        <v>37</v>
      </c>
      <c r="K2542">
        <v>10090</v>
      </c>
      <c r="L2542" s="3" t="str">
        <f>HYPERLINK("http://www.uniprot.org/uniprot/O55102", "O55102")</f>
        <v>O55102</v>
      </c>
      <c r="M2542" t="s">
        <v>28906</v>
      </c>
      <c r="N2542" t="str">
        <f>"Bloc1s1"</f>
        <v>Bloc1s1</v>
      </c>
      <c r="O2542" s="3" t="str">
        <f>HYPERLINK("http://www.informatics.jax.org/marker/MGI:1195276", "MGI:1195276")</f>
        <v>MGI:1195276</v>
      </c>
      <c r="P2542" t="s">
        <v>28907</v>
      </c>
      <c r="Q2542" t="s">
        <v>32</v>
      </c>
      <c r="R2542" t="s">
        <v>28908</v>
      </c>
      <c r="S2542" t="s">
        <v>32</v>
      </c>
      <c r="T2542" t="s">
        <v>32</v>
      </c>
      <c r="U2542" t="s">
        <v>32</v>
      </c>
      <c r="V2542" t="s">
        <v>290</v>
      </c>
      <c r="W2542" t="s">
        <v>32</v>
      </c>
      <c r="X2542" t="s">
        <v>32</v>
      </c>
      <c r="Y2542" t="s">
        <v>32</v>
      </c>
      <c r="Z2542" t="s">
        <v>32</v>
      </c>
      <c r="AA2542" t="s">
        <v>28909</v>
      </c>
      <c r="AB2542" t="s">
        <v>28910</v>
      </c>
      <c r="AC2542" t="s">
        <v>32</v>
      </c>
      <c r="AD2542" t="s">
        <v>32</v>
      </c>
      <c r="AE2542" t="s">
        <v>28911</v>
      </c>
      <c r="AF2542" t="s">
        <v>46835</v>
      </c>
    </row>
    <row r="2543" spans="1:32" x14ac:dyDescent="0.2">
      <c r="A2543">
        <v>2538</v>
      </c>
      <c r="B2543" t="s">
        <v>28912</v>
      </c>
      <c r="C2543" t="s">
        <v>28913</v>
      </c>
      <c r="D2543" t="s">
        <v>28914</v>
      </c>
      <c r="E2543" t="s">
        <v>28915</v>
      </c>
      <c r="F2543" t="s">
        <v>28916</v>
      </c>
      <c r="G2543" t="s">
        <v>28917</v>
      </c>
      <c r="H2543" t="str">
        <f>"Wdr12"</f>
        <v>Wdr12</v>
      </c>
      <c r="I2543" t="s">
        <v>32</v>
      </c>
      <c r="J2543" t="s">
        <v>37</v>
      </c>
      <c r="K2543">
        <v>10090</v>
      </c>
      <c r="L2543" s="3" t="str">
        <f>HYPERLINK("http://www.uniprot.org/uniprot/Q9JJA4", "Q9JJA4")</f>
        <v>Q9JJA4</v>
      </c>
      <c r="M2543" t="s">
        <v>28918</v>
      </c>
      <c r="N2543" t="str">
        <f>"Wdr12"</f>
        <v>Wdr12</v>
      </c>
      <c r="O2543" s="3" t="str">
        <f>HYPERLINK("http://www.informatics.jax.org/marker/MGI:1927241", "MGI:1927241")</f>
        <v>MGI:1927241</v>
      </c>
      <c r="P2543" t="s">
        <v>28919</v>
      </c>
      <c r="Q2543" t="s">
        <v>13781</v>
      </c>
      <c r="R2543" t="s">
        <v>2279</v>
      </c>
      <c r="S2543" t="s">
        <v>32</v>
      </c>
      <c r="T2543" t="s">
        <v>32</v>
      </c>
      <c r="U2543" t="s">
        <v>32</v>
      </c>
      <c r="V2543" t="s">
        <v>1910</v>
      </c>
      <c r="W2543" t="s">
        <v>32</v>
      </c>
      <c r="X2543" t="s">
        <v>32</v>
      </c>
      <c r="Y2543" t="s">
        <v>516</v>
      </c>
      <c r="Z2543" t="s">
        <v>32</v>
      </c>
      <c r="AA2543" t="s">
        <v>28920</v>
      </c>
      <c r="AB2543" t="s">
        <v>28921</v>
      </c>
      <c r="AC2543" t="s">
        <v>28922</v>
      </c>
      <c r="AD2543" t="s">
        <v>32</v>
      </c>
      <c r="AE2543" t="s">
        <v>960</v>
      </c>
      <c r="AF2543" t="s">
        <v>46835</v>
      </c>
    </row>
    <row r="2544" spans="1:32" x14ac:dyDescent="0.2">
      <c r="A2544">
        <v>2539</v>
      </c>
      <c r="B2544" t="s">
        <v>28923</v>
      </c>
      <c r="C2544" t="s">
        <v>28924</v>
      </c>
      <c r="D2544" t="s">
        <v>28925</v>
      </c>
      <c r="E2544" t="s">
        <v>28926</v>
      </c>
      <c r="F2544" t="s">
        <v>28927</v>
      </c>
      <c r="G2544" t="s">
        <v>28928</v>
      </c>
      <c r="H2544" t="str">
        <f>"Mkrn2"</f>
        <v>Mkrn2</v>
      </c>
      <c r="I2544" t="s">
        <v>32</v>
      </c>
      <c r="J2544" t="s">
        <v>37</v>
      </c>
      <c r="K2544">
        <v>10090</v>
      </c>
      <c r="L2544" s="3" t="str">
        <f>HYPERLINK("http://www.uniprot.org/uniprot/Q9ERV1", "Q9ERV1")</f>
        <v>Q9ERV1</v>
      </c>
      <c r="M2544" t="s">
        <v>28929</v>
      </c>
      <c r="N2544" t="str">
        <f>"Mkrn2"</f>
        <v>Mkrn2</v>
      </c>
      <c r="O2544" s="3" t="str">
        <f>HYPERLINK("http://www.informatics.jax.org/marker/MGI:1914277", "MGI:1914277")</f>
        <v>MGI:1914277</v>
      </c>
      <c r="P2544" t="s">
        <v>28930</v>
      </c>
      <c r="Q2544" t="s">
        <v>6582</v>
      </c>
      <c r="R2544" t="s">
        <v>40</v>
      </c>
      <c r="S2544" t="s">
        <v>32</v>
      </c>
      <c r="T2544" t="s">
        <v>32</v>
      </c>
      <c r="U2544" t="s">
        <v>32</v>
      </c>
      <c r="V2544" t="s">
        <v>3791</v>
      </c>
      <c r="W2544" t="s">
        <v>42</v>
      </c>
      <c r="X2544" t="s">
        <v>515</v>
      </c>
      <c r="Y2544" t="s">
        <v>618</v>
      </c>
      <c r="Z2544" t="s">
        <v>32</v>
      </c>
      <c r="AA2544" t="s">
        <v>28931</v>
      </c>
      <c r="AB2544" t="s">
        <v>110</v>
      </c>
      <c r="AC2544" t="s">
        <v>28932</v>
      </c>
      <c r="AD2544" t="s">
        <v>1027</v>
      </c>
      <c r="AE2544" t="s">
        <v>32</v>
      </c>
      <c r="AF2544" t="s">
        <v>46835</v>
      </c>
    </row>
    <row r="2545" spans="1:33" x14ac:dyDescent="0.2">
      <c r="A2545">
        <v>2540</v>
      </c>
      <c r="B2545" t="s">
        <v>28933</v>
      </c>
      <c r="C2545" t="s">
        <v>47139</v>
      </c>
      <c r="D2545" t="s">
        <v>32</v>
      </c>
      <c r="E2545" t="s">
        <v>46980</v>
      </c>
      <c r="F2545" t="s">
        <v>46979</v>
      </c>
      <c r="G2545" t="s">
        <v>32</v>
      </c>
      <c r="H2545" t="s">
        <v>47270</v>
      </c>
      <c r="I2545" t="s">
        <v>32</v>
      </c>
      <c r="J2545" t="s">
        <v>37</v>
      </c>
      <c r="K2545">
        <v>10090</v>
      </c>
      <c r="L2545" s="3" t="str">
        <f>HYPERLINK(CONCATENATE("https://www.uniprot.org/uniprotkb/", AG2545, "/entry"), AG2545)</f>
        <v>Q80ZX0</v>
      </c>
      <c r="M2545" t="s">
        <v>32</v>
      </c>
      <c r="N2545" t="s">
        <v>32</v>
      </c>
      <c r="O2545" s="3" t="s">
        <v>32</v>
      </c>
      <c r="P2545" t="s">
        <v>32</v>
      </c>
      <c r="Q2545" t="s">
        <v>32</v>
      </c>
      <c r="R2545" t="s">
        <v>32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  <c r="Z2545" t="s">
        <v>32</v>
      </c>
      <c r="AA2545" t="s">
        <v>32</v>
      </c>
      <c r="AB2545" t="s">
        <v>32</v>
      </c>
      <c r="AC2545" t="s">
        <v>32</v>
      </c>
      <c r="AD2545" t="s">
        <v>32</v>
      </c>
      <c r="AE2545" t="s">
        <v>32</v>
      </c>
      <c r="AF2545" t="s">
        <v>46835</v>
      </c>
      <c r="AG2545" t="s">
        <v>46979</v>
      </c>
    </row>
    <row r="2546" spans="1:33" x14ac:dyDescent="0.2">
      <c r="A2546">
        <v>2541</v>
      </c>
      <c r="B2546" t="s">
        <v>28934</v>
      </c>
      <c r="C2546" t="s">
        <v>28935</v>
      </c>
      <c r="D2546" t="s">
        <v>28936</v>
      </c>
      <c r="E2546" t="s">
        <v>28937</v>
      </c>
      <c r="F2546" t="s">
        <v>28938</v>
      </c>
      <c r="G2546" t="s">
        <v>28939</v>
      </c>
      <c r="H2546" t="str">
        <f>"Slc7a2"</f>
        <v>Slc7a2</v>
      </c>
      <c r="I2546" t="s">
        <v>28940</v>
      </c>
      <c r="J2546" t="s">
        <v>37</v>
      </c>
      <c r="K2546">
        <v>10090</v>
      </c>
      <c r="L2546" s="3" t="str">
        <f>HYPERLINK("http://www.uniprot.org/uniprot/P18581", "P18581")</f>
        <v>P18581</v>
      </c>
      <c r="M2546" t="s">
        <v>28941</v>
      </c>
      <c r="N2546" t="str">
        <f>"Slc7a2"</f>
        <v>Slc7a2</v>
      </c>
      <c r="O2546" s="3" t="str">
        <f>HYPERLINK("http://www.informatics.jax.org/marker/MGI:99828", "MGI:99828")</f>
        <v>MGI:99828</v>
      </c>
      <c r="P2546" t="s">
        <v>28942</v>
      </c>
      <c r="Q2546" t="s">
        <v>1548</v>
      </c>
      <c r="R2546" t="s">
        <v>2474</v>
      </c>
      <c r="S2546" t="s">
        <v>41</v>
      </c>
      <c r="T2546" t="s">
        <v>32</v>
      </c>
      <c r="U2546" t="s">
        <v>32</v>
      </c>
      <c r="V2546" t="s">
        <v>493</v>
      </c>
      <c r="W2546" t="s">
        <v>32</v>
      </c>
      <c r="X2546" t="s">
        <v>32</v>
      </c>
      <c r="Y2546" t="s">
        <v>4720</v>
      </c>
      <c r="Z2546" t="s">
        <v>32</v>
      </c>
      <c r="AA2546" t="s">
        <v>28943</v>
      </c>
      <c r="AB2546" t="s">
        <v>28944</v>
      </c>
      <c r="AC2546" t="s">
        <v>28945</v>
      </c>
      <c r="AD2546" t="s">
        <v>32</v>
      </c>
      <c r="AE2546" t="s">
        <v>32</v>
      </c>
      <c r="AF2546" t="s">
        <v>46835</v>
      </c>
    </row>
    <row r="2547" spans="1:33" x14ac:dyDescent="0.2">
      <c r="A2547">
        <v>2542</v>
      </c>
      <c r="B2547" t="s">
        <v>28946</v>
      </c>
      <c r="C2547" t="s">
        <v>28947</v>
      </c>
      <c r="D2547" t="s">
        <v>28948</v>
      </c>
      <c r="E2547" t="s">
        <v>28949</v>
      </c>
      <c r="F2547" t="s">
        <v>28950</v>
      </c>
      <c r="G2547" t="s">
        <v>28951</v>
      </c>
      <c r="H2547" t="str">
        <f>"Pccb"</f>
        <v>Pccb</v>
      </c>
      <c r="I2547" t="s">
        <v>32</v>
      </c>
      <c r="J2547" t="s">
        <v>37</v>
      </c>
      <c r="K2547">
        <v>10090</v>
      </c>
      <c r="L2547" s="3" t="str">
        <f>HYPERLINK("http://www.uniprot.org/uniprot/Q99MN9", "Q99MN9")</f>
        <v>Q99MN9</v>
      </c>
      <c r="M2547" t="s">
        <v>28952</v>
      </c>
      <c r="N2547" t="str">
        <f>"Pccb"</f>
        <v>Pccb</v>
      </c>
      <c r="O2547" s="3" t="str">
        <f>HYPERLINK("http://www.informatics.jax.org/marker/MGI:1914154", "MGI:1914154")</f>
        <v>MGI:1914154</v>
      </c>
      <c r="P2547" t="s">
        <v>28953</v>
      </c>
      <c r="Q2547" t="s">
        <v>32</v>
      </c>
      <c r="R2547" t="s">
        <v>1038</v>
      </c>
      <c r="S2547" t="s">
        <v>32</v>
      </c>
      <c r="T2547" t="s">
        <v>32</v>
      </c>
      <c r="U2547" t="s">
        <v>32</v>
      </c>
      <c r="V2547" t="s">
        <v>1039</v>
      </c>
      <c r="W2547" t="s">
        <v>205</v>
      </c>
      <c r="X2547" t="s">
        <v>1022</v>
      </c>
      <c r="Y2547" t="s">
        <v>157</v>
      </c>
      <c r="Z2547" t="s">
        <v>32</v>
      </c>
      <c r="AA2547" t="s">
        <v>32</v>
      </c>
      <c r="AB2547" t="s">
        <v>24501</v>
      </c>
      <c r="AC2547" t="s">
        <v>28954</v>
      </c>
      <c r="AD2547" t="s">
        <v>24503</v>
      </c>
      <c r="AE2547" t="s">
        <v>24504</v>
      </c>
      <c r="AF2547" t="s">
        <v>46835</v>
      </c>
    </row>
    <row r="2548" spans="1:33" x14ac:dyDescent="0.2">
      <c r="A2548">
        <v>2543</v>
      </c>
      <c r="B2548" t="s">
        <v>28955</v>
      </c>
      <c r="C2548" t="s">
        <v>28956</v>
      </c>
      <c r="D2548" t="s">
        <v>28957</v>
      </c>
      <c r="E2548" t="s">
        <v>28958</v>
      </c>
      <c r="F2548" t="s">
        <v>28959</v>
      </c>
      <c r="G2548" t="s">
        <v>28960</v>
      </c>
      <c r="H2548" t="str">
        <f>"Tubg1"</f>
        <v>Tubg1</v>
      </c>
      <c r="I2548" t="s">
        <v>28961</v>
      </c>
      <c r="J2548" t="s">
        <v>37</v>
      </c>
      <c r="K2548">
        <v>10090</v>
      </c>
      <c r="L2548" s="3" t="str">
        <f>HYPERLINK("http://www.uniprot.org/uniprot/P83887", "P83887")</f>
        <v>P83887</v>
      </c>
      <c r="M2548" t="s">
        <v>28962</v>
      </c>
      <c r="N2548" t="str">
        <f>"Tubg1"</f>
        <v>Tubg1</v>
      </c>
      <c r="O2548" s="3" t="str">
        <f>HYPERLINK("http://www.informatics.jax.org/marker/MGI:101834", "MGI:101834")</f>
        <v>MGI:101834</v>
      </c>
      <c r="P2548" t="s">
        <v>28963</v>
      </c>
      <c r="Q2548" t="s">
        <v>32</v>
      </c>
      <c r="R2548" t="s">
        <v>341</v>
      </c>
      <c r="S2548" t="s">
        <v>32</v>
      </c>
      <c r="T2548" t="s">
        <v>32</v>
      </c>
      <c r="U2548" t="s">
        <v>32</v>
      </c>
      <c r="V2548" t="s">
        <v>32</v>
      </c>
      <c r="W2548" t="s">
        <v>261</v>
      </c>
      <c r="X2548" t="s">
        <v>32</v>
      </c>
      <c r="Y2548" t="s">
        <v>618</v>
      </c>
      <c r="Z2548" t="s">
        <v>32</v>
      </c>
      <c r="AA2548" t="s">
        <v>28964</v>
      </c>
      <c r="AB2548" t="s">
        <v>28965</v>
      </c>
      <c r="AC2548" t="s">
        <v>28966</v>
      </c>
      <c r="AD2548" t="s">
        <v>32</v>
      </c>
      <c r="AE2548" t="s">
        <v>17387</v>
      </c>
      <c r="AF2548" t="s">
        <v>46835</v>
      </c>
    </row>
    <row r="2549" spans="1:33" x14ac:dyDescent="0.2">
      <c r="A2549">
        <v>2544</v>
      </c>
      <c r="B2549" t="s">
        <v>28967</v>
      </c>
      <c r="C2549" t="s">
        <v>28968</v>
      </c>
      <c r="D2549" t="s">
        <v>28969</v>
      </c>
      <c r="E2549" t="s">
        <v>28970</v>
      </c>
      <c r="F2549" t="s">
        <v>28971</v>
      </c>
      <c r="G2549" t="s">
        <v>28972</v>
      </c>
      <c r="H2549" t="str">
        <f>"Mmut"</f>
        <v>Mmut</v>
      </c>
      <c r="I2549" t="s">
        <v>28973</v>
      </c>
      <c r="J2549" t="s">
        <v>37</v>
      </c>
      <c r="K2549">
        <v>10090</v>
      </c>
      <c r="L2549" s="3" t="str">
        <f>HYPERLINK("http://www.uniprot.org/uniprot/P16332", "P16332")</f>
        <v>P16332</v>
      </c>
      <c r="M2549" t="s">
        <v>28974</v>
      </c>
      <c r="N2549" t="str">
        <f>"Mmut"</f>
        <v>Mmut</v>
      </c>
      <c r="O2549" s="3" t="str">
        <f>HYPERLINK("http://www.informatics.jax.org/marker/MGI:97239", "MGI:97239")</f>
        <v>MGI:97239</v>
      </c>
      <c r="P2549" t="s">
        <v>28975</v>
      </c>
      <c r="Q2549" t="s">
        <v>32</v>
      </c>
      <c r="R2549" t="s">
        <v>1842</v>
      </c>
      <c r="S2549" t="s">
        <v>32</v>
      </c>
      <c r="T2549" t="s">
        <v>32</v>
      </c>
      <c r="U2549" t="s">
        <v>32</v>
      </c>
      <c r="V2549" t="s">
        <v>1039</v>
      </c>
      <c r="W2549" t="s">
        <v>28976</v>
      </c>
      <c r="X2549" t="s">
        <v>673</v>
      </c>
      <c r="Y2549" t="s">
        <v>157</v>
      </c>
      <c r="Z2549" t="s">
        <v>32</v>
      </c>
      <c r="AA2549" t="s">
        <v>28977</v>
      </c>
      <c r="AB2549" t="s">
        <v>12327</v>
      </c>
      <c r="AC2549" t="s">
        <v>28978</v>
      </c>
      <c r="AD2549" t="s">
        <v>32</v>
      </c>
      <c r="AE2549" t="s">
        <v>28979</v>
      </c>
      <c r="AF2549" t="s">
        <v>46835</v>
      </c>
    </row>
    <row r="2550" spans="1:33" x14ac:dyDescent="0.2">
      <c r="A2550">
        <v>2545</v>
      </c>
      <c r="B2550" t="s">
        <v>28980</v>
      </c>
      <c r="C2550" t="s">
        <v>28981</v>
      </c>
      <c r="D2550" t="s">
        <v>28982</v>
      </c>
      <c r="E2550" t="s">
        <v>28983</v>
      </c>
      <c r="F2550" t="s">
        <v>28984</v>
      </c>
      <c r="G2550" t="s">
        <v>28985</v>
      </c>
      <c r="H2550" t="str">
        <f>"Mcfd2"</f>
        <v>Mcfd2</v>
      </c>
      <c r="I2550" t="s">
        <v>28986</v>
      </c>
      <c r="J2550" t="s">
        <v>37</v>
      </c>
      <c r="K2550">
        <v>10090</v>
      </c>
      <c r="L2550" s="3" t="str">
        <f>HYPERLINK("http://www.uniprot.org/uniprot/Q8K5B2", "Q8K5B2")</f>
        <v>Q8K5B2</v>
      </c>
      <c r="M2550" t="s">
        <v>28987</v>
      </c>
      <c r="N2550" t="str">
        <f>"Mcfd2"</f>
        <v>Mcfd2</v>
      </c>
      <c r="O2550" s="3" t="str">
        <f>HYPERLINK("http://www.informatics.jax.org/marker/MGI:2183439", "MGI:2183439")</f>
        <v>MGI:2183439</v>
      </c>
      <c r="P2550" t="s">
        <v>28988</v>
      </c>
      <c r="Q2550" t="s">
        <v>2916</v>
      </c>
      <c r="R2550" t="s">
        <v>4315</v>
      </c>
      <c r="S2550" t="s">
        <v>32</v>
      </c>
      <c r="T2550" t="s">
        <v>32</v>
      </c>
      <c r="U2550" t="s">
        <v>32</v>
      </c>
      <c r="V2550" t="s">
        <v>478</v>
      </c>
      <c r="W2550" t="s">
        <v>188</v>
      </c>
      <c r="X2550" t="s">
        <v>32</v>
      </c>
      <c r="Y2550" t="s">
        <v>618</v>
      </c>
      <c r="Z2550" t="s">
        <v>32</v>
      </c>
      <c r="AA2550" t="s">
        <v>28989</v>
      </c>
      <c r="AB2550" t="s">
        <v>28990</v>
      </c>
      <c r="AC2550" t="s">
        <v>4723</v>
      </c>
      <c r="AD2550" t="s">
        <v>32</v>
      </c>
      <c r="AE2550" t="s">
        <v>13908</v>
      </c>
      <c r="AF2550" t="s">
        <v>46835</v>
      </c>
    </row>
    <row r="2551" spans="1:33" x14ac:dyDescent="0.2">
      <c r="A2551">
        <v>2546</v>
      </c>
      <c r="B2551" t="s">
        <v>28991</v>
      </c>
      <c r="C2551" t="s">
        <v>28992</v>
      </c>
      <c r="D2551" t="s">
        <v>32</v>
      </c>
      <c r="E2551" t="s">
        <v>28993</v>
      </c>
      <c r="F2551" t="s">
        <v>28994</v>
      </c>
      <c r="G2551" t="s">
        <v>28995</v>
      </c>
      <c r="H2551" t="str">
        <f>"Ptrh2"</f>
        <v>Ptrh2</v>
      </c>
      <c r="I2551" t="s">
        <v>28996</v>
      </c>
      <c r="J2551" t="s">
        <v>37</v>
      </c>
      <c r="K2551">
        <v>10090</v>
      </c>
      <c r="L2551" s="3" t="str">
        <f>HYPERLINK("http://www.uniprot.org/uniprot/Q8R2Y8", "Q8R2Y8")</f>
        <v>Q8R2Y8</v>
      </c>
      <c r="M2551" t="s">
        <v>28997</v>
      </c>
      <c r="N2551" t="str">
        <f>"Ptrh2"</f>
        <v>Ptrh2</v>
      </c>
      <c r="O2551" s="3" t="str">
        <f>HYPERLINK("http://www.informatics.jax.org/marker/MGI:2444848", "MGI:2444848")</f>
        <v>MGI:2444848</v>
      </c>
      <c r="P2551" t="s">
        <v>28998</v>
      </c>
      <c r="Q2551" t="s">
        <v>32</v>
      </c>
      <c r="R2551" t="s">
        <v>1038</v>
      </c>
      <c r="S2551" t="s">
        <v>32</v>
      </c>
      <c r="T2551" t="s">
        <v>32</v>
      </c>
      <c r="U2551" t="s">
        <v>32</v>
      </c>
      <c r="V2551" t="s">
        <v>1039</v>
      </c>
      <c r="W2551" t="s">
        <v>32</v>
      </c>
      <c r="X2551" t="s">
        <v>343</v>
      </c>
      <c r="Y2551" t="s">
        <v>7792</v>
      </c>
      <c r="Z2551" t="s">
        <v>32</v>
      </c>
      <c r="AA2551" t="s">
        <v>28999</v>
      </c>
      <c r="AB2551" t="s">
        <v>5676</v>
      </c>
      <c r="AC2551" t="s">
        <v>25199</v>
      </c>
      <c r="AD2551" t="s">
        <v>32</v>
      </c>
      <c r="AE2551" t="s">
        <v>6333</v>
      </c>
      <c r="AF2551" t="s">
        <v>46835</v>
      </c>
    </row>
    <row r="2552" spans="1:33" x14ac:dyDescent="0.2">
      <c r="A2552">
        <v>2547</v>
      </c>
      <c r="B2552" t="s">
        <v>29000</v>
      </c>
      <c r="C2552" t="s">
        <v>29001</v>
      </c>
      <c r="D2552" t="s">
        <v>29002</v>
      </c>
      <c r="E2552" t="s">
        <v>29003</v>
      </c>
      <c r="F2552" t="s">
        <v>29004</v>
      </c>
      <c r="G2552" t="s">
        <v>29005</v>
      </c>
      <c r="H2552" t="str">
        <f>"Kif15"</f>
        <v>Kif15</v>
      </c>
      <c r="I2552" t="s">
        <v>29006</v>
      </c>
      <c r="J2552" t="s">
        <v>37</v>
      </c>
      <c r="K2552">
        <v>10090</v>
      </c>
      <c r="L2552" s="3" t="str">
        <f>HYPERLINK("http://www.uniprot.org/uniprot/Q6P9L6", "Q6P9L6")</f>
        <v>Q6P9L6</v>
      </c>
      <c r="M2552" t="s">
        <v>29007</v>
      </c>
      <c r="N2552" t="str">
        <f>"Kif15"</f>
        <v>Kif15</v>
      </c>
      <c r="O2552" s="3" t="str">
        <f>HYPERLINK("http://www.informatics.jax.org/marker/MGI:1098258", "MGI:1098258")</f>
        <v>MGI:1098258</v>
      </c>
      <c r="P2552" t="s">
        <v>29008</v>
      </c>
      <c r="Q2552" t="s">
        <v>32</v>
      </c>
      <c r="R2552" t="s">
        <v>341</v>
      </c>
      <c r="S2552" t="s">
        <v>32</v>
      </c>
      <c r="T2552" t="s">
        <v>32</v>
      </c>
      <c r="U2552" t="s">
        <v>32</v>
      </c>
      <c r="V2552" t="s">
        <v>290</v>
      </c>
      <c r="W2552" t="s">
        <v>205</v>
      </c>
      <c r="X2552" t="s">
        <v>830</v>
      </c>
      <c r="Y2552" t="s">
        <v>157</v>
      </c>
      <c r="Z2552" t="s">
        <v>32</v>
      </c>
      <c r="AA2552" t="s">
        <v>29009</v>
      </c>
      <c r="AB2552" t="s">
        <v>29010</v>
      </c>
      <c r="AC2552" t="s">
        <v>29011</v>
      </c>
      <c r="AD2552" t="s">
        <v>32</v>
      </c>
      <c r="AE2552" t="s">
        <v>29012</v>
      </c>
      <c r="AF2552" t="s">
        <v>46835</v>
      </c>
    </row>
    <row r="2553" spans="1:33" x14ac:dyDescent="0.2">
      <c r="A2553">
        <v>2548</v>
      </c>
      <c r="B2553" t="s">
        <v>29013</v>
      </c>
      <c r="C2553" t="s">
        <v>29014</v>
      </c>
      <c r="D2553" t="s">
        <v>32</v>
      </c>
      <c r="E2553" t="s">
        <v>29015</v>
      </c>
      <c r="F2553" t="s">
        <v>29016</v>
      </c>
      <c r="G2553" t="s">
        <v>29017</v>
      </c>
      <c r="H2553" t="str">
        <f>"Acsf2"</f>
        <v>Acsf2</v>
      </c>
      <c r="I2553" t="s">
        <v>32</v>
      </c>
      <c r="J2553" t="s">
        <v>37</v>
      </c>
      <c r="K2553">
        <v>10090</v>
      </c>
      <c r="L2553" s="3" t="str">
        <f>HYPERLINK("http://www.uniprot.org/uniprot/Q8VCW8", "Q8VCW8")</f>
        <v>Q8VCW8</v>
      </c>
      <c r="M2553" t="s">
        <v>29018</v>
      </c>
      <c r="N2553" t="str">
        <f>"Acsf2"</f>
        <v>Acsf2</v>
      </c>
      <c r="O2553" s="3" t="str">
        <f>HYPERLINK("http://www.informatics.jax.org/marker/MGI:2388287", "MGI:2388287")</f>
        <v>MGI:2388287</v>
      </c>
      <c r="P2553" t="s">
        <v>29019</v>
      </c>
      <c r="Q2553" t="s">
        <v>6214</v>
      </c>
      <c r="R2553" t="s">
        <v>1038</v>
      </c>
      <c r="S2553" t="s">
        <v>32</v>
      </c>
      <c r="T2553" t="s">
        <v>32</v>
      </c>
      <c r="U2553" t="s">
        <v>32</v>
      </c>
      <c r="V2553" t="s">
        <v>1039</v>
      </c>
      <c r="W2553" t="s">
        <v>205</v>
      </c>
      <c r="X2553" t="s">
        <v>1022</v>
      </c>
      <c r="Y2553" t="s">
        <v>78</v>
      </c>
      <c r="Z2553" t="s">
        <v>32</v>
      </c>
      <c r="AA2553" t="s">
        <v>29020</v>
      </c>
      <c r="AB2553" t="s">
        <v>3721</v>
      </c>
      <c r="AC2553" t="s">
        <v>29021</v>
      </c>
      <c r="AD2553" t="s">
        <v>32</v>
      </c>
      <c r="AE2553" t="s">
        <v>4429</v>
      </c>
      <c r="AF2553" t="s">
        <v>46835</v>
      </c>
    </row>
    <row r="2554" spans="1:33" x14ac:dyDescent="0.2">
      <c r="A2554">
        <v>2549</v>
      </c>
      <c r="B2554" t="s">
        <v>29022</v>
      </c>
      <c r="C2554" t="s">
        <v>29023</v>
      </c>
      <c r="D2554" t="s">
        <v>32</v>
      </c>
      <c r="E2554" t="s">
        <v>29024</v>
      </c>
      <c r="F2554" t="s">
        <v>29025</v>
      </c>
      <c r="G2554" t="s">
        <v>29026</v>
      </c>
      <c r="H2554" t="str">
        <f>"Map7d1"</f>
        <v>Map7d1</v>
      </c>
      <c r="I2554" t="s">
        <v>29027</v>
      </c>
      <c r="J2554" t="s">
        <v>37</v>
      </c>
      <c r="K2554">
        <v>10090</v>
      </c>
      <c r="L2554" s="3" t="str">
        <f>HYPERLINK("http://www.uniprot.org/uniprot/A2AJI0", "A2AJI0")</f>
        <v>A2AJI0</v>
      </c>
      <c r="M2554" t="s">
        <v>29028</v>
      </c>
      <c r="N2554" t="str">
        <f>"Map7d1"</f>
        <v>Map7d1</v>
      </c>
      <c r="O2554" s="3" t="str">
        <f>HYPERLINK("http://www.informatics.jax.org/marker/MGI:2384297", "MGI:2384297")</f>
        <v>MGI:2384297</v>
      </c>
      <c r="P2554" t="s">
        <v>29029</v>
      </c>
      <c r="Q2554" t="s">
        <v>32</v>
      </c>
      <c r="R2554" t="s">
        <v>186</v>
      </c>
      <c r="S2554" t="s">
        <v>41</v>
      </c>
      <c r="T2554" t="s">
        <v>32</v>
      </c>
      <c r="U2554" t="s">
        <v>32</v>
      </c>
      <c r="V2554" t="s">
        <v>290</v>
      </c>
      <c r="W2554" t="s">
        <v>32</v>
      </c>
      <c r="X2554" t="s">
        <v>32</v>
      </c>
      <c r="Y2554" t="s">
        <v>1007</v>
      </c>
      <c r="Z2554" t="s">
        <v>32</v>
      </c>
      <c r="AA2554" t="s">
        <v>26263</v>
      </c>
      <c r="AB2554" t="s">
        <v>29030</v>
      </c>
      <c r="AC2554" t="s">
        <v>32</v>
      </c>
      <c r="AD2554" t="s">
        <v>32</v>
      </c>
      <c r="AE2554" t="s">
        <v>32</v>
      </c>
      <c r="AF2554" t="s">
        <v>46835</v>
      </c>
    </row>
    <row r="2555" spans="1:33" x14ac:dyDescent="0.2">
      <c r="A2555">
        <v>2550</v>
      </c>
      <c r="B2555" t="s">
        <v>29031</v>
      </c>
      <c r="C2555" t="s">
        <v>29032</v>
      </c>
      <c r="D2555" t="s">
        <v>29033</v>
      </c>
      <c r="E2555" t="s">
        <v>29034</v>
      </c>
      <c r="F2555" t="s">
        <v>29035</v>
      </c>
      <c r="G2555" t="s">
        <v>29036</v>
      </c>
      <c r="H2555" t="str">
        <f>"Bcat1"</f>
        <v>Bcat1</v>
      </c>
      <c r="I2555" t="s">
        <v>29037</v>
      </c>
      <c r="J2555" t="s">
        <v>37</v>
      </c>
      <c r="K2555">
        <v>10090</v>
      </c>
      <c r="L2555" s="3" t="str">
        <f>HYPERLINK("http://www.uniprot.org/uniprot/P24288", "P24288")</f>
        <v>P24288</v>
      </c>
      <c r="M2555" t="s">
        <v>29038</v>
      </c>
      <c r="N2555" t="str">
        <f>"Bcat1"</f>
        <v>Bcat1</v>
      </c>
      <c r="O2555" s="3" t="str">
        <f>HYPERLINK("http://www.informatics.jax.org/marker/MGI:104861", "MGI:104861")</f>
        <v>MGI:104861</v>
      </c>
      <c r="P2555" t="s">
        <v>29039</v>
      </c>
      <c r="Q2555" t="s">
        <v>29040</v>
      </c>
      <c r="R2555" t="s">
        <v>418</v>
      </c>
      <c r="S2555" t="s">
        <v>32</v>
      </c>
      <c r="T2555" t="s">
        <v>32</v>
      </c>
      <c r="U2555" t="s">
        <v>32</v>
      </c>
      <c r="V2555" t="s">
        <v>32</v>
      </c>
      <c r="W2555" t="s">
        <v>3373</v>
      </c>
      <c r="X2555" t="s">
        <v>3374</v>
      </c>
      <c r="Y2555" t="s">
        <v>78</v>
      </c>
      <c r="Z2555" t="s">
        <v>32</v>
      </c>
      <c r="AA2555" t="s">
        <v>29041</v>
      </c>
      <c r="AB2555" t="s">
        <v>3903</v>
      </c>
      <c r="AC2555" t="s">
        <v>29042</v>
      </c>
      <c r="AD2555" t="s">
        <v>32</v>
      </c>
      <c r="AE2555" t="s">
        <v>8652</v>
      </c>
      <c r="AF2555" t="s">
        <v>46835</v>
      </c>
    </row>
    <row r="2556" spans="1:33" x14ac:dyDescent="0.2">
      <c r="A2556">
        <v>2551</v>
      </c>
      <c r="B2556" t="s">
        <v>29043</v>
      </c>
      <c r="C2556" t="s">
        <v>29044</v>
      </c>
      <c r="D2556" t="s">
        <v>29045</v>
      </c>
      <c r="E2556" t="s">
        <v>29046</v>
      </c>
      <c r="F2556" t="s">
        <v>29047</v>
      </c>
      <c r="G2556" t="s">
        <v>29048</v>
      </c>
      <c r="H2556" t="str">
        <f>"Adprs"</f>
        <v>Adprs</v>
      </c>
      <c r="I2556" t="s">
        <v>32</v>
      </c>
      <c r="J2556" t="s">
        <v>37</v>
      </c>
      <c r="K2556">
        <v>10090</v>
      </c>
      <c r="L2556" s="3" t="str">
        <f>HYPERLINK("http://www.uniprot.org/uniprot/Q8CG72", "Q8CG72")</f>
        <v>Q8CG72</v>
      </c>
      <c r="M2556" t="s">
        <v>29049</v>
      </c>
      <c r="N2556" t="str">
        <f>"Adprs"</f>
        <v>Adprs</v>
      </c>
      <c r="O2556" s="3" t="str">
        <f>HYPERLINK("http://www.informatics.jax.org/marker/MGI:2140364", "MGI:2140364")</f>
        <v>MGI:2140364</v>
      </c>
      <c r="P2556" t="s">
        <v>29050</v>
      </c>
      <c r="Q2556" t="s">
        <v>11886</v>
      </c>
      <c r="R2556" t="s">
        <v>7246</v>
      </c>
      <c r="S2556" t="s">
        <v>41</v>
      </c>
      <c r="T2556" t="s">
        <v>32</v>
      </c>
      <c r="U2556" t="s">
        <v>32</v>
      </c>
      <c r="V2556" t="s">
        <v>32</v>
      </c>
      <c r="W2556" t="s">
        <v>223</v>
      </c>
      <c r="X2556" t="s">
        <v>343</v>
      </c>
      <c r="Y2556" t="s">
        <v>618</v>
      </c>
      <c r="Z2556" t="s">
        <v>126</v>
      </c>
      <c r="AA2556" t="s">
        <v>29051</v>
      </c>
      <c r="AB2556" t="s">
        <v>29052</v>
      </c>
      <c r="AC2556" t="s">
        <v>29053</v>
      </c>
      <c r="AD2556" t="s">
        <v>32</v>
      </c>
      <c r="AE2556" t="s">
        <v>29054</v>
      </c>
      <c r="AF2556" t="s">
        <v>46835</v>
      </c>
    </row>
    <row r="2557" spans="1:33" x14ac:dyDescent="0.2">
      <c r="A2557">
        <v>2552</v>
      </c>
      <c r="B2557" t="s">
        <v>29055</v>
      </c>
      <c r="C2557" t="s">
        <v>29056</v>
      </c>
      <c r="D2557" t="s">
        <v>29057</v>
      </c>
      <c r="E2557" t="s">
        <v>29058</v>
      </c>
      <c r="F2557" t="s">
        <v>29059</v>
      </c>
      <c r="G2557" t="s">
        <v>29060</v>
      </c>
      <c r="H2557" t="str">
        <f>"Cnpy3"</f>
        <v>Cnpy3</v>
      </c>
      <c r="I2557" t="s">
        <v>29061</v>
      </c>
      <c r="J2557" t="s">
        <v>37</v>
      </c>
      <c r="K2557">
        <v>10090</v>
      </c>
      <c r="L2557" s="3" t="str">
        <f>HYPERLINK("http://www.uniprot.org/uniprot/Q9DAU1", "Q9DAU1")</f>
        <v>Q9DAU1</v>
      </c>
      <c r="M2557" t="s">
        <v>29062</v>
      </c>
      <c r="N2557" t="str">
        <f>"Cnpy3"</f>
        <v>Cnpy3</v>
      </c>
      <c r="O2557" s="3" t="str">
        <f>HYPERLINK("http://www.informatics.jax.org/marker/MGI:1919279", "MGI:1919279")</f>
        <v>MGI:1919279</v>
      </c>
      <c r="P2557" t="s">
        <v>29063</v>
      </c>
      <c r="Q2557" t="s">
        <v>5475</v>
      </c>
      <c r="R2557" t="s">
        <v>671</v>
      </c>
      <c r="S2557" t="s">
        <v>41</v>
      </c>
      <c r="T2557" t="s">
        <v>32</v>
      </c>
      <c r="U2557" t="s">
        <v>32</v>
      </c>
      <c r="V2557" t="s">
        <v>5956</v>
      </c>
      <c r="W2557" t="s">
        <v>32</v>
      </c>
      <c r="X2557" t="s">
        <v>388</v>
      </c>
      <c r="Y2557" t="s">
        <v>5275</v>
      </c>
      <c r="Z2557" t="s">
        <v>32</v>
      </c>
      <c r="AA2557" t="s">
        <v>29064</v>
      </c>
      <c r="AB2557" t="s">
        <v>16036</v>
      </c>
      <c r="AC2557" t="s">
        <v>15323</v>
      </c>
      <c r="AD2557" t="s">
        <v>32</v>
      </c>
      <c r="AE2557" t="s">
        <v>29065</v>
      </c>
      <c r="AF2557" t="s">
        <v>46835</v>
      </c>
    </row>
    <row r="2558" spans="1:33" x14ac:dyDescent="0.2">
      <c r="A2558">
        <v>2553</v>
      </c>
      <c r="B2558" t="s">
        <v>29066</v>
      </c>
      <c r="C2558" t="s">
        <v>29067</v>
      </c>
      <c r="D2558" t="s">
        <v>29068</v>
      </c>
      <c r="E2558" t="s">
        <v>29069</v>
      </c>
      <c r="F2558" t="s">
        <v>29070</v>
      </c>
      <c r="G2558" t="s">
        <v>29071</v>
      </c>
      <c r="H2558" t="str">
        <f>"Dcp1a"</f>
        <v>Dcp1a</v>
      </c>
      <c r="I2558" t="s">
        <v>29072</v>
      </c>
      <c r="J2558" t="s">
        <v>37</v>
      </c>
      <c r="K2558">
        <v>10090</v>
      </c>
      <c r="L2558" s="3" t="str">
        <f>HYPERLINK("http://www.uniprot.org/uniprot/Q91YD3", "Q91YD3")</f>
        <v>Q91YD3</v>
      </c>
      <c r="M2558" t="s">
        <v>29073</v>
      </c>
      <c r="N2558" t="str">
        <f>"Dcp1a"</f>
        <v>Dcp1a</v>
      </c>
      <c r="O2558" s="3" t="str">
        <f>HYPERLINK("http://www.informatics.jax.org/marker/MGI:1923151", "MGI:1923151")</f>
        <v>MGI:1923151</v>
      </c>
      <c r="P2558" t="s">
        <v>29074</v>
      </c>
      <c r="Q2558" t="s">
        <v>8713</v>
      </c>
      <c r="R2558" t="s">
        <v>40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343</v>
      </c>
      <c r="Y2558" t="s">
        <v>2734</v>
      </c>
      <c r="Z2558" t="s">
        <v>32</v>
      </c>
      <c r="AA2558" t="s">
        <v>29075</v>
      </c>
      <c r="AB2558" t="s">
        <v>29076</v>
      </c>
      <c r="AC2558" t="s">
        <v>29077</v>
      </c>
      <c r="AD2558" t="s">
        <v>32</v>
      </c>
      <c r="AE2558" t="s">
        <v>29078</v>
      </c>
      <c r="AF2558" t="s">
        <v>46835</v>
      </c>
    </row>
    <row r="2559" spans="1:33" x14ac:dyDescent="0.2">
      <c r="A2559">
        <v>2554</v>
      </c>
      <c r="B2559" t="s">
        <v>29079</v>
      </c>
      <c r="C2559" t="s">
        <v>29080</v>
      </c>
      <c r="D2559" t="s">
        <v>29081</v>
      </c>
      <c r="E2559" t="s">
        <v>29082</v>
      </c>
      <c r="F2559" t="s">
        <v>29083</v>
      </c>
      <c r="G2559" t="s">
        <v>29084</v>
      </c>
      <c r="H2559" t="str">
        <f>"Mylk"</f>
        <v>Mylk</v>
      </c>
      <c r="I2559" t="s">
        <v>32</v>
      </c>
      <c r="J2559" t="s">
        <v>37</v>
      </c>
      <c r="K2559">
        <v>10090</v>
      </c>
      <c r="L2559" s="3" t="str">
        <f>HYPERLINK("http://www.uniprot.org/uniprot/Q6PDN3", "Q6PDN3")</f>
        <v>Q6PDN3</v>
      </c>
      <c r="M2559" t="s">
        <v>29085</v>
      </c>
      <c r="N2559" t="str">
        <f>"Mylk"</f>
        <v>Mylk</v>
      </c>
      <c r="O2559" s="3" t="str">
        <f>HYPERLINK("http://www.informatics.jax.org/marker/MGI:894806", "MGI:894806")</f>
        <v>MGI:894806</v>
      </c>
      <c r="P2559" t="s">
        <v>29086</v>
      </c>
      <c r="Q2559" t="s">
        <v>32</v>
      </c>
      <c r="R2559" t="s">
        <v>1210</v>
      </c>
      <c r="S2559" t="s">
        <v>8151</v>
      </c>
      <c r="T2559" t="s">
        <v>32</v>
      </c>
      <c r="U2559" t="s">
        <v>32</v>
      </c>
      <c r="V2559" t="s">
        <v>22274</v>
      </c>
      <c r="W2559" t="s">
        <v>4054</v>
      </c>
      <c r="X2559" t="s">
        <v>29087</v>
      </c>
      <c r="Y2559" t="s">
        <v>2080</v>
      </c>
      <c r="Z2559" t="s">
        <v>32</v>
      </c>
      <c r="AA2559" t="s">
        <v>29088</v>
      </c>
      <c r="AB2559" t="s">
        <v>29089</v>
      </c>
      <c r="AC2559" t="s">
        <v>29090</v>
      </c>
      <c r="AD2559" t="s">
        <v>32</v>
      </c>
      <c r="AE2559" t="s">
        <v>5264</v>
      </c>
      <c r="AF2559" t="s">
        <v>46835</v>
      </c>
    </row>
    <row r="2560" spans="1:33" x14ac:dyDescent="0.2">
      <c r="A2560">
        <v>2555</v>
      </c>
      <c r="B2560" t="s">
        <v>29091</v>
      </c>
      <c r="C2560" t="s">
        <v>29092</v>
      </c>
      <c r="D2560" t="s">
        <v>29093</v>
      </c>
      <c r="E2560" t="s">
        <v>29094</v>
      </c>
      <c r="F2560" t="s">
        <v>29095</v>
      </c>
      <c r="G2560" t="s">
        <v>32</v>
      </c>
      <c r="H2560" t="str">
        <f>"Stk26"</f>
        <v>Stk26</v>
      </c>
      <c r="I2560" t="s">
        <v>32</v>
      </c>
      <c r="J2560" t="s">
        <v>37</v>
      </c>
      <c r="K2560">
        <v>10090</v>
      </c>
      <c r="L2560" s="3" t="str">
        <f>HYPERLINK("http://www.uniprot.org/uniprot/Q99JT2", "Q99JT2")</f>
        <v>Q99JT2</v>
      </c>
      <c r="M2560" t="s">
        <v>29096</v>
      </c>
      <c r="N2560" t="str">
        <f>"Stk26"</f>
        <v>Stk26</v>
      </c>
      <c r="O2560" s="3" t="str">
        <f>HYPERLINK("http://www.informatics.jax.org/marker/MGI:1917665", "MGI:1917665")</f>
        <v>MGI:1917665</v>
      </c>
      <c r="P2560" t="s">
        <v>29097</v>
      </c>
      <c r="Q2560" t="s">
        <v>541</v>
      </c>
      <c r="R2560" t="s">
        <v>8179</v>
      </c>
      <c r="S2560" t="s">
        <v>32</v>
      </c>
      <c r="T2560" t="s">
        <v>32</v>
      </c>
      <c r="U2560" t="s">
        <v>32</v>
      </c>
      <c r="V2560" t="s">
        <v>32</v>
      </c>
      <c r="W2560" t="s">
        <v>1266</v>
      </c>
      <c r="X2560" t="s">
        <v>5419</v>
      </c>
      <c r="Y2560" t="s">
        <v>157</v>
      </c>
      <c r="Z2560" t="s">
        <v>32</v>
      </c>
      <c r="AA2560" t="s">
        <v>29098</v>
      </c>
      <c r="AB2560" t="s">
        <v>29099</v>
      </c>
      <c r="AC2560" t="s">
        <v>29100</v>
      </c>
      <c r="AD2560" t="s">
        <v>32</v>
      </c>
      <c r="AE2560" t="s">
        <v>10796</v>
      </c>
      <c r="AF2560" t="s">
        <v>46835</v>
      </c>
    </row>
    <row r="2561" spans="1:32" x14ac:dyDescent="0.2">
      <c r="A2561">
        <v>2556</v>
      </c>
      <c r="B2561" t="s">
        <v>29101</v>
      </c>
      <c r="C2561" t="s">
        <v>29102</v>
      </c>
      <c r="D2561" t="s">
        <v>29103</v>
      </c>
      <c r="E2561" t="s">
        <v>29104</v>
      </c>
      <c r="F2561" t="s">
        <v>29105</v>
      </c>
      <c r="G2561" t="s">
        <v>29106</v>
      </c>
      <c r="H2561" t="str">
        <f>"Spg21"</f>
        <v>Spg21</v>
      </c>
      <c r="I2561" t="s">
        <v>32</v>
      </c>
      <c r="J2561" t="s">
        <v>37</v>
      </c>
      <c r="K2561">
        <v>10090</v>
      </c>
      <c r="L2561" s="3" t="str">
        <f>HYPERLINK("http://www.uniprot.org/uniprot/Q9CQC8", "Q9CQC8")</f>
        <v>Q9CQC8</v>
      </c>
      <c r="M2561" t="s">
        <v>29107</v>
      </c>
      <c r="N2561" t="str">
        <f>"Spg21"</f>
        <v>Spg21</v>
      </c>
      <c r="O2561" s="3" t="str">
        <f>HYPERLINK("http://www.informatics.jax.org/marker/MGI:106403", "MGI:106403")</f>
        <v>MGI:106403</v>
      </c>
      <c r="P2561" t="s">
        <v>21217</v>
      </c>
      <c r="Q2561" t="s">
        <v>32</v>
      </c>
      <c r="R2561" t="s">
        <v>418</v>
      </c>
      <c r="S2561" t="s">
        <v>41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t="s">
        <v>618</v>
      </c>
      <c r="Z2561" t="s">
        <v>32</v>
      </c>
      <c r="AA2561" t="s">
        <v>32</v>
      </c>
      <c r="AB2561" t="s">
        <v>29108</v>
      </c>
      <c r="AC2561" t="s">
        <v>29109</v>
      </c>
      <c r="AD2561" t="s">
        <v>32</v>
      </c>
      <c r="AE2561" t="s">
        <v>32</v>
      </c>
      <c r="AF2561" t="s">
        <v>46835</v>
      </c>
    </row>
    <row r="2562" spans="1:32" x14ac:dyDescent="0.2">
      <c r="A2562">
        <v>2557</v>
      </c>
      <c r="B2562" t="s">
        <v>29110</v>
      </c>
      <c r="C2562" t="s">
        <v>29111</v>
      </c>
      <c r="D2562" t="s">
        <v>32</v>
      </c>
      <c r="E2562" t="s">
        <v>29112</v>
      </c>
      <c r="F2562" t="s">
        <v>29113</v>
      </c>
      <c r="G2562" t="s">
        <v>32</v>
      </c>
      <c r="H2562" t="str">
        <f>"Rwdd4"</f>
        <v>Rwdd4</v>
      </c>
      <c r="I2562" t="s">
        <v>29114</v>
      </c>
      <c r="J2562" t="s">
        <v>37</v>
      </c>
      <c r="K2562">
        <v>10090</v>
      </c>
      <c r="L2562" s="3" t="str">
        <f>HYPERLINK("http://www.uniprot.org/uniprot/Q9CPR1", "Q9CPR1")</f>
        <v>Q9CPR1</v>
      </c>
      <c r="M2562" t="s">
        <v>29115</v>
      </c>
      <c r="N2562" t="str">
        <f>"Rwdd4a"</f>
        <v>Rwdd4a</v>
      </c>
      <c r="O2562" s="3" t="str">
        <f>HYPERLINK("http://www.informatics.jax.org/marker/MGI:2681000", "MGI:2681000")</f>
        <v>MGI:2681000</v>
      </c>
      <c r="P2562" t="s">
        <v>32</v>
      </c>
      <c r="Q2562" t="s">
        <v>32</v>
      </c>
      <c r="R2562" t="s">
        <v>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32</v>
      </c>
      <c r="Y2562" t="s">
        <v>32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t="s">
        <v>46835</v>
      </c>
    </row>
    <row r="2563" spans="1:32" x14ac:dyDescent="0.2">
      <c r="A2563">
        <v>2558</v>
      </c>
      <c r="B2563" t="s">
        <v>29116</v>
      </c>
      <c r="C2563" t="s">
        <v>29117</v>
      </c>
      <c r="D2563" t="s">
        <v>29118</v>
      </c>
      <c r="E2563" t="s">
        <v>29119</v>
      </c>
      <c r="F2563" t="s">
        <v>29120</v>
      </c>
      <c r="G2563" t="s">
        <v>32</v>
      </c>
      <c r="H2563" t="str">
        <f>"Ndufs8"</f>
        <v>Ndufs8</v>
      </c>
      <c r="I2563" t="s">
        <v>32</v>
      </c>
      <c r="J2563" t="s">
        <v>37</v>
      </c>
      <c r="K2563">
        <v>10090</v>
      </c>
      <c r="L2563" s="3" t="str">
        <f>HYPERLINK("http://www.uniprot.org/uniprot/Q8K3J1", "Q8K3J1")</f>
        <v>Q8K3J1</v>
      </c>
      <c r="M2563" t="s">
        <v>29121</v>
      </c>
      <c r="N2563" t="str">
        <f>"Ndufs8"</f>
        <v>Ndufs8</v>
      </c>
      <c r="O2563" s="3" t="str">
        <f>HYPERLINK("http://www.informatics.jax.org/marker/MGI:2385079", "MGI:2385079")</f>
        <v>MGI:2385079</v>
      </c>
      <c r="P2563" t="s">
        <v>29122</v>
      </c>
      <c r="Q2563" t="s">
        <v>6888</v>
      </c>
      <c r="R2563" t="s">
        <v>3858</v>
      </c>
      <c r="S2563" t="s">
        <v>32</v>
      </c>
      <c r="T2563" t="s">
        <v>32</v>
      </c>
      <c r="U2563" t="s">
        <v>32</v>
      </c>
      <c r="V2563" t="s">
        <v>6597</v>
      </c>
      <c r="W2563" t="s">
        <v>10915</v>
      </c>
      <c r="X2563" t="s">
        <v>10466</v>
      </c>
      <c r="Y2563" t="s">
        <v>32</v>
      </c>
      <c r="Z2563" t="s">
        <v>126</v>
      </c>
      <c r="AA2563" t="s">
        <v>29123</v>
      </c>
      <c r="AB2563" t="s">
        <v>14222</v>
      </c>
      <c r="AC2563" t="s">
        <v>29124</v>
      </c>
      <c r="AD2563" t="s">
        <v>32</v>
      </c>
      <c r="AE2563" t="s">
        <v>10470</v>
      </c>
      <c r="AF2563" t="s">
        <v>46835</v>
      </c>
    </row>
    <row r="2564" spans="1:32" x14ac:dyDescent="0.2">
      <c r="A2564">
        <v>2559</v>
      </c>
      <c r="B2564" t="s">
        <v>29125</v>
      </c>
      <c r="C2564" t="s">
        <v>29126</v>
      </c>
      <c r="D2564" t="s">
        <v>29127</v>
      </c>
      <c r="E2564" t="s">
        <v>29128</v>
      </c>
      <c r="F2564" t="s">
        <v>29129</v>
      </c>
      <c r="G2564" t="s">
        <v>29130</v>
      </c>
      <c r="H2564" t="str">
        <f>"Mtch1"</f>
        <v>Mtch1</v>
      </c>
      <c r="I2564" t="s">
        <v>32</v>
      </c>
      <c r="J2564" t="s">
        <v>37</v>
      </c>
      <c r="K2564">
        <v>10090</v>
      </c>
      <c r="L2564" s="3" t="str">
        <f>HYPERLINK("http://www.uniprot.org/uniprot/Q791T5", "Q791T5")</f>
        <v>Q791T5</v>
      </c>
      <c r="M2564" t="s">
        <v>29131</v>
      </c>
      <c r="N2564" t="str">
        <f>"Mtch1"</f>
        <v>Mtch1</v>
      </c>
      <c r="O2564" s="3" t="str">
        <f>HYPERLINK("http://www.informatics.jax.org/marker/MGI:1929261", "MGI:1929261")</f>
        <v>MGI:1929261</v>
      </c>
      <c r="P2564" t="s">
        <v>29132</v>
      </c>
      <c r="Q2564" t="s">
        <v>29133</v>
      </c>
      <c r="R2564" t="s">
        <v>4782</v>
      </c>
      <c r="S2564" t="s">
        <v>41</v>
      </c>
      <c r="T2564" t="s">
        <v>32</v>
      </c>
      <c r="U2564" t="s">
        <v>32</v>
      </c>
      <c r="V2564" t="s">
        <v>1620</v>
      </c>
      <c r="W2564" t="s">
        <v>32</v>
      </c>
      <c r="X2564" t="s">
        <v>32</v>
      </c>
      <c r="Y2564" t="s">
        <v>175</v>
      </c>
      <c r="Z2564" t="s">
        <v>32</v>
      </c>
      <c r="AA2564" t="s">
        <v>29134</v>
      </c>
      <c r="AB2564" t="s">
        <v>29135</v>
      </c>
      <c r="AC2564" t="s">
        <v>32</v>
      </c>
      <c r="AD2564" t="s">
        <v>32</v>
      </c>
      <c r="AE2564" t="s">
        <v>32</v>
      </c>
      <c r="AF2564" t="s">
        <v>46835</v>
      </c>
    </row>
    <row r="2565" spans="1:32" x14ac:dyDescent="0.2">
      <c r="A2565">
        <v>2560</v>
      </c>
      <c r="B2565" t="s">
        <v>29136</v>
      </c>
      <c r="C2565" t="s">
        <v>29137</v>
      </c>
      <c r="D2565" t="s">
        <v>32</v>
      </c>
      <c r="E2565" t="s">
        <v>29138</v>
      </c>
      <c r="F2565" t="s">
        <v>29139</v>
      </c>
      <c r="G2565" t="s">
        <v>32</v>
      </c>
      <c r="H2565" t="str">
        <f>"Prkab2"</f>
        <v>Prkab2</v>
      </c>
      <c r="I2565" t="s">
        <v>32</v>
      </c>
      <c r="J2565" t="s">
        <v>37</v>
      </c>
      <c r="K2565">
        <v>10090</v>
      </c>
      <c r="L2565" s="3" t="str">
        <f>HYPERLINK("http://www.uniprot.org/uniprot/Q6PAM0", "Q6PAM0")</f>
        <v>Q6PAM0</v>
      </c>
      <c r="M2565" t="s">
        <v>29140</v>
      </c>
      <c r="N2565" t="str">
        <f>"Prkab2"</f>
        <v>Prkab2</v>
      </c>
      <c r="O2565" s="3" t="str">
        <f>HYPERLINK("http://www.informatics.jax.org/marker/MGI:1336185", "MGI:1336185")</f>
        <v>MGI:1336185</v>
      </c>
      <c r="P2565" t="s">
        <v>29141</v>
      </c>
      <c r="Q2565" t="s">
        <v>1249</v>
      </c>
      <c r="R2565" t="s">
        <v>32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32</v>
      </c>
      <c r="Y2565" t="s">
        <v>618</v>
      </c>
      <c r="Z2565" t="s">
        <v>32</v>
      </c>
      <c r="AA2565" t="s">
        <v>29142</v>
      </c>
      <c r="AB2565" t="s">
        <v>29143</v>
      </c>
      <c r="AC2565" t="s">
        <v>29144</v>
      </c>
      <c r="AD2565" t="s">
        <v>32</v>
      </c>
      <c r="AE2565" t="s">
        <v>29145</v>
      </c>
      <c r="AF2565" t="s">
        <v>46835</v>
      </c>
    </row>
    <row r="2566" spans="1:32" x14ac:dyDescent="0.2">
      <c r="A2566">
        <v>2561</v>
      </c>
      <c r="B2566" t="s">
        <v>29146</v>
      </c>
      <c r="C2566" t="s">
        <v>29147</v>
      </c>
      <c r="D2566" t="s">
        <v>29148</v>
      </c>
      <c r="E2566" t="s">
        <v>29149</v>
      </c>
      <c r="F2566" t="s">
        <v>29150</v>
      </c>
      <c r="G2566" t="s">
        <v>32</v>
      </c>
      <c r="H2566" t="str">
        <f>"Crym"</f>
        <v>Crym</v>
      </c>
      <c r="I2566" t="s">
        <v>32</v>
      </c>
      <c r="J2566" t="s">
        <v>37</v>
      </c>
      <c r="K2566">
        <v>10090</v>
      </c>
      <c r="L2566" s="3" t="str">
        <f>HYPERLINK("http://www.uniprot.org/uniprot/O54983", "O54983")</f>
        <v>O54983</v>
      </c>
      <c r="M2566" t="s">
        <v>29151</v>
      </c>
      <c r="N2566" t="str">
        <f>"Crym"</f>
        <v>Crym</v>
      </c>
      <c r="O2566" s="3" t="str">
        <f>HYPERLINK("http://www.informatics.jax.org/marker/MGI:102675", "MGI:102675")</f>
        <v>MGI:102675</v>
      </c>
      <c r="P2566" t="s">
        <v>29152</v>
      </c>
      <c r="Q2566" t="s">
        <v>32</v>
      </c>
      <c r="R2566" t="s">
        <v>418</v>
      </c>
      <c r="S2566" t="s">
        <v>32</v>
      </c>
      <c r="T2566" t="s">
        <v>32</v>
      </c>
      <c r="U2566" t="s">
        <v>32</v>
      </c>
      <c r="V2566" t="s">
        <v>32</v>
      </c>
      <c r="W2566" t="s">
        <v>25665</v>
      </c>
      <c r="X2566" t="s">
        <v>600</v>
      </c>
      <c r="Y2566" t="s">
        <v>32</v>
      </c>
      <c r="Z2566" t="s">
        <v>126</v>
      </c>
      <c r="AA2566" t="s">
        <v>29153</v>
      </c>
      <c r="AB2566" t="s">
        <v>1655</v>
      </c>
      <c r="AC2566" t="s">
        <v>29154</v>
      </c>
      <c r="AD2566" t="s">
        <v>32</v>
      </c>
      <c r="AE2566" t="s">
        <v>29155</v>
      </c>
      <c r="AF2566" t="s">
        <v>46835</v>
      </c>
    </row>
    <row r="2567" spans="1:32" x14ac:dyDescent="0.2">
      <c r="A2567">
        <v>2562</v>
      </c>
      <c r="B2567" t="s">
        <v>29156</v>
      </c>
      <c r="C2567" t="s">
        <v>29157</v>
      </c>
      <c r="D2567" t="s">
        <v>29158</v>
      </c>
      <c r="E2567" t="s">
        <v>29159</v>
      </c>
      <c r="F2567" t="s">
        <v>29160</v>
      </c>
      <c r="G2567" t="s">
        <v>29161</v>
      </c>
      <c r="H2567" t="str">
        <f>"Exoc7"</f>
        <v>Exoc7</v>
      </c>
      <c r="I2567" t="s">
        <v>29162</v>
      </c>
      <c r="J2567" t="s">
        <v>37</v>
      </c>
      <c r="K2567">
        <v>10090</v>
      </c>
      <c r="L2567" s="3" t="str">
        <f>HYPERLINK("http://www.uniprot.org/uniprot/O35250", "O35250")</f>
        <v>O35250</v>
      </c>
      <c r="M2567" t="s">
        <v>29163</v>
      </c>
      <c r="N2567" t="str">
        <f>"Exoc7"</f>
        <v>Exoc7</v>
      </c>
      <c r="O2567" s="3" t="str">
        <f>HYPERLINK("http://www.informatics.jax.org/marker/MGI:1859270", "MGI:1859270")</f>
        <v>MGI:1859270</v>
      </c>
      <c r="P2567" t="s">
        <v>29164</v>
      </c>
      <c r="Q2567" t="s">
        <v>24397</v>
      </c>
      <c r="R2567" t="s">
        <v>222</v>
      </c>
      <c r="S2567" t="s">
        <v>41</v>
      </c>
      <c r="T2567" t="s">
        <v>32</v>
      </c>
      <c r="U2567" t="s">
        <v>32</v>
      </c>
      <c r="V2567" t="s">
        <v>290</v>
      </c>
      <c r="W2567" t="s">
        <v>32</v>
      </c>
      <c r="X2567" t="s">
        <v>32</v>
      </c>
      <c r="Y2567" t="s">
        <v>618</v>
      </c>
      <c r="Z2567" t="s">
        <v>126</v>
      </c>
      <c r="AA2567" t="s">
        <v>29165</v>
      </c>
      <c r="AB2567" t="s">
        <v>29166</v>
      </c>
      <c r="AC2567" t="s">
        <v>24400</v>
      </c>
      <c r="AD2567" t="s">
        <v>32</v>
      </c>
      <c r="AE2567" t="s">
        <v>24401</v>
      </c>
      <c r="AF2567" t="s">
        <v>46835</v>
      </c>
    </row>
    <row r="2568" spans="1:32" x14ac:dyDescent="0.2">
      <c r="A2568">
        <v>2563</v>
      </c>
      <c r="B2568" t="s">
        <v>29167</v>
      </c>
      <c r="C2568" t="s">
        <v>29168</v>
      </c>
      <c r="D2568" t="s">
        <v>29169</v>
      </c>
      <c r="E2568" t="s">
        <v>29170</v>
      </c>
      <c r="F2568" t="s">
        <v>29171</v>
      </c>
      <c r="G2568" t="s">
        <v>29172</v>
      </c>
      <c r="H2568" t="str">
        <f>"Tmx2"</f>
        <v>Tmx2</v>
      </c>
      <c r="I2568" t="s">
        <v>29173</v>
      </c>
      <c r="J2568" t="s">
        <v>37</v>
      </c>
      <c r="K2568">
        <v>10090</v>
      </c>
      <c r="L2568" s="3" t="str">
        <f>HYPERLINK("http://www.uniprot.org/uniprot/Q9D710", "Q9D710")</f>
        <v>Q9D710</v>
      </c>
      <c r="M2568" t="s">
        <v>29174</v>
      </c>
      <c r="N2568" t="str">
        <f>"Tmx2"</f>
        <v>Tmx2</v>
      </c>
      <c r="O2568" s="3" t="str">
        <f>HYPERLINK("http://www.informatics.jax.org/marker/MGI:1914208", "MGI:1914208")</f>
        <v>MGI:1914208</v>
      </c>
      <c r="P2568" t="s">
        <v>29175</v>
      </c>
      <c r="Q2568" t="s">
        <v>32</v>
      </c>
      <c r="R2568" t="s">
        <v>22638</v>
      </c>
      <c r="S2568" t="s">
        <v>32</v>
      </c>
      <c r="T2568" t="s">
        <v>32</v>
      </c>
      <c r="U2568" t="s">
        <v>32</v>
      </c>
      <c r="V2568" t="s">
        <v>3948</v>
      </c>
      <c r="W2568" t="s">
        <v>32</v>
      </c>
      <c r="X2568" t="s">
        <v>32</v>
      </c>
      <c r="Y2568" t="s">
        <v>2080</v>
      </c>
      <c r="Z2568" t="s">
        <v>32</v>
      </c>
      <c r="AA2568" t="s">
        <v>29176</v>
      </c>
      <c r="AB2568" t="s">
        <v>29177</v>
      </c>
      <c r="AC2568" t="s">
        <v>29178</v>
      </c>
      <c r="AD2568" t="s">
        <v>32</v>
      </c>
      <c r="AE2568" t="s">
        <v>32</v>
      </c>
      <c r="AF2568" t="s">
        <v>46835</v>
      </c>
    </row>
    <row r="2569" spans="1:32" x14ac:dyDescent="0.2">
      <c r="A2569">
        <v>2564</v>
      </c>
      <c r="B2569" t="s">
        <v>29179</v>
      </c>
      <c r="C2569" t="s">
        <v>29180</v>
      </c>
      <c r="D2569" t="s">
        <v>29181</v>
      </c>
      <c r="E2569" t="s">
        <v>29182</v>
      </c>
      <c r="F2569" t="s">
        <v>29183</v>
      </c>
      <c r="G2569" t="s">
        <v>29184</v>
      </c>
      <c r="H2569" t="str">
        <f>"Mycbp2"</f>
        <v>Mycbp2</v>
      </c>
      <c r="I2569" t="s">
        <v>32</v>
      </c>
      <c r="J2569" t="s">
        <v>37</v>
      </c>
      <c r="K2569">
        <v>10090</v>
      </c>
      <c r="L2569" s="3" t="str">
        <f>HYPERLINK("http://www.uniprot.org/uniprot/Q7TPH6", "Q7TPH6")</f>
        <v>Q7TPH6</v>
      </c>
      <c r="M2569" t="s">
        <v>29185</v>
      </c>
      <c r="N2569" t="str">
        <f>"Mycbp2"</f>
        <v>Mycbp2</v>
      </c>
      <c r="O2569" s="3" t="str">
        <f>HYPERLINK("http://www.informatics.jax.org/marker/MGI:2179432", "MGI:2179432")</f>
        <v>MGI:2179432</v>
      </c>
      <c r="P2569" t="s">
        <v>29186</v>
      </c>
      <c r="Q2569" t="s">
        <v>14232</v>
      </c>
      <c r="R2569" t="s">
        <v>7920</v>
      </c>
      <c r="S2569" t="s">
        <v>41</v>
      </c>
      <c r="T2569" t="s">
        <v>32</v>
      </c>
      <c r="U2569" t="s">
        <v>32</v>
      </c>
      <c r="V2569" t="s">
        <v>3791</v>
      </c>
      <c r="W2569" t="s">
        <v>42</v>
      </c>
      <c r="X2569" t="s">
        <v>29187</v>
      </c>
      <c r="Y2569" t="s">
        <v>9438</v>
      </c>
      <c r="Z2569" t="s">
        <v>126</v>
      </c>
      <c r="AA2569" t="s">
        <v>29188</v>
      </c>
      <c r="AB2569" t="s">
        <v>29189</v>
      </c>
      <c r="AC2569" t="s">
        <v>29190</v>
      </c>
      <c r="AD2569" t="s">
        <v>1027</v>
      </c>
      <c r="AE2569" t="s">
        <v>32</v>
      </c>
      <c r="AF2569" t="s">
        <v>46835</v>
      </c>
    </row>
    <row r="2570" spans="1:32" x14ac:dyDescent="0.2">
      <c r="A2570">
        <v>2565</v>
      </c>
      <c r="B2570" t="s">
        <v>29191</v>
      </c>
      <c r="C2570" t="s">
        <v>29192</v>
      </c>
      <c r="D2570" t="s">
        <v>29193</v>
      </c>
      <c r="E2570" t="s">
        <v>29194</v>
      </c>
      <c r="F2570" t="s">
        <v>29195</v>
      </c>
      <c r="G2570" t="s">
        <v>29196</v>
      </c>
      <c r="H2570" t="str">
        <f>"Exosc3"</f>
        <v>Exosc3</v>
      </c>
      <c r="I2570" t="s">
        <v>29197</v>
      </c>
      <c r="J2570" t="s">
        <v>37</v>
      </c>
      <c r="K2570">
        <v>10090</v>
      </c>
      <c r="L2570" s="3" t="str">
        <f>HYPERLINK("http://www.uniprot.org/uniprot/Q7TQK4", "Q7TQK4")</f>
        <v>Q7TQK4</v>
      </c>
      <c r="M2570" t="s">
        <v>29198</v>
      </c>
      <c r="N2570" t="str">
        <f>"Exosc3"</f>
        <v>Exosc3</v>
      </c>
      <c r="O2570" s="3" t="str">
        <f>HYPERLINK("http://www.informatics.jax.org/marker/MGI:1913612", "MGI:1913612")</f>
        <v>MGI:1913612</v>
      </c>
      <c r="P2570" t="s">
        <v>29199</v>
      </c>
      <c r="Q2570" t="s">
        <v>15770</v>
      </c>
      <c r="R2570" t="s">
        <v>28476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11145</v>
      </c>
      <c r="Y2570" t="s">
        <v>461</v>
      </c>
      <c r="Z2570" t="s">
        <v>32</v>
      </c>
      <c r="AA2570" t="s">
        <v>29200</v>
      </c>
      <c r="AB2570" t="s">
        <v>29201</v>
      </c>
      <c r="AC2570" t="s">
        <v>29202</v>
      </c>
      <c r="AD2570" t="s">
        <v>32</v>
      </c>
      <c r="AE2570" t="s">
        <v>28479</v>
      </c>
      <c r="AF2570" t="s">
        <v>46835</v>
      </c>
    </row>
    <row r="2571" spans="1:32" x14ac:dyDescent="0.2">
      <c r="A2571">
        <v>2566</v>
      </c>
      <c r="B2571" t="s">
        <v>29203</v>
      </c>
      <c r="C2571" t="s">
        <v>29204</v>
      </c>
      <c r="D2571" t="s">
        <v>32</v>
      </c>
      <c r="E2571" t="s">
        <v>29205</v>
      </c>
      <c r="F2571" t="s">
        <v>29206</v>
      </c>
      <c r="G2571" t="s">
        <v>29207</v>
      </c>
      <c r="H2571" t="str">
        <f>"Rab5b"</f>
        <v>Rab5b</v>
      </c>
      <c r="I2571" t="s">
        <v>32</v>
      </c>
      <c r="J2571" t="s">
        <v>37</v>
      </c>
      <c r="K2571">
        <v>10090</v>
      </c>
      <c r="L2571" s="3" t="str">
        <f>HYPERLINK("http://www.uniprot.org/uniprot/P61021", "P61021")</f>
        <v>P61021</v>
      </c>
      <c r="M2571" t="s">
        <v>29208</v>
      </c>
      <c r="N2571" t="str">
        <f>"Rab5b"</f>
        <v>Rab5b</v>
      </c>
      <c r="O2571" s="3" t="str">
        <f>HYPERLINK("http://www.informatics.jax.org/marker/MGI:105938", "MGI:105938")</f>
        <v>MGI:105938</v>
      </c>
      <c r="P2571" t="s">
        <v>29209</v>
      </c>
      <c r="Q2571" t="s">
        <v>434</v>
      </c>
      <c r="R2571" t="s">
        <v>11564</v>
      </c>
      <c r="S2571" t="s">
        <v>32</v>
      </c>
      <c r="T2571" t="s">
        <v>32</v>
      </c>
      <c r="U2571" t="s">
        <v>32</v>
      </c>
      <c r="V2571" t="s">
        <v>32</v>
      </c>
      <c r="W2571" t="s">
        <v>261</v>
      </c>
      <c r="X2571" t="s">
        <v>343</v>
      </c>
      <c r="Y2571" t="s">
        <v>9225</v>
      </c>
      <c r="Z2571" t="s">
        <v>32</v>
      </c>
      <c r="AA2571" t="s">
        <v>29210</v>
      </c>
      <c r="AB2571" t="s">
        <v>29211</v>
      </c>
      <c r="AC2571" t="s">
        <v>29212</v>
      </c>
      <c r="AD2571" t="s">
        <v>32</v>
      </c>
      <c r="AE2571" t="s">
        <v>29213</v>
      </c>
      <c r="AF2571" t="s">
        <v>46835</v>
      </c>
    </row>
    <row r="2572" spans="1:32" x14ac:dyDescent="0.2">
      <c r="A2572">
        <v>2567</v>
      </c>
      <c r="B2572" t="s">
        <v>29214</v>
      </c>
      <c r="C2572" t="s">
        <v>29215</v>
      </c>
      <c r="D2572" t="s">
        <v>29216</v>
      </c>
      <c r="E2572" t="s">
        <v>29217</v>
      </c>
      <c r="F2572" t="s">
        <v>29218</v>
      </c>
      <c r="G2572" t="s">
        <v>29219</v>
      </c>
      <c r="H2572" t="str">
        <f>"Rbm22"</f>
        <v>Rbm22</v>
      </c>
      <c r="I2572" t="s">
        <v>32</v>
      </c>
      <c r="J2572" t="s">
        <v>37</v>
      </c>
      <c r="K2572">
        <v>10090</v>
      </c>
      <c r="L2572" s="3" t="str">
        <f>HYPERLINK("http://www.uniprot.org/uniprot/Q8BHS3", "Q8BHS3")</f>
        <v>Q8BHS3</v>
      </c>
      <c r="M2572" t="s">
        <v>29220</v>
      </c>
      <c r="N2572" t="str">
        <f>"Rbm22"</f>
        <v>Rbm22</v>
      </c>
      <c r="O2572" s="3" t="str">
        <f>HYPERLINK("http://www.informatics.jax.org/marker/MGI:1914060", "MGI:1914060")</f>
        <v>MGI:1914060</v>
      </c>
      <c r="P2572" t="s">
        <v>29221</v>
      </c>
      <c r="Q2572" t="s">
        <v>29222</v>
      </c>
      <c r="R2572" t="s">
        <v>2219</v>
      </c>
      <c r="S2572" t="s">
        <v>32</v>
      </c>
      <c r="T2572" t="s">
        <v>32</v>
      </c>
      <c r="U2572" t="s">
        <v>32</v>
      </c>
      <c r="V2572" t="s">
        <v>446</v>
      </c>
      <c r="W2572" t="s">
        <v>42</v>
      </c>
      <c r="X2572" t="s">
        <v>1282</v>
      </c>
      <c r="Y2572" t="s">
        <v>516</v>
      </c>
      <c r="Z2572" t="s">
        <v>32</v>
      </c>
      <c r="AA2572" t="s">
        <v>29223</v>
      </c>
      <c r="AB2572" t="s">
        <v>29224</v>
      </c>
      <c r="AC2572" t="s">
        <v>29225</v>
      </c>
      <c r="AD2572" t="s">
        <v>32</v>
      </c>
      <c r="AE2572" t="s">
        <v>946</v>
      </c>
      <c r="AF2572" t="s">
        <v>46835</v>
      </c>
    </row>
    <row r="2573" spans="1:32" x14ac:dyDescent="0.2">
      <c r="A2573">
        <v>2568</v>
      </c>
      <c r="B2573" t="s">
        <v>29226</v>
      </c>
      <c r="C2573" t="s">
        <v>29227</v>
      </c>
      <c r="D2573" t="s">
        <v>29228</v>
      </c>
      <c r="E2573" t="s">
        <v>29229</v>
      </c>
      <c r="F2573" t="s">
        <v>29230</v>
      </c>
      <c r="G2573" t="s">
        <v>32</v>
      </c>
      <c r="H2573" t="str">
        <f>"Tmem43"</f>
        <v>Tmem43</v>
      </c>
      <c r="I2573" t="s">
        <v>32</v>
      </c>
      <c r="J2573" t="s">
        <v>37</v>
      </c>
      <c r="K2573">
        <v>10090</v>
      </c>
      <c r="L2573" s="3" t="str">
        <f>HYPERLINK("http://www.uniprot.org/uniprot/Q9DBS1", "Q9DBS1")</f>
        <v>Q9DBS1</v>
      </c>
      <c r="M2573" t="s">
        <v>29231</v>
      </c>
      <c r="N2573" t="str">
        <f>"Tmem43"</f>
        <v>Tmem43</v>
      </c>
      <c r="O2573" s="3" t="str">
        <f>HYPERLINK("http://www.informatics.jax.org/marker/MGI:1921372", "MGI:1921372")</f>
        <v>MGI:1921372</v>
      </c>
      <c r="P2573" t="s">
        <v>23325</v>
      </c>
      <c r="Q2573" t="s">
        <v>5475</v>
      </c>
      <c r="R2573" t="s">
        <v>17568</v>
      </c>
      <c r="S2573" t="s">
        <v>32</v>
      </c>
      <c r="T2573" t="s">
        <v>32</v>
      </c>
      <c r="U2573" t="s">
        <v>32</v>
      </c>
      <c r="V2573" t="s">
        <v>493</v>
      </c>
      <c r="W2573" t="s">
        <v>32</v>
      </c>
      <c r="X2573" t="s">
        <v>32</v>
      </c>
      <c r="Y2573" t="s">
        <v>78</v>
      </c>
      <c r="Z2573" t="s">
        <v>32</v>
      </c>
      <c r="AA2573" t="s">
        <v>29232</v>
      </c>
      <c r="AB2573" t="s">
        <v>29233</v>
      </c>
      <c r="AC2573" t="s">
        <v>29234</v>
      </c>
      <c r="AD2573" t="s">
        <v>32</v>
      </c>
      <c r="AE2573" t="s">
        <v>32</v>
      </c>
      <c r="AF2573" t="s">
        <v>46835</v>
      </c>
    </row>
    <row r="2574" spans="1:32" x14ac:dyDescent="0.2">
      <c r="A2574">
        <v>2569</v>
      </c>
      <c r="B2574" t="s">
        <v>29235</v>
      </c>
      <c r="C2574" t="s">
        <v>29236</v>
      </c>
      <c r="D2574" t="s">
        <v>29237</v>
      </c>
      <c r="E2574" t="s">
        <v>29238</v>
      </c>
      <c r="F2574" t="s">
        <v>29239</v>
      </c>
      <c r="G2574" t="s">
        <v>29240</v>
      </c>
      <c r="H2574" t="str">
        <f>"Ddx18"</f>
        <v>Ddx18</v>
      </c>
      <c r="I2574" t="s">
        <v>32</v>
      </c>
      <c r="J2574" t="s">
        <v>37</v>
      </c>
      <c r="K2574">
        <v>10090</v>
      </c>
      <c r="L2574" s="3" t="str">
        <f>HYPERLINK("http://www.uniprot.org/uniprot/Q8K363", "Q8K363")</f>
        <v>Q8K363</v>
      </c>
      <c r="M2574" t="s">
        <v>29241</v>
      </c>
      <c r="N2574" t="str">
        <f>"Ddx18"</f>
        <v>Ddx18</v>
      </c>
      <c r="O2574" s="3" t="str">
        <f>HYPERLINK("http://www.informatics.jax.org/marker/MGI:1914192", "MGI:1914192")</f>
        <v>MGI:1914192</v>
      </c>
      <c r="P2574" t="s">
        <v>29242</v>
      </c>
      <c r="Q2574" t="s">
        <v>32</v>
      </c>
      <c r="R2574" t="s">
        <v>1939</v>
      </c>
      <c r="S2574" t="s">
        <v>32</v>
      </c>
      <c r="T2574" t="s">
        <v>32</v>
      </c>
      <c r="U2574" t="s">
        <v>32</v>
      </c>
      <c r="V2574" t="s">
        <v>32</v>
      </c>
      <c r="W2574" t="s">
        <v>205</v>
      </c>
      <c r="X2574" t="s">
        <v>5050</v>
      </c>
      <c r="Y2574" t="s">
        <v>32</v>
      </c>
      <c r="Z2574" t="s">
        <v>32</v>
      </c>
      <c r="AA2574" t="s">
        <v>27780</v>
      </c>
      <c r="AB2574" t="s">
        <v>29243</v>
      </c>
      <c r="AC2574" t="s">
        <v>5185</v>
      </c>
      <c r="AD2574" t="s">
        <v>32</v>
      </c>
      <c r="AE2574" t="s">
        <v>32</v>
      </c>
      <c r="AF2574" t="s">
        <v>46835</v>
      </c>
    </row>
    <row r="2575" spans="1:32" x14ac:dyDescent="0.2">
      <c r="A2575">
        <v>2570</v>
      </c>
      <c r="B2575" t="s">
        <v>29244</v>
      </c>
      <c r="C2575" t="s">
        <v>29245</v>
      </c>
      <c r="D2575" t="s">
        <v>29246</v>
      </c>
      <c r="E2575" t="s">
        <v>29247</v>
      </c>
      <c r="F2575" t="s">
        <v>29248</v>
      </c>
      <c r="G2575" t="s">
        <v>29249</v>
      </c>
      <c r="H2575" t="str">
        <f>"Golph3"</f>
        <v>Golph3</v>
      </c>
      <c r="I2575" t="s">
        <v>29250</v>
      </c>
      <c r="J2575" t="s">
        <v>37</v>
      </c>
      <c r="K2575">
        <v>10090</v>
      </c>
      <c r="L2575" s="3" t="str">
        <f>HYPERLINK("http://www.uniprot.org/uniprot/Q9CRA5", "Q9CRA5")</f>
        <v>Q9CRA5</v>
      </c>
      <c r="M2575" t="s">
        <v>29251</v>
      </c>
      <c r="N2575" t="str">
        <f>"Golph3"</f>
        <v>Golph3</v>
      </c>
      <c r="O2575" s="3" t="str">
        <f>HYPERLINK("http://www.informatics.jax.org/marker/MGI:1913879", "MGI:1913879")</f>
        <v>MGI:1913879</v>
      </c>
      <c r="P2575" t="s">
        <v>29252</v>
      </c>
      <c r="Q2575" t="s">
        <v>434</v>
      </c>
      <c r="R2575" t="s">
        <v>29253</v>
      </c>
      <c r="S2575" t="s">
        <v>41</v>
      </c>
      <c r="T2575" t="s">
        <v>32</v>
      </c>
      <c r="U2575" t="s">
        <v>32</v>
      </c>
      <c r="V2575" t="s">
        <v>32</v>
      </c>
      <c r="W2575" t="s">
        <v>584</v>
      </c>
      <c r="X2575" t="s">
        <v>32</v>
      </c>
      <c r="Y2575" t="s">
        <v>2080</v>
      </c>
      <c r="Z2575" t="s">
        <v>32</v>
      </c>
      <c r="AA2575" t="s">
        <v>29254</v>
      </c>
      <c r="AB2575" t="s">
        <v>29255</v>
      </c>
      <c r="AC2575" t="s">
        <v>29256</v>
      </c>
      <c r="AD2575" t="s">
        <v>32</v>
      </c>
      <c r="AE2575" t="s">
        <v>32</v>
      </c>
      <c r="AF2575" t="s">
        <v>46835</v>
      </c>
    </row>
    <row r="2576" spans="1:32" x14ac:dyDescent="0.2">
      <c r="A2576">
        <v>2571</v>
      </c>
      <c r="B2576" t="s">
        <v>29257</v>
      </c>
      <c r="C2576" t="s">
        <v>29258</v>
      </c>
      <c r="D2576" t="s">
        <v>29259</v>
      </c>
      <c r="E2576" t="s">
        <v>29260</v>
      </c>
      <c r="F2576" t="s">
        <v>29261</v>
      </c>
      <c r="G2576" t="s">
        <v>32</v>
      </c>
      <c r="H2576" t="str">
        <f>"Exoc4"</f>
        <v>Exoc4</v>
      </c>
      <c r="I2576" t="s">
        <v>29262</v>
      </c>
      <c r="J2576" t="s">
        <v>37</v>
      </c>
      <c r="K2576">
        <v>10090</v>
      </c>
      <c r="L2576" s="3" t="str">
        <f>HYPERLINK("http://www.uniprot.org/uniprot/O35382", "O35382")</f>
        <v>O35382</v>
      </c>
      <c r="M2576" t="s">
        <v>29263</v>
      </c>
      <c r="N2576" t="str">
        <f>"Exoc4"</f>
        <v>Exoc4</v>
      </c>
      <c r="O2576" s="3" t="str">
        <f>HYPERLINK("http://www.informatics.jax.org/marker/MGI:1096376", "MGI:1096376")</f>
        <v>MGI:1096376</v>
      </c>
      <c r="P2576" t="s">
        <v>29264</v>
      </c>
      <c r="Q2576" t="s">
        <v>24397</v>
      </c>
      <c r="R2576" t="s">
        <v>3262</v>
      </c>
      <c r="S2576" t="s">
        <v>32</v>
      </c>
      <c r="T2576" t="s">
        <v>32</v>
      </c>
      <c r="U2576" t="s">
        <v>32</v>
      </c>
      <c r="V2576" t="s">
        <v>290</v>
      </c>
      <c r="W2576" t="s">
        <v>32</v>
      </c>
      <c r="X2576" t="s">
        <v>32</v>
      </c>
      <c r="Y2576" t="s">
        <v>157</v>
      </c>
      <c r="Z2576" t="s">
        <v>32</v>
      </c>
      <c r="AA2576" t="s">
        <v>29265</v>
      </c>
      <c r="AB2576" t="s">
        <v>29266</v>
      </c>
      <c r="AC2576" t="s">
        <v>29267</v>
      </c>
      <c r="AD2576" t="s">
        <v>32</v>
      </c>
      <c r="AE2576" t="s">
        <v>24401</v>
      </c>
      <c r="AF2576" t="s">
        <v>46835</v>
      </c>
    </row>
    <row r="2577" spans="1:32" x14ac:dyDescent="0.2">
      <c r="A2577">
        <v>2572</v>
      </c>
      <c r="B2577" t="s">
        <v>29268</v>
      </c>
      <c r="C2577" t="s">
        <v>29269</v>
      </c>
      <c r="D2577" t="s">
        <v>29270</v>
      </c>
      <c r="E2577" t="s">
        <v>29271</v>
      </c>
      <c r="F2577" t="s">
        <v>29272</v>
      </c>
      <c r="G2577" t="s">
        <v>29273</v>
      </c>
      <c r="H2577" t="str">
        <f>"Arl6ip5"</f>
        <v>Arl6ip5</v>
      </c>
      <c r="I2577" t="s">
        <v>29274</v>
      </c>
      <c r="J2577" t="s">
        <v>37</v>
      </c>
      <c r="K2577">
        <v>10090</v>
      </c>
      <c r="L2577" s="3" t="str">
        <f>HYPERLINK("http://www.uniprot.org/uniprot/Q8R5J9", "Q8R5J9")</f>
        <v>Q8R5J9</v>
      </c>
      <c r="M2577" t="s">
        <v>29275</v>
      </c>
      <c r="N2577" t="str">
        <f>"Arl6ip5"</f>
        <v>Arl6ip5</v>
      </c>
      <c r="O2577" s="3" t="str">
        <f>HYPERLINK("http://www.informatics.jax.org/marker/MGI:1929501", "MGI:1929501")</f>
        <v>MGI:1929501</v>
      </c>
      <c r="P2577" t="s">
        <v>29276</v>
      </c>
      <c r="Q2577" t="s">
        <v>32</v>
      </c>
      <c r="R2577" t="s">
        <v>3077</v>
      </c>
      <c r="S2577" t="s">
        <v>32</v>
      </c>
      <c r="T2577" t="s">
        <v>32</v>
      </c>
      <c r="U2577" t="s">
        <v>32</v>
      </c>
      <c r="V2577" t="s">
        <v>493</v>
      </c>
      <c r="W2577" t="s">
        <v>32</v>
      </c>
      <c r="X2577" t="s">
        <v>32</v>
      </c>
      <c r="Y2577" t="s">
        <v>78</v>
      </c>
      <c r="Z2577" t="s">
        <v>32</v>
      </c>
      <c r="AA2577" t="s">
        <v>29277</v>
      </c>
      <c r="AB2577" t="s">
        <v>29278</v>
      </c>
      <c r="AC2577" t="s">
        <v>9944</v>
      </c>
      <c r="AD2577" t="s">
        <v>32</v>
      </c>
      <c r="AE2577" t="s">
        <v>29279</v>
      </c>
      <c r="AF2577" t="s">
        <v>46835</v>
      </c>
    </row>
    <row r="2578" spans="1:32" x14ac:dyDescent="0.2">
      <c r="A2578">
        <v>2573</v>
      </c>
      <c r="B2578" t="s">
        <v>29280</v>
      </c>
      <c r="C2578" t="s">
        <v>29281</v>
      </c>
      <c r="D2578" t="s">
        <v>29282</v>
      </c>
      <c r="E2578" t="s">
        <v>29283</v>
      </c>
      <c r="F2578" t="s">
        <v>29284</v>
      </c>
      <c r="G2578" t="s">
        <v>29285</v>
      </c>
      <c r="H2578" t="str">
        <f>"Prkg1"</f>
        <v>Prkg1</v>
      </c>
      <c r="I2578" t="s">
        <v>29286</v>
      </c>
      <c r="J2578" t="s">
        <v>37</v>
      </c>
      <c r="K2578">
        <v>10090</v>
      </c>
      <c r="L2578" s="3" t="str">
        <f>HYPERLINK("http://www.uniprot.org/uniprot/P0C605", "P0C605")</f>
        <v>P0C605</v>
      </c>
      <c r="M2578" t="s">
        <v>29287</v>
      </c>
      <c r="N2578" t="str">
        <f>"Prkg1"</f>
        <v>Prkg1</v>
      </c>
      <c r="O2578" s="3" t="str">
        <f>HYPERLINK("http://www.informatics.jax.org/marker/MGI:108174", "MGI:108174")</f>
        <v>MGI:108174</v>
      </c>
      <c r="P2578" t="s">
        <v>29288</v>
      </c>
      <c r="Q2578" t="s">
        <v>32</v>
      </c>
      <c r="R2578" t="s">
        <v>418</v>
      </c>
      <c r="S2578" t="s">
        <v>41</v>
      </c>
      <c r="T2578" t="s">
        <v>32</v>
      </c>
      <c r="U2578" t="s">
        <v>32</v>
      </c>
      <c r="V2578" t="s">
        <v>290</v>
      </c>
      <c r="W2578" t="s">
        <v>29289</v>
      </c>
      <c r="X2578" t="s">
        <v>6637</v>
      </c>
      <c r="Y2578" t="s">
        <v>480</v>
      </c>
      <c r="Z2578" t="s">
        <v>32</v>
      </c>
      <c r="AA2578" t="s">
        <v>29290</v>
      </c>
      <c r="AB2578" t="s">
        <v>29291</v>
      </c>
      <c r="AC2578" t="s">
        <v>29292</v>
      </c>
      <c r="AD2578" t="s">
        <v>32</v>
      </c>
      <c r="AE2578" t="s">
        <v>29293</v>
      </c>
      <c r="AF2578" t="s">
        <v>46835</v>
      </c>
    </row>
    <row r="2579" spans="1:32" x14ac:dyDescent="0.2">
      <c r="A2579">
        <v>2574</v>
      </c>
      <c r="B2579" t="s">
        <v>29294</v>
      </c>
      <c r="C2579" t="s">
        <v>29295</v>
      </c>
      <c r="D2579" t="s">
        <v>29296</v>
      </c>
      <c r="E2579" t="s">
        <v>29297</v>
      </c>
      <c r="F2579" t="s">
        <v>29298</v>
      </c>
      <c r="G2579" t="s">
        <v>29299</v>
      </c>
      <c r="H2579" t="str">
        <f>"Ubr3"</f>
        <v>Ubr3</v>
      </c>
      <c r="I2579" t="s">
        <v>29300</v>
      </c>
      <c r="J2579" t="s">
        <v>37</v>
      </c>
      <c r="K2579">
        <v>10090</v>
      </c>
      <c r="L2579" s="3" t="str">
        <f>HYPERLINK("http://www.uniprot.org/uniprot/Q5U430", "Q5U430")</f>
        <v>Q5U430</v>
      </c>
      <c r="M2579" t="s">
        <v>29301</v>
      </c>
      <c r="N2579" t="str">
        <f>"Ubr3"</f>
        <v>Ubr3</v>
      </c>
      <c r="O2579" s="3" t="str">
        <f>HYPERLINK("http://www.informatics.jax.org/marker/MGI:1861100", "MGI:1861100")</f>
        <v>MGI:1861100</v>
      </c>
      <c r="P2579" t="s">
        <v>29302</v>
      </c>
      <c r="Q2579" t="s">
        <v>1020</v>
      </c>
      <c r="R2579" t="s">
        <v>5989</v>
      </c>
      <c r="S2579" t="s">
        <v>41</v>
      </c>
      <c r="T2579" t="s">
        <v>32</v>
      </c>
      <c r="U2579" t="s">
        <v>32</v>
      </c>
      <c r="V2579" t="s">
        <v>12917</v>
      </c>
      <c r="W2579" t="s">
        <v>42</v>
      </c>
      <c r="X2579" t="s">
        <v>515</v>
      </c>
      <c r="Y2579" t="s">
        <v>618</v>
      </c>
      <c r="Z2579" t="s">
        <v>32</v>
      </c>
      <c r="AA2579" t="s">
        <v>29303</v>
      </c>
      <c r="AB2579" t="s">
        <v>29304</v>
      </c>
      <c r="AC2579" t="s">
        <v>29305</v>
      </c>
      <c r="AD2579" t="s">
        <v>1027</v>
      </c>
      <c r="AE2579" t="s">
        <v>32</v>
      </c>
      <c r="AF2579" t="s">
        <v>46835</v>
      </c>
    </row>
    <row r="2580" spans="1:32" x14ac:dyDescent="0.2">
      <c r="A2580">
        <v>2575</v>
      </c>
      <c r="B2580" t="s">
        <v>29306</v>
      </c>
      <c r="C2580" t="s">
        <v>29307</v>
      </c>
      <c r="D2580" t="s">
        <v>29308</v>
      </c>
      <c r="E2580" t="s">
        <v>29309</v>
      </c>
      <c r="F2580" t="s">
        <v>29310</v>
      </c>
      <c r="G2580" t="s">
        <v>29311</v>
      </c>
      <c r="H2580" t="str">
        <f>"Nt5c3b"</f>
        <v>Nt5c3b</v>
      </c>
      <c r="I2580" t="s">
        <v>29312</v>
      </c>
      <c r="J2580" t="s">
        <v>37</v>
      </c>
      <c r="K2580">
        <v>10090</v>
      </c>
      <c r="L2580" s="3" t="str">
        <f>HYPERLINK("http://www.uniprot.org/uniprot/Q3UFY7", "Q3UFY7")</f>
        <v>Q3UFY7</v>
      </c>
      <c r="M2580" t="s">
        <v>29313</v>
      </c>
      <c r="N2580" t="str">
        <f>"Nt5c3b"</f>
        <v>Nt5c3b</v>
      </c>
      <c r="O2580" s="3" t="str">
        <f>HYPERLINK("http://www.informatics.jax.org/marker/MGI:1915356", "MGI:1915356")</f>
        <v>MGI:1915356</v>
      </c>
      <c r="P2580" t="s">
        <v>29314</v>
      </c>
      <c r="Q2580" t="s">
        <v>7123</v>
      </c>
      <c r="R2580" t="s">
        <v>418</v>
      </c>
      <c r="S2580" t="s">
        <v>41</v>
      </c>
      <c r="T2580" t="s">
        <v>32</v>
      </c>
      <c r="U2580" t="s">
        <v>32</v>
      </c>
      <c r="V2580" t="s">
        <v>32</v>
      </c>
      <c r="W2580" t="s">
        <v>14807</v>
      </c>
      <c r="X2580" t="s">
        <v>343</v>
      </c>
      <c r="Y2580" t="s">
        <v>78</v>
      </c>
      <c r="Z2580" t="s">
        <v>32</v>
      </c>
      <c r="AA2580" t="s">
        <v>29315</v>
      </c>
      <c r="AB2580" t="s">
        <v>2172</v>
      </c>
      <c r="AC2580" t="s">
        <v>29316</v>
      </c>
      <c r="AD2580" t="s">
        <v>32</v>
      </c>
      <c r="AE2580" t="s">
        <v>10495</v>
      </c>
      <c r="AF2580" t="s">
        <v>46835</v>
      </c>
    </row>
    <row r="2581" spans="1:32" x14ac:dyDescent="0.2">
      <c r="A2581">
        <v>2576</v>
      </c>
      <c r="B2581" t="s">
        <v>29317</v>
      </c>
      <c r="C2581" t="s">
        <v>29318</v>
      </c>
      <c r="D2581" t="s">
        <v>32</v>
      </c>
      <c r="E2581" t="s">
        <v>29319</v>
      </c>
      <c r="F2581" t="s">
        <v>29320</v>
      </c>
      <c r="G2581" t="s">
        <v>29321</v>
      </c>
      <c r="H2581" t="str">
        <f>"Trmt1l"</f>
        <v>Trmt1l</v>
      </c>
      <c r="I2581" t="s">
        <v>32</v>
      </c>
      <c r="J2581" t="s">
        <v>37</v>
      </c>
      <c r="K2581">
        <v>10090</v>
      </c>
      <c r="L2581" s="3" t="str">
        <f>HYPERLINK("http://www.uniprot.org/uniprot/A2RSY6", "A2RSY6")</f>
        <v>A2RSY6</v>
      </c>
      <c r="M2581" t="s">
        <v>29322</v>
      </c>
      <c r="N2581" t="str">
        <f>"Trmt1l"</f>
        <v>Trmt1l</v>
      </c>
      <c r="O2581" s="3" t="str">
        <f>HYPERLINK("http://www.informatics.jax.org/marker/MGI:1916185", "MGI:1916185")</f>
        <v>MGI:1916185</v>
      </c>
      <c r="P2581" t="s">
        <v>29323</v>
      </c>
      <c r="Q2581" t="s">
        <v>29324</v>
      </c>
      <c r="R2581" t="s">
        <v>32</v>
      </c>
      <c r="S2581" t="s">
        <v>41</v>
      </c>
      <c r="T2581" t="s">
        <v>32</v>
      </c>
      <c r="U2581" t="s">
        <v>32</v>
      </c>
      <c r="V2581" t="s">
        <v>446</v>
      </c>
      <c r="W2581" t="s">
        <v>15120</v>
      </c>
      <c r="X2581" t="s">
        <v>8598</v>
      </c>
      <c r="Y2581" t="s">
        <v>1007</v>
      </c>
      <c r="Z2581" t="s">
        <v>32</v>
      </c>
      <c r="AA2581" t="s">
        <v>29325</v>
      </c>
      <c r="AB2581" t="s">
        <v>3606</v>
      </c>
      <c r="AC2581" t="s">
        <v>29326</v>
      </c>
      <c r="AD2581" t="s">
        <v>32</v>
      </c>
      <c r="AE2581" t="s">
        <v>32</v>
      </c>
      <c r="AF2581" t="s">
        <v>46835</v>
      </c>
    </row>
    <row r="2582" spans="1:32" x14ac:dyDescent="0.2">
      <c r="A2582">
        <v>2577</v>
      </c>
      <c r="B2582" t="s">
        <v>29327</v>
      </c>
      <c r="C2582" t="s">
        <v>29328</v>
      </c>
      <c r="D2582" t="s">
        <v>29329</v>
      </c>
      <c r="E2582" t="s">
        <v>29330</v>
      </c>
      <c r="F2582" t="s">
        <v>29331</v>
      </c>
      <c r="G2582" t="s">
        <v>32</v>
      </c>
      <c r="H2582" t="str">
        <f>"Slc7a8"</f>
        <v>Slc7a8</v>
      </c>
      <c r="I2582" t="s">
        <v>29332</v>
      </c>
      <c r="J2582" t="s">
        <v>37</v>
      </c>
      <c r="K2582">
        <v>10090</v>
      </c>
      <c r="L2582" s="3" t="str">
        <f>HYPERLINK("http://www.uniprot.org/uniprot/Q9QXW9", "Q9QXW9")</f>
        <v>Q9QXW9</v>
      </c>
      <c r="M2582" t="s">
        <v>29333</v>
      </c>
      <c r="N2582" t="str">
        <f>"Slc7a8"</f>
        <v>Slc7a8</v>
      </c>
      <c r="O2582" s="3" t="str">
        <f>HYPERLINK("http://www.informatics.jax.org/marker/MGI:1355323", "MGI:1355323")</f>
        <v>MGI:1355323</v>
      </c>
      <c r="P2582" t="s">
        <v>29334</v>
      </c>
      <c r="Q2582" t="s">
        <v>1548</v>
      </c>
      <c r="R2582" t="s">
        <v>222</v>
      </c>
      <c r="S2582" t="s">
        <v>32</v>
      </c>
      <c r="T2582" t="s">
        <v>32</v>
      </c>
      <c r="U2582" t="s">
        <v>32</v>
      </c>
      <c r="V2582" t="s">
        <v>493</v>
      </c>
      <c r="W2582" t="s">
        <v>32</v>
      </c>
      <c r="X2582" t="s">
        <v>32</v>
      </c>
      <c r="Y2582" t="s">
        <v>2080</v>
      </c>
      <c r="Z2582" t="s">
        <v>32</v>
      </c>
      <c r="AA2582" t="s">
        <v>29335</v>
      </c>
      <c r="AB2582" t="s">
        <v>29336</v>
      </c>
      <c r="AC2582" t="s">
        <v>29337</v>
      </c>
      <c r="AD2582" t="s">
        <v>32</v>
      </c>
      <c r="AE2582" t="s">
        <v>29338</v>
      </c>
      <c r="AF2582" t="s">
        <v>46835</v>
      </c>
    </row>
    <row r="2583" spans="1:32" x14ac:dyDescent="0.2">
      <c r="A2583">
        <v>2578</v>
      </c>
      <c r="B2583" t="s">
        <v>29339</v>
      </c>
      <c r="C2583" t="s">
        <v>29340</v>
      </c>
      <c r="D2583" t="s">
        <v>29341</v>
      </c>
      <c r="E2583" t="s">
        <v>29342</v>
      </c>
      <c r="F2583" t="s">
        <v>29343</v>
      </c>
      <c r="G2583" t="s">
        <v>29344</v>
      </c>
      <c r="H2583" t="str">
        <f>"Enoph1"</f>
        <v>Enoph1</v>
      </c>
      <c r="I2583" t="s">
        <v>29345</v>
      </c>
      <c r="J2583" t="s">
        <v>37</v>
      </c>
      <c r="K2583">
        <v>10090</v>
      </c>
      <c r="L2583" s="3" t="str">
        <f>HYPERLINK("http://www.uniprot.org/uniprot/Q8BGB7", "Q8BGB7")</f>
        <v>Q8BGB7</v>
      </c>
      <c r="M2583" t="s">
        <v>29346</v>
      </c>
      <c r="N2583" t="str">
        <f>"Enoph1"</f>
        <v>Enoph1</v>
      </c>
      <c r="O2583" s="3" t="str">
        <f>HYPERLINK("http://www.informatics.jax.org/marker/MGI:1915120", "MGI:1915120")</f>
        <v>MGI:1915120</v>
      </c>
      <c r="P2583" t="s">
        <v>29347</v>
      </c>
      <c r="Q2583" t="s">
        <v>12281</v>
      </c>
      <c r="R2583" t="s">
        <v>40</v>
      </c>
      <c r="S2583" t="s">
        <v>41</v>
      </c>
      <c r="T2583" t="s">
        <v>32</v>
      </c>
      <c r="U2583" t="s">
        <v>32</v>
      </c>
      <c r="V2583" t="s">
        <v>32</v>
      </c>
      <c r="W2583" t="s">
        <v>223</v>
      </c>
      <c r="X2583" t="s">
        <v>343</v>
      </c>
      <c r="Y2583" t="s">
        <v>32</v>
      </c>
      <c r="Z2583" t="s">
        <v>32</v>
      </c>
      <c r="AA2583" t="s">
        <v>15568</v>
      </c>
      <c r="AB2583" t="s">
        <v>110</v>
      </c>
      <c r="AC2583" t="s">
        <v>29348</v>
      </c>
      <c r="AD2583" t="s">
        <v>29349</v>
      </c>
      <c r="AE2583" t="s">
        <v>4205</v>
      </c>
      <c r="AF2583" t="s">
        <v>46835</v>
      </c>
    </row>
    <row r="2584" spans="1:32" x14ac:dyDescent="0.2">
      <c r="A2584">
        <v>2579</v>
      </c>
      <c r="B2584" t="s">
        <v>29350</v>
      </c>
      <c r="C2584" t="s">
        <v>29351</v>
      </c>
      <c r="D2584" t="s">
        <v>29352</v>
      </c>
      <c r="E2584" t="s">
        <v>29353</v>
      </c>
      <c r="F2584" t="s">
        <v>29354</v>
      </c>
      <c r="G2584" t="s">
        <v>32</v>
      </c>
      <c r="H2584" t="str">
        <f>"Gmds"</f>
        <v>Gmds</v>
      </c>
      <c r="I2584" t="s">
        <v>32</v>
      </c>
      <c r="J2584" t="s">
        <v>37</v>
      </c>
      <c r="K2584">
        <v>10090</v>
      </c>
      <c r="L2584" s="3" t="str">
        <f>HYPERLINK("http://www.uniprot.org/uniprot/Q8K0C9", "Q8K0C9")</f>
        <v>Q8K0C9</v>
      </c>
      <c r="M2584" t="s">
        <v>29355</v>
      </c>
      <c r="N2584" t="str">
        <f>"Gmds"</f>
        <v>Gmds</v>
      </c>
      <c r="O2584" s="3" t="str">
        <f>HYPERLINK("http://www.informatics.jax.org/marker/MGI:1891112", "MGI:1891112")</f>
        <v>MGI:1891112</v>
      </c>
      <c r="P2584" t="s">
        <v>29356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 t="s">
        <v>32</v>
      </c>
      <c r="W2584" t="s">
        <v>3204</v>
      </c>
      <c r="X2584" t="s">
        <v>224</v>
      </c>
      <c r="Y2584" t="s">
        <v>157</v>
      </c>
      <c r="Z2584" t="s">
        <v>32</v>
      </c>
      <c r="AA2584" t="s">
        <v>29357</v>
      </c>
      <c r="AB2584" t="s">
        <v>32</v>
      </c>
      <c r="AC2584" t="s">
        <v>29358</v>
      </c>
      <c r="AD2584" t="s">
        <v>29359</v>
      </c>
      <c r="AE2584" t="s">
        <v>21977</v>
      </c>
      <c r="AF2584" t="s">
        <v>46835</v>
      </c>
    </row>
    <row r="2585" spans="1:32" x14ac:dyDescent="0.2">
      <c r="A2585">
        <v>2580</v>
      </c>
      <c r="B2585" t="s">
        <v>29360</v>
      </c>
      <c r="C2585" t="s">
        <v>29361</v>
      </c>
      <c r="D2585" t="s">
        <v>32</v>
      </c>
      <c r="E2585" t="s">
        <v>29362</v>
      </c>
      <c r="F2585" t="s">
        <v>29363</v>
      </c>
      <c r="G2585" t="s">
        <v>29364</v>
      </c>
      <c r="H2585" t="str">
        <f>"Tubgcp2"</f>
        <v>Tubgcp2</v>
      </c>
      <c r="I2585" t="s">
        <v>29365</v>
      </c>
      <c r="J2585" t="s">
        <v>37</v>
      </c>
      <c r="K2585">
        <v>10090</v>
      </c>
      <c r="L2585" s="3" t="str">
        <f>HYPERLINK("http://www.uniprot.org/uniprot/Q921G8", "Q921G8")</f>
        <v>Q921G8</v>
      </c>
      <c r="M2585" t="s">
        <v>29366</v>
      </c>
      <c r="N2585" t="str">
        <f>"Tubgcp2"</f>
        <v>Tubgcp2</v>
      </c>
      <c r="O2585" s="3" t="str">
        <f>HYPERLINK("http://www.informatics.jax.org/marker/MGI:1921487", "MGI:1921487")</f>
        <v>MGI:1921487</v>
      </c>
      <c r="P2585" t="s">
        <v>29367</v>
      </c>
      <c r="Q2585" t="s">
        <v>32</v>
      </c>
      <c r="R2585" t="s">
        <v>341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32</v>
      </c>
      <c r="Y2585" t="s">
        <v>618</v>
      </c>
      <c r="Z2585" t="s">
        <v>32</v>
      </c>
      <c r="AA2585" t="s">
        <v>29368</v>
      </c>
      <c r="AB2585" t="s">
        <v>29369</v>
      </c>
      <c r="AC2585" t="s">
        <v>29370</v>
      </c>
      <c r="AD2585" t="s">
        <v>32</v>
      </c>
      <c r="AE2585" t="s">
        <v>29371</v>
      </c>
      <c r="AF2585" t="s">
        <v>46835</v>
      </c>
    </row>
    <row r="2586" spans="1:32" x14ac:dyDescent="0.2">
      <c r="A2586">
        <v>2581</v>
      </c>
      <c r="B2586" t="s">
        <v>29372</v>
      </c>
      <c r="C2586" t="s">
        <v>29373</v>
      </c>
      <c r="D2586" t="s">
        <v>32</v>
      </c>
      <c r="E2586" t="s">
        <v>29374</v>
      </c>
      <c r="F2586" t="s">
        <v>29375</v>
      </c>
      <c r="G2586" t="s">
        <v>29376</v>
      </c>
      <c r="H2586" t="str">
        <f>"Map7d2"</f>
        <v>Map7d2</v>
      </c>
      <c r="I2586" t="s">
        <v>29377</v>
      </c>
      <c r="J2586" t="s">
        <v>37</v>
      </c>
      <c r="K2586">
        <v>10090</v>
      </c>
      <c r="L2586" s="3" t="str">
        <f>HYPERLINK("http://www.uniprot.org/uniprot/A2AG50", "A2AG50")</f>
        <v>A2AG50</v>
      </c>
      <c r="M2586" t="s">
        <v>29378</v>
      </c>
      <c r="N2586" t="str">
        <f>"Map7d2"</f>
        <v>Map7d2</v>
      </c>
      <c r="O2586" s="3" t="str">
        <f>HYPERLINK("http://www.informatics.jax.org/marker/MGI:1917474", "MGI:1917474")</f>
        <v>MGI:1917474</v>
      </c>
      <c r="P2586" t="s">
        <v>29379</v>
      </c>
      <c r="Q2586" t="s">
        <v>32</v>
      </c>
      <c r="R2586" t="s">
        <v>32</v>
      </c>
      <c r="S2586" t="s">
        <v>41</v>
      </c>
      <c r="T2586" t="s">
        <v>32</v>
      </c>
      <c r="U2586" t="s">
        <v>32</v>
      </c>
      <c r="V2586" t="s">
        <v>290</v>
      </c>
      <c r="W2586" t="s">
        <v>32</v>
      </c>
      <c r="X2586" t="s">
        <v>32</v>
      </c>
      <c r="Y2586" t="s">
        <v>32</v>
      </c>
      <c r="Z2586" t="s">
        <v>32</v>
      </c>
      <c r="AA2586" t="s">
        <v>26263</v>
      </c>
      <c r="AB2586" t="s">
        <v>29380</v>
      </c>
      <c r="AC2586" t="s">
        <v>32</v>
      </c>
      <c r="AD2586" t="s">
        <v>32</v>
      </c>
      <c r="AE2586" t="s">
        <v>32</v>
      </c>
      <c r="AF2586" t="s">
        <v>46835</v>
      </c>
    </row>
    <row r="2587" spans="1:32" x14ac:dyDescent="0.2">
      <c r="A2587">
        <v>2582</v>
      </c>
      <c r="B2587" t="s">
        <v>29381</v>
      </c>
      <c r="C2587" t="s">
        <v>29382</v>
      </c>
      <c r="D2587" t="s">
        <v>29383</v>
      </c>
      <c r="E2587" t="s">
        <v>29384</v>
      </c>
      <c r="F2587" t="s">
        <v>29385</v>
      </c>
      <c r="G2587" t="s">
        <v>29386</v>
      </c>
      <c r="H2587" t="str">
        <f>"Rbx1"</f>
        <v>Rbx1</v>
      </c>
      <c r="I2587" t="s">
        <v>32</v>
      </c>
      <c r="J2587" t="s">
        <v>37</v>
      </c>
      <c r="K2587">
        <v>10090</v>
      </c>
      <c r="L2587" s="3" t="str">
        <f>HYPERLINK("http://www.uniprot.org/uniprot/P62878", "P62878")</f>
        <v>P62878</v>
      </c>
      <c r="M2587" t="s">
        <v>29387</v>
      </c>
      <c r="N2587" t="str">
        <f>"Rbx1"</f>
        <v>Rbx1</v>
      </c>
      <c r="O2587" s="3" t="str">
        <f>HYPERLINK("http://www.informatics.jax.org/marker/MGI:1891829", "MGI:1891829")</f>
        <v>MGI:1891829</v>
      </c>
      <c r="P2587" t="s">
        <v>29388</v>
      </c>
      <c r="Q2587" t="s">
        <v>3400</v>
      </c>
      <c r="R2587" t="s">
        <v>40</v>
      </c>
      <c r="S2587" t="s">
        <v>32</v>
      </c>
      <c r="T2587" t="s">
        <v>32</v>
      </c>
      <c r="U2587" t="s">
        <v>32</v>
      </c>
      <c r="V2587" t="s">
        <v>446</v>
      </c>
      <c r="W2587" t="s">
        <v>42</v>
      </c>
      <c r="X2587" t="s">
        <v>515</v>
      </c>
      <c r="Y2587" t="s">
        <v>157</v>
      </c>
      <c r="Z2587" t="s">
        <v>126</v>
      </c>
      <c r="AA2587" t="s">
        <v>29389</v>
      </c>
      <c r="AB2587" t="s">
        <v>29390</v>
      </c>
      <c r="AC2587" t="s">
        <v>29391</v>
      </c>
      <c r="AD2587" t="s">
        <v>1027</v>
      </c>
      <c r="AE2587" t="s">
        <v>29392</v>
      </c>
      <c r="AF2587" t="s">
        <v>46835</v>
      </c>
    </row>
    <row r="2588" spans="1:32" x14ac:dyDescent="0.2">
      <c r="A2588">
        <v>2583</v>
      </c>
      <c r="B2588" t="s">
        <v>29393</v>
      </c>
      <c r="C2588" t="s">
        <v>29394</v>
      </c>
      <c r="D2588" t="s">
        <v>32</v>
      </c>
      <c r="E2588" t="s">
        <v>29395</v>
      </c>
      <c r="F2588" t="s">
        <v>29396</v>
      </c>
      <c r="G2588" t="s">
        <v>29397</v>
      </c>
      <c r="H2588" t="str">
        <f>"Rrp12"</f>
        <v>Rrp12</v>
      </c>
      <c r="I2588" t="s">
        <v>29398</v>
      </c>
      <c r="J2588" t="s">
        <v>37</v>
      </c>
      <c r="K2588">
        <v>10090</v>
      </c>
      <c r="L2588" s="3" t="str">
        <f>HYPERLINK("http://www.uniprot.org/uniprot/Q6P5B0", "Q6P5B0")</f>
        <v>Q6P5B0</v>
      </c>
      <c r="M2588" t="s">
        <v>29399</v>
      </c>
      <c r="N2588" t="str">
        <f>"Rrp12"</f>
        <v>Rrp12</v>
      </c>
      <c r="O2588" s="3" t="str">
        <f>HYPERLINK("http://www.informatics.jax.org/marker/MGI:2147437", "MGI:2147437")</f>
        <v>MGI:2147437</v>
      </c>
      <c r="P2588" t="s">
        <v>29400</v>
      </c>
      <c r="Q2588" t="s">
        <v>32</v>
      </c>
      <c r="R2588" t="s">
        <v>13520</v>
      </c>
      <c r="S2588" t="s">
        <v>32</v>
      </c>
      <c r="T2588" t="s">
        <v>32</v>
      </c>
      <c r="U2588" t="s">
        <v>32</v>
      </c>
      <c r="V2588" t="s">
        <v>493</v>
      </c>
      <c r="W2588" t="s">
        <v>32</v>
      </c>
      <c r="X2588" t="s">
        <v>32</v>
      </c>
      <c r="Y2588" t="s">
        <v>1007</v>
      </c>
      <c r="Z2588" t="s">
        <v>32</v>
      </c>
      <c r="AA2588" t="s">
        <v>25279</v>
      </c>
      <c r="AB2588" t="s">
        <v>29401</v>
      </c>
      <c r="AC2588" t="s">
        <v>32</v>
      </c>
      <c r="AD2588" t="s">
        <v>32</v>
      </c>
      <c r="AE2588" t="s">
        <v>32</v>
      </c>
      <c r="AF2588" t="s">
        <v>46835</v>
      </c>
    </row>
    <row r="2589" spans="1:32" x14ac:dyDescent="0.2">
      <c r="A2589">
        <v>2584</v>
      </c>
      <c r="B2589" t="s">
        <v>29402</v>
      </c>
      <c r="C2589" t="s">
        <v>29403</v>
      </c>
      <c r="D2589" t="s">
        <v>29404</v>
      </c>
      <c r="E2589" t="s">
        <v>29405</v>
      </c>
      <c r="F2589" t="s">
        <v>29406</v>
      </c>
      <c r="G2589" t="s">
        <v>29407</v>
      </c>
      <c r="H2589" t="str">
        <f>"Ptprf"</f>
        <v>Ptprf</v>
      </c>
      <c r="I2589" t="s">
        <v>29408</v>
      </c>
      <c r="J2589" t="s">
        <v>37</v>
      </c>
      <c r="K2589">
        <v>10090</v>
      </c>
      <c r="L2589" s="3" t="str">
        <f>HYPERLINK("http://www.uniprot.org/uniprot/A2A8L5", "A2A8L5")</f>
        <v>A2A8L5</v>
      </c>
      <c r="M2589" t="s">
        <v>29409</v>
      </c>
      <c r="N2589" t="str">
        <f>"Ptprf"</f>
        <v>Ptprf</v>
      </c>
      <c r="O2589" s="3" t="str">
        <f>HYPERLINK("http://www.informatics.jax.org/marker/MGI:102695", "MGI:102695")</f>
        <v>MGI:102695</v>
      </c>
      <c r="P2589" t="s">
        <v>29410</v>
      </c>
      <c r="Q2589" t="s">
        <v>2784</v>
      </c>
      <c r="R2589" t="s">
        <v>5989</v>
      </c>
      <c r="S2589" t="s">
        <v>32</v>
      </c>
      <c r="T2589" t="s">
        <v>32</v>
      </c>
      <c r="U2589" t="s">
        <v>32</v>
      </c>
      <c r="V2589" t="s">
        <v>2864</v>
      </c>
      <c r="W2589" t="s">
        <v>32</v>
      </c>
      <c r="X2589" t="s">
        <v>29411</v>
      </c>
      <c r="Y2589" t="s">
        <v>2865</v>
      </c>
      <c r="Z2589" t="s">
        <v>126</v>
      </c>
      <c r="AA2589" t="s">
        <v>29412</v>
      </c>
      <c r="AB2589" t="s">
        <v>29413</v>
      </c>
      <c r="AC2589" t="s">
        <v>29414</v>
      </c>
      <c r="AD2589" t="s">
        <v>32</v>
      </c>
      <c r="AE2589" t="s">
        <v>29415</v>
      </c>
      <c r="AF2589" t="s">
        <v>46835</v>
      </c>
    </row>
    <row r="2590" spans="1:32" x14ac:dyDescent="0.2">
      <c r="A2590">
        <v>2585</v>
      </c>
      <c r="B2590" t="s">
        <v>29416</v>
      </c>
      <c r="C2590" t="s">
        <v>29417</v>
      </c>
      <c r="D2590" t="s">
        <v>32</v>
      </c>
      <c r="E2590" t="s">
        <v>29418</v>
      </c>
      <c r="F2590" t="s">
        <v>29419</v>
      </c>
      <c r="G2590" t="s">
        <v>32</v>
      </c>
      <c r="H2590" t="str">
        <f>"Commd4"</f>
        <v>Commd4</v>
      </c>
      <c r="I2590" t="s">
        <v>32</v>
      </c>
      <c r="J2590" t="s">
        <v>37</v>
      </c>
      <c r="K2590">
        <v>10090</v>
      </c>
      <c r="L2590" s="3" t="str">
        <f>HYPERLINK("http://www.uniprot.org/uniprot/Q9CQ02", "Q9CQ02")</f>
        <v>Q9CQ02</v>
      </c>
      <c r="M2590" t="s">
        <v>29420</v>
      </c>
      <c r="N2590" t="str">
        <f>"Commd4"</f>
        <v>Commd4</v>
      </c>
      <c r="O2590" s="3" t="str">
        <f>HYPERLINK("http://www.informatics.jax.org/marker/MGI:1913449", "MGI:1913449")</f>
        <v>MGI:1913449</v>
      </c>
      <c r="P2590" t="s">
        <v>29421</v>
      </c>
      <c r="Q2590" t="s">
        <v>2278</v>
      </c>
      <c r="R2590" t="s">
        <v>40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32</v>
      </c>
      <c r="Y2590" t="s">
        <v>32</v>
      </c>
      <c r="Z2590" t="s">
        <v>32</v>
      </c>
      <c r="AA2590" t="s">
        <v>32</v>
      </c>
      <c r="AB2590" t="s">
        <v>29422</v>
      </c>
      <c r="AC2590" t="s">
        <v>32</v>
      </c>
      <c r="AD2590" t="s">
        <v>32</v>
      </c>
      <c r="AE2590" t="s">
        <v>14635</v>
      </c>
      <c r="AF2590" t="s">
        <v>46835</v>
      </c>
    </row>
    <row r="2591" spans="1:32" x14ac:dyDescent="0.2">
      <c r="A2591">
        <v>2586</v>
      </c>
      <c r="B2591" t="s">
        <v>29423</v>
      </c>
      <c r="C2591" t="s">
        <v>29424</v>
      </c>
      <c r="D2591" t="s">
        <v>29425</v>
      </c>
      <c r="E2591" t="s">
        <v>29426</v>
      </c>
      <c r="F2591" t="s">
        <v>29427</v>
      </c>
      <c r="G2591" t="s">
        <v>29428</v>
      </c>
      <c r="H2591" t="str">
        <f>"Trim2"</f>
        <v>Trim2</v>
      </c>
      <c r="I2591" t="s">
        <v>29429</v>
      </c>
      <c r="J2591" t="s">
        <v>37</v>
      </c>
      <c r="K2591">
        <v>10090</v>
      </c>
      <c r="L2591" s="3" t="str">
        <f>HYPERLINK("http://www.uniprot.org/uniprot/Q9ESN6", "Q9ESN6")</f>
        <v>Q9ESN6</v>
      </c>
      <c r="M2591" t="s">
        <v>29430</v>
      </c>
      <c r="N2591" t="str">
        <f>"Trim2"</f>
        <v>Trim2</v>
      </c>
      <c r="O2591" s="3" t="str">
        <f>HYPERLINK("http://www.informatics.jax.org/marker/MGI:1933163", "MGI:1933163")</f>
        <v>MGI:1933163</v>
      </c>
      <c r="P2591" t="s">
        <v>29431</v>
      </c>
      <c r="Q2591" t="s">
        <v>1020</v>
      </c>
      <c r="R2591" t="s">
        <v>418</v>
      </c>
      <c r="S2591" t="s">
        <v>32</v>
      </c>
      <c r="T2591" t="s">
        <v>32</v>
      </c>
      <c r="U2591" t="s">
        <v>32</v>
      </c>
      <c r="V2591" t="s">
        <v>3791</v>
      </c>
      <c r="W2591" t="s">
        <v>42</v>
      </c>
      <c r="X2591" t="s">
        <v>515</v>
      </c>
      <c r="Y2591" t="s">
        <v>2836</v>
      </c>
      <c r="Z2591" t="s">
        <v>32</v>
      </c>
      <c r="AA2591" t="s">
        <v>29432</v>
      </c>
      <c r="AB2591" t="s">
        <v>2172</v>
      </c>
      <c r="AC2591" t="s">
        <v>29433</v>
      </c>
      <c r="AD2591" t="s">
        <v>1027</v>
      </c>
      <c r="AE2591" t="s">
        <v>32</v>
      </c>
      <c r="AF2591" t="s">
        <v>46835</v>
      </c>
    </row>
    <row r="2592" spans="1:32" x14ac:dyDescent="0.2">
      <c r="A2592">
        <v>2587</v>
      </c>
      <c r="B2592" t="s">
        <v>29434</v>
      </c>
      <c r="C2592" t="s">
        <v>29435</v>
      </c>
      <c r="D2592" t="s">
        <v>29436</v>
      </c>
      <c r="E2592" t="s">
        <v>29437</v>
      </c>
      <c r="F2592" t="s">
        <v>29438</v>
      </c>
      <c r="G2592" t="s">
        <v>29439</v>
      </c>
      <c r="H2592" t="str">
        <f>"Pcyt2"</f>
        <v>Pcyt2</v>
      </c>
      <c r="I2592" t="s">
        <v>32</v>
      </c>
      <c r="J2592" t="s">
        <v>37</v>
      </c>
      <c r="K2592">
        <v>10090</v>
      </c>
      <c r="L2592" s="3" t="str">
        <f>HYPERLINK("http://www.uniprot.org/uniprot/Q922E4", "Q922E4")</f>
        <v>Q922E4</v>
      </c>
      <c r="M2592" t="s">
        <v>29440</v>
      </c>
      <c r="N2592" t="str">
        <f>"Pcyt2"</f>
        <v>Pcyt2</v>
      </c>
      <c r="O2592" s="3" t="str">
        <f>HYPERLINK("http://www.informatics.jax.org/marker/MGI:1915921", "MGI:1915921")</f>
        <v>MGI:1915921</v>
      </c>
      <c r="P2592" t="s">
        <v>29441</v>
      </c>
      <c r="Q2592" t="s">
        <v>22663</v>
      </c>
      <c r="R2592" t="s">
        <v>32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7489</v>
      </c>
      <c r="Y2592" t="s">
        <v>618</v>
      </c>
      <c r="Z2592" t="s">
        <v>32</v>
      </c>
      <c r="AA2592" t="s">
        <v>29442</v>
      </c>
      <c r="AB2592" t="s">
        <v>2172</v>
      </c>
      <c r="AC2592" t="s">
        <v>29443</v>
      </c>
      <c r="AD2592" t="s">
        <v>29444</v>
      </c>
      <c r="AE2592" t="s">
        <v>29445</v>
      </c>
      <c r="AF2592" t="s">
        <v>46835</v>
      </c>
    </row>
    <row r="2593" spans="1:33" x14ac:dyDescent="0.2">
      <c r="A2593">
        <v>2588</v>
      </c>
      <c r="B2593" t="s">
        <v>29446</v>
      </c>
      <c r="C2593" t="s">
        <v>29447</v>
      </c>
      <c r="D2593" t="s">
        <v>29448</v>
      </c>
      <c r="E2593" t="s">
        <v>29449</v>
      </c>
      <c r="F2593" t="s">
        <v>29450</v>
      </c>
      <c r="G2593" t="s">
        <v>29451</v>
      </c>
      <c r="H2593" t="str">
        <f>"Gfm1"</f>
        <v>Gfm1</v>
      </c>
      <c r="I2593" t="s">
        <v>29452</v>
      </c>
      <c r="J2593" t="s">
        <v>37</v>
      </c>
      <c r="K2593">
        <v>10090</v>
      </c>
      <c r="L2593" s="3" t="str">
        <f>HYPERLINK("http://www.uniprot.org/uniprot/Q8K0D5", "Q8K0D5")</f>
        <v>Q8K0D5</v>
      </c>
      <c r="M2593" t="s">
        <v>29453</v>
      </c>
      <c r="N2593" t="str">
        <f>"Gfm1"</f>
        <v>Gfm1</v>
      </c>
      <c r="O2593" s="3" t="str">
        <f>HYPERLINK("http://www.informatics.jax.org/marker/MGI:107339", "MGI:107339")</f>
        <v>MGI:107339</v>
      </c>
      <c r="P2593" t="s">
        <v>29454</v>
      </c>
      <c r="Q2593" t="s">
        <v>260</v>
      </c>
      <c r="R2593" t="s">
        <v>1038</v>
      </c>
      <c r="S2593" t="s">
        <v>32</v>
      </c>
      <c r="T2593" t="s">
        <v>32</v>
      </c>
      <c r="U2593" t="s">
        <v>32</v>
      </c>
      <c r="V2593" t="s">
        <v>1039</v>
      </c>
      <c r="W2593" t="s">
        <v>261</v>
      </c>
      <c r="X2593" t="s">
        <v>262</v>
      </c>
      <c r="Y2593" t="s">
        <v>157</v>
      </c>
      <c r="Z2593" t="s">
        <v>32</v>
      </c>
      <c r="AA2593" t="s">
        <v>29455</v>
      </c>
      <c r="AB2593" t="s">
        <v>3721</v>
      </c>
      <c r="AC2593" t="s">
        <v>4572</v>
      </c>
      <c r="AD2593" t="s">
        <v>29456</v>
      </c>
      <c r="AE2593" t="s">
        <v>29457</v>
      </c>
      <c r="AF2593" t="s">
        <v>46835</v>
      </c>
    </row>
    <row r="2594" spans="1:33" x14ac:dyDescent="0.2">
      <c r="A2594">
        <v>2589</v>
      </c>
      <c r="B2594" t="s">
        <v>29458</v>
      </c>
      <c r="C2594" t="s">
        <v>29459</v>
      </c>
      <c r="D2594" t="s">
        <v>29460</v>
      </c>
      <c r="E2594" t="s">
        <v>29461</v>
      </c>
      <c r="F2594" t="s">
        <v>29462</v>
      </c>
      <c r="G2594" t="s">
        <v>29463</v>
      </c>
      <c r="H2594" t="str">
        <f>"Rbm10"</f>
        <v>Rbm10</v>
      </c>
      <c r="I2594" t="s">
        <v>29464</v>
      </c>
      <c r="J2594" t="s">
        <v>37</v>
      </c>
      <c r="K2594">
        <v>10090</v>
      </c>
      <c r="L2594" s="3" t="str">
        <f>HYPERLINK("http://www.uniprot.org/uniprot/Q99KG3", "Q99KG3")</f>
        <v>Q99KG3</v>
      </c>
      <c r="M2594" t="s">
        <v>29465</v>
      </c>
      <c r="N2594" t="str">
        <f>"Rbm10"</f>
        <v>Rbm10</v>
      </c>
      <c r="O2594" s="3" t="str">
        <f>HYPERLINK("http://www.informatics.jax.org/marker/MGI:2384310", "MGI:2384310")</f>
        <v>MGI:2384310</v>
      </c>
      <c r="P2594" t="s">
        <v>29466</v>
      </c>
      <c r="Q2594" t="s">
        <v>32</v>
      </c>
      <c r="R2594" t="s">
        <v>2279</v>
      </c>
      <c r="S2594" t="s">
        <v>8503</v>
      </c>
      <c r="T2594" t="s">
        <v>32</v>
      </c>
      <c r="U2594" t="s">
        <v>32</v>
      </c>
      <c r="V2594" t="s">
        <v>3791</v>
      </c>
      <c r="W2594" t="s">
        <v>42</v>
      </c>
      <c r="X2594" t="s">
        <v>1282</v>
      </c>
      <c r="Y2594" t="s">
        <v>97</v>
      </c>
      <c r="Z2594" t="s">
        <v>32</v>
      </c>
      <c r="AA2594" t="s">
        <v>29467</v>
      </c>
      <c r="AB2594" t="s">
        <v>29468</v>
      </c>
      <c r="AC2594" t="s">
        <v>29469</v>
      </c>
      <c r="AD2594" t="s">
        <v>32</v>
      </c>
      <c r="AE2594" t="s">
        <v>32</v>
      </c>
      <c r="AF2594" t="s">
        <v>46835</v>
      </c>
    </row>
    <row r="2595" spans="1:33" x14ac:dyDescent="0.2">
      <c r="A2595">
        <v>2590</v>
      </c>
      <c r="B2595" t="s">
        <v>29470</v>
      </c>
      <c r="C2595" t="s">
        <v>29471</v>
      </c>
      <c r="D2595" t="s">
        <v>29472</v>
      </c>
      <c r="E2595" t="s">
        <v>29473</v>
      </c>
      <c r="F2595" t="s">
        <v>29474</v>
      </c>
      <c r="G2595" t="s">
        <v>29475</v>
      </c>
      <c r="H2595" t="str">
        <f>"Cpne1"</f>
        <v>Cpne1</v>
      </c>
      <c r="I2595" t="s">
        <v>32</v>
      </c>
      <c r="J2595" t="s">
        <v>37</v>
      </c>
      <c r="K2595">
        <v>10090</v>
      </c>
      <c r="L2595" s="3" t="str">
        <f>HYPERLINK("http://www.uniprot.org/uniprot/Q8C166", "Q8C166")</f>
        <v>Q8C166</v>
      </c>
      <c r="M2595" t="s">
        <v>29476</v>
      </c>
      <c r="N2595" t="str">
        <f>"Cpne1"</f>
        <v>Cpne1</v>
      </c>
      <c r="O2595" s="3" t="str">
        <f>HYPERLINK("http://www.informatics.jax.org/marker/MGI:2386621", "MGI:2386621")</f>
        <v>MGI:2386621</v>
      </c>
      <c r="P2595" t="s">
        <v>29477</v>
      </c>
      <c r="Q2595" t="s">
        <v>13865</v>
      </c>
      <c r="R2595" t="s">
        <v>276</v>
      </c>
      <c r="S2595" t="s">
        <v>32</v>
      </c>
      <c r="T2595" t="s">
        <v>32</v>
      </c>
      <c r="U2595" t="s">
        <v>32</v>
      </c>
      <c r="V2595" t="s">
        <v>55</v>
      </c>
      <c r="W2595" t="s">
        <v>188</v>
      </c>
      <c r="X2595" t="s">
        <v>5195</v>
      </c>
      <c r="Y2595" t="s">
        <v>78</v>
      </c>
      <c r="Z2595" t="s">
        <v>32</v>
      </c>
      <c r="AA2595" t="s">
        <v>29478</v>
      </c>
      <c r="AB2595" t="s">
        <v>29479</v>
      </c>
      <c r="AC2595" t="s">
        <v>29480</v>
      </c>
      <c r="AD2595" t="s">
        <v>32</v>
      </c>
      <c r="AE2595" t="s">
        <v>23442</v>
      </c>
      <c r="AF2595" t="s">
        <v>46835</v>
      </c>
    </row>
    <row r="2596" spans="1:33" x14ac:dyDescent="0.2">
      <c r="A2596">
        <v>2591</v>
      </c>
      <c r="B2596" t="s">
        <v>29481</v>
      </c>
      <c r="C2596" t="s">
        <v>29482</v>
      </c>
      <c r="D2596" t="s">
        <v>32</v>
      </c>
      <c r="E2596" t="s">
        <v>29483</v>
      </c>
      <c r="F2596" t="s">
        <v>29484</v>
      </c>
      <c r="G2596" t="s">
        <v>29485</v>
      </c>
      <c r="H2596" t="str">
        <f>"Pes1"</f>
        <v>Pes1</v>
      </c>
      <c r="I2596" t="s">
        <v>29486</v>
      </c>
      <c r="J2596" t="s">
        <v>37</v>
      </c>
      <c r="K2596">
        <v>10090</v>
      </c>
      <c r="L2596" s="3" t="str">
        <f>HYPERLINK("http://www.uniprot.org/uniprot/Q9EQ61", "Q9EQ61")</f>
        <v>Q9EQ61</v>
      </c>
      <c r="M2596" t="s">
        <v>29487</v>
      </c>
      <c r="N2596" t="str">
        <f>"Pes1"</f>
        <v>Pes1</v>
      </c>
      <c r="O2596" s="3" t="str">
        <f>HYPERLINK("http://www.informatics.jax.org/marker/MGI:1890613", "MGI:1890613")</f>
        <v>MGI:1890613</v>
      </c>
      <c r="P2596" t="s">
        <v>29488</v>
      </c>
      <c r="Q2596" t="s">
        <v>13781</v>
      </c>
      <c r="R2596" t="s">
        <v>1939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32</v>
      </c>
      <c r="Y2596" t="s">
        <v>461</v>
      </c>
      <c r="Z2596" t="s">
        <v>32</v>
      </c>
      <c r="AA2596" t="s">
        <v>29489</v>
      </c>
      <c r="AB2596" t="s">
        <v>29490</v>
      </c>
      <c r="AC2596" t="s">
        <v>29491</v>
      </c>
      <c r="AD2596" t="s">
        <v>32</v>
      </c>
      <c r="AE2596" t="s">
        <v>960</v>
      </c>
      <c r="AF2596" t="s">
        <v>46835</v>
      </c>
    </row>
    <row r="2597" spans="1:33" x14ac:dyDescent="0.2">
      <c r="A2597">
        <v>2592</v>
      </c>
      <c r="B2597" t="s">
        <v>29492</v>
      </c>
      <c r="C2597" t="s">
        <v>47140</v>
      </c>
      <c r="D2597" t="s">
        <v>32</v>
      </c>
      <c r="E2597" t="s">
        <v>46982</v>
      </c>
      <c r="F2597" t="s">
        <v>46981</v>
      </c>
      <c r="G2597" t="s">
        <v>32</v>
      </c>
      <c r="H2597" t="s">
        <v>47271</v>
      </c>
      <c r="I2597" t="s">
        <v>32</v>
      </c>
      <c r="J2597" t="s">
        <v>37</v>
      </c>
      <c r="K2597">
        <v>10090</v>
      </c>
      <c r="L2597" s="3" t="str">
        <f>HYPERLINK(CONCATENATE("https://www.uniprot.org/uniprotkb/", AG2597, "/entry"), AG2597)</f>
        <v>Q80ZM7</v>
      </c>
      <c r="M2597" t="s">
        <v>32</v>
      </c>
      <c r="N2597" t="s">
        <v>32</v>
      </c>
      <c r="O2597" s="3" t="s">
        <v>32</v>
      </c>
      <c r="P2597" t="s">
        <v>32</v>
      </c>
      <c r="Q2597" t="s">
        <v>32</v>
      </c>
      <c r="R2597" t="s">
        <v>32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32</v>
      </c>
      <c r="Y2597" t="s">
        <v>32</v>
      </c>
      <c r="Z2597" t="s">
        <v>32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t="s">
        <v>46835</v>
      </c>
      <c r="AG2597" t="s">
        <v>46981</v>
      </c>
    </row>
    <row r="2598" spans="1:33" x14ac:dyDescent="0.2">
      <c r="A2598">
        <v>2593</v>
      </c>
      <c r="B2598" t="s">
        <v>29493</v>
      </c>
      <c r="C2598" t="s">
        <v>29494</v>
      </c>
      <c r="D2598" t="s">
        <v>29495</v>
      </c>
      <c r="E2598" t="s">
        <v>29496</v>
      </c>
      <c r="F2598" t="s">
        <v>29497</v>
      </c>
      <c r="G2598" t="s">
        <v>29498</v>
      </c>
      <c r="H2598" t="str">
        <f>"Pak4"</f>
        <v>Pak4</v>
      </c>
      <c r="I2598" t="s">
        <v>29499</v>
      </c>
      <c r="J2598" t="s">
        <v>37</v>
      </c>
      <c r="K2598">
        <v>10090</v>
      </c>
      <c r="L2598" s="3" t="str">
        <f>HYPERLINK("http://www.uniprot.org/uniprot/Q8BTW9", "Q8BTW9")</f>
        <v>Q8BTW9</v>
      </c>
      <c r="M2598" t="s">
        <v>29500</v>
      </c>
      <c r="N2598" t="str">
        <f>"Pak4"</f>
        <v>Pak4</v>
      </c>
      <c r="O2598" s="3" t="str">
        <f>HYPERLINK("http://www.informatics.jax.org/marker/MGI:1917834", "MGI:1917834")</f>
        <v>MGI:1917834</v>
      </c>
      <c r="P2598" t="s">
        <v>29501</v>
      </c>
      <c r="Q2598" t="s">
        <v>5417</v>
      </c>
      <c r="R2598" t="s">
        <v>418</v>
      </c>
      <c r="S2598" t="s">
        <v>32</v>
      </c>
      <c r="T2598" t="s">
        <v>32</v>
      </c>
      <c r="U2598" t="s">
        <v>32</v>
      </c>
      <c r="V2598" t="s">
        <v>32</v>
      </c>
      <c r="W2598" t="s">
        <v>205</v>
      </c>
      <c r="X2598" t="s">
        <v>5419</v>
      </c>
      <c r="Y2598" t="s">
        <v>18842</v>
      </c>
      <c r="Z2598" t="s">
        <v>32</v>
      </c>
      <c r="AA2598" t="s">
        <v>29502</v>
      </c>
      <c r="AB2598" t="s">
        <v>2172</v>
      </c>
      <c r="AC2598" t="s">
        <v>26470</v>
      </c>
      <c r="AD2598" t="s">
        <v>32</v>
      </c>
      <c r="AE2598" t="s">
        <v>29503</v>
      </c>
      <c r="AF2598" t="s">
        <v>46835</v>
      </c>
    </row>
    <row r="2599" spans="1:33" x14ac:dyDescent="0.2">
      <c r="A2599">
        <v>2594</v>
      </c>
      <c r="B2599" t="s">
        <v>29504</v>
      </c>
      <c r="C2599" t="s">
        <v>29505</v>
      </c>
      <c r="D2599" t="s">
        <v>29506</v>
      </c>
      <c r="E2599" t="s">
        <v>29507</v>
      </c>
      <c r="F2599" t="s">
        <v>29508</v>
      </c>
      <c r="G2599" t="s">
        <v>29509</v>
      </c>
      <c r="H2599" t="str">
        <f>"Ptpra"</f>
        <v>Ptpra</v>
      </c>
      <c r="I2599" t="s">
        <v>29510</v>
      </c>
      <c r="J2599" t="s">
        <v>37</v>
      </c>
      <c r="K2599">
        <v>10090</v>
      </c>
      <c r="L2599" s="3" t="str">
        <f>HYPERLINK("http://www.uniprot.org/uniprot/P18052", "P18052")</f>
        <v>P18052</v>
      </c>
      <c r="M2599" t="s">
        <v>29511</v>
      </c>
      <c r="N2599" t="str">
        <f>"Ptpra"</f>
        <v>Ptpra</v>
      </c>
      <c r="O2599" s="3" t="str">
        <f>HYPERLINK("http://www.informatics.jax.org/marker/MGI:97808", "MGI:97808")</f>
        <v>MGI:97808</v>
      </c>
      <c r="P2599" t="s">
        <v>29512</v>
      </c>
      <c r="Q2599" t="s">
        <v>32</v>
      </c>
      <c r="R2599" t="s">
        <v>5512</v>
      </c>
      <c r="S2599" t="s">
        <v>41</v>
      </c>
      <c r="T2599" t="s">
        <v>32</v>
      </c>
      <c r="U2599" t="s">
        <v>32</v>
      </c>
      <c r="V2599" t="s">
        <v>1665</v>
      </c>
      <c r="W2599" t="s">
        <v>32</v>
      </c>
      <c r="X2599" t="s">
        <v>3683</v>
      </c>
      <c r="Y2599" t="s">
        <v>4720</v>
      </c>
      <c r="Z2599" t="s">
        <v>126</v>
      </c>
      <c r="AA2599" t="s">
        <v>29513</v>
      </c>
      <c r="AB2599" t="s">
        <v>29514</v>
      </c>
      <c r="AC2599" t="s">
        <v>29515</v>
      </c>
      <c r="AD2599" t="s">
        <v>32</v>
      </c>
      <c r="AE2599" t="s">
        <v>29516</v>
      </c>
      <c r="AF2599" t="s">
        <v>46835</v>
      </c>
    </row>
    <row r="2600" spans="1:33" x14ac:dyDescent="0.2">
      <c r="A2600">
        <v>2595</v>
      </c>
      <c r="B2600" t="s">
        <v>29517</v>
      </c>
      <c r="C2600" t="s">
        <v>29518</v>
      </c>
      <c r="D2600" t="s">
        <v>29519</v>
      </c>
      <c r="E2600" t="s">
        <v>29520</v>
      </c>
      <c r="F2600" t="s">
        <v>29521</v>
      </c>
      <c r="G2600" t="s">
        <v>29522</v>
      </c>
      <c r="H2600" t="str">
        <f>"Hspa14"</f>
        <v>Hspa14</v>
      </c>
      <c r="I2600" t="s">
        <v>29523</v>
      </c>
      <c r="J2600" t="s">
        <v>37</v>
      </c>
      <c r="K2600">
        <v>10090</v>
      </c>
      <c r="L2600" s="3" t="str">
        <f>HYPERLINK("http://www.uniprot.org/uniprot/Q99M31", "Q99M31")</f>
        <v>Q99M31</v>
      </c>
      <c r="M2600" t="s">
        <v>29524</v>
      </c>
      <c r="N2600" t="str">
        <f>"Hspa14"</f>
        <v>Hspa14</v>
      </c>
      <c r="O2600" s="3" t="str">
        <f>HYPERLINK("http://www.informatics.jax.org/marker/MGI:1354164", "MGI:1354164")</f>
        <v>MGI:1354164</v>
      </c>
      <c r="P2600" t="s">
        <v>29525</v>
      </c>
      <c r="Q2600" t="s">
        <v>32</v>
      </c>
      <c r="R2600" t="s">
        <v>418</v>
      </c>
      <c r="S2600" t="s">
        <v>41</v>
      </c>
      <c r="T2600" t="s">
        <v>32</v>
      </c>
      <c r="U2600" t="s">
        <v>32</v>
      </c>
      <c r="V2600" t="s">
        <v>32</v>
      </c>
      <c r="W2600" t="s">
        <v>205</v>
      </c>
      <c r="X2600" t="s">
        <v>388</v>
      </c>
      <c r="Y2600" t="s">
        <v>32</v>
      </c>
      <c r="Z2600" t="s">
        <v>32</v>
      </c>
      <c r="AA2600" t="s">
        <v>29526</v>
      </c>
      <c r="AB2600" t="s">
        <v>29527</v>
      </c>
      <c r="AC2600" t="s">
        <v>25269</v>
      </c>
      <c r="AD2600" t="s">
        <v>32</v>
      </c>
      <c r="AE2600" t="s">
        <v>1445</v>
      </c>
      <c r="AF2600" t="s">
        <v>46835</v>
      </c>
    </row>
    <row r="2601" spans="1:33" x14ac:dyDescent="0.2">
      <c r="A2601">
        <v>2596</v>
      </c>
      <c r="B2601" t="s">
        <v>29528</v>
      </c>
      <c r="C2601" t="s">
        <v>29529</v>
      </c>
      <c r="D2601" t="s">
        <v>29530</v>
      </c>
      <c r="E2601" t="s">
        <v>29531</v>
      </c>
      <c r="F2601" t="s">
        <v>29532</v>
      </c>
      <c r="G2601" t="s">
        <v>29533</v>
      </c>
      <c r="H2601" t="str">
        <f>"Eif2b4"</f>
        <v>Eif2b4</v>
      </c>
      <c r="I2601" t="s">
        <v>29534</v>
      </c>
      <c r="J2601" t="s">
        <v>37</v>
      </c>
      <c r="K2601">
        <v>10090</v>
      </c>
      <c r="L2601" s="3" t="str">
        <f>HYPERLINK("http://www.uniprot.org/uniprot/Q61749", "Q61749")</f>
        <v>Q61749</v>
      </c>
      <c r="M2601" t="s">
        <v>29535</v>
      </c>
      <c r="N2601" t="str">
        <f>"Eif2b4"</f>
        <v>Eif2b4</v>
      </c>
      <c r="O2601" s="3" t="str">
        <f>HYPERLINK("http://www.informatics.jax.org/marker/MGI:95300", "MGI:95300")</f>
        <v>MGI:95300</v>
      </c>
      <c r="P2601" t="s">
        <v>29536</v>
      </c>
      <c r="Q2601" t="s">
        <v>260</v>
      </c>
      <c r="R2601" t="s">
        <v>32</v>
      </c>
      <c r="S2601" t="s">
        <v>41</v>
      </c>
      <c r="T2601" t="s">
        <v>32</v>
      </c>
      <c r="U2601" t="s">
        <v>32</v>
      </c>
      <c r="V2601" t="s">
        <v>32</v>
      </c>
      <c r="W2601" t="s">
        <v>32</v>
      </c>
      <c r="X2601" t="s">
        <v>2675</v>
      </c>
      <c r="Y2601" t="s">
        <v>157</v>
      </c>
      <c r="Z2601" t="s">
        <v>32</v>
      </c>
      <c r="AA2601" t="s">
        <v>29537</v>
      </c>
      <c r="AB2601" t="s">
        <v>29538</v>
      </c>
      <c r="AC2601" t="s">
        <v>22474</v>
      </c>
      <c r="AD2601" t="s">
        <v>32</v>
      </c>
      <c r="AE2601" t="s">
        <v>15228</v>
      </c>
      <c r="AF2601" t="s">
        <v>46835</v>
      </c>
    </row>
    <row r="2602" spans="1:33" x14ac:dyDescent="0.2">
      <c r="A2602">
        <v>2597</v>
      </c>
      <c r="B2602" t="s">
        <v>29539</v>
      </c>
      <c r="C2602" t="s">
        <v>29540</v>
      </c>
      <c r="D2602" t="s">
        <v>32</v>
      </c>
      <c r="E2602" t="s">
        <v>29541</v>
      </c>
      <c r="F2602" t="s">
        <v>29542</v>
      </c>
      <c r="G2602" t="s">
        <v>29543</v>
      </c>
      <c r="H2602" t="str">
        <f>"Bcat2"</f>
        <v>Bcat2</v>
      </c>
      <c r="I2602" t="s">
        <v>29544</v>
      </c>
      <c r="J2602" t="s">
        <v>37</v>
      </c>
      <c r="K2602">
        <v>10090</v>
      </c>
      <c r="L2602" s="3" t="str">
        <f>HYPERLINK("http://www.uniprot.org/uniprot/O35855", "O35855")</f>
        <v>O35855</v>
      </c>
      <c r="M2602" t="s">
        <v>29545</v>
      </c>
      <c r="N2602" t="str">
        <f>"Bcat2"</f>
        <v>Bcat2</v>
      </c>
      <c r="O2602" s="3" t="str">
        <f>HYPERLINK("http://www.informatics.jax.org/marker/MGI:1276534", "MGI:1276534")</f>
        <v>MGI:1276534</v>
      </c>
      <c r="P2602" t="s">
        <v>29546</v>
      </c>
      <c r="Q2602" t="s">
        <v>29040</v>
      </c>
      <c r="R2602" t="s">
        <v>1038</v>
      </c>
      <c r="S2602" t="s">
        <v>32</v>
      </c>
      <c r="T2602" t="s">
        <v>32</v>
      </c>
      <c r="U2602" t="s">
        <v>32</v>
      </c>
      <c r="V2602" t="s">
        <v>1039</v>
      </c>
      <c r="W2602" t="s">
        <v>3373</v>
      </c>
      <c r="X2602" t="s">
        <v>3374</v>
      </c>
      <c r="Y2602" t="s">
        <v>78</v>
      </c>
      <c r="Z2602" t="s">
        <v>32</v>
      </c>
      <c r="AA2602" t="s">
        <v>29547</v>
      </c>
      <c r="AB2602" t="s">
        <v>29548</v>
      </c>
      <c r="AC2602" t="s">
        <v>29549</v>
      </c>
      <c r="AD2602" t="s">
        <v>32</v>
      </c>
      <c r="AE2602" t="s">
        <v>8652</v>
      </c>
      <c r="AF2602" t="s">
        <v>46835</v>
      </c>
    </row>
    <row r="2603" spans="1:33" x14ac:dyDescent="0.2">
      <c r="A2603">
        <v>2598</v>
      </c>
      <c r="B2603" t="s">
        <v>29550</v>
      </c>
      <c r="C2603" t="s">
        <v>29551</v>
      </c>
      <c r="D2603" t="s">
        <v>29552</v>
      </c>
      <c r="E2603" t="s">
        <v>29553</v>
      </c>
      <c r="F2603" t="s">
        <v>29554</v>
      </c>
      <c r="G2603" t="s">
        <v>29555</v>
      </c>
      <c r="H2603" t="str">
        <f>"Nudt14"</f>
        <v>Nudt14</v>
      </c>
      <c r="I2603" t="s">
        <v>32</v>
      </c>
      <c r="J2603" t="s">
        <v>37</v>
      </c>
      <c r="K2603">
        <v>10090</v>
      </c>
      <c r="L2603" s="3" t="str">
        <f>HYPERLINK("http://www.uniprot.org/uniprot/Q9D142", "Q9D142")</f>
        <v>Q9D142</v>
      </c>
      <c r="M2603" t="s">
        <v>29556</v>
      </c>
      <c r="N2603" t="str">
        <f>"Nudt14"</f>
        <v>Nudt14</v>
      </c>
      <c r="O2603" s="3" t="str">
        <f>HYPERLINK("http://www.informatics.jax.org/marker/MGI:1913424", "MGI:1913424")</f>
        <v>MGI:1913424</v>
      </c>
      <c r="P2603" t="s">
        <v>29557</v>
      </c>
      <c r="Q2603" t="s">
        <v>32</v>
      </c>
      <c r="R2603" t="s">
        <v>418</v>
      </c>
      <c r="S2603" t="s">
        <v>32</v>
      </c>
      <c r="T2603" t="s">
        <v>32</v>
      </c>
      <c r="U2603" t="s">
        <v>32</v>
      </c>
      <c r="V2603" t="s">
        <v>32</v>
      </c>
      <c r="W2603" t="s">
        <v>16431</v>
      </c>
      <c r="X2603" t="s">
        <v>343</v>
      </c>
      <c r="Y2603" t="s">
        <v>32</v>
      </c>
      <c r="Z2603" t="s">
        <v>32</v>
      </c>
      <c r="AA2603" t="s">
        <v>29558</v>
      </c>
      <c r="AB2603" t="s">
        <v>2172</v>
      </c>
      <c r="AC2603" t="s">
        <v>29559</v>
      </c>
      <c r="AD2603" t="s">
        <v>32</v>
      </c>
      <c r="AE2603" t="s">
        <v>29560</v>
      </c>
      <c r="AF2603" t="s">
        <v>46835</v>
      </c>
    </row>
    <row r="2604" spans="1:33" x14ac:dyDescent="0.2">
      <c r="A2604">
        <v>2599</v>
      </c>
      <c r="B2604" t="s">
        <v>29561</v>
      </c>
      <c r="C2604" t="s">
        <v>29562</v>
      </c>
      <c r="D2604" t="s">
        <v>32</v>
      </c>
      <c r="E2604" t="s">
        <v>29563</v>
      </c>
      <c r="F2604" t="s">
        <v>29564</v>
      </c>
      <c r="G2604" t="s">
        <v>29565</v>
      </c>
      <c r="H2604" t="str">
        <f>"Aldh16a1"</f>
        <v>Aldh16a1</v>
      </c>
      <c r="I2604" t="s">
        <v>32</v>
      </c>
      <c r="J2604" t="s">
        <v>37</v>
      </c>
      <c r="K2604">
        <v>10090</v>
      </c>
      <c r="L2604" s="3" t="str">
        <f>HYPERLINK("http://www.uniprot.org/uniprot/Q571I9", "Q571I9")</f>
        <v>Q571I9</v>
      </c>
      <c r="M2604" t="s">
        <v>29566</v>
      </c>
      <c r="N2604" t="str">
        <f>"Aldh16a1"</f>
        <v>Aldh16a1</v>
      </c>
      <c r="O2604" s="3" t="str">
        <f>HYPERLINK("http://www.informatics.jax.org/marker/MGI:1916998", "MGI:1916998")</f>
        <v>MGI:1916998</v>
      </c>
      <c r="P2604" t="s">
        <v>32</v>
      </c>
      <c r="Q2604" t="s">
        <v>32</v>
      </c>
      <c r="R2604" t="s">
        <v>32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32</v>
      </c>
      <c r="Y2604" t="s">
        <v>32</v>
      </c>
      <c r="Z2604" t="s">
        <v>32</v>
      </c>
      <c r="AA2604" t="s">
        <v>32</v>
      </c>
      <c r="AB2604" t="s">
        <v>32</v>
      </c>
      <c r="AC2604" t="s">
        <v>29567</v>
      </c>
      <c r="AD2604" t="s">
        <v>32</v>
      </c>
      <c r="AE2604" t="s">
        <v>32</v>
      </c>
      <c r="AF2604" t="s">
        <v>46835</v>
      </c>
    </row>
    <row r="2605" spans="1:33" x14ac:dyDescent="0.2">
      <c r="A2605">
        <v>2600</v>
      </c>
      <c r="B2605" t="s">
        <v>29568</v>
      </c>
      <c r="C2605" t="s">
        <v>29569</v>
      </c>
      <c r="D2605" t="s">
        <v>29570</v>
      </c>
      <c r="E2605" t="s">
        <v>29571</v>
      </c>
      <c r="F2605" t="s">
        <v>29572</v>
      </c>
      <c r="G2605" t="s">
        <v>29573</v>
      </c>
      <c r="H2605" t="str">
        <f>"Rragc"</f>
        <v>Rragc</v>
      </c>
      <c r="I2605" t="s">
        <v>32</v>
      </c>
      <c r="J2605" t="s">
        <v>37</v>
      </c>
      <c r="K2605">
        <v>10090</v>
      </c>
      <c r="L2605" s="3" t="str">
        <f>HYPERLINK("http://www.uniprot.org/uniprot/Q99K70", "Q99K70")</f>
        <v>Q99K70</v>
      </c>
      <c r="M2605" t="s">
        <v>29574</v>
      </c>
      <c r="N2605" t="str">
        <f>"Rragc"</f>
        <v>Rragc</v>
      </c>
      <c r="O2605" s="3" t="str">
        <f>HYPERLINK("http://www.informatics.jax.org/marker/MGI:1858751", "MGI:1858751")</f>
        <v>MGI:1858751</v>
      </c>
      <c r="P2605" t="s">
        <v>29575</v>
      </c>
      <c r="Q2605" t="s">
        <v>32</v>
      </c>
      <c r="R2605" t="s">
        <v>23368</v>
      </c>
      <c r="S2605" t="s">
        <v>41</v>
      </c>
      <c r="T2605" t="s">
        <v>32</v>
      </c>
      <c r="U2605" t="s">
        <v>32</v>
      </c>
      <c r="V2605" t="s">
        <v>32</v>
      </c>
      <c r="W2605" t="s">
        <v>261</v>
      </c>
      <c r="X2605" t="s">
        <v>343</v>
      </c>
      <c r="Y2605" t="s">
        <v>157</v>
      </c>
      <c r="Z2605" t="s">
        <v>126</v>
      </c>
      <c r="AA2605" t="s">
        <v>29576</v>
      </c>
      <c r="AB2605" t="s">
        <v>29577</v>
      </c>
      <c r="AC2605" t="s">
        <v>29578</v>
      </c>
      <c r="AD2605" t="s">
        <v>32</v>
      </c>
      <c r="AE2605" t="s">
        <v>18987</v>
      </c>
      <c r="AF2605" t="s">
        <v>46835</v>
      </c>
    </row>
    <row r="2606" spans="1:33" x14ac:dyDescent="0.2">
      <c r="A2606">
        <v>2601</v>
      </c>
      <c r="B2606" t="s">
        <v>29579</v>
      </c>
      <c r="C2606" t="s">
        <v>29580</v>
      </c>
      <c r="D2606" t="s">
        <v>29581</v>
      </c>
      <c r="E2606" t="s">
        <v>29582</v>
      </c>
      <c r="F2606" t="s">
        <v>29583</v>
      </c>
      <c r="G2606" t="s">
        <v>29584</v>
      </c>
      <c r="H2606" t="str">
        <f>"Prkaa2"</f>
        <v>Prkaa2</v>
      </c>
      <c r="I2606" t="s">
        <v>32</v>
      </c>
      <c r="J2606" t="s">
        <v>37</v>
      </c>
      <c r="K2606">
        <v>10090</v>
      </c>
      <c r="L2606" s="3" t="str">
        <f>HYPERLINK("http://www.uniprot.org/uniprot/Q8BRK8", "Q8BRK8")</f>
        <v>Q8BRK8</v>
      </c>
      <c r="M2606" t="s">
        <v>29585</v>
      </c>
      <c r="N2606" t="str">
        <f>"Prkaa2"</f>
        <v>Prkaa2</v>
      </c>
      <c r="O2606" s="3" t="str">
        <f>HYPERLINK("http://www.informatics.jax.org/marker/MGI:1336173", "MGI:1336173")</f>
        <v>MGI:1336173</v>
      </c>
      <c r="P2606" t="s">
        <v>29586</v>
      </c>
      <c r="Q2606" t="s">
        <v>29587</v>
      </c>
      <c r="R2606" t="s">
        <v>40</v>
      </c>
      <c r="S2606" t="s">
        <v>32</v>
      </c>
      <c r="T2606" t="s">
        <v>32</v>
      </c>
      <c r="U2606" t="s">
        <v>32</v>
      </c>
      <c r="V2606" t="s">
        <v>32</v>
      </c>
      <c r="W2606" t="s">
        <v>1266</v>
      </c>
      <c r="X2606" t="s">
        <v>29588</v>
      </c>
      <c r="Y2606" t="s">
        <v>2836</v>
      </c>
      <c r="Z2606" t="s">
        <v>32</v>
      </c>
      <c r="AA2606" t="s">
        <v>29589</v>
      </c>
      <c r="AB2606" t="s">
        <v>29590</v>
      </c>
      <c r="AC2606" t="s">
        <v>29591</v>
      </c>
      <c r="AD2606" t="s">
        <v>32</v>
      </c>
      <c r="AE2606" t="s">
        <v>29145</v>
      </c>
      <c r="AF2606" t="s">
        <v>46835</v>
      </c>
    </row>
    <row r="2607" spans="1:33" x14ac:dyDescent="0.2">
      <c r="A2607">
        <v>2602</v>
      </c>
      <c r="B2607" t="s">
        <v>29592</v>
      </c>
      <c r="C2607" t="s">
        <v>29593</v>
      </c>
      <c r="D2607" t="s">
        <v>29594</v>
      </c>
      <c r="E2607" t="s">
        <v>29595</v>
      </c>
      <c r="F2607" t="s">
        <v>29596</v>
      </c>
      <c r="G2607" t="s">
        <v>29597</v>
      </c>
      <c r="H2607" t="str">
        <f>"Tmed9"</f>
        <v>Tmed9</v>
      </c>
      <c r="I2607" t="s">
        <v>29598</v>
      </c>
      <c r="J2607" t="s">
        <v>37</v>
      </c>
      <c r="K2607">
        <v>10090</v>
      </c>
      <c r="L2607" s="3" t="str">
        <f>HYPERLINK("http://www.uniprot.org/uniprot/Q99KF1", "Q99KF1")</f>
        <v>Q99KF1</v>
      </c>
      <c r="M2607" t="s">
        <v>29599</v>
      </c>
      <c r="N2607" t="str">
        <f>"Tmed9"</f>
        <v>Tmed9</v>
      </c>
      <c r="O2607" s="3" t="str">
        <f>HYPERLINK("http://www.informatics.jax.org/marker/MGI:1914761", "MGI:1914761")</f>
        <v>MGI:1914761</v>
      </c>
      <c r="P2607" t="s">
        <v>29600</v>
      </c>
      <c r="Q2607" t="s">
        <v>434</v>
      </c>
      <c r="R2607" t="s">
        <v>11259</v>
      </c>
      <c r="S2607" t="s">
        <v>32</v>
      </c>
      <c r="T2607" t="s">
        <v>32</v>
      </c>
      <c r="U2607" t="s">
        <v>32</v>
      </c>
      <c r="V2607" t="s">
        <v>15639</v>
      </c>
      <c r="W2607" t="s">
        <v>32</v>
      </c>
      <c r="X2607" t="s">
        <v>32</v>
      </c>
      <c r="Y2607" t="s">
        <v>10506</v>
      </c>
      <c r="Z2607" t="s">
        <v>32</v>
      </c>
      <c r="AA2607" t="s">
        <v>29601</v>
      </c>
      <c r="AB2607" t="s">
        <v>29602</v>
      </c>
      <c r="AC2607" t="s">
        <v>20273</v>
      </c>
      <c r="AD2607" t="s">
        <v>32</v>
      </c>
      <c r="AE2607" t="s">
        <v>3171</v>
      </c>
      <c r="AF2607" t="s">
        <v>46835</v>
      </c>
    </row>
    <row r="2608" spans="1:33" x14ac:dyDescent="0.2">
      <c r="A2608">
        <v>2603</v>
      </c>
      <c r="B2608" t="s">
        <v>29603</v>
      </c>
      <c r="C2608" t="s">
        <v>29604</v>
      </c>
      <c r="D2608" t="s">
        <v>32</v>
      </c>
      <c r="E2608" t="s">
        <v>29605</v>
      </c>
      <c r="F2608" t="s">
        <v>29606</v>
      </c>
      <c r="G2608" t="s">
        <v>29607</v>
      </c>
      <c r="H2608" t="str">
        <f>"Tsr1"</f>
        <v>Tsr1</v>
      </c>
      <c r="I2608" t="s">
        <v>29608</v>
      </c>
      <c r="J2608" t="s">
        <v>37</v>
      </c>
      <c r="K2608">
        <v>10090</v>
      </c>
      <c r="L2608" s="3" t="str">
        <f>HYPERLINK("http://www.uniprot.org/uniprot/Q5SWD9", "Q5SWD9")</f>
        <v>Q5SWD9</v>
      </c>
      <c r="M2608" t="s">
        <v>29609</v>
      </c>
      <c r="N2608" t="str">
        <f>"Tsr1"</f>
        <v>Tsr1</v>
      </c>
      <c r="O2608" s="3" t="str">
        <f>HYPERLINK("http://www.informatics.jax.org/marker/MGI:2144566", "MGI:2144566")</f>
        <v>MGI:2144566</v>
      </c>
      <c r="P2608" t="s">
        <v>29610</v>
      </c>
      <c r="Q2608" t="s">
        <v>6400</v>
      </c>
      <c r="R2608" t="s">
        <v>2279</v>
      </c>
      <c r="S2608" t="s">
        <v>41</v>
      </c>
      <c r="T2608" t="s">
        <v>32</v>
      </c>
      <c r="U2608" t="s">
        <v>32</v>
      </c>
      <c r="V2608" t="s">
        <v>32</v>
      </c>
      <c r="W2608" t="s">
        <v>32</v>
      </c>
      <c r="X2608" t="s">
        <v>32</v>
      </c>
      <c r="Y2608" t="s">
        <v>32</v>
      </c>
      <c r="Z2608" t="s">
        <v>32</v>
      </c>
      <c r="AA2608" t="s">
        <v>29611</v>
      </c>
      <c r="AB2608" t="s">
        <v>29612</v>
      </c>
      <c r="AC2608" t="s">
        <v>29613</v>
      </c>
      <c r="AD2608" t="s">
        <v>32</v>
      </c>
      <c r="AE2608" t="s">
        <v>960</v>
      </c>
      <c r="AF2608" t="s">
        <v>46835</v>
      </c>
    </row>
    <row r="2609" spans="1:32" x14ac:dyDescent="0.2">
      <c r="A2609">
        <v>2604</v>
      </c>
      <c r="B2609" t="s">
        <v>29614</v>
      </c>
      <c r="C2609" t="s">
        <v>29615</v>
      </c>
      <c r="D2609" t="s">
        <v>29616</v>
      </c>
      <c r="E2609" t="s">
        <v>29617</v>
      </c>
      <c r="F2609" t="s">
        <v>29618</v>
      </c>
      <c r="G2609" t="s">
        <v>29619</v>
      </c>
      <c r="H2609" t="str">
        <f>"Slc20a2"</f>
        <v>Slc20a2</v>
      </c>
      <c r="I2609" t="s">
        <v>29620</v>
      </c>
      <c r="J2609" t="s">
        <v>37</v>
      </c>
      <c r="K2609">
        <v>10090</v>
      </c>
      <c r="L2609" s="3" t="str">
        <f>HYPERLINK("http://www.uniprot.org/uniprot/Q80UP8", "Q80UP8")</f>
        <v>Q80UP8</v>
      </c>
      <c r="M2609" t="s">
        <v>29621</v>
      </c>
      <c r="N2609" t="str">
        <f>"Slc20a2"</f>
        <v>Slc20a2</v>
      </c>
      <c r="O2609" s="3" t="str">
        <f>HYPERLINK("http://www.informatics.jax.org/marker/MGI:97851", "MGI:97851")</f>
        <v>MGI:97851</v>
      </c>
      <c r="P2609" t="s">
        <v>29622</v>
      </c>
      <c r="Q2609" t="s">
        <v>29623</v>
      </c>
      <c r="R2609" t="s">
        <v>2474</v>
      </c>
      <c r="S2609" t="s">
        <v>32</v>
      </c>
      <c r="T2609" t="s">
        <v>32</v>
      </c>
      <c r="U2609" t="s">
        <v>32</v>
      </c>
      <c r="V2609" t="s">
        <v>493</v>
      </c>
      <c r="W2609" t="s">
        <v>18285</v>
      </c>
      <c r="X2609" t="s">
        <v>6983</v>
      </c>
      <c r="Y2609" t="s">
        <v>4720</v>
      </c>
      <c r="Z2609" t="s">
        <v>32</v>
      </c>
      <c r="AA2609" t="s">
        <v>29624</v>
      </c>
      <c r="AB2609" t="s">
        <v>29625</v>
      </c>
      <c r="AC2609" t="s">
        <v>29626</v>
      </c>
      <c r="AD2609" t="s">
        <v>32</v>
      </c>
      <c r="AE2609" t="s">
        <v>29627</v>
      </c>
      <c r="AF2609" t="s">
        <v>46835</v>
      </c>
    </row>
    <row r="2610" spans="1:32" x14ac:dyDescent="0.2">
      <c r="A2610">
        <v>2605</v>
      </c>
      <c r="B2610" t="s">
        <v>29628</v>
      </c>
      <c r="C2610" t="s">
        <v>29629</v>
      </c>
      <c r="D2610" t="s">
        <v>29630</v>
      </c>
      <c r="E2610" t="s">
        <v>29631</v>
      </c>
      <c r="F2610" t="s">
        <v>29632</v>
      </c>
      <c r="G2610" t="s">
        <v>29633</v>
      </c>
      <c r="H2610" t="str">
        <f>"Galns"</f>
        <v>Galns</v>
      </c>
      <c r="I2610" t="s">
        <v>32</v>
      </c>
      <c r="J2610" t="s">
        <v>37</v>
      </c>
      <c r="K2610">
        <v>10090</v>
      </c>
      <c r="L2610" s="3" t="str">
        <f>HYPERLINK("http://www.uniprot.org/uniprot/Q571E4", "Q571E4")</f>
        <v>Q571E4</v>
      </c>
      <c r="M2610" t="s">
        <v>29634</v>
      </c>
      <c r="N2610" t="str">
        <f>"Galns"</f>
        <v>Galns</v>
      </c>
      <c r="O2610" s="3" t="str">
        <f>HYPERLINK("http://www.informatics.jax.org/marker/MGI:1355303", "MGI:1355303")</f>
        <v>MGI:1355303</v>
      </c>
      <c r="P2610" t="s">
        <v>29635</v>
      </c>
      <c r="Q2610" t="s">
        <v>32</v>
      </c>
      <c r="R2610" t="s">
        <v>13962</v>
      </c>
      <c r="S2610" t="s">
        <v>32</v>
      </c>
      <c r="T2610" t="s">
        <v>32</v>
      </c>
      <c r="U2610" t="s">
        <v>32</v>
      </c>
      <c r="V2610" t="s">
        <v>811</v>
      </c>
      <c r="W2610" t="s">
        <v>188</v>
      </c>
      <c r="X2610" t="s">
        <v>343</v>
      </c>
      <c r="Y2610" t="s">
        <v>5275</v>
      </c>
      <c r="Z2610" t="s">
        <v>32</v>
      </c>
      <c r="AA2610" t="s">
        <v>32</v>
      </c>
      <c r="AB2610" t="s">
        <v>18723</v>
      </c>
      <c r="AC2610" t="s">
        <v>29636</v>
      </c>
      <c r="AD2610" t="s">
        <v>32</v>
      </c>
      <c r="AE2610" t="s">
        <v>29637</v>
      </c>
      <c r="AF2610" t="s">
        <v>46835</v>
      </c>
    </row>
    <row r="2611" spans="1:32" x14ac:dyDescent="0.2">
      <c r="A2611">
        <v>2606</v>
      </c>
      <c r="B2611" t="s">
        <v>29638</v>
      </c>
      <c r="C2611" t="s">
        <v>29639</v>
      </c>
      <c r="D2611" t="s">
        <v>29640</v>
      </c>
      <c r="E2611" t="s">
        <v>29641</v>
      </c>
      <c r="F2611" t="s">
        <v>29642</v>
      </c>
      <c r="G2611" t="s">
        <v>29643</v>
      </c>
      <c r="H2611" t="str">
        <f>"Cops7b"</f>
        <v>Cops7b</v>
      </c>
      <c r="I2611" t="s">
        <v>29644</v>
      </c>
      <c r="J2611" t="s">
        <v>37</v>
      </c>
      <c r="K2611">
        <v>10090</v>
      </c>
      <c r="L2611" s="3" t="str">
        <f>HYPERLINK("http://www.uniprot.org/uniprot/Q8BV13", "Q8BV13")</f>
        <v>Q8BV13</v>
      </c>
      <c r="M2611" t="s">
        <v>29645</v>
      </c>
      <c r="N2611" t="str">
        <f>"Cops7b"</f>
        <v>Cops7b</v>
      </c>
      <c r="O2611" s="3" t="str">
        <f>HYPERLINK("http://www.informatics.jax.org/marker/MGI:1349388", "MGI:1349388")</f>
        <v>MGI:1349388</v>
      </c>
      <c r="P2611" t="s">
        <v>29646</v>
      </c>
      <c r="Q2611" t="s">
        <v>32</v>
      </c>
      <c r="R2611" t="s">
        <v>7411</v>
      </c>
      <c r="S2611" t="s">
        <v>32</v>
      </c>
      <c r="T2611" t="s">
        <v>32</v>
      </c>
      <c r="U2611" t="s">
        <v>32</v>
      </c>
      <c r="V2611" t="s">
        <v>290</v>
      </c>
      <c r="W2611" t="s">
        <v>32</v>
      </c>
      <c r="X2611" t="s">
        <v>32</v>
      </c>
      <c r="Y2611" t="s">
        <v>78</v>
      </c>
      <c r="Z2611" t="s">
        <v>32</v>
      </c>
      <c r="AA2611" t="s">
        <v>19575</v>
      </c>
      <c r="AB2611" t="s">
        <v>29647</v>
      </c>
      <c r="AC2611" t="s">
        <v>32</v>
      </c>
      <c r="AD2611" t="s">
        <v>32</v>
      </c>
      <c r="AE2611" t="s">
        <v>10543</v>
      </c>
      <c r="AF2611" t="s">
        <v>46835</v>
      </c>
    </row>
    <row r="2612" spans="1:32" x14ac:dyDescent="0.2">
      <c r="A2612">
        <v>2607</v>
      </c>
      <c r="B2612" t="s">
        <v>29648</v>
      </c>
      <c r="C2612" t="s">
        <v>29649</v>
      </c>
      <c r="D2612" t="s">
        <v>29650</v>
      </c>
      <c r="E2612" t="s">
        <v>29651</v>
      </c>
      <c r="F2612" t="s">
        <v>29652</v>
      </c>
      <c r="G2612" t="s">
        <v>32</v>
      </c>
      <c r="H2612" t="str">
        <f>"Hebp2"</f>
        <v>Hebp2</v>
      </c>
      <c r="I2612" t="s">
        <v>29653</v>
      </c>
      <c r="J2612" t="s">
        <v>37</v>
      </c>
      <c r="K2612">
        <v>10090</v>
      </c>
      <c r="L2612" s="3" t="str">
        <f>HYPERLINK("http://www.uniprot.org/uniprot/Q9WU63", "Q9WU63")</f>
        <v>Q9WU63</v>
      </c>
      <c r="M2612" t="s">
        <v>29654</v>
      </c>
      <c r="N2612" t="str">
        <f>"Hebp2"</f>
        <v>Hebp2</v>
      </c>
      <c r="O2612" s="3" t="str">
        <f>HYPERLINK("http://www.informatics.jax.org/marker/MGI:1860084", "MGI:1860084")</f>
        <v>MGI:1860084</v>
      </c>
      <c r="P2612" t="s">
        <v>29655</v>
      </c>
      <c r="Q2612" t="s">
        <v>32</v>
      </c>
      <c r="R2612" t="s">
        <v>1842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32</v>
      </c>
      <c r="Y2612" t="s">
        <v>157</v>
      </c>
      <c r="Z2612" t="s">
        <v>32</v>
      </c>
      <c r="AA2612" t="s">
        <v>29656</v>
      </c>
      <c r="AB2612" t="s">
        <v>3490</v>
      </c>
      <c r="AC2612" t="s">
        <v>29657</v>
      </c>
      <c r="AD2612" t="s">
        <v>32</v>
      </c>
      <c r="AE2612" t="s">
        <v>548</v>
      </c>
      <c r="AF2612" t="s">
        <v>46835</v>
      </c>
    </row>
    <row r="2613" spans="1:32" x14ac:dyDescent="0.2">
      <c r="A2613">
        <v>2608</v>
      </c>
      <c r="B2613" t="s">
        <v>29658</v>
      </c>
      <c r="C2613" t="s">
        <v>29659</v>
      </c>
      <c r="D2613" t="s">
        <v>29660</v>
      </c>
      <c r="E2613" t="s">
        <v>29661</v>
      </c>
      <c r="F2613" t="s">
        <v>29662</v>
      </c>
      <c r="G2613" t="s">
        <v>29663</v>
      </c>
      <c r="H2613" t="str">
        <f>"Akap9"</f>
        <v>Akap9</v>
      </c>
      <c r="I2613" t="s">
        <v>29664</v>
      </c>
      <c r="J2613" t="s">
        <v>37</v>
      </c>
      <c r="K2613">
        <v>10090</v>
      </c>
      <c r="L2613" s="3" t="str">
        <f>HYPERLINK("http://www.uniprot.org/uniprot/Q70FJ1", "Q70FJ1")</f>
        <v>Q70FJ1</v>
      </c>
      <c r="M2613" t="s">
        <v>29665</v>
      </c>
      <c r="N2613" t="str">
        <f>"Akap9"</f>
        <v>Akap9</v>
      </c>
      <c r="O2613" s="3" t="str">
        <f>HYPERLINK("http://www.informatics.jax.org/marker/MGI:2178217", "MGI:2178217")</f>
        <v>MGI:2178217</v>
      </c>
      <c r="P2613" t="s">
        <v>29666</v>
      </c>
      <c r="Q2613" t="s">
        <v>32</v>
      </c>
      <c r="R2613" t="s">
        <v>19585</v>
      </c>
      <c r="S2613" t="s">
        <v>41</v>
      </c>
      <c r="T2613" t="s">
        <v>32</v>
      </c>
      <c r="U2613" t="s">
        <v>32</v>
      </c>
      <c r="V2613" t="s">
        <v>290</v>
      </c>
      <c r="W2613" t="s">
        <v>32</v>
      </c>
      <c r="X2613" t="s">
        <v>32</v>
      </c>
      <c r="Y2613" t="s">
        <v>618</v>
      </c>
      <c r="Z2613" t="s">
        <v>32</v>
      </c>
      <c r="AA2613" t="s">
        <v>29667</v>
      </c>
      <c r="AB2613" t="s">
        <v>29668</v>
      </c>
      <c r="AC2613" t="s">
        <v>29669</v>
      </c>
      <c r="AD2613" t="s">
        <v>32</v>
      </c>
      <c r="AE2613" t="s">
        <v>29670</v>
      </c>
      <c r="AF2613" t="s">
        <v>46835</v>
      </c>
    </row>
    <row r="2614" spans="1:32" x14ac:dyDescent="0.2">
      <c r="A2614">
        <v>2609</v>
      </c>
      <c r="B2614" t="s">
        <v>29671</v>
      </c>
      <c r="C2614" t="s">
        <v>29672</v>
      </c>
      <c r="D2614" t="s">
        <v>29673</v>
      </c>
      <c r="E2614" t="s">
        <v>29674</v>
      </c>
      <c r="F2614" t="s">
        <v>29675</v>
      </c>
      <c r="G2614" t="s">
        <v>29676</v>
      </c>
      <c r="H2614" t="str">
        <f>"Bag3"</f>
        <v>Bag3</v>
      </c>
      <c r="I2614" t="s">
        <v>29677</v>
      </c>
      <c r="J2614" t="s">
        <v>37</v>
      </c>
      <c r="K2614">
        <v>10090</v>
      </c>
      <c r="L2614" s="3" t="str">
        <f>HYPERLINK("http://www.uniprot.org/uniprot/Q9JLV1", "Q9JLV1")</f>
        <v>Q9JLV1</v>
      </c>
      <c r="M2614" t="s">
        <v>29678</v>
      </c>
      <c r="N2614" t="str">
        <f>"Bag3"</f>
        <v>Bag3</v>
      </c>
      <c r="O2614" s="3" t="str">
        <f>HYPERLINK("http://www.informatics.jax.org/marker/MGI:1352493", "MGI:1352493")</f>
        <v>MGI:1352493</v>
      </c>
      <c r="P2614" t="s">
        <v>29679</v>
      </c>
      <c r="Q2614" t="s">
        <v>541</v>
      </c>
      <c r="R2614" t="s">
        <v>40</v>
      </c>
      <c r="S2614" t="s">
        <v>32</v>
      </c>
      <c r="T2614" t="s">
        <v>32</v>
      </c>
      <c r="U2614" t="s">
        <v>32</v>
      </c>
      <c r="V2614" t="s">
        <v>55</v>
      </c>
      <c r="W2614" t="s">
        <v>32</v>
      </c>
      <c r="X2614" t="s">
        <v>388</v>
      </c>
      <c r="Y2614" t="s">
        <v>207</v>
      </c>
      <c r="Z2614" t="s">
        <v>126</v>
      </c>
      <c r="AA2614" t="s">
        <v>29680</v>
      </c>
      <c r="AB2614" t="s">
        <v>29681</v>
      </c>
      <c r="AC2614" t="s">
        <v>29682</v>
      </c>
      <c r="AD2614" t="s">
        <v>32</v>
      </c>
      <c r="AE2614" t="s">
        <v>1445</v>
      </c>
      <c r="AF2614" t="s">
        <v>46835</v>
      </c>
    </row>
    <row r="2615" spans="1:32" x14ac:dyDescent="0.2">
      <c r="A2615">
        <v>2610</v>
      </c>
      <c r="B2615" t="s">
        <v>29683</v>
      </c>
      <c r="C2615" t="s">
        <v>29684</v>
      </c>
      <c r="D2615" t="s">
        <v>29685</v>
      </c>
      <c r="E2615" t="s">
        <v>29686</v>
      </c>
      <c r="F2615" t="s">
        <v>29687</v>
      </c>
      <c r="G2615" t="s">
        <v>29688</v>
      </c>
      <c r="H2615" t="str">
        <f>"Usp11"</f>
        <v>Usp11</v>
      </c>
      <c r="I2615" t="s">
        <v>32</v>
      </c>
      <c r="J2615" t="s">
        <v>37</v>
      </c>
      <c r="K2615">
        <v>10090</v>
      </c>
      <c r="L2615" s="3" t="str">
        <f>HYPERLINK("http://www.uniprot.org/uniprot/Q99K46", "Q99K46")</f>
        <v>Q99K46</v>
      </c>
      <c r="M2615" t="s">
        <v>29689</v>
      </c>
      <c r="N2615" t="str">
        <f>"Usp11"</f>
        <v>Usp11</v>
      </c>
      <c r="O2615" s="3" t="str">
        <f>HYPERLINK("http://www.informatics.jax.org/marker/MGI:2384312", "MGI:2384312")</f>
        <v>MGI:2384312</v>
      </c>
      <c r="P2615" t="s">
        <v>29690</v>
      </c>
      <c r="Q2615" t="s">
        <v>1020</v>
      </c>
      <c r="R2615" t="s">
        <v>8375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557</v>
      </c>
      <c r="Y2615" t="s">
        <v>157</v>
      </c>
      <c r="Z2615" t="s">
        <v>32</v>
      </c>
      <c r="AA2615" t="s">
        <v>19781</v>
      </c>
      <c r="AB2615" t="s">
        <v>29691</v>
      </c>
      <c r="AC2615" t="s">
        <v>29692</v>
      </c>
      <c r="AD2615" t="s">
        <v>32</v>
      </c>
      <c r="AE2615" t="s">
        <v>6333</v>
      </c>
      <c r="AF2615" t="s">
        <v>46835</v>
      </c>
    </row>
    <row r="2616" spans="1:32" x14ac:dyDescent="0.2">
      <c r="A2616">
        <v>2611</v>
      </c>
      <c r="B2616" t="s">
        <v>29693</v>
      </c>
      <c r="C2616" t="s">
        <v>29694</v>
      </c>
      <c r="D2616" t="s">
        <v>29695</v>
      </c>
      <c r="E2616" t="s">
        <v>29696</v>
      </c>
      <c r="F2616" t="s">
        <v>29697</v>
      </c>
      <c r="G2616" t="s">
        <v>29698</v>
      </c>
      <c r="H2616" t="str">
        <f>"Zmym4"</f>
        <v>Zmym4</v>
      </c>
      <c r="I2616" t="s">
        <v>29699</v>
      </c>
      <c r="J2616" t="s">
        <v>37</v>
      </c>
      <c r="K2616">
        <v>10090</v>
      </c>
      <c r="L2616" s="3" t="str">
        <f>HYPERLINK("http://www.uniprot.org/uniprot/A2A791", "A2A791")</f>
        <v>A2A791</v>
      </c>
      <c r="M2616" t="s">
        <v>29700</v>
      </c>
      <c r="N2616" t="str">
        <f>"Zmym4"</f>
        <v>Zmym4</v>
      </c>
      <c r="O2616" s="3" t="str">
        <f>HYPERLINK("http://www.informatics.jax.org/marker/MGI:1915035", "MGI:1915035")</f>
        <v>MGI:1915035</v>
      </c>
      <c r="P2616" t="s">
        <v>29701</v>
      </c>
      <c r="Q2616" t="s">
        <v>32</v>
      </c>
      <c r="R2616" t="s">
        <v>32</v>
      </c>
      <c r="S2616" t="s">
        <v>41</v>
      </c>
      <c r="T2616" t="s">
        <v>32</v>
      </c>
      <c r="U2616" t="s">
        <v>32</v>
      </c>
      <c r="V2616" t="s">
        <v>3791</v>
      </c>
      <c r="W2616" t="s">
        <v>42</v>
      </c>
      <c r="X2616" t="s">
        <v>32</v>
      </c>
      <c r="Y2616" t="s">
        <v>516</v>
      </c>
      <c r="Z2616" t="s">
        <v>32</v>
      </c>
      <c r="AA2616" t="s">
        <v>29702</v>
      </c>
      <c r="AB2616" t="s">
        <v>32</v>
      </c>
      <c r="AC2616" t="s">
        <v>14560</v>
      </c>
      <c r="AD2616" t="s">
        <v>32</v>
      </c>
      <c r="AE2616" t="s">
        <v>32</v>
      </c>
      <c r="AF2616" t="s">
        <v>46835</v>
      </c>
    </row>
    <row r="2617" spans="1:32" x14ac:dyDescent="0.2">
      <c r="A2617">
        <v>2612</v>
      </c>
      <c r="B2617" t="s">
        <v>29703</v>
      </c>
      <c r="C2617" t="s">
        <v>29704</v>
      </c>
      <c r="D2617" t="s">
        <v>29705</v>
      </c>
      <c r="E2617" t="s">
        <v>29706</v>
      </c>
      <c r="F2617" t="s">
        <v>29707</v>
      </c>
      <c r="G2617" t="s">
        <v>29708</v>
      </c>
      <c r="H2617" t="str">
        <f>"Dnase2b"</f>
        <v>Dnase2b</v>
      </c>
      <c r="I2617" t="s">
        <v>29709</v>
      </c>
      <c r="J2617" t="s">
        <v>37</v>
      </c>
      <c r="K2617">
        <v>10090</v>
      </c>
      <c r="L2617" s="3" t="str">
        <f>HYPERLINK("http://www.uniprot.org/uniprot/Q9QY48", "Q9QY48")</f>
        <v>Q9QY48</v>
      </c>
      <c r="M2617" t="s">
        <v>29710</v>
      </c>
      <c r="N2617" t="str">
        <f>"Dnase2b"</f>
        <v>Dnase2b</v>
      </c>
      <c r="O2617" s="3" t="str">
        <f>HYPERLINK("http://www.informatics.jax.org/marker/MGI:1913283", "MGI:1913283")</f>
        <v>MGI:1913283</v>
      </c>
      <c r="P2617" t="s">
        <v>29711</v>
      </c>
      <c r="Q2617" t="s">
        <v>32</v>
      </c>
      <c r="R2617" t="s">
        <v>13962</v>
      </c>
      <c r="S2617" t="s">
        <v>32</v>
      </c>
      <c r="T2617" t="s">
        <v>32</v>
      </c>
      <c r="U2617" t="s">
        <v>32</v>
      </c>
      <c r="V2617" t="s">
        <v>811</v>
      </c>
      <c r="W2617" t="s">
        <v>32</v>
      </c>
      <c r="X2617" t="s">
        <v>4153</v>
      </c>
      <c r="Y2617" t="s">
        <v>3733</v>
      </c>
      <c r="Z2617" t="s">
        <v>32</v>
      </c>
      <c r="AA2617" t="s">
        <v>29712</v>
      </c>
      <c r="AB2617" t="s">
        <v>29713</v>
      </c>
      <c r="AC2617" t="s">
        <v>29714</v>
      </c>
      <c r="AD2617" t="s">
        <v>32</v>
      </c>
      <c r="AE2617" t="s">
        <v>32</v>
      </c>
      <c r="AF2617" t="s">
        <v>46835</v>
      </c>
    </row>
    <row r="2618" spans="1:32" x14ac:dyDescent="0.2">
      <c r="A2618">
        <v>2613</v>
      </c>
      <c r="B2618" t="s">
        <v>29715</v>
      </c>
      <c r="C2618" t="s">
        <v>29716</v>
      </c>
      <c r="D2618" t="s">
        <v>29717</v>
      </c>
      <c r="E2618" t="s">
        <v>29718</v>
      </c>
      <c r="F2618" t="s">
        <v>29719</v>
      </c>
      <c r="G2618" t="s">
        <v>29720</v>
      </c>
      <c r="H2618" t="str">
        <f>"Ccdc115"</f>
        <v>Ccdc115</v>
      </c>
      <c r="I2618" t="s">
        <v>32</v>
      </c>
      <c r="J2618" t="s">
        <v>37</v>
      </c>
      <c r="K2618">
        <v>10090</v>
      </c>
      <c r="L2618" s="3" t="str">
        <f>HYPERLINK("http://www.uniprot.org/uniprot/Q8VE99", "Q8VE99")</f>
        <v>Q8VE99</v>
      </c>
      <c r="M2618" t="s">
        <v>29721</v>
      </c>
      <c r="N2618" t="str">
        <f>"Ccdc115"</f>
        <v>Ccdc115</v>
      </c>
      <c r="O2618" s="3" t="str">
        <f>HYPERLINK("http://www.informatics.jax.org/marker/MGI:1916918", "MGI:1916918")</f>
        <v>MGI:1916918</v>
      </c>
      <c r="P2618" t="s">
        <v>29722</v>
      </c>
      <c r="Q2618" t="s">
        <v>32</v>
      </c>
      <c r="R2618" t="s">
        <v>29723</v>
      </c>
      <c r="S2618" t="s">
        <v>32</v>
      </c>
      <c r="T2618" t="s">
        <v>32</v>
      </c>
      <c r="U2618" t="s">
        <v>32</v>
      </c>
      <c r="V2618" t="s">
        <v>290</v>
      </c>
      <c r="W2618" t="s">
        <v>32</v>
      </c>
      <c r="X2618" t="s">
        <v>32</v>
      </c>
      <c r="Y2618" t="s">
        <v>32</v>
      </c>
      <c r="Z2618" t="s">
        <v>32</v>
      </c>
      <c r="AA2618" t="s">
        <v>29724</v>
      </c>
      <c r="AB2618" t="s">
        <v>29725</v>
      </c>
      <c r="AC2618" t="s">
        <v>2972</v>
      </c>
      <c r="AD2618" t="s">
        <v>32</v>
      </c>
      <c r="AE2618" t="s">
        <v>29726</v>
      </c>
      <c r="AF2618" t="s">
        <v>46835</v>
      </c>
    </row>
    <row r="2619" spans="1:32" x14ac:dyDescent="0.2">
      <c r="A2619">
        <v>2614</v>
      </c>
      <c r="B2619" t="s">
        <v>29727</v>
      </c>
      <c r="C2619" t="s">
        <v>29728</v>
      </c>
      <c r="D2619" t="s">
        <v>32</v>
      </c>
      <c r="E2619" t="s">
        <v>29729</v>
      </c>
      <c r="F2619" t="s">
        <v>29730</v>
      </c>
      <c r="G2619" t="s">
        <v>32</v>
      </c>
      <c r="H2619" t="str">
        <f>"Tmem9b"</f>
        <v>Tmem9b</v>
      </c>
      <c r="I2619" t="s">
        <v>32</v>
      </c>
      <c r="J2619" t="s">
        <v>37</v>
      </c>
      <c r="K2619">
        <v>10090</v>
      </c>
      <c r="L2619" s="3" t="str">
        <f>HYPERLINK("http://www.uniprot.org/uniprot/Q9JJR8", "Q9JJR8")</f>
        <v>Q9JJR8</v>
      </c>
      <c r="M2619" t="s">
        <v>29731</v>
      </c>
      <c r="N2619" t="str">
        <f>"Tmem9b"</f>
        <v>Tmem9b</v>
      </c>
      <c r="O2619" s="3" t="str">
        <f>HYPERLINK("http://www.informatics.jax.org/marker/MGI:1915254", "MGI:1915254")</f>
        <v>MGI:1915254</v>
      </c>
      <c r="P2619" t="s">
        <v>29732</v>
      </c>
      <c r="Q2619" t="s">
        <v>32</v>
      </c>
      <c r="R2619" t="s">
        <v>20648</v>
      </c>
      <c r="S2619" t="s">
        <v>32</v>
      </c>
      <c r="T2619" t="s">
        <v>32</v>
      </c>
      <c r="U2619" t="s">
        <v>32</v>
      </c>
      <c r="V2619" t="s">
        <v>3948</v>
      </c>
      <c r="W2619" t="s">
        <v>32</v>
      </c>
      <c r="X2619" t="s">
        <v>32</v>
      </c>
      <c r="Y2619" t="s">
        <v>4720</v>
      </c>
      <c r="Z2619" t="s">
        <v>32</v>
      </c>
      <c r="AA2619" t="s">
        <v>32</v>
      </c>
      <c r="AB2619" t="s">
        <v>29733</v>
      </c>
      <c r="AC2619" t="s">
        <v>32</v>
      </c>
      <c r="AD2619" t="s">
        <v>32</v>
      </c>
      <c r="AE2619" t="s">
        <v>32</v>
      </c>
      <c r="AF2619" t="s">
        <v>46835</v>
      </c>
    </row>
    <row r="2620" spans="1:32" x14ac:dyDescent="0.2">
      <c r="A2620">
        <v>2615</v>
      </c>
      <c r="B2620" t="s">
        <v>29734</v>
      </c>
      <c r="C2620" t="s">
        <v>29735</v>
      </c>
      <c r="D2620" t="s">
        <v>32</v>
      </c>
      <c r="E2620" t="s">
        <v>29736</v>
      </c>
      <c r="F2620" t="s">
        <v>29737</v>
      </c>
      <c r="G2620" t="s">
        <v>32</v>
      </c>
      <c r="H2620" t="str">
        <f>"Ccdc9"</f>
        <v>Ccdc9</v>
      </c>
      <c r="I2620" t="s">
        <v>32</v>
      </c>
      <c r="J2620" t="s">
        <v>37</v>
      </c>
      <c r="K2620">
        <v>10090</v>
      </c>
      <c r="L2620" s="3" t="str">
        <f>HYPERLINK("http://www.uniprot.org/uniprot/Q8VC31", "Q8VC31")</f>
        <v>Q8VC31</v>
      </c>
      <c r="M2620" t="s">
        <v>29738</v>
      </c>
      <c r="N2620" t="str">
        <f>"Ccdc9"</f>
        <v>Ccdc9</v>
      </c>
      <c r="O2620" s="3" t="str">
        <f>HYPERLINK("http://www.informatics.jax.org/marker/MGI:1921443", "MGI:1921443")</f>
        <v>MGI:1921443</v>
      </c>
      <c r="P2620" t="s">
        <v>29739</v>
      </c>
      <c r="Q2620" t="s">
        <v>32</v>
      </c>
      <c r="R2620" t="s">
        <v>32</v>
      </c>
      <c r="S2620" t="s">
        <v>32</v>
      </c>
      <c r="T2620" t="s">
        <v>32</v>
      </c>
      <c r="U2620" t="s">
        <v>32</v>
      </c>
      <c r="V2620" t="s">
        <v>290</v>
      </c>
      <c r="W2620" t="s">
        <v>32</v>
      </c>
      <c r="X2620" t="s">
        <v>32</v>
      </c>
      <c r="Y2620" t="s">
        <v>2734</v>
      </c>
      <c r="Z2620" t="s">
        <v>32</v>
      </c>
      <c r="AA2620" t="s">
        <v>32</v>
      </c>
      <c r="AB2620" t="s">
        <v>29740</v>
      </c>
      <c r="AC2620" t="s">
        <v>4711</v>
      </c>
      <c r="AD2620" t="s">
        <v>32</v>
      </c>
      <c r="AE2620" t="s">
        <v>32</v>
      </c>
      <c r="AF2620" t="s">
        <v>46835</v>
      </c>
    </row>
    <row r="2621" spans="1:32" x14ac:dyDescent="0.2">
      <c r="A2621">
        <v>2616</v>
      </c>
      <c r="B2621" t="s">
        <v>29741</v>
      </c>
      <c r="C2621" t="s">
        <v>29742</v>
      </c>
      <c r="D2621" t="s">
        <v>32</v>
      </c>
      <c r="E2621" t="s">
        <v>29743</v>
      </c>
      <c r="F2621" t="s">
        <v>29744</v>
      </c>
      <c r="G2621" t="s">
        <v>29745</v>
      </c>
      <c r="H2621" t="str">
        <f>"Trappc5"</f>
        <v>Trappc5</v>
      </c>
      <c r="I2621" t="s">
        <v>32</v>
      </c>
      <c r="J2621" t="s">
        <v>37</v>
      </c>
      <c r="K2621">
        <v>10090</v>
      </c>
      <c r="L2621" s="3" t="str">
        <f>HYPERLINK("http://www.uniprot.org/uniprot/Q9CQA1", "Q9CQA1")</f>
        <v>Q9CQA1</v>
      </c>
      <c r="M2621" t="s">
        <v>29746</v>
      </c>
      <c r="N2621" t="str">
        <f>"Trappc5"</f>
        <v>Trappc5</v>
      </c>
      <c r="O2621" s="3" t="str">
        <f>HYPERLINK("http://www.informatics.jax.org/marker/MGI:1913932", "MGI:1913932")</f>
        <v>MGI:1913932</v>
      </c>
      <c r="P2621" t="s">
        <v>29747</v>
      </c>
      <c r="Q2621" t="s">
        <v>14011</v>
      </c>
      <c r="R2621" t="s">
        <v>4315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32</v>
      </c>
      <c r="Y2621" t="s">
        <v>618</v>
      </c>
      <c r="Z2621" t="s">
        <v>32</v>
      </c>
      <c r="AA2621" t="s">
        <v>29748</v>
      </c>
      <c r="AB2621" t="s">
        <v>29749</v>
      </c>
      <c r="AC2621" t="s">
        <v>32</v>
      </c>
      <c r="AD2621" t="s">
        <v>32</v>
      </c>
      <c r="AE2621" t="s">
        <v>19968</v>
      </c>
      <c r="AF2621" t="s">
        <v>46835</v>
      </c>
    </row>
    <row r="2622" spans="1:32" x14ac:dyDescent="0.2">
      <c r="A2622">
        <v>2617</v>
      </c>
      <c r="B2622" t="s">
        <v>29750</v>
      </c>
      <c r="C2622" t="s">
        <v>29751</v>
      </c>
      <c r="D2622" t="s">
        <v>29752</v>
      </c>
      <c r="E2622" t="s">
        <v>29753</v>
      </c>
      <c r="F2622" t="s">
        <v>29754</v>
      </c>
      <c r="G2622" t="s">
        <v>29755</v>
      </c>
      <c r="H2622" t="str">
        <f>"Ctsc"</f>
        <v>Ctsc</v>
      </c>
      <c r="I2622" t="s">
        <v>32</v>
      </c>
      <c r="J2622" t="s">
        <v>37</v>
      </c>
      <c r="K2622">
        <v>10090</v>
      </c>
      <c r="L2622" s="3" t="str">
        <f>HYPERLINK("http://www.uniprot.org/uniprot/P97821", "P97821")</f>
        <v>P97821</v>
      </c>
      <c r="M2622" t="s">
        <v>29756</v>
      </c>
      <c r="N2622" t="str">
        <f>"Ctsc"</f>
        <v>Ctsc</v>
      </c>
      <c r="O2622" s="3" t="str">
        <f>HYPERLINK("http://www.informatics.jax.org/marker/MGI:109553", "MGI:109553")</f>
        <v>MGI:109553</v>
      </c>
      <c r="P2622" t="s">
        <v>29757</v>
      </c>
      <c r="Q2622" t="s">
        <v>32</v>
      </c>
      <c r="R2622" t="s">
        <v>13962</v>
      </c>
      <c r="S2622" t="s">
        <v>32</v>
      </c>
      <c r="T2622" t="s">
        <v>32</v>
      </c>
      <c r="U2622" t="s">
        <v>32</v>
      </c>
      <c r="V2622" t="s">
        <v>811</v>
      </c>
      <c r="W2622" t="s">
        <v>7618</v>
      </c>
      <c r="X2622" t="s">
        <v>557</v>
      </c>
      <c r="Y2622" t="s">
        <v>5781</v>
      </c>
      <c r="Z2622" t="s">
        <v>32</v>
      </c>
      <c r="AA2622" t="s">
        <v>29758</v>
      </c>
      <c r="AB2622" t="s">
        <v>29759</v>
      </c>
      <c r="AC2622" t="s">
        <v>29760</v>
      </c>
      <c r="AD2622" t="s">
        <v>32</v>
      </c>
      <c r="AE2622" t="s">
        <v>29761</v>
      </c>
      <c r="AF2622" t="s">
        <v>46835</v>
      </c>
    </row>
    <row r="2623" spans="1:32" x14ac:dyDescent="0.2">
      <c r="A2623">
        <v>2618</v>
      </c>
      <c r="B2623" t="s">
        <v>29762</v>
      </c>
      <c r="C2623" t="s">
        <v>29763</v>
      </c>
      <c r="D2623" t="s">
        <v>29764</v>
      </c>
      <c r="E2623" t="s">
        <v>29765</v>
      </c>
      <c r="F2623" t="s">
        <v>29766</v>
      </c>
      <c r="G2623" t="s">
        <v>29767</v>
      </c>
      <c r="H2623" t="str">
        <f>"Las1l"</f>
        <v>Las1l</v>
      </c>
      <c r="I2623" t="s">
        <v>32</v>
      </c>
      <c r="J2623" t="s">
        <v>37</v>
      </c>
      <c r="K2623">
        <v>10090</v>
      </c>
      <c r="L2623" s="3" t="str">
        <f>HYPERLINK("http://www.uniprot.org/uniprot/A2BE28", "A2BE28")</f>
        <v>A2BE28</v>
      </c>
      <c r="M2623" t="s">
        <v>29768</v>
      </c>
      <c r="N2623" t="str">
        <f>"Las1l"</f>
        <v>Las1l</v>
      </c>
      <c r="O2623" s="3" t="str">
        <f>HYPERLINK("http://www.informatics.jax.org/marker/MGI:1923380", "MGI:1923380")</f>
        <v>MGI:1923380</v>
      </c>
      <c r="P2623" t="s">
        <v>29769</v>
      </c>
      <c r="Q2623" t="s">
        <v>15770</v>
      </c>
      <c r="R2623" t="s">
        <v>40</v>
      </c>
      <c r="S2623" t="s">
        <v>41</v>
      </c>
      <c r="T2623" t="s">
        <v>32</v>
      </c>
      <c r="U2623" t="s">
        <v>32</v>
      </c>
      <c r="V2623" t="s">
        <v>32</v>
      </c>
      <c r="W2623" t="s">
        <v>32</v>
      </c>
      <c r="X2623" t="s">
        <v>32</v>
      </c>
      <c r="Y2623" t="s">
        <v>618</v>
      </c>
      <c r="Z2623" t="s">
        <v>32</v>
      </c>
      <c r="AA2623" t="s">
        <v>29770</v>
      </c>
      <c r="AB2623" t="s">
        <v>29771</v>
      </c>
      <c r="AC2623" t="s">
        <v>29772</v>
      </c>
      <c r="AD2623" t="s">
        <v>32</v>
      </c>
      <c r="AE2623" t="s">
        <v>960</v>
      </c>
      <c r="AF2623" t="s">
        <v>46835</v>
      </c>
    </row>
    <row r="2624" spans="1:32" x14ac:dyDescent="0.2">
      <c r="A2624">
        <v>2619</v>
      </c>
      <c r="B2624" t="s">
        <v>29773</v>
      </c>
      <c r="C2624" t="s">
        <v>29774</v>
      </c>
      <c r="D2624" t="s">
        <v>29775</v>
      </c>
      <c r="E2624" t="s">
        <v>29776</v>
      </c>
      <c r="F2624" t="s">
        <v>29777</v>
      </c>
      <c r="G2624" t="s">
        <v>29778</v>
      </c>
      <c r="H2624" t="str">
        <f>"Cdc42ep4"</f>
        <v>Cdc42ep4</v>
      </c>
      <c r="I2624" t="s">
        <v>29779</v>
      </c>
      <c r="J2624" t="s">
        <v>37</v>
      </c>
      <c r="K2624">
        <v>10090</v>
      </c>
      <c r="L2624" s="3" t="str">
        <f>HYPERLINK("http://www.uniprot.org/uniprot/Q9JM96", "Q9JM96")</f>
        <v>Q9JM96</v>
      </c>
      <c r="M2624" t="s">
        <v>29780</v>
      </c>
      <c r="N2624" t="str">
        <f>"Cdc42ep4"</f>
        <v>Cdc42ep4</v>
      </c>
      <c r="O2624" s="3" t="str">
        <f>HYPERLINK("http://www.informatics.jax.org/marker/MGI:1929760", "MGI:1929760")</f>
        <v>MGI:1929760</v>
      </c>
      <c r="P2624" t="s">
        <v>29781</v>
      </c>
      <c r="Q2624" t="s">
        <v>646</v>
      </c>
      <c r="R2624" t="s">
        <v>2028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32</v>
      </c>
      <c r="Y2624" t="s">
        <v>2734</v>
      </c>
      <c r="Z2624" t="s">
        <v>32</v>
      </c>
      <c r="AA2624" t="s">
        <v>29782</v>
      </c>
      <c r="AB2624" t="s">
        <v>29783</v>
      </c>
      <c r="AC2624" t="s">
        <v>32</v>
      </c>
      <c r="AD2624" t="s">
        <v>32</v>
      </c>
      <c r="AE2624" t="s">
        <v>29784</v>
      </c>
      <c r="AF2624" t="s">
        <v>46835</v>
      </c>
    </row>
    <row r="2625" spans="1:32" x14ac:dyDescent="0.2">
      <c r="A2625">
        <v>2620</v>
      </c>
      <c r="B2625" t="s">
        <v>29785</v>
      </c>
      <c r="C2625" t="s">
        <v>29786</v>
      </c>
      <c r="D2625" t="s">
        <v>29787</v>
      </c>
      <c r="E2625" t="s">
        <v>29788</v>
      </c>
      <c r="F2625" t="s">
        <v>29789</v>
      </c>
      <c r="G2625" t="s">
        <v>32</v>
      </c>
      <c r="H2625" t="str">
        <f>"Prpsap1"</f>
        <v>Prpsap1</v>
      </c>
      <c r="I2625" t="s">
        <v>32</v>
      </c>
      <c r="J2625" t="s">
        <v>37</v>
      </c>
      <c r="K2625">
        <v>10090</v>
      </c>
      <c r="L2625" s="3" t="str">
        <f>HYPERLINK("http://www.uniprot.org/uniprot/Q9D0M1", "Q9D0M1")</f>
        <v>Q9D0M1</v>
      </c>
      <c r="M2625" t="s">
        <v>29790</v>
      </c>
      <c r="N2625" t="str">
        <f>"Prpsap1"</f>
        <v>Prpsap1</v>
      </c>
      <c r="O2625" s="3" t="str">
        <f>HYPERLINK("http://www.informatics.jax.org/marker/MGI:1915013", "MGI:1915013")</f>
        <v>MGI:1915013</v>
      </c>
      <c r="P2625" t="s">
        <v>26743</v>
      </c>
      <c r="Q2625" t="s">
        <v>16817</v>
      </c>
      <c r="R2625" t="s">
        <v>32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32</v>
      </c>
      <c r="Y2625" t="s">
        <v>157</v>
      </c>
      <c r="Z2625" t="s">
        <v>32</v>
      </c>
      <c r="AA2625" t="s">
        <v>29791</v>
      </c>
      <c r="AB2625" t="s">
        <v>26745</v>
      </c>
      <c r="AC2625" t="s">
        <v>29792</v>
      </c>
      <c r="AD2625" t="s">
        <v>32</v>
      </c>
      <c r="AE2625" t="s">
        <v>32</v>
      </c>
      <c r="AF2625" t="s">
        <v>46835</v>
      </c>
    </row>
    <row r="2626" spans="1:32" x14ac:dyDescent="0.2">
      <c r="A2626">
        <v>2621</v>
      </c>
      <c r="B2626" t="s">
        <v>29793</v>
      </c>
      <c r="C2626" t="s">
        <v>29794</v>
      </c>
      <c r="D2626" t="s">
        <v>32</v>
      </c>
      <c r="E2626" t="s">
        <v>29795</v>
      </c>
      <c r="F2626" t="s">
        <v>29796</v>
      </c>
      <c r="G2626" t="s">
        <v>29797</v>
      </c>
      <c r="H2626" t="str">
        <f>"Ppp2cb"</f>
        <v>Ppp2cb</v>
      </c>
      <c r="I2626" t="s">
        <v>32</v>
      </c>
      <c r="J2626" t="s">
        <v>37</v>
      </c>
      <c r="K2626">
        <v>10090</v>
      </c>
      <c r="L2626" s="3" t="str">
        <f>HYPERLINK("http://www.uniprot.org/uniprot/P62715", "P62715")</f>
        <v>P62715</v>
      </c>
      <c r="M2626" t="s">
        <v>29798</v>
      </c>
      <c r="N2626" t="str">
        <f>"Ppp2cb"</f>
        <v>Ppp2cb</v>
      </c>
      <c r="O2626" s="3" t="str">
        <f>HYPERLINK("http://www.informatics.jax.org/marker/MGI:1321161", "MGI:1321161")</f>
        <v>MGI:1321161</v>
      </c>
      <c r="P2626" t="s">
        <v>29799</v>
      </c>
      <c r="Q2626" t="s">
        <v>32</v>
      </c>
      <c r="R2626" t="s">
        <v>9813</v>
      </c>
      <c r="S2626" t="s">
        <v>32</v>
      </c>
      <c r="T2626" t="s">
        <v>32</v>
      </c>
      <c r="U2626" t="s">
        <v>32</v>
      </c>
      <c r="V2626" t="s">
        <v>32</v>
      </c>
      <c r="W2626" t="s">
        <v>5883</v>
      </c>
      <c r="X2626" t="s">
        <v>3683</v>
      </c>
      <c r="Y2626" t="s">
        <v>18842</v>
      </c>
      <c r="Z2626" t="s">
        <v>32</v>
      </c>
      <c r="AA2626" t="s">
        <v>29800</v>
      </c>
      <c r="AB2626" t="s">
        <v>29801</v>
      </c>
      <c r="AC2626" t="s">
        <v>29802</v>
      </c>
      <c r="AD2626" t="s">
        <v>32</v>
      </c>
      <c r="AE2626" t="s">
        <v>29803</v>
      </c>
      <c r="AF2626" t="s">
        <v>46835</v>
      </c>
    </row>
    <row r="2627" spans="1:32" x14ac:dyDescent="0.2">
      <c r="A2627">
        <v>2622</v>
      </c>
      <c r="B2627" t="s">
        <v>29804</v>
      </c>
      <c r="C2627" t="s">
        <v>29805</v>
      </c>
      <c r="D2627" t="s">
        <v>29806</v>
      </c>
      <c r="E2627" t="s">
        <v>29807</v>
      </c>
      <c r="F2627" t="s">
        <v>29808</v>
      </c>
      <c r="G2627" t="s">
        <v>29809</v>
      </c>
      <c r="H2627" t="str">
        <f>"Prpf3"</f>
        <v>Prpf3</v>
      </c>
      <c r="I2627" t="s">
        <v>32</v>
      </c>
      <c r="J2627" t="s">
        <v>37</v>
      </c>
      <c r="K2627">
        <v>10090</v>
      </c>
      <c r="L2627" s="3" t="str">
        <f>HYPERLINK("http://www.uniprot.org/uniprot/Q922U1", "Q922U1")</f>
        <v>Q922U1</v>
      </c>
      <c r="M2627" t="s">
        <v>29810</v>
      </c>
      <c r="N2627" t="str">
        <f>"Prpf3"</f>
        <v>Prpf3</v>
      </c>
      <c r="O2627" s="3" t="str">
        <f>HYPERLINK("http://www.informatics.jax.org/marker/MGI:1918017", "MGI:1918017")</f>
        <v>MGI:1918017</v>
      </c>
      <c r="P2627" t="s">
        <v>29811</v>
      </c>
      <c r="Q2627" t="s">
        <v>2139</v>
      </c>
      <c r="R2627" t="s">
        <v>2140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32</v>
      </c>
      <c r="Y2627" t="s">
        <v>1007</v>
      </c>
      <c r="Z2627" t="s">
        <v>32</v>
      </c>
      <c r="AA2627" t="s">
        <v>29812</v>
      </c>
      <c r="AB2627" t="s">
        <v>29813</v>
      </c>
      <c r="AC2627" t="s">
        <v>4516</v>
      </c>
      <c r="AD2627" t="s">
        <v>32</v>
      </c>
      <c r="AE2627" t="s">
        <v>946</v>
      </c>
      <c r="AF2627" t="s">
        <v>46835</v>
      </c>
    </row>
    <row r="2628" spans="1:32" x14ac:dyDescent="0.2">
      <c r="A2628">
        <v>2623</v>
      </c>
      <c r="B2628" t="s">
        <v>29814</v>
      </c>
      <c r="C2628" t="s">
        <v>29815</v>
      </c>
      <c r="D2628" t="s">
        <v>29816</v>
      </c>
      <c r="E2628" t="s">
        <v>29817</v>
      </c>
      <c r="F2628" t="s">
        <v>29818</v>
      </c>
      <c r="G2628" t="s">
        <v>29819</v>
      </c>
      <c r="H2628" t="str">
        <f>"Ak1"</f>
        <v>Ak1</v>
      </c>
      <c r="I2628" t="s">
        <v>32</v>
      </c>
      <c r="J2628" t="s">
        <v>37</v>
      </c>
      <c r="K2628">
        <v>10090</v>
      </c>
      <c r="L2628" s="3" t="str">
        <f>HYPERLINK("http://www.uniprot.org/uniprot/Q9R0Y5", "Q9R0Y5")</f>
        <v>Q9R0Y5</v>
      </c>
      <c r="M2628" t="s">
        <v>29820</v>
      </c>
      <c r="N2628" t="str">
        <f>"Ak1"</f>
        <v>Ak1</v>
      </c>
      <c r="O2628" s="3" t="str">
        <f>HYPERLINK("http://www.informatics.jax.org/marker/MGI:87977", "MGI:87977")</f>
        <v>MGI:87977</v>
      </c>
      <c r="P2628" t="s">
        <v>29821</v>
      </c>
      <c r="Q2628" t="s">
        <v>32</v>
      </c>
      <c r="R2628" t="s">
        <v>418</v>
      </c>
      <c r="S2628" t="s">
        <v>41</v>
      </c>
      <c r="T2628" t="s">
        <v>32</v>
      </c>
      <c r="U2628" t="s">
        <v>32</v>
      </c>
      <c r="V2628" t="s">
        <v>32</v>
      </c>
      <c r="W2628" t="s">
        <v>205</v>
      </c>
      <c r="X2628" t="s">
        <v>419</v>
      </c>
      <c r="Y2628" t="s">
        <v>157</v>
      </c>
      <c r="Z2628" t="s">
        <v>32</v>
      </c>
      <c r="AA2628" t="s">
        <v>29822</v>
      </c>
      <c r="AB2628" t="s">
        <v>29823</v>
      </c>
      <c r="AC2628" t="s">
        <v>29824</v>
      </c>
      <c r="AD2628" t="s">
        <v>32</v>
      </c>
      <c r="AE2628" t="s">
        <v>6139</v>
      </c>
      <c r="AF2628" t="s">
        <v>46835</v>
      </c>
    </row>
    <row r="2629" spans="1:32" x14ac:dyDescent="0.2">
      <c r="A2629">
        <v>2624</v>
      </c>
      <c r="B2629" t="s">
        <v>29825</v>
      </c>
      <c r="C2629" t="s">
        <v>29826</v>
      </c>
      <c r="D2629" t="s">
        <v>29827</v>
      </c>
      <c r="E2629" t="s">
        <v>29828</v>
      </c>
      <c r="F2629" t="s">
        <v>29829</v>
      </c>
      <c r="G2629" t="s">
        <v>29830</v>
      </c>
      <c r="H2629" t="str">
        <f>"Hdac2"</f>
        <v>Hdac2</v>
      </c>
      <c r="I2629" t="s">
        <v>29831</v>
      </c>
      <c r="J2629" t="s">
        <v>37</v>
      </c>
      <c r="K2629">
        <v>10090</v>
      </c>
      <c r="L2629" s="3" t="str">
        <f>HYPERLINK("http://www.uniprot.org/uniprot/P70288", "P70288")</f>
        <v>P70288</v>
      </c>
      <c r="M2629" t="s">
        <v>29832</v>
      </c>
      <c r="N2629" t="str">
        <f>"Hdac2"</f>
        <v>Hdac2</v>
      </c>
      <c r="O2629" s="3" t="str">
        <f>HYPERLINK("http://www.informatics.jax.org/marker/MGI:1097691", "MGI:1097691")</f>
        <v>MGI:1097691</v>
      </c>
      <c r="P2629" t="s">
        <v>29833</v>
      </c>
      <c r="Q2629" t="s">
        <v>1992</v>
      </c>
      <c r="R2629" t="s">
        <v>40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24179</v>
      </c>
      <c r="Y2629" t="s">
        <v>6761</v>
      </c>
      <c r="Z2629" t="s">
        <v>32</v>
      </c>
      <c r="AA2629" t="s">
        <v>29834</v>
      </c>
      <c r="AB2629" t="s">
        <v>29835</v>
      </c>
      <c r="AC2629" t="s">
        <v>29836</v>
      </c>
      <c r="AD2629" t="s">
        <v>32</v>
      </c>
      <c r="AE2629" t="s">
        <v>29837</v>
      </c>
      <c r="AF2629" t="s">
        <v>46835</v>
      </c>
    </row>
    <row r="2630" spans="1:32" x14ac:dyDescent="0.2">
      <c r="A2630">
        <v>2625</v>
      </c>
      <c r="B2630" t="s">
        <v>29838</v>
      </c>
      <c r="C2630" t="s">
        <v>29839</v>
      </c>
      <c r="D2630" t="s">
        <v>29840</v>
      </c>
      <c r="E2630" t="s">
        <v>29841</v>
      </c>
      <c r="F2630" t="s">
        <v>29842</v>
      </c>
      <c r="G2630" t="s">
        <v>29843</v>
      </c>
      <c r="H2630" t="str">
        <f>"Micu1"</f>
        <v>Micu1</v>
      </c>
      <c r="I2630" t="s">
        <v>29844</v>
      </c>
      <c r="J2630" t="s">
        <v>37</v>
      </c>
      <c r="K2630">
        <v>10090</v>
      </c>
      <c r="L2630" s="3" t="str">
        <f>HYPERLINK("http://www.uniprot.org/uniprot/Q8VCX5", "Q8VCX5")</f>
        <v>Q8VCX5</v>
      </c>
      <c r="M2630" t="s">
        <v>29845</v>
      </c>
      <c r="N2630" t="str">
        <f>"Micu1"</f>
        <v>Micu1</v>
      </c>
      <c r="O2630" s="3" t="str">
        <f>HYPERLINK("http://www.informatics.jax.org/marker/MGI:2384909", "MGI:2384909")</f>
        <v>MGI:2384909</v>
      </c>
      <c r="P2630" t="s">
        <v>29846</v>
      </c>
      <c r="Q2630" t="s">
        <v>4052</v>
      </c>
      <c r="R2630" t="s">
        <v>3858</v>
      </c>
      <c r="S2630" t="s">
        <v>41</v>
      </c>
      <c r="T2630" t="s">
        <v>32</v>
      </c>
      <c r="U2630" t="s">
        <v>32</v>
      </c>
      <c r="V2630" t="s">
        <v>6166</v>
      </c>
      <c r="W2630" t="s">
        <v>188</v>
      </c>
      <c r="X2630" t="s">
        <v>32</v>
      </c>
      <c r="Y2630" t="s">
        <v>494</v>
      </c>
      <c r="Z2630" t="s">
        <v>32</v>
      </c>
      <c r="AA2630" t="s">
        <v>29847</v>
      </c>
      <c r="AB2630" t="s">
        <v>29848</v>
      </c>
      <c r="AC2630" t="s">
        <v>29849</v>
      </c>
      <c r="AD2630" t="s">
        <v>32</v>
      </c>
      <c r="AE2630" t="s">
        <v>29850</v>
      </c>
      <c r="AF2630" t="s">
        <v>46835</v>
      </c>
    </row>
    <row r="2631" spans="1:32" x14ac:dyDescent="0.2">
      <c r="A2631">
        <v>2626</v>
      </c>
      <c r="B2631" t="s">
        <v>29851</v>
      </c>
      <c r="C2631" t="s">
        <v>29852</v>
      </c>
      <c r="D2631" t="s">
        <v>29853</v>
      </c>
      <c r="E2631" t="s">
        <v>29854</v>
      </c>
      <c r="F2631" t="s">
        <v>29855</v>
      </c>
      <c r="G2631" t="s">
        <v>29856</v>
      </c>
      <c r="H2631" t="str">
        <f>"Jmjd6"</f>
        <v>Jmjd6</v>
      </c>
      <c r="I2631" t="s">
        <v>29857</v>
      </c>
      <c r="J2631" t="s">
        <v>37</v>
      </c>
      <c r="K2631">
        <v>10090</v>
      </c>
      <c r="L2631" s="3" t="str">
        <f>HYPERLINK("http://www.uniprot.org/uniprot/Q9ERI5", "Q9ERI5")</f>
        <v>Q9ERI5</v>
      </c>
      <c r="M2631" t="s">
        <v>29858</v>
      </c>
      <c r="N2631" t="str">
        <f>"Jmjd6"</f>
        <v>Jmjd6</v>
      </c>
      <c r="O2631" s="3" t="str">
        <f>HYPERLINK("http://www.informatics.jax.org/marker/MGI:1858910", "MGI:1858910")</f>
        <v>MGI:1858910</v>
      </c>
      <c r="P2631" t="s">
        <v>29859</v>
      </c>
      <c r="Q2631" t="s">
        <v>29860</v>
      </c>
      <c r="R2631" t="s">
        <v>40</v>
      </c>
      <c r="S2631" t="s">
        <v>41</v>
      </c>
      <c r="T2631" t="s">
        <v>32</v>
      </c>
      <c r="U2631" t="s">
        <v>32</v>
      </c>
      <c r="V2631" t="s">
        <v>32</v>
      </c>
      <c r="W2631" t="s">
        <v>845</v>
      </c>
      <c r="X2631" t="s">
        <v>29861</v>
      </c>
      <c r="Y2631" t="s">
        <v>32</v>
      </c>
      <c r="Z2631" t="s">
        <v>32</v>
      </c>
      <c r="AA2631" t="s">
        <v>29862</v>
      </c>
      <c r="AB2631" t="s">
        <v>29863</v>
      </c>
      <c r="AC2631" t="s">
        <v>29864</v>
      </c>
      <c r="AD2631" t="s">
        <v>32</v>
      </c>
      <c r="AE2631" t="s">
        <v>24689</v>
      </c>
      <c r="AF2631" t="s">
        <v>46835</v>
      </c>
    </row>
    <row r="2632" spans="1:32" x14ac:dyDescent="0.2">
      <c r="A2632">
        <v>2627</v>
      </c>
      <c r="B2632" t="s">
        <v>29865</v>
      </c>
      <c r="C2632" t="s">
        <v>29866</v>
      </c>
      <c r="D2632" t="s">
        <v>32</v>
      </c>
      <c r="E2632" t="s">
        <v>29867</v>
      </c>
      <c r="F2632" t="s">
        <v>29868</v>
      </c>
      <c r="G2632" t="s">
        <v>29869</v>
      </c>
      <c r="H2632" t="str">
        <f>"Vldlr"</f>
        <v>Vldlr</v>
      </c>
      <c r="I2632" t="s">
        <v>32</v>
      </c>
      <c r="J2632" t="s">
        <v>37</v>
      </c>
      <c r="K2632">
        <v>10090</v>
      </c>
      <c r="L2632" s="3" t="str">
        <f>HYPERLINK("http://www.uniprot.org/uniprot/P98156", "P98156")</f>
        <v>P98156</v>
      </c>
      <c r="M2632" t="s">
        <v>29870</v>
      </c>
      <c r="N2632" t="str">
        <f>"Vldlr"</f>
        <v>Vldlr</v>
      </c>
      <c r="O2632" s="3" t="str">
        <f>HYPERLINK("http://www.informatics.jax.org/marker/MGI:98935", "MGI:98935")</f>
        <v>MGI:98935</v>
      </c>
      <c r="P2632" t="s">
        <v>29871</v>
      </c>
      <c r="Q2632" t="s">
        <v>29872</v>
      </c>
      <c r="R2632" t="s">
        <v>29873</v>
      </c>
      <c r="S2632" t="s">
        <v>32</v>
      </c>
      <c r="T2632" t="s">
        <v>32</v>
      </c>
      <c r="U2632" t="s">
        <v>32</v>
      </c>
      <c r="V2632" t="s">
        <v>9013</v>
      </c>
      <c r="W2632" t="s">
        <v>32</v>
      </c>
      <c r="X2632" t="s">
        <v>6983</v>
      </c>
      <c r="Y2632" t="s">
        <v>29874</v>
      </c>
      <c r="Z2632" t="s">
        <v>32</v>
      </c>
      <c r="AA2632" t="s">
        <v>29875</v>
      </c>
      <c r="AB2632" t="s">
        <v>29876</v>
      </c>
      <c r="AC2632" t="s">
        <v>29877</v>
      </c>
      <c r="AD2632" t="s">
        <v>32</v>
      </c>
      <c r="AE2632" t="s">
        <v>29878</v>
      </c>
      <c r="AF2632" t="s">
        <v>46835</v>
      </c>
    </row>
    <row r="2633" spans="1:32" x14ac:dyDescent="0.2">
      <c r="A2633">
        <v>2628</v>
      </c>
      <c r="B2633" t="s">
        <v>29879</v>
      </c>
      <c r="C2633" t="s">
        <v>29880</v>
      </c>
      <c r="D2633" t="s">
        <v>32</v>
      </c>
      <c r="E2633" t="s">
        <v>29881</v>
      </c>
      <c r="F2633" t="s">
        <v>29882</v>
      </c>
      <c r="G2633" t="s">
        <v>29883</v>
      </c>
      <c r="H2633" t="str">
        <f>"Ubxn7"</f>
        <v>Ubxn7</v>
      </c>
      <c r="I2633" t="s">
        <v>29884</v>
      </c>
      <c r="J2633" t="s">
        <v>37</v>
      </c>
      <c r="K2633">
        <v>10090</v>
      </c>
      <c r="L2633" s="3" t="str">
        <f>HYPERLINK("http://www.uniprot.org/uniprot/Q6P5G6", "Q6P5G6")</f>
        <v>Q6P5G6</v>
      </c>
      <c r="M2633" t="s">
        <v>29885</v>
      </c>
      <c r="N2633" t="str">
        <f>"Ubxn7"</f>
        <v>Ubxn7</v>
      </c>
      <c r="O2633" s="3" t="str">
        <f>HYPERLINK("http://www.informatics.jax.org/marker/MGI:2146388", "MGI:2146388")</f>
        <v>MGI:2146388</v>
      </c>
      <c r="P2633" t="s">
        <v>28040</v>
      </c>
      <c r="Q2633" t="s">
        <v>32</v>
      </c>
      <c r="R2633" t="s">
        <v>2279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32</v>
      </c>
      <c r="Y2633" t="s">
        <v>516</v>
      </c>
      <c r="Z2633" t="s">
        <v>32</v>
      </c>
      <c r="AA2633" t="s">
        <v>5542</v>
      </c>
      <c r="AB2633" t="s">
        <v>29886</v>
      </c>
      <c r="AC2633" t="s">
        <v>29887</v>
      </c>
      <c r="AD2633" t="s">
        <v>32</v>
      </c>
      <c r="AE2633" t="s">
        <v>29888</v>
      </c>
      <c r="AF2633" t="s">
        <v>46835</v>
      </c>
    </row>
    <row r="2634" spans="1:32" x14ac:dyDescent="0.2">
      <c r="A2634">
        <v>2629</v>
      </c>
      <c r="B2634" t="s">
        <v>29889</v>
      </c>
      <c r="C2634" t="s">
        <v>29890</v>
      </c>
      <c r="D2634" t="s">
        <v>29891</v>
      </c>
      <c r="E2634" t="s">
        <v>29892</v>
      </c>
      <c r="F2634" t="s">
        <v>29893</v>
      </c>
      <c r="G2634" t="s">
        <v>29894</v>
      </c>
      <c r="H2634" t="str">
        <f>"Lyar"</f>
        <v>Lyar</v>
      </c>
      <c r="I2634" t="s">
        <v>32</v>
      </c>
      <c r="J2634" t="s">
        <v>37</v>
      </c>
      <c r="K2634">
        <v>10090</v>
      </c>
      <c r="L2634" s="3" t="str">
        <f>HYPERLINK("http://www.uniprot.org/uniprot/Q08288", "Q08288")</f>
        <v>Q08288</v>
      </c>
      <c r="M2634" t="s">
        <v>29895</v>
      </c>
      <c r="N2634" t="str">
        <f>"Lyar"</f>
        <v>Lyar</v>
      </c>
      <c r="O2634" s="3" t="str">
        <f>HYPERLINK("http://www.informatics.jax.org/marker/MGI:107470", "MGI:107470")</f>
        <v>MGI:107470</v>
      </c>
      <c r="P2634" t="s">
        <v>29896</v>
      </c>
      <c r="Q2634" t="s">
        <v>10237</v>
      </c>
      <c r="R2634" t="s">
        <v>1952</v>
      </c>
      <c r="S2634" t="s">
        <v>32</v>
      </c>
      <c r="T2634" t="s">
        <v>32</v>
      </c>
      <c r="U2634" t="s">
        <v>32</v>
      </c>
      <c r="V2634" t="s">
        <v>12028</v>
      </c>
      <c r="W2634" t="s">
        <v>42</v>
      </c>
      <c r="X2634" t="s">
        <v>7046</v>
      </c>
      <c r="Y2634" t="s">
        <v>7792</v>
      </c>
      <c r="Z2634" t="s">
        <v>126</v>
      </c>
      <c r="AA2634" t="s">
        <v>29897</v>
      </c>
      <c r="AB2634" t="s">
        <v>29898</v>
      </c>
      <c r="AC2634" t="s">
        <v>29899</v>
      </c>
      <c r="AD2634" t="s">
        <v>32</v>
      </c>
      <c r="AE2634" t="s">
        <v>32</v>
      </c>
      <c r="AF2634" t="s">
        <v>46835</v>
      </c>
    </row>
    <row r="2635" spans="1:32" x14ac:dyDescent="0.2">
      <c r="A2635">
        <v>2630</v>
      </c>
      <c r="B2635" t="s">
        <v>29900</v>
      </c>
      <c r="C2635" t="s">
        <v>29901</v>
      </c>
      <c r="D2635" t="s">
        <v>29902</v>
      </c>
      <c r="E2635" t="s">
        <v>29903</v>
      </c>
      <c r="F2635" t="s">
        <v>29904</v>
      </c>
      <c r="G2635" t="s">
        <v>29905</v>
      </c>
      <c r="H2635" t="str">
        <f>"Washc5"</f>
        <v>Washc5</v>
      </c>
      <c r="I2635" t="s">
        <v>29906</v>
      </c>
      <c r="J2635" t="s">
        <v>37</v>
      </c>
      <c r="K2635">
        <v>10090</v>
      </c>
      <c r="L2635" s="3" t="str">
        <f>HYPERLINK("http://www.uniprot.org/uniprot/Q8C2E7", "Q8C2E7")</f>
        <v>Q8C2E7</v>
      </c>
      <c r="M2635" t="s">
        <v>29907</v>
      </c>
      <c r="N2635" t="str">
        <f>"Washc5"</f>
        <v>Washc5</v>
      </c>
      <c r="O2635" s="3" t="str">
        <f>HYPERLINK("http://www.informatics.jax.org/marker/MGI:2146110", "MGI:2146110")</f>
        <v>MGI:2146110</v>
      </c>
      <c r="P2635" t="s">
        <v>29908</v>
      </c>
      <c r="Q2635" t="s">
        <v>434</v>
      </c>
      <c r="R2635" t="s">
        <v>29909</v>
      </c>
      <c r="S2635" t="s">
        <v>41</v>
      </c>
      <c r="T2635" t="s">
        <v>32</v>
      </c>
      <c r="U2635" t="s">
        <v>32</v>
      </c>
      <c r="V2635" t="s">
        <v>32</v>
      </c>
      <c r="W2635" t="s">
        <v>32</v>
      </c>
      <c r="X2635" t="s">
        <v>32</v>
      </c>
      <c r="Y2635" t="s">
        <v>32</v>
      </c>
      <c r="Z2635" t="s">
        <v>32</v>
      </c>
      <c r="AA2635" t="s">
        <v>29910</v>
      </c>
      <c r="AB2635" t="s">
        <v>29911</v>
      </c>
      <c r="AC2635" t="s">
        <v>4516</v>
      </c>
      <c r="AD2635" t="s">
        <v>32</v>
      </c>
      <c r="AE2635" t="s">
        <v>32</v>
      </c>
      <c r="AF2635" t="s">
        <v>46835</v>
      </c>
    </row>
    <row r="2636" spans="1:32" x14ac:dyDescent="0.2">
      <c r="A2636">
        <v>2631</v>
      </c>
      <c r="B2636" t="s">
        <v>29912</v>
      </c>
      <c r="C2636" t="s">
        <v>29913</v>
      </c>
      <c r="D2636" t="s">
        <v>29914</v>
      </c>
      <c r="E2636" t="s">
        <v>29915</v>
      </c>
      <c r="F2636" t="s">
        <v>29916</v>
      </c>
      <c r="G2636" t="s">
        <v>29917</v>
      </c>
      <c r="H2636" t="str">
        <f>"Tomm22"</f>
        <v>Tomm22</v>
      </c>
      <c r="I2636" t="s">
        <v>29918</v>
      </c>
      <c r="J2636" t="s">
        <v>37</v>
      </c>
      <c r="K2636">
        <v>10090</v>
      </c>
      <c r="L2636" s="3" t="str">
        <f>HYPERLINK("http://www.uniprot.org/uniprot/Q9CPQ3", "Q9CPQ3")</f>
        <v>Q9CPQ3</v>
      </c>
      <c r="M2636" t="s">
        <v>29919</v>
      </c>
      <c r="N2636" t="str">
        <f>"Tomm22"</f>
        <v>Tomm22</v>
      </c>
      <c r="O2636" s="3" t="str">
        <f>HYPERLINK("http://www.informatics.jax.org/marker/MGI:2450248", "MGI:2450248")</f>
        <v>MGI:2450248</v>
      </c>
      <c r="P2636" t="s">
        <v>29920</v>
      </c>
      <c r="Q2636" t="s">
        <v>4270</v>
      </c>
      <c r="R2636" t="s">
        <v>4782</v>
      </c>
      <c r="S2636" t="s">
        <v>32</v>
      </c>
      <c r="T2636" t="s">
        <v>32</v>
      </c>
      <c r="U2636" t="s">
        <v>32</v>
      </c>
      <c r="V2636" t="s">
        <v>493</v>
      </c>
      <c r="W2636" t="s">
        <v>32</v>
      </c>
      <c r="X2636" t="s">
        <v>6983</v>
      </c>
      <c r="Y2636" t="s">
        <v>157</v>
      </c>
      <c r="Z2636" t="s">
        <v>32</v>
      </c>
      <c r="AA2636" t="s">
        <v>29921</v>
      </c>
      <c r="AB2636" t="s">
        <v>29922</v>
      </c>
      <c r="AC2636" t="s">
        <v>29923</v>
      </c>
      <c r="AD2636" t="s">
        <v>32</v>
      </c>
      <c r="AE2636" t="s">
        <v>19748</v>
      </c>
      <c r="AF2636" t="s">
        <v>46835</v>
      </c>
    </row>
    <row r="2637" spans="1:32" x14ac:dyDescent="0.2">
      <c r="A2637">
        <v>2632</v>
      </c>
      <c r="B2637" t="s">
        <v>29924</v>
      </c>
      <c r="C2637" t="s">
        <v>29925</v>
      </c>
      <c r="D2637" t="s">
        <v>29926</v>
      </c>
      <c r="E2637" t="s">
        <v>29927</v>
      </c>
      <c r="F2637" t="s">
        <v>29928</v>
      </c>
      <c r="G2637" t="s">
        <v>29929</v>
      </c>
      <c r="H2637" t="str">
        <f>"Bag2"</f>
        <v>Bag2</v>
      </c>
      <c r="I2637" t="s">
        <v>32</v>
      </c>
      <c r="J2637" t="s">
        <v>37</v>
      </c>
      <c r="K2637">
        <v>10090</v>
      </c>
      <c r="L2637" s="3" t="str">
        <f>HYPERLINK("http://www.uniprot.org/uniprot/Q91YN9", "Q91YN9")</f>
        <v>Q91YN9</v>
      </c>
      <c r="M2637" t="s">
        <v>29930</v>
      </c>
      <c r="N2637" t="str">
        <f>"Bag2"</f>
        <v>Bag2</v>
      </c>
      <c r="O2637" s="3" t="str">
        <f>HYPERLINK("http://www.informatics.jax.org/marker/MGI:1891254", "MGI:1891254")</f>
        <v>MGI:1891254</v>
      </c>
      <c r="P2637" t="s">
        <v>29931</v>
      </c>
      <c r="Q2637" t="s">
        <v>32</v>
      </c>
      <c r="R2637" t="s">
        <v>32</v>
      </c>
      <c r="S2637" t="s">
        <v>32</v>
      </c>
      <c r="T2637" t="s">
        <v>32</v>
      </c>
      <c r="U2637" t="s">
        <v>32</v>
      </c>
      <c r="V2637" t="s">
        <v>290</v>
      </c>
      <c r="W2637" t="s">
        <v>32</v>
      </c>
      <c r="X2637" t="s">
        <v>388</v>
      </c>
      <c r="Y2637" t="s">
        <v>157</v>
      </c>
      <c r="Z2637" t="s">
        <v>126</v>
      </c>
      <c r="AA2637" t="s">
        <v>29932</v>
      </c>
      <c r="AB2637" t="s">
        <v>29933</v>
      </c>
      <c r="AC2637" t="s">
        <v>29934</v>
      </c>
      <c r="AD2637" t="s">
        <v>32</v>
      </c>
      <c r="AE2637" t="s">
        <v>1445</v>
      </c>
      <c r="AF2637" t="s">
        <v>46835</v>
      </c>
    </row>
    <row r="2638" spans="1:32" x14ac:dyDescent="0.2">
      <c r="A2638">
        <v>2633</v>
      </c>
      <c r="B2638" t="s">
        <v>29935</v>
      </c>
      <c r="C2638" t="s">
        <v>29936</v>
      </c>
      <c r="D2638" t="s">
        <v>29937</v>
      </c>
      <c r="E2638" t="s">
        <v>29938</v>
      </c>
      <c r="F2638" t="s">
        <v>29939</v>
      </c>
      <c r="G2638" t="s">
        <v>32</v>
      </c>
      <c r="H2638" t="str">
        <f>"Arfgef2"</f>
        <v>Arfgef2</v>
      </c>
      <c r="I2638" t="s">
        <v>29940</v>
      </c>
      <c r="J2638" t="s">
        <v>37</v>
      </c>
      <c r="K2638">
        <v>10090</v>
      </c>
      <c r="L2638" s="3" t="str">
        <f>HYPERLINK("http://www.uniprot.org/uniprot/A2A5R2", "A2A5R2")</f>
        <v>A2A5R2</v>
      </c>
      <c r="M2638" t="s">
        <v>29941</v>
      </c>
      <c r="N2638" t="str">
        <f>"Arfgef2"</f>
        <v>Arfgef2</v>
      </c>
      <c r="O2638" s="3" t="str">
        <f>HYPERLINK("http://www.informatics.jax.org/marker/MGI:2139354", "MGI:2139354")</f>
        <v>MGI:2139354</v>
      </c>
      <c r="P2638" t="s">
        <v>29942</v>
      </c>
      <c r="Q2638" t="s">
        <v>434</v>
      </c>
      <c r="R2638" t="s">
        <v>29943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5011</v>
      </c>
      <c r="Y2638" t="s">
        <v>157</v>
      </c>
      <c r="Z2638" t="s">
        <v>32</v>
      </c>
      <c r="AA2638" t="s">
        <v>29944</v>
      </c>
      <c r="AB2638" t="s">
        <v>29945</v>
      </c>
      <c r="AC2638" t="s">
        <v>29946</v>
      </c>
      <c r="AD2638" t="s">
        <v>32</v>
      </c>
      <c r="AE2638" t="s">
        <v>32</v>
      </c>
      <c r="AF2638" t="s">
        <v>46835</v>
      </c>
    </row>
    <row r="2639" spans="1:32" x14ac:dyDescent="0.2">
      <c r="A2639">
        <v>2634</v>
      </c>
      <c r="B2639" t="s">
        <v>29947</v>
      </c>
      <c r="C2639" t="s">
        <v>29948</v>
      </c>
      <c r="D2639" t="s">
        <v>32</v>
      </c>
      <c r="E2639" t="s">
        <v>29949</v>
      </c>
      <c r="F2639" t="s">
        <v>29950</v>
      </c>
      <c r="G2639" t="s">
        <v>29951</v>
      </c>
      <c r="H2639" t="str">
        <f>"Sympk"</f>
        <v>Sympk</v>
      </c>
      <c r="I2639" t="s">
        <v>32</v>
      </c>
      <c r="J2639" t="s">
        <v>37</v>
      </c>
      <c r="K2639">
        <v>10090</v>
      </c>
      <c r="L2639" s="3" t="str">
        <f>HYPERLINK("http://www.uniprot.org/uniprot/Q80X82", "Q80X82")</f>
        <v>Q80X82</v>
      </c>
      <c r="M2639" t="s">
        <v>29952</v>
      </c>
      <c r="N2639" t="str">
        <f>"Sympk"</f>
        <v>Sympk</v>
      </c>
      <c r="O2639" s="3" t="str">
        <f>HYPERLINK("http://www.informatics.jax.org/marker/MGI:1915438", "MGI:1915438")</f>
        <v>MGI:1915438</v>
      </c>
      <c r="P2639" t="s">
        <v>29953</v>
      </c>
      <c r="Q2639" t="s">
        <v>29954</v>
      </c>
      <c r="R2639" t="s">
        <v>29955</v>
      </c>
      <c r="S2639" t="s">
        <v>32</v>
      </c>
      <c r="T2639" t="s">
        <v>32</v>
      </c>
      <c r="U2639" t="s">
        <v>32</v>
      </c>
      <c r="V2639" t="s">
        <v>55</v>
      </c>
      <c r="W2639" t="s">
        <v>32</v>
      </c>
      <c r="X2639" t="s">
        <v>32</v>
      </c>
      <c r="Y2639" t="s">
        <v>1007</v>
      </c>
      <c r="Z2639" t="s">
        <v>32</v>
      </c>
      <c r="AA2639" t="s">
        <v>29956</v>
      </c>
      <c r="AB2639" t="s">
        <v>29957</v>
      </c>
      <c r="AC2639" t="s">
        <v>32</v>
      </c>
      <c r="AD2639" t="s">
        <v>32</v>
      </c>
      <c r="AE2639" t="s">
        <v>23657</v>
      </c>
      <c r="AF2639" t="s">
        <v>46835</v>
      </c>
    </row>
    <row r="2640" spans="1:32" x14ac:dyDescent="0.2">
      <c r="A2640">
        <v>2635</v>
      </c>
      <c r="B2640" t="s">
        <v>29958</v>
      </c>
      <c r="C2640" t="s">
        <v>29959</v>
      </c>
      <c r="D2640" t="s">
        <v>29960</v>
      </c>
      <c r="E2640" t="s">
        <v>29961</v>
      </c>
      <c r="F2640" t="s">
        <v>29962</v>
      </c>
      <c r="G2640" t="s">
        <v>29963</v>
      </c>
      <c r="H2640" t="str">
        <f>"Pdk3"</f>
        <v>Pdk3</v>
      </c>
      <c r="I2640" t="s">
        <v>32</v>
      </c>
      <c r="J2640" t="s">
        <v>37</v>
      </c>
      <c r="K2640">
        <v>10090</v>
      </c>
      <c r="L2640" s="3" t="str">
        <f>HYPERLINK("http://www.uniprot.org/uniprot/Q922H2", "Q922H2")</f>
        <v>Q922H2</v>
      </c>
      <c r="M2640" t="s">
        <v>29964</v>
      </c>
      <c r="N2640" t="str">
        <f>"Pdk3"</f>
        <v>Pdk3</v>
      </c>
      <c r="O2640" s="3" t="str">
        <f>HYPERLINK("http://www.informatics.jax.org/marker/MGI:2384308", "MGI:2384308")</f>
        <v>MGI:2384308</v>
      </c>
      <c r="P2640" t="s">
        <v>29965</v>
      </c>
      <c r="Q2640" t="s">
        <v>3553</v>
      </c>
      <c r="R2640" t="s">
        <v>1038</v>
      </c>
      <c r="S2640" t="s">
        <v>32</v>
      </c>
      <c r="T2640" t="s">
        <v>32</v>
      </c>
      <c r="U2640" t="s">
        <v>32</v>
      </c>
      <c r="V2640" t="s">
        <v>1039</v>
      </c>
      <c r="W2640" t="s">
        <v>205</v>
      </c>
      <c r="X2640" t="s">
        <v>419</v>
      </c>
      <c r="Y2640" t="s">
        <v>32</v>
      </c>
      <c r="Z2640" t="s">
        <v>32</v>
      </c>
      <c r="AA2640" t="s">
        <v>29966</v>
      </c>
      <c r="AB2640" t="s">
        <v>29967</v>
      </c>
      <c r="AC2640" t="s">
        <v>29968</v>
      </c>
      <c r="AD2640" t="s">
        <v>32</v>
      </c>
      <c r="AE2640" t="s">
        <v>29969</v>
      </c>
      <c r="AF2640" t="s">
        <v>46835</v>
      </c>
    </row>
    <row r="2641" spans="1:33" x14ac:dyDescent="0.2">
      <c r="A2641">
        <v>2636</v>
      </c>
      <c r="B2641" t="s">
        <v>29970</v>
      </c>
      <c r="C2641" t="s">
        <v>29971</v>
      </c>
      <c r="D2641" t="s">
        <v>29972</v>
      </c>
      <c r="E2641" t="s">
        <v>29973</v>
      </c>
      <c r="F2641" t="s">
        <v>29974</v>
      </c>
      <c r="G2641" t="s">
        <v>29975</v>
      </c>
      <c r="H2641" t="str">
        <f>"Gm2a"</f>
        <v>Gm2a</v>
      </c>
      <c r="I2641" t="s">
        <v>32</v>
      </c>
      <c r="J2641" t="s">
        <v>37</v>
      </c>
      <c r="K2641">
        <v>10090</v>
      </c>
      <c r="L2641" s="3" t="str">
        <f>HYPERLINK("http://www.uniprot.org/uniprot/Q60648", "Q60648")</f>
        <v>Q60648</v>
      </c>
      <c r="M2641" t="s">
        <v>29976</v>
      </c>
      <c r="N2641" t="str">
        <f>"Gm2a"</f>
        <v>Gm2a</v>
      </c>
      <c r="O2641" s="3" t="str">
        <f>HYPERLINK("http://www.informatics.jax.org/marker/MGI:95762", "MGI:95762")</f>
        <v>MGI:95762</v>
      </c>
      <c r="P2641" t="s">
        <v>29977</v>
      </c>
      <c r="Q2641" t="s">
        <v>23187</v>
      </c>
      <c r="R2641" t="s">
        <v>13962</v>
      </c>
      <c r="S2641" t="s">
        <v>32</v>
      </c>
      <c r="T2641" t="s">
        <v>32</v>
      </c>
      <c r="U2641" t="s">
        <v>32</v>
      </c>
      <c r="V2641" t="s">
        <v>811</v>
      </c>
      <c r="W2641" t="s">
        <v>32</v>
      </c>
      <c r="X2641" t="s">
        <v>343</v>
      </c>
      <c r="Y2641" t="s">
        <v>5275</v>
      </c>
      <c r="Z2641" t="s">
        <v>126</v>
      </c>
      <c r="AA2641" t="s">
        <v>29978</v>
      </c>
      <c r="AB2641" t="s">
        <v>29979</v>
      </c>
      <c r="AC2641" t="s">
        <v>29980</v>
      </c>
      <c r="AD2641" t="s">
        <v>32</v>
      </c>
      <c r="AE2641" t="s">
        <v>23191</v>
      </c>
      <c r="AF2641" t="s">
        <v>46835</v>
      </c>
    </row>
    <row r="2642" spans="1:33" x14ac:dyDescent="0.2">
      <c r="A2642">
        <v>2637</v>
      </c>
      <c r="B2642" t="s">
        <v>29981</v>
      </c>
      <c r="C2642" t="s">
        <v>29982</v>
      </c>
      <c r="D2642" t="s">
        <v>29983</v>
      </c>
      <c r="E2642" t="s">
        <v>29984</v>
      </c>
      <c r="F2642" t="s">
        <v>29985</v>
      </c>
      <c r="G2642" t="s">
        <v>32</v>
      </c>
      <c r="H2642" t="str">
        <f>"Gid8"</f>
        <v>Gid8</v>
      </c>
      <c r="I2642" t="s">
        <v>32</v>
      </c>
      <c r="J2642" t="s">
        <v>37</v>
      </c>
      <c r="K2642">
        <v>10090</v>
      </c>
      <c r="L2642" s="3" t="str">
        <f>HYPERLINK("http://www.uniprot.org/uniprot/Q9D7M1", "Q9D7M1")</f>
        <v>Q9D7M1</v>
      </c>
      <c r="M2642" t="s">
        <v>29986</v>
      </c>
      <c r="N2642" t="str">
        <f>"Gid8"</f>
        <v>Gid8</v>
      </c>
      <c r="O2642" s="3" t="str">
        <f>HYPERLINK("http://www.informatics.jax.org/marker/MGI:1923675", "MGI:1923675")</f>
        <v>MGI:1923675</v>
      </c>
      <c r="P2642" t="s">
        <v>29987</v>
      </c>
      <c r="Q2642" t="s">
        <v>3043</v>
      </c>
      <c r="R2642" t="s">
        <v>40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32</v>
      </c>
      <c r="Y2642" t="s">
        <v>5599</v>
      </c>
      <c r="Z2642" t="s">
        <v>32</v>
      </c>
      <c r="AA2642" t="s">
        <v>29988</v>
      </c>
      <c r="AB2642" t="s">
        <v>29989</v>
      </c>
      <c r="AC2642" t="s">
        <v>15310</v>
      </c>
      <c r="AD2642" t="s">
        <v>32</v>
      </c>
      <c r="AE2642" t="s">
        <v>32</v>
      </c>
      <c r="AF2642" t="s">
        <v>46835</v>
      </c>
    </row>
    <row r="2643" spans="1:33" x14ac:dyDescent="0.2">
      <c r="A2643">
        <v>2638</v>
      </c>
      <c r="B2643" t="s">
        <v>29990</v>
      </c>
      <c r="C2643" t="s">
        <v>47227</v>
      </c>
      <c r="D2643" t="s">
        <v>32</v>
      </c>
      <c r="E2643" t="s">
        <v>46984</v>
      </c>
      <c r="F2643" t="s">
        <v>46983</v>
      </c>
      <c r="G2643" t="s">
        <v>32</v>
      </c>
      <c r="H2643" t="s">
        <v>47360</v>
      </c>
      <c r="I2643" t="s">
        <v>32</v>
      </c>
      <c r="J2643" t="s">
        <v>37</v>
      </c>
      <c r="K2643">
        <v>10090</v>
      </c>
      <c r="L2643" s="3" t="str">
        <f>HYPERLINK(CONCATENATE("https://www.uniprot.org/uniprotkb/", AG2643, "/entry"), AG2643)</f>
        <v>A0A5F8MPP0</v>
      </c>
      <c r="M2643" t="s">
        <v>32</v>
      </c>
      <c r="N2643" t="s">
        <v>32</v>
      </c>
      <c r="O2643" s="3" t="s">
        <v>32</v>
      </c>
      <c r="P2643" t="s">
        <v>32</v>
      </c>
      <c r="Q2643" t="s">
        <v>32</v>
      </c>
      <c r="R2643" t="s">
        <v>32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32</v>
      </c>
      <c r="Y2643" t="s">
        <v>32</v>
      </c>
      <c r="Z2643" t="s">
        <v>32</v>
      </c>
      <c r="AA2643" t="s">
        <v>32</v>
      </c>
      <c r="AB2643" t="s">
        <v>32</v>
      </c>
      <c r="AC2643" t="s">
        <v>32</v>
      </c>
      <c r="AD2643" t="s">
        <v>32</v>
      </c>
      <c r="AE2643" t="s">
        <v>32</v>
      </c>
      <c r="AF2643" t="s">
        <v>46835</v>
      </c>
      <c r="AG2643" t="s">
        <v>46983</v>
      </c>
    </row>
    <row r="2644" spans="1:33" x14ac:dyDescent="0.2">
      <c r="A2644">
        <v>2639</v>
      </c>
      <c r="B2644" t="s">
        <v>29991</v>
      </c>
      <c r="C2644" t="s">
        <v>29992</v>
      </c>
      <c r="D2644" t="s">
        <v>29993</v>
      </c>
      <c r="E2644" t="s">
        <v>29994</v>
      </c>
      <c r="F2644" t="s">
        <v>29995</v>
      </c>
      <c r="G2644" t="s">
        <v>29996</v>
      </c>
      <c r="H2644" t="str">
        <f>"Galc"</f>
        <v>Galc</v>
      </c>
      <c r="I2644" t="s">
        <v>32</v>
      </c>
      <c r="J2644" t="s">
        <v>37</v>
      </c>
      <c r="K2644">
        <v>10090</v>
      </c>
      <c r="L2644" s="3" t="str">
        <f>HYPERLINK("http://www.uniprot.org/uniprot/P54818", "P54818")</f>
        <v>P54818</v>
      </c>
      <c r="M2644" t="s">
        <v>29997</v>
      </c>
      <c r="N2644" t="str">
        <f>"Galc"</f>
        <v>Galc</v>
      </c>
      <c r="O2644" s="3" t="str">
        <f>HYPERLINK("http://www.informatics.jax.org/marker/MGI:95636", "MGI:95636")</f>
        <v>MGI:95636</v>
      </c>
      <c r="P2644" t="s">
        <v>29998</v>
      </c>
      <c r="Q2644" t="s">
        <v>29999</v>
      </c>
      <c r="R2644" t="s">
        <v>13962</v>
      </c>
      <c r="S2644" t="s">
        <v>32</v>
      </c>
      <c r="T2644" t="s">
        <v>32</v>
      </c>
      <c r="U2644" t="s">
        <v>32</v>
      </c>
      <c r="V2644" t="s">
        <v>811</v>
      </c>
      <c r="W2644" t="s">
        <v>32</v>
      </c>
      <c r="X2644" t="s">
        <v>4316</v>
      </c>
      <c r="Y2644" t="s">
        <v>5275</v>
      </c>
      <c r="Z2644" t="s">
        <v>126</v>
      </c>
      <c r="AA2644" t="s">
        <v>30000</v>
      </c>
      <c r="AB2644" t="s">
        <v>30001</v>
      </c>
      <c r="AC2644" t="s">
        <v>30002</v>
      </c>
      <c r="AD2644" t="s">
        <v>32</v>
      </c>
      <c r="AE2644" t="s">
        <v>30003</v>
      </c>
      <c r="AF2644" t="s">
        <v>46835</v>
      </c>
    </row>
    <row r="2645" spans="1:33" x14ac:dyDescent="0.2">
      <c r="A2645">
        <v>2640</v>
      </c>
      <c r="B2645" t="s">
        <v>30004</v>
      </c>
      <c r="C2645" t="s">
        <v>30005</v>
      </c>
      <c r="D2645" t="s">
        <v>30006</v>
      </c>
      <c r="E2645" t="s">
        <v>30007</v>
      </c>
      <c r="F2645" t="s">
        <v>30008</v>
      </c>
      <c r="G2645" t="s">
        <v>30009</v>
      </c>
      <c r="H2645" t="str">
        <f>"Bloc1s5"</f>
        <v>Bloc1s5</v>
      </c>
      <c r="I2645" t="s">
        <v>30010</v>
      </c>
      <c r="J2645" t="s">
        <v>37</v>
      </c>
      <c r="K2645">
        <v>10090</v>
      </c>
      <c r="L2645" s="3" t="str">
        <f>HYPERLINK("http://www.uniprot.org/uniprot/Q8R015", "Q8R015")</f>
        <v>Q8R015</v>
      </c>
      <c r="M2645" t="s">
        <v>30011</v>
      </c>
      <c r="N2645" t="str">
        <f>"Bloc1s5"</f>
        <v>Bloc1s5</v>
      </c>
      <c r="O2645" s="3" t="str">
        <f>HYPERLINK("http://www.informatics.jax.org/marker/MGI:2178598", "MGI:2178598")</f>
        <v>MGI:2178598</v>
      </c>
      <c r="P2645" t="s">
        <v>30012</v>
      </c>
      <c r="Q2645" t="s">
        <v>32</v>
      </c>
      <c r="R2645" t="s">
        <v>32</v>
      </c>
      <c r="S2645" t="s">
        <v>41</v>
      </c>
      <c r="T2645" t="s">
        <v>32</v>
      </c>
      <c r="U2645" t="s">
        <v>32</v>
      </c>
      <c r="V2645" t="s">
        <v>32</v>
      </c>
      <c r="W2645" t="s">
        <v>32</v>
      </c>
      <c r="X2645" t="s">
        <v>32</v>
      </c>
      <c r="Y2645" t="s">
        <v>78</v>
      </c>
      <c r="Z2645" t="s">
        <v>32</v>
      </c>
      <c r="AA2645" t="s">
        <v>30013</v>
      </c>
      <c r="AB2645" t="s">
        <v>30014</v>
      </c>
      <c r="AC2645" t="s">
        <v>32</v>
      </c>
      <c r="AD2645" t="s">
        <v>32</v>
      </c>
      <c r="AE2645" t="s">
        <v>32</v>
      </c>
      <c r="AF2645" t="s">
        <v>46835</v>
      </c>
    </row>
    <row r="2646" spans="1:33" x14ac:dyDescent="0.2">
      <c r="A2646">
        <v>2641</v>
      </c>
      <c r="B2646" t="s">
        <v>30015</v>
      </c>
      <c r="C2646" t="s">
        <v>30016</v>
      </c>
      <c r="D2646" t="s">
        <v>30017</v>
      </c>
      <c r="E2646" t="s">
        <v>30018</v>
      </c>
      <c r="F2646" t="s">
        <v>30019</v>
      </c>
      <c r="G2646" t="s">
        <v>30020</v>
      </c>
      <c r="H2646" t="str">
        <f>"Ubr7"</f>
        <v>Ubr7</v>
      </c>
      <c r="I2646" t="s">
        <v>32</v>
      </c>
      <c r="J2646" t="s">
        <v>37</v>
      </c>
      <c r="K2646">
        <v>10090</v>
      </c>
      <c r="L2646" s="3" t="str">
        <f>HYPERLINK("http://www.uniprot.org/uniprot/Q8BU04", "Q8BU04")</f>
        <v>Q8BU04</v>
      </c>
      <c r="M2646" t="s">
        <v>30021</v>
      </c>
      <c r="N2646" t="str">
        <f>"Ubr7"</f>
        <v>Ubr7</v>
      </c>
      <c r="O2646" s="3" t="str">
        <f>HYPERLINK("http://www.informatics.jax.org/marker/MGI:1913872", "MGI:1913872")</f>
        <v>MGI:1913872</v>
      </c>
      <c r="P2646" t="s">
        <v>30022</v>
      </c>
      <c r="Q2646" t="s">
        <v>1020</v>
      </c>
      <c r="R2646" t="s">
        <v>32</v>
      </c>
      <c r="S2646" t="s">
        <v>32</v>
      </c>
      <c r="T2646" t="s">
        <v>32</v>
      </c>
      <c r="U2646" t="s">
        <v>32</v>
      </c>
      <c r="V2646" t="s">
        <v>446</v>
      </c>
      <c r="W2646" t="s">
        <v>42</v>
      </c>
      <c r="X2646" t="s">
        <v>515</v>
      </c>
      <c r="Y2646" t="s">
        <v>1007</v>
      </c>
      <c r="Z2646" t="s">
        <v>32</v>
      </c>
      <c r="AA2646" t="s">
        <v>32</v>
      </c>
      <c r="AB2646" t="s">
        <v>32</v>
      </c>
      <c r="AC2646" t="s">
        <v>30023</v>
      </c>
      <c r="AD2646" t="s">
        <v>1027</v>
      </c>
      <c r="AE2646" t="s">
        <v>32</v>
      </c>
      <c r="AF2646" t="s">
        <v>46835</v>
      </c>
    </row>
    <row r="2647" spans="1:33" x14ac:dyDescent="0.2">
      <c r="A2647">
        <v>2642</v>
      </c>
      <c r="B2647" t="s">
        <v>30024</v>
      </c>
      <c r="C2647" t="s">
        <v>30025</v>
      </c>
      <c r="D2647" t="s">
        <v>30026</v>
      </c>
      <c r="E2647" t="s">
        <v>30027</v>
      </c>
      <c r="F2647" t="s">
        <v>30028</v>
      </c>
      <c r="G2647" t="s">
        <v>32</v>
      </c>
      <c r="H2647" t="str">
        <f>"Akap8l"</f>
        <v>Akap8l</v>
      </c>
      <c r="I2647" t="s">
        <v>30029</v>
      </c>
      <c r="J2647" t="s">
        <v>37</v>
      </c>
      <c r="K2647">
        <v>10090</v>
      </c>
      <c r="L2647" s="3" t="str">
        <f>HYPERLINK("http://www.uniprot.org/uniprot/Q9R0L7", "Q9R0L7")</f>
        <v>Q9R0L7</v>
      </c>
      <c r="M2647" t="s">
        <v>30030</v>
      </c>
      <c r="N2647" t="str">
        <f>"Akap8l"</f>
        <v>Akap8l</v>
      </c>
      <c r="O2647" s="3" t="str">
        <f>HYPERLINK("http://www.informatics.jax.org/marker/MGI:1860606", "MGI:1860606")</f>
        <v>MGI:1860606</v>
      </c>
      <c r="P2647" t="s">
        <v>30031</v>
      </c>
      <c r="Q2647" t="s">
        <v>4152</v>
      </c>
      <c r="R2647" t="s">
        <v>40</v>
      </c>
      <c r="S2647" t="s">
        <v>32</v>
      </c>
      <c r="T2647" t="s">
        <v>32</v>
      </c>
      <c r="U2647" t="s">
        <v>32</v>
      </c>
      <c r="V2647" t="s">
        <v>3791</v>
      </c>
      <c r="W2647" t="s">
        <v>42</v>
      </c>
      <c r="X2647" t="s">
        <v>32</v>
      </c>
      <c r="Y2647" t="s">
        <v>97</v>
      </c>
      <c r="Z2647" t="s">
        <v>32</v>
      </c>
      <c r="AA2647" t="s">
        <v>30032</v>
      </c>
      <c r="AB2647" t="s">
        <v>30033</v>
      </c>
      <c r="AC2647" t="s">
        <v>30034</v>
      </c>
      <c r="AD2647" t="s">
        <v>32</v>
      </c>
      <c r="AE2647" t="s">
        <v>32</v>
      </c>
      <c r="AF2647" t="s">
        <v>46835</v>
      </c>
    </row>
    <row r="2648" spans="1:33" x14ac:dyDescent="0.2">
      <c r="A2648">
        <v>2643</v>
      </c>
      <c r="B2648" t="s">
        <v>30035</v>
      </c>
      <c r="C2648" t="s">
        <v>30036</v>
      </c>
      <c r="D2648" t="s">
        <v>32</v>
      </c>
      <c r="E2648" t="s">
        <v>30037</v>
      </c>
      <c r="F2648" t="s">
        <v>30038</v>
      </c>
      <c r="G2648" t="s">
        <v>30039</v>
      </c>
      <c r="H2648" t="str">
        <f>"Rp2"</f>
        <v>Rp2</v>
      </c>
      <c r="I2648" t="s">
        <v>30040</v>
      </c>
      <c r="J2648" t="s">
        <v>37</v>
      </c>
      <c r="K2648">
        <v>10090</v>
      </c>
      <c r="L2648" s="3" t="str">
        <f>HYPERLINK("http://www.uniprot.org/uniprot/Q9EPK2", "Q9EPK2")</f>
        <v>Q9EPK2</v>
      </c>
      <c r="M2648" t="s">
        <v>30041</v>
      </c>
      <c r="N2648" t="str">
        <f>"Rp2"</f>
        <v>Rp2</v>
      </c>
      <c r="O2648" s="3" t="str">
        <f>HYPERLINK("http://www.informatics.jax.org/marker/MGI:1277953", "MGI:1277953")</f>
        <v>MGI:1277953</v>
      </c>
      <c r="P2648" t="s">
        <v>30042</v>
      </c>
      <c r="Q2648" t="s">
        <v>434</v>
      </c>
      <c r="R2648" t="s">
        <v>30043</v>
      </c>
      <c r="S2648" t="s">
        <v>41</v>
      </c>
      <c r="T2648" t="s">
        <v>32</v>
      </c>
      <c r="U2648" t="s">
        <v>32</v>
      </c>
      <c r="V2648" t="s">
        <v>32</v>
      </c>
      <c r="W2648" t="s">
        <v>261</v>
      </c>
      <c r="X2648" t="s">
        <v>715</v>
      </c>
      <c r="Y2648" t="s">
        <v>12649</v>
      </c>
      <c r="Z2648" t="s">
        <v>32</v>
      </c>
      <c r="AA2648" t="s">
        <v>30044</v>
      </c>
      <c r="AB2648" t="s">
        <v>30045</v>
      </c>
      <c r="AC2648" t="s">
        <v>30046</v>
      </c>
      <c r="AD2648" t="s">
        <v>32</v>
      </c>
      <c r="AE2648" t="s">
        <v>6664</v>
      </c>
      <c r="AF2648" t="s">
        <v>46835</v>
      </c>
    </row>
    <row r="2649" spans="1:33" x14ac:dyDescent="0.2">
      <c r="A2649">
        <v>2644</v>
      </c>
      <c r="B2649" t="s">
        <v>30047</v>
      </c>
      <c r="C2649" t="s">
        <v>30048</v>
      </c>
      <c r="D2649" t="s">
        <v>30049</v>
      </c>
      <c r="E2649" t="s">
        <v>30050</v>
      </c>
      <c r="F2649" t="s">
        <v>30051</v>
      </c>
      <c r="G2649" t="s">
        <v>30052</v>
      </c>
      <c r="H2649" t="str">
        <f>"Fsd1l"</f>
        <v>Fsd1l</v>
      </c>
      <c r="I2649" t="s">
        <v>30053</v>
      </c>
      <c r="J2649" t="s">
        <v>37</v>
      </c>
      <c r="K2649">
        <v>10090</v>
      </c>
      <c r="L2649" s="3" t="str">
        <f>HYPERLINK("http://www.uniprot.org/uniprot/Q8BYN5", "Q8BYN5")</f>
        <v>Q8BYN5</v>
      </c>
      <c r="M2649" t="s">
        <v>30054</v>
      </c>
      <c r="N2649" t="str">
        <f>"Fsd1l"</f>
        <v>Fsd1l</v>
      </c>
      <c r="O2649" s="3" t="str">
        <f>HYPERLINK("http://www.informatics.jax.org/marker/MGI:2442443", "MGI:2442443")</f>
        <v>MGI:2442443</v>
      </c>
      <c r="P2649" t="s">
        <v>13508</v>
      </c>
      <c r="Q2649" t="s">
        <v>32</v>
      </c>
      <c r="R2649" t="s">
        <v>32</v>
      </c>
      <c r="S2649" t="s">
        <v>41</v>
      </c>
      <c r="T2649" t="s">
        <v>32</v>
      </c>
      <c r="U2649" t="s">
        <v>32</v>
      </c>
      <c r="V2649" t="s">
        <v>290</v>
      </c>
      <c r="W2649" t="s">
        <v>32</v>
      </c>
      <c r="X2649" t="s">
        <v>32</v>
      </c>
      <c r="Y2649" t="s">
        <v>618</v>
      </c>
      <c r="Z2649" t="s">
        <v>32</v>
      </c>
      <c r="AA2649" t="s">
        <v>32</v>
      </c>
      <c r="AB2649" t="s">
        <v>32</v>
      </c>
      <c r="AC2649" t="s">
        <v>32</v>
      </c>
      <c r="AD2649" t="s">
        <v>32</v>
      </c>
      <c r="AE2649" t="s">
        <v>32</v>
      </c>
      <c r="AF2649" t="s">
        <v>46835</v>
      </c>
    </row>
    <row r="2650" spans="1:33" x14ac:dyDescent="0.2">
      <c r="A2650">
        <v>2645</v>
      </c>
      <c r="B2650" t="s">
        <v>30055</v>
      </c>
      <c r="C2650" t="s">
        <v>30056</v>
      </c>
      <c r="D2650" t="s">
        <v>30057</v>
      </c>
      <c r="E2650" t="s">
        <v>30058</v>
      </c>
      <c r="F2650" t="s">
        <v>30059</v>
      </c>
      <c r="G2650" t="s">
        <v>30060</v>
      </c>
      <c r="H2650" t="str">
        <f>"Mpdu1"</f>
        <v>Mpdu1</v>
      </c>
      <c r="I2650" t="s">
        <v>30061</v>
      </c>
      <c r="J2650" t="s">
        <v>37</v>
      </c>
      <c r="K2650">
        <v>10090</v>
      </c>
      <c r="L2650" s="3" t="str">
        <f>HYPERLINK("http://www.uniprot.org/uniprot/Q9R0Q9", "Q9R0Q9")</f>
        <v>Q9R0Q9</v>
      </c>
      <c r="M2650" t="s">
        <v>30062</v>
      </c>
      <c r="N2650" t="str">
        <f>"Mpdu1"</f>
        <v>Mpdu1</v>
      </c>
      <c r="O2650" s="3" t="str">
        <f>HYPERLINK("http://www.informatics.jax.org/marker/MGI:1346040", "MGI:1346040")</f>
        <v>MGI:1346040</v>
      </c>
      <c r="P2650" t="s">
        <v>30063</v>
      </c>
      <c r="Q2650" t="s">
        <v>4425</v>
      </c>
      <c r="R2650" t="s">
        <v>5989</v>
      </c>
      <c r="S2650" t="s">
        <v>32</v>
      </c>
      <c r="T2650" t="s">
        <v>32</v>
      </c>
      <c r="U2650" t="s">
        <v>32</v>
      </c>
      <c r="V2650" t="s">
        <v>1620</v>
      </c>
      <c r="W2650" t="s">
        <v>32</v>
      </c>
      <c r="X2650" t="s">
        <v>32</v>
      </c>
      <c r="Y2650" t="s">
        <v>78</v>
      </c>
      <c r="Z2650" t="s">
        <v>32</v>
      </c>
      <c r="AA2650" t="s">
        <v>30064</v>
      </c>
      <c r="AB2650" t="s">
        <v>14923</v>
      </c>
      <c r="AC2650" t="s">
        <v>32</v>
      </c>
      <c r="AD2650" t="s">
        <v>32</v>
      </c>
      <c r="AE2650" t="s">
        <v>19614</v>
      </c>
      <c r="AF2650" t="s">
        <v>46835</v>
      </c>
    </row>
    <row r="2651" spans="1:33" x14ac:dyDescent="0.2">
      <c r="A2651">
        <v>2646</v>
      </c>
      <c r="B2651" t="s">
        <v>30065</v>
      </c>
      <c r="C2651" t="s">
        <v>30066</v>
      </c>
      <c r="D2651" t="s">
        <v>30067</v>
      </c>
      <c r="E2651" t="s">
        <v>30068</v>
      </c>
      <c r="F2651" t="s">
        <v>30069</v>
      </c>
      <c r="G2651" t="s">
        <v>30070</v>
      </c>
      <c r="H2651" t="str">
        <f>"Cpq"</f>
        <v>Cpq</v>
      </c>
      <c r="I2651" t="s">
        <v>30071</v>
      </c>
      <c r="J2651" t="s">
        <v>37</v>
      </c>
      <c r="K2651">
        <v>10090</v>
      </c>
      <c r="L2651" s="3" t="str">
        <f>HYPERLINK("http://www.uniprot.org/uniprot/Q9WVJ3", "Q9WVJ3")</f>
        <v>Q9WVJ3</v>
      </c>
      <c r="M2651" t="s">
        <v>30072</v>
      </c>
      <c r="N2651" t="str">
        <f>"Cpq"</f>
        <v>Cpq</v>
      </c>
      <c r="O2651" s="3" t="str">
        <f>HYPERLINK("http://www.informatics.jax.org/marker/MGI:1889205", "MGI:1889205")</f>
        <v>MGI:1889205</v>
      </c>
      <c r="P2651" t="s">
        <v>30073</v>
      </c>
      <c r="Q2651" t="s">
        <v>32</v>
      </c>
      <c r="R2651" t="s">
        <v>30074</v>
      </c>
      <c r="S2651" t="s">
        <v>32</v>
      </c>
      <c r="T2651" t="s">
        <v>32</v>
      </c>
      <c r="U2651" t="s">
        <v>32</v>
      </c>
      <c r="V2651" t="s">
        <v>811</v>
      </c>
      <c r="W2651" t="s">
        <v>42</v>
      </c>
      <c r="X2651" t="s">
        <v>8141</v>
      </c>
      <c r="Y2651" t="s">
        <v>30075</v>
      </c>
      <c r="Z2651" t="s">
        <v>32</v>
      </c>
      <c r="AA2651" t="s">
        <v>30076</v>
      </c>
      <c r="AB2651" t="s">
        <v>30077</v>
      </c>
      <c r="AC2651" t="s">
        <v>30078</v>
      </c>
      <c r="AD2651" t="s">
        <v>32</v>
      </c>
      <c r="AE2651" t="s">
        <v>32</v>
      </c>
      <c r="AF2651" t="s">
        <v>46835</v>
      </c>
    </row>
    <row r="2652" spans="1:33" x14ac:dyDescent="0.2">
      <c r="A2652">
        <v>2647</v>
      </c>
      <c r="B2652" t="s">
        <v>30079</v>
      </c>
      <c r="C2652" t="s">
        <v>30080</v>
      </c>
      <c r="D2652" t="s">
        <v>32</v>
      </c>
      <c r="E2652" t="s">
        <v>30081</v>
      </c>
      <c r="F2652" t="s">
        <v>30082</v>
      </c>
      <c r="G2652" t="s">
        <v>30083</v>
      </c>
      <c r="H2652" t="str">
        <f>"Armc1"</f>
        <v>Armc1</v>
      </c>
      <c r="I2652" t="s">
        <v>32</v>
      </c>
      <c r="J2652" t="s">
        <v>37</v>
      </c>
      <c r="K2652">
        <v>10090</v>
      </c>
      <c r="L2652" s="3" t="str">
        <f>HYPERLINK("http://www.uniprot.org/uniprot/Q9D7A8", "Q9D7A8")</f>
        <v>Q9D7A8</v>
      </c>
      <c r="M2652" t="s">
        <v>30084</v>
      </c>
      <c r="N2652" t="str">
        <f>"Armc1"</f>
        <v>Armc1</v>
      </c>
      <c r="O2652" s="3" t="str">
        <f>HYPERLINK("http://www.informatics.jax.org/marker/MGI:1921502", "MGI:1921502")</f>
        <v>MGI:1921502</v>
      </c>
      <c r="P2652" t="s">
        <v>30085</v>
      </c>
      <c r="Q2652" t="s">
        <v>32</v>
      </c>
      <c r="R2652" t="s">
        <v>9642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32</v>
      </c>
      <c r="Y2652" t="s">
        <v>157</v>
      </c>
      <c r="Z2652" t="s">
        <v>32</v>
      </c>
      <c r="AA2652" t="s">
        <v>30086</v>
      </c>
      <c r="AB2652" t="s">
        <v>30087</v>
      </c>
      <c r="AC2652" t="s">
        <v>4525</v>
      </c>
      <c r="AD2652" t="s">
        <v>32</v>
      </c>
      <c r="AE2652" t="s">
        <v>32</v>
      </c>
      <c r="AF2652" t="s">
        <v>46835</v>
      </c>
    </row>
    <row r="2653" spans="1:33" x14ac:dyDescent="0.2">
      <c r="A2653">
        <v>2648</v>
      </c>
      <c r="B2653" t="s">
        <v>30088</v>
      </c>
      <c r="C2653" t="s">
        <v>30089</v>
      </c>
      <c r="D2653" t="s">
        <v>30090</v>
      </c>
      <c r="E2653" t="s">
        <v>30091</v>
      </c>
      <c r="F2653" t="s">
        <v>30092</v>
      </c>
      <c r="G2653" t="s">
        <v>30093</v>
      </c>
      <c r="H2653" t="str">
        <f>"Usp40"</f>
        <v>Usp40</v>
      </c>
      <c r="I2653" t="s">
        <v>32</v>
      </c>
      <c r="J2653" t="s">
        <v>37</v>
      </c>
      <c r="K2653">
        <v>10090</v>
      </c>
      <c r="L2653" s="3" t="str">
        <f>HYPERLINK("http://www.uniprot.org/uniprot/Q8BWR4", "Q8BWR4")</f>
        <v>Q8BWR4</v>
      </c>
      <c r="M2653" t="s">
        <v>30094</v>
      </c>
      <c r="N2653" t="str">
        <f>"Usp40"</f>
        <v>Usp40</v>
      </c>
      <c r="O2653" s="3" t="str">
        <f>HYPERLINK("http://www.informatics.jax.org/marker/MGI:2443184", "MGI:2443184")</f>
        <v>MGI:2443184</v>
      </c>
      <c r="P2653" t="s">
        <v>30095</v>
      </c>
      <c r="Q2653" t="s">
        <v>1020</v>
      </c>
      <c r="R2653" t="s">
        <v>32</v>
      </c>
      <c r="S2653" t="s">
        <v>41</v>
      </c>
      <c r="T2653" t="s">
        <v>32</v>
      </c>
      <c r="U2653" t="s">
        <v>32</v>
      </c>
      <c r="V2653" t="s">
        <v>32</v>
      </c>
      <c r="W2653" t="s">
        <v>32</v>
      </c>
      <c r="X2653" t="s">
        <v>557</v>
      </c>
      <c r="Y2653" t="s">
        <v>32</v>
      </c>
      <c r="Z2653" t="s">
        <v>32</v>
      </c>
      <c r="AA2653" t="s">
        <v>30096</v>
      </c>
      <c r="AB2653" t="s">
        <v>928</v>
      </c>
      <c r="AC2653" t="s">
        <v>19782</v>
      </c>
      <c r="AD2653" t="s">
        <v>32</v>
      </c>
      <c r="AE2653" t="s">
        <v>32</v>
      </c>
      <c r="AF2653" t="s">
        <v>46835</v>
      </c>
    </row>
    <row r="2654" spans="1:33" x14ac:dyDescent="0.2">
      <c r="A2654">
        <v>2649</v>
      </c>
      <c r="B2654" t="s">
        <v>30097</v>
      </c>
      <c r="C2654" t="s">
        <v>30098</v>
      </c>
      <c r="D2654" t="s">
        <v>32</v>
      </c>
      <c r="E2654" t="s">
        <v>30099</v>
      </c>
      <c r="F2654" t="s">
        <v>30100</v>
      </c>
      <c r="G2654" t="s">
        <v>32</v>
      </c>
      <c r="H2654" t="str">
        <f>"Mrpl46"</f>
        <v>Mrpl46</v>
      </c>
      <c r="I2654" t="s">
        <v>32</v>
      </c>
      <c r="J2654" t="s">
        <v>37</v>
      </c>
      <c r="K2654">
        <v>10090</v>
      </c>
      <c r="L2654" s="3" t="str">
        <f>HYPERLINK("http://www.uniprot.org/uniprot/Q9EQI8", "Q9EQI8")</f>
        <v>Q9EQI8</v>
      </c>
      <c r="M2654" t="s">
        <v>30101</v>
      </c>
      <c r="N2654" t="str">
        <f>"Mrpl46"</f>
        <v>Mrpl46</v>
      </c>
      <c r="O2654" s="3" t="str">
        <f>HYPERLINK("http://www.informatics.jax.org/marker/MGI:1914558", "MGI:1914558")</f>
        <v>MGI:1914558</v>
      </c>
      <c r="P2654" t="s">
        <v>17268</v>
      </c>
      <c r="Q2654" t="s">
        <v>32</v>
      </c>
      <c r="R2654" t="s">
        <v>1038</v>
      </c>
      <c r="S2654" t="s">
        <v>32</v>
      </c>
      <c r="T2654" t="s">
        <v>32</v>
      </c>
      <c r="U2654" t="s">
        <v>32</v>
      </c>
      <c r="V2654" t="s">
        <v>1039</v>
      </c>
      <c r="W2654" t="s">
        <v>32</v>
      </c>
      <c r="X2654" t="s">
        <v>447</v>
      </c>
      <c r="Y2654" t="s">
        <v>78</v>
      </c>
      <c r="Z2654" t="s">
        <v>32</v>
      </c>
      <c r="AA2654" t="s">
        <v>23519</v>
      </c>
      <c r="AB2654" t="s">
        <v>30102</v>
      </c>
      <c r="AC2654" t="s">
        <v>1010</v>
      </c>
      <c r="AD2654" t="s">
        <v>32</v>
      </c>
      <c r="AE2654" t="s">
        <v>17271</v>
      </c>
      <c r="AF2654" t="s">
        <v>46835</v>
      </c>
    </row>
    <row r="2655" spans="1:33" x14ac:dyDescent="0.2">
      <c r="A2655">
        <v>2650</v>
      </c>
      <c r="B2655" t="s">
        <v>30103</v>
      </c>
      <c r="C2655" t="s">
        <v>30104</v>
      </c>
      <c r="D2655" t="s">
        <v>30105</v>
      </c>
      <c r="E2655" t="s">
        <v>30106</v>
      </c>
      <c r="F2655" t="s">
        <v>30107</v>
      </c>
      <c r="G2655" t="s">
        <v>30108</v>
      </c>
      <c r="H2655" t="str">
        <f>"Dad1"</f>
        <v>Dad1</v>
      </c>
      <c r="I2655" t="s">
        <v>32</v>
      </c>
      <c r="J2655" t="s">
        <v>37</v>
      </c>
      <c r="K2655">
        <v>10090</v>
      </c>
      <c r="L2655" s="3" t="str">
        <f>HYPERLINK("http://www.uniprot.org/uniprot/P61804", "P61804")</f>
        <v>P61804</v>
      </c>
      <c r="M2655" t="s">
        <v>30109</v>
      </c>
      <c r="N2655" t="str">
        <f>"Dad1"</f>
        <v>Dad1</v>
      </c>
      <c r="O2655" s="3" t="str">
        <f>HYPERLINK("http://www.informatics.jax.org/marker/MGI:101912", "MGI:101912")</f>
        <v>MGI:101912</v>
      </c>
      <c r="P2655" t="s">
        <v>30110</v>
      </c>
      <c r="Q2655" t="s">
        <v>541</v>
      </c>
      <c r="R2655" t="s">
        <v>1664</v>
      </c>
      <c r="S2655" t="s">
        <v>32</v>
      </c>
      <c r="T2655" t="s">
        <v>32</v>
      </c>
      <c r="U2655" t="s">
        <v>32</v>
      </c>
      <c r="V2655" t="s">
        <v>493</v>
      </c>
      <c r="W2655" t="s">
        <v>32</v>
      </c>
      <c r="X2655" t="s">
        <v>32</v>
      </c>
      <c r="Y2655" t="s">
        <v>78</v>
      </c>
      <c r="Z2655" t="s">
        <v>32</v>
      </c>
      <c r="AA2655" t="s">
        <v>30111</v>
      </c>
      <c r="AB2655" t="s">
        <v>30112</v>
      </c>
      <c r="AC2655" t="s">
        <v>10442</v>
      </c>
      <c r="AD2655" t="s">
        <v>3952</v>
      </c>
      <c r="AE2655" t="s">
        <v>32</v>
      </c>
      <c r="AF2655" t="s">
        <v>46835</v>
      </c>
    </row>
    <row r="2656" spans="1:33" x14ac:dyDescent="0.2">
      <c r="A2656">
        <v>2651</v>
      </c>
      <c r="B2656" t="s">
        <v>30113</v>
      </c>
      <c r="C2656" t="s">
        <v>30114</v>
      </c>
      <c r="D2656" t="s">
        <v>30115</v>
      </c>
      <c r="E2656" t="s">
        <v>30116</v>
      </c>
      <c r="F2656" t="s">
        <v>30117</v>
      </c>
      <c r="G2656" t="s">
        <v>32</v>
      </c>
      <c r="H2656" t="str">
        <f>"Smarcb1"</f>
        <v>Smarcb1</v>
      </c>
      <c r="I2656" t="s">
        <v>30118</v>
      </c>
      <c r="J2656" t="s">
        <v>37</v>
      </c>
      <c r="K2656">
        <v>10090</v>
      </c>
      <c r="L2656" s="3" t="str">
        <f>HYPERLINK("http://www.uniprot.org/uniprot/Q9Z0H3", "Q9Z0H3")</f>
        <v>Q9Z0H3</v>
      </c>
      <c r="M2656" t="s">
        <v>30119</v>
      </c>
      <c r="N2656" t="str">
        <f>"Smarcb1"</f>
        <v>Smarcb1</v>
      </c>
      <c r="O2656" s="3" t="str">
        <f>HYPERLINK("http://www.informatics.jax.org/marker/MGI:1328366", "MGI:1328366")</f>
        <v>MGI:1328366</v>
      </c>
      <c r="P2656" t="s">
        <v>30120</v>
      </c>
      <c r="Q2656" t="s">
        <v>30121</v>
      </c>
      <c r="R2656" t="s">
        <v>2279</v>
      </c>
      <c r="S2656" t="s">
        <v>41</v>
      </c>
      <c r="T2656" t="s">
        <v>32</v>
      </c>
      <c r="U2656" t="s">
        <v>1636</v>
      </c>
      <c r="V2656" t="s">
        <v>55</v>
      </c>
      <c r="W2656" t="s">
        <v>32</v>
      </c>
      <c r="X2656" t="s">
        <v>30122</v>
      </c>
      <c r="Y2656" t="s">
        <v>1007</v>
      </c>
      <c r="Z2656" t="s">
        <v>32</v>
      </c>
      <c r="AA2656" t="s">
        <v>30123</v>
      </c>
      <c r="AB2656" t="s">
        <v>30124</v>
      </c>
      <c r="AC2656" t="s">
        <v>30125</v>
      </c>
      <c r="AD2656" t="s">
        <v>32</v>
      </c>
      <c r="AE2656" t="s">
        <v>9992</v>
      </c>
      <c r="AF2656" t="s">
        <v>46835</v>
      </c>
    </row>
    <row r="2657" spans="1:33" x14ac:dyDescent="0.2">
      <c r="A2657">
        <v>2652</v>
      </c>
      <c r="B2657" t="s">
        <v>30126</v>
      </c>
      <c r="C2657" t="s">
        <v>30127</v>
      </c>
      <c r="D2657" t="s">
        <v>30128</v>
      </c>
      <c r="E2657" t="s">
        <v>30129</v>
      </c>
      <c r="F2657" t="s">
        <v>30130</v>
      </c>
      <c r="G2657" t="s">
        <v>32</v>
      </c>
      <c r="H2657" t="str">
        <f>"Gbe1"</f>
        <v>Gbe1</v>
      </c>
      <c r="I2657" t="s">
        <v>32</v>
      </c>
      <c r="J2657" t="s">
        <v>37</v>
      </c>
      <c r="K2657">
        <v>10090</v>
      </c>
      <c r="L2657" s="3" t="str">
        <f>HYPERLINK("http://www.uniprot.org/uniprot/Q9D6Y9", "Q9D6Y9")</f>
        <v>Q9D6Y9</v>
      </c>
      <c r="M2657" t="s">
        <v>30131</v>
      </c>
      <c r="N2657" t="str">
        <f>"Gbe1"</f>
        <v>Gbe1</v>
      </c>
      <c r="O2657" s="3" t="str">
        <f>HYPERLINK("http://www.informatics.jax.org/marker/MGI:1921435", "MGI:1921435")</f>
        <v>MGI:1921435</v>
      </c>
      <c r="P2657" t="s">
        <v>30132</v>
      </c>
      <c r="Q2657" t="s">
        <v>8458</v>
      </c>
      <c r="R2657" t="s">
        <v>32</v>
      </c>
      <c r="S2657" t="s">
        <v>32</v>
      </c>
      <c r="T2657" t="s">
        <v>32</v>
      </c>
      <c r="U2657" t="s">
        <v>30133</v>
      </c>
      <c r="V2657" t="s">
        <v>32</v>
      </c>
      <c r="W2657" t="s">
        <v>32</v>
      </c>
      <c r="X2657" t="s">
        <v>2362</v>
      </c>
      <c r="Y2657" t="s">
        <v>157</v>
      </c>
      <c r="Z2657" t="s">
        <v>32</v>
      </c>
      <c r="AA2657" t="s">
        <v>30134</v>
      </c>
      <c r="AB2657" t="s">
        <v>2206</v>
      </c>
      <c r="AC2657" t="s">
        <v>30135</v>
      </c>
      <c r="AD2657" t="s">
        <v>7492</v>
      </c>
      <c r="AE2657" t="s">
        <v>30136</v>
      </c>
      <c r="AF2657" t="s">
        <v>46835</v>
      </c>
    </row>
    <row r="2658" spans="1:33" x14ac:dyDescent="0.2">
      <c r="A2658">
        <v>2653</v>
      </c>
      <c r="B2658" t="s">
        <v>30137</v>
      </c>
      <c r="C2658" t="s">
        <v>30138</v>
      </c>
      <c r="D2658" t="s">
        <v>30139</v>
      </c>
      <c r="E2658" t="s">
        <v>30140</v>
      </c>
      <c r="F2658" t="s">
        <v>30141</v>
      </c>
      <c r="G2658" t="s">
        <v>30142</v>
      </c>
      <c r="H2658" t="str">
        <f>"Gnaq"</f>
        <v>Gnaq</v>
      </c>
      <c r="I2658" t="s">
        <v>32</v>
      </c>
      <c r="J2658" t="s">
        <v>37</v>
      </c>
      <c r="K2658">
        <v>10090</v>
      </c>
      <c r="L2658" s="3" t="str">
        <f>HYPERLINK("http://www.uniprot.org/uniprot/P21279", "P21279")</f>
        <v>P21279</v>
      </c>
      <c r="M2658" t="s">
        <v>30143</v>
      </c>
      <c r="N2658" t="str">
        <f>"Gnaq"</f>
        <v>Gnaq</v>
      </c>
      <c r="O2658" s="3" t="str">
        <f>HYPERLINK("http://www.informatics.jax.org/marker/MGI:95776", "MGI:95776")</f>
        <v>MGI:95776</v>
      </c>
      <c r="P2658" t="s">
        <v>30144</v>
      </c>
      <c r="Q2658" t="s">
        <v>32</v>
      </c>
      <c r="R2658" t="s">
        <v>30145</v>
      </c>
      <c r="S2658" t="s">
        <v>32</v>
      </c>
      <c r="T2658" t="s">
        <v>32</v>
      </c>
      <c r="U2658" t="s">
        <v>32</v>
      </c>
      <c r="V2658" t="s">
        <v>32</v>
      </c>
      <c r="W2658" t="s">
        <v>342</v>
      </c>
      <c r="X2658" t="s">
        <v>10391</v>
      </c>
      <c r="Y2658" t="s">
        <v>19965</v>
      </c>
      <c r="Z2658" t="s">
        <v>126</v>
      </c>
      <c r="AA2658" t="s">
        <v>30146</v>
      </c>
      <c r="AB2658" t="s">
        <v>30147</v>
      </c>
      <c r="AC2658" t="s">
        <v>30148</v>
      </c>
      <c r="AD2658" t="s">
        <v>32</v>
      </c>
      <c r="AE2658" t="s">
        <v>30149</v>
      </c>
      <c r="AF2658" t="s">
        <v>46835</v>
      </c>
    </row>
    <row r="2659" spans="1:33" x14ac:dyDescent="0.2">
      <c r="A2659">
        <v>2654</v>
      </c>
      <c r="B2659" t="s">
        <v>30150</v>
      </c>
      <c r="C2659" t="s">
        <v>30151</v>
      </c>
      <c r="D2659" t="s">
        <v>30152</v>
      </c>
      <c r="E2659" t="s">
        <v>30153</v>
      </c>
      <c r="F2659" t="s">
        <v>30154</v>
      </c>
      <c r="G2659" t="s">
        <v>30155</v>
      </c>
      <c r="H2659" t="str">
        <f>"Nudt16"</f>
        <v>Nudt16</v>
      </c>
      <c r="I2659" t="s">
        <v>32</v>
      </c>
      <c r="J2659" t="s">
        <v>37</v>
      </c>
      <c r="K2659">
        <v>10090</v>
      </c>
      <c r="L2659" s="3" t="str">
        <f>HYPERLINK("http://www.uniprot.org/uniprot/Q6P3D0", "Q6P3D0")</f>
        <v>Q6P3D0</v>
      </c>
      <c r="M2659" t="s">
        <v>30156</v>
      </c>
      <c r="N2659" t="str">
        <f>"Nudt16"</f>
        <v>Nudt16</v>
      </c>
      <c r="O2659" s="3" t="str">
        <f>HYPERLINK("http://www.informatics.jax.org/marker/MGI:1922936", "MGI:1922936")</f>
        <v>MGI:1922936</v>
      </c>
      <c r="P2659" t="s">
        <v>30157</v>
      </c>
      <c r="Q2659" t="s">
        <v>7123</v>
      </c>
      <c r="R2659" t="s">
        <v>40</v>
      </c>
      <c r="S2659" t="s">
        <v>32</v>
      </c>
      <c r="T2659" t="s">
        <v>32</v>
      </c>
      <c r="U2659" t="s">
        <v>32</v>
      </c>
      <c r="V2659" t="s">
        <v>32</v>
      </c>
      <c r="W2659" t="s">
        <v>7124</v>
      </c>
      <c r="X2659" t="s">
        <v>16311</v>
      </c>
      <c r="Y2659" t="s">
        <v>32</v>
      </c>
      <c r="Z2659" t="s">
        <v>32</v>
      </c>
      <c r="AA2659" t="s">
        <v>30158</v>
      </c>
      <c r="AB2659" t="s">
        <v>13285</v>
      </c>
      <c r="AC2659" t="s">
        <v>30159</v>
      </c>
      <c r="AD2659" t="s">
        <v>32</v>
      </c>
      <c r="AE2659" t="s">
        <v>17128</v>
      </c>
      <c r="AF2659" t="s">
        <v>46835</v>
      </c>
    </row>
    <row r="2660" spans="1:33" x14ac:dyDescent="0.2">
      <c r="A2660">
        <v>2655</v>
      </c>
      <c r="B2660" t="s">
        <v>30160</v>
      </c>
      <c r="C2660" t="s">
        <v>30161</v>
      </c>
      <c r="D2660" t="s">
        <v>30162</v>
      </c>
      <c r="E2660" t="s">
        <v>30163</v>
      </c>
      <c r="F2660" t="s">
        <v>30164</v>
      </c>
      <c r="G2660" t="s">
        <v>30165</v>
      </c>
      <c r="H2660" t="str">
        <f>"Mfap1a"</f>
        <v>Mfap1a</v>
      </c>
      <c r="I2660" t="s">
        <v>32</v>
      </c>
      <c r="J2660" t="s">
        <v>37</v>
      </c>
      <c r="K2660">
        <v>10090</v>
      </c>
      <c r="L2660" s="3" t="str">
        <f>HYPERLINK("http://www.uniprot.org/uniprot/C0HKD8", "C0HKD8")</f>
        <v>C0HKD8</v>
      </c>
      <c r="M2660" t="s">
        <v>30166</v>
      </c>
      <c r="N2660" t="str">
        <f>"Mfap1a"</f>
        <v>Mfap1a</v>
      </c>
      <c r="O2660" s="3" t="str">
        <f>HYPERLINK("http://www.informatics.jax.org/marker/MGI:1914782", "MGI:1914782")</f>
        <v>MGI:1914782</v>
      </c>
      <c r="P2660" t="s">
        <v>30167</v>
      </c>
      <c r="Q2660" t="s">
        <v>2139</v>
      </c>
      <c r="R2660" t="s">
        <v>2140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32</v>
      </c>
      <c r="Y2660" t="s">
        <v>516</v>
      </c>
      <c r="Z2660" t="s">
        <v>32</v>
      </c>
      <c r="AA2660" t="s">
        <v>8104</v>
      </c>
      <c r="AB2660" t="s">
        <v>30168</v>
      </c>
      <c r="AC2660" t="s">
        <v>32</v>
      </c>
      <c r="AD2660" t="s">
        <v>32</v>
      </c>
      <c r="AE2660" t="s">
        <v>32</v>
      </c>
      <c r="AF2660" t="s">
        <v>46835</v>
      </c>
    </row>
    <row r="2661" spans="1:33" x14ac:dyDescent="0.2">
      <c r="A2661">
        <v>2656</v>
      </c>
      <c r="B2661" t="s">
        <v>30169</v>
      </c>
      <c r="C2661" t="s">
        <v>30170</v>
      </c>
      <c r="D2661" t="s">
        <v>32</v>
      </c>
      <c r="E2661" t="s">
        <v>30171</v>
      </c>
      <c r="F2661" t="s">
        <v>30172</v>
      </c>
      <c r="G2661" t="s">
        <v>30173</v>
      </c>
      <c r="H2661" t="str">
        <f>"Sdk1"</f>
        <v>Sdk1</v>
      </c>
      <c r="I2661" t="s">
        <v>32</v>
      </c>
      <c r="J2661" t="s">
        <v>37</v>
      </c>
      <c r="K2661">
        <v>10090</v>
      </c>
      <c r="L2661" s="3" t="str">
        <f>HYPERLINK("http://www.uniprot.org/uniprot/Q3UH53", "Q3UH53")</f>
        <v>Q3UH53</v>
      </c>
      <c r="M2661" t="s">
        <v>30174</v>
      </c>
      <c r="N2661" t="str">
        <f>"Sdk1"</f>
        <v>Sdk1</v>
      </c>
      <c r="O2661" s="3" t="str">
        <f>HYPERLINK("http://www.informatics.jax.org/marker/MGI:2444413", "MGI:2444413")</f>
        <v>MGI:2444413</v>
      </c>
      <c r="P2661" t="s">
        <v>15851</v>
      </c>
      <c r="Q2661" t="s">
        <v>2784</v>
      </c>
      <c r="R2661" t="s">
        <v>6252</v>
      </c>
      <c r="S2661" t="s">
        <v>41</v>
      </c>
      <c r="T2661" t="s">
        <v>32</v>
      </c>
      <c r="U2661" t="s">
        <v>32</v>
      </c>
      <c r="V2661" t="s">
        <v>2864</v>
      </c>
      <c r="W2661" t="s">
        <v>32</v>
      </c>
      <c r="X2661" t="s">
        <v>32</v>
      </c>
      <c r="Y2661" t="s">
        <v>5275</v>
      </c>
      <c r="Z2661" t="s">
        <v>126</v>
      </c>
      <c r="AA2661" t="s">
        <v>30175</v>
      </c>
      <c r="AB2661" t="s">
        <v>15853</v>
      </c>
      <c r="AC2661" t="s">
        <v>4516</v>
      </c>
      <c r="AD2661" t="s">
        <v>32</v>
      </c>
      <c r="AE2661" t="s">
        <v>15854</v>
      </c>
      <c r="AF2661" t="s">
        <v>46835</v>
      </c>
    </row>
    <row r="2662" spans="1:33" x14ac:dyDescent="0.2">
      <c r="A2662">
        <v>2657</v>
      </c>
      <c r="B2662" t="s">
        <v>30176</v>
      </c>
      <c r="C2662" t="s">
        <v>30177</v>
      </c>
      <c r="D2662" t="s">
        <v>30178</v>
      </c>
      <c r="E2662" t="s">
        <v>30179</v>
      </c>
      <c r="F2662" t="s">
        <v>30180</v>
      </c>
      <c r="G2662" t="s">
        <v>30181</v>
      </c>
      <c r="H2662" t="str">
        <f>"Nelfb"</f>
        <v>Nelfb</v>
      </c>
      <c r="I2662" t="s">
        <v>30182</v>
      </c>
      <c r="J2662" t="s">
        <v>37</v>
      </c>
      <c r="K2662">
        <v>10090</v>
      </c>
      <c r="L2662" s="3" t="str">
        <f>HYPERLINK("http://www.uniprot.org/uniprot/Q8C4Y3", "Q8C4Y3")</f>
        <v>Q8C4Y3</v>
      </c>
      <c r="M2662" t="s">
        <v>30183</v>
      </c>
      <c r="N2662" t="str">
        <f>"Nelfb"</f>
        <v>Nelfb</v>
      </c>
      <c r="O2662" s="3" t="str">
        <f>HYPERLINK("http://www.informatics.jax.org/marker/MGI:1931035", "MGI:1931035")</f>
        <v>MGI:1931035</v>
      </c>
      <c r="P2662" t="s">
        <v>30184</v>
      </c>
      <c r="Q2662" t="s">
        <v>4152</v>
      </c>
      <c r="R2662" t="s">
        <v>2279</v>
      </c>
      <c r="S2662" t="s">
        <v>477</v>
      </c>
      <c r="T2662" t="s">
        <v>32</v>
      </c>
      <c r="U2662" t="s">
        <v>32</v>
      </c>
      <c r="V2662" t="s">
        <v>32</v>
      </c>
      <c r="W2662" t="s">
        <v>32</v>
      </c>
      <c r="X2662" t="s">
        <v>9766</v>
      </c>
      <c r="Y2662" t="s">
        <v>157</v>
      </c>
      <c r="Z2662" t="s">
        <v>32</v>
      </c>
      <c r="AA2662" t="s">
        <v>30185</v>
      </c>
      <c r="AB2662" t="s">
        <v>30186</v>
      </c>
      <c r="AC2662" t="s">
        <v>4711</v>
      </c>
      <c r="AD2662" t="s">
        <v>32</v>
      </c>
      <c r="AE2662" t="s">
        <v>30187</v>
      </c>
      <c r="AF2662" t="s">
        <v>46835</v>
      </c>
    </row>
    <row r="2663" spans="1:33" x14ac:dyDescent="0.2">
      <c r="A2663">
        <v>2658</v>
      </c>
      <c r="B2663" t="s">
        <v>30188</v>
      </c>
      <c r="C2663" t="s">
        <v>30189</v>
      </c>
      <c r="D2663" t="s">
        <v>32</v>
      </c>
      <c r="E2663" t="s">
        <v>30190</v>
      </c>
      <c r="F2663" t="s">
        <v>30191</v>
      </c>
      <c r="G2663" t="s">
        <v>30192</v>
      </c>
      <c r="H2663" t="str">
        <f>"Dmd"</f>
        <v>Dmd</v>
      </c>
      <c r="I2663" t="s">
        <v>32</v>
      </c>
      <c r="J2663" t="s">
        <v>37</v>
      </c>
      <c r="K2663">
        <v>10090</v>
      </c>
      <c r="L2663" s="3" t="str">
        <f>HYPERLINK("http://www.uniprot.org/uniprot/P11531", "P11531")</f>
        <v>P11531</v>
      </c>
      <c r="M2663" t="s">
        <v>30193</v>
      </c>
      <c r="N2663" t="str">
        <f>"Dmd"</f>
        <v>Dmd</v>
      </c>
      <c r="O2663" s="3" t="str">
        <f>HYPERLINK("http://www.informatics.jax.org/marker/MGI:94909", "MGI:94909")</f>
        <v>MGI:94909</v>
      </c>
      <c r="P2663" t="s">
        <v>30194</v>
      </c>
      <c r="Q2663" t="s">
        <v>32</v>
      </c>
      <c r="R2663" t="s">
        <v>30195</v>
      </c>
      <c r="S2663" t="s">
        <v>41</v>
      </c>
      <c r="T2663" t="s">
        <v>32</v>
      </c>
      <c r="U2663" t="s">
        <v>32</v>
      </c>
      <c r="V2663" t="s">
        <v>3791</v>
      </c>
      <c r="W2663" t="s">
        <v>30196</v>
      </c>
      <c r="X2663" t="s">
        <v>405</v>
      </c>
      <c r="Y2663" t="s">
        <v>618</v>
      </c>
      <c r="Z2663" t="s">
        <v>32</v>
      </c>
      <c r="AA2663" t="s">
        <v>30197</v>
      </c>
      <c r="AB2663" t="s">
        <v>30198</v>
      </c>
      <c r="AC2663" t="s">
        <v>30199</v>
      </c>
      <c r="AD2663" t="s">
        <v>32</v>
      </c>
      <c r="AE2663" t="s">
        <v>10605</v>
      </c>
      <c r="AF2663" t="s">
        <v>46835</v>
      </c>
    </row>
    <row r="2664" spans="1:33" x14ac:dyDescent="0.2">
      <c r="A2664">
        <v>2659</v>
      </c>
      <c r="B2664" t="s">
        <v>30200</v>
      </c>
      <c r="C2664" t="s">
        <v>30201</v>
      </c>
      <c r="D2664" t="s">
        <v>30202</v>
      </c>
      <c r="E2664" t="s">
        <v>30203</v>
      </c>
      <c r="F2664" t="s">
        <v>30204</v>
      </c>
      <c r="G2664" t="s">
        <v>30205</v>
      </c>
      <c r="H2664" t="str">
        <f>"Mcam"</f>
        <v>Mcam</v>
      </c>
      <c r="I2664" t="s">
        <v>30206</v>
      </c>
      <c r="J2664" t="s">
        <v>37</v>
      </c>
      <c r="K2664">
        <v>10090</v>
      </c>
      <c r="L2664" s="3" t="str">
        <f>HYPERLINK("http://www.uniprot.org/uniprot/Q8R2Y2", "Q8R2Y2")</f>
        <v>Q8R2Y2</v>
      </c>
      <c r="M2664" t="s">
        <v>30207</v>
      </c>
      <c r="N2664" t="str">
        <f>"Mcam"</f>
        <v>Mcam</v>
      </c>
      <c r="O2664" s="3" t="str">
        <f>HYPERLINK("http://www.informatics.jax.org/marker/MGI:1933966", "MGI:1933966")</f>
        <v>MGI:1933966</v>
      </c>
      <c r="P2664" t="s">
        <v>30208</v>
      </c>
      <c r="Q2664" t="s">
        <v>2784</v>
      </c>
      <c r="R2664" t="s">
        <v>5989</v>
      </c>
      <c r="S2664" t="s">
        <v>41</v>
      </c>
      <c r="T2664" t="s">
        <v>32</v>
      </c>
      <c r="U2664" t="s">
        <v>32</v>
      </c>
      <c r="V2664" t="s">
        <v>2864</v>
      </c>
      <c r="W2664" t="s">
        <v>32</v>
      </c>
      <c r="X2664" t="s">
        <v>32</v>
      </c>
      <c r="Y2664" t="s">
        <v>2865</v>
      </c>
      <c r="Z2664" t="s">
        <v>32</v>
      </c>
      <c r="AA2664" t="s">
        <v>30209</v>
      </c>
      <c r="AB2664" t="s">
        <v>30210</v>
      </c>
      <c r="AC2664" t="s">
        <v>32</v>
      </c>
      <c r="AD2664" t="s">
        <v>32</v>
      </c>
      <c r="AE2664" t="s">
        <v>30211</v>
      </c>
      <c r="AF2664" t="s">
        <v>46835</v>
      </c>
    </row>
    <row r="2665" spans="1:33" x14ac:dyDescent="0.2">
      <c r="A2665">
        <v>2660</v>
      </c>
      <c r="B2665" t="s">
        <v>30212</v>
      </c>
      <c r="C2665" t="s">
        <v>30213</v>
      </c>
      <c r="D2665" t="s">
        <v>30214</v>
      </c>
      <c r="E2665" t="s">
        <v>30215</v>
      </c>
      <c r="F2665" t="s">
        <v>30216</v>
      </c>
      <c r="G2665" t="s">
        <v>30217</v>
      </c>
      <c r="H2665" t="str">
        <f>"Anapc2"</f>
        <v>Anapc2</v>
      </c>
      <c r="I2665" t="s">
        <v>32</v>
      </c>
      <c r="J2665" t="s">
        <v>37</v>
      </c>
      <c r="K2665">
        <v>10090</v>
      </c>
      <c r="L2665" s="3" t="str">
        <f>HYPERLINK("http://www.uniprot.org/uniprot/Q8BZQ7", "Q8BZQ7")</f>
        <v>Q8BZQ7</v>
      </c>
      <c r="M2665" t="s">
        <v>30218</v>
      </c>
      <c r="N2665" t="str">
        <f>"Anapc2"</f>
        <v>Anapc2</v>
      </c>
      <c r="O2665" s="3" t="str">
        <f>HYPERLINK("http://www.informatics.jax.org/marker/MGI:2139135", "MGI:2139135")</f>
        <v>MGI:2139135</v>
      </c>
      <c r="P2665" t="s">
        <v>30219</v>
      </c>
      <c r="Q2665" t="s">
        <v>30220</v>
      </c>
      <c r="R2665" t="s">
        <v>32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32</v>
      </c>
      <c r="Y2665" t="s">
        <v>618</v>
      </c>
      <c r="Z2665" t="s">
        <v>32</v>
      </c>
      <c r="AA2665" t="s">
        <v>30221</v>
      </c>
      <c r="AB2665" t="s">
        <v>26055</v>
      </c>
      <c r="AC2665" t="s">
        <v>3477</v>
      </c>
      <c r="AD2665" t="s">
        <v>1027</v>
      </c>
      <c r="AE2665" t="s">
        <v>19698</v>
      </c>
      <c r="AF2665" t="s">
        <v>46835</v>
      </c>
    </row>
    <row r="2666" spans="1:33" x14ac:dyDescent="0.2">
      <c r="A2666">
        <v>2661</v>
      </c>
      <c r="B2666" t="s">
        <v>30222</v>
      </c>
      <c r="C2666" t="s">
        <v>30223</v>
      </c>
      <c r="D2666" t="s">
        <v>30224</v>
      </c>
      <c r="E2666" t="s">
        <v>30225</v>
      </c>
      <c r="F2666" t="s">
        <v>30226</v>
      </c>
      <c r="G2666" t="s">
        <v>30227</v>
      </c>
      <c r="H2666" t="str">
        <f>"Rdh11"</f>
        <v>Rdh11</v>
      </c>
      <c r="I2666" t="s">
        <v>30228</v>
      </c>
      <c r="J2666" t="s">
        <v>37</v>
      </c>
      <c r="K2666">
        <v>10090</v>
      </c>
      <c r="L2666" s="3" t="str">
        <f>HYPERLINK("http://www.uniprot.org/uniprot/Q9QYF1", "Q9QYF1")</f>
        <v>Q9QYF1</v>
      </c>
      <c r="M2666" t="s">
        <v>30229</v>
      </c>
      <c r="N2666" t="str">
        <f>"Rdh11"</f>
        <v>Rdh11</v>
      </c>
      <c r="O2666" s="3" t="str">
        <f>HYPERLINK("http://www.informatics.jax.org/marker/MGI:102581", "MGI:102581")</f>
        <v>MGI:102581</v>
      </c>
      <c r="P2666" t="s">
        <v>30230</v>
      </c>
      <c r="Q2666" t="s">
        <v>598</v>
      </c>
      <c r="R2666" t="s">
        <v>1664</v>
      </c>
      <c r="S2666" t="s">
        <v>41</v>
      </c>
      <c r="T2666" t="s">
        <v>32</v>
      </c>
      <c r="U2666" t="s">
        <v>32</v>
      </c>
      <c r="V2666" t="s">
        <v>1550</v>
      </c>
      <c r="W2666" t="s">
        <v>3204</v>
      </c>
      <c r="X2666" t="s">
        <v>600</v>
      </c>
      <c r="Y2666" t="s">
        <v>78</v>
      </c>
      <c r="Z2666" t="s">
        <v>32</v>
      </c>
      <c r="AA2666" t="s">
        <v>30231</v>
      </c>
      <c r="AB2666" t="s">
        <v>30232</v>
      </c>
      <c r="AC2666" t="s">
        <v>30233</v>
      </c>
      <c r="AD2666" t="s">
        <v>604</v>
      </c>
      <c r="AE2666" t="s">
        <v>30234</v>
      </c>
      <c r="AF2666" t="s">
        <v>46835</v>
      </c>
    </row>
    <row r="2667" spans="1:33" x14ac:dyDescent="0.2">
      <c r="A2667">
        <v>2662</v>
      </c>
      <c r="B2667" t="s">
        <v>30235</v>
      </c>
      <c r="C2667" t="s">
        <v>47190</v>
      </c>
      <c r="D2667" t="s">
        <v>32</v>
      </c>
      <c r="E2667" t="s">
        <v>46986</v>
      </c>
      <c r="F2667" t="s">
        <v>46985</v>
      </c>
      <c r="G2667" t="s">
        <v>32</v>
      </c>
      <c r="H2667" t="s">
        <v>47321</v>
      </c>
      <c r="I2667" t="s">
        <v>32</v>
      </c>
      <c r="J2667" t="s">
        <v>37</v>
      </c>
      <c r="K2667">
        <v>10090</v>
      </c>
      <c r="L2667" s="3" t="str">
        <f>HYPERLINK(CONCATENATE("https://www.uniprot.org/uniprotkb/", AG2667, "/entry"), AG2667)</f>
        <v>E9Q4Z2</v>
      </c>
      <c r="M2667" t="s">
        <v>32</v>
      </c>
      <c r="N2667" t="s">
        <v>32</v>
      </c>
      <c r="O2667" s="3" t="s">
        <v>32</v>
      </c>
      <c r="P2667" t="s">
        <v>32</v>
      </c>
      <c r="Q2667" t="s">
        <v>32</v>
      </c>
      <c r="R2667" t="s">
        <v>32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32</v>
      </c>
      <c r="Y2667" t="s">
        <v>32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  <c r="AE2667" t="s">
        <v>32</v>
      </c>
      <c r="AF2667" t="s">
        <v>46835</v>
      </c>
      <c r="AG2667" t="s">
        <v>46985</v>
      </c>
    </row>
    <row r="2668" spans="1:33" x14ac:dyDescent="0.2">
      <c r="A2668">
        <v>2663</v>
      </c>
      <c r="B2668" t="s">
        <v>30236</v>
      </c>
      <c r="C2668" t="s">
        <v>30237</v>
      </c>
      <c r="D2668" t="s">
        <v>30238</v>
      </c>
      <c r="E2668" t="s">
        <v>30239</v>
      </c>
      <c r="F2668" t="s">
        <v>30240</v>
      </c>
      <c r="G2668" t="s">
        <v>30241</v>
      </c>
      <c r="H2668" t="str">
        <f>"Tpp1"</f>
        <v>Tpp1</v>
      </c>
      <c r="I2668" t="s">
        <v>30242</v>
      </c>
      <c r="J2668" t="s">
        <v>37</v>
      </c>
      <c r="K2668">
        <v>10090</v>
      </c>
      <c r="L2668" s="3" t="str">
        <f>HYPERLINK("http://www.uniprot.org/uniprot/O89023", "O89023")</f>
        <v>O89023</v>
      </c>
      <c r="M2668" t="s">
        <v>30243</v>
      </c>
      <c r="N2668" t="str">
        <f>"Tpp1"</f>
        <v>Tpp1</v>
      </c>
      <c r="O2668" s="3" t="str">
        <f>HYPERLINK("http://www.informatics.jax.org/marker/MGI:1336194", "MGI:1336194")</f>
        <v>MGI:1336194</v>
      </c>
      <c r="P2668" t="s">
        <v>30244</v>
      </c>
      <c r="Q2668" t="s">
        <v>32</v>
      </c>
      <c r="R2668" t="s">
        <v>13962</v>
      </c>
      <c r="S2668" t="s">
        <v>32</v>
      </c>
      <c r="T2668" t="s">
        <v>32</v>
      </c>
      <c r="U2668" t="s">
        <v>32</v>
      </c>
      <c r="V2668" t="s">
        <v>811</v>
      </c>
      <c r="W2668" t="s">
        <v>188</v>
      </c>
      <c r="X2668" t="s">
        <v>4493</v>
      </c>
      <c r="Y2668" t="s">
        <v>30245</v>
      </c>
      <c r="Z2668" t="s">
        <v>32</v>
      </c>
      <c r="AA2668" t="s">
        <v>30246</v>
      </c>
      <c r="AB2668" t="s">
        <v>30247</v>
      </c>
      <c r="AC2668" t="s">
        <v>30248</v>
      </c>
      <c r="AD2668" t="s">
        <v>32</v>
      </c>
      <c r="AE2668" t="s">
        <v>32</v>
      </c>
      <c r="AF2668" t="s">
        <v>46835</v>
      </c>
    </row>
    <row r="2669" spans="1:33" x14ac:dyDescent="0.2">
      <c r="A2669">
        <v>2664</v>
      </c>
      <c r="B2669" t="s">
        <v>30249</v>
      </c>
      <c r="C2669" t="s">
        <v>30250</v>
      </c>
      <c r="D2669" t="s">
        <v>32</v>
      </c>
      <c r="E2669" t="s">
        <v>30251</v>
      </c>
      <c r="F2669" t="s">
        <v>30252</v>
      </c>
      <c r="G2669" t="s">
        <v>30253</v>
      </c>
      <c r="H2669" t="str">
        <f>"Osbp2"</f>
        <v>Osbp2</v>
      </c>
      <c r="I2669" t="s">
        <v>32</v>
      </c>
      <c r="J2669" t="s">
        <v>37</v>
      </c>
      <c r="K2669">
        <v>10090</v>
      </c>
      <c r="L2669" s="3" t="str">
        <f>HYPERLINK("http://www.uniprot.org/uniprot/Q5QNQ6", "Q5QNQ6")</f>
        <v>Q5QNQ6</v>
      </c>
      <c r="M2669" t="s">
        <v>30254</v>
      </c>
      <c r="N2669" t="str">
        <f>"Osbp2"</f>
        <v>Osbp2</v>
      </c>
      <c r="O2669" s="3" t="str">
        <f>HYPERLINK("http://www.informatics.jax.org/marker/MGI:1921559", "MGI:1921559")</f>
        <v>MGI:1921559</v>
      </c>
      <c r="P2669" t="s">
        <v>30255</v>
      </c>
      <c r="Q2669" t="s">
        <v>582</v>
      </c>
      <c r="R2669" t="s">
        <v>5989</v>
      </c>
      <c r="S2669" t="s">
        <v>32</v>
      </c>
      <c r="T2669" t="s">
        <v>32</v>
      </c>
      <c r="U2669" t="s">
        <v>32</v>
      </c>
      <c r="V2669" t="s">
        <v>32</v>
      </c>
      <c r="W2669" t="s">
        <v>584</v>
      </c>
      <c r="X2669" t="s">
        <v>32</v>
      </c>
      <c r="Y2669" t="s">
        <v>618</v>
      </c>
      <c r="Z2669" t="s">
        <v>32</v>
      </c>
      <c r="AA2669" t="s">
        <v>30256</v>
      </c>
      <c r="AB2669" t="s">
        <v>30257</v>
      </c>
      <c r="AC2669" t="s">
        <v>30258</v>
      </c>
      <c r="AD2669" t="s">
        <v>32</v>
      </c>
      <c r="AE2669" t="s">
        <v>32</v>
      </c>
      <c r="AF2669" t="s">
        <v>46835</v>
      </c>
    </row>
    <row r="2670" spans="1:33" x14ac:dyDescent="0.2">
      <c r="A2670">
        <v>2665</v>
      </c>
      <c r="B2670" t="s">
        <v>30259</v>
      </c>
      <c r="C2670" t="s">
        <v>30260</v>
      </c>
      <c r="D2670" t="s">
        <v>30261</v>
      </c>
      <c r="E2670" t="s">
        <v>30262</v>
      </c>
      <c r="F2670" t="s">
        <v>30263</v>
      </c>
      <c r="G2670" t="s">
        <v>30264</v>
      </c>
      <c r="H2670" t="str">
        <f>"Otulin"</f>
        <v>Otulin</v>
      </c>
      <c r="I2670" t="s">
        <v>32</v>
      </c>
      <c r="J2670" t="s">
        <v>37</v>
      </c>
      <c r="K2670">
        <v>10090</v>
      </c>
      <c r="L2670" s="3" t="str">
        <f>HYPERLINK("http://www.uniprot.org/uniprot/Q3UCV8", "Q3UCV8")</f>
        <v>Q3UCV8</v>
      </c>
      <c r="M2670" t="s">
        <v>30265</v>
      </c>
      <c r="N2670" t="str">
        <f>"Otulin"</f>
        <v>Otulin</v>
      </c>
      <c r="O2670" s="3" t="str">
        <f>HYPERLINK("http://www.informatics.jax.org/marker/MGI:3577015", "MGI:3577015")</f>
        <v>MGI:3577015</v>
      </c>
      <c r="P2670" t="s">
        <v>30266</v>
      </c>
      <c r="Q2670" t="s">
        <v>30267</v>
      </c>
      <c r="R2670" t="s">
        <v>418</v>
      </c>
      <c r="S2670" t="s">
        <v>32</v>
      </c>
      <c r="T2670" t="s">
        <v>32</v>
      </c>
      <c r="U2670" t="s">
        <v>32</v>
      </c>
      <c r="V2670" t="s">
        <v>290</v>
      </c>
      <c r="W2670" t="s">
        <v>32</v>
      </c>
      <c r="X2670" t="s">
        <v>557</v>
      </c>
      <c r="Y2670" t="s">
        <v>1023</v>
      </c>
      <c r="Z2670" t="s">
        <v>32</v>
      </c>
      <c r="AA2670" t="s">
        <v>30268</v>
      </c>
      <c r="AB2670" t="s">
        <v>2172</v>
      </c>
      <c r="AC2670" t="s">
        <v>30269</v>
      </c>
      <c r="AD2670" t="s">
        <v>32</v>
      </c>
      <c r="AE2670" t="s">
        <v>30270</v>
      </c>
      <c r="AF2670" t="s">
        <v>46835</v>
      </c>
    </row>
    <row r="2671" spans="1:33" x14ac:dyDescent="0.2">
      <c r="A2671">
        <v>2666</v>
      </c>
      <c r="B2671" t="s">
        <v>30271</v>
      </c>
      <c r="C2671" t="s">
        <v>30272</v>
      </c>
      <c r="D2671" t="s">
        <v>30273</v>
      </c>
      <c r="E2671" t="s">
        <v>30274</v>
      </c>
      <c r="F2671" t="s">
        <v>30275</v>
      </c>
      <c r="G2671" t="s">
        <v>30276</v>
      </c>
      <c r="H2671" t="str">
        <f>"Csrp2"</f>
        <v>Csrp2</v>
      </c>
      <c r="I2671" t="s">
        <v>30277</v>
      </c>
      <c r="J2671" t="s">
        <v>37</v>
      </c>
      <c r="K2671">
        <v>10090</v>
      </c>
      <c r="L2671" s="3" t="str">
        <f>HYPERLINK("http://www.uniprot.org/uniprot/P97314", "P97314")</f>
        <v>P97314</v>
      </c>
      <c r="M2671" t="s">
        <v>30278</v>
      </c>
      <c r="N2671" t="str">
        <f>"Csrp2"</f>
        <v>Csrp2</v>
      </c>
      <c r="O2671" s="3" t="str">
        <f>HYPERLINK("http://www.informatics.jax.org/marker/MGI:1202907", "MGI:1202907")</f>
        <v>MGI:1202907</v>
      </c>
      <c r="P2671" t="s">
        <v>30279</v>
      </c>
      <c r="Q2671" t="s">
        <v>687</v>
      </c>
      <c r="R2671" t="s">
        <v>2279</v>
      </c>
      <c r="S2671" t="s">
        <v>32</v>
      </c>
      <c r="T2671" t="s">
        <v>32</v>
      </c>
      <c r="U2671" t="s">
        <v>32</v>
      </c>
      <c r="V2671" t="s">
        <v>11332</v>
      </c>
      <c r="W2671" t="s">
        <v>42</v>
      </c>
      <c r="X2671" t="s">
        <v>2029</v>
      </c>
      <c r="Y2671" t="s">
        <v>461</v>
      </c>
      <c r="Z2671" t="s">
        <v>32</v>
      </c>
      <c r="AA2671" t="s">
        <v>23303</v>
      </c>
      <c r="AB2671" t="s">
        <v>23931</v>
      </c>
      <c r="AC2671" t="s">
        <v>23305</v>
      </c>
      <c r="AD2671" t="s">
        <v>32</v>
      </c>
      <c r="AE2671" t="s">
        <v>32</v>
      </c>
      <c r="AF2671" t="s">
        <v>46835</v>
      </c>
    </row>
    <row r="2672" spans="1:33" x14ac:dyDescent="0.2">
      <c r="A2672">
        <v>2667</v>
      </c>
      <c r="B2672" t="s">
        <v>30280</v>
      </c>
      <c r="C2672" t="s">
        <v>30281</v>
      </c>
      <c r="D2672" t="s">
        <v>32</v>
      </c>
      <c r="E2672" t="s">
        <v>30282</v>
      </c>
      <c r="F2672" t="s">
        <v>30283</v>
      </c>
      <c r="G2672" t="s">
        <v>30284</v>
      </c>
      <c r="H2672" t="str">
        <f>"Odr4"</f>
        <v>Odr4</v>
      </c>
      <c r="I2672" t="s">
        <v>32</v>
      </c>
      <c r="J2672" t="s">
        <v>37</v>
      </c>
      <c r="K2672">
        <v>10090</v>
      </c>
      <c r="L2672" s="3" t="str">
        <f>HYPERLINK("http://www.uniprot.org/uniprot/Q4PJX1", "Q4PJX1")</f>
        <v>Q4PJX1</v>
      </c>
      <c r="M2672" t="s">
        <v>30285</v>
      </c>
      <c r="N2672" t="str">
        <f>"Odr4"</f>
        <v>Odr4</v>
      </c>
      <c r="O2672" s="3" t="str">
        <f>HYPERLINK("http://www.informatics.jax.org/marker/MGI:2385108", "MGI:2385108")</f>
        <v>MGI:2385108</v>
      </c>
      <c r="P2672" t="s">
        <v>30286</v>
      </c>
      <c r="Q2672" t="s">
        <v>32</v>
      </c>
      <c r="R2672" t="s">
        <v>5989</v>
      </c>
      <c r="S2672" t="s">
        <v>41</v>
      </c>
      <c r="T2672" t="s">
        <v>32</v>
      </c>
      <c r="U2672" t="s">
        <v>32</v>
      </c>
      <c r="V2672" t="s">
        <v>493</v>
      </c>
      <c r="W2672" t="s">
        <v>32</v>
      </c>
      <c r="X2672" t="s">
        <v>32</v>
      </c>
      <c r="Y2672" t="s">
        <v>32</v>
      </c>
      <c r="Z2672" t="s">
        <v>32</v>
      </c>
      <c r="AA2672" t="s">
        <v>30287</v>
      </c>
      <c r="AB2672" t="s">
        <v>14923</v>
      </c>
      <c r="AC2672" t="s">
        <v>32</v>
      </c>
      <c r="AD2672" t="s">
        <v>32</v>
      </c>
      <c r="AE2672" t="s">
        <v>32</v>
      </c>
      <c r="AF2672" t="s">
        <v>46835</v>
      </c>
    </row>
    <row r="2673" spans="1:32" x14ac:dyDescent="0.2">
      <c r="A2673">
        <v>2668</v>
      </c>
      <c r="B2673" t="s">
        <v>30288</v>
      </c>
      <c r="C2673" t="s">
        <v>30289</v>
      </c>
      <c r="D2673" t="s">
        <v>30290</v>
      </c>
      <c r="E2673" t="s">
        <v>30291</v>
      </c>
      <c r="F2673" t="s">
        <v>30292</v>
      </c>
      <c r="G2673" t="s">
        <v>32</v>
      </c>
      <c r="H2673" t="str">
        <f>"Gmppb"</f>
        <v>Gmppb</v>
      </c>
      <c r="I2673" t="s">
        <v>32</v>
      </c>
      <c r="J2673" t="s">
        <v>37</v>
      </c>
      <c r="K2673">
        <v>10090</v>
      </c>
      <c r="L2673" s="3" t="str">
        <f>HYPERLINK("http://www.uniprot.org/uniprot/Q8BTZ7", "Q8BTZ7")</f>
        <v>Q8BTZ7</v>
      </c>
      <c r="M2673" t="s">
        <v>30293</v>
      </c>
      <c r="N2673" t="str">
        <f>"Gmppb"</f>
        <v>Gmppb</v>
      </c>
      <c r="O2673" s="3" t="str">
        <f>HYPERLINK("http://www.informatics.jax.org/marker/MGI:2660880", "MGI:2660880")</f>
        <v>MGI:2660880</v>
      </c>
      <c r="P2673" t="s">
        <v>30294</v>
      </c>
      <c r="Q2673" t="s">
        <v>32</v>
      </c>
      <c r="R2673" t="s">
        <v>418</v>
      </c>
      <c r="S2673" t="s">
        <v>32</v>
      </c>
      <c r="T2673" t="s">
        <v>32</v>
      </c>
      <c r="U2673" t="s">
        <v>32</v>
      </c>
      <c r="V2673" t="s">
        <v>32</v>
      </c>
      <c r="W2673" t="s">
        <v>261</v>
      </c>
      <c r="X2673" t="s">
        <v>7489</v>
      </c>
      <c r="Y2673" t="s">
        <v>32</v>
      </c>
      <c r="Z2673" t="s">
        <v>32</v>
      </c>
      <c r="AA2673" t="s">
        <v>30295</v>
      </c>
      <c r="AB2673" t="s">
        <v>3490</v>
      </c>
      <c r="AC2673" t="s">
        <v>30296</v>
      </c>
      <c r="AD2673" t="s">
        <v>30297</v>
      </c>
      <c r="AE2673" t="s">
        <v>32</v>
      </c>
      <c r="AF2673" t="s">
        <v>46835</v>
      </c>
    </row>
    <row r="2674" spans="1:32" x14ac:dyDescent="0.2">
      <c r="A2674">
        <v>2669</v>
      </c>
      <c r="B2674" t="s">
        <v>30298</v>
      </c>
      <c r="C2674" t="s">
        <v>30299</v>
      </c>
      <c r="D2674" t="s">
        <v>30300</v>
      </c>
      <c r="E2674" t="s">
        <v>30301</v>
      </c>
      <c r="F2674" t="s">
        <v>30302</v>
      </c>
      <c r="G2674" t="s">
        <v>30303</v>
      </c>
      <c r="H2674" t="str">
        <f>"Nipsnap3b"</f>
        <v>Nipsnap3b</v>
      </c>
      <c r="I2674" t="s">
        <v>30304</v>
      </c>
      <c r="J2674" t="s">
        <v>37</v>
      </c>
      <c r="K2674">
        <v>10090</v>
      </c>
      <c r="L2674" s="3" t="str">
        <f>HYPERLINK("http://www.uniprot.org/uniprot/Q9CQE1", "Q9CQE1")</f>
        <v>Q9CQE1</v>
      </c>
      <c r="M2674" t="s">
        <v>30305</v>
      </c>
      <c r="N2674" t="str">
        <f>"Nipsnap3b"</f>
        <v>Nipsnap3b</v>
      </c>
      <c r="O2674" s="3" t="str">
        <f>HYPERLINK("http://www.informatics.jax.org/marker/MGI:1913786", "MGI:1913786")</f>
        <v>MGI:1913786</v>
      </c>
      <c r="P2674" t="s">
        <v>418</v>
      </c>
      <c r="Q2674" t="s">
        <v>32</v>
      </c>
      <c r="R2674" t="s">
        <v>418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32</v>
      </c>
      <c r="Y2674" t="s">
        <v>32</v>
      </c>
      <c r="Z2674" t="s">
        <v>32</v>
      </c>
      <c r="AA2674" t="s">
        <v>32</v>
      </c>
      <c r="AB2674" t="s">
        <v>5676</v>
      </c>
      <c r="AC2674" t="s">
        <v>32</v>
      </c>
      <c r="AD2674" t="s">
        <v>32</v>
      </c>
      <c r="AE2674" t="s">
        <v>32</v>
      </c>
      <c r="AF2674" t="s">
        <v>46835</v>
      </c>
    </row>
    <row r="2675" spans="1:32" x14ac:dyDescent="0.2">
      <c r="A2675">
        <v>2670</v>
      </c>
      <c r="B2675" t="s">
        <v>30306</v>
      </c>
      <c r="C2675" t="s">
        <v>30307</v>
      </c>
      <c r="D2675" t="s">
        <v>30308</v>
      </c>
      <c r="E2675" t="s">
        <v>30309</v>
      </c>
      <c r="F2675" t="s">
        <v>30310</v>
      </c>
      <c r="G2675" t="s">
        <v>32</v>
      </c>
      <c r="H2675" t="str">
        <f>"Tst"</f>
        <v>Tst</v>
      </c>
      <c r="I2675" t="s">
        <v>32</v>
      </c>
      <c r="J2675" t="s">
        <v>37</v>
      </c>
      <c r="K2675">
        <v>10090</v>
      </c>
      <c r="L2675" s="3" t="str">
        <f>HYPERLINK("http://www.uniprot.org/uniprot/P52196", "P52196")</f>
        <v>P52196</v>
      </c>
      <c r="M2675" t="s">
        <v>30311</v>
      </c>
      <c r="N2675" t="str">
        <f>"Tst"</f>
        <v>Tst</v>
      </c>
      <c r="O2675" s="3" t="str">
        <f>HYPERLINK("http://www.informatics.jax.org/marker/MGI:98852", "MGI:98852")</f>
        <v>MGI:98852</v>
      </c>
      <c r="P2675" t="s">
        <v>30312</v>
      </c>
      <c r="Q2675" t="s">
        <v>32</v>
      </c>
      <c r="R2675" t="s">
        <v>1038</v>
      </c>
      <c r="S2675" t="s">
        <v>32</v>
      </c>
      <c r="T2675" t="s">
        <v>32</v>
      </c>
      <c r="U2675" t="s">
        <v>32</v>
      </c>
      <c r="V2675" t="s">
        <v>55</v>
      </c>
      <c r="W2675" t="s">
        <v>32</v>
      </c>
      <c r="X2675" t="s">
        <v>8240</v>
      </c>
      <c r="Y2675" t="s">
        <v>372</v>
      </c>
      <c r="Z2675" t="s">
        <v>32</v>
      </c>
      <c r="AA2675" t="s">
        <v>30313</v>
      </c>
      <c r="AB2675" t="s">
        <v>9721</v>
      </c>
      <c r="AC2675" t="s">
        <v>30314</v>
      </c>
      <c r="AD2675" t="s">
        <v>32</v>
      </c>
      <c r="AE2675" t="s">
        <v>12980</v>
      </c>
      <c r="AF2675" t="s">
        <v>46835</v>
      </c>
    </row>
    <row r="2676" spans="1:32" x14ac:dyDescent="0.2">
      <c r="A2676">
        <v>2671</v>
      </c>
      <c r="B2676" t="s">
        <v>30315</v>
      </c>
      <c r="C2676" t="s">
        <v>30316</v>
      </c>
      <c r="D2676" t="s">
        <v>30317</v>
      </c>
      <c r="E2676" t="s">
        <v>30318</v>
      </c>
      <c r="F2676" t="s">
        <v>30319</v>
      </c>
      <c r="G2676" t="s">
        <v>30320</v>
      </c>
      <c r="H2676" t="str">
        <f>"Aasdhppt"</f>
        <v>Aasdhppt</v>
      </c>
      <c r="I2676" t="s">
        <v>32</v>
      </c>
      <c r="J2676" t="s">
        <v>37</v>
      </c>
      <c r="K2676">
        <v>10090</v>
      </c>
      <c r="L2676" s="3" t="str">
        <f>HYPERLINK("http://www.uniprot.org/uniprot/Q9CQF6", "Q9CQF6")</f>
        <v>Q9CQF6</v>
      </c>
      <c r="M2676" t="s">
        <v>30321</v>
      </c>
      <c r="N2676" t="str">
        <f>"Aasdhppt"</f>
        <v>Aasdhppt</v>
      </c>
      <c r="O2676" s="3" t="str">
        <f>HYPERLINK("http://www.informatics.jax.org/marker/MGI:1914868", "MGI:1914868")</f>
        <v>MGI:1914868</v>
      </c>
      <c r="P2676" t="s">
        <v>30322</v>
      </c>
      <c r="Q2676" t="s">
        <v>32</v>
      </c>
      <c r="R2676" t="s">
        <v>418</v>
      </c>
      <c r="S2676" t="s">
        <v>41</v>
      </c>
      <c r="T2676" t="s">
        <v>32</v>
      </c>
      <c r="U2676" t="s">
        <v>32</v>
      </c>
      <c r="V2676" t="s">
        <v>32</v>
      </c>
      <c r="W2676" t="s">
        <v>223</v>
      </c>
      <c r="X2676" t="s">
        <v>515</v>
      </c>
      <c r="Y2676" t="s">
        <v>32</v>
      </c>
      <c r="Z2676" t="s">
        <v>32</v>
      </c>
      <c r="AA2676" t="s">
        <v>30323</v>
      </c>
      <c r="AB2676" t="s">
        <v>1268</v>
      </c>
      <c r="AC2676" t="s">
        <v>30324</v>
      </c>
      <c r="AD2676" t="s">
        <v>32</v>
      </c>
      <c r="AE2676" t="s">
        <v>30325</v>
      </c>
      <c r="AF2676" t="s">
        <v>46835</v>
      </c>
    </row>
    <row r="2677" spans="1:32" x14ac:dyDescent="0.2">
      <c r="A2677">
        <v>2672</v>
      </c>
      <c r="B2677" t="s">
        <v>30326</v>
      </c>
      <c r="C2677" t="s">
        <v>30327</v>
      </c>
      <c r="D2677" t="s">
        <v>30328</v>
      </c>
      <c r="E2677" t="s">
        <v>30329</v>
      </c>
      <c r="F2677" t="s">
        <v>30330</v>
      </c>
      <c r="G2677" t="s">
        <v>30331</v>
      </c>
      <c r="H2677" t="str">
        <f>"Apmap"</f>
        <v>Apmap</v>
      </c>
      <c r="I2677" t="s">
        <v>32</v>
      </c>
      <c r="J2677" t="s">
        <v>37</v>
      </c>
      <c r="K2677">
        <v>10090</v>
      </c>
      <c r="L2677" s="3" t="str">
        <f>HYPERLINK("http://www.uniprot.org/uniprot/Q9D7N9", "Q9D7N9")</f>
        <v>Q9D7N9</v>
      </c>
      <c r="M2677" t="s">
        <v>30332</v>
      </c>
      <c r="N2677" t="str">
        <f>"Apmap"</f>
        <v>Apmap</v>
      </c>
      <c r="O2677" s="3" t="str">
        <f>HYPERLINK("http://www.informatics.jax.org/marker/MGI:1919131", "MGI:1919131")</f>
        <v>MGI:1919131</v>
      </c>
      <c r="P2677" t="s">
        <v>30333</v>
      </c>
      <c r="Q2677" t="s">
        <v>32</v>
      </c>
      <c r="R2677" t="s">
        <v>5989</v>
      </c>
      <c r="S2677" t="s">
        <v>32</v>
      </c>
      <c r="T2677" t="s">
        <v>32</v>
      </c>
      <c r="U2677" t="s">
        <v>32</v>
      </c>
      <c r="V2677" t="s">
        <v>1550</v>
      </c>
      <c r="W2677" t="s">
        <v>32</v>
      </c>
      <c r="X2677" t="s">
        <v>32</v>
      </c>
      <c r="Y2677" t="s">
        <v>372</v>
      </c>
      <c r="Z2677" t="s">
        <v>32</v>
      </c>
      <c r="AA2677" t="s">
        <v>30334</v>
      </c>
      <c r="AB2677" t="s">
        <v>30335</v>
      </c>
      <c r="AC2677" t="s">
        <v>30336</v>
      </c>
      <c r="AD2677" t="s">
        <v>32</v>
      </c>
      <c r="AE2677" t="s">
        <v>32</v>
      </c>
      <c r="AF2677" t="s">
        <v>46835</v>
      </c>
    </row>
    <row r="2678" spans="1:32" x14ac:dyDescent="0.2">
      <c r="A2678">
        <v>2673</v>
      </c>
      <c r="B2678" t="s">
        <v>30337</v>
      </c>
      <c r="C2678" t="s">
        <v>30338</v>
      </c>
      <c r="D2678" t="s">
        <v>32</v>
      </c>
      <c r="E2678" t="s">
        <v>30339</v>
      </c>
      <c r="F2678" t="s">
        <v>30340</v>
      </c>
      <c r="G2678" t="s">
        <v>30341</v>
      </c>
      <c r="H2678" t="str">
        <f>"Emc1"</f>
        <v>Emc1</v>
      </c>
      <c r="I2678" t="s">
        <v>30342</v>
      </c>
      <c r="J2678" t="s">
        <v>37</v>
      </c>
      <c r="K2678">
        <v>10090</v>
      </c>
      <c r="L2678" s="3" t="str">
        <f>HYPERLINK("http://www.uniprot.org/uniprot/Q8C7X2", "Q8C7X2")</f>
        <v>Q8C7X2</v>
      </c>
      <c r="M2678" t="s">
        <v>30343</v>
      </c>
      <c r="N2678" t="str">
        <f>"Emc1"</f>
        <v>Emc1</v>
      </c>
      <c r="O2678" s="3" t="str">
        <f>HYPERLINK("http://www.informatics.jax.org/marker/MGI:2443696", "MGI:2443696")</f>
        <v>MGI:2443696</v>
      </c>
      <c r="P2678" t="s">
        <v>30344</v>
      </c>
      <c r="Q2678" t="s">
        <v>32</v>
      </c>
      <c r="R2678" t="s">
        <v>1664</v>
      </c>
      <c r="S2678" t="s">
        <v>41</v>
      </c>
      <c r="T2678" t="s">
        <v>32</v>
      </c>
      <c r="U2678" t="s">
        <v>32</v>
      </c>
      <c r="V2678" t="s">
        <v>3948</v>
      </c>
      <c r="W2678" t="s">
        <v>32</v>
      </c>
      <c r="X2678" t="s">
        <v>32</v>
      </c>
      <c r="Y2678" t="s">
        <v>5275</v>
      </c>
      <c r="Z2678" t="s">
        <v>32</v>
      </c>
      <c r="AA2678" t="s">
        <v>21751</v>
      </c>
      <c r="AB2678" t="s">
        <v>30345</v>
      </c>
      <c r="AC2678" t="s">
        <v>21753</v>
      </c>
      <c r="AD2678" t="s">
        <v>32</v>
      </c>
      <c r="AE2678" t="s">
        <v>32</v>
      </c>
      <c r="AF2678" t="s">
        <v>46835</v>
      </c>
    </row>
    <row r="2679" spans="1:32" x14ac:dyDescent="0.2">
      <c r="A2679">
        <v>2674</v>
      </c>
      <c r="B2679" t="s">
        <v>30346</v>
      </c>
      <c r="C2679" t="s">
        <v>30347</v>
      </c>
      <c r="D2679" t="s">
        <v>30348</v>
      </c>
      <c r="E2679" t="s">
        <v>30349</v>
      </c>
      <c r="F2679" t="s">
        <v>30350</v>
      </c>
      <c r="G2679" t="s">
        <v>30351</v>
      </c>
      <c r="H2679" t="str">
        <f>"Phax"</f>
        <v>Phax</v>
      </c>
      <c r="I2679" t="s">
        <v>30352</v>
      </c>
      <c r="J2679" t="s">
        <v>37</v>
      </c>
      <c r="K2679">
        <v>10090</v>
      </c>
      <c r="L2679" s="3" t="str">
        <f>HYPERLINK("http://www.uniprot.org/uniprot/Q9JJT9", "Q9JJT9")</f>
        <v>Q9JJT9</v>
      </c>
      <c r="M2679" t="s">
        <v>30353</v>
      </c>
      <c r="N2679" t="str">
        <f>"Phax"</f>
        <v>Phax</v>
      </c>
      <c r="O2679" s="3" t="str">
        <f>HYPERLINK("http://www.informatics.jax.org/marker/MGI:1891839", "MGI:1891839")</f>
        <v>MGI:1891839</v>
      </c>
      <c r="P2679" t="s">
        <v>30354</v>
      </c>
      <c r="Q2679" t="s">
        <v>434</v>
      </c>
      <c r="R2679" t="s">
        <v>40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1282</v>
      </c>
      <c r="Y2679" t="s">
        <v>157</v>
      </c>
      <c r="Z2679" t="s">
        <v>32</v>
      </c>
      <c r="AA2679" t="s">
        <v>30355</v>
      </c>
      <c r="AB2679" t="s">
        <v>30356</v>
      </c>
      <c r="AC2679" t="s">
        <v>30357</v>
      </c>
      <c r="AD2679" t="s">
        <v>32</v>
      </c>
      <c r="AE2679" t="s">
        <v>22679</v>
      </c>
      <c r="AF2679" t="s">
        <v>46835</v>
      </c>
    </row>
    <row r="2680" spans="1:32" x14ac:dyDescent="0.2">
      <c r="A2680">
        <v>2675</v>
      </c>
      <c r="B2680" t="s">
        <v>30358</v>
      </c>
      <c r="C2680" t="s">
        <v>30359</v>
      </c>
      <c r="D2680" t="s">
        <v>30360</v>
      </c>
      <c r="E2680" t="s">
        <v>30361</v>
      </c>
      <c r="F2680" t="s">
        <v>30362</v>
      </c>
      <c r="G2680" t="s">
        <v>30363</v>
      </c>
      <c r="H2680" t="str">
        <f>"Gnl3"</f>
        <v>Gnl3</v>
      </c>
      <c r="I2680" t="s">
        <v>30364</v>
      </c>
      <c r="J2680" t="s">
        <v>37</v>
      </c>
      <c r="K2680">
        <v>10090</v>
      </c>
      <c r="L2680" s="3" t="str">
        <f>HYPERLINK("http://www.uniprot.org/uniprot/Q8CI11", "Q8CI11")</f>
        <v>Q8CI11</v>
      </c>
      <c r="M2680" t="s">
        <v>30365</v>
      </c>
      <c r="N2680" t="str">
        <f>"Gnl3"</f>
        <v>Gnl3</v>
      </c>
      <c r="O2680" s="3" t="str">
        <f>HYPERLINK("http://www.informatics.jax.org/marker/MGI:1353651", "MGI:1353651")</f>
        <v>MGI:1353651</v>
      </c>
      <c r="P2680" t="s">
        <v>30366</v>
      </c>
      <c r="Q2680" t="s">
        <v>32</v>
      </c>
      <c r="R2680" t="s">
        <v>2279</v>
      </c>
      <c r="S2680" t="s">
        <v>41</v>
      </c>
      <c r="T2680" t="s">
        <v>32</v>
      </c>
      <c r="U2680" t="s">
        <v>32</v>
      </c>
      <c r="V2680" t="s">
        <v>290</v>
      </c>
      <c r="W2680" t="s">
        <v>261</v>
      </c>
      <c r="X2680" t="s">
        <v>32</v>
      </c>
      <c r="Y2680" t="s">
        <v>516</v>
      </c>
      <c r="Z2680" t="s">
        <v>32</v>
      </c>
      <c r="AA2680" t="s">
        <v>30367</v>
      </c>
      <c r="AB2680" t="s">
        <v>30368</v>
      </c>
      <c r="AC2680" t="s">
        <v>30369</v>
      </c>
      <c r="AD2680" t="s">
        <v>32</v>
      </c>
      <c r="AE2680" t="s">
        <v>960</v>
      </c>
      <c r="AF2680" t="s">
        <v>46835</v>
      </c>
    </row>
    <row r="2681" spans="1:32" x14ac:dyDescent="0.2">
      <c r="A2681">
        <v>2676</v>
      </c>
      <c r="B2681" t="s">
        <v>30370</v>
      </c>
      <c r="C2681" t="s">
        <v>30371</v>
      </c>
      <c r="D2681" t="s">
        <v>30372</v>
      </c>
      <c r="E2681" t="s">
        <v>30373</v>
      </c>
      <c r="F2681" t="s">
        <v>30374</v>
      </c>
      <c r="G2681" t="s">
        <v>30375</v>
      </c>
      <c r="H2681" t="str">
        <f>"Ptk2"</f>
        <v>Ptk2</v>
      </c>
      <c r="I2681" t="s">
        <v>30376</v>
      </c>
      <c r="J2681" t="s">
        <v>37</v>
      </c>
      <c r="K2681">
        <v>10090</v>
      </c>
      <c r="L2681" s="3" t="str">
        <f>HYPERLINK("http://www.uniprot.org/uniprot/P34152", "P34152")</f>
        <v>P34152</v>
      </c>
      <c r="M2681" t="s">
        <v>30377</v>
      </c>
      <c r="N2681" t="str">
        <f>"Ptk2"</f>
        <v>Ptk2</v>
      </c>
      <c r="O2681" s="3" t="str">
        <f>HYPERLINK("http://www.informatics.jax.org/marker/MGI:95481", "MGI:95481")</f>
        <v>MGI:95481</v>
      </c>
      <c r="P2681" t="s">
        <v>30378</v>
      </c>
      <c r="Q2681" t="s">
        <v>4227</v>
      </c>
      <c r="R2681" t="s">
        <v>8935</v>
      </c>
      <c r="S2681" t="s">
        <v>8151</v>
      </c>
      <c r="T2681" t="s">
        <v>32</v>
      </c>
      <c r="U2681" t="s">
        <v>32</v>
      </c>
      <c r="V2681" t="s">
        <v>32</v>
      </c>
      <c r="W2681" t="s">
        <v>205</v>
      </c>
      <c r="X2681" t="s">
        <v>30379</v>
      </c>
      <c r="Y2681" t="s">
        <v>516</v>
      </c>
      <c r="Z2681" t="s">
        <v>126</v>
      </c>
      <c r="AA2681" t="s">
        <v>30380</v>
      </c>
      <c r="AB2681" t="s">
        <v>30381</v>
      </c>
      <c r="AC2681" t="s">
        <v>30382</v>
      </c>
      <c r="AD2681" t="s">
        <v>32</v>
      </c>
      <c r="AE2681" t="s">
        <v>30383</v>
      </c>
      <c r="AF2681" t="s">
        <v>46835</v>
      </c>
    </row>
    <row r="2682" spans="1:32" x14ac:dyDescent="0.2">
      <c r="A2682">
        <v>2677</v>
      </c>
      <c r="B2682" t="s">
        <v>30384</v>
      </c>
      <c r="C2682" t="s">
        <v>30385</v>
      </c>
      <c r="D2682" t="s">
        <v>30386</v>
      </c>
      <c r="E2682" t="s">
        <v>30387</v>
      </c>
      <c r="F2682" t="s">
        <v>30388</v>
      </c>
      <c r="G2682" t="s">
        <v>30389</v>
      </c>
      <c r="H2682" t="str">
        <f>"F13a1"</f>
        <v>F13a1</v>
      </c>
      <c r="I2682" t="s">
        <v>30390</v>
      </c>
      <c r="J2682" t="s">
        <v>37</v>
      </c>
      <c r="K2682">
        <v>10090</v>
      </c>
      <c r="L2682" s="3" t="str">
        <f>HYPERLINK("http://www.uniprot.org/uniprot/Q8BH61", "Q8BH61")</f>
        <v>Q8BH61</v>
      </c>
      <c r="M2682" t="s">
        <v>30391</v>
      </c>
      <c r="N2682" t="str">
        <f>"F13a1"</f>
        <v>F13a1</v>
      </c>
      <c r="O2682" s="3" t="str">
        <f>HYPERLINK("http://www.informatics.jax.org/marker/MGI:1921395", "MGI:1921395")</f>
        <v>MGI:1921395</v>
      </c>
      <c r="P2682" t="s">
        <v>30392</v>
      </c>
      <c r="Q2682" t="s">
        <v>6760</v>
      </c>
      <c r="R2682" t="s">
        <v>2446</v>
      </c>
      <c r="S2682" t="s">
        <v>32</v>
      </c>
      <c r="T2682" t="s">
        <v>32</v>
      </c>
      <c r="U2682" t="s">
        <v>32</v>
      </c>
      <c r="V2682" t="s">
        <v>32</v>
      </c>
      <c r="W2682" t="s">
        <v>188</v>
      </c>
      <c r="X2682" t="s">
        <v>7304</v>
      </c>
      <c r="Y2682" t="s">
        <v>30393</v>
      </c>
      <c r="Z2682" t="s">
        <v>32</v>
      </c>
      <c r="AA2682" t="s">
        <v>30394</v>
      </c>
      <c r="AB2682" t="s">
        <v>30395</v>
      </c>
      <c r="AC2682" t="s">
        <v>30396</v>
      </c>
      <c r="AD2682" t="s">
        <v>32</v>
      </c>
      <c r="AE2682" t="s">
        <v>30397</v>
      </c>
      <c r="AF2682" t="s">
        <v>46835</v>
      </c>
    </row>
    <row r="2683" spans="1:32" x14ac:dyDescent="0.2">
      <c r="A2683">
        <v>2678</v>
      </c>
      <c r="B2683" t="s">
        <v>30398</v>
      </c>
      <c r="C2683" t="s">
        <v>30399</v>
      </c>
      <c r="D2683" t="s">
        <v>32</v>
      </c>
      <c r="E2683" t="s">
        <v>30400</v>
      </c>
      <c r="F2683" t="s">
        <v>30401</v>
      </c>
      <c r="G2683" t="s">
        <v>30402</v>
      </c>
      <c r="H2683" t="str">
        <f>"Ubap1"</f>
        <v>Ubap1</v>
      </c>
      <c r="I2683" t="s">
        <v>32</v>
      </c>
      <c r="J2683" t="s">
        <v>37</v>
      </c>
      <c r="K2683">
        <v>10090</v>
      </c>
      <c r="L2683" s="3" t="str">
        <f>HYPERLINK("http://www.uniprot.org/uniprot/Q8BH48", "Q8BH48")</f>
        <v>Q8BH48</v>
      </c>
      <c r="M2683" t="s">
        <v>30403</v>
      </c>
      <c r="N2683" t="str">
        <f>"Ubap1"</f>
        <v>Ubap1</v>
      </c>
      <c r="O2683" s="3" t="str">
        <f>HYPERLINK("http://www.informatics.jax.org/marker/MGI:2149543", "MGI:2149543")</f>
        <v>MGI:2149543</v>
      </c>
      <c r="P2683" t="s">
        <v>30404</v>
      </c>
      <c r="Q2683" t="s">
        <v>434</v>
      </c>
      <c r="R2683" t="s">
        <v>23613</v>
      </c>
      <c r="S2683" t="s">
        <v>41</v>
      </c>
      <c r="T2683" t="s">
        <v>32</v>
      </c>
      <c r="U2683" t="s">
        <v>32</v>
      </c>
      <c r="V2683" t="s">
        <v>55</v>
      </c>
      <c r="W2683" t="s">
        <v>32</v>
      </c>
      <c r="X2683" t="s">
        <v>32</v>
      </c>
      <c r="Y2683" t="s">
        <v>618</v>
      </c>
      <c r="Z2683" t="s">
        <v>32</v>
      </c>
      <c r="AA2683" t="s">
        <v>30405</v>
      </c>
      <c r="AB2683" t="s">
        <v>30406</v>
      </c>
      <c r="AC2683" t="s">
        <v>14891</v>
      </c>
      <c r="AD2683" t="s">
        <v>32</v>
      </c>
      <c r="AE2683" t="s">
        <v>14055</v>
      </c>
      <c r="AF2683" t="s">
        <v>46835</v>
      </c>
    </row>
    <row r="2684" spans="1:32" x14ac:dyDescent="0.2">
      <c r="A2684">
        <v>2679</v>
      </c>
      <c r="B2684" t="s">
        <v>30407</v>
      </c>
      <c r="C2684" t="s">
        <v>30408</v>
      </c>
      <c r="D2684" t="s">
        <v>30409</v>
      </c>
      <c r="E2684" t="s">
        <v>30410</v>
      </c>
      <c r="F2684" t="s">
        <v>30411</v>
      </c>
      <c r="G2684" t="s">
        <v>30412</v>
      </c>
      <c r="H2684" t="str">
        <f>"Gosr2"</f>
        <v>Gosr2</v>
      </c>
      <c r="I2684" t="s">
        <v>30413</v>
      </c>
      <c r="J2684" t="s">
        <v>37</v>
      </c>
      <c r="K2684">
        <v>10090</v>
      </c>
      <c r="L2684" s="3" t="str">
        <f>HYPERLINK("http://www.uniprot.org/uniprot/O35166", "O35166")</f>
        <v>O35166</v>
      </c>
      <c r="M2684" t="s">
        <v>30414</v>
      </c>
      <c r="N2684" t="str">
        <f>"Gosr2"</f>
        <v>Gosr2</v>
      </c>
      <c r="O2684" s="3" t="str">
        <f>HYPERLINK("http://www.informatics.jax.org/marker/MGI:1927204", "MGI:1927204")</f>
        <v>MGI:1927204</v>
      </c>
      <c r="P2684" t="s">
        <v>30415</v>
      </c>
      <c r="Q2684" t="s">
        <v>434</v>
      </c>
      <c r="R2684" t="s">
        <v>11259</v>
      </c>
      <c r="S2684" t="s">
        <v>32</v>
      </c>
      <c r="T2684" t="s">
        <v>32</v>
      </c>
      <c r="U2684" t="s">
        <v>32</v>
      </c>
      <c r="V2684" t="s">
        <v>6500</v>
      </c>
      <c r="W2684" t="s">
        <v>32</v>
      </c>
      <c r="X2684" t="s">
        <v>32</v>
      </c>
      <c r="Y2684" t="s">
        <v>78</v>
      </c>
      <c r="Z2684" t="s">
        <v>32</v>
      </c>
      <c r="AA2684" t="s">
        <v>30416</v>
      </c>
      <c r="AB2684" t="s">
        <v>30417</v>
      </c>
      <c r="AC2684" t="s">
        <v>22904</v>
      </c>
      <c r="AD2684" t="s">
        <v>32</v>
      </c>
      <c r="AE2684" t="s">
        <v>30418</v>
      </c>
      <c r="AF2684" t="s">
        <v>46835</v>
      </c>
    </row>
    <row r="2685" spans="1:32" x14ac:dyDescent="0.2">
      <c r="A2685">
        <v>2680</v>
      </c>
      <c r="B2685" t="s">
        <v>30419</v>
      </c>
      <c r="C2685" t="s">
        <v>30420</v>
      </c>
      <c r="D2685" t="s">
        <v>30421</v>
      </c>
      <c r="E2685" t="s">
        <v>30422</v>
      </c>
      <c r="F2685" t="s">
        <v>30423</v>
      </c>
      <c r="G2685" t="s">
        <v>30424</v>
      </c>
      <c r="H2685" t="str">
        <f>"Eipr1"</f>
        <v>Eipr1</v>
      </c>
      <c r="I2685" t="s">
        <v>32</v>
      </c>
      <c r="J2685" t="s">
        <v>37</v>
      </c>
      <c r="K2685">
        <v>10090</v>
      </c>
      <c r="L2685" s="3" t="str">
        <f>HYPERLINK("http://www.uniprot.org/uniprot/Q8K0G5", "Q8K0G5")</f>
        <v>Q8K0G5</v>
      </c>
      <c r="M2685" t="s">
        <v>30425</v>
      </c>
      <c r="N2685" t="str">
        <f>"Eipr1"</f>
        <v>Eipr1</v>
      </c>
      <c r="O2685" s="3" t="str">
        <f>HYPERLINK("http://www.informatics.jax.org/marker/MGI:1289332", "MGI:1289332")</f>
        <v>MGI:1289332</v>
      </c>
      <c r="P2685" t="s">
        <v>30426</v>
      </c>
      <c r="Q2685" t="s">
        <v>32</v>
      </c>
      <c r="R2685" t="s">
        <v>12904</v>
      </c>
      <c r="S2685" t="s">
        <v>32</v>
      </c>
      <c r="T2685" t="s">
        <v>32</v>
      </c>
      <c r="U2685" t="s">
        <v>32</v>
      </c>
      <c r="V2685" t="s">
        <v>1910</v>
      </c>
      <c r="W2685" t="s">
        <v>32</v>
      </c>
      <c r="X2685" t="s">
        <v>32</v>
      </c>
      <c r="Y2685" t="s">
        <v>157</v>
      </c>
      <c r="Z2685" t="s">
        <v>32</v>
      </c>
      <c r="AA2685" t="s">
        <v>30427</v>
      </c>
      <c r="AB2685" t="s">
        <v>30428</v>
      </c>
      <c r="AC2685" t="s">
        <v>32</v>
      </c>
      <c r="AD2685" t="s">
        <v>32</v>
      </c>
      <c r="AE2685" t="s">
        <v>32</v>
      </c>
      <c r="AF2685" t="s">
        <v>46835</v>
      </c>
    </row>
    <row r="2686" spans="1:32" x14ac:dyDescent="0.2">
      <c r="A2686">
        <v>2681</v>
      </c>
      <c r="B2686" t="s">
        <v>30429</v>
      </c>
      <c r="C2686" t="s">
        <v>30430</v>
      </c>
      <c r="D2686" t="s">
        <v>30431</v>
      </c>
      <c r="E2686" t="s">
        <v>30432</v>
      </c>
      <c r="F2686" t="s">
        <v>30433</v>
      </c>
      <c r="G2686" t="s">
        <v>30434</v>
      </c>
      <c r="H2686" t="str">
        <f>"Prkra"</f>
        <v>Prkra</v>
      </c>
      <c r="I2686" t="s">
        <v>30435</v>
      </c>
      <c r="J2686" t="s">
        <v>37</v>
      </c>
      <c r="K2686">
        <v>10090</v>
      </c>
      <c r="L2686" s="3" t="str">
        <f>HYPERLINK("http://www.uniprot.org/uniprot/Q9WTX2", "Q9WTX2")</f>
        <v>Q9WTX2</v>
      </c>
      <c r="M2686" t="s">
        <v>30436</v>
      </c>
      <c r="N2686" t="str">
        <f>"Prkra"</f>
        <v>Prkra</v>
      </c>
      <c r="O2686" s="3" t="str">
        <f>HYPERLINK("http://www.informatics.jax.org/marker/MGI:1344375", "MGI:1344375")</f>
        <v>MGI:1344375</v>
      </c>
      <c r="P2686" t="s">
        <v>30437</v>
      </c>
      <c r="Q2686" t="s">
        <v>30438</v>
      </c>
      <c r="R2686" t="s">
        <v>418</v>
      </c>
      <c r="S2686" t="s">
        <v>32</v>
      </c>
      <c r="T2686" t="s">
        <v>32</v>
      </c>
      <c r="U2686" t="s">
        <v>32</v>
      </c>
      <c r="V2686" t="s">
        <v>55</v>
      </c>
      <c r="W2686" t="s">
        <v>32</v>
      </c>
      <c r="X2686" t="s">
        <v>1282</v>
      </c>
      <c r="Y2686" t="s">
        <v>618</v>
      </c>
      <c r="Z2686" t="s">
        <v>32</v>
      </c>
      <c r="AA2686" t="s">
        <v>30439</v>
      </c>
      <c r="AB2686" t="s">
        <v>30440</v>
      </c>
      <c r="AC2686" t="s">
        <v>30441</v>
      </c>
      <c r="AD2686" t="s">
        <v>32</v>
      </c>
      <c r="AE2686" t="s">
        <v>30442</v>
      </c>
      <c r="AF2686" t="s">
        <v>46835</v>
      </c>
    </row>
    <row r="2687" spans="1:32" x14ac:dyDescent="0.2">
      <c r="A2687">
        <v>2682</v>
      </c>
      <c r="B2687" t="s">
        <v>30443</v>
      </c>
      <c r="C2687" t="s">
        <v>30444</v>
      </c>
      <c r="D2687" t="s">
        <v>30445</v>
      </c>
      <c r="E2687" t="s">
        <v>30446</v>
      </c>
      <c r="F2687" t="s">
        <v>30447</v>
      </c>
      <c r="G2687" t="s">
        <v>30448</v>
      </c>
      <c r="H2687" t="str">
        <f>"Mycbp"</f>
        <v>Mycbp</v>
      </c>
      <c r="I2687" t="s">
        <v>30449</v>
      </c>
      <c r="J2687" t="s">
        <v>37</v>
      </c>
      <c r="K2687">
        <v>10090</v>
      </c>
      <c r="L2687" s="3" t="str">
        <f>HYPERLINK("http://www.uniprot.org/uniprot/Q9EQS3", "Q9EQS3")</f>
        <v>Q9EQS3</v>
      </c>
      <c r="M2687" t="s">
        <v>30450</v>
      </c>
      <c r="N2687" t="str">
        <f>"Mycbp"</f>
        <v>Mycbp</v>
      </c>
      <c r="O2687" s="3" t="str">
        <f>HYPERLINK("http://www.informatics.jax.org/marker/MGI:1891750", "MGI:1891750")</f>
        <v>MGI:1891750</v>
      </c>
      <c r="P2687" t="s">
        <v>30451</v>
      </c>
      <c r="Q2687" t="s">
        <v>4152</v>
      </c>
      <c r="R2687" t="s">
        <v>40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32</v>
      </c>
      <c r="Y2687" t="s">
        <v>32</v>
      </c>
      <c r="Z2687" t="s">
        <v>32</v>
      </c>
      <c r="AA2687" t="s">
        <v>9733</v>
      </c>
      <c r="AB2687" t="s">
        <v>29548</v>
      </c>
      <c r="AC2687" t="s">
        <v>13501</v>
      </c>
      <c r="AD2687" t="s">
        <v>32</v>
      </c>
      <c r="AE2687" t="s">
        <v>32</v>
      </c>
      <c r="AF2687" t="s">
        <v>46835</v>
      </c>
    </row>
    <row r="2688" spans="1:32" x14ac:dyDescent="0.2">
      <c r="A2688">
        <v>2683</v>
      </c>
      <c r="B2688" t="s">
        <v>30452</v>
      </c>
      <c r="C2688" t="s">
        <v>30453</v>
      </c>
      <c r="D2688" t="s">
        <v>32</v>
      </c>
      <c r="E2688" t="s">
        <v>30454</v>
      </c>
      <c r="F2688" t="s">
        <v>30455</v>
      </c>
      <c r="G2688" t="s">
        <v>30456</v>
      </c>
      <c r="H2688" t="s">
        <v>32</v>
      </c>
      <c r="I2688" t="s">
        <v>32</v>
      </c>
      <c r="J2688" t="s">
        <v>37</v>
      </c>
      <c r="K2688">
        <v>10090</v>
      </c>
      <c r="L2688" s="3" t="str">
        <f>HYPERLINK("http://www.uniprot.org/uniprot/P03987", "P03987")</f>
        <v>P03987</v>
      </c>
      <c r="M2688" t="s">
        <v>32</v>
      </c>
      <c r="N2688" t="s">
        <v>32</v>
      </c>
      <c r="O2688" s="3" t="s">
        <v>32</v>
      </c>
      <c r="P2688" t="s">
        <v>30457</v>
      </c>
      <c r="Q2688" t="s">
        <v>32</v>
      </c>
      <c r="R2688" t="s">
        <v>30458</v>
      </c>
      <c r="S2688" t="s">
        <v>41</v>
      </c>
      <c r="T2688" t="s">
        <v>32</v>
      </c>
      <c r="U2688" t="s">
        <v>32</v>
      </c>
      <c r="V2688" t="s">
        <v>30459</v>
      </c>
      <c r="W2688" t="s">
        <v>32</v>
      </c>
      <c r="X2688" t="s">
        <v>32</v>
      </c>
      <c r="Y2688" t="s">
        <v>3733</v>
      </c>
      <c r="Z2688" t="s">
        <v>126</v>
      </c>
      <c r="AA2688" t="s">
        <v>30460</v>
      </c>
      <c r="AB2688" t="s">
        <v>30461</v>
      </c>
      <c r="AC2688" t="s">
        <v>30462</v>
      </c>
      <c r="AD2688" t="s">
        <v>32</v>
      </c>
      <c r="AE2688" t="s">
        <v>32</v>
      </c>
      <c r="AF2688" t="s">
        <v>46835</v>
      </c>
    </row>
    <row r="2689" spans="1:32" x14ac:dyDescent="0.2">
      <c r="A2689">
        <v>2684</v>
      </c>
      <c r="B2689" t="s">
        <v>30463</v>
      </c>
      <c r="C2689" t="s">
        <v>30464</v>
      </c>
      <c r="D2689" t="s">
        <v>30465</v>
      </c>
      <c r="E2689" t="s">
        <v>30466</v>
      </c>
      <c r="F2689" t="s">
        <v>30467</v>
      </c>
      <c r="G2689" t="s">
        <v>30468</v>
      </c>
      <c r="H2689" t="str">
        <f>"Afap1"</f>
        <v>Afap1</v>
      </c>
      <c r="I2689" t="s">
        <v>30469</v>
      </c>
      <c r="J2689" t="s">
        <v>37</v>
      </c>
      <c r="K2689">
        <v>10090</v>
      </c>
      <c r="L2689" s="3" t="str">
        <f>HYPERLINK("http://www.uniprot.org/uniprot/Q80YS6", "Q80YS6")</f>
        <v>Q80YS6</v>
      </c>
      <c r="M2689" t="s">
        <v>30470</v>
      </c>
      <c r="N2689" t="str">
        <f>"Afap1"</f>
        <v>Afap1</v>
      </c>
      <c r="O2689" s="3" t="str">
        <f>HYPERLINK("http://www.informatics.jax.org/marker/MGI:1917542", "MGI:1917542")</f>
        <v>MGI:1917542</v>
      </c>
      <c r="P2689" t="s">
        <v>30471</v>
      </c>
      <c r="Q2689" t="s">
        <v>32</v>
      </c>
      <c r="R2689" t="s">
        <v>186</v>
      </c>
      <c r="S2689" t="s">
        <v>32</v>
      </c>
      <c r="T2689" t="s">
        <v>32</v>
      </c>
      <c r="U2689" t="s">
        <v>32</v>
      </c>
      <c r="V2689" t="s">
        <v>21356</v>
      </c>
      <c r="W2689" t="s">
        <v>32</v>
      </c>
      <c r="X2689" t="s">
        <v>405</v>
      </c>
      <c r="Y2689" t="s">
        <v>157</v>
      </c>
      <c r="Z2689" t="s">
        <v>32</v>
      </c>
      <c r="AA2689" t="s">
        <v>30472</v>
      </c>
      <c r="AB2689" t="s">
        <v>30473</v>
      </c>
      <c r="AC2689" t="s">
        <v>30474</v>
      </c>
      <c r="AD2689" t="s">
        <v>32</v>
      </c>
      <c r="AE2689" t="s">
        <v>32</v>
      </c>
      <c r="AF2689" t="s">
        <v>46835</v>
      </c>
    </row>
    <row r="2690" spans="1:32" x14ac:dyDescent="0.2">
      <c r="A2690">
        <v>2685</v>
      </c>
      <c r="B2690" t="s">
        <v>30475</v>
      </c>
      <c r="C2690" t="s">
        <v>30476</v>
      </c>
      <c r="D2690" t="s">
        <v>32</v>
      </c>
      <c r="E2690" t="s">
        <v>30477</v>
      </c>
      <c r="F2690" t="s">
        <v>30478</v>
      </c>
      <c r="G2690" t="s">
        <v>30479</v>
      </c>
      <c r="H2690" t="str">
        <f>"Wdsub1"</f>
        <v>Wdsub1</v>
      </c>
      <c r="I2690" t="s">
        <v>32</v>
      </c>
      <c r="J2690" t="s">
        <v>37</v>
      </c>
      <c r="K2690">
        <v>10090</v>
      </c>
      <c r="L2690" s="3" t="str">
        <f>HYPERLINK("http://www.uniprot.org/uniprot/Q9D0I6", "Q9D0I6")</f>
        <v>Q9D0I6</v>
      </c>
      <c r="M2690" t="s">
        <v>30480</v>
      </c>
      <c r="N2690" t="str">
        <f>"Wdsub1"</f>
        <v>Wdsub1</v>
      </c>
      <c r="O2690" s="3" t="str">
        <f>HYPERLINK("http://www.informatics.jax.org/marker/MGI:1919387", "MGI:1919387")</f>
        <v>MGI:1919387</v>
      </c>
      <c r="P2690" t="s">
        <v>30481</v>
      </c>
      <c r="Q2690" t="s">
        <v>32</v>
      </c>
      <c r="R2690" t="s">
        <v>32</v>
      </c>
      <c r="S2690" t="s">
        <v>32</v>
      </c>
      <c r="T2690" t="s">
        <v>32</v>
      </c>
      <c r="U2690" t="s">
        <v>32</v>
      </c>
      <c r="V2690" t="s">
        <v>1910</v>
      </c>
      <c r="W2690" t="s">
        <v>32</v>
      </c>
      <c r="X2690" t="s">
        <v>32</v>
      </c>
      <c r="Y2690" t="s">
        <v>618</v>
      </c>
      <c r="Z2690" t="s">
        <v>32</v>
      </c>
      <c r="AA2690" t="s">
        <v>32</v>
      </c>
      <c r="AB2690" t="s">
        <v>32</v>
      </c>
      <c r="AC2690" t="s">
        <v>30482</v>
      </c>
      <c r="AD2690" t="s">
        <v>32</v>
      </c>
      <c r="AE2690" t="s">
        <v>32</v>
      </c>
      <c r="AF2690" t="s">
        <v>46835</v>
      </c>
    </row>
    <row r="2691" spans="1:32" x14ac:dyDescent="0.2">
      <c r="A2691">
        <v>2686</v>
      </c>
      <c r="B2691" t="s">
        <v>30483</v>
      </c>
      <c r="C2691" t="s">
        <v>30484</v>
      </c>
      <c r="D2691" t="s">
        <v>32</v>
      </c>
      <c r="E2691" t="s">
        <v>30485</v>
      </c>
      <c r="F2691" t="s">
        <v>30486</v>
      </c>
      <c r="G2691" t="s">
        <v>32</v>
      </c>
      <c r="H2691" t="str">
        <f>"Zcchc3"</f>
        <v>Zcchc3</v>
      </c>
      <c r="I2691" t="s">
        <v>32</v>
      </c>
      <c r="J2691" t="s">
        <v>37</v>
      </c>
      <c r="K2691">
        <v>10090</v>
      </c>
      <c r="L2691" s="3" t="str">
        <f>HYPERLINK("http://www.uniprot.org/uniprot/Q8BPK2", "Q8BPK2")</f>
        <v>Q8BPK2</v>
      </c>
      <c r="M2691" t="s">
        <v>30487</v>
      </c>
      <c r="N2691" t="str">
        <f>"Zcchc3"</f>
        <v>Zcchc3</v>
      </c>
      <c r="O2691" s="3" t="str">
        <f>HYPERLINK("http://www.informatics.jax.org/marker/MGI:1915167", "MGI:1915167")</f>
        <v>MGI:1915167</v>
      </c>
      <c r="P2691" t="s">
        <v>30488</v>
      </c>
      <c r="Q2691" t="s">
        <v>8548</v>
      </c>
      <c r="R2691" t="s">
        <v>418</v>
      </c>
      <c r="S2691" t="s">
        <v>32</v>
      </c>
      <c r="T2691" t="s">
        <v>32</v>
      </c>
      <c r="U2691" t="s">
        <v>32</v>
      </c>
      <c r="V2691" t="s">
        <v>3791</v>
      </c>
      <c r="W2691" t="s">
        <v>42</v>
      </c>
      <c r="X2691" t="s">
        <v>956</v>
      </c>
      <c r="Y2691" t="s">
        <v>618</v>
      </c>
      <c r="Z2691" t="s">
        <v>32</v>
      </c>
      <c r="AA2691" t="s">
        <v>30489</v>
      </c>
      <c r="AB2691" t="s">
        <v>2172</v>
      </c>
      <c r="AC2691" t="s">
        <v>30490</v>
      </c>
      <c r="AD2691" t="s">
        <v>32</v>
      </c>
      <c r="AE2691" t="s">
        <v>32</v>
      </c>
      <c r="AF2691" t="s">
        <v>46835</v>
      </c>
    </row>
    <row r="2692" spans="1:32" x14ac:dyDescent="0.2">
      <c r="A2692">
        <v>2687</v>
      </c>
      <c r="B2692" t="s">
        <v>30491</v>
      </c>
      <c r="C2692" t="s">
        <v>30492</v>
      </c>
      <c r="D2692" t="s">
        <v>30493</v>
      </c>
      <c r="E2692" t="s">
        <v>30494</v>
      </c>
      <c r="F2692" t="s">
        <v>30495</v>
      </c>
      <c r="G2692" t="s">
        <v>32</v>
      </c>
      <c r="H2692" t="str">
        <f>"Rpa3"</f>
        <v>Rpa3</v>
      </c>
      <c r="I2692" t="s">
        <v>32</v>
      </c>
      <c r="J2692" t="s">
        <v>37</v>
      </c>
      <c r="K2692">
        <v>10090</v>
      </c>
      <c r="L2692" s="3" t="str">
        <f>HYPERLINK("http://www.uniprot.org/uniprot/Q9CQ71", "Q9CQ71")</f>
        <v>Q9CQ71</v>
      </c>
      <c r="M2692" t="s">
        <v>30496</v>
      </c>
      <c r="N2692" t="str">
        <f>"Rpa3"</f>
        <v>Rpa3</v>
      </c>
      <c r="O2692" s="3" t="str">
        <f>HYPERLINK("http://www.informatics.jax.org/marker/MGI:1915490", "MGI:1915490")</f>
        <v>MGI:1915490</v>
      </c>
      <c r="P2692" t="s">
        <v>30497</v>
      </c>
      <c r="Q2692" t="s">
        <v>18566</v>
      </c>
      <c r="R2692" t="s">
        <v>2279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32</v>
      </c>
      <c r="Y2692" t="s">
        <v>7792</v>
      </c>
      <c r="Z2692" t="s">
        <v>32</v>
      </c>
      <c r="AA2692" t="s">
        <v>30498</v>
      </c>
      <c r="AB2692" t="s">
        <v>30499</v>
      </c>
      <c r="AC2692" t="s">
        <v>30500</v>
      </c>
      <c r="AD2692" t="s">
        <v>32</v>
      </c>
      <c r="AE2692" t="s">
        <v>27127</v>
      </c>
      <c r="AF2692" t="s">
        <v>46835</v>
      </c>
    </row>
    <row r="2693" spans="1:32" x14ac:dyDescent="0.2">
      <c r="A2693">
        <v>2688</v>
      </c>
      <c r="B2693" t="s">
        <v>30501</v>
      </c>
      <c r="C2693" t="s">
        <v>30502</v>
      </c>
      <c r="D2693" t="s">
        <v>30503</v>
      </c>
      <c r="E2693" t="s">
        <v>30504</v>
      </c>
      <c r="F2693" t="s">
        <v>30505</v>
      </c>
      <c r="G2693" t="s">
        <v>30506</v>
      </c>
      <c r="H2693" t="str">
        <f>"Bles03"</f>
        <v>Bles03</v>
      </c>
      <c r="I2693" t="s">
        <v>32</v>
      </c>
      <c r="J2693" t="s">
        <v>37</v>
      </c>
      <c r="K2693">
        <v>10090</v>
      </c>
      <c r="L2693" s="3" t="str">
        <f>HYPERLINK("http://www.uniprot.org/uniprot/Q8VD62", "Q8VD62")</f>
        <v>Q8VD62</v>
      </c>
      <c r="M2693" t="s">
        <v>30507</v>
      </c>
      <c r="N2693" t="str">
        <f>"AI837181"</f>
        <v>AI837181</v>
      </c>
      <c r="O2693" s="3" t="str">
        <f>HYPERLINK("http://www.informatics.jax.org/marker/MGI:2147598", "MGI:2147598")</f>
        <v>MGI:2147598</v>
      </c>
      <c r="P2693" t="s">
        <v>41</v>
      </c>
      <c r="Q2693" t="s">
        <v>32</v>
      </c>
      <c r="R2693" t="s">
        <v>32</v>
      </c>
      <c r="S2693" t="s">
        <v>41</v>
      </c>
      <c r="T2693" t="s">
        <v>32</v>
      </c>
      <c r="U2693" t="s">
        <v>32</v>
      </c>
      <c r="V2693" t="s">
        <v>32</v>
      </c>
      <c r="W2693" t="s">
        <v>32</v>
      </c>
      <c r="X2693" t="s">
        <v>32</v>
      </c>
      <c r="Y2693" t="s">
        <v>32</v>
      </c>
      <c r="Z2693" t="s">
        <v>32</v>
      </c>
      <c r="AA2693" t="s">
        <v>32</v>
      </c>
      <c r="AB2693" t="s">
        <v>32</v>
      </c>
      <c r="AC2693" t="s">
        <v>32</v>
      </c>
      <c r="AD2693" t="s">
        <v>32</v>
      </c>
      <c r="AE2693" t="s">
        <v>32</v>
      </c>
      <c r="AF2693" t="s">
        <v>46835</v>
      </c>
    </row>
    <row r="2694" spans="1:32" x14ac:dyDescent="0.2">
      <c r="A2694">
        <v>2689</v>
      </c>
      <c r="B2694" t="s">
        <v>30508</v>
      </c>
      <c r="C2694" t="s">
        <v>30509</v>
      </c>
      <c r="D2694" t="s">
        <v>30510</v>
      </c>
      <c r="E2694" t="s">
        <v>30511</v>
      </c>
      <c r="F2694" t="s">
        <v>30512</v>
      </c>
      <c r="G2694" t="s">
        <v>30513</v>
      </c>
      <c r="H2694" t="str">
        <f>"Gfer"</f>
        <v>Gfer</v>
      </c>
      <c r="I2694" t="s">
        <v>30514</v>
      </c>
      <c r="J2694" t="s">
        <v>37</v>
      </c>
      <c r="K2694">
        <v>10090</v>
      </c>
      <c r="L2694" s="3" t="str">
        <f>HYPERLINK("http://www.uniprot.org/uniprot/P56213", "P56213")</f>
        <v>P56213</v>
      </c>
      <c r="M2694" t="s">
        <v>30515</v>
      </c>
      <c r="N2694" t="str">
        <f>"Gfer"</f>
        <v>Gfer</v>
      </c>
      <c r="O2694" s="3" t="str">
        <f>HYPERLINK("http://www.informatics.jax.org/marker/MGI:107757", "MGI:107757")</f>
        <v>MGI:107757</v>
      </c>
      <c r="P2694" t="s">
        <v>30516</v>
      </c>
      <c r="Q2694" t="s">
        <v>32</v>
      </c>
      <c r="R2694" t="s">
        <v>1038</v>
      </c>
      <c r="S2694" t="s">
        <v>32</v>
      </c>
      <c r="T2694" t="s">
        <v>32</v>
      </c>
      <c r="U2694" t="s">
        <v>32</v>
      </c>
      <c r="V2694" t="s">
        <v>32</v>
      </c>
      <c r="W2694" t="s">
        <v>4600</v>
      </c>
      <c r="X2694" t="s">
        <v>30517</v>
      </c>
      <c r="Y2694" t="s">
        <v>494</v>
      </c>
      <c r="Z2694" t="s">
        <v>32</v>
      </c>
      <c r="AA2694" t="s">
        <v>30518</v>
      </c>
      <c r="AB2694" t="s">
        <v>30519</v>
      </c>
      <c r="AC2694" t="s">
        <v>30520</v>
      </c>
      <c r="AD2694" t="s">
        <v>32</v>
      </c>
      <c r="AE2694" t="s">
        <v>32</v>
      </c>
      <c r="AF2694" t="s">
        <v>46835</v>
      </c>
    </row>
    <row r="2695" spans="1:32" x14ac:dyDescent="0.2">
      <c r="A2695">
        <v>2690</v>
      </c>
      <c r="B2695" t="s">
        <v>30521</v>
      </c>
      <c r="C2695" t="s">
        <v>30522</v>
      </c>
      <c r="D2695" t="s">
        <v>32</v>
      </c>
      <c r="E2695" t="s">
        <v>30523</v>
      </c>
      <c r="F2695" t="s">
        <v>30524</v>
      </c>
      <c r="G2695" t="s">
        <v>30525</v>
      </c>
      <c r="H2695" t="str">
        <f>"Wfs1"</f>
        <v>Wfs1</v>
      </c>
      <c r="I2695" t="s">
        <v>32</v>
      </c>
      <c r="J2695" t="s">
        <v>37</v>
      </c>
      <c r="K2695">
        <v>10090</v>
      </c>
      <c r="L2695" s="3" t="str">
        <f>HYPERLINK("http://www.uniprot.org/uniprot/P56695", "P56695")</f>
        <v>P56695</v>
      </c>
      <c r="M2695" t="s">
        <v>30526</v>
      </c>
      <c r="N2695" t="str">
        <f>"Wfs1"</f>
        <v>Wfs1</v>
      </c>
      <c r="O2695" s="3" t="str">
        <f>HYPERLINK("http://www.informatics.jax.org/marker/MGI:1328355", "MGI:1328355")</f>
        <v>MGI:1328355</v>
      </c>
      <c r="P2695" t="s">
        <v>30527</v>
      </c>
      <c r="Q2695" t="s">
        <v>32</v>
      </c>
      <c r="R2695" t="s">
        <v>11202</v>
      </c>
      <c r="S2695" t="s">
        <v>32</v>
      </c>
      <c r="T2695" t="s">
        <v>32</v>
      </c>
      <c r="U2695" t="s">
        <v>32</v>
      </c>
      <c r="V2695" t="s">
        <v>493</v>
      </c>
      <c r="W2695" t="s">
        <v>32</v>
      </c>
      <c r="X2695" t="s">
        <v>32</v>
      </c>
      <c r="Y2695" t="s">
        <v>372</v>
      </c>
      <c r="Z2695" t="s">
        <v>32</v>
      </c>
      <c r="AA2695" t="s">
        <v>30528</v>
      </c>
      <c r="AB2695" t="s">
        <v>30529</v>
      </c>
      <c r="AC2695" t="s">
        <v>30530</v>
      </c>
      <c r="AD2695" t="s">
        <v>32</v>
      </c>
      <c r="AE2695" t="s">
        <v>636</v>
      </c>
      <c r="AF2695" t="s">
        <v>46835</v>
      </c>
    </row>
    <row r="2696" spans="1:32" x14ac:dyDescent="0.2">
      <c r="A2696">
        <v>2691</v>
      </c>
      <c r="B2696" t="s">
        <v>30531</v>
      </c>
      <c r="C2696" t="s">
        <v>30532</v>
      </c>
      <c r="D2696" t="s">
        <v>30533</v>
      </c>
      <c r="E2696" t="s">
        <v>30534</v>
      </c>
      <c r="F2696" t="s">
        <v>30535</v>
      </c>
      <c r="G2696" t="s">
        <v>30536</v>
      </c>
      <c r="H2696" t="str">
        <f>"Pbk"</f>
        <v>Pbk</v>
      </c>
      <c r="I2696" t="s">
        <v>30537</v>
      </c>
      <c r="J2696" t="s">
        <v>37</v>
      </c>
      <c r="K2696">
        <v>10090</v>
      </c>
      <c r="L2696" s="3" t="str">
        <f>HYPERLINK("http://www.uniprot.org/uniprot/Q9JJ78", "Q9JJ78")</f>
        <v>Q9JJ78</v>
      </c>
      <c r="M2696" t="s">
        <v>30538</v>
      </c>
      <c r="N2696" t="str">
        <f>"Pbk"</f>
        <v>Pbk</v>
      </c>
      <c r="O2696" s="3" t="str">
        <f>HYPERLINK("http://www.informatics.jax.org/marker/MGI:1289156", "MGI:1289156")</f>
        <v>MGI:1289156</v>
      </c>
      <c r="P2696" t="s">
        <v>30539</v>
      </c>
      <c r="Q2696" t="s">
        <v>32</v>
      </c>
      <c r="R2696" t="s">
        <v>32</v>
      </c>
      <c r="S2696" t="s">
        <v>32</v>
      </c>
      <c r="T2696" t="s">
        <v>32</v>
      </c>
      <c r="U2696" t="s">
        <v>32</v>
      </c>
      <c r="V2696" t="s">
        <v>32</v>
      </c>
      <c r="W2696" t="s">
        <v>205</v>
      </c>
      <c r="X2696" t="s">
        <v>5419</v>
      </c>
      <c r="Y2696" t="s">
        <v>516</v>
      </c>
      <c r="Z2696" t="s">
        <v>32</v>
      </c>
      <c r="AA2696" t="s">
        <v>30540</v>
      </c>
      <c r="AB2696" t="s">
        <v>3606</v>
      </c>
      <c r="AC2696" t="s">
        <v>30541</v>
      </c>
      <c r="AD2696" t="s">
        <v>32</v>
      </c>
      <c r="AE2696" t="s">
        <v>32</v>
      </c>
      <c r="AF2696" t="s">
        <v>46835</v>
      </c>
    </row>
    <row r="2697" spans="1:32" x14ac:dyDescent="0.2">
      <c r="A2697">
        <v>2692</v>
      </c>
      <c r="B2697" t="s">
        <v>30542</v>
      </c>
      <c r="C2697" t="s">
        <v>30543</v>
      </c>
      <c r="D2697" t="s">
        <v>30544</v>
      </c>
      <c r="E2697" t="s">
        <v>30545</v>
      </c>
      <c r="F2697" t="s">
        <v>30546</v>
      </c>
      <c r="G2697" t="s">
        <v>30547</v>
      </c>
      <c r="H2697" t="str">
        <f>"Nup160"</f>
        <v>Nup160</v>
      </c>
      <c r="I2697" t="s">
        <v>30548</v>
      </c>
      <c r="J2697" t="s">
        <v>37</v>
      </c>
      <c r="K2697">
        <v>10090</v>
      </c>
      <c r="L2697" s="3" t="str">
        <f>HYPERLINK("http://www.uniprot.org/uniprot/Q9Z0W3", "Q9Z0W3")</f>
        <v>Q9Z0W3</v>
      </c>
      <c r="M2697" t="s">
        <v>30549</v>
      </c>
      <c r="N2697" t="str">
        <f>"Nup160"</f>
        <v>Nup160</v>
      </c>
      <c r="O2697" s="3" t="str">
        <f>HYPERLINK("http://www.informatics.jax.org/marker/MGI:1926227", "MGI:1926227")</f>
        <v>MGI:1926227</v>
      </c>
      <c r="P2697" t="s">
        <v>30550</v>
      </c>
      <c r="Q2697" t="s">
        <v>6423</v>
      </c>
      <c r="R2697" t="s">
        <v>20711</v>
      </c>
      <c r="S2697" t="s">
        <v>41</v>
      </c>
      <c r="T2697" t="s">
        <v>32</v>
      </c>
      <c r="U2697" t="s">
        <v>32</v>
      </c>
      <c r="V2697" t="s">
        <v>32</v>
      </c>
      <c r="W2697" t="s">
        <v>32</v>
      </c>
      <c r="X2697" t="s">
        <v>32</v>
      </c>
      <c r="Y2697" t="s">
        <v>618</v>
      </c>
      <c r="Z2697" t="s">
        <v>32</v>
      </c>
      <c r="AA2697" t="s">
        <v>30551</v>
      </c>
      <c r="AB2697" t="s">
        <v>30552</v>
      </c>
      <c r="AC2697" t="s">
        <v>12315</v>
      </c>
      <c r="AD2697" t="s">
        <v>32</v>
      </c>
      <c r="AE2697" t="s">
        <v>15358</v>
      </c>
      <c r="AF2697" t="s">
        <v>46835</v>
      </c>
    </row>
    <row r="2698" spans="1:32" x14ac:dyDescent="0.2">
      <c r="A2698">
        <v>2693</v>
      </c>
      <c r="B2698" t="s">
        <v>30553</v>
      </c>
      <c r="C2698" t="s">
        <v>30554</v>
      </c>
      <c r="D2698" t="s">
        <v>32</v>
      </c>
      <c r="E2698" t="s">
        <v>30555</v>
      </c>
      <c r="F2698" t="s">
        <v>30556</v>
      </c>
      <c r="G2698" t="s">
        <v>30557</v>
      </c>
      <c r="H2698" t="str">
        <f>"Zc3h11a"</f>
        <v>Zc3h11a</v>
      </c>
      <c r="I2698" t="s">
        <v>30558</v>
      </c>
      <c r="J2698" t="s">
        <v>37</v>
      </c>
      <c r="K2698">
        <v>10090</v>
      </c>
      <c r="L2698" s="3" t="str">
        <f>HYPERLINK("http://www.uniprot.org/uniprot/Q6NZF1", "Q6NZF1")</f>
        <v>Q6NZF1</v>
      </c>
      <c r="M2698" t="s">
        <v>30559</v>
      </c>
      <c r="N2698" t="str">
        <f>"Zc3h11a"</f>
        <v>Zc3h11a</v>
      </c>
      <c r="O2698" s="3" t="str">
        <f>HYPERLINK("http://www.informatics.jax.org/marker/MGI:1917829", "MGI:1917829")</f>
        <v>MGI:1917829</v>
      </c>
      <c r="P2698" t="s">
        <v>30560</v>
      </c>
      <c r="Q2698" t="s">
        <v>30561</v>
      </c>
      <c r="R2698" t="s">
        <v>32</v>
      </c>
      <c r="S2698" t="s">
        <v>32</v>
      </c>
      <c r="T2698" t="s">
        <v>32</v>
      </c>
      <c r="U2698" t="s">
        <v>32</v>
      </c>
      <c r="V2698" t="s">
        <v>12028</v>
      </c>
      <c r="W2698" t="s">
        <v>42</v>
      </c>
      <c r="X2698" t="s">
        <v>32</v>
      </c>
      <c r="Y2698" t="s">
        <v>1007</v>
      </c>
      <c r="Z2698" t="s">
        <v>32</v>
      </c>
      <c r="AA2698" t="s">
        <v>30562</v>
      </c>
      <c r="AB2698" t="s">
        <v>30563</v>
      </c>
      <c r="AC2698" t="s">
        <v>30564</v>
      </c>
      <c r="AD2698" t="s">
        <v>32</v>
      </c>
      <c r="AE2698" t="s">
        <v>16560</v>
      </c>
      <c r="AF2698" t="s">
        <v>46835</v>
      </c>
    </row>
    <row r="2699" spans="1:32" x14ac:dyDescent="0.2">
      <c r="A2699">
        <v>2694</v>
      </c>
      <c r="B2699" t="s">
        <v>30565</v>
      </c>
      <c r="C2699" t="s">
        <v>30566</v>
      </c>
      <c r="D2699" t="s">
        <v>32</v>
      </c>
      <c r="E2699" t="s">
        <v>30567</v>
      </c>
      <c r="F2699" t="s">
        <v>30568</v>
      </c>
      <c r="G2699" t="s">
        <v>30569</v>
      </c>
      <c r="H2699" t="str">
        <f>"Ech1"</f>
        <v>Ech1</v>
      </c>
      <c r="I2699" t="s">
        <v>32</v>
      </c>
      <c r="J2699" t="s">
        <v>37</v>
      </c>
      <c r="K2699">
        <v>10090</v>
      </c>
      <c r="L2699" s="3" t="str">
        <f>HYPERLINK("http://www.uniprot.org/uniprot/O35459", "O35459")</f>
        <v>O35459</v>
      </c>
      <c r="M2699" t="s">
        <v>30570</v>
      </c>
      <c r="N2699" t="str">
        <f>"Ech1"</f>
        <v>Ech1</v>
      </c>
      <c r="O2699" s="3" t="str">
        <f>HYPERLINK("http://www.informatics.jax.org/marker/MGI:1858208", "MGI:1858208")</f>
        <v>MGI:1858208</v>
      </c>
      <c r="P2699" t="s">
        <v>30571</v>
      </c>
      <c r="Q2699" t="s">
        <v>6214</v>
      </c>
      <c r="R2699" t="s">
        <v>20120</v>
      </c>
      <c r="S2699" t="s">
        <v>32</v>
      </c>
      <c r="T2699" t="s">
        <v>32</v>
      </c>
      <c r="U2699" t="s">
        <v>32</v>
      </c>
      <c r="V2699" t="s">
        <v>1039</v>
      </c>
      <c r="W2699" t="s">
        <v>32</v>
      </c>
      <c r="X2699" t="s">
        <v>673</v>
      </c>
      <c r="Y2699" t="s">
        <v>157</v>
      </c>
      <c r="Z2699" t="s">
        <v>32</v>
      </c>
      <c r="AA2699" t="s">
        <v>9720</v>
      </c>
      <c r="AB2699" t="s">
        <v>25192</v>
      </c>
      <c r="AC2699" t="s">
        <v>30572</v>
      </c>
      <c r="AD2699" t="s">
        <v>6218</v>
      </c>
      <c r="AE2699" t="s">
        <v>26118</v>
      </c>
      <c r="AF2699" t="s">
        <v>46835</v>
      </c>
    </row>
    <row r="2700" spans="1:32" x14ac:dyDescent="0.2">
      <c r="A2700">
        <v>2695</v>
      </c>
      <c r="B2700" t="s">
        <v>30573</v>
      </c>
      <c r="C2700" t="s">
        <v>30574</v>
      </c>
      <c r="D2700" t="s">
        <v>32</v>
      </c>
      <c r="E2700" t="s">
        <v>30575</v>
      </c>
      <c r="F2700" t="s">
        <v>30576</v>
      </c>
      <c r="G2700" t="s">
        <v>30577</v>
      </c>
      <c r="H2700" t="str">
        <f>"Ikbip"</f>
        <v>Ikbip</v>
      </c>
      <c r="I2700" t="s">
        <v>30578</v>
      </c>
      <c r="J2700" t="s">
        <v>37</v>
      </c>
      <c r="K2700">
        <v>10090</v>
      </c>
      <c r="L2700" s="3" t="str">
        <f>HYPERLINK("http://www.uniprot.org/uniprot/Q9DBZ1", "Q9DBZ1")</f>
        <v>Q9DBZ1</v>
      </c>
      <c r="M2700" t="s">
        <v>30579</v>
      </c>
      <c r="N2700" t="str">
        <f>"Ikbip"</f>
        <v>Ikbip</v>
      </c>
      <c r="O2700" s="3" t="str">
        <f>HYPERLINK("http://www.informatics.jax.org/marker/MGI:1914704", "MGI:1914704")</f>
        <v>MGI:1914704</v>
      </c>
      <c r="P2700" t="s">
        <v>30580</v>
      </c>
      <c r="Q2700" t="s">
        <v>32</v>
      </c>
      <c r="R2700" t="s">
        <v>1664</v>
      </c>
      <c r="S2700" t="s">
        <v>41</v>
      </c>
      <c r="T2700" t="s">
        <v>32</v>
      </c>
      <c r="U2700" t="s">
        <v>32</v>
      </c>
      <c r="V2700" t="s">
        <v>6500</v>
      </c>
      <c r="W2700" t="s">
        <v>32</v>
      </c>
      <c r="X2700" t="s">
        <v>32</v>
      </c>
      <c r="Y2700" t="s">
        <v>3733</v>
      </c>
      <c r="Z2700" t="s">
        <v>32</v>
      </c>
      <c r="AA2700" t="s">
        <v>32</v>
      </c>
      <c r="AB2700" t="s">
        <v>16952</v>
      </c>
      <c r="AC2700" t="s">
        <v>32</v>
      </c>
      <c r="AD2700" t="s">
        <v>32</v>
      </c>
      <c r="AE2700" t="s">
        <v>32</v>
      </c>
      <c r="AF2700" t="s">
        <v>46835</v>
      </c>
    </row>
    <row r="2701" spans="1:32" x14ac:dyDescent="0.2">
      <c r="A2701">
        <v>2696</v>
      </c>
      <c r="B2701" t="s">
        <v>30581</v>
      </c>
      <c r="C2701" t="s">
        <v>30582</v>
      </c>
      <c r="D2701" t="s">
        <v>30583</v>
      </c>
      <c r="E2701" t="s">
        <v>30584</v>
      </c>
      <c r="F2701" t="s">
        <v>30585</v>
      </c>
      <c r="G2701" t="s">
        <v>32</v>
      </c>
      <c r="H2701" t="str">
        <f>"Gsk3b"</f>
        <v>Gsk3b</v>
      </c>
      <c r="I2701" t="s">
        <v>32</v>
      </c>
      <c r="J2701" t="s">
        <v>37</v>
      </c>
      <c r="K2701">
        <v>10090</v>
      </c>
      <c r="L2701" s="3" t="str">
        <f>HYPERLINK("http://www.uniprot.org/uniprot/Q9WV60", "Q9WV60")</f>
        <v>Q9WV60</v>
      </c>
      <c r="M2701" t="s">
        <v>30586</v>
      </c>
      <c r="N2701" t="str">
        <f>"Gsk3b"</f>
        <v>Gsk3b</v>
      </c>
      <c r="O2701" s="3" t="str">
        <f>HYPERLINK("http://www.informatics.jax.org/marker/MGI:1861437", "MGI:1861437")</f>
        <v>MGI:1861437</v>
      </c>
      <c r="P2701" t="s">
        <v>30587</v>
      </c>
      <c r="Q2701" t="s">
        <v>30588</v>
      </c>
      <c r="R2701" t="s">
        <v>276</v>
      </c>
      <c r="S2701" t="s">
        <v>32</v>
      </c>
      <c r="T2701" t="s">
        <v>32</v>
      </c>
      <c r="U2701" t="s">
        <v>32</v>
      </c>
      <c r="V2701" t="s">
        <v>32</v>
      </c>
      <c r="W2701" t="s">
        <v>205</v>
      </c>
      <c r="X2701" t="s">
        <v>30589</v>
      </c>
      <c r="Y2701" t="s">
        <v>11650</v>
      </c>
      <c r="Z2701" t="s">
        <v>126</v>
      </c>
      <c r="AA2701" t="s">
        <v>30590</v>
      </c>
      <c r="AB2701" t="s">
        <v>30591</v>
      </c>
      <c r="AC2701" t="s">
        <v>30592</v>
      </c>
      <c r="AD2701" t="s">
        <v>32</v>
      </c>
      <c r="AE2701" t="s">
        <v>30593</v>
      </c>
      <c r="AF2701" t="s">
        <v>46835</v>
      </c>
    </row>
    <row r="2702" spans="1:32" x14ac:dyDescent="0.2">
      <c r="A2702">
        <v>2697</v>
      </c>
      <c r="B2702" t="s">
        <v>30594</v>
      </c>
      <c r="C2702" t="s">
        <v>30595</v>
      </c>
      <c r="D2702" t="s">
        <v>30596</v>
      </c>
      <c r="E2702" t="s">
        <v>30597</v>
      </c>
      <c r="F2702" t="s">
        <v>30598</v>
      </c>
      <c r="G2702" t="s">
        <v>30599</v>
      </c>
      <c r="H2702" t="str">
        <f>"Brcc3"</f>
        <v>Brcc3</v>
      </c>
      <c r="I2702" t="s">
        <v>30600</v>
      </c>
      <c r="J2702" t="s">
        <v>37</v>
      </c>
      <c r="K2702">
        <v>10090</v>
      </c>
      <c r="L2702" s="3" t="str">
        <f>HYPERLINK("http://www.uniprot.org/uniprot/P46737", "P46737")</f>
        <v>P46737</v>
      </c>
      <c r="M2702" t="s">
        <v>30601</v>
      </c>
      <c r="N2702" t="str">
        <f>"Brcc3"</f>
        <v>Brcc3</v>
      </c>
      <c r="O2702" s="3" t="str">
        <f>HYPERLINK("http://www.informatics.jax.org/marker/MGI:2389572", "MGI:2389572")</f>
        <v>MGI:2389572</v>
      </c>
      <c r="P2702" t="s">
        <v>30602</v>
      </c>
      <c r="Q2702" t="s">
        <v>30603</v>
      </c>
      <c r="R2702" t="s">
        <v>324</v>
      </c>
      <c r="S2702" t="s">
        <v>41</v>
      </c>
      <c r="T2702" t="s">
        <v>32</v>
      </c>
      <c r="U2702" t="s">
        <v>32</v>
      </c>
      <c r="V2702" t="s">
        <v>32</v>
      </c>
      <c r="W2702" t="s">
        <v>42</v>
      </c>
      <c r="X2702" t="s">
        <v>30604</v>
      </c>
      <c r="Y2702" t="s">
        <v>157</v>
      </c>
      <c r="Z2702" t="s">
        <v>126</v>
      </c>
      <c r="AA2702" t="s">
        <v>30605</v>
      </c>
      <c r="AB2702" t="s">
        <v>30606</v>
      </c>
      <c r="AC2702" t="s">
        <v>30607</v>
      </c>
      <c r="AD2702" t="s">
        <v>32</v>
      </c>
      <c r="AE2702" t="s">
        <v>18594</v>
      </c>
      <c r="AF2702" t="s">
        <v>46835</v>
      </c>
    </row>
    <row r="2703" spans="1:32" x14ac:dyDescent="0.2">
      <c r="A2703">
        <v>2698</v>
      </c>
      <c r="B2703" t="s">
        <v>30608</v>
      </c>
      <c r="C2703" t="s">
        <v>30609</v>
      </c>
      <c r="D2703" t="s">
        <v>32</v>
      </c>
      <c r="E2703" t="s">
        <v>30610</v>
      </c>
      <c r="F2703" t="s">
        <v>30611</v>
      </c>
      <c r="G2703" t="s">
        <v>30612</v>
      </c>
      <c r="H2703" t="str">
        <f>"Rab39b"</f>
        <v>Rab39b</v>
      </c>
      <c r="I2703" t="s">
        <v>32</v>
      </c>
      <c r="J2703" t="s">
        <v>37</v>
      </c>
      <c r="K2703">
        <v>10090</v>
      </c>
      <c r="L2703" s="3" t="str">
        <f>HYPERLINK("http://www.uniprot.org/uniprot/Q8BHC1", "Q8BHC1")</f>
        <v>Q8BHC1</v>
      </c>
      <c r="M2703" t="s">
        <v>30613</v>
      </c>
      <c r="N2703" t="str">
        <f>"Rab39b"</f>
        <v>Rab39b</v>
      </c>
      <c r="O2703" s="3" t="str">
        <f>HYPERLINK("http://www.informatics.jax.org/marker/MGI:1915040", "MGI:1915040")</f>
        <v>MGI:1915040</v>
      </c>
      <c r="P2703" t="s">
        <v>30614</v>
      </c>
      <c r="Q2703" t="s">
        <v>23025</v>
      </c>
      <c r="R2703" t="s">
        <v>28489</v>
      </c>
      <c r="S2703" t="s">
        <v>32</v>
      </c>
      <c r="T2703" t="s">
        <v>32</v>
      </c>
      <c r="U2703" t="s">
        <v>32</v>
      </c>
      <c r="V2703" t="s">
        <v>32</v>
      </c>
      <c r="W2703" t="s">
        <v>261</v>
      </c>
      <c r="X2703" t="s">
        <v>32</v>
      </c>
      <c r="Y2703" t="s">
        <v>3745</v>
      </c>
      <c r="Z2703" t="s">
        <v>32</v>
      </c>
      <c r="AA2703" t="s">
        <v>30615</v>
      </c>
      <c r="AB2703" t="s">
        <v>30616</v>
      </c>
      <c r="AC2703" t="s">
        <v>30617</v>
      </c>
      <c r="AD2703" t="s">
        <v>32</v>
      </c>
      <c r="AE2703" t="s">
        <v>27057</v>
      </c>
      <c r="AF2703" t="s">
        <v>46835</v>
      </c>
    </row>
    <row r="2704" spans="1:32" x14ac:dyDescent="0.2">
      <c r="A2704">
        <v>2699</v>
      </c>
      <c r="B2704" t="s">
        <v>30618</v>
      </c>
      <c r="C2704" t="s">
        <v>30619</v>
      </c>
      <c r="D2704" t="s">
        <v>30620</v>
      </c>
      <c r="E2704" t="s">
        <v>30621</v>
      </c>
      <c r="F2704" t="s">
        <v>30622</v>
      </c>
      <c r="G2704" t="s">
        <v>30623</v>
      </c>
      <c r="H2704" t="str">
        <f>"Ncdn"</f>
        <v>Ncdn</v>
      </c>
      <c r="I2704" t="s">
        <v>30624</v>
      </c>
      <c r="J2704" t="s">
        <v>37</v>
      </c>
      <c r="K2704">
        <v>10090</v>
      </c>
      <c r="L2704" s="3" t="str">
        <f>HYPERLINK("http://www.uniprot.org/uniprot/Q9Z0E0", "Q9Z0E0")</f>
        <v>Q9Z0E0</v>
      </c>
      <c r="M2704" t="s">
        <v>30625</v>
      </c>
      <c r="N2704" t="str">
        <f>"Ncdn"</f>
        <v>Ncdn</v>
      </c>
      <c r="O2704" s="3" t="str">
        <f>HYPERLINK("http://www.informatics.jax.org/marker/MGI:1347351", "MGI:1347351")</f>
        <v>MGI:1347351</v>
      </c>
      <c r="P2704" t="s">
        <v>30626</v>
      </c>
      <c r="Q2704" t="s">
        <v>32</v>
      </c>
      <c r="R2704" t="s">
        <v>30627</v>
      </c>
      <c r="S2704" t="s">
        <v>41</v>
      </c>
      <c r="T2704" t="s">
        <v>32</v>
      </c>
      <c r="U2704" t="s">
        <v>32</v>
      </c>
      <c r="V2704" t="s">
        <v>32</v>
      </c>
      <c r="W2704" t="s">
        <v>32</v>
      </c>
      <c r="X2704" t="s">
        <v>32</v>
      </c>
      <c r="Y2704" t="s">
        <v>30628</v>
      </c>
      <c r="Z2704" t="s">
        <v>32</v>
      </c>
      <c r="AA2704" t="s">
        <v>30629</v>
      </c>
      <c r="AB2704" t="s">
        <v>30630</v>
      </c>
      <c r="AC2704" t="s">
        <v>32</v>
      </c>
      <c r="AD2704" t="s">
        <v>32</v>
      </c>
      <c r="AE2704" t="s">
        <v>32</v>
      </c>
      <c r="AF2704" t="s">
        <v>46835</v>
      </c>
    </row>
    <row r="2705" spans="1:33" x14ac:dyDescent="0.2">
      <c r="A2705">
        <v>2700</v>
      </c>
      <c r="B2705" t="s">
        <v>30631</v>
      </c>
      <c r="C2705" t="s">
        <v>30632</v>
      </c>
      <c r="D2705" t="s">
        <v>30633</v>
      </c>
      <c r="E2705" t="s">
        <v>30634</v>
      </c>
      <c r="F2705" t="s">
        <v>30635</v>
      </c>
      <c r="G2705" t="s">
        <v>30636</v>
      </c>
      <c r="H2705" t="str">
        <f>"Washc1"</f>
        <v>Washc1</v>
      </c>
      <c r="I2705" t="s">
        <v>30637</v>
      </c>
      <c r="J2705" t="s">
        <v>37</v>
      </c>
      <c r="K2705">
        <v>10090</v>
      </c>
      <c r="L2705" s="3" t="str">
        <f>HYPERLINK("http://www.uniprot.org/uniprot/Q8VDD8", "Q8VDD8")</f>
        <v>Q8VDD8</v>
      </c>
      <c r="M2705" t="s">
        <v>30638</v>
      </c>
      <c r="N2705" t="str">
        <f>"Washc1"</f>
        <v>Washc1</v>
      </c>
      <c r="O2705" s="3" t="str">
        <f>HYPERLINK("http://www.informatics.jax.org/marker/MGI:1916017", "MGI:1916017")</f>
        <v>MGI:1916017</v>
      </c>
      <c r="P2705" t="s">
        <v>30639</v>
      </c>
      <c r="Q2705" t="s">
        <v>4425</v>
      </c>
      <c r="R2705" t="s">
        <v>30640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405</v>
      </c>
      <c r="Y2705" t="s">
        <v>7792</v>
      </c>
      <c r="Z2705" t="s">
        <v>32</v>
      </c>
      <c r="AA2705" t="s">
        <v>30641</v>
      </c>
      <c r="AB2705" t="s">
        <v>30642</v>
      </c>
      <c r="AC2705" t="s">
        <v>30643</v>
      </c>
      <c r="AD2705" t="s">
        <v>32</v>
      </c>
      <c r="AE2705" t="s">
        <v>32</v>
      </c>
      <c r="AF2705" t="s">
        <v>46835</v>
      </c>
    </row>
    <row r="2706" spans="1:33" x14ac:dyDescent="0.2">
      <c r="A2706">
        <v>2701</v>
      </c>
      <c r="B2706" t="s">
        <v>30644</v>
      </c>
      <c r="C2706" t="s">
        <v>30645</v>
      </c>
      <c r="D2706" t="s">
        <v>30646</v>
      </c>
      <c r="E2706" t="s">
        <v>30647</v>
      </c>
      <c r="F2706" t="s">
        <v>30648</v>
      </c>
      <c r="G2706" t="s">
        <v>30649</v>
      </c>
      <c r="H2706" t="str">
        <f>"Pkn1"</f>
        <v>Pkn1</v>
      </c>
      <c r="I2706" t="s">
        <v>30650</v>
      </c>
      <c r="J2706" t="s">
        <v>37</v>
      </c>
      <c r="K2706">
        <v>10090</v>
      </c>
      <c r="L2706" s="3" t="str">
        <f>HYPERLINK("http://www.uniprot.org/uniprot/P70268", "P70268")</f>
        <v>P70268</v>
      </c>
      <c r="M2706" t="s">
        <v>30651</v>
      </c>
      <c r="N2706" t="str">
        <f>"Pkn1"</f>
        <v>Pkn1</v>
      </c>
      <c r="O2706" s="3" t="str">
        <f>HYPERLINK("http://www.informatics.jax.org/marker/MGI:108022", "MGI:108022")</f>
        <v>MGI:108022</v>
      </c>
      <c r="P2706" t="s">
        <v>30652</v>
      </c>
      <c r="Q2706" t="s">
        <v>4152</v>
      </c>
      <c r="R2706" t="s">
        <v>13297</v>
      </c>
      <c r="S2706" t="s">
        <v>41</v>
      </c>
      <c r="T2706" t="s">
        <v>32</v>
      </c>
      <c r="U2706" t="s">
        <v>32</v>
      </c>
      <c r="V2706" t="s">
        <v>137</v>
      </c>
      <c r="W2706" t="s">
        <v>205</v>
      </c>
      <c r="X2706" t="s">
        <v>29588</v>
      </c>
      <c r="Y2706" t="s">
        <v>157</v>
      </c>
      <c r="Z2706" t="s">
        <v>32</v>
      </c>
      <c r="AA2706" t="s">
        <v>30653</v>
      </c>
      <c r="AB2706" t="s">
        <v>30654</v>
      </c>
      <c r="AC2706" t="s">
        <v>30655</v>
      </c>
      <c r="AD2706" t="s">
        <v>32</v>
      </c>
      <c r="AE2706" t="s">
        <v>30656</v>
      </c>
      <c r="AF2706" t="s">
        <v>46835</v>
      </c>
    </row>
    <row r="2707" spans="1:33" x14ac:dyDescent="0.2">
      <c r="A2707">
        <v>2702</v>
      </c>
      <c r="B2707" t="s">
        <v>30657</v>
      </c>
      <c r="C2707" t="s">
        <v>30658</v>
      </c>
      <c r="D2707" t="s">
        <v>30659</v>
      </c>
      <c r="E2707" t="s">
        <v>30660</v>
      </c>
      <c r="F2707" t="s">
        <v>30661</v>
      </c>
      <c r="G2707" t="s">
        <v>30662</v>
      </c>
      <c r="H2707" t="str">
        <f>"Ppcs"</f>
        <v>Ppcs</v>
      </c>
      <c r="I2707" t="s">
        <v>30663</v>
      </c>
      <c r="J2707" t="s">
        <v>37</v>
      </c>
      <c r="K2707">
        <v>10090</v>
      </c>
      <c r="L2707" s="3" t="str">
        <f>HYPERLINK("http://www.uniprot.org/uniprot/Q8VDG5", "Q8VDG5")</f>
        <v>Q8VDG5</v>
      </c>
      <c r="M2707" t="s">
        <v>30664</v>
      </c>
      <c r="N2707" t="str">
        <f>"Ppcs"</f>
        <v>Ppcs</v>
      </c>
      <c r="O2707" s="3" t="str">
        <f>HYPERLINK("http://www.informatics.jax.org/marker/MGI:1915237", "MGI:1915237")</f>
        <v>MGI:1915237</v>
      </c>
      <c r="P2707" t="s">
        <v>30665</v>
      </c>
      <c r="Q2707" t="s">
        <v>32</v>
      </c>
      <c r="R2707" t="s">
        <v>32</v>
      </c>
      <c r="S2707" t="s">
        <v>41</v>
      </c>
      <c r="T2707" t="s">
        <v>32</v>
      </c>
      <c r="U2707" t="s">
        <v>32</v>
      </c>
      <c r="V2707" t="s">
        <v>32</v>
      </c>
      <c r="W2707" t="s">
        <v>205</v>
      </c>
      <c r="X2707" t="s">
        <v>1022</v>
      </c>
      <c r="Y2707" t="s">
        <v>78</v>
      </c>
      <c r="Z2707" t="s">
        <v>32</v>
      </c>
      <c r="AA2707" t="s">
        <v>30666</v>
      </c>
      <c r="AB2707" t="s">
        <v>110</v>
      </c>
      <c r="AC2707" t="s">
        <v>30667</v>
      </c>
      <c r="AD2707" t="s">
        <v>30668</v>
      </c>
      <c r="AE2707" t="s">
        <v>22628</v>
      </c>
      <c r="AF2707" t="s">
        <v>46835</v>
      </c>
    </row>
    <row r="2708" spans="1:33" x14ac:dyDescent="0.2">
      <c r="A2708">
        <v>2703</v>
      </c>
      <c r="B2708" t="s">
        <v>30669</v>
      </c>
      <c r="C2708" t="s">
        <v>30670</v>
      </c>
      <c r="D2708" t="s">
        <v>32</v>
      </c>
      <c r="E2708" t="s">
        <v>30671</v>
      </c>
      <c r="F2708" t="s">
        <v>30672</v>
      </c>
      <c r="G2708" t="s">
        <v>30673</v>
      </c>
      <c r="H2708" t="str">
        <f>"Fcho2"</f>
        <v>Fcho2</v>
      </c>
      <c r="I2708" t="s">
        <v>32</v>
      </c>
      <c r="J2708" t="s">
        <v>37</v>
      </c>
      <c r="K2708">
        <v>10090</v>
      </c>
      <c r="L2708" s="3" t="str">
        <f>HYPERLINK("http://www.uniprot.org/uniprot/Q3UQN2", "Q3UQN2")</f>
        <v>Q3UQN2</v>
      </c>
      <c r="M2708" t="s">
        <v>30674</v>
      </c>
      <c r="N2708" t="str">
        <f>"Fcho2"</f>
        <v>Fcho2</v>
      </c>
      <c r="O2708" s="3" t="str">
        <f>HYPERLINK("http://www.informatics.jax.org/marker/MGI:3505790", "MGI:3505790")</f>
        <v>MGI:3505790</v>
      </c>
      <c r="P2708" t="s">
        <v>30675</v>
      </c>
      <c r="Q2708" t="s">
        <v>2822</v>
      </c>
      <c r="R2708" t="s">
        <v>30676</v>
      </c>
      <c r="S2708" t="s">
        <v>41</v>
      </c>
      <c r="T2708" t="s">
        <v>32</v>
      </c>
      <c r="U2708" t="s">
        <v>32</v>
      </c>
      <c r="V2708" t="s">
        <v>290</v>
      </c>
      <c r="W2708" t="s">
        <v>32</v>
      </c>
      <c r="X2708" t="s">
        <v>32</v>
      </c>
      <c r="Y2708" t="s">
        <v>18232</v>
      </c>
      <c r="Z2708" t="s">
        <v>32</v>
      </c>
      <c r="AA2708" t="s">
        <v>30677</v>
      </c>
      <c r="AB2708" t="s">
        <v>30678</v>
      </c>
      <c r="AC2708" t="s">
        <v>30679</v>
      </c>
      <c r="AD2708" t="s">
        <v>32</v>
      </c>
      <c r="AE2708" t="s">
        <v>13103</v>
      </c>
      <c r="AF2708" t="s">
        <v>46835</v>
      </c>
    </row>
    <row r="2709" spans="1:33" x14ac:dyDescent="0.2">
      <c r="A2709">
        <v>2704</v>
      </c>
      <c r="B2709" t="s">
        <v>30680</v>
      </c>
      <c r="C2709" t="s">
        <v>30681</v>
      </c>
      <c r="D2709" t="s">
        <v>30682</v>
      </c>
      <c r="E2709" t="s">
        <v>30683</v>
      </c>
      <c r="F2709" t="s">
        <v>30684</v>
      </c>
      <c r="G2709" t="s">
        <v>30685</v>
      </c>
      <c r="H2709" t="str">
        <f>"P3h1"</f>
        <v>P3h1</v>
      </c>
      <c r="I2709" t="s">
        <v>32</v>
      </c>
      <c r="J2709" t="s">
        <v>37</v>
      </c>
      <c r="K2709">
        <v>10090</v>
      </c>
      <c r="L2709" s="3" t="str">
        <f>HYPERLINK("http://www.uniprot.org/uniprot/Q3V1T4", "Q3V1T4")</f>
        <v>Q3V1T4</v>
      </c>
      <c r="M2709" t="s">
        <v>30686</v>
      </c>
      <c r="N2709" t="str">
        <f>"P3h1"</f>
        <v>P3h1</v>
      </c>
      <c r="O2709" s="3" t="str">
        <f>HYPERLINK("http://www.informatics.jax.org/marker/MGI:1888921", "MGI:1888921")</f>
        <v>MGI:1888921</v>
      </c>
      <c r="P2709" t="s">
        <v>30687</v>
      </c>
      <c r="Q2709" t="s">
        <v>32</v>
      </c>
      <c r="R2709" t="s">
        <v>30688</v>
      </c>
      <c r="S2709" t="s">
        <v>41</v>
      </c>
      <c r="T2709" t="s">
        <v>32</v>
      </c>
      <c r="U2709" t="s">
        <v>32</v>
      </c>
      <c r="V2709" t="s">
        <v>30689</v>
      </c>
      <c r="W2709" t="s">
        <v>3731</v>
      </c>
      <c r="X2709" t="s">
        <v>3732</v>
      </c>
      <c r="Y2709" t="s">
        <v>3733</v>
      </c>
      <c r="Z2709" t="s">
        <v>32</v>
      </c>
      <c r="AA2709" t="s">
        <v>30690</v>
      </c>
      <c r="AB2709" t="s">
        <v>30691</v>
      </c>
      <c r="AC2709" t="s">
        <v>30692</v>
      </c>
      <c r="AD2709" t="s">
        <v>32</v>
      </c>
      <c r="AE2709" t="s">
        <v>2061</v>
      </c>
      <c r="AF2709" t="s">
        <v>46835</v>
      </c>
    </row>
    <row r="2710" spans="1:33" x14ac:dyDescent="0.2">
      <c r="A2710">
        <v>2705</v>
      </c>
      <c r="B2710" t="s">
        <v>30693</v>
      </c>
      <c r="C2710" t="s">
        <v>30694</v>
      </c>
      <c r="D2710" t="s">
        <v>32</v>
      </c>
      <c r="E2710" t="s">
        <v>30695</v>
      </c>
      <c r="F2710" t="s">
        <v>30696</v>
      </c>
      <c r="G2710" t="s">
        <v>30697</v>
      </c>
      <c r="H2710" t="str">
        <f>"Ralb"</f>
        <v>Ralb</v>
      </c>
      <c r="I2710" t="s">
        <v>32</v>
      </c>
      <c r="J2710" t="s">
        <v>37</v>
      </c>
      <c r="K2710">
        <v>10090</v>
      </c>
      <c r="L2710" s="3" t="str">
        <f>HYPERLINK("http://www.uniprot.org/uniprot/Q9JIW9", "Q9JIW9")</f>
        <v>Q9JIW9</v>
      </c>
      <c r="M2710" t="s">
        <v>30698</v>
      </c>
      <c r="N2710" t="str">
        <f>"Ralb"</f>
        <v>Ralb</v>
      </c>
      <c r="O2710" s="3" t="str">
        <f>HYPERLINK("http://www.informatics.jax.org/marker/MGI:1927244", "MGI:1927244")</f>
        <v>MGI:1927244</v>
      </c>
      <c r="P2710" t="s">
        <v>30699</v>
      </c>
      <c r="Q2710" t="s">
        <v>30700</v>
      </c>
      <c r="R2710" t="s">
        <v>2474</v>
      </c>
      <c r="S2710" t="s">
        <v>32</v>
      </c>
      <c r="T2710" t="s">
        <v>32</v>
      </c>
      <c r="U2710" t="s">
        <v>32</v>
      </c>
      <c r="V2710" t="s">
        <v>32</v>
      </c>
      <c r="W2710" t="s">
        <v>261</v>
      </c>
      <c r="X2710" t="s">
        <v>343</v>
      </c>
      <c r="Y2710" t="s">
        <v>20477</v>
      </c>
      <c r="Z2710" t="s">
        <v>32</v>
      </c>
      <c r="AA2710" t="s">
        <v>30701</v>
      </c>
      <c r="AB2710" t="s">
        <v>30702</v>
      </c>
      <c r="AC2710" t="s">
        <v>30703</v>
      </c>
      <c r="AD2710" t="s">
        <v>32</v>
      </c>
      <c r="AE2710" t="s">
        <v>32</v>
      </c>
      <c r="AF2710" t="s">
        <v>46835</v>
      </c>
    </row>
    <row r="2711" spans="1:33" x14ac:dyDescent="0.2">
      <c r="A2711">
        <v>2706</v>
      </c>
      <c r="B2711" t="s">
        <v>30704</v>
      </c>
      <c r="C2711" t="s">
        <v>30705</v>
      </c>
      <c r="D2711" t="s">
        <v>30706</v>
      </c>
      <c r="E2711" t="s">
        <v>30707</v>
      </c>
      <c r="F2711" t="s">
        <v>30708</v>
      </c>
      <c r="G2711" t="s">
        <v>30709</v>
      </c>
      <c r="H2711" t="str">
        <f>"Thoc5"</f>
        <v>Thoc5</v>
      </c>
      <c r="I2711" t="s">
        <v>30710</v>
      </c>
      <c r="J2711" t="s">
        <v>37</v>
      </c>
      <c r="K2711">
        <v>10090</v>
      </c>
      <c r="L2711" s="3" t="str">
        <f>HYPERLINK("http://www.uniprot.org/uniprot/Q8BKT7", "Q8BKT7")</f>
        <v>Q8BKT7</v>
      </c>
      <c r="M2711" t="s">
        <v>30711</v>
      </c>
      <c r="N2711" t="str">
        <f>"Thoc5"</f>
        <v>Thoc5</v>
      </c>
      <c r="O2711" s="3" t="str">
        <f>HYPERLINK("http://www.informatics.jax.org/marker/MGI:1351333", "MGI:1351333")</f>
        <v>MGI:1351333</v>
      </c>
      <c r="P2711" t="s">
        <v>30712</v>
      </c>
      <c r="Q2711" t="s">
        <v>30713</v>
      </c>
      <c r="R2711" t="s">
        <v>40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1282</v>
      </c>
      <c r="Y2711" t="s">
        <v>516</v>
      </c>
      <c r="Z2711" t="s">
        <v>32</v>
      </c>
      <c r="AA2711" t="s">
        <v>30714</v>
      </c>
      <c r="AB2711" t="s">
        <v>30715</v>
      </c>
      <c r="AC2711" t="s">
        <v>4168</v>
      </c>
      <c r="AD2711" t="s">
        <v>32</v>
      </c>
      <c r="AE2711" t="s">
        <v>16560</v>
      </c>
      <c r="AF2711" t="s">
        <v>46835</v>
      </c>
    </row>
    <row r="2712" spans="1:33" x14ac:dyDescent="0.2">
      <c r="A2712">
        <v>2707</v>
      </c>
      <c r="B2712" t="s">
        <v>30716</v>
      </c>
      <c r="C2712" t="s">
        <v>30717</v>
      </c>
      <c r="D2712" t="s">
        <v>30718</v>
      </c>
      <c r="E2712" t="s">
        <v>30719</v>
      </c>
      <c r="F2712" t="s">
        <v>30720</v>
      </c>
      <c r="G2712" t="s">
        <v>30721</v>
      </c>
      <c r="H2712" t="str">
        <f>"Dicer1"</f>
        <v>Dicer1</v>
      </c>
      <c r="I2712" t="s">
        <v>30722</v>
      </c>
      <c r="J2712" t="s">
        <v>37</v>
      </c>
      <c r="K2712">
        <v>10090</v>
      </c>
      <c r="L2712" s="3" t="str">
        <f>HYPERLINK("http://www.uniprot.org/uniprot/Q8R418", "Q8R418")</f>
        <v>Q8R418</v>
      </c>
      <c r="M2712" t="s">
        <v>30723</v>
      </c>
      <c r="N2712" t="str">
        <f>"Dicer1"</f>
        <v>Dicer1</v>
      </c>
      <c r="O2712" s="3" t="str">
        <f>HYPERLINK("http://www.informatics.jax.org/marker/MGI:2177178", "MGI:2177178")</f>
        <v>MGI:2177178</v>
      </c>
      <c r="P2712" t="s">
        <v>30724</v>
      </c>
      <c r="Q2712" t="s">
        <v>30438</v>
      </c>
      <c r="R2712" t="s">
        <v>418</v>
      </c>
      <c r="S2712" t="s">
        <v>10616</v>
      </c>
      <c r="T2712" t="s">
        <v>32</v>
      </c>
      <c r="U2712" t="s">
        <v>32</v>
      </c>
      <c r="V2712" t="s">
        <v>55</v>
      </c>
      <c r="W2712" t="s">
        <v>4352</v>
      </c>
      <c r="X2712" t="s">
        <v>30725</v>
      </c>
      <c r="Y2712" t="s">
        <v>618</v>
      </c>
      <c r="Z2712" t="s">
        <v>126</v>
      </c>
      <c r="AA2712" t="s">
        <v>30726</v>
      </c>
      <c r="AB2712" t="s">
        <v>30727</v>
      </c>
      <c r="AC2712" t="s">
        <v>30728</v>
      </c>
      <c r="AD2712" t="s">
        <v>32</v>
      </c>
      <c r="AE2712" t="s">
        <v>30442</v>
      </c>
      <c r="AF2712" t="s">
        <v>46835</v>
      </c>
    </row>
    <row r="2713" spans="1:33" x14ac:dyDescent="0.2">
      <c r="A2713">
        <v>2708</v>
      </c>
      <c r="B2713" t="s">
        <v>30729</v>
      </c>
      <c r="C2713" t="s">
        <v>30730</v>
      </c>
      <c r="D2713" t="s">
        <v>30731</v>
      </c>
      <c r="E2713" t="s">
        <v>30732</v>
      </c>
      <c r="F2713" t="s">
        <v>30733</v>
      </c>
      <c r="G2713" t="s">
        <v>30734</v>
      </c>
      <c r="H2713" t="str">
        <f>"Kpna6"</f>
        <v>Kpna6</v>
      </c>
      <c r="I2713" t="s">
        <v>30735</v>
      </c>
      <c r="J2713" t="s">
        <v>37</v>
      </c>
      <c r="K2713">
        <v>10090</v>
      </c>
      <c r="L2713" s="3" t="str">
        <f>HYPERLINK("http://www.uniprot.org/uniprot/O35345", "O35345")</f>
        <v>O35345</v>
      </c>
      <c r="M2713" t="s">
        <v>30736</v>
      </c>
      <c r="N2713" t="str">
        <f>"Kpna6"</f>
        <v>Kpna6</v>
      </c>
      <c r="O2713" s="3" t="str">
        <f>HYPERLINK("http://www.informatics.jax.org/marker/MGI:1100836", "MGI:1100836")</f>
        <v>MGI:1100836</v>
      </c>
      <c r="P2713" t="s">
        <v>30737</v>
      </c>
      <c r="Q2713" t="s">
        <v>434</v>
      </c>
      <c r="R2713" t="s">
        <v>418</v>
      </c>
      <c r="S2713" t="s">
        <v>32</v>
      </c>
      <c r="T2713" t="s">
        <v>32</v>
      </c>
      <c r="U2713" t="s">
        <v>32</v>
      </c>
      <c r="V2713" t="s">
        <v>55</v>
      </c>
      <c r="W2713" t="s">
        <v>32</v>
      </c>
      <c r="X2713" t="s">
        <v>32</v>
      </c>
      <c r="Y2713" t="s">
        <v>157</v>
      </c>
      <c r="Z2713" t="s">
        <v>32</v>
      </c>
      <c r="AA2713" t="s">
        <v>30738</v>
      </c>
      <c r="AB2713" t="s">
        <v>30739</v>
      </c>
      <c r="AC2713" t="s">
        <v>12439</v>
      </c>
      <c r="AD2713" t="s">
        <v>32</v>
      </c>
      <c r="AE2713" t="s">
        <v>30740</v>
      </c>
      <c r="AF2713" t="s">
        <v>46835</v>
      </c>
    </row>
    <row r="2714" spans="1:33" x14ac:dyDescent="0.2">
      <c r="A2714">
        <v>2709</v>
      </c>
      <c r="B2714" t="s">
        <v>30741</v>
      </c>
      <c r="C2714" t="s">
        <v>30742</v>
      </c>
      <c r="D2714" t="s">
        <v>30743</v>
      </c>
      <c r="E2714" t="s">
        <v>30744</v>
      </c>
      <c r="F2714" t="s">
        <v>30745</v>
      </c>
      <c r="G2714" t="s">
        <v>30746</v>
      </c>
      <c r="H2714" t="str">
        <f>"Gtf3c2"</f>
        <v>Gtf3c2</v>
      </c>
      <c r="I2714" t="s">
        <v>30747</v>
      </c>
      <c r="J2714" t="s">
        <v>37</v>
      </c>
      <c r="K2714">
        <v>10090</v>
      </c>
      <c r="L2714" s="3" t="str">
        <f>HYPERLINK("http://www.uniprot.org/uniprot/Q8BL74", "Q8BL74")</f>
        <v>Q8BL74</v>
      </c>
      <c r="M2714" t="s">
        <v>30748</v>
      </c>
      <c r="N2714" t="str">
        <f>"Gtf3c2"</f>
        <v>Gtf3c2</v>
      </c>
      <c r="O2714" s="3" t="str">
        <f>HYPERLINK("http://www.informatics.jax.org/marker/MGI:1919002", "MGI:1919002")</f>
        <v>MGI:1919002</v>
      </c>
      <c r="P2714" t="s">
        <v>30749</v>
      </c>
      <c r="Q2714" t="s">
        <v>16415</v>
      </c>
      <c r="R2714" t="s">
        <v>2279</v>
      </c>
      <c r="S2714" t="s">
        <v>32</v>
      </c>
      <c r="T2714" t="s">
        <v>32</v>
      </c>
      <c r="U2714" t="s">
        <v>32</v>
      </c>
      <c r="V2714" t="s">
        <v>1910</v>
      </c>
      <c r="W2714" t="s">
        <v>32</v>
      </c>
      <c r="X2714" t="s">
        <v>32</v>
      </c>
      <c r="Y2714" t="s">
        <v>618</v>
      </c>
      <c r="Z2714" t="s">
        <v>32</v>
      </c>
      <c r="AA2714" t="s">
        <v>30750</v>
      </c>
      <c r="AB2714" t="s">
        <v>30751</v>
      </c>
      <c r="AC2714" t="s">
        <v>26790</v>
      </c>
      <c r="AD2714" t="s">
        <v>32</v>
      </c>
      <c r="AE2714" t="s">
        <v>26549</v>
      </c>
      <c r="AF2714" t="s">
        <v>46835</v>
      </c>
    </row>
    <row r="2715" spans="1:33" x14ac:dyDescent="0.2">
      <c r="A2715">
        <v>2710</v>
      </c>
      <c r="B2715" t="s">
        <v>30752</v>
      </c>
      <c r="C2715" t="s">
        <v>30753</v>
      </c>
      <c r="D2715" t="s">
        <v>30754</v>
      </c>
      <c r="E2715" t="s">
        <v>30755</v>
      </c>
      <c r="F2715" t="s">
        <v>30756</v>
      </c>
      <c r="G2715" t="s">
        <v>30757</v>
      </c>
      <c r="H2715" t="str">
        <f>"Clstn1"</f>
        <v>Clstn1</v>
      </c>
      <c r="I2715" t="s">
        <v>30758</v>
      </c>
      <c r="J2715" t="s">
        <v>37</v>
      </c>
      <c r="K2715">
        <v>10090</v>
      </c>
      <c r="L2715" s="3" t="str">
        <f>HYPERLINK("http://www.uniprot.org/uniprot/Q9EPL2", "Q9EPL2")</f>
        <v>Q9EPL2</v>
      </c>
      <c r="M2715" t="s">
        <v>30759</v>
      </c>
      <c r="N2715" t="str">
        <f>"Clstn1"</f>
        <v>Clstn1</v>
      </c>
      <c r="O2715" s="3" t="str">
        <f>HYPERLINK("http://www.informatics.jax.org/marker/MGI:1929895", "MGI:1929895")</f>
        <v>MGI:1929895</v>
      </c>
      <c r="P2715" t="s">
        <v>30760</v>
      </c>
      <c r="Q2715" t="s">
        <v>2784</v>
      </c>
      <c r="R2715" t="s">
        <v>30761</v>
      </c>
      <c r="S2715" t="s">
        <v>41</v>
      </c>
      <c r="T2715" t="s">
        <v>32</v>
      </c>
      <c r="U2715" t="s">
        <v>32</v>
      </c>
      <c r="V2715" t="s">
        <v>1665</v>
      </c>
      <c r="W2715" t="s">
        <v>1380</v>
      </c>
      <c r="X2715" t="s">
        <v>32</v>
      </c>
      <c r="Y2715" t="s">
        <v>3733</v>
      </c>
      <c r="Z2715" t="s">
        <v>126</v>
      </c>
      <c r="AA2715" t="s">
        <v>30762</v>
      </c>
      <c r="AB2715" t="s">
        <v>30763</v>
      </c>
      <c r="AC2715" t="s">
        <v>30764</v>
      </c>
      <c r="AD2715" t="s">
        <v>32</v>
      </c>
      <c r="AE2715" t="s">
        <v>32</v>
      </c>
      <c r="AF2715" t="s">
        <v>46835</v>
      </c>
    </row>
    <row r="2716" spans="1:33" x14ac:dyDescent="0.2">
      <c r="A2716">
        <v>2711</v>
      </c>
      <c r="B2716" t="s">
        <v>30765</v>
      </c>
      <c r="C2716" t="s">
        <v>30766</v>
      </c>
      <c r="D2716" t="s">
        <v>32</v>
      </c>
      <c r="E2716" t="s">
        <v>30767</v>
      </c>
      <c r="F2716" t="s">
        <v>30768</v>
      </c>
      <c r="G2716" t="s">
        <v>30769</v>
      </c>
      <c r="H2716" t="str">
        <f>"Vasp"</f>
        <v>Vasp</v>
      </c>
      <c r="I2716" t="s">
        <v>32</v>
      </c>
      <c r="J2716" t="s">
        <v>37</v>
      </c>
      <c r="K2716">
        <v>10090</v>
      </c>
      <c r="L2716" s="3" t="str">
        <f>HYPERLINK("http://www.uniprot.org/uniprot/P70460", "P70460")</f>
        <v>P70460</v>
      </c>
      <c r="M2716" t="s">
        <v>30770</v>
      </c>
      <c r="N2716" t="str">
        <f>"Vasp"</f>
        <v>Vasp</v>
      </c>
      <c r="O2716" s="3" t="str">
        <f>HYPERLINK("http://www.informatics.jax.org/marker/MGI:109268", "MGI:109268")</f>
        <v>MGI:109268</v>
      </c>
      <c r="P2716" t="s">
        <v>30771</v>
      </c>
      <c r="Q2716" t="s">
        <v>32</v>
      </c>
      <c r="R2716" t="s">
        <v>30772</v>
      </c>
      <c r="S2716" t="s">
        <v>32</v>
      </c>
      <c r="T2716" t="s">
        <v>32</v>
      </c>
      <c r="U2716" t="s">
        <v>32</v>
      </c>
      <c r="V2716" t="s">
        <v>21356</v>
      </c>
      <c r="W2716" t="s">
        <v>32</v>
      </c>
      <c r="X2716" t="s">
        <v>405</v>
      </c>
      <c r="Y2716" t="s">
        <v>157</v>
      </c>
      <c r="Z2716" t="s">
        <v>126</v>
      </c>
      <c r="AA2716" t="s">
        <v>30773</v>
      </c>
      <c r="AB2716" t="s">
        <v>30774</v>
      </c>
      <c r="AC2716" t="s">
        <v>30775</v>
      </c>
      <c r="AD2716" t="s">
        <v>32</v>
      </c>
      <c r="AE2716" t="s">
        <v>30776</v>
      </c>
      <c r="AF2716" t="s">
        <v>46835</v>
      </c>
    </row>
    <row r="2717" spans="1:33" x14ac:dyDescent="0.2">
      <c r="A2717">
        <v>2712</v>
      </c>
      <c r="B2717" t="s">
        <v>30777</v>
      </c>
      <c r="C2717" t="s">
        <v>47160</v>
      </c>
      <c r="D2717" t="s">
        <v>32</v>
      </c>
      <c r="E2717" t="s">
        <v>46988</v>
      </c>
      <c r="F2717" t="s">
        <v>46987</v>
      </c>
      <c r="G2717" t="s">
        <v>32</v>
      </c>
      <c r="H2717" t="s">
        <v>47291</v>
      </c>
      <c r="I2717" t="s">
        <v>32</v>
      </c>
      <c r="J2717" t="s">
        <v>37</v>
      </c>
      <c r="K2717">
        <v>10090</v>
      </c>
      <c r="L2717" s="3" t="str">
        <f>HYPERLINK(CONCATENATE("https://www.uniprot.org/uniprotkb/", AG2717, "/entry"), AG2717)</f>
        <v>Q3TMP1</v>
      </c>
      <c r="M2717" t="s">
        <v>32</v>
      </c>
      <c r="N2717" t="s">
        <v>32</v>
      </c>
      <c r="O2717" s="3" t="s">
        <v>32</v>
      </c>
      <c r="P2717" t="s">
        <v>32</v>
      </c>
      <c r="Q2717" t="s">
        <v>32</v>
      </c>
      <c r="R2717" t="s">
        <v>32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32</v>
      </c>
      <c r="Y2717" t="s">
        <v>32</v>
      </c>
      <c r="Z2717" t="s">
        <v>32</v>
      </c>
      <c r="AA2717" t="s">
        <v>32</v>
      </c>
      <c r="AB2717" t="s">
        <v>32</v>
      </c>
      <c r="AC2717" t="s">
        <v>32</v>
      </c>
      <c r="AD2717" t="s">
        <v>32</v>
      </c>
      <c r="AE2717" t="s">
        <v>32</v>
      </c>
      <c r="AF2717" t="s">
        <v>46835</v>
      </c>
      <c r="AG2717" t="s">
        <v>46987</v>
      </c>
    </row>
    <row r="2718" spans="1:33" x14ac:dyDescent="0.2">
      <c r="A2718">
        <v>2713</v>
      </c>
      <c r="B2718" t="s">
        <v>30778</v>
      </c>
      <c r="C2718" t="s">
        <v>30779</v>
      </c>
      <c r="D2718" t="s">
        <v>30780</v>
      </c>
      <c r="E2718" t="s">
        <v>30781</v>
      </c>
      <c r="F2718" t="s">
        <v>30782</v>
      </c>
      <c r="G2718" t="s">
        <v>32</v>
      </c>
      <c r="H2718" t="str">
        <f>"Prkaa1"</f>
        <v>Prkaa1</v>
      </c>
      <c r="I2718" t="s">
        <v>32</v>
      </c>
      <c r="J2718" t="s">
        <v>37</v>
      </c>
      <c r="K2718">
        <v>10090</v>
      </c>
      <c r="L2718" s="3" t="str">
        <f>HYPERLINK("http://www.uniprot.org/uniprot/Q5EG47", "Q5EG47")</f>
        <v>Q5EG47</v>
      </c>
      <c r="M2718" t="s">
        <v>30783</v>
      </c>
      <c r="N2718" t="str">
        <f>"Prkaa1"</f>
        <v>Prkaa1</v>
      </c>
      <c r="O2718" s="3" t="str">
        <f>HYPERLINK("http://www.informatics.jax.org/marker/MGI:2145955", "MGI:2145955")</f>
        <v>MGI:2145955</v>
      </c>
      <c r="P2718" t="s">
        <v>30784</v>
      </c>
      <c r="Q2718" t="s">
        <v>29587</v>
      </c>
      <c r="R2718" t="s">
        <v>40</v>
      </c>
      <c r="S2718" t="s">
        <v>32</v>
      </c>
      <c r="T2718" t="s">
        <v>32</v>
      </c>
      <c r="U2718" t="s">
        <v>32</v>
      </c>
      <c r="V2718" t="s">
        <v>32</v>
      </c>
      <c r="W2718" t="s">
        <v>1266</v>
      </c>
      <c r="X2718" t="s">
        <v>29588</v>
      </c>
      <c r="Y2718" t="s">
        <v>2836</v>
      </c>
      <c r="Z2718" t="s">
        <v>126</v>
      </c>
      <c r="AA2718" t="s">
        <v>30785</v>
      </c>
      <c r="AB2718" t="s">
        <v>30786</v>
      </c>
      <c r="AC2718" t="s">
        <v>30787</v>
      </c>
      <c r="AD2718" t="s">
        <v>32</v>
      </c>
      <c r="AE2718" t="s">
        <v>28203</v>
      </c>
      <c r="AF2718" t="s">
        <v>46835</v>
      </c>
    </row>
    <row r="2719" spans="1:33" x14ac:dyDescent="0.2">
      <c r="A2719">
        <v>2714</v>
      </c>
      <c r="B2719" t="s">
        <v>30788</v>
      </c>
      <c r="C2719" t="s">
        <v>30789</v>
      </c>
      <c r="D2719" t="s">
        <v>30790</v>
      </c>
      <c r="E2719" t="s">
        <v>30791</v>
      </c>
      <c r="F2719" t="s">
        <v>30792</v>
      </c>
      <c r="G2719" t="s">
        <v>30793</v>
      </c>
      <c r="H2719" t="str">
        <f>"Col2a1"</f>
        <v>Col2a1</v>
      </c>
      <c r="I2719" t="s">
        <v>32</v>
      </c>
      <c r="J2719" t="s">
        <v>37</v>
      </c>
      <c r="K2719">
        <v>10090</v>
      </c>
      <c r="L2719" s="3" t="str">
        <f>HYPERLINK("http://www.uniprot.org/uniprot/P28481", "P28481")</f>
        <v>P28481</v>
      </c>
      <c r="M2719" t="s">
        <v>30794</v>
      </c>
      <c r="N2719" t="str">
        <f>"Col2a1"</f>
        <v>Col2a1</v>
      </c>
      <c r="O2719" s="3" t="str">
        <f>HYPERLINK("http://www.informatics.jax.org/marker/MGI:88452", "MGI:88452")</f>
        <v>MGI:88452</v>
      </c>
      <c r="P2719" t="s">
        <v>30795</v>
      </c>
      <c r="Q2719" t="s">
        <v>32</v>
      </c>
      <c r="R2719" t="s">
        <v>5586</v>
      </c>
      <c r="S2719" t="s">
        <v>41</v>
      </c>
      <c r="T2719" t="s">
        <v>32</v>
      </c>
      <c r="U2719" t="s">
        <v>829</v>
      </c>
      <c r="V2719" t="s">
        <v>8152</v>
      </c>
      <c r="W2719" t="s">
        <v>188</v>
      </c>
      <c r="X2719" t="s">
        <v>32</v>
      </c>
      <c r="Y2719" t="s">
        <v>14877</v>
      </c>
      <c r="Z2719" t="s">
        <v>126</v>
      </c>
      <c r="AA2719" t="s">
        <v>30796</v>
      </c>
      <c r="AB2719" t="s">
        <v>30797</v>
      </c>
      <c r="AC2719" t="s">
        <v>30798</v>
      </c>
      <c r="AD2719" t="s">
        <v>32</v>
      </c>
      <c r="AE2719" t="s">
        <v>30799</v>
      </c>
      <c r="AF2719" t="s">
        <v>46835</v>
      </c>
    </row>
    <row r="2720" spans="1:33" x14ac:dyDescent="0.2">
      <c r="A2720">
        <v>2715</v>
      </c>
      <c r="B2720" t="s">
        <v>30800</v>
      </c>
      <c r="C2720" t="s">
        <v>30801</v>
      </c>
      <c r="D2720" t="s">
        <v>32</v>
      </c>
      <c r="E2720" t="s">
        <v>30802</v>
      </c>
      <c r="F2720" t="s">
        <v>30803</v>
      </c>
      <c r="G2720" t="s">
        <v>30804</v>
      </c>
      <c r="H2720" t="s">
        <v>32</v>
      </c>
      <c r="I2720" t="s">
        <v>32</v>
      </c>
      <c r="J2720" t="s">
        <v>37</v>
      </c>
      <c r="K2720">
        <v>10090</v>
      </c>
      <c r="L2720" s="3" t="str">
        <f>HYPERLINK("http://www.uniprot.org/uniprot/Q8C3W1", "Q8C3W1")</f>
        <v>Q8C3W1</v>
      </c>
      <c r="M2720" t="s">
        <v>30805</v>
      </c>
      <c r="N2720" t="str">
        <f>"2310022B05Rik"</f>
        <v>2310022B05Rik</v>
      </c>
      <c r="O2720" s="3" t="str">
        <f>HYPERLINK("http://www.informatics.jax.org/marker/MGI:1916801", "MGI:1916801")</f>
        <v>MGI:1916801</v>
      </c>
      <c r="P2720" t="s">
        <v>4532</v>
      </c>
      <c r="Q2720" t="s">
        <v>32</v>
      </c>
      <c r="R2720" t="s">
        <v>418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32</v>
      </c>
      <c r="Y2720" t="s">
        <v>157</v>
      </c>
      <c r="Z2720" t="s">
        <v>32</v>
      </c>
      <c r="AA2720" t="s">
        <v>32</v>
      </c>
      <c r="AB2720" t="s">
        <v>1268</v>
      </c>
      <c r="AC2720" t="s">
        <v>32</v>
      </c>
      <c r="AD2720" t="s">
        <v>32</v>
      </c>
      <c r="AE2720" t="s">
        <v>32</v>
      </c>
      <c r="AF2720" t="s">
        <v>46835</v>
      </c>
    </row>
    <row r="2721" spans="1:33" x14ac:dyDescent="0.2">
      <c r="A2721">
        <v>2716</v>
      </c>
      <c r="B2721" t="s">
        <v>30806</v>
      </c>
      <c r="C2721" t="s">
        <v>30807</v>
      </c>
      <c r="D2721" t="s">
        <v>32</v>
      </c>
      <c r="E2721" t="s">
        <v>30808</v>
      </c>
      <c r="F2721" t="s">
        <v>30809</v>
      </c>
      <c r="G2721" t="s">
        <v>30810</v>
      </c>
      <c r="H2721" t="str">
        <f>"Pum1"</f>
        <v>Pum1</v>
      </c>
      <c r="I2721" t="s">
        <v>32</v>
      </c>
      <c r="J2721" t="s">
        <v>37</v>
      </c>
      <c r="K2721">
        <v>10090</v>
      </c>
      <c r="L2721" s="3" t="str">
        <f>HYPERLINK("http://www.uniprot.org/uniprot/Q80U78", "Q80U78")</f>
        <v>Q80U78</v>
      </c>
      <c r="M2721" t="s">
        <v>30811</v>
      </c>
      <c r="N2721" t="str">
        <f>"Pum1"</f>
        <v>Pum1</v>
      </c>
      <c r="O2721" s="3" t="str">
        <f>HYPERLINK("http://www.informatics.jax.org/marker/MGI:1931749", "MGI:1931749")</f>
        <v>MGI:1931749</v>
      </c>
      <c r="P2721" t="s">
        <v>30812</v>
      </c>
      <c r="Q2721" t="s">
        <v>30813</v>
      </c>
      <c r="R2721" t="s">
        <v>418</v>
      </c>
      <c r="S2721" t="s">
        <v>41</v>
      </c>
      <c r="T2721" t="s">
        <v>32</v>
      </c>
      <c r="U2721" t="s">
        <v>32</v>
      </c>
      <c r="V2721" t="s">
        <v>55</v>
      </c>
      <c r="W2721" t="s">
        <v>32</v>
      </c>
      <c r="X2721" t="s">
        <v>1282</v>
      </c>
      <c r="Y2721" t="s">
        <v>97</v>
      </c>
      <c r="Z2721" t="s">
        <v>32</v>
      </c>
      <c r="AA2721" t="s">
        <v>30814</v>
      </c>
      <c r="AB2721" t="s">
        <v>30815</v>
      </c>
      <c r="AC2721" t="s">
        <v>30816</v>
      </c>
      <c r="AD2721" t="s">
        <v>32</v>
      </c>
      <c r="AE2721" t="s">
        <v>10968</v>
      </c>
      <c r="AF2721" t="s">
        <v>46835</v>
      </c>
    </row>
    <row r="2722" spans="1:33" x14ac:dyDescent="0.2">
      <c r="A2722">
        <v>2717</v>
      </c>
      <c r="B2722" t="s">
        <v>30817</v>
      </c>
      <c r="C2722" t="s">
        <v>30818</v>
      </c>
      <c r="D2722" t="s">
        <v>32</v>
      </c>
      <c r="E2722" t="s">
        <v>30819</v>
      </c>
      <c r="F2722" t="s">
        <v>30820</v>
      </c>
      <c r="G2722" t="s">
        <v>30821</v>
      </c>
      <c r="H2722" t="str">
        <f>"Zmat2"</f>
        <v>Zmat2</v>
      </c>
      <c r="I2722" t="s">
        <v>32</v>
      </c>
      <c r="J2722" t="s">
        <v>37</v>
      </c>
      <c r="K2722">
        <v>10090</v>
      </c>
      <c r="L2722" s="3" t="str">
        <f>HYPERLINK("http://www.uniprot.org/uniprot/Q9CPW7", "Q9CPW7")</f>
        <v>Q9CPW7</v>
      </c>
      <c r="M2722" t="s">
        <v>30822</v>
      </c>
      <c r="N2722" t="str">
        <f>"Zmat2"</f>
        <v>Zmat2</v>
      </c>
      <c r="O2722" s="3" t="str">
        <f>HYPERLINK("http://www.informatics.jax.org/marker/MGI:1913742", "MGI:1913742")</f>
        <v>MGI:1913742</v>
      </c>
      <c r="P2722" t="s">
        <v>30823</v>
      </c>
      <c r="Q2722" t="s">
        <v>2139</v>
      </c>
      <c r="R2722" t="s">
        <v>2140</v>
      </c>
      <c r="S2722" t="s">
        <v>32</v>
      </c>
      <c r="T2722" t="s">
        <v>32</v>
      </c>
      <c r="U2722" t="s">
        <v>32</v>
      </c>
      <c r="V2722" t="s">
        <v>446</v>
      </c>
      <c r="W2722" t="s">
        <v>42</v>
      </c>
      <c r="X2722" t="s">
        <v>247</v>
      </c>
      <c r="Y2722" t="s">
        <v>461</v>
      </c>
      <c r="Z2722" t="s">
        <v>32</v>
      </c>
      <c r="AA2722" t="s">
        <v>8104</v>
      </c>
      <c r="AB2722" t="s">
        <v>30824</v>
      </c>
      <c r="AC2722" t="s">
        <v>20896</v>
      </c>
      <c r="AD2722" t="s">
        <v>32</v>
      </c>
      <c r="AE2722" t="s">
        <v>32</v>
      </c>
      <c r="AF2722" t="s">
        <v>46835</v>
      </c>
    </row>
    <row r="2723" spans="1:33" x14ac:dyDescent="0.2">
      <c r="A2723">
        <v>2718</v>
      </c>
      <c r="B2723" t="s">
        <v>30825</v>
      </c>
      <c r="C2723" t="s">
        <v>30826</v>
      </c>
      <c r="D2723" t="s">
        <v>32</v>
      </c>
      <c r="E2723" t="s">
        <v>30827</v>
      </c>
      <c r="F2723" t="s">
        <v>30828</v>
      </c>
      <c r="G2723" t="s">
        <v>30829</v>
      </c>
      <c r="H2723" t="str">
        <f>"Npm3"</f>
        <v>Npm3</v>
      </c>
      <c r="I2723" t="s">
        <v>32</v>
      </c>
      <c r="J2723" t="s">
        <v>37</v>
      </c>
      <c r="K2723">
        <v>10090</v>
      </c>
      <c r="L2723" s="3" t="str">
        <f>HYPERLINK("http://www.uniprot.org/uniprot/Q9CPP0", "Q9CPP0")</f>
        <v>Q9CPP0</v>
      </c>
      <c r="M2723" t="s">
        <v>30830</v>
      </c>
      <c r="N2723" t="str">
        <f>"Npm3"</f>
        <v>Npm3</v>
      </c>
      <c r="O2723" s="3" t="str">
        <f>HYPERLINK("http://www.informatics.jax.org/marker/MGI:894653", "MGI:894653")</f>
        <v>MGI:894653</v>
      </c>
      <c r="P2723" t="s">
        <v>30831</v>
      </c>
      <c r="Q2723" t="s">
        <v>32</v>
      </c>
      <c r="R2723" t="s">
        <v>2279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388</v>
      </c>
      <c r="Y2723" t="s">
        <v>97</v>
      </c>
      <c r="Z2723" t="s">
        <v>32</v>
      </c>
      <c r="AA2723" t="s">
        <v>30832</v>
      </c>
      <c r="AB2723" t="s">
        <v>30833</v>
      </c>
      <c r="AC2723" t="s">
        <v>30834</v>
      </c>
      <c r="AD2723" t="s">
        <v>32</v>
      </c>
      <c r="AE2723" t="s">
        <v>32</v>
      </c>
      <c r="AF2723" t="s">
        <v>46835</v>
      </c>
    </row>
    <row r="2724" spans="1:33" x14ac:dyDescent="0.2">
      <c r="A2724">
        <v>2719</v>
      </c>
      <c r="B2724" t="s">
        <v>30835</v>
      </c>
      <c r="C2724" t="s">
        <v>30836</v>
      </c>
      <c r="D2724" t="s">
        <v>32</v>
      </c>
      <c r="E2724" t="s">
        <v>30837</v>
      </c>
      <c r="F2724" t="s">
        <v>30838</v>
      </c>
      <c r="G2724" t="s">
        <v>32</v>
      </c>
      <c r="H2724" t="str">
        <f>"Sf3b4"</f>
        <v>Sf3b4</v>
      </c>
      <c r="I2724" t="s">
        <v>32</v>
      </c>
      <c r="J2724" t="s">
        <v>37</v>
      </c>
      <c r="K2724">
        <v>10090</v>
      </c>
      <c r="L2724" s="3" t="str">
        <f>HYPERLINK("http://www.uniprot.org/uniprot/Q8QZY9", "Q8QZY9")</f>
        <v>Q8QZY9</v>
      </c>
      <c r="M2724" t="s">
        <v>30839</v>
      </c>
      <c r="N2724" t="str">
        <f>"Sf3b4"</f>
        <v>Sf3b4</v>
      </c>
      <c r="O2724" s="3" t="str">
        <f>HYPERLINK("http://www.informatics.jax.org/marker/MGI:109580", "MGI:109580")</f>
        <v>MGI:109580</v>
      </c>
      <c r="P2724" t="s">
        <v>30840</v>
      </c>
      <c r="Q2724" t="s">
        <v>2139</v>
      </c>
      <c r="R2724" t="s">
        <v>2140</v>
      </c>
      <c r="S2724" t="s">
        <v>32</v>
      </c>
      <c r="T2724" t="s">
        <v>32</v>
      </c>
      <c r="U2724" t="s">
        <v>32</v>
      </c>
      <c r="V2724" t="s">
        <v>55</v>
      </c>
      <c r="W2724" t="s">
        <v>32</v>
      </c>
      <c r="X2724" t="s">
        <v>1282</v>
      </c>
      <c r="Y2724" t="s">
        <v>157</v>
      </c>
      <c r="Z2724" t="s">
        <v>32</v>
      </c>
      <c r="AA2724" t="s">
        <v>24865</v>
      </c>
      <c r="AB2724" t="s">
        <v>30841</v>
      </c>
      <c r="AC2724" t="s">
        <v>24700</v>
      </c>
      <c r="AD2724" t="s">
        <v>32</v>
      </c>
      <c r="AE2724" t="s">
        <v>7167</v>
      </c>
      <c r="AF2724" t="s">
        <v>46835</v>
      </c>
    </row>
    <row r="2725" spans="1:33" x14ac:dyDescent="0.2">
      <c r="A2725">
        <v>2720</v>
      </c>
      <c r="B2725" t="s">
        <v>30842</v>
      </c>
      <c r="C2725" t="s">
        <v>30843</v>
      </c>
      <c r="D2725" t="s">
        <v>30844</v>
      </c>
      <c r="E2725" t="s">
        <v>30845</v>
      </c>
      <c r="F2725" t="s">
        <v>30846</v>
      </c>
      <c r="G2725" t="s">
        <v>30847</v>
      </c>
      <c r="H2725" t="str">
        <f>"Ralgps2"</f>
        <v>Ralgps2</v>
      </c>
      <c r="I2725" t="s">
        <v>32</v>
      </c>
      <c r="J2725" t="s">
        <v>37</v>
      </c>
      <c r="K2725">
        <v>10090</v>
      </c>
      <c r="L2725" s="3" t="str">
        <f>HYPERLINK("http://www.uniprot.org/uniprot/Q9ERD6", "Q9ERD6")</f>
        <v>Q9ERD6</v>
      </c>
      <c r="M2725" t="s">
        <v>30848</v>
      </c>
      <c r="N2725" t="str">
        <f>"Ralgps2"</f>
        <v>Ralgps2</v>
      </c>
      <c r="O2725" s="3" t="str">
        <f>HYPERLINK("http://www.informatics.jax.org/marker/MGI:1925505", "MGI:1925505")</f>
        <v>MGI:1925505</v>
      </c>
      <c r="P2725" t="s">
        <v>30849</v>
      </c>
      <c r="Q2725" t="s">
        <v>32</v>
      </c>
      <c r="R2725" t="s">
        <v>222</v>
      </c>
      <c r="S2725" t="s">
        <v>41</v>
      </c>
      <c r="T2725" t="s">
        <v>32</v>
      </c>
      <c r="U2725" t="s">
        <v>32</v>
      </c>
      <c r="V2725" t="s">
        <v>32</v>
      </c>
      <c r="W2725" t="s">
        <v>32</v>
      </c>
      <c r="X2725" t="s">
        <v>5011</v>
      </c>
      <c r="Y2725" t="s">
        <v>618</v>
      </c>
      <c r="Z2725" t="s">
        <v>32</v>
      </c>
      <c r="AA2725" t="s">
        <v>30850</v>
      </c>
      <c r="AB2725" t="s">
        <v>22182</v>
      </c>
      <c r="AC2725" t="s">
        <v>12942</v>
      </c>
      <c r="AD2725" t="s">
        <v>32</v>
      </c>
      <c r="AE2725" t="s">
        <v>32</v>
      </c>
      <c r="AF2725" t="s">
        <v>46835</v>
      </c>
    </row>
    <row r="2726" spans="1:33" x14ac:dyDescent="0.2">
      <c r="A2726">
        <v>2721</v>
      </c>
      <c r="B2726" t="s">
        <v>30851</v>
      </c>
      <c r="C2726" t="s">
        <v>30852</v>
      </c>
      <c r="D2726" t="s">
        <v>30853</v>
      </c>
      <c r="E2726" t="s">
        <v>30854</v>
      </c>
      <c r="F2726" t="s">
        <v>30855</v>
      </c>
      <c r="G2726" t="s">
        <v>30856</v>
      </c>
      <c r="H2726" t="str">
        <f>"Ppig"</f>
        <v>Ppig</v>
      </c>
      <c r="I2726" t="s">
        <v>32</v>
      </c>
      <c r="J2726" t="s">
        <v>37</v>
      </c>
      <c r="K2726">
        <v>10090</v>
      </c>
      <c r="L2726" s="3" t="str">
        <f>HYPERLINK("http://www.uniprot.org/uniprot/A2AR02", "A2AR02")</f>
        <v>A2AR02</v>
      </c>
      <c r="M2726" t="s">
        <v>30857</v>
      </c>
      <c r="N2726" t="str">
        <f>"Ppig"</f>
        <v>Ppig</v>
      </c>
      <c r="O2726" s="3" t="str">
        <f>HYPERLINK("http://www.informatics.jax.org/marker/MGI:2445173", "MGI:2445173")</f>
        <v>MGI:2445173</v>
      </c>
      <c r="P2726" t="s">
        <v>30858</v>
      </c>
      <c r="Q2726" t="s">
        <v>32</v>
      </c>
      <c r="R2726" t="s">
        <v>2279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543</v>
      </c>
      <c r="Y2726" t="s">
        <v>1007</v>
      </c>
      <c r="Z2726" t="s">
        <v>32</v>
      </c>
      <c r="AA2726" t="s">
        <v>30859</v>
      </c>
      <c r="AB2726" t="s">
        <v>30860</v>
      </c>
      <c r="AC2726" t="s">
        <v>30861</v>
      </c>
      <c r="AD2726" t="s">
        <v>32</v>
      </c>
      <c r="AE2726" t="s">
        <v>32</v>
      </c>
      <c r="AF2726" t="s">
        <v>46835</v>
      </c>
    </row>
    <row r="2727" spans="1:33" x14ac:dyDescent="0.2">
      <c r="A2727">
        <v>2722</v>
      </c>
      <c r="B2727" t="s">
        <v>30862</v>
      </c>
      <c r="C2727" t="s">
        <v>30863</v>
      </c>
      <c r="D2727" t="s">
        <v>30864</v>
      </c>
      <c r="E2727" t="s">
        <v>30865</v>
      </c>
      <c r="F2727" t="s">
        <v>30866</v>
      </c>
      <c r="G2727" t="s">
        <v>30867</v>
      </c>
      <c r="H2727" t="str">
        <f>"Tmem237"</f>
        <v>Tmem237</v>
      </c>
      <c r="I2727" t="s">
        <v>30868</v>
      </c>
      <c r="J2727" t="s">
        <v>37</v>
      </c>
      <c r="K2727">
        <v>10090</v>
      </c>
      <c r="L2727" s="3" t="str">
        <f>HYPERLINK("http://www.uniprot.org/uniprot/Q3V0J1", "Q3V0J1")</f>
        <v>Q3V0J1</v>
      </c>
      <c r="M2727" t="s">
        <v>30869</v>
      </c>
      <c r="N2727" t="str">
        <f>"Tmem237"</f>
        <v>Tmem237</v>
      </c>
      <c r="O2727" s="3" t="str">
        <f>HYPERLINK("http://www.informatics.jax.org/marker/MGI:2138365", "MGI:2138365")</f>
        <v>MGI:2138365</v>
      </c>
      <c r="P2727" t="s">
        <v>30870</v>
      </c>
      <c r="Q2727" t="s">
        <v>475</v>
      </c>
      <c r="R2727" t="s">
        <v>30871</v>
      </c>
      <c r="S2727" t="s">
        <v>41</v>
      </c>
      <c r="T2727" t="s">
        <v>32</v>
      </c>
      <c r="U2727" t="s">
        <v>32</v>
      </c>
      <c r="V2727" t="s">
        <v>493</v>
      </c>
      <c r="W2727" t="s">
        <v>32</v>
      </c>
      <c r="X2727" t="s">
        <v>32</v>
      </c>
      <c r="Y2727" t="s">
        <v>618</v>
      </c>
      <c r="Z2727" t="s">
        <v>32</v>
      </c>
      <c r="AA2727" t="s">
        <v>30872</v>
      </c>
      <c r="AB2727" t="s">
        <v>30873</v>
      </c>
      <c r="AC2727" t="s">
        <v>32</v>
      </c>
      <c r="AD2727" t="s">
        <v>32</v>
      </c>
      <c r="AE2727" t="s">
        <v>32</v>
      </c>
      <c r="AF2727" t="s">
        <v>46835</v>
      </c>
    </row>
    <row r="2728" spans="1:33" x14ac:dyDescent="0.2">
      <c r="A2728">
        <v>2723</v>
      </c>
      <c r="B2728" t="s">
        <v>30874</v>
      </c>
      <c r="C2728" t="s">
        <v>30875</v>
      </c>
      <c r="D2728" t="s">
        <v>30876</v>
      </c>
      <c r="E2728" t="s">
        <v>30877</v>
      </c>
      <c r="F2728" t="s">
        <v>30878</v>
      </c>
      <c r="G2728" t="s">
        <v>32</v>
      </c>
      <c r="H2728" t="str">
        <f>"Cpsf1"</f>
        <v>Cpsf1</v>
      </c>
      <c r="I2728" t="s">
        <v>30879</v>
      </c>
      <c r="J2728" t="s">
        <v>37</v>
      </c>
      <c r="K2728">
        <v>10090</v>
      </c>
      <c r="L2728" s="3" t="str">
        <f>HYPERLINK("http://www.uniprot.org/uniprot/Q9EPU4", "Q9EPU4")</f>
        <v>Q9EPU4</v>
      </c>
      <c r="M2728" t="s">
        <v>30880</v>
      </c>
      <c r="N2728" t="str">
        <f>"Cpsf1"</f>
        <v>Cpsf1</v>
      </c>
      <c r="O2728" s="3" t="str">
        <f>HYPERLINK("http://www.informatics.jax.org/marker/MGI:2679722", "MGI:2679722")</f>
        <v>MGI:2679722</v>
      </c>
      <c r="P2728" t="s">
        <v>25713</v>
      </c>
      <c r="Q2728" t="s">
        <v>16601</v>
      </c>
      <c r="R2728" t="s">
        <v>2279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1282</v>
      </c>
      <c r="Y2728" t="s">
        <v>618</v>
      </c>
      <c r="Z2728" t="s">
        <v>32</v>
      </c>
      <c r="AA2728" t="s">
        <v>30881</v>
      </c>
      <c r="AB2728" t="s">
        <v>23656</v>
      </c>
      <c r="AC2728" t="s">
        <v>30882</v>
      </c>
      <c r="AD2728" t="s">
        <v>32</v>
      </c>
      <c r="AE2728" t="s">
        <v>23657</v>
      </c>
      <c r="AF2728" t="s">
        <v>46835</v>
      </c>
    </row>
    <row r="2729" spans="1:33" x14ac:dyDescent="0.2">
      <c r="A2729">
        <v>2724</v>
      </c>
      <c r="B2729" t="s">
        <v>30883</v>
      </c>
      <c r="C2729" t="s">
        <v>30884</v>
      </c>
      <c r="D2729" t="s">
        <v>32</v>
      </c>
      <c r="E2729" t="s">
        <v>30885</v>
      </c>
      <c r="F2729" t="s">
        <v>30886</v>
      </c>
      <c r="G2729" t="s">
        <v>30887</v>
      </c>
      <c r="H2729" t="str">
        <f>"Mrps10"</f>
        <v>Mrps10</v>
      </c>
      <c r="I2729" t="s">
        <v>32</v>
      </c>
      <c r="J2729" t="s">
        <v>37</v>
      </c>
      <c r="K2729">
        <v>10090</v>
      </c>
      <c r="L2729" s="3" t="str">
        <f>HYPERLINK("http://www.uniprot.org/uniprot/Q80ZK0", "Q80ZK0")</f>
        <v>Q80ZK0</v>
      </c>
      <c r="M2729" t="s">
        <v>30888</v>
      </c>
      <c r="N2729" t="str">
        <f>"Mrps10"</f>
        <v>Mrps10</v>
      </c>
      <c r="O2729" s="3" t="str">
        <f>HYPERLINK("http://www.informatics.jax.org/marker/MGI:1928139", "MGI:1928139")</f>
        <v>MGI:1928139</v>
      </c>
      <c r="P2729" t="s">
        <v>30889</v>
      </c>
      <c r="Q2729" t="s">
        <v>32</v>
      </c>
      <c r="R2729" t="s">
        <v>1038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447</v>
      </c>
      <c r="Y2729" t="s">
        <v>32</v>
      </c>
      <c r="Z2729" t="s">
        <v>32</v>
      </c>
      <c r="AA2729" t="s">
        <v>23519</v>
      </c>
      <c r="AB2729" t="s">
        <v>23520</v>
      </c>
      <c r="AC2729" t="s">
        <v>1010</v>
      </c>
      <c r="AD2729" t="s">
        <v>32</v>
      </c>
      <c r="AE2729" t="s">
        <v>17271</v>
      </c>
      <c r="AF2729" t="s">
        <v>46835</v>
      </c>
    </row>
    <row r="2730" spans="1:33" x14ac:dyDescent="0.2">
      <c r="A2730">
        <v>2725</v>
      </c>
      <c r="B2730" t="s">
        <v>30890</v>
      </c>
      <c r="C2730" t="s">
        <v>30891</v>
      </c>
      <c r="D2730" t="s">
        <v>30892</v>
      </c>
      <c r="E2730" t="s">
        <v>30893</v>
      </c>
      <c r="F2730" t="s">
        <v>30894</v>
      </c>
      <c r="G2730" t="s">
        <v>30895</v>
      </c>
      <c r="H2730" t="str">
        <f>"Polr2d"</f>
        <v>Polr2d</v>
      </c>
      <c r="I2730" t="s">
        <v>32</v>
      </c>
      <c r="J2730" t="s">
        <v>37</v>
      </c>
      <c r="K2730">
        <v>10090</v>
      </c>
      <c r="L2730" s="3" t="str">
        <f>HYPERLINK("http://www.uniprot.org/uniprot/Q9D7M8", "Q9D7M8")</f>
        <v>Q9D7M8</v>
      </c>
      <c r="M2730" t="s">
        <v>30896</v>
      </c>
      <c r="N2730" t="str">
        <f>"Polr2d"</f>
        <v>Polr2d</v>
      </c>
      <c r="O2730" s="3" t="str">
        <f>HYPERLINK("http://www.informatics.jax.org/marker/MGI:1916491", "MGI:1916491")</f>
        <v>MGI:1916491</v>
      </c>
      <c r="P2730" t="s">
        <v>30897</v>
      </c>
      <c r="Q2730" t="s">
        <v>16415</v>
      </c>
      <c r="R2730" t="s">
        <v>19800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32</v>
      </c>
      <c r="Y2730" t="s">
        <v>32</v>
      </c>
      <c r="Z2730" t="s">
        <v>32</v>
      </c>
      <c r="AA2730" t="s">
        <v>30898</v>
      </c>
      <c r="AB2730" t="s">
        <v>30899</v>
      </c>
      <c r="AC2730" t="s">
        <v>30900</v>
      </c>
      <c r="AD2730" t="s">
        <v>32</v>
      </c>
      <c r="AE2730" t="s">
        <v>16422</v>
      </c>
      <c r="AF2730" t="s">
        <v>46835</v>
      </c>
    </row>
    <row r="2731" spans="1:33" x14ac:dyDescent="0.2">
      <c r="A2731">
        <v>2726</v>
      </c>
      <c r="B2731" t="s">
        <v>30901</v>
      </c>
      <c r="C2731" t="s">
        <v>30902</v>
      </c>
      <c r="D2731" t="s">
        <v>30903</v>
      </c>
      <c r="E2731" t="s">
        <v>30904</v>
      </c>
      <c r="F2731" t="s">
        <v>30905</v>
      </c>
      <c r="G2731" t="s">
        <v>30906</v>
      </c>
      <c r="H2731" t="str">
        <f>"Rnaseh2a"</f>
        <v>Rnaseh2a</v>
      </c>
      <c r="I2731" t="s">
        <v>30907</v>
      </c>
      <c r="J2731" t="s">
        <v>37</v>
      </c>
      <c r="K2731">
        <v>10090</v>
      </c>
      <c r="L2731" s="3" t="str">
        <f>HYPERLINK("http://www.uniprot.org/uniprot/Q9CWY8", "Q9CWY8")</f>
        <v>Q9CWY8</v>
      </c>
      <c r="M2731" t="s">
        <v>30908</v>
      </c>
      <c r="N2731" t="str">
        <f>"Rnaseh2a"</f>
        <v>Rnaseh2a</v>
      </c>
      <c r="O2731" s="3" t="str">
        <f>HYPERLINK("http://www.informatics.jax.org/marker/MGI:1916974", "MGI:1916974")</f>
        <v>MGI:1916974</v>
      </c>
      <c r="P2731" t="s">
        <v>30909</v>
      </c>
      <c r="Q2731" t="s">
        <v>32</v>
      </c>
      <c r="R2731" t="s">
        <v>2279</v>
      </c>
      <c r="S2731" t="s">
        <v>32</v>
      </c>
      <c r="T2731" t="s">
        <v>32</v>
      </c>
      <c r="U2731" t="s">
        <v>32</v>
      </c>
      <c r="V2731" t="s">
        <v>32</v>
      </c>
      <c r="W2731" t="s">
        <v>8683</v>
      </c>
      <c r="X2731" t="s">
        <v>4153</v>
      </c>
      <c r="Y2731" t="s">
        <v>157</v>
      </c>
      <c r="Z2731" t="s">
        <v>126</v>
      </c>
      <c r="AA2731" t="s">
        <v>30910</v>
      </c>
      <c r="AB2731" t="s">
        <v>30911</v>
      </c>
      <c r="AC2731" t="s">
        <v>30912</v>
      </c>
      <c r="AD2731" t="s">
        <v>32</v>
      </c>
      <c r="AE2731" t="s">
        <v>32</v>
      </c>
      <c r="AF2731" t="s">
        <v>46835</v>
      </c>
    </row>
    <row r="2732" spans="1:33" x14ac:dyDescent="0.2">
      <c r="A2732">
        <v>2727</v>
      </c>
      <c r="B2732" t="s">
        <v>30913</v>
      </c>
      <c r="C2732" t="s">
        <v>47154</v>
      </c>
      <c r="D2732" t="s">
        <v>32</v>
      </c>
      <c r="E2732" t="s">
        <v>46990</v>
      </c>
      <c r="F2732" t="s">
        <v>46989</v>
      </c>
      <c r="G2732" t="s">
        <v>32</v>
      </c>
      <c r="H2732" t="s">
        <v>47333</v>
      </c>
      <c r="I2732" t="s">
        <v>32</v>
      </c>
      <c r="J2732" t="s">
        <v>37</v>
      </c>
      <c r="K2732">
        <v>10090</v>
      </c>
      <c r="L2732" s="3" t="str">
        <f>HYPERLINK(CONCATENATE("https://www.uniprot.org/uniprotkb/", AG2732, "/entry"), AG2732)</f>
        <v>E9PX29</v>
      </c>
      <c r="M2732" t="s">
        <v>32</v>
      </c>
      <c r="N2732" t="s">
        <v>32</v>
      </c>
      <c r="O2732" s="3" t="s">
        <v>32</v>
      </c>
      <c r="P2732" t="s">
        <v>32</v>
      </c>
      <c r="Q2732" t="s">
        <v>32</v>
      </c>
      <c r="R2732" t="s">
        <v>32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32</v>
      </c>
      <c r="Y2732" t="s">
        <v>32</v>
      </c>
      <c r="Z2732" t="s">
        <v>32</v>
      </c>
      <c r="AA2732" t="s">
        <v>32</v>
      </c>
      <c r="AB2732" t="s">
        <v>32</v>
      </c>
      <c r="AC2732" t="s">
        <v>32</v>
      </c>
      <c r="AD2732" t="s">
        <v>32</v>
      </c>
      <c r="AE2732" t="s">
        <v>32</v>
      </c>
      <c r="AF2732" t="s">
        <v>46835</v>
      </c>
      <c r="AG2732" t="s">
        <v>46989</v>
      </c>
    </row>
    <row r="2733" spans="1:33" x14ac:dyDescent="0.2">
      <c r="A2733">
        <v>2728</v>
      </c>
      <c r="B2733" t="s">
        <v>30914</v>
      </c>
      <c r="C2733" t="s">
        <v>30915</v>
      </c>
      <c r="D2733" t="s">
        <v>32</v>
      </c>
      <c r="E2733" t="s">
        <v>30916</v>
      </c>
      <c r="F2733" t="s">
        <v>30917</v>
      </c>
      <c r="G2733" t="s">
        <v>32</v>
      </c>
      <c r="H2733" t="str">
        <f>"Poldip2"</f>
        <v>Poldip2</v>
      </c>
      <c r="I2733" t="s">
        <v>32</v>
      </c>
      <c r="J2733" t="s">
        <v>37</v>
      </c>
      <c r="K2733">
        <v>10090</v>
      </c>
      <c r="L2733" s="3" t="str">
        <f>HYPERLINK("http://www.uniprot.org/uniprot/Q91VA6", "Q91VA6")</f>
        <v>Q91VA6</v>
      </c>
      <c r="M2733" t="s">
        <v>30918</v>
      </c>
      <c r="N2733" t="str">
        <f>"Poldip2"</f>
        <v>Poldip2</v>
      </c>
      <c r="O2733" s="3" t="str">
        <f>HYPERLINK("http://www.informatics.jax.org/marker/MGI:1915061", "MGI:1915061")</f>
        <v>MGI:1915061</v>
      </c>
      <c r="P2733" t="s">
        <v>30919</v>
      </c>
      <c r="Q2733" t="s">
        <v>11886</v>
      </c>
      <c r="R2733" t="s">
        <v>2377</v>
      </c>
      <c r="S2733" t="s">
        <v>32</v>
      </c>
      <c r="T2733" t="s">
        <v>32</v>
      </c>
      <c r="U2733" t="s">
        <v>32</v>
      </c>
      <c r="V2733" t="s">
        <v>1039</v>
      </c>
      <c r="W2733" t="s">
        <v>32</v>
      </c>
      <c r="X2733" t="s">
        <v>32</v>
      </c>
      <c r="Y2733" t="s">
        <v>618</v>
      </c>
      <c r="Z2733" t="s">
        <v>32</v>
      </c>
      <c r="AA2733" t="s">
        <v>30920</v>
      </c>
      <c r="AB2733" t="s">
        <v>30921</v>
      </c>
      <c r="AC2733" t="s">
        <v>30922</v>
      </c>
      <c r="AD2733" t="s">
        <v>32</v>
      </c>
      <c r="AE2733" t="s">
        <v>32</v>
      </c>
      <c r="AF2733" t="s">
        <v>46835</v>
      </c>
    </row>
    <row r="2734" spans="1:33" x14ac:dyDescent="0.2">
      <c r="A2734">
        <v>2729</v>
      </c>
      <c r="B2734" t="s">
        <v>30923</v>
      </c>
      <c r="C2734" t="s">
        <v>30924</v>
      </c>
      <c r="D2734" t="s">
        <v>30925</v>
      </c>
      <c r="E2734" t="s">
        <v>30926</v>
      </c>
      <c r="F2734" t="s">
        <v>30927</v>
      </c>
      <c r="G2734" t="s">
        <v>30928</v>
      </c>
      <c r="H2734" t="str">
        <f>"Itga2"</f>
        <v>Itga2</v>
      </c>
      <c r="I2734" t="s">
        <v>32</v>
      </c>
      <c r="J2734" t="s">
        <v>37</v>
      </c>
      <c r="K2734">
        <v>10090</v>
      </c>
      <c r="L2734" s="3" t="str">
        <f>HYPERLINK("http://www.uniprot.org/uniprot/Q62469", "Q62469")</f>
        <v>Q62469</v>
      </c>
      <c r="M2734" t="s">
        <v>30929</v>
      </c>
      <c r="N2734" t="str">
        <f>"Itga2"</f>
        <v>Itga2</v>
      </c>
      <c r="O2734" s="3" t="str">
        <f>HYPERLINK("http://www.informatics.jax.org/marker/MGI:96600", "MGI:96600")</f>
        <v>MGI:96600</v>
      </c>
      <c r="P2734" t="s">
        <v>30930</v>
      </c>
      <c r="Q2734" t="s">
        <v>2784</v>
      </c>
      <c r="R2734" t="s">
        <v>5989</v>
      </c>
      <c r="S2734" t="s">
        <v>32</v>
      </c>
      <c r="T2734" t="s">
        <v>32</v>
      </c>
      <c r="U2734" t="s">
        <v>32</v>
      </c>
      <c r="V2734" t="s">
        <v>1665</v>
      </c>
      <c r="W2734" t="s">
        <v>18891</v>
      </c>
      <c r="X2734" t="s">
        <v>8879</v>
      </c>
      <c r="Y2734" t="s">
        <v>5275</v>
      </c>
      <c r="Z2734" t="s">
        <v>32</v>
      </c>
      <c r="AA2734" t="s">
        <v>30931</v>
      </c>
      <c r="AB2734" t="s">
        <v>30932</v>
      </c>
      <c r="AC2734" t="s">
        <v>30933</v>
      </c>
      <c r="AD2734" t="s">
        <v>32</v>
      </c>
      <c r="AE2734" t="s">
        <v>30934</v>
      </c>
      <c r="AF2734" t="s">
        <v>46835</v>
      </c>
    </row>
    <row r="2735" spans="1:33" x14ac:dyDescent="0.2">
      <c r="A2735">
        <v>2730</v>
      </c>
      <c r="B2735" t="s">
        <v>30935</v>
      </c>
      <c r="C2735" t="s">
        <v>30936</v>
      </c>
      <c r="D2735" t="s">
        <v>30937</v>
      </c>
      <c r="E2735" t="s">
        <v>30938</v>
      </c>
      <c r="F2735" t="s">
        <v>30939</v>
      </c>
      <c r="G2735" t="s">
        <v>30940</v>
      </c>
      <c r="H2735" t="str">
        <f>"Dync2h1"</f>
        <v>Dync2h1</v>
      </c>
      <c r="I2735" t="s">
        <v>30941</v>
      </c>
      <c r="J2735" t="s">
        <v>37</v>
      </c>
      <c r="K2735">
        <v>10090</v>
      </c>
      <c r="L2735" s="3" t="str">
        <f>HYPERLINK("http://www.uniprot.org/uniprot/Q45VK7", "Q45VK7")</f>
        <v>Q45VK7</v>
      </c>
      <c r="M2735" t="s">
        <v>30942</v>
      </c>
      <c r="N2735" t="str">
        <f>"Dync2h1"</f>
        <v>Dync2h1</v>
      </c>
      <c r="O2735" s="3" t="str">
        <f>HYPERLINK("http://www.informatics.jax.org/marker/MGI:107736", "MGI:107736")</f>
        <v>MGI:107736</v>
      </c>
      <c r="P2735" t="s">
        <v>30943</v>
      </c>
      <c r="Q2735" t="s">
        <v>475</v>
      </c>
      <c r="R2735" t="s">
        <v>30944</v>
      </c>
      <c r="S2735" t="s">
        <v>41</v>
      </c>
      <c r="T2735" t="s">
        <v>32</v>
      </c>
      <c r="U2735" t="s">
        <v>32</v>
      </c>
      <c r="V2735" t="s">
        <v>290</v>
      </c>
      <c r="W2735" t="s">
        <v>205</v>
      </c>
      <c r="X2735" t="s">
        <v>16275</v>
      </c>
      <c r="Y2735" t="s">
        <v>32</v>
      </c>
      <c r="Z2735" t="s">
        <v>32</v>
      </c>
      <c r="AA2735" t="s">
        <v>30945</v>
      </c>
      <c r="AB2735" t="s">
        <v>30946</v>
      </c>
      <c r="AC2735" t="s">
        <v>833</v>
      </c>
      <c r="AD2735" t="s">
        <v>32</v>
      </c>
      <c r="AE2735" t="s">
        <v>30947</v>
      </c>
      <c r="AF2735" t="s">
        <v>46835</v>
      </c>
    </row>
    <row r="2736" spans="1:33" x14ac:dyDescent="0.2">
      <c r="A2736">
        <v>2731</v>
      </c>
      <c r="B2736" t="s">
        <v>30948</v>
      </c>
      <c r="C2736" t="s">
        <v>30949</v>
      </c>
      <c r="D2736" t="s">
        <v>30950</v>
      </c>
      <c r="E2736" t="s">
        <v>30951</v>
      </c>
      <c r="F2736" t="s">
        <v>30952</v>
      </c>
      <c r="G2736" t="s">
        <v>32</v>
      </c>
      <c r="H2736" t="str">
        <f>"Lancl2"</f>
        <v>Lancl2</v>
      </c>
      <c r="I2736" t="s">
        <v>30953</v>
      </c>
      <c r="J2736" t="s">
        <v>37</v>
      </c>
      <c r="K2736">
        <v>10090</v>
      </c>
      <c r="L2736" s="3" t="str">
        <f>HYPERLINK("http://www.uniprot.org/uniprot/Q9JJK2", "Q9JJK2")</f>
        <v>Q9JJK2</v>
      </c>
      <c r="M2736" t="s">
        <v>30954</v>
      </c>
      <c r="N2736" t="str">
        <f>"Lancl2"</f>
        <v>Lancl2</v>
      </c>
      <c r="O2736" s="3" t="str">
        <f>HYPERLINK("http://www.informatics.jax.org/marker/MGI:1919085", "MGI:1919085")</f>
        <v>MGI:1919085</v>
      </c>
      <c r="P2736" t="s">
        <v>30955</v>
      </c>
      <c r="Q2736" t="s">
        <v>32</v>
      </c>
      <c r="R2736" t="s">
        <v>276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32</v>
      </c>
      <c r="Y2736" t="s">
        <v>5562</v>
      </c>
      <c r="Z2736" t="s">
        <v>32</v>
      </c>
      <c r="AA2736" t="s">
        <v>30956</v>
      </c>
      <c r="AB2736" t="s">
        <v>30957</v>
      </c>
      <c r="AC2736" t="s">
        <v>30958</v>
      </c>
      <c r="AD2736" t="s">
        <v>32</v>
      </c>
      <c r="AE2736" t="s">
        <v>32</v>
      </c>
      <c r="AF2736" t="s">
        <v>46835</v>
      </c>
    </row>
    <row r="2737" spans="1:32" x14ac:dyDescent="0.2">
      <c r="A2737">
        <v>2732</v>
      </c>
      <c r="B2737" t="s">
        <v>30959</v>
      </c>
      <c r="C2737" t="s">
        <v>30960</v>
      </c>
      <c r="D2737" t="s">
        <v>30961</v>
      </c>
      <c r="E2737" t="s">
        <v>30962</v>
      </c>
      <c r="F2737" t="s">
        <v>30963</v>
      </c>
      <c r="G2737" t="s">
        <v>30964</v>
      </c>
      <c r="H2737" t="str">
        <f>"Rnf123"</f>
        <v>Rnf123</v>
      </c>
      <c r="I2737" t="s">
        <v>30965</v>
      </c>
      <c r="J2737" t="s">
        <v>37</v>
      </c>
      <c r="K2737">
        <v>10090</v>
      </c>
      <c r="L2737" s="3" t="str">
        <f>HYPERLINK("http://www.uniprot.org/uniprot/Q5XPI3", "Q5XPI3")</f>
        <v>Q5XPI3</v>
      </c>
      <c r="M2737" t="s">
        <v>30966</v>
      </c>
      <c r="N2737" t="str">
        <f>"Rnf123"</f>
        <v>Rnf123</v>
      </c>
      <c r="O2737" s="3" t="str">
        <f>HYPERLINK("http://www.informatics.jax.org/marker/MGI:2148796", "MGI:2148796")</f>
        <v>MGI:2148796</v>
      </c>
      <c r="P2737" t="s">
        <v>30967</v>
      </c>
      <c r="Q2737" t="s">
        <v>1020</v>
      </c>
      <c r="R2737" t="s">
        <v>418</v>
      </c>
      <c r="S2737" t="s">
        <v>41</v>
      </c>
      <c r="T2737" t="s">
        <v>32</v>
      </c>
      <c r="U2737" t="s">
        <v>32</v>
      </c>
      <c r="V2737" t="s">
        <v>446</v>
      </c>
      <c r="W2737" t="s">
        <v>42</v>
      </c>
      <c r="X2737" t="s">
        <v>515</v>
      </c>
      <c r="Y2737" t="s">
        <v>277</v>
      </c>
      <c r="Z2737" t="s">
        <v>32</v>
      </c>
      <c r="AA2737" t="s">
        <v>30968</v>
      </c>
      <c r="AB2737" t="s">
        <v>30969</v>
      </c>
      <c r="AC2737" t="s">
        <v>26536</v>
      </c>
      <c r="AD2737" t="s">
        <v>1027</v>
      </c>
      <c r="AE2737" t="s">
        <v>30970</v>
      </c>
      <c r="AF2737" t="s">
        <v>46835</v>
      </c>
    </row>
    <row r="2738" spans="1:32" x14ac:dyDescent="0.2">
      <c r="A2738">
        <v>2733</v>
      </c>
      <c r="B2738" t="s">
        <v>30971</v>
      </c>
      <c r="C2738" t="s">
        <v>30972</v>
      </c>
      <c r="D2738" t="s">
        <v>30973</v>
      </c>
      <c r="E2738" t="s">
        <v>30974</v>
      </c>
      <c r="F2738" t="s">
        <v>30975</v>
      </c>
      <c r="G2738" t="s">
        <v>30976</v>
      </c>
      <c r="H2738" t="str">
        <f>"Wwp2"</f>
        <v>Wwp2</v>
      </c>
      <c r="I2738" t="s">
        <v>32</v>
      </c>
      <c r="J2738" t="s">
        <v>37</v>
      </c>
      <c r="K2738">
        <v>10090</v>
      </c>
      <c r="L2738" s="3" t="str">
        <f>HYPERLINK("http://www.uniprot.org/uniprot/Q9DBH0", "Q9DBH0")</f>
        <v>Q9DBH0</v>
      </c>
      <c r="M2738" t="s">
        <v>30977</v>
      </c>
      <c r="N2738" t="str">
        <f>"Wwp2"</f>
        <v>Wwp2</v>
      </c>
      <c r="O2738" s="3" t="str">
        <f>HYPERLINK("http://www.informatics.jax.org/marker/MGI:1914144", "MGI:1914144")</f>
        <v>MGI:1914144</v>
      </c>
      <c r="P2738" t="s">
        <v>30978</v>
      </c>
      <c r="Q2738" t="s">
        <v>1020</v>
      </c>
      <c r="R2738" t="s">
        <v>2279</v>
      </c>
      <c r="S2738" t="s">
        <v>32</v>
      </c>
      <c r="T2738" t="s">
        <v>32</v>
      </c>
      <c r="U2738" t="s">
        <v>32</v>
      </c>
      <c r="V2738" t="s">
        <v>55</v>
      </c>
      <c r="W2738" t="s">
        <v>32</v>
      </c>
      <c r="X2738" t="s">
        <v>515</v>
      </c>
      <c r="Y2738" t="s">
        <v>2836</v>
      </c>
      <c r="Z2738" t="s">
        <v>32</v>
      </c>
      <c r="AA2738" t="s">
        <v>30979</v>
      </c>
      <c r="AB2738" t="s">
        <v>30980</v>
      </c>
      <c r="AC2738" t="s">
        <v>30981</v>
      </c>
      <c r="AD2738" t="s">
        <v>1027</v>
      </c>
      <c r="AE2738" t="s">
        <v>30982</v>
      </c>
      <c r="AF2738" t="s">
        <v>46835</v>
      </c>
    </row>
    <row r="2739" spans="1:32" x14ac:dyDescent="0.2">
      <c r="A2739">
        <v>2734</v>
      </c>
      <c r="B2739" t="s">
        <v>30983</v>
      </c>
      <c r="C2739" t="s">
        <v>30984</v>
      </c>
      <c r="D2739" t="s">
        <v>30985</v>
      </c>
      <c r="E2739" t="s">
        <v>30986</v>
      </c>
      <c r="F2739" t="s">
        <v>30987</v>
      </c>
      <c r="G2739" t="s">
        <v>30988</v>
      </c>
      <c r="H2739" t="str">
        <f>"Gpd2"</f>
        <v>Gpd2</v>
      </c>
      <c r="I2739" t="s">
        <v>30989</v>
      </c>
      <c r="J2739" t="s">
        <v>37</v>
      </c>
      <c r="K2739">
        <v>10090</v>
      </c>
      <c r="L2739" s="3" t="str">
        <f>HYPERLINK("http://www.uniprot.org/uniprot/Q64521", "Q64521")</f>
        <v>Q64521</v>
      </c>
      <c r="M2739" t="s">
        <v>30990</v>
      </c>
      <c r="N2739" t="str">
        <f>"Gpd2"</f>
        <v>Gpd2</v>
      </c>
      <c r="O2739" s="3" t="str">
        <f>HYPERLINK("http://www.informatics.jax.org/marker/MGI:99778", "MGI:99778")</f>
        <v>MGI:99778</v>
      </c>
      <c r="P2739" t="s">
        <v>30991</v>
      </c>
      <c r="Q2739" t="s">
        <v>32</v>
      </c>
      <c r="R2739" t="s">
        <v>3858</v>
      </c>
      <c r="S2739" t="s">
        <v>32</v>
      </c>
      <c r="T2739" t="s">
        <v>32</v>
      </c>
      <c r="U2739" t="s">
        <v>32</v>
      </c>
      <c r="V2739" t="s">
        <v>6597</v>
      </c>
      <c r="W2739" t="s">
        <v>30992</v>
      </c>
      <c r="X2739" t="s">
        <v>600</v>
      </c>
      <c r="Y2739" t="s">
        <v>618</v>
      </c>
      <c r="Z2739" t="s">
        <v>32</v>
      </c>
      <c r="AA2739" t="s">
        <v>30993</v>
      </c>
      <c r="AB2739" t="s">
        <v>30994</v>
      </c>
      <c r="AC2739" t="s">
        <v>30995</v>
      </c>
      <c r="AD2739" t="s">
        <v>30996</v>
      </c>
      <c r="AE2739" t="s">
        <v>30997</v>
      </c>
      <c r="AF2739" t="s">
        <v>46835</v>
      </c>
    </row>
    <row r="2740" spans="1:32" x14ac:dyDescent="0.2">
      <c r="A2740">
        <v>2735</v>
      </c>
      <c r="B2740" t="s">
        <v>30998</v>
      </c>
      <c r="C2740" t="s">
        <v>30999</v>
      </c>
      <c r="D2740" t="s">
        <v>31000</v>
      </c>
      <c r="E2740" t="s">
        <v>31001</v>
      </c>
      <c r="F2740" t="s">
        <v>31002</v>
      </c>
      <c r="G2740" t="s">
        <v>31003</v>
      </c>
      <c r="H2740" t="str">
        <f>"Dhdh"</f>
        <v>Dhdh</v>
      </c>
      <c r="I2740" t="s">
        <v>32</v>
      </c>
      <c r="J2740" t="s">
        <v>37</v>
      </c>
      <c r="K2740">
        <v>10090</v>
      </c>
      <c r="L2740" s="3" t="str">
        <f>HYPERLINK("http://www.uniprot.org/uniprot/Q9DBB8", "Q9DBB8")</f>
        <v>Q9DBB8</v>
      </c>
      <c r="M2740" t="s">
        <v>31004</v>
      </c>
      <c r="N2740" t="str">
        <f>"Dhdh"</f>
        <v>Dhdh</v>
      </c>
      <c r="O2740" s="3" t="str">
        <f>HYPERLINK("http://www.informatics.jax.org/marker/MGI:1919005", "MGI:1919005")</f>
        <v>MGI:1919005</v>
      </c>
      <c r="P2740" t="s">
        <v>31005</v>
      </c>
      <c r="Q2740" t="s">
        <v>32</v>
      </c>
      <c r="R2740" t="s">
        <v>32</v>
      </c>
      <c r="S2740" t="s">
        <v>32</v>
      </c>
      <c r="T2740" t="s">
        <v>32</v>
      </c>
      <c r="U2740" t="s">
        <v>32</v>
      </c>
      <c r="V2740" t="s">
        <v>32</v>
      </c>
      <c r="W2740" t="s">
        <v>3204</v>
      </c>
      <c r="X2740" t="s">
        <v>600</v>
      </c>
      <c r="Y2740" t="s">
        <v>32</v>
      </c>
      <c r="Z2740" t="s">
        <v>32</v>
      </c>
      <c r="AA2740" t="s">
        <v>31006</v>
      </c>
      <c r="AB2740" t="s">
        <v>32</v>
      </c>
      <c r="AC2740" t="s">
        <v>31007</v>
      </c>
      <c r="AD2740" t="s">
        <v>32</v>
      </c>
      <c r="AE2740" t="s">
        <v>32</v>
      </c>
      <c r="AF2740" t="s">
        <v>46835</v>
      </c>
    </row>
    <row r="2741" spans="1:32" x14ac:dyDescent="0.2">
      <c r="A2741">
        <v>2736</v>
      </c>
      <c r="B2741" t="s">
        <v>31008</v>
      </c>
      <c r="C2741" t="s">
        <v>31009</v>
      </c>
      <c r="D2741" t="s">
        <v>31010</v>
      </c>
      <c r="E2741" t="s">
        <v>31011</v>
      </c>
      <c r="F2741" t="s">
        <v>31012</v>
      </c>
      <c r="G2741" t="s">
        <v>31013</v>
      </c>
      <c r="H2741" t="str">
        <f>"Hccs"</f>
        <v>Hccs</v>
      </c>
      <c r="I2741" t="s">
        <v>31014</v>
      </c>
      <c r="J2741" t="s">
        <v>37</v>
      </c>
      <c r="K2741">
        <v>10090</v>
      </c>
      <c r="L2741" s="3" t="str">
        <f>HYPERLINK("http://www.uniprot.org/uniprot/P53702", "P53702")</f>
        <v>P53702</v>
      </c>
      <c r="M2741" t="s">
        <v>31015</v>
      </c>
      <c r="N2741" t="str">
        <f>"Hccs"</f>
        <v>Hccs</v>
      </c>
      <c r="O2741" s="3" t="str">
        <f>HYPERLINK("http://www.informatics.jax.org/marker/MGI:106911", "MGI:106911")</f>
        <v>MGI:106911</v>
      </c>
      <c r="P2741" t="s">
        <v>31016</v>
      </c>
      <c r="Q2741" t="s">
        <v>32</v>
      </c>
      <c r="R2741" t="s">
        <v>3858</v>
      </c>
      <c r="S2741" t="s">
        <v>32</v>
      </c>
      <c r="T2741" t="s">
        <v>32</v>
      </c>
      <c r="U2741" t="s">
        <v>32</v>
      </c>
      <c r="V2741" t="s">
        <v>55</v>
      </c>
      <c r="W2741" t="s">
        <v>6053</v>
      </c>
      <c r="X2741" t="s">
        <v>224</v>
      </c>
      <c r="Y2741" t="s">
        <v>15432</v>
      </c>
      <c r="Z2741" t="s">
        <v>32</v>
      </c>
      <c r="AA2741" t="s">
        <v>31017</v>
      </c>
      <c r="AB2741" t="s">
        <v>31018</v>
      </c>
      <c r="AC2741" t="s">
        <v>31019</v>
      </c>
      <c r="AD2741" t="s">
        <v>32</v>
      </c>
      <c r="AE2741" t="s">
        <v>32</v>
      </c>
      <c r="AF2741" t="s">
        <v>46835</v>
      </c>
    </row>
    <row r="2742" spans="1:32" x14ac:dyDescent="0.2">
      <c r="A2742">
        <v>2737</v>
      </c>
      <c r="B2742" t="s">
        <v>31020</v>
      </c>
      <c r="C2742" t="s">
        <v>31021</v>
      </c>
      <c r="D2742" t="s">
        <v>31022</v>
      </c>
      <c r="E2742" t="s">
        <v>31023</v>
      </c>
      <c r="F2742" t="s">
        <v>31024</v>
      </c>
      <c r="G2742" t="s">
        <v>31025</v>
      </c>
      <c r="H2742" t="str">
        <f>"Abat"</f>
        <v>Abat</v>
      </c>
      <c r="I2742" t="s">
        <v>31026</v>
      </c>
      <c r="J2742" t="s">
        <v>37</v>
      </c>
      <c r="K2742">
        <v>10090</v>
      </c>
      <c r="L2742" s="3" t="str">
        <f>HYPERLINK("http://www.uniprot.org/uniprot/P61922", "P61922")</f>
        <v>P61922</v>
      </c>
      <c r="M2742" t="s">
        <v>31027</v>
      </c>
      <c r="N2742" t="str">
        <f>"Abat"</f>
        <v>Abat</v>
      </c>
      <c r="O2742" s="3" t="str">
        <f>HYPERLINK("http://www.informatics.jax.org/marker/MGI:2443582", "MGI:2443582")</f>
        <v>MGI:2443582</v>
      </c>
      <c r="P2742" t="s">
        <v>31028</v>
      </c>
      <c r="Q2742" t="s">
        <v>31029</v>
      </c>
      <c r="R2742" t="s">
        <v>1038</v>
      </c>
      <c r="S2742" t="s">
        <v>41</v>
      </c>
      <c r="T2742" t="s">
        <v>32</v>
      </c>
      <c r="U2742" t="s">
        <v>32</v>
      </c>
      <c r="V2742" t="s">
        <v>1039</v>
      </c>
      <c r="W2742" t="s">
        <v>31030</v>
      </c>
      <c r="X2742" t="s">
        <v>3374</v>
      </c>
      <c r="Y2742" t="s">
        <v>8737</v>
      </c>
      <c r="Z2742" t="s">
        <v>32</v>
      </c>
      <c r="AA2742" t="s">
        <v>31031</v>
      </c>
      <c r="AB2742" t="s">
        <v>31032</v>
      </c>
      <c r="AC2742" t="s">
        <v>31033</v>
      </c>
      <c r="AD2742" t="s">
        <v>32</v>
      </c>
      <c r="AE2742" t="s">
        <v>31034</v>
      </c>
      <c r="AF2742" t="s">
        <v>46835</v>
      </c>
    </row>
    <row r="2743" spans="1:32" x14ac:dyDescent="0.2">
      <c r="A2743">
        <v>2738</v>
      </c>
      <c r="B2743" t="s">
        <v>31035</v>
      </c>
      <c r="C2743" t="s">
        <v>31036</v>
      </c>
      <c r="D2743" t="s">
        <v>32</v>
      </c>
      <c r="E2743" t="s">
        <v>31037</v>
      </c>
      <c r="F2743" t="s">
        <v>31038</v>
      </c>
      <c r="G2743" t="s">
        <v>31039</v>
      </c>
      <c r="H2743" t="str">
        <f>"Arfgap3"</f>
        <v>Arfgap3</v>
      </c>
      <c r="I2743" t="s">
        <v>32</v>
      </c>
      <c r="J2743" t="s">
        <v>37</v>
      </c>
      <c r="K2743">
        <v>10090</v>
      </c>
      <c r="L2743" s="3" t="str">
        <f>HYPERLINK("http://www.uniprot.org/uniprot/Q9D8S3", "Q9D8S3")</f>
        <v>Q9D8S3</v>
      </c>
      <c r="M2743" t="s">
        <v>31040</v>
      </c>
      <c r="N2743" t="str">
        <f>"Arfgap3"</f>
        <v>Arfgap3</v>
      </c>
      <c r="O2743" s="3" t="str">
        <f>HYPERLINK("http://www.informatics.jax.org/marker/MGI:1913501", "MGI:1913501")</f>
        <v>MGI:1913501</v>
      </c>
      <c r="P2743" t="s">
        <v>31041</v>
      </c>
      <c r="Q2743" t="s">
        <v>2916</v>
      </c>
      <c r="R2743" t="s">
        <v>7998</v>
      </c>
      <c r="S2743" t="s">
        <v>32</v>
      </c>
      <c r="T2743" t="s">
        <v>32</v>
      </c>
      <c r="U2743" t="s">
        <v>32</v>
      </c>
      <c r="V2743" t="s">
        <v>446</v>
      </c>
      <c r="W2743" t="s">
        <v>42</v>
      </c>
      <c r="X2743" t="s">
        <v>715</v>
      </c>
      <c r="Y2743" t="s">
        <v>618</v>
      </c>
      <c r="Z2743" t="s">
        <v>32</v>
      </c>
      <c r="AA2743" t="s">
        <v>31042</v>
      </c>
      <c r="AB2743" t="s">
        <v>31043</v>
      </c>
      <c r="AC2743" t="s">
        <v>20628</v>
      </c>
      <c r="AD2743" t="s">
        <v>32</v>
      </c>
      <c r="AE2743" t="s">
        <v>31044</v>
      </c>
      <c r="AF2743" t="s">
        <v>46835</v>
      </c>
    </row>
    <row r="2744" spans="1:32" x14ac:dyDescent="0.2">
      <c r="A2744">
        <v>2739</v>
      </c>
      <c r="B2744" t="s">
        <v>31045</v>
      </c>
      <c r="C2744" t="s">
        <v>31046</v>
      </c>
      <c r="D2744" t="s">
        <v>31047</v>
      </c>
      <c r="E2744" t="s">
        <v>31048</v>
      </c>
      <c r="F2744" t="s">
        <v>31049</v>
      </c>
      <c r="G2744" t="s">
        <v>31050</v>
      </c>
      <c r="H2744" t="str">
        <f>"Lamtor5"</f>
        <v>Lamtor5</v>
      </c>
      <c r="I2744" t="s">
        <v>31051</v>
      </c>
      <c r="J2744" t="s">
        <v>37</v>
      </c>
      <c r="K2744">
        <v>10090</v>
      </c>
      <c r="L2744" s="3" t="str">
        <f>HYPERLINK("http://www.uniprot.org/uniprot/Q9D1L9", "Q9D1L9")</f>
        <v>Q9D1L9</v>
      </c>
      <c r="M2744" t="s">
        <v>31052</v>
      </c>
      <c r="N2744" t="str">
        <f>"Lamtor5"</f>
        <v>Lamtor5</v>
      </c>
      <c r="O2744" s="3" t="str">
        <f>HYPERLINK("http://www.informatics.jax.org/marker/MGI:1915826", "MGI:1915826")</f>
        <v>MGI:1915826</v>
      </c>
      <c r="P2744" t="s">
        <v>31053</v>
      </c>
      <c r="Q2744" t="s">
        <v>32</v>
      </c>
      <c r="R2744" t="s">
        <v>4810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32</v>
      </c>
      <c r="Y2744" t="s">
        <v>78</v>
      </c>
      <c r="Z2744" t="s">
        <v>32</v>
      </c>
      <c r="AA2744" t="s">
        <v>31054</v>
      </c>
      <c r="AB2744" t="s">
        <v>31055</v>
      </c>
      <c r="AC2744" t="s">
        <v>31056</v>
      </c>
      <c r="AD2744" t="s">
        <v>32</v>
      </c>
      <c r="AE2744" t="s">
        <v>18987</v>
      </c>
      <c r="AF2744" t="s">
        <v>46835</v>
      </c>
    </row>
    <row r="2745" spans="1:32" x14ac:dyDescent="0.2">
      <c r="A2745">
        <v>2740</v>
      </c>
      <c r="B2745" t="s">
        <v>31057</v>
      </c>
      <c r="C2745" t="s">
        <v>31058</v>
      </c>
      <c r="D2745" t="s">
        <v>32</v>
      </c>
      <c r="E2745" t="s">
        <v>31059</v>
      </c>
      <c r="F2745" t="s">
        <v>31060</v>
      </c>
      <c r="G2745" t="s">
        <v>31061</v>
      </c>
      <c r="H2745" t="str">
        <f>"Arxes1"</f>
        <v>Arxes1</v>
      </c>
      <c r="I2745" t="s">
        <v>32</v>
      </c>
      <c r="J2745" t="s">
        <v>37</v>
      </c>
      <c r="K2745">
        <v>10090</v>
      </c>
      <c r="L2745" s="3" t="str">
        <f>HYPERLINK("http://www.uniprot.org/uniprot/C0HK79", "C0HK79")</f>
        <v>C0HK79</v>
      </c>
      <c r="M2745" t="s">
        <v>31062</v>
      </c>
      <c r="N2745" t="str">
        <f>"Arxes1"</f>
        <v>Arxes1</v>
      </c>
      <c r="O2745" s="3" t="str">
        <f>HYPERLINK("http://www.informatics.jax.org/marker/MGI:1923469", "MGI:1923469")</f>
        <v>MGI:1923469</v>
      </c>
      <c r="P2745" t="s">
        <v>31063</v>
      </c>
      <c r="Q2745" t="s">
        <v>32</v>
      </c>
      <c r="R2745" t="s">
        <v>1664</v>
      </c>
      <c r="S2745" t="s">
        <v>32</v>
      </c>
      <c r="T2745" t="s">
        <v>32</v>
      </c>
      <c r="U2745" t="s">
        <v>32</v>
      </c>
      <c r="V2745" t="s">
        <v>1550</v>
      </c>
      <c r="W2745" t="s">
        <v>32</v>
      </c>
      <c r="X2745" t="s">
        <v>32</v>
      </c>
      <c r="Y2745" t="s">
        <v>3733</v>
      </c>
      <c r="Z2745" t="s">
        <v>32</v>
      </c>
      <c r="AA2745" t="s">
        <v>31064</v>
      </c>
      <c r="AB2745" t="s">
        <v>31065</v>
      </c>
      <c r="AC2745" t="s">
        <v>32</v>
      </c>
      <c r="AD2745" t="s">
        <v>32</v>
      </c>
      <c r="AE2745" t="s">
        <v>32</v>
      </c>
      <c r="AF2745" t="s">
        <v>46835</v>
      </c>
    </row>
    <row r="2746" spans="1:32" x14ac:dyDescent="0.2">
      <c r="A2746">
        <v>2741</v>
      </c>
      <c r="B2746" t="s">
        <v>31066</v>
      </c>
      <c r="C2746" t="s">
        <v>31067</v>
      </c>
      <c r="D2746" t="s">
        <v>32</v>
      </c>
      <c r="E2746" t="s">
        <v>31068</v>
      </c>
      <c r="F2746" t="s">
        <v>31069</v>
      </c>
      <c r="G2746" t="s">
        <v>31070</v>
      </c>
      <c r="H2746" t="str">
        <f>"Gltp"</f>
        <v>Gltp</v>
      </c>
      <c r="I2746" t="s">
        <v>32</v>
      </c>
      <c r="J2746" t="s">
        <v>37</v>
      </c>
      <c r="K2746">
        <v>10090</v>
      </c>
      <c r="L2746" s="3" t="str">
        <f>HYPERLINK("http://www.uniprot.org/uniprot/Q9JL62", "Q9JL62")</f>
        <v>Q9JL62</v>
      </c>
      <c r="M2746" t="s">
        <v>31071</v>
      </c>
      <c r="N2746" t="str">
        <f>"Gltp"</f>
        <v>Gltp</v>
      </c>
      <c r="O2746" s="3" t="str">
        <f>HYPERLINK("http://www.informatics.jax.org/marker/MGI:1929253", "MGI:1929253")</f>
        <v>MGI:1929253</v>
      </c>
      <c r="P2746" t="s">
        <v>31072</v>
      </c>
      <c r="Q2746" t="s">
        <v>582</v>
      </c>
      <c r="R2746" t="s">
        <v>418</v>
      </c>
      <c r="S2746" t="s">
        <v>32</v>
      </c>
      <c r="T2746" t="s">
        <v>32</v>
      </c>
      <c r="U2746" t="s">
        <v>32</v>
      </c>
      <c r="V2746" t="s">
        <v>55</v>
      </c>
      <c r="W2746" t="s">
        <v>32</v>
      </c>
      <c r="X2746" t="s">
        <v>32</v>
      </c>
      <c r="Y2746" t="s">
        <v>78</v>
      </c>
      <c r="Z2746" t="s">
        <v>32</v>
      </c>
      <c r="AA2746" t="s">
        <v>31073</v>
      </c>
      <c r="AB2746" t="s">
        <v>1268</v>
      </c>
      <c r="AC2746" t="s">
        <v>31074</v>
      </c>
      <c r="AD2746" t="s">
        <v>32</v>
      </c>
      <c r="AE2746" t="s">
        <v>30003</v>
      </c>
      <c r="AF2746" t="s">
        <v>46835</v>
      </c>
    </row>
    <row r="2747" spans="1:32" x14ac:dyDescent="0.2">
      <c r="A2747">
        <v>2742</v>
      </c>
      <c r="B2747" t="s">
        <v>31075</v>
      </c>
      <c r="C2747" t="s">
        <v>31076</v>
      </c>
      <c r="D2747" t="s">
        <v>32</v>
      </c>
      <c r="E2747" t="s">
        <v>31077</v>
      </c>
      <c r="F2747" t="s">
        <v>31078</v>
      </c>
      <c r="G2747" t="s">
        <v>31079</v>
      </c>
      <c r="H2747" t="str">
        <f>"Psmf1"</f>
        <v>Psmf1</v>
      </c>
      <c r="I2747" t="s">
        <v>32</v>
      </c>
      <c r="J2747" t="s">
        <v>37</v>
      </c>
      <c r="K2747">
        <v>10090</v>
      </c>
      <c r="L2747" s="3" t="str">
        <f>HYPERLINK("http://www.uniprot.org/uniprot/Q8BHL8", "Q8BHL8")</f>
        <v>Q8BHL8</v>
      </c>
      <c r="M2747" t="s">
        <v>31080</v>
      </c>
      <c r="N2747" t="str">
        <f>"Psmf1"</f>
        <v>Psmf1</v>
      </c>
      <c r="O2747" s="3" t="str">
        <f>HYPERLINK("http://www.informatics.jax.org/marker/MGI:1346072", "MGI:1346072")</f>
        <v>MGI:1346072</v>
      </c>
      <c r="P2747" t="s">
        <v>31081</v>
      </c>
      <c r="Q2747" t="s">
        <v>32</v>
      </c>
      <c r="R2747" t="s">
        <v>31082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32</v>
      </c>
      <c r="Y2747" t="s">
        <v>97</v>
      </c>
      <c r="Z2747" t="s">
        <v>32</v>
      </c>
      <c r="AA2747" t="s">
        <v>31083</v>
      </c>
      <c r="AB2747" t="s">
        <v>31084</v>
      </c>
      <c r="AC2747" t="s">
        <v>31085</v>
      </c>
      <c r="AD2747" t="s">
        <v>32</v>
      </c>
      <c r="AE2747" t="s">
        <v>2774</v>
      </c>
      <c r="AF2747" t="s">
        <v>46835</v>
      </c>
    </row>
    <row r="2748" spans="1:32" x14ac:dyDescent="0.2">
      <c r="A2748">
        <v>2743</v>
      </c>
      <c r="B2748" t="s">
        <v>31086</v>
      </c>
      <c r="C2748" t="s">
        <v>31087</v>
      </c>
      <c r="D2748" t="s">
        <v>31088</v>
      </c>
      <c r="E2748" t="s">
        <v>31089</v>
      </c>
      <c r="F2748" t="s">
        <v>31090</v>
      </c>
      <c r="G2748" t="s">
        <v>32</v>
      </c>
      <c r="H2748" t="str">
        <f>"Mavs"</f>
        <v>Mavs</v>
      </c>
      <c r="I2748" t="s">
        <v>32</v>
      </c>
      <c r="J2748" t="s">
        <v>37</v>
      </c>
      <c r="K2748">
        <v>10090</v>
      </c>
      <c r="L2748" s="3" t="str">
        <f>HYPERLINK("http://www.uniprot.org/uniprot/Q8VCF0", "Q8VCF0")</f>
        <v>Q8VCF0</v>
      </c>
      <c r="M2748" t="s">
        <v>31091</v>
      </c>
      <c r="N2748" t="str">
        <f>"Mavs"</f>
        <v>Mavs</v>
      </c>
      <c r="O2748" s="3" t="str">
        <f>HYPERLINK("http://www.informatics.jax.org/marker/MGI:2444773", "MGI:2444773")</f>
        <v>MGI:2444773</v>
      </c>
      <c r="P2748" t="s">
        <v>31092</v>
      </c>
      <c r="Q2748" t="s">
        <v>8548</v>
      </c>
      <c r="R2748" t="s">
        <v>15367</v>
      </c>
      <c r="S2748" t="s">
        <v>32</v>
      </c>
      <c r="T2748" t="s">
        <v>32</v>
      </c>
      <c r="U2748" t="s">
        <v>32</v>
      </c>
      <c r="V2748" t="s">
        <v>493</v>
      </c>
      <c r="W2748" t="s">
        <v>32</v>
      </c>
      <c r="X2748" t="s">
        <v>32</v>
      </c>
      <c r="Y2748" t="s">
        <v>18842</v>
      </c>
      <c r="Z2748" t="s">
        <v>126</v>
      </c>
      <c r="AA2748" t="s">
        <v>31093</v>
      </c>
      <c r="AB2748" t="s">
        <v>31094</v>
      </c>
      <c r="AC2748" t="s">
        <v>31095</v>
      </c>
      <c r="AD2748" t="s">
        <v>32</v>
      </c>
      <c r="AE2748" t="s">
        <v>31096</v>
      </c>
      <c r="AF2748" t="s">
        <v>46835</v>
      </c>
    </row>
    <row r="2749" spans="1:32" x14ac:dyDescent="0.2">
      <c r="A2749">
        <v>2744</v>
      </c>
      <c r="B2749" t="s">
        <v>31097</v>
      </c>
      <c r="C2749" t="s">
        <v>31098</v>
      </c>
      <c r="D2749" t="s">
        <v>31099</v>
      </c>
      <c r="E2749" t="s">
        <v>31100</v>
      </c>
      <c r="F2749" t="s">
        <v>31101</v>
      </c>
      <c r="G2749" t="s">
        <v>31102</v>
      </c>
      <c r="H2749" t="str">
        <f>"Tbl1x"</f>
        <v>Tbl1x</v>
      </c>
      <c r="I2749" t="s">
        <v>31103</v>
      </c>
      <c r="J2749" t="s">
        <v>37</v>
      </c>
      <c r="K2749">
        <v>10090</v>
      </c>
      <c r="L2749" s="3" t="str">
        <f>HYPERLINK("http://www.uniprot.org/uniprot/Q9QXE7", "Q9QXE7")</f>
        <v>Q9QXE7</v>
      </c>
      <c r="M2749" t="s">
        <v>31104</v>
      </c>
      <c r="N2749" t="str">
        <f>"Tbl1x"</f>
        <v>Tbl1x</v>
      </c>
      <c r="O2749" s="3" t="str">
        <f>HYPERLINK("http://www.informatics.jax.org/marker/MGI:1336172", "MGI:1336172")</f>
        <v>MGI:1336172</v>
      </c>
      <c r="P2749" t="s">
        <v>31105</v>
      </c>
      <c r="Q2749" t="s">
        <v>2278</v>
      </c>
      <c r="R2749" t="s">
        <v>2279</v>
      </c>
      <c r="S2749" t="s">
        <v>32</v>
      </c>
      <c r="T2749" t="s">
        <v>32</v>
      </c>
      <c r="U2749" t="s">
        <v>32</v>
      </c>
      <c r="V2749" t="s">
        <v>1910</v>
      </c>
      <c r="W2749" t="s">
        <v>32</v>
      </c>
      <c r="X2749" t="s">
        <v>2602</v>
      </c>
      <c r="Y2749" t="s">
        <v>461</v>
      </c>
      <c r="Z2749" t="s">
        <v>32</v>
      </c>
      <c r="AA2749" t="s">
        <v>31106</v>
      </c>
      <c r="AB2749" t="s">
        <v>31107</v>
      </c>
      <c r="AC2749" t="s">
        <v>31108</v>
      </c>
      <c r="AD2749" t="s">
        <v>32</v>
      </c>
      <c r="AE2749" t="s">
        <v>31109</v>
      </c>
      <c r="AF2749" t="s">
        <v>46835</v>
      </c>
    </row>
    <row r="2750" spans="1:32" x14ac:dyDescent="0.2">
      <c r="A2750">
        <v>2745</v>
      </c>
      <c r="B2750" t="s">
        <v>31110</v>
      </c>
      <c r="C2750" t="s">
        <v>31111</v>
      </c>
      <c r="D2750" t="s">
        <v>31112</v>
      </c>
      <c r="E2750" t="s">
        <v>31113</v>
      </c>
      <c r="F2750" t="s">
        <v>31114</v>
      </c>
      <c r="G2750" t="s">
        <v>31115</v>
      </c>
      <c r="H2750" t="str">
        <f>"Suco"</f>
        <v>Suco</v>
      </c>
      <c r="I2750" t="s">
        <v>31116</v>
      </c>
      <c r="J2750" t="s">
        <v>37</v>
      </c>
      <c r="K2750">
        <v>10090</v>
      </c>
      <c r="L2750" s="3" t="str">
        <f>HYPERLINK("http://www.uniprot.org/uniprot/Q8C341", "Q8C341")</f>
        <v>Q8C341</v>
      </c>
      <c r="M2750" t="s">
        <v>31117</v>
      </c>
      <c r="N2750" t="str">
        <f>"Suco"</f>
        <v>Suco</v>
      </c>
      <c r="O2750" s="3" t="str">
        <f>HYPERLINK("http://www.informatics.jax.org/marker/MGI:2138346", "MGI:2138346")</f>
        <v>MGI:2138346</v>
      </c>
      <c r="P2750" t="s">
        <v>31118</v>
      </c>
      <c r="Q2750" t="s">
        <v>31119</v>
      </c>
      <c r="R2750" t="s">
        <v>1664</v>
      </c>
      <c r="S2750" t="s">
        <v>41</v>
      </c>
      <c r="T2750" t="s">
        <v>32</v>
      </c>
      <c r="U2750" t="s">
        <v>32</v>
      </c>
      <c r="V2750" t="s">
        <v>15639</v>
      </c>
      <c r="W2750" t="s">
        <v>32</v>
      </c>
      <c r="X2750" t="s">
        <v>2029</v>
      </c>
      <c r="Y2750" t="s">
        <v>4720</v>
      </c>
      <c r="Z2750" t="s">
        <v>32</v>
      </c>
      <c r="AA2750" t="s">
        <v>31120</v>
      </c>
      <c r="AB2750" t="s">
        <v>31121</v>
      </c>
      <c r="AC2750" t="s">
        <v>32</v>
      </c>
      <c r="AD2750" t="s">
        <v>32</v>
      </c>
      <c r="AE2750" t="s">
        <v>32</v>
      </c>
      <c r="AF2750" t="s">
        <v>46835</v>
      </c>
    </row>
    <row r="2751" spans="1:32" x14ac:dyDescent="0.2">
      <c r="A2751">
        <v>2746</v>
      </c>
      <c r="B2751" t="s">
        <v>31122</v>
      </c>
      <c r="C2751" t="s">
        <v>31123</v>
      </c>
      <c r="D2751" t="s">
        <v>31124</v>
      </c>
      <c r="E2751" t="s">
        <v>31125</v>
      </c>
      <c r="F2751" t="s">
        <v>31126</v>
      </c>
      <c r="G2751" t="s">
        <v>31127</v>
      </c>
      <c r="H2751" t="str">
        <f>"Relch"</f>
        <v>Relch</v>
      </c>
      <c r="I2751" t="s">
        <v>31128</v>
      </c>
      <c r="J2751" t="s">
        <v>37</v>
      </c>
      <c r="K2751">
        <v>10090</v>
      </c>
      <c r="L2751" s="3" t="str">
        <f>HYPERLINK("http://www.uniprot.org/uniprot/Q148V7", "Q148V7")</f>
        <v>Q148V7</v>
      </c>
      <c r="M2751" t="s">
        <v>31129</v>
      </c>
      <c r="N2751" t="str">
        <f>"Relch"</f>
        <v>Relch</v>
      </c>
      <c r="O2751" s="3" t="str">
        <f>HYPERLINK("http://www.informatics.jax.org/marker/MGI:1922832", "MGI:1922832")</f>
        <v>MGI:1922832</v>
      </c>
      <c r="P2751" t="s">
        <v>31130</v>
      </c>
      <c r="Q2751" t="s">
        <v>582</v>
      </c>
      <c r="R2751" t="s">
        <v>31131</v>
      </c>
      <c r="S2751" t="s">
        <v>41</v>
      </c>
      <c r="T2751" t="s">
        <v>32</v>
      </c>
      <c r="U2751" t="s">
        <v>32</v>
      </c>
      <c r="V2751" t="s">
        <v>137</v>
      </c>
      <c r="W2751" t="s">
        <v>32</v>
      </c>
      <c r="X2751" t="s">
        <v>32</v>
      </c>
      <c r="Y2751" t="s">
        <v>157</v>
      </c>
      <c r="Z2751" t="s">
        <v>32</v>
      </c>
      <c r="AA2751" t="s">
        <v>31132</v>
      </c>
      <c r="AB2751" t="s">
        <v>31133</v>
      </c>
      <c r="AC2751" t="s">
        <v>32</v>
      </c>
      <c r="AD2751" t="s">
        <v>32</v>
      </c>
      <c r="AE2751" t="s">
        <v>32</v>
      </c>
      <c r="AF2751" t="s">
        <v>46835</v>
      </c>
    </row>
    <row r="2752" spans="1:32" x14ac:dyDescent="0.2">
      <c r="A2752">
        <v>2747</v>
      </c>
      <c r="B2752" t="s">
        <v>31134</v>
      </c>
      <c r="C2752" t="s">
        <v>31135</v>
      </c>
      <c r="D2752" t="s">
        <v>31136</v>
      </c>
      <c r="E2752" t="s">
        <v>31137</v>
      </c>
      <c r="F2752" t="s">
        <v>31138</v>
      </c>
      <c r="G2752" t="s">
        <v>31139</v>
      </c>
      <c r="H2752" t="str">
        <f>"Vcpip1"</f>
        <v>Vcpip1</v>
      </c>
      <c r="I2752" t="s">
        <v>32</v>
      </c>
      <c r="J2752" t="s">
        <v>37</v>
      </c>
      <c r="K2752">
        <v>10090</v>
      </c>
      <c r="L2752" s="3" t="str">
        <f>HYPERLINK("http://www.uniprot.org/uniprot/Q8CDG3", "Q8CDG3")</f>
        <v>Q8CDG3</v>
      </c>
      <c r="M2752" t="s">
        <v>31140</v>
      </c>
      <c r="N2752" t="str">
        <f>"Vcpip1"</f>
        <v>Vcpip1</v>
      </c>
      <c r="O2752" s="3" t="str">
        <f>HYPERLINK("http://www.informatics.jax.org/marker/MGI:1917925", "MGI:1917925")</f>
        <v>MGI:1917925</v>
      </c>
      <c r="P2752" t="s">
        <v>31141</v>
      </c>
      <c r="Q2752" t="s">
        <v>3400</v>
      </c>
      <c r="R2752" t="s">
        <v>31142</v>
      </c>
      <c r="S2752" t="s">
        <v>41</v>
      </c>
      <c r="T2752" t="s">
        <v>32</v>
      </c>
      <c r="U2752" t="s">
        <v>32</v>
      </c>
      <c r="V2752" t="s">
        <v>32</v>
      </c>
      <c r="W2752" t="s">
        <v>32</v>
      </c>
      <c r="X2752" t="s">
        <v>557</v>
      </c>
      <c r="Y2752" t="s">
        <v>157</v>
      </c>
      <c r="Z2752" t="s">
        <v>32</v>
      </c>
      <c r="AA2752" t="s">
        <v>31143</v>
      </c>
      <c r="AB2752" t="s">
        <v>31144</v>
      </c>
      <c r="AC2752" t="s">
        <v>31145</v>
      </c>
      <c r="AD2752" t="s">
        <v>32</v>
      </c>
      <c r="AE2752" t="s">
        <v>31146</v>
      </c>
      <c r="AF2752" t="s">
        <v>46835</v>
      </c>
    </row>
    <row r="2753" spans="1:33" x14ac:dyDescent="0.2">
      <c r="A2753">
        <v>2748</v>
      </c>
      <c r="B2753" t="s">
        <v>31147</v>
      </c>
      <c r="C2753" t="s">
        <v>31148</v>
      </c>
      <c r="D2753" t="s">
        <v>31149</v>
      </c>
      <c r="E2753" t="s">
        <v>31150</v>
      </c>
      <c r="F2753" t="s">
        <v>31151</v>
      </c>
      <c r="G2753" t="s">
        <v>32</v>
      </c>
      <c r="H2753" t="str">
        <f>"Ddr1"</f>
        <v>Ddr1</v>
      </c>
      <c r="I2753" t="s">
        <v>31152</v>
      </c>
      <c r="J2753" t="s">
        <v>37</v>
      </c>
      <c r="K2753">
        <v>10090</v>
      </c>
      <c r="L2753" s="3" t="str">
        <f>HYPERLINK("http://www.uniprot.org/uniprot/Q03146", "Q03146")</f>
        <v>Q03146</v>
      </c>
      <c r="M2753" t="s">
        <v>31153</v>
      </c>
      <c r="N2753" t="str">
        <f>"Ddr1"</f>
        <v>Ddr1</v>
      </c>
      <c r="O2753" s="3" t="str">
        <f>HYPERLINK("http://www.informatics.jax.org/marker/MGI:99216", "MGI:99216")</f>
        <v>MGI:99216</v>
      </c>
      <c r="P2753" t="s">
        <v>31154</v>
      </c>
      <c r="Q2753" t="s">
        <v>31155</v>
      </c>
      <c r="R2753" t="s">
        <v>2474</v>
      </c>
      <c r="S2753" t="s">
        <v>41</v>
      </c>
      <c r="T2753" t="s">
        <v>32</v>
      </c>
      <c r="U2753" t="s">
        <v>32</v>
      </c>
      <c r="V2753" t="s">
        <v>3948</v>
      </c>
      <c r="W2753" t="s">
        <v>9114</v>
      </c>
      <c r="X2753" t="s">
        <v>22288</v>
      </c>
      <c r="Y2753" t="s">
        <v>2865</v>
      </c>
      <c r="Z2753" t="s">
        <v>32</v>
      </c>
      <c r="AA2753" t="s">
        <v>31156</v>
      </c>
      <c r="AB2753" t="s">
        <v>31157</v>
      </c>
      <c r="AC2753" t="s">
        <v>31158</v>
      </c>
      <c r="AD2753" t="s">
        <v>32</v>
      </c>
      <c r="AE2753" t="s">
        <v>31159</v>
      </c>
      <c r="AF2753" t="s">
        <v>46835</v>
      </c>
    </row>
    <row r="2754" spans="1:33" x14ac:dyDescent="0.2">
      <c r="A2754">
        <v>2749</v>
      </c>
      <c r="B2754" t="s">
        <v>31160</v>
      </c>
      <c r="C2754" t="s">
        <v>31161</v>
      </c>
      <c r="D2754" t="s">
        <v>31162</v>
      </c>
      <c r="E2754" t="s">
        <v>31163</v>
      </c>
      <c r="F2754" t="s">
        <v>31164</v>
      </c>
      <c r="G2754" t="s">
        <v>31165</v>
      </c>
      <c r="H2754" t="str">
        <f>"Kyat1"</f>
        <v>Kyat1</v>
      </c>
      <c r="I2754" t="s">
        <v>31166</v>
      </c>
      <c r="J2754" t="s">
        <v>37</v>
      </c>
      <c r="K2754">
        <v>10090</v>
      </c>
      <c r="L2754" s="3" t="str">
        <f>HYPERLINK("http://www.uniprot.org/uniprot/Q8BTY1", "Q8BTY1")</f>
        <v>Q8BTY1</v>
      </c>
      <c r="M2754" t="s">
        <v>31167</v>
      </c>
      <c r="N2754" t="str">
        <f>"Kyat1"</f>
        <v>Kyat1</v>
      </c>
      <c r="O2754" s="3" t="str">
        <f>HYPERLINK("http://www.informatics.jax.org/marker/MGI:1917516", "MGI:1917516")</f>
        <v>MGI:1917516</v>
      </c>
      <c r="P2754" t="s">
        <v>31168</v>
      </c>
      <c r="Q2754" t="s">
        <v>32</v>
      </c>
      <c r="R2754" t="s">
        <v>418</v>
      </c>
      <c r="S2754" t="s">
        <v>32</v>
      </c>
      <c r="T2754" t="s">
        <v>32</v>
      </c>
      <c r="U2754" t="s">
        <v>32</v>
      </c>
      <c r="V2754" t="s">
        <v>32</v>
      </c>
      <c r="W2754" t="s">
        <v>3373</v>
      </c>
      <c r="X2754" t="s">
        <v>31169</v>
      </c>
      <c r="Y2754" t="s">
        <v>32</v>
      </c>
      <c r="Z2754" t="s">
        <v>32</v>
      </c>
      <c r="AA2754" t="s">
        <v>31170</v>
      </c>
      <c r="AB2754" t="s">
        <v>3903</v>
      </c>
      <c r="AC2754" t="s">
        <v>31171</v>
      </c>
      <c r="AD2754" t="s">
        <v>31172</v>
      </c>
      <c r="AE2754" t="s">
        <v>31173</v>
      </c>
      <c r="AF2754" t="s">
        <v>46835</v>
      </c>
    </row>
    <row r="2755" spans="1:33" x14ac:dyDescent="0.2">
      <c r="A2755">
        <v>2750</v>
      </c>
      <c r="B2755" t="s">
        <v>31174</v>
      </c>
      <c r="C2755" t="s">
        <v>31175</v>
      </c>
      <c r="D2755" t="s">
        <v>31176</v>
      </c>
      <c r="E2755" t="s">
        <v>31177</v>
      </c>
      <c r="F2755" t="s">
        <v>31178</v>
      </c>
      <c r="G2755" t="s">
        <v>31179</v>
      </c>
      <c r="H2755" t="str">
        <f>"Slc25a22"</f>
        <v>Slc25a22</v>
      </c>
      <c r="I2755" t="s">
        <v>31180</v>
      </c>
      <c r="J2755" t="s">
        <v>37</v>
      </c>
      <c r="K2755">
        <v>10090</v>
      </c>
      <c r="L2755" s="3" t="str">
        <f>HYPERLINK("http://www.uniprot.org/uniprot/Q9D6M3", "Q9D6M3")</f>
        <v>Q9D6M3</v>
      </c>
      <c r="M2755" t="s">
        <v>31181</v>
      </c>
      <c r="N2755" t="str">
        <f>"Slc25a22"</f>
        <v>Slc25a22</v>
      </c>
      <c r="O2755" s="3" t="str">
        <f>HYPERLINK("http://www.informatics.jax.org/marker/MGI:1915517", "MGI:1915517")</f>
        <v>MGI:1915517</v>
      </c>
      <c r="P2755" t="s">
        <v>31182</v>
      </c>
      <c r="Q2755" t="s">
        <v>6165</v>
      </c>
      <c r="R2755" t="s">
        <v>3858</v>
      </c>
      <c r="S2755" t="s">
        <v>32</v>
      </c>
      <c r="T2755" t="s">
        <v>32</v>
      </c>
      <c r="U2755" t="s">
        <v>32</v>
      </c>
      <c r="V2755" t="s">
        <v>1620</v>
      </c>
      <c r="W2755" t="s">
        <v>32</v>
      </c>
      <c r="X2755" t="s">
        <v>32</v>
      </c>
      <c r="Y2755" t="s">
        <v>32</v>
      </c>
      <c r="Z2755" t="s">
        <v>32</v>
      </c>
      <c r="AA2755" t="s">
        <v>31183</v>
      </c>
      <c r="AB2755" t="s">
        <v>21070</v>
      </c>
      <c r="AC2755" t="s">
        <v>31184</v>
      </c>
      <c r="AD2755" t="s">
        <v>32</v>
      </c>
      <c r="AE2755" t="s">
        <v>31185</v>
      </c>
      <c r="AF2755" t="s">
        <v>46835</v>
      </c>
    </row>
    <row r="2756" spans="1:33" x14ac:dyDescent="0.2">
      <c r="A2756">
        <v>2751</v>
      </c>
      <c r="B2756" t="s">
        <v>31186</v>
      </c>
      <c r="C2756" t="s">
        <v>47155</v>
      </c>
      <c r="D2756" t="s">
        <v>32</v>
      </c>
      <c r="E2756" t="s">
        <v>46992</v>
      </c>
      <c r="F2756" t="s">
        <v>46991</v>
      </c>
      <c r="G2756" t="s">
        <v>32</v>
      </c>
      <c r="H2756" t="s">
        <v>47286</v>
      </c>
      <c r="I2756" t="s">
        <v>32</v>
      </c>
      <c r="J2756" t="s">
        <v>37</v>
      </c>
      <c r="K2756">
        <v>10090</v>
      </c>
      <c r="L2756" s="3" t="str">
        <f>HYPERLINK(CONCATENATE("https://www.uniprot.org/uniprotkb/", AG2756, "/entry"), AG2756)</f>
        <v>Q60876</v>
      </c>
      <c r="M2756" t="s">
        <v>32</v>
      </c>
      <c r="N2756" t="s">
        <v>32</v>
      </c>
      <c r="O2756" s="3" t="s">
        <v>32</v>
      </c>
      <c r="P2756" t="s">
        <v>32</v>
      </c>
      <c r="Q2756" t="s">
        <v>32</v>
      </c>
      <c r="R2756" t="s">
        <v>32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32</v>
      </c>
      <c r="Y2756" t="s">
        <v>32</v>
      </c>
      <c r="Z2756" t="s">
        <v>32</v>
      </c>
      <c r="AA2756" t="s">
        <v>32</v>
      </c>
      <c r="AB2756" t="s">
        <v>32</v>
      </c>
      <c r="AC2756" t="s">
        <v>32</v>
      </c>
      <c r="AD2756" t="s">
        <v>32</v>
      </c>
      <c r="AE2756" t="s">
        <v>32</v>
      </c>
      <c r="AF2756" t="s">
        <v>46835</v>
      </c>
      <c r="AG2756" t="s">
        <v>46991</v>
      </c>
    </row>
    <row r="2757" spans="1:33" x14ac:dyDescent="0.2">
      <c r="A2757">
        <v>2752</v>
      </c>
      <c r="B2757" t="s">
        <v>31187</v>
      </c>
      <c r="C2757" t="s">
        <v>31188</v>
      </c>
      <c r="D2757" t="s">
        <v>31189</v>
      </c>
      <c r="E2757" t="s">
        <v>31190</v>
      </c>
      <c r="F2757" t="s">
        <v>31191</v>
      </c>
      <c r="G2757" t="s">
        <v>31192</v>
      </c>
      <c r="H2757" t="str">
        <f>"Edc3"</f>
        <v>Edc3</v>
      </c>
      <c r="I2757" t="s">
        <v>31193</v>
      </c>
      <c r="J2757" t="s">
        <v>37</v>
      </c>
      <c r="K2757">
        <v>10090</v>
      </c>
      <c r="L2757" s="3" t="str">
        <f>HYPERLINK("http://www.uniprot.org/uniprot/Q8K2D3", "Q8K2D3")</f>
        <v>Q8K2D3</v>
      </c>
      <c r="M2757" t="s">
        <v>31194</v>
      </c>
      <c r="N2757" t="str">
        <f>"Edc3"</f>
        <v>Edc3</v>
      </c>
      <c r="O2757" s="3" t="str">
        <f>HYPERLINK("http://www.informatics.jax.org/marker/MGI:2142951", "MGI:2142951")</f>
        <v>MGI:2142951</v>
      </c>
      <c r="P2757" t="s">
        <v>31195</v>
      </c>
      <c r="Q2757" t="s">
        <v>32</v>
      </c>
      <c r="R2757" t="s">
        <v>418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1282</v>
      </c>
      <c r="Y2757" t="s">
        <v>618</v>
      </c>
      <c r="Z2757" t="s">
        <v>32</v>
      </c>
      <c r="AA2757" t="s">
        <v>31196</v>
      </c>
      <c r="AB2757" t="s">
        <v>31197</v>
      </c>
      <c r="AC2757" t="s">
        <v>31198</v>
      </c>
      <c r="AD2757" t="s">
        <v>32</v>
      </c>
      <c r="AE2757" t="s">
        <v>12225</v>
      </c>
      <c r="AF2757" t="s">
        <v>46835</v>
      </c>
    </row>
    <row r="2758" spans="1:33" x14ac:dyDescent="0.2">
      <c r="A2758">
        <v>2753</v>
      </c>
      <c r="B2758" t="s">
        <v>31199</v>
      </c>
      <c r="C2758" t="s">
        <v>31200</v>
      </c>
      <c r="D2758" t="s">
        <v>31201</v>
      </c>
      <c r="E2758" t="s">
        <v>31202</v>
      </c>
      <c r="F2758" t="s">
        <v>31203</v>
      </c>
      <c r="G2758" t="s">
        <v>31204</v>
      </c>
      <c r="H2758" t="str">
        <f>"Kif3b"</f>
        <v>Kif3b</v>
      </c>
      <c r="I2758" t="s">
        <v>32</v>
      </c>
      <c r="J2758" t="s">
        <v>37</v>
      </c>
      <c r="K2758">
        <v>10090</v>
      </c>
      <c r="L2758" s="3" t="str">
        <f>HYPERLINK("http://www.uniprot.org/uniprot/Q61771", "Q61771")</f>
        <v>Q61771</v>
      </c>
      <c r="M2758" t="s">
        <v>31205</v>
      </c>
      <c r="N2758" t="str">
        <f>"Kif3b"</f>
        <v>Kif3b</v>
      </c>
      <c r="O2758" s="3" t="str">
        <f>HYPERLINK("http://www.informatics.jax.org/marker/MGI:107688", "MGI:107688")</f>
        <v>MGI:107688</v>
      </c>
      <c r="P2758" t="s">
        <v>31206</v>
      </c>
      <c r="Q2758" t="s">
        <v>32</v>
      </c>
      <c r="R2758" t="s">
        <v>3629</v>
      </c>
      <c r="S2758" t="s">
        <v>32</v>
      </c>
      <c r="T2758" t="s">
        <v>32</v>
      </c>
      <c r="U2758" t="s">
        <v>32</v>
      </c>
      <c r="V2758" t="s">
        <v>290</v>
      </c>
      <c r="W2758" t="s">
        <v>205</v>
      </c>
      <c r="X2758" t="s">
        <v>830</v>
      </c>
      <c r="Y2758" t="s">
        <v>78</v>
      </c>
      <c r="Z2758" t="s">
        <v>32</v>
      </c>
      <c r="AA2758" t="s">
        <v>31207</v>
      </c>
      <c r="AB2758" t="s">
        <v>31208</v>
      </c>
      <c r="AC2758" t="s">
        <v>31209</v>
      </c>
      <c r="AD2758" t="s">
        <v>32</v>
      </c>
      <c r="AE2758" t="s">
        <v>31210</v>
      </c>
      <c r="AF2758" t="s">
        <v>46835</v>
      </c>
    </row>
    <row r="2759" spans="1:33" x14ac:dyDescent="0.2">
      <c r="A2759">
        <v>2754</v>
      </c>
      <c r="B2759" t="s">
        <v>31211</v>
      </c>
      <c r="C2759" t="s">
        <v>31212</v>
      </c>
      <c r="D2759" t="s">
        <v>31213</v>
      </c>
      <c r="E2759" t="s">
        <v>31214</v>
      </c>
      <c r="F2759" t="s">
        <v>31215</v>
      </c>
      <c r="G2759" t="s">
        <v>31216</v>
      </c>
      <c r="H2759" t="str">
        <f>"Trip4"</f>
        <v>Trip4</v>
      </c>
      <c r="I2759" t="s">
        <v>32</v>
      </c>
      <c r="J2759" t="s">
        <v>37</v>
      </c>
      <c r="K2759">
        <v>10090</v>
      </c>
      <c r="L2759" s="3" t="str">
        <f>HYPERLINK("http://www.uniprot.org/uniprot/Q9QXN3", "Q9QXN3")</f>
        <v>Q9QXN3</v>
      </c>
      <c r="M2759" t="s">
        <v>31217</v>
      </c>
      <c r="N2759" t="str">
        <f>"Trip4"</f>
        <v>Trip4</v>
      </c>
      <c r="O2759" s="3" t="str">
        <f>HYPERLINK("http://www.informatics.jax.org/marker/MGI:1928469", "MGI:1928469")</f>
        <v>MGI:1928469</v>
      </c>
      <c r="P2759" t="s">
        <v>31218</v>
      </c>
      <c r="Q2759" t="s">
        <v>4152</v>
      </c>
      <c r="R2759" t="s">
        <v>324</v>
      </c>
      <c r="S2759" t="s">
        <v>41</v>
      </c>
      <c r="T2759" t="s">
        <v>32</v>
      </c>
      <c r="U2759" t="s">
        <v>32</v>
      </c>
      <c r="V2759" t="s">
        <v>446</v>
      </c>
      <c r="W2759" t="s">
        <v>42</v>
      </c>
      <c r="X2759" t="s">
        <v>32</v>
      </c>
      <c r="Y2759" t="s">
        <v>516</v>
      </c>
      <c r="Z2759" t="s">
        <v>32</v>
      </c>
      <c r="AA2759" t="s">
        <v>31219</v>
      </c>
      <c r="AB2759" t="s">
        <v>31220</v>
      </c>
      <c r="AC2759" t="s">
        <v>31221</v>
      </c>
      <c r="AD2759" t="s">
        <v>32</v>
      </c>
      <c r="AE2759" t="s">
        <v>32</v>
      </c>
      <c r="AF2759" t="s">
        <v>46835</v>
      </c>
    </row>
    <row r="2760" spans="1:33" x14ac:dyDescent="0.2">
      <c r="A2760">
        <v>2755</v>
      </c>
      <c r="B2760" t="s">
        <v>31222</v>
      </c>
      <c r="C2760" t="s">
        <v>31223</v>
      </c>
      <c r="D2760" t="s">
        <v>32</v>
      </c>
      <c r="E2760" t="s">
        <v>31224</v>
      </c>
      <c r="F2760" t="s">
        <v>31225</v>
      </c>
      <c r="G2760" t="s">
        <v>31226</v>
      </c>
      <c r="H2760" t="str">
        <f>"Ppp4r2"</f>
        <v>Ppp4r2</v>
      </c>
      <c r="I2760" t="s">
        <v>32</v>
      </c>
      <c r="J2760" t="s">
        <v>37</v>
      </c>
      <c r="K2760">
        <v>10090</v>
      </c>
      <c r="L2760" s="3" t="str">
        <f>HYPERLINK("http://www.uniprot.org/uniprot/Q0VGB7", "Q0VGB7")</f>
        <v>Q0VGB7</v>
      </c>
      <c r="M2760" t="s">
        <v>31227</v>
      </c>
      <c r="N2760" t="str">
        <f>"Ppp4r2"</f>
        <v>Ppp4r2</v>
      </c>
      <c r="O2760" s="3" t="str">
        <f>HYPERLINK("http://www.informatics.jax.org/marker/MGI:3027896", "MGI:3027896")</f>
        <v>MGI:3027896</v>
      </c>
      <c r="P2760" t="s">
        <v>31228</v>
      </c>
      <c r="Q2760" t="s">
        <v>2139</v>
      </c>
      <c r="R2760" t="s">
        <v>324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32</v>
      </c>
      <c r="Y2760" t="s">
        <v>618</v>
      </c>
      <c r="Z2760" t="s">
        <v>32</v>
      </c>
      <c r="AA2760" t="s">
        <v>31229</v>
      </c>
      <c r="AB2760" t="s">
        <v>31230</v>
      </c>
      <c r="AC2760" t="s">
        <v>31231</v>
      </c>
      <c r="AD2760" t="s">
        <v>32</v>
      </c>
      <c r="AE2760" t="s">
        <v>31232</v>
      </c>
      <c r="AF2760" t="s">
        <v>46835</v>
      </c>
    </row>
    <row r="2761" spans="1:33" x14ac:dyDescent="0.2">
      <c r="A2761">
        <v>2756</v>
      </c>
      <c r="B2761" t="s">
        <v>31233</v>
      </c>
      <c r="C2761" t="s">
        <v>31234</v>
      </c>
      <c r="D2761" t="s">
        <v>31235</v>
      </c>
      <c r="E2761" t="s">
        <v>31236</v>
      </c>
      <c r="F2761" t="s">
        <v>31237</v>
      </c>
      <c r="G2761" t="s">
        <v>31238</v>
      </c>
      <c r="H2761" t="str">
        <f>"Ints3"</f>
        <v>Ints3</v>
      </c>
      <c r="I2761" t="s">
        <v>32</v>
      </c>
      <c r="J2761" t="s">
        <v>37</v>
      </c>
      <c r="K2761">
        <v>10090</v>
      </c>
      <c r="L2761" s="3" t="str">
        <f>HYPERLINK("http://www.uniprot.org/uniprot/Q7TPD0", "Q7TPD0")</f>
        <v>Q7TPD0</v>
      </c>
      <c r="M2761" t="s">
        <v>31239</v>
      </c>
      <c r="N2761" t="str">
        <f>"Ints3"</f>
        <v>Ints3</v>
      </c>
      <c r="O2761" s="3" t="str">
        <f>HYPERLINK("http://www.informatics.jax.org/marker/MGI:2140050", "MGI:2140050")</f>
        <v>MGI:2140050</v>
      </c>
      <c r="P2761" t="s">
        <v>31240</v>
      </c>
      <c r="Q2761" t="s">
        <v>11886</v>
      </c>
      <c r="R2761" t="s">
        <v>40</v>
      </c>
      <c r="S2761" t="s">
        <v>41</v>
      </c>
      <c r="T2761" t="s">
        <v>32</v>
      </c>
      <c r="U2761" t="s">
        <v>32</v>
      </c>
      <c r="V2761" t="s">
        <v>32</v>
      </c>
      <c r="W2761" t="s">
        <v>32</v>
      </c>
      <c r="X2761" t="s">
        <v>32</v>
      </c>
      <c r="Y2761" t="s">
        <v>157</v>
      </c>
      <c r="Z2761" t="s">
        <v>32</v>
      </c>
      <c r="AA2761" t="s">
        <v>31241</v>
      </c>
      <c r="AB2761" t="s">
        <v>31242</v>
      </c>
      <c r="AC2761" t="s">
        <v>32</v>
      </c>
      <c r="AD2761" t="s">
        <v>32</v>
      </c>
      <c r="AE2761" t="s">
        <v>22679</v>
      </c>
      <c r="AF2761" t="s">
        <v>46835</v>
      </c>
    </row>
    <row r="2762" spans="1:33" x14ac:dyDescent="0.2">
      <c r="A2762">
        <v>2757</v>
      </c>
      <c r="B2762" t="s">
        <v>31243</v>
      </c>
      <c r="C2762" t="s">
        <v>31244</v>
      </c>
      <c r="D2762" t="s">
        <v>31245</v>
      </c>
      <c r="E2762" t="s">
        <v>31246</v>
      </c>
      <c r="F2762" t="s">
        <v>31247</v>
      </c>
      <c r="G2762" t="s">
        <v>31248</v>
      </c>
      <c r="H2762" t="str">
        <f>"Kras"</f>
        <v>Kras</v>
      </c>
      <c r="I2762" t="s">
        <v>31249</v>
      </c>
      <c r="J2762" t="s">
        <v>37</v>
      </c>
      <c r="K2762">
        <v>10090</v>
      </c>
      <c r="L2762" s="3" t="str">
        <f>HYPERLINK("http://www.uniprot.org/uniprot/P32883", "P32883")</f>
        <v>P32883</v>
      </c>
      <c r="M2762" t="s">
        <v>31250</v>
      </c>
      <c r="N2762" t="str">
        <f>"Kras"</f>
        <v>Kras</v>
      </c>
      <c r="O2762" s="3" t="str">
        <f>HYPERLINK("http://www.informatics.jax.org/marker/MGI:96680", "MGI:96680")</f>
        <v>MGI:96680</v>
      </c>
      <c r="P2762" t="s">
        <v>31251</v>
      </c>
      <c r="Q2762" t="s">
        <v>32</v>
      </c>
      <c r="R2762" t="s">
        <v>222</v>
      </c>
      <c r="S2762" t="s">
        <v>41</v>
      </c>
      <c r="T2762" t="s">
        <v>32</v>
      </c>
      <c r="U2762" t="s">
        <v>4682</v>
      </c>
      <c r="V2762" t="s">
        <v>32</v>
      </c>
      <c r="W2762" t="s">
        <v>261</v>
      </c>
      <c r="X2762" t="s">
        <v>343</v>
      </c>
      <c r="Y2762" t="s">
        <v>31252</v>
      </c>
      <c r="Z2762" t="s">
        <v>32</v>
      </c>
      <c r="AA2762" t="s">
        <v>31253</v>
      </c>
      <c r="AB2762" t="s">
        <v>31254</v>
      </c>
      <c r="AC2762" t="s">
        <v>31255</v>
      </c>
      <c r="AD2762" t="s">
        <v>32</v>
      </c>
      <c r="AE2762" t="s">
        <v>31256</v>
      </c>
      <c r="AF2762" t="s">
        <v>46835</v>
      </c>
    </row>
    <row r="2763" spans="1:33" x14ac:dyDescent="0.2">
      <c r="A2763">
        <v>2758</v>
      </c>
      <c r="B2763" t="s">
        <v>31257</v>
      </c>
      <c r="C2763" t="s">
        <v>31258</v>
      </c>
      <c r="D2763" t="s">
        <v>31259</v>
      </c>
      <c r="E2763" t="s">
        <v>31260</v>
      </c>
      <c r="F2763" t="s">
        <v>31261</v>
      </c>
      <c r="G2763" t="s">
        <v>31262</v>
      </c>
      <c r="H2763" t="str">
        <f>"Dohh"</f>
        <v>Dohh</v>
      </c>
      <c r="I2763" t="s">
        <v>32</v>
      </c>
      <c r="J2763" t="s">
        <v>37</v>
      </c>
      <c r="K2763">
        <v>10090</v>
      </c>
      <c r="L2763" s="3" t="str">
        <f>HYPERLINK("http://www.uniprot.org/uniprot/Q99LN9", "Q99LN9")</f>
        <v>Q99LN9</v>
      </c>
      <c r="M2763" t="s">
        <v>31263</v>
      </c>
      <c r="N2763" t="str">
        <f>"Dohh"</f>
        <v>Dohh</v>
      </c>
      <c r="O2763" s="3" t="str">
        <f>HYPERLINK("http://www.informatics.jax.org/marker/MGI:1915964", "MGI:1915964")</f>
        <v>MGI:1915964</v>
      </c>
      <c r="P2763" t="s">
        <v>31264</v>
      </c>
      <c r="Q2763" t="s">
        <v>31265</v>
      </c>
      <c r="R2763" t="s">
        <v>32</v>
      </c>
      <c r="S2763" t="s">
        <v>41</v>
      </c>
      <c r="T2763" t="s">
        <v>32</v>
      </c>
      <c r="U2763" t="s">
        <v>32</v>
      </c>
      <c r="V2763" t="s">
        <v>55</v>
      </c>
      <c r="W2763" t="s">
        <v>845</v>
      </c>
      <c r="X2763" t="s">
        <v>18648</v>
      </c>
      <c r="Y2763" t="s">
        <v>78</v>
      </c>
      <c r="Z2763" t="s">
        <v>32</v>
      </c>
      <c r="AA2763" t="s">
        <v>31266</v>
      </c>
      <c r="AB2763" t="s">
        <v>32</v>
      </c>
      <c r="AC2763" t="s">
        <v>31267</v>
      </c>
      <c r="AD2763" t="s">
        <v>31268</v>
      </c>
      <c r="AE2763" t="s">
        <v>3157</v>
      </c>
      <c r="AF2763" t="s">
        <v>46835</v>
      </c>
    </row>
    <row r="2764" spans="1:33" x14ac:dyDescent="0.2">
      <c r="A2764">
        <v>2759</v>
      </c>
      <c r="B2764" t="s">
        <v>31269</v>
      </c>
      <c r="C2764" t="s">
        <v>31270</v>
      </c>
      <c r="D2764" t="s">
        <v>31271</v>
      </c>
      <c r="E2764" t="s">
        <v>31272</v>
      </c>
      <c r="F2764" t="s">
        <v>31273</v>
      </c>
      <c r="G2764" t="s">
        <v>31274</v>
      </c>
      <c r="H2764" t="str">
        <f>"Snf8"</f>
        <v>Snf8</v>
      </c>
      <c r="I2764" t="s">
        <v>31275</v>
      </c>
      <c r="J2764" t="s">
        <v>37</v>
      </c>
      <c r="K2764">
        <v>10090</v>
      </c>
      <c r="L2764" s="3" t="str">
        <f>HYPERLINK("http://www.uniprot.org/uniprot/Q9CZ28", "Q9CZ28")</f>
        <v>Q9CZ28</v>
      </c>
      <c r="M2764" t="s">
        <v>31276</v>
      </c>
      <c r="N2764" t="str">
        <f>"Snf8"</f>
        <v>Snf8</v>
      </c>
      <c r="O2764" s="3" t="str">
        <f>HYPERLINK("http://www.informatics.jax.org/marker/MGI:1343161", "MGI:1343161")</f>
        <v>MGI:1343161</v>
      </c>
      <c r="P2764" t="s">
        <v>31277</v>
      </c>
      <c r="Q2764" t="s">
        <v>5117</v>
      </c>
      <c r="R2764" t="s">
        <v>7802</v>
      </c>
      <c r="S2764" t="s">
        <v>32</v>
      </c>
      <c r="T2764" t="s">
        <v>32</v>
      </c>
      <c r="U2764" t="s">
        <v>32</v>
      </c>
      <c r="V2764" t="s">
        <v>290</v>
      </c>
      <c r="W2764" t="s">
        <v>32</v>
      </c>
      <c r="X2764" t="s">
        <v>32</v>
      </c>
      <c r="Y2764" t="s">
        <v>175</v>
      </c>
      <c r="Z2764" t="s">
        <v>32</v>
      </c>
      <c r="AA2764" t="s">
        <v>31278</v>
      </c>
      <c r="AB2764" t="s">
        <v>31279</v>
      </c>
      <c r="AC2764" t="s">
        <v>31280</v>
      </c>
      <c r="AD2764" t="s">
        <v>32</v>
      </c>
      <c r="AE2764" t="s">
        <v>14055</v>
      </c>
      <c r="AF2764" t="s">
        <v>46835</v>
      </c>
    </row>
    <row r="2765" spans="1:33" x14ac:dyDescent="0.2">
      <c r="A2765">
        <v>2760</v>
      </c>
      <c r="B2765" t="s">
        <v>31281</v>
      </c>
      <c r="C2765" t="s">
        <v>31282</v>
      </c>
      <c r="D2765" t="s">
        <v>31283</v>
      </c>
      <c r="E2765" t="s">
        <v>31284</v>
      </c>
      <c r="F2765" t="s">
        <v>31285</v>
      </c>
      <c r="G2765" t="s">
        <v>31286</v>
      </c>
      <c r="H2765" t="str">
        <f>"Mettl13"</f>
        <v>Mettl13</v>
      </c>
      <c r="I2765" t="s">
        <v>32</v>
      </c>
      <c r="J2765" t="s">
        <v>37</v>
      </c>
      <c r="K2765">
        <v>10090</v>
      </c>
      <c r="L2765" s="3" t="str">
        <f>HYPERLINK("http://www.uniprot.org/uniprot/Q91YR5", "Q91YR5")</f>
        <v>Q91YR5</v>
      </c>
      <c r="M2765" t="s">
        <v>31287</v>
      </c>
      <c r="N2765" t="str">
        <f>"Eef1aknmt"</f>
        <v>Eef1aknmt</v>
      </c>
      <c r="O2765" s="3" t="str">
        <f>HYPERLINK("http://www.informatics.jax.org/marker/MGI:1918699", "MGI:1918699")</f>
        <v>MGI:1918699</v>
      </c>
      <c r="P2765" t="s">
        <v>31288</v>
      </c>
      <c r="Q2765" t="s">
        <v>32</v>
      </c>
      <c r="R2765" t="s">
        <v>1021</v>
      </c>
      <c r="S2765" t="s">
        <v>41</v>
      </c>
      <c r="T2765" t="s">
        <v>32</v>
      </c>
      <c r="U2765" t="s">
        <v>32</v>
      </c>
      <c r="V2765" t="s">
        <v>32</v>
      </c>
      <c r="W2765" t="s">
        <v>32</v>
      </c>
      <c r="X2765" t="s">
        <v>31289</v>
      </c>
      <c r="Y2765" t="s">
        <v>157</v>
      </c>
      <c r="Z2765" t="s">
        <v>32</v>
      </c>
      <c r="AA2765" t="s">
        <v>31290</v>
      </c>
      <c r="AB2765" t="s">
        <v>12211</v>
      </c>
      <c r="AC2765" t="s">
        <v>31291</v>
      </c>
      <c r="AD2765" t="s">
        <v>32</v>
      </c>
      <c r="AE2765" t="s">
        <v>32</v>
      </c>
      <c r="AF2765" t="s">
        <v>46835</v>
      </c>
    </row>
    <row r="2766" spans="1:33" x14ac:dyDescent="0.2">
      <c r="A2766">
        <v>2761</v>
      </c>
      <c r="B2766" t="s">
        <v>31292</v>
      </c>
      <c r="C2766" t="s">
        <v>47180</v>
      </c>
      <c r="D2766" t="s">
        <v>32</v>
      </c>
      <c r="E2766" t="s">
        <v>46994</v>
      </c>
      <c r="F2766" t="s">
        <v>46993</v>
      </c>
      <c r="G2766" t="s">
        <v>32</v>
      </c>
      <c r="H2766" t="s">
        <v>47311</v>
      </c>
      <c r="I2766" t="s">
        <v>32</v>
      </c>
      <c r="J2766" t="s">
        <v>37</v>
      </c>
      <c r="K2766">
        <v>10090</v>
      </c>
      <c r="L2766" s="3" t="str">
        <f>HYPERLINK(CONCATENATE("https://www.uniprot.org/uniprotkb/", AG2766, "/entry"), AG2766)</f>
        <v>F6TQW2</v>
      </c>
      <c r="M2766" t="s">
        <v>32</v>
      </c>
      <c r="N2766" t="s">
        <v>32</v>
      </c>
      <c r="O2766" s="3" t="s">
        <v>32</v>
      </c>
      <c r="P2766" t="s">
        <v>32</v>
      </c>
      <c r="Q2766" t="s">
        <v>32</v>
      </c>
      <c r="R2766" t="s">
        <v>32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32</v>
      </c>
      <c r="Y2766" t="s">
        <v>32</v>
      </c>
      <c r="Z2766" t="s">
        <v>32</v>
      </c>
      <c r="AA2766" t="s">
        <v>32</v>
      </c>
      <c r="AB2766" t="s">
        <v>32</v>
      </c>
      <c r="AC2766" t="s">
        <v>32</v>
      </c>
      <c r="AD2766" t="s">
        <v>32</v>
      </c>
      <c r="AE2766" t="s">
        <v>32</v>
      </c>
      <c r="AF2766" t="s">
        <v>46835</v>
      </c>
      <c r="AG2766" t="s">
        <v>46993</v>
      </c>
    </row>
    <row r="2767" spans="1:33" x14ac:dyDescent="0.2">
      <c r="A2767">
        <v>2762</v>
      </c>
      <c r="B2767" t="s">
        <v>31293</v>
      </c>
      <c r="C2767" t="s">
        <v>31294</v>
      </c>
      <c r="D2767" t="s">
        <v>31295</v>
      </c>
      <c r="E2767" t="s">
        <v>31296</v>
      </c>
      <c r="F2767" t="s">
        <v>31297</v>
      </c>
      <c r="G2767" t="s">
        <v>32</v>
      </c>
      <c r="H2767" t="str">
        <f>"Lgals3"</f>
        <v>Lgals3</v>
      </c>
      <c r="I2767" t="s">
        <v>32</v>
      </c>
      <c r="J2767" t="s">
        <v>37</v>
      </c>
      <c r="K2767">
        <v>10090</v>
      </c>
      <c r="L2767" s="3" t="str">
        <f>HYPERLINK("http://www.uniprot.org/uniprot/P16110", "P16110")</f>
        <v>P16110</v>
      </c>
      <c r="M2767" t="s">
        <v>31298</v>
      </c>
      <c r="N2767" t="str">
        <f>"Lgals3"</f>
        <v>Lgals3</v>
      </c>
      <c r="O2767" s="3" t="str">
        <f>HYPERLINK("http://www.informatics.jax.org/marker/MGI:96778", "MGI:96778")</f>
        <v>MGI:96778</v>
      </c>
      <c r="P2767" t="s">
        <v>31299</v>
      </c>
      <c r="Q2767" t="s">
        <v>31300</v>
      </c>
      <c r="R2767" t="s">
        <v>1128</v>
      </c>
      <c r="S2767" t="s">
        <v>32</v>
      </c>
      <c r="T2767" t="s">
        <v>32</v>
      </c>
      <c r="U2767" t="s">
        <v>32</v>
      </c>
      <c r="V2767" t="s">
        <v>55</v>
      </c>
      <c r="W2767" t="s">
        <v>4440</v>
      </c>
      <c r="X2767" t="s">
        <v>31301</v>
      </c>
      <c r="Y2767" t="s">
        <v>480</v>
      </c>
      <c r="Z2767" t="s">
        <v>126</v>
      </c>
      <c r="AA2767" t="s">
        <v>31302</v>
      </c>
      <c r="AB2767" t="s">
        <v>31303</v>
      </c>
      <c r="AC2767" t="s">
        <v>31304</v>
      </c>
      <c r="AD2767" t="s">
        <v>32</v>
      </c>
      <c r="AE2767" t="s">
        <v>548</v>
      </c>
      <c r="AF2767" t="s">
        <v>46835</v>
      </c>
    </row>
    <row r="2768" spans="1:33" x14ac:dyDescent="0.2">
      <c r="A2768">
        <v>2763</v>
      </c>
      <c r="B2768" t="s">
        <v>31305</v>
      </c>
      <c r="C2768" t="s">
        <v>31306</v>
      </c>
      <c r="D2768" t="s">
        <v>31307</v>
      </c>
      <c r="E2768" t="s">
        <v>31308</v>
      </c>
      <c r="F2768" t="s">
        <v>31309</v>
      </c>
      <c r="G2768" t="s">
        <v>32</v>
      </c>
      <c r="H2768" t="str">
        <f>"Akt2"</f>
        <v>Akt2</v>
      </c>
      <c r="I2768" t="s">
        <v>32</v>
      </c>
      <c r="J2768" t="s">
        <v>37</v>
      </c>
      <c r="K2768">
        <v>10090</v>
      </c>
      <c r="L2768" s="3" t="str">
        <f>HYPERLINK("http://www.uniprot.org/uniprot/Q60823", "Q60823")</f>
        <v>Q60823</v>
      </c>
      <c r="M2768" t="s">
        <v>31310</v>
      </c>
      <c r="N2768" t="str">
        <f>"Akt2"</f>
        <v>Akt2</v>
      </c>
      <c r="O2768" s="3" t="str">
        <f>HYPERLINK("http://www.informatics.jax.org/marker/MGI:104874", "MGI:104874")</f>
        <v>MGI:104874</v>
      </c>
      <c r="P2768" t="s">
        <v>31311</v>
      </c>
      <c r="Q2768" t="s">
        <v>31312</v>
      </c>
      <c r="R2768" t="s">
        <v>13297</v>
      </c>
      <c r="S2768" t="s">
        <v>32</v>
      </c>
      <c r="T2768" t="s">
        <v>32</v>
      </c>
      <c r="U2768" t="s">
        <v>32</v>
      </c>
      <c r="V2768" t="s">
        <v>32</v>
      </c>
      <c r="W2768" t="s">
        <v>5129</v>
      </c>
      <c r="X2768" t="s">
        <v>19330</v>
      </c>
      <c r="Y2768" t="s">
        <v>31313</v>
      </c>
      <c r="Z2768" t="s">
        <v>32</v>
      </c>
      <c r="AA2768" t="s">
        <v>31314</v>
      </c>
      <c r="AB2768" t="s">
        <v>31315</v>
      </c>
      <c r="AC2768" t="s">
        <v>31316</v>
      </c>
      <c r="AD2768" t="s">
        <v>32</v>
      </c>
      <c r="AE2768" t="s">
        <v>31317</v>
      </c>
      <c r="AF2768" t="s">
        <v>46835</v>
      </c>
    </row>
    <row r="2769" spans="1:32" x14ac:dyDescent="0.2">
      <c r="A2769">
        <v>2764</v>
      </c>
      <c r="B2769" t="s">
        <v>31318</v>
      </c>
      <c r="C2769" t="s">
        <v>31319</v>
      </c>
      <c r="D2769" t="s">
        <v>31320</v>
      </c>
      <c r="E2769" t="s">
        <v>31321</v>
      </c>
      <c r="F2769" t="s">
        <v>31322</v>
      </c>
      <c r="G2769" t="s">
        <v>31323</v>
      </c>
      <c r="H2769" t="str">
        <f>"Cd93"</f>
        <v>Cd93</v>
      </c>
      <c r="I2769" t="s">
        <v>31324</v>
      </c>
      <c r="J2769" t="s">
        <v>37</v>
      </c>
      <c r="K2769">
        <v>10090</v>
      </c>
      <c r="L2769" s="3" t="str">
        <f>HYPERLINK("http://www.uniprot.org/uniprot/O89103", "O89103")</f>
        <v>O89103</v>
      </c>
      <c r="M2769" t="s">
        <v>31325</v>
      </c>
      <c r="N2769" t="str">
        <f>"Cd93"</f>
        <v>Cd93</v>
      </c>
      <c r="O2769" s="3" t="str">
        <f>HYPERLINK("http://www.informatics.jax.org/marker/MGI:106664", "MGI:106664")</f>
        <v>MGI:106664</v>
      </c>
      <c r="P2769" t="s">
        <v>31326</v>
      </c>
      <c r="Q2769" t="s">
        <v>2784</v>
      </c>
      <c r="R2769" t="s">
        <v>5989</v>
      </c>
      <c r="S2769" t="s">
        <v>32</v>
      </c>
      <c r="T2769" t="s">
        <v>32</v>
      </c>
      <c r="U2769" t="s">
        <v>32</v>
      </c>
      <c r="V2769" t="s">
        <v>9013</v>
      </c>
      <c r="W2769" t="s">
        <v>4440</v>
      </c>
      <c r="X2769" t="s">
        <v>6983</v>
      </c>
      <c r="Y2769" t="s">
        <v>2865</v>
      </c>
      <c r="Z2769" t="s">
        <v>32</v>
      </c>
      <c r="AA2769" t="s">
        <v>7839</v>
      </c>
      <c r="AB2769" t="s">
        <v>31327</v>
      </c>
      <c r="AC2769" t="s">
        <v>31328</v>
      </c>
      <c r="AD2769" t="s">
        <v>32</v>
      </c>
      <c r="AE2769" t="s">
        <v>548</v>
      </c>
      <c r="AF2769" t="s">
        <v>46835</v>
      </c>
    </row>
    <row r="2770" spans="1:32" x14ac:dyDescent="0.2">
      <c r="A2770">
        <v>2765</v>
      </c>
      <c r="B2770" t="s">
        <v>31329</v>
      </c>
      <c r="C2770" t="s">
        <v>31330</v>
      </c>
      <c r="D2770" t="s">
        <v>32</v>
      </c>
      <c r="E2770" t="s">
        <v>31331</v>
      </c>
      <c r="F2770" t="s">
        <v>31332</v>
      </c>
      <c r="G2770" t="s">
        <v>32</v>
      </c>
      <c r="H2770" t="str">
        <f>"Sh3bgrl3"</f>
        <v>Sh3bgrl3</v>
      </c>
      <c r="I2770" t="s">
        <v>32</v>
      </c>
      <c r="J2770" t="s">
        <v>37</v>
      </c>
      <c r="K2770">
        <v>10090</v>
      </c>
      <c r="L2770" s="3" t="str">
        <f>HYPERLINK("http://www.uniprot.org/uniprot/Q91VW3", "Q91VW3")</f>
        <v>Q91VW3</v>
      </c>
      <c r="M2770" t="s">
        <v>31333</v>
      </c>
      <c r="N2770" t="str">
        <f>"Sh3bgrl3"</f>
        <v>Sh3bgrl3</v>
      </c>
      <c r="O2770" s="3" t="str">
        <f>HYPERLINK("http://www.informatics.jax.org/marker/MGI:1920973", "MGI:1920973")</f>
        <v>MGI:1920973</v>
      </c>
      <c r="P2770" t="s">
        <v>31334</v>
      </c>
      <c r="Q2770" t="s">
        <v>32</v>
      </c>
      <c r="R2770" t="s">
        <v>1909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32</v>
      </c>
      <c r="Y2770" t="s">
        <v>10506</v>
      </c>
      <c r="Z2770" t="s">
        <v>126</v>
      </c>
      <c r="AA2770" t="s">
        <v>32</v>
      </c>
      <c r="AB2770" t="s">
        <v>31335</v>
      </c>
      <c r="AC2770" t="s">
        <v>32</v>
      </c>
      <c r="AD2770" t="s">
        <v>32</v>
      </c>
      <c r="AE2770" t="s">
        <v>32</v>
      </c>
      <c r="AF2770" t="s">
        <v>46835</v>
      </c>
    </row>
    <row r="2771" spans="1:32" x14ac:dyDescent="0.2">
      <c r="A2771">
        <v>2766</v>
      </c>
      <c r="B2771" t="s">
        <v>31336</v>
      </c>
      <c r="C2771" t="s">
        <v>31337</v>
      </c>
      <c r="D2771" t="s">
        <v>31338</v>
      </c>
      <c r="E2771" t="s">
        <v>31339</v>
      </c>
      <c r="F2771" t="s">
        <v>31340</v>
      </c>
      <c r="G2771" t="s">
        <v>31341</v>
      </c>
      <c r="H2771" t="str">
        <f>"Flad1"</f>
        <v>Flad1</v>
      </c>
      <c r="I2771" t="s">
        <v>32</v>
      </c>
      <c r="J2771" t="s">
        <v>37</v>
      </c>
      <c r="K2771">
        <v>10090</v>
      </c>
      <c r="L2771" s="3" t="str">
        <f>HYPERLINK("http://www.uniprot.org/uniprot/Q8R123", "Q8R123")</f>
        <v>Q8R123</v>
      </c>
      <c r="M2771" t="s">
        <v>31342</v>
      </c>
      <c r="N2771" t="str">
        <f>"Flad1"</f>
        <v>Flad1</v>
      </c>
      <c r="O2771" s="3" t="str">
        <f>HYPERLINK("http://www.informatics.jax.org/marker/MGI:2443030", "MGI:2443030")</f>
        <v>MGI:2443030</v>
      </c>
      <c r="P2771" t="s">
        <v>31343</v>
      </c>
      <c r="Q2771" t="s">
        <v>32</v>
      </c>
      <c r="R2771" t="s">
        <v>418</v>
      </c>
      <c r="S2771" t="s">
        <v>41</v>
      </c>
      <c r="T2771" t="s">
        <v>32</v>
      </c>
      <c r="U2771" t="s">
        <v>32</v>
      </c>
      <c r="V2771" t="s">
        <v>32</v>
      </c>
      <c r="W2771" t="s">
        <v>31344</v>
      </c>
      <c r="X2771" t="s">
        <v>7489</v>
      </c>
      <c r="Y2771" t="s">
        <v>157</v>
      </c>
      <c r="Z2771" t="s">
        <v>32</v>
      </c>
      <c r="AA2771" t="s">
        <v>31345</v>
      </c>
      <c r="AB2771" t="s">
        <v>25438</v>
      </c>
      <c r="AC2771" t="s">
        <v>31346</v>
      </c>
      <c r="AD2771" t="s">
        <v>31347</v>
      </c>
      <c r="AE2771" t="s">
        <v>31348</v>
      </c>
      <c r="AF2771" t="s">
        <v>46835</v>
      </c>
    </row>
    <row r="2772" spans="1:32" x14ac:dyDescent="0.2">
      <c r="A2772">
        <v>2767</v>
      </c>
      <c r="B2772" t="s">
        <v>31349</v>
      </c>
      <c r="C2772" t="s">
        <v>31350</v>
      </c>
      <c r="D2772" t="s">
        <v>31351</v>
      </c>
      <c r="E2772" t="s">
        <v>31352</v>
      </c>
      <c r="F2772" t="s">
        <v>31353</v>
      </c>
      <c r="G2772" t="s">
        <v>31354</v>
      </c>
      <c r="H2772" t="str">
        <f>"Aqr"</f>
        <v>Aqr</v>
      </c>
      <c r="I2772" t="s">
        <v>31355</v>
      </c>
      <c r="J2772" t="s">
        <v>37</v>
      </c>
      <c r="K2772">
        <v>10090</v>
      </c>
      <c r="L2772" s="3" t="str">
        <f>HYPERLINK("http://www.uniprot.org/uniprot/Q8CFQ3", "Q8CFQ3")</f>
        <v>Q8CFQ3</v>
      </c>
      <c r="M2772" t="s">
        <v>31356</v>
      </c>
      <c r="N2772" t="str">
        <f>"Aqr"</f>
        <v>Aqr</v>
      </c>
      <c r="O2772" s="3" t="str">
        <f>HYPERLINK("http://www.informatics.jax.org/marker/MGI:1276102", "MGI:1276102")</f>
        <v>MGI:1276102</v>
      </c>
      <c r="P2772" t="s">
        <v>31357</v>
      </c>
      <c r="Q2772" t="s">
        <v>2139</v>
      </c>
      <c r="R2772" t="s">
        <v>2140</v>
      </c>
      <c r="S2772" t="s">
        <v>32</v>
      </c>
      <c r="T2772" t="s">
        <v>32</v>
      </c>
      <c r="U2772" t="s">
        <v>32</v>
      </c>
      <c r="V2772" t="s">
        <v>32</v>
      </c>
      <c r="W2772" t="s">
        <v>205</v>
      </c>
      <c r="X2772" t="s">
        <v>5050</v>
      </c>
      <c r="Y2772" t="s">
        <v>78</v>
      </c>
      <c r="Z2772" t="s">
        <v>32</v>
      </c>
      <c r="AA2772" t="s">
        <v>8104</v>
      </c>
      <c r="AB2772" t="s">
        <v>31358</v>
      </c>
      <c r="AC2772" t="s">
        <v>31359</v>
      </c>
      <c r="AD2772" t="s">
        <v>32</v>
      </c>
      <c r="AE2772" t="s">
        <v>7636</v>
      </c>
      <c r="AF2772" t="s">
        <v>46835</v>
      </c>
    </row>
    <row r="2773" spans="1:32" x14ac:dyDescent="0.2">
      <c r="A2773">
        <v>2768</v>
      </c>
      <c r="B2773" t="s">
        <v>31360</v>
      </c>
      <c r="C2773" t="s">
        <v>31361</v>
      </c>
      <c r="D2773" t="s">
        <v>32</v>
      </c>
      <c r="E2773" t="s">
        <v>31362</v>
      </c>
      <c r="F2773" t="s">
        <v>31363</v>
      </c>
      <c r="G2773" t="s">
        <v>31364</v>
      </c>
      <c r="H2773" t="str">
        <f>"Rras2"</f>
        <v>Rras2</v>
      </c>
      <c r="I2773" t="s">
        <v>32</v>
      </c>
      <c r="J2773" t="s">
        <v>37</v>
      </c>
      <c r="K2773">
        <v>10090</v>
      </c>
      <c r="L2773" s="3" t="str">
        <f>HYPERLINK("http://www.uniprot.org/uniprot/P62071", "P62071")</f>
        <v>P62071</v>
      </c>
      <c r="M2773" t="s">
        <v>31365</v>
      </c>
      <c r="N2773" t="str">
        <f>"Rras2"</f>
        <v>Rras2</v>
      </c>
      <c r="O2773" s="3" t="str">
        <f>HYPERLINK("http://www.informatics.jax.org/marker/MGI:1914172", "MGI:1914172")</f>
        <v>MGI:1914172</v>
      </c>
      <c r="P2773" t="s">
        <v>31366</v>
      </c>
      <c r="Q2773" t="s">
        <v>32</v>
      </c>
      <c r="R2773" t="s">
        <v>22708</v>
      </c>
      <c r="S2773" t="s">
        <v>32</v>
      </c>
      <c r="T2773" t="s">
        <v>32</v>
      </c>
      <c r="U2773" t="s">
        <v>32</v>
      </c>
      <c r="V2773" t="s">
        <v>32</v>
      </c>
      <c r="W2773" t="s">
        <v>261</v>
      </c>
      <c r="X2773" t="s">
        <v>343</v>
      </c>
      <c r="Y2773" t="s">
        <v>12990</v>
      </c>
      <c r="Z2773" t="s">
        <v>32</v>
      </c>
      <c r="AA2773" t="s">
        <v>31367</v>
      </c>
      <c r="AB2773" t="s">
        <v>31368</v>
      </c>
      <c r="AC2773" t="s">
        <v>15334</v>
      </c>
      <c r="AD2773" t="s">
        <v>32</v>
      </c>
      <c r="AE2773" t="s">
        <v>31369</v>
      </c>
      <c r="AF2773" t="s">
        <v>46835</v>
      </c>
    </row>
    <row r="2774" spans="1:32" x14ac:dyDescent="0.2">
      <c r="A2774">
        <v>2769</v>
      </c>
      <c r="B2774" t="s">
        <v>31370</v>
      </c>
      <c r="C2774" t="s">
        <v>31371</v>
      </c>
      <c r="D2774" t="s">
        <v>31372</v>
      </c>
      <c r="E2774" t="s">
        <v>31373</v>
      </c>
      <c r="F2774" t="s">
        <v>31374</v>
      </c>
      <c r="G2774" t="s">
        <v>31375</v>
      </c>
      <c r="H2774" t="str">
        <f>"Usp8"</f>
        <v>Usp8</v>
      </c>
      <c r="I2774" t="s">
        <v>31376</v>
      </c>
      <c r="J2774" t="s">
        <v>37</v>
      </c>
      <c r="K2774">
        <v>10090</v>
      </c>
      <c r="L2774" s="3" t="str">
        <f>HYPERLINK("http://www.uniprot.org/uniprot/Q80U87", "Q80U87")</f>
        <v>Q80U87</v>
      </c>
      <c r="M2774" t="s">
        <v>31377</v>
      </c>
      <c r="N2774" t="str">
        <f>"Usp8"</f>
        <v>Usp8</v>
      </c>
      <c r="O2774" s="3" t="str">
        <f>HYPERLINK("http://www.informatics.jax.org/marker/MGI:1934029", "MGI:1934029")</f>
        <v>MGI:1934029</v>
      </c>
      <c r="P2774" t="s">
        <v>31378</v>
      </c>
      <c r="Q2774" t="s">
        <v>13618</v>
      </c>
      <c r="R2774" t="s">
        <v>13297</v>
      </c>
      <c r="S2774" t="s">
        <v>32</v>
      </c>
      <c r="T2774" t="s">
        <v>32</v>
      </c>
      <c r="U2774" t="s">
        <v>32</v>
      </c>
      <c r="V2774" t="s">
        <v>7861</v>
      </c>
      <c r="W2774" t="s">
        <v>32</v>
      </c>
      <c r="X2774" t="s">
        <v>557</v>
      </c>
      <c r="Y2774" t="s">
        <v>2836</v>
      </c>
      <c r="Z2774" t="s">
        <v>126</v>
      </c>
      <c r="AA2774" t="s">
        <v>31379</v>
      </c>
      <c r="AB2774" t="s">
        <v>31380</v>
      </c>
      <c r="AC2774" t="s">
        <v>31381</v>
      </c>
      <c r="AD2774" t="s">
        <v>32</v>
      </c>
      <c r="AE2774" t="s">
        <v>31382</v>
      </c>
      <c r="AF2774" t="s">
        <v>46835</v>
      </c>
    </row>
    <row r="2775" spans="1:32" x14ac:dyDescent="0.2">
      <c r="A2775">
        <v>2770</v>
      </c>
      <c r="B2775" t="s">
        <v>31383</v>
      </c>
      <c r="C2775" t="s">
        <v>31384</v>
      </c>
      <c r="D2775" t="s">
        <v>31385</v>
      </c>
      <c r="E2775" t="s">
        <v>31386</v>
      </c>
      <c r="F2775" t="s">
        <v>31387</v>
      </c>
      <c r="G2775" t="s">
        <v>31388</v>
      </c>
      <c r="H2775" t="str">
        <f>"Rnf14"</f>
        <v>Rnf14</v>
      </c>
      <c r="I2775" t="s">
        <v>31389</v>
      </c>
      <c r="J2775" t="s">
        <v>37</v>
      </c>
      <c r="K2775">
        <v>10090</v>
      </c>
      <c r="L2775" s="3" t="str">
        <f>HYPERLINK("http://www.uniprot.org/uniprot/Q9JI90", "Q9JI90")</f>
        <v>Q9JI90</v>
      </c>
      <c r="M2775" t="s">
        <v>31390</v>
      </c>
      <c r="N2775" t="str">
        <f>"Rnf14"</f>
        <v>Rnf14</v>
      </c>
      <c r="O2775" s="3" t="str">
        <f>HYPERLINK("http://www.informatics.jax.org/marker/MGI:1929668", "MGI:1929668")</f>
        <v>MGI:1929668</v>
      </c>
      <c r="P2775" t="s">
        <v>31391</v>
      </c>
      <c r="Q2775" t="s">
        <v>2278</v>
      </c>
      <c r="R2775" t="s">
        <v>40</v>
      </c>
      <c r="S2775" t="s">
        <v>41</v>
      </c>
      <c r="T2775" t="s">
        <v>32</v>
      </c>
      <c r="U2775" t="s">
        <v>32</v>
      </c>
      <c r="V2775" t="s">
        <v>3791</v>
      </c>
      <c r="W2775" t="s">
        <v>42</v>
      </c>
      <c r="X2775" t="s">
        <v>515</v>
      </c>
      <c r="Y2775" t="s">
        <v>2836</v>
      </c>
      <c r="Z2775" t="s">
        <v>32</v>
      </c>
      <c r="AA2775" t="s">
        <v>31392</v>
      </c>
      <c r="AB2775" t="s">
        <v>20063</v>
      </c>
      <c r="AC2775" t="s">
        <v>31393</v>
      </c>
      <c r="AD2775" t="s">
        <v>32</v>
      </c>
      <c r="AE2775" t="s">
        <v>4220</v>
      </c>
      <c r="AF2775" t="s">
        <v>46835</v>
      </c>
    </row>
    <row r="2776" spans="1:32" x14ac:dyDescent="0.2">
      <c r="A2776">
        <v>2771</v>
      </c>
      <c r="B2776" t="s">
        <v>31394</v>
      </c>
      <c r="C2776" t="s">
        <v>31395</v>
      </c>
      <c r="D2776" t="s">
        <v>31396</v>
      </c>
      <c r="E2776" t="s">
        <v>31397</v>
      </c>
      <c r="F2776" t="s">
        <v>31398</v>
      </c>
      <c r="G2776" t="s">
        <v>31399</v>
      </c>
      <c r="H2776" t="str">
        <f>"Acp6"</f>
        <v>Acp6</v>
      </c>
      <c r="I2776" t="s">
        <v>31400</v>
      </c>
      <c r="J2776" t="s">
        <v>37</v>
      </c>
      <c r="K2776">
        <v>10090</v>
      </c>
      <c r="L2776" s="3" t="str">
        <f>HYPERLINK("http://www.uniprot.org/uniprot/Q8BP40", "Q8BP40")</f>
        <v>Q8BP40</v>
      </c>
      <c r="M2776" t="s">
        <v>31401</v>
      </c>
      <c r="N2776" t="str">
        <f>"Acp6"</f>
        <v>Acp6</v>
      </c>
      <c r="O2776" s="3" t="str">
        <f>HYPERLINK("http://www.informatics.jax.org/marker/MGI:1931010", "MGI:1931010")</f>
        <v>MGI:1931010</v>
      </c>
      <c r="P2776" t="s">
        <v>31402</v>
      </c>
      <c r="Q2776" t="s">
        <v>31403</v>
      </c>
      <c r="R2776" t="s">
        <v>1038</v>
      </c>
      <c r="S2776" t="s">
        <v>41</v>
      </c>
      <c r="T2776" t="s">
        <v>32</v>
      </c>
      <c r="U2776" t="s">
        <v>32</v>
      </c>
      <c r="V2776" t="s">
        <v>1039</v>
      </c>
      <c r="W2776" t="s">
        <v>32</v>
      </c>
      <c r="X2776" t="s">
        <v>343</v>
      </c>
      <c r="Y2776" t="s">
        <v>32</v>
      </c>
      <c r="Z2776" t="s">
        <v>32</v>
      </c>
      <c r="AA2776" t="s">
        <v>31404</v>
      </c>
      <c r="AB2776" t="s">
        <v>3490</v>
      </c>
      <c r="AC2776" t="s">
        <v>31405</v>
      </c>
      <c r="AD2776" t="s">
        <v>32</v>
      </c>
      <c r="AE2776" t="s">
        <v>9863</v>
      </c>
      <c r="AF2776" t="s">
        <v>46835</v>
      </c>
    </row>
    <row r="2777" spans="1:32" x14ac:dyDescent="0.2">
      <c r="A2777">
        <v>2772</v>
      </c>
      <c r="B2777" t="s">
        <v>31406</v>
      </c>
      <c r="C2777" t="s">
        <v>31407</v>
      </c>
      <c r="D2777" t="s">
        <v>31408</v>
      </c>
      <c r="E2777" t="s">
        <v>31409</v>
      </c>
      <c r="F2777" t="s">
        <v>31410</v>
      </c>
      <c r="G2777" t="s">
        <v>31411</v>
      </c>
      <c r="H2777" t="str">
        <f>"Itpk1"</f>
        <v>Itpk1</v>
      </c>
      <c r="I2777" t="s">
        <v>32</v>
      </c>
      <c r="J2777" t="s">
        <v>37</v>
      </c>
      <c r="K2777">
        <v>10090</v>
      </c>
      <c r="L2777" s="3" t="str">
        <f>HYPERLINK("http://www.uniprot.org/uniprot/Q8BYN3", "Q8BYN3")</f>
        <v>Q8BYN3</v>
      </c>
      <c r="M2777" t="s">
        <v>31412</v>
      </c>
      <c r="N2777" t="str">
        <f>"Itpk1"</f>
        <v>Itpk1</v>
      </c>
      <c r="O2777" s="3" t="str">
        <f>HYPERLINK("http://www.informatics.jax.org/marker/MGI:2446159", "MGI:2446159")</f>
        <v>MGI:2446159</v>
      </c>
      <c r="P2777" t="s">
        <v>31413</v>
      </c>
      <c r="Q2777" t="s">
        <v>32</v>
      </c>
      <c r="R2777" t="s">
        <v>32</v>
      </c>
      <c r="S2777" t="s">
        <v>32</v>
      </c>
      <c r="T2777" t="s">
        <v>32</v>
      </c>
      <c r="U2777" t="s">
        <v>32</v>
      </c>
      <c r="V2777" t="s">
        <v>32</v>
      </c>
      <c r="W2777" t="s">
        <v>1266</v>
      </c>
      <c r="X2777" t="s">
        <v>31414</v>
      </c>
      <c r="Y2777" t="s">
        <v>157</v>
      </c>
      <c r="Z2777" t="s">
        <v>32</v>
      </c>
      <c r="AA2777" t="s">
        <v>31415</v>
      </c>
      <c r="AB2777" t="s">
        <v>31416</v>
      </c>
      <c r="AC2777" t="s">
        <v>31417</v>
      </c>
      <c r="AD2777" t="s">
        <v>32</v>
      </c>
      <c r="AE2777" t="s">
        <v>31418</v>
      </c>
      <c r="AF2777" t="s">
        <v>46835</v>
      </c>
    </row>
    <row r="2778" spans="1:32" x14ac:dyDescent="0.2">
      <c r="A2778">
        <v>2773</v>
      </c>
      <c r="B2778" t="s">
        <v>31419</v>
      </c>
      <c r="C2778" t="s">
        <v>31420</v>
      </c>
      <c r="D2778" t="s">
        <v>31421</v>
      </c>
      <c r="E2778" t="s">
        <v>31422</v>
      </c>
      <c r="F2778" t="s">
        <v>31423</v>
      </c>
      <c r="G2778" t="s">
        <v>32</v>
      </c>
      <c r="H2778" t="str">
        <f>"Tax1bp3"</f>
        <v>Tax1bp3</v>
      </c>
      <c r="I2778" t="s">
        <v>32</v>
      </c>
      <c r="J2778" t="s">
        <v>37</v>
      </c>
      <c r="K2778">
        <v>10090</v>
      </c>
      <c r="L2778" s="3" t="str">
        <f>HYPERLINK("http://www.uniprot.org/uniprot/Q9DBG9", "Q9DBG9")</f>
        <v>Q9DBG9</v>
      </c>
      <c r="M2778" t="s">
        <v>31424</v>
      </c>
      <c r="N2778" t="str">
        <f>"Tax1bp3"</f>
        <v>Tax1bp3</v>
      </c>
      <c r="O2778" s="3" t="str">
        <f>HYPERLINK("http://www.informatics.jax.org/marker/MGI:1923531", "MGI:1923531")</f>
        <v>MGI:1923531</v>
      </c>
      <c r="P2778" t="s">
        <v>31425</v>
      </c>
      <c r="Q2778" t="s">
        <v>3043</v>
      </c>
      <c r="R2778" t="s">
        <v>276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32</v>
      </c>
      <c r="Y2778" t="s">
        <v>157</v>
      </c>
      <c r="Z2778" t="s">
        <v>126</v>
      </c>
      <c r="AA2778" t="s">
        <v>31426</v>
      </c>
      <c r="AB2778" t="s">
        <v>31427</v>
      </c>
      <c r="AC2778" t="s">
        <v>31428</v>
      </c>
      <c r="AD2778" t="s">
        <v>32</v>
      </c>
      <c r="AE2778" t="s">
        <v>31429</v>
      </c>
      <c r="AF2778" t="s">
        <v>46835</v>
      </c>
    </row>
    <row r="2779" spans="1:32" x14ac:dyDescent="0.2">
      <c r="A2779">
        <v>2774</v>
      </c>
      <c r="B2779" t="s">
        <v>31430</v>
      </c>
      <c r="C2779" t="s">
        <v>31431</v>
      </c>
      <c r="D2779" t="s">
        <v>31432</v>
      </c>
      <c r="E2779" t="s">
        <v>31433</v>
      </c>
      <c r="F2779" t="s">
        <v>31434</v>
      </c>
      <c r="G2779" t="s">
        <v>31435</v>
      </c>
      <c r="H2779" t="str">
        <f>"Syap1"</f>
        <v>Syap1</v>
      </c>
      <c r="I2779" t="s">
        <v>32</v>
      </c>
      <c r="J2779" t="s">
        <v>37</v>
      </c>
      <c r="K2779">
        <v>10090</v>
      </c>
      <c r="L2779" s="3" t="str">
        <f>HYPERLINK("http://www.uniprot.org/uniprot/Q9D5V6", "Q9D5V6")</f>
        <v>Q9D5V6</v>
      </c>
      <c r="M2779" t="s">
        <v>31436</v>
      </c>
      <c r="N2779" t="str">
        <f>"Syap1"</f>
        <v>Syap1</v>
      </c>
      <c r="O2779" s="3" t="str">
        <f>HYPERLINK("http://www.informatics.jax.org/marker/MGI:1914293", "MGI:1914293")</f>
        <v>MGI:1914293</v>
      </c>
      <c r="P2779" t="s">
        <v>31437</v>
      </c>
      <c r="Q2779" t="s">
        <v>687</v>
      </c>
      <c r="R2779" t="s">
        <v>31438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32</v>
      </c>
      <c r="Y2779" t="s">
        <v>618</v>
      </c>
      <c r="Z2779" t="s">
        <v>32</v>
      </c>
      <c r="AA2779" t="s">
        <v>31439</v>
      </c>
      <c r="AB2779" t="s">
        <v>31440</v>
      </c>
      <c r="AC2779" t="s">
        <v>32</v>
      </c>
      <c r="AD2779" t="s">
        <v>32</v>
      </c>
      <c r="AE2779" t="s">
        <v>32</v>
      </c>
      <c r="AF2779" t="s">
        <v>46835</v>
      </c>
    </row>
    <row r="2780" spans="1:32" x14ac:dyDescent="0.2">
      <c r="A2780">
        <v>2775</v>
      </c>
      <c r="B2780" t="s">
        <v>31441</v>
      </c>
      <c r="C2780" t="s">
        <v>31442</v>
      </c>
      <c r="D2780" t="s">
        <v>32</v>
      </c>
      <c r="E2780" t="s">
        <v>31443</v>
      </c>
      <c r="F2780" t="s">
        <v>31444</v>
      </c>
      <c r="G2780" t="s">
        <v>31445</v>
      </c>
      <c r="H2780" t="str">
        <f>"Rab3b"</f>
        <v>Rab3b</v>
      </c>
      <c r="I2780" t="s">
        <v>32</v>
      </c>
      <c r="J2780" t="s">
        <v>37</v>
      </c>
      <c r="K2780">
        <v>10090</v>
      </c>
      <c r="L2780" s="3" t="str">
        <f>HYPERLINK("http://www.uniprot.org/uniprot/Q9CZT8", "Q9CZT8")</f>
        <v>Q9CZT8</v>
      </c>
      <c r="M2780" t="s">
        <v>31446</v>
      </c>
      <c r="N2780" t="str">
        <f>"Rab3b"</f>
        <v>Rab3b</v>
      </c>
      <c r="O2780" s="3" t="str">
        <f>HYPERLINK("http://www.informatics.jax.org/marker/MGI:1917158", "MGI:1917158")</f>
        <v>MGI:1917158</v>
      </c>
      <c r="P2780" t="s">
        <v>31447</v>
      </c>
      <c r="Q2780" t="s">
        <v>434</v>
      </c>
      <c r="R2780" t="s">
        <v>22708</v>
      </c>
      <c r="S2780" t="s">
        <v>32</v>
      </c>
      <c r="T2780" t="s">
        <v>32</v>
      </c>
      <c r="U2780" t="s">
        <v>32</v>
      </c>
      <c r="V2780" t="s">
        <v>32</v>
      </c>
      <c r="W2780" t="s">
        <v>261</v>
      </c>
      <c r="X2780" t="s">
        <v>32</v>
      </c>
      <c r="Y2780" t="s">
        <v>7985</v>
      </c>
      <c r="Z2780" t="s">
        <v>32</v>
      </c>
      <c r="AA2780" t="s">
        <v>31448</v>
      </c>
      <c r="AB2780" t="s">
        <v>31449</v>
      </c>
      <c r="AC2780" t="s">
        <v>31450</v>
      </c>
      <c r="AD2780" t="s">
        <v>32</v>
      </c>
      <c r="AE2780" t="s">
        <v>31451</v>
      </c>
      <c r="AF2780" t="s">
        <v>46835</v>
      </c>
    </row>
    <row r="2781" spans="1:32" x14ac:dyDescent="0.2">
      <c r="A2781">
        <v>2776</v>
      </c>
      <c r="B2781" t="s">
        <v>31452</v>
      </c>
      <c r="C2781" t="s">
        <v>31453</v>
      </c>
      <c r="D2781" t="s">
        <v>31454</v>
      </c>
      <c r="E2781" t="s">
        <v>31455</v>
      </c>
      <c r="F2781" t="s">
        <v>31456</v>
      </c>
      <c r="G2781" t="s">
        <v>31457</v>
      </c>
      <c r="H2781" t="str">
        <f>"Ighg2b"</f>
        <v>Ighg2b</v>
      </c>
      <c r="I2781" t="s">
        <v>32</v>
      </c>
      <c r="J2781" t="s">
        <v>37</v>
      </c>
      <c r="K2781">
        <v>10090</v>
      </c>
      <c r="L2781" s="3" t="str">
        <f>HYPERLINK("http://www.uniprot.org/uniprot/P01867", "P01867")</f>
        <v>P01867</v>
      </c>
      <c r="M2781" t="s">
        <v>31458</v>
      </c>
      <c r="N2781" t="str">
        <f>"Ighg2b"</f>
        <v>Ighg2b</v>
      </c>
      <c r="O2781" s="3" t="str">
        <f>HYPERLINK("http://www.informatics.jax.org/marker/MGI:96445", "MGI:96445")</f>
        <v>MGI:96445</v>
      </c>
      <c r="P2781" t="s">
        <v>31459</v>
      </c>
      <c r="Q2781" t="s">
        <v>32</v>
      </c>
      <c r="R2781" t="s">
        <v>30458</v>
      </c>
      <c r="S2781" t="s">
        <v>41</v>
      </c>
      <c r="T2781" t="s">
        <v>32</v>
      </c>
      <c r="U2781" t="s">
        <v>32</v>
      </c>
      <c r="V2781" t="s">
        <v>31460</v>
      </c>
      <c r="W2781" t="s">
        <v>32</v>
      </c>
      <c r="X2781" t="s">
        <v>32</v>
      </c>
      <c r="Y2781" t="s">
        <v>5275</v>
      </c>
      <c r="Z2781" t="s">
        <v>126</v>
      </c>
      <c r="AA2781" t="s">
        <v>31461</v>
      </c>
      <c r="AB2781" t="s">
        <v>31462</v>
      </c>
      <c r="AC2781" t="s">
        <v>31463</v>
      </c>
      <c r="AD2781" t="s">
        <v>32</v>
      </c>
      <c r="AE2781" t="s">
        <v>31464</v>
      </c>
      <c r="AF2781" t="s">
        <v>46835</v>
      </c>
    </row>
    <row r="2782" spans="1:32" x14ac:dyDescent="0.2">
      <c r="A2782">
        <v>2777</v>
      </c>
      <c r="B2782" t="s">
        <v>31465</v>
      </c>
      <c r="C2782" t="s">
        <v>31466</v>
      </c>
      <c r="D2782" t="s">
        <v>31467</v>
      </c>
      <c r="E2782" t="s">
        <v>31468</v>
      </c>
      <c r="F2782" t="s">
        <v>31469</v>
      </c>
      <c r="G2782" t="s">
        <v>31470</v>
      </c>
      <c r="H2782" t="str">
        <f>"Papola"</f>
        <v>Papola</v>
      </c>
      <c r="I2782" t="s">
        <v>31471</v>
      </c>
      <c r="J2782" t="s">
        <v>37</v>
      </c>
      <c r="K2782">
        <v>10090</v>
      </c>
      <c r="L2782" s="3" t="str">
        <f>HYPERLINK("http://www.uniprot.org/uniprot/Q61183", "Q61183")</f>
        <v>Q61183</v>
      </c>
      <c r="M2782" t="s">
        <v>31472</v>
      </c>
      <c r="N2782" t="str">
        <f>"Papola"</f>
        <v>Papola</v>
      </c>
      <c r="O2782" s="3" t="str">
        <f>HYPERLINK("http://www.informatics.jax.org/marker/MGI:109301", "MGI:109301")</f>
        <v>MGI:109301</v>
      </c>
      <c r="P2782" t="s">
        <v>31473</v>
      </c>
      <c r="Q2782" t="s">
        <v>16601</v>
      </c>
      <c r="R2782" t="s">
        <v>2279</v>
      </c>
      <c r="S2782" t="s">
        <v>41</v>
      </c>
      <c r="T2782" t="s">
        <v>32</v>
      </c>
      <c r="U2782" t="s">
        <v>32</v>
      </c>
      <c r="V2782" t="s">
        <v>32</v>
      </c>
      <c r="W2782" t="s">
        <v>4352</v>
      </c>
      <c r="X2782" t="s">
        <v>8240</v>
      </c>
      <c r="Y2782" t="s">
        <v>516</v>
      </c>
      <c r="Z2782" t="s">
        <v>32</v>
      </c>
      <c r="AA2782" t="s">
        <v>31474</v>
      </c>
      <c r="AB2782" t="s">
        <v>7318</v>
      </c>
      <c r="AC2782" t="s">
        <v>31475</v>
      </c>
      <c r="AD2782" t="s">
        <v>32</v>
      </c>
      <c r="AE2782" t="s">
        <v>13215</v>
      </c>
      <c r="AF2782" t="s">
        <v>46835</v>
      </c>
    </row>
    <row r="2783" spans="1:32" x14ac:dyDescent="0.2">
      <c r="A2783">
        <v>2778</v>
      </c>
      <c r="B2783" t="s">
        <v>31476</v>
      </c>
      <c r="C2783" t="s">
        <v>31477</v>
      </c>
      <c r="D2783" t="s">
        <v>31478</v>
      </c>
      <c r="E2783" t="s">
        <v>31479</v>
      </c>
      <c r="F2783" t="s">
        <v>31480</v>
      </c>
      <c r="G2783" t="s">
        <v>31481</v>
      </c>
      <c r="H2783" t="str">
        <f>"Tsc22d1"</f>
        <v>Tsc22d1</v>
      </c>
      <c r="I2783" t="s">
        <v>31482</v>
      </c>
      <c r="J2783" t="s">
        <v>37</v>
      </c>
      <c r="K2783">
        <v>10090</v>
      </c>
      <c r="L2783" s="3" t="str">
        <f>HYPERLINK("http://www.uniprot.org/uniprot/P62500", "P62500")</f>
        <v>P62500</v>
      </c>
      <c r="M2783" t="s">
        <v>31483</v>
      </c>
      <c r="N2783" t="str">
        <f>"Tsc22d1"</f>
        <v>Tsc22d1</v>
      </c>
      <c r="O2783" s="3" t="str">
        <f>HYPERLINK("http://www.informatics.jax.org/marker/MGI:109127", "MGI:109127")</f>
        <v>MGI:109127</v>
      </c>
      <c r="P2783" t="s">
        <v>31484</v>
      </c>
      <c r="Q2783" t="s">
        <v>4152</v>
      </c>
      <c r="R2783" t="s">
        <v>40</v>
      </c>
      <c r="S2783" t="s">
        <v>41</v>
      </c>
      <c r="T2783" t="s">
        <v>32</v>
      </c>
      <c r="U2783" t="s">
        <v>32</v>
      </c>
      <c r="V2783" t="s">
        <v>32</v>
      </c>
      <c r="W2783" t="s">
        <v>32</v>
      </c>
      <c r="X2783" t="s">
        <v>5195</v>
      </c>
      <c r="Y2783" t="s">
        <v>618</v>
      </c>
      <c r="Z2783" t="s">
        <v>32</v>
      </c>
      <c r="AA2783" t="s">
        <v>31485</v>
      </c>
      <c r="AB2783" t="s">
        <v>4218</v>
      </c>
      <c r="AC2783" t="s">
        <v>32</v>
      </c>
      <c r="AD2783" t="s">
        <v>32</v>
      </c>
      <c r="AE2783" t="s">
        <v>32</v>
      </c>
      <c r="AF2783" t="s">
        <v>46835</v>
      </c>
    </row>
    <row r="2784" spans="1:32" x14ac:dyDescent="0.2">
      <c r="A2784">
        <v>2779</v>
      </c>
      <c r="B2784" t="s">
        <v>31486</v>
      </c>
      <c r="C2784" t="s">
        <v>31487</v>
      </c>
      <c r="D2784" t="s">
        <v>31488</v>
      </c>
      <c r="E2784" t="s">
        <v>31489</v>
      </c>
      <c r="F2784" t="s">
        <v>31490</v>
      </c>
      <c r="G2784" t="s">
        <v>31491</v>
      </c>
      <c r="H2784" t="str">
        <f>"Ap1s1"</f>
        <v>Ap1s1</v>
      </c>
      <c r="I2784" t="s">
        <v>31492</v>
      </c>
      <c r="J2784" t="s">
        <v>37</v>
      </c>
      <c r="K2784">
        <v>10090</v>
      </c>
      <c r="L2784" s="3" t="str">
        <f>HYPERLINK("http://www.uniprot.org/uniprot/P61967", "P61967")</f>
        <v>P61967</v>
      </c>
      <c r="M2784" t="s">
        <v>31493</v>
      </c>
      <c r="N2784" t="str">
        <f>"Ap1s1"</f>
        <v>Ap1s1</v>
      </c>
      <c r="O2784" s="3" t="str">
        <f>HYPERLINK("http://www.informatics.jax.org/marker/MGI:1098244", "MGI:1098244")</f>
        <v>MGI:1098244</v>
      </c>
      <c r="P2784" t="s">
        <v>31494</v>
      </c>
      <c r="Q2784" t="s">
        <v>434</v>
      </c>
      <c r="R2784" t="s">
        <v>31495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32</v>
      </c>
      <c r="Y2784" t="s">
        <v>618</v>
      </c>
      <c r="Z2784" t="s">
        <v>126</v>
      </c>
      <c r="AA2784" t="s">
        <v>31496</v>
      </c>
      <c r="AB2784" t="s">
        <v>31497</v>
      </c>
      <c r="AC2784" t="s">
        <v>16930</v>
      </c>
      <c r="AD2784" t="s">
        <v>32</v>
      </c>
      <c r="AE2784" t="s">
        <v>9104</v>
      </c>
      <c r="AF2784" t="s">
        <v>46835</v>
      </c>
    </row>
    <row r="2785" spans="1:33" x14ac:dyDescent="0.2">
      <c r="A2785">
        <v>2780</v>
      </c>
      <c r="B2785" t="s">
        <v>31498</v>
      </c>
      <c r="C2785" t="s">
        <v>31499</v>
      </c>
      <c r="D2785" t="s">
        <v>31500</v>
      </c>
      <c r="E2785" t="s">
        <v>31501</v>
      </c>
      <c r="F2785" t="s">
        <v>31502</v>
      </c>
      <c r="G2785" t="s">
        <v>32</v>
      </c>
      <c r="H2785" t="str">
        <f>"Polr2e"</f>
        <v>Polr2e</v>
      </c>
      <c r="I2785" t="s">
        <v>32</v>
      </c>
      <c r="J2785" t="s">
        <v>37</v>
      </c>
      <c r="K2785">
        <v>10090</v>
      </c>
      <c r="L2785" s="3" t="str">
        <f>HYPERLINK("http://www.uniprot.org/uniprot/Q80UW8", "Q80UW8")</f>
        <v>Q80UW8</v>
      </c>
      <c r="M2785" t="s">
        <v>31503</v>
      </c>
      <c r="N2785" t="str">
        <f>"Polr2e"</f>
        <v>Polr2e</v>
      </c>
      <c r="O2785" s="3" t="str">
        <f>HYPERLINK("http://www.informatics.jax.org/marker/MGI:1913670", "MGI:1913670")</f>
        <v>MGI:1913670</v>
      </c>
      <c r="P2785" t="s">
        <v>31504</v>
      </c>
      <c r="Q2785" t="s">
        <v>16415</v>
      </c>
      <c r="R2785" t="s">
        <v>19800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32</v>
      </c>
      <c r="Y2785" t="s">
        <v>461</v>
      </c>
      <c r="Z2785" t="s">
        <v>32</v>
      </c>
      <c r="AA2785" t="s">
        <v>20776</v>
      </c>
      <c r="AB2785" t="s">
        <v>31505</v>
      </c>
      <c r="AC2785" t="s">
        <v>31506</v>
      </c>
      <c r="AD2785" t="s">
        <v>32</v>
      </c>
      <c r="AE2785" t="s">
        <v>31507</v>
      </c>
      <c r="AF2785" t="s">
        <v>46835</v>
      </c>
    </row>
    <row r="2786" spans="1:33" x14ac:dyDescent="0.2">
      <c r="A2786">
        <v>2781</v>
      </c>
      <c r="B2786" t="s">
        <v>31508</v>
      </c>
      <c r="C2786" t="s">
        <v>31509</v>
      </c>
      <c r="D2786" t="s">
        <v>31510</v>
      </c>
      <c r="E2786" t="s">
        <v>31511</v>
      </c>
      <c r="F2786" t="s">
        <v>31512</v>
      </c>
      <c r="G2786" t="s">
        <v>31513</v>
      </c>
      <c r="H2786" t="str">
        <f>"Use1"</f>
        <v>Use1</v>
      </c>
      <c r="I2786" t="s">
        <v>31514</v>
      </c>
      <c r="J2786" t="s">
        <v>37</v>
      </c>
      <c r="K2786">
        <v>10090</v>
      </c>
      <c r="L2786" s="3" t="str">
        <f>HYPERLINK("http://www.uniprot.org/uniprot/Q9CQ56", "Q9CQ56")</f>
        <v>Q9CQ56</v>
      </c>
      <c r="M2786" t="s">
        <v>31515</v>
      </c>
      <c r="N2786" t="str">
        <f>"Use1"</f>
        <v>Use1</v>
      </c>
      <c r="O2786" s="3" t="str">
        <f>HYPERLINK("http://www.informatics.jax.org/marker/MGI:1914273", "MGI:1914273")</f>
        <v>MGI:1914273</v>
      </c>
      <c r="P2786" t="s">
        <v>31516</v>
      </c>
      <c r="Q2786" t="s">
        <v>2916</v>
      </c>
      <c r="R2786" t="s">
        <v>1664</v>
      </c>
      <c r="S2786" t="s">
        <v>41</v>
      </c>
      <c r="T2786" t="s">
        <v>32</v>
      </c>
      <c r="U2786" t="s">
        <v>32</v>
      </c>
      <c r="V2786" t="s">
        <v>6500</v>
      </c>
      <c r="W2786" t="s">
        <v>32</v>
      </c>
      <c r="X2786" t="s">
        <v>32</v>
      </c>
      <c r="Y2786" t="s">
        <v>32</v>
      </c>
      <c r="Z2786" t="s">
        <v>32</v>
      </c>
      <c r="AA2786" t="s">
        <v>31517</v>
      </c>
      <c r="AB2786" t="s">
        <v>31518</v>
      </c>
      <c r="AC2786" t="s">
        <v>31519</v>
      </c>
      <c r="AD2786" t="s">
        <v>32</v>
      </c>
      <c r="AE2786" t="s">
        <v>25748</v>
      </c>
      <c r="AF2786" t="s">
        <v>46835</v>
      </c>
    </row>
    <row r="2787" spans="1:33" x14ac:dyDescent="0.2">
      <c r="A2787">
        <v>2782</v>
      </c>
      <c r="B2787" t="s">
        <v>31520</v>
      </c>
      <c r="C2787" t="s">
        <v>31521</v>
      </c>
      <c r="D2787" t="s">
        <v>31522</v>
      </c>
      <c r="E2787" t="s">
        <v>31523</v>
      </c>
      <c r="F2787" t="s">
        <v>31524</v>
      </c>
      <c r="G2787" t="s">
        <v>31525</v>
      </c>
      <c r="H2787" t="str">
        <f>"B3glct"</f>
        <v>B3glct</v>
      </c>
      <c r="I2787" t="s">
        <v>32</v>
      </c>
      <c r="J2787" t="s">
        <v>37</v>
      </c>
      <c r="K2787">
        <v>10090</v>
      </c>
      <c r="L2787" s="3" t="str">
        <f>HYPERLINK("http://www.uniprot.org/uniprot/Q8BHT6", "Q8BHT6")</f>
        <v>Q8BHT6</v>
      </c>
      <c r="M2787" t="s">
        <v>31526</v>
      </c>
      <c r="N2787" t="str">
        <f>"B3glct"</f>
        <v>B3glct</v>
      </c>
      <c r="O2787" s="3" t="str">
        <f>HYPERLINK("http://www.informatics.jax.org/marker/MGI:2685903", "MGI:2685903")</f>
        <v>MGI:2685903</v>
      </c>
      <c r="P2787" t="s">
        <v>31527</v>
      </c>
      <c r="Q2787" t="s">
        <v>20982</v>
      </c>
      <c r="R2787" t="s">
        <v>1664</v>
      </c>
      <c r="S2787" t="s">
        <v>41</v>
      </c>
      <c r="T2787" t="s">
        <v>32</v>
      </c>
      <c r="U2787" t="s">
        <v>32</v>
      </c>
      <c r="V2787" t="s">
        <v>1550</v>
      </c>
      <c r="W2787" t="s">
        <v>32</v>
      </c>
      <c r="X2787" t="s">
        <v>2362</v>
      </c>
      <c r="Y2787" t="s">
        <v>3733</v>
      </c>
      <c r="Z2787" t="s">
        <v>32</v>
      </c>
      <c r="AA2787" t="s">
        <v>31528</v>
      </c>
      <c r="AB2787" t="s">
        <v>31529</v>
      </c>
      <c r="AC2787" t="s">
        <v>31530</v>
      </c>
      <c r="AD2787" t="s">
        <v>3952</v>
      </c>
      <c r="AE2787" t="s">
        <v>20490</v>
      </c>
      <c r="AF2787" t="s">
        <v>46835</v>
      </c>
    </row>
    <row r="2788" spans="1:33" x14ac:dyDescent="0.2">
      <c r="A2788">
        <v>2783</v>
      </c>
      <c r="B2788" t="s">
        <v>31531</v>
      </c>
      <c r="C2788" t="s">
        <v>31532</v>
      </c>
      <c r="D2788" t="s">
        <v>32</v>
      </c>
      <c r="E2788" t="s">
        <v>31533</v>
      </c>
      <c r="F2788" t="s">
        <v>31534</v>
      </c>
      <c r="G2788" t="s">
        <v>31535</v>
      </c>
      <c r="H2788" t="str">
        <f>"Tmem214"</f>
        <v>Tmem214</v>
      </c>
      <c r="I2788" t="s">
        <v>32</v>
      </c>
      <c r="J2788" t="s">
        <v>37</v>
      </c>
      <c r="K2788">
        <v>10090</v>
      </c>
      <c r="L2788" s="3" t="str">
        <f>HYPERLINK("http://www.uniprot.org/uniprot/Q8BM55", "Q8BM55")</f>
        <v>Q8BM55</v>
      </c>
      <c r="M2788" t="s">
        <v>31536</v>
      </c>
      <c r="N2788" t="str">
        <f>"Tmem214"</f>
        <v>Tmem214</v>
      </c>
      <c r="O2788" s="3" t="str">
        <f>HYPERLINK("http://www.informatics.jax.org/marker/MGI:1916046", "MGI:1916046")</f>
        <v>MGI:1916046</v>
      </c>
      <c r="P2788" t="s">
        <v>31537</v>
      </c>
      <c r="Q2788" t="s">
        <v>541</v>
      </c>
      <c r="R2788" t="s">
        <v>1664</v>
      </c>
      <c r="S2788" t="s">
        <v>41</v>
      </c>
      <c r="T2788" t="s">
        <v>32</v>
      </c>
      <c r="U2788" t="s">
        <v>32</v>
      </c>
      <c r="V2788" t="s">
        <v>493</v>
      </c>
      <c r="W2788" t="s">
        <v>32</v>
      </c>
      <c r="X2788" t="s">
        <v>32</v>
      </c>
      <c r="Y2788" t="s">
        <v>10506</v>
      </c>
      <c r="Z2788" t="s">
        <v>32</v>
      </c>
      <c r="AA2788" t="s">
        <v>31538</v>
      </c>
      <c r="AB2788" t="s">
        <v>31539</v>
      </c>
      <c r="AC2788" t="s">
        <v>32</v>
      </c>
      <c r="AD2788" t="s">
        <v>32</v>
      </c>
      <c r="AE2788" t="s">
        <v>32</v>
      </c>
      <c r="AF2788" t="s">
        <v>46835</v>
      </c>
    </row>
    <row r="2789" spans="1:33" x14ac:dyDescent="0.2">
      <c r="A2789">
        <v>2784</v>
      </c>
      <c r="B2789" t="s">
        <v>31540</v>
      </c>
      <c r="C2789" t="s">
        <v>31541</v>
      </c>
      <c r="D2789" t="s">
        <v>31542</v>
      </c>
      <c r="E2789" t="s">
        <v>31543</v>
      </c>
      <c r="F2789" t="s">
        <v>31544</v>
      </c>
      <c r="G2789" t="s">
        <v>31545</v>
      </c>
      <c r="H2789" t="str">
        <f>"Camk1d"</f>
        <v>Camk1d</v>
      </c>
      <c r="I2789" t="s">
        <v>32</v>
      </c>
      <c r="J2789" t="s">
        <v>37</v>
      </c>
      <c r="K2789">
        <v>10090</v>
      </c>
      <c r="L2789" s="3" t="str">
        <f>HYPERLINK("http://www.uniprot.org/uniprot/Q8BW96", "Q8BW96")</f>
        <v>Q8BW96</v>
      </c>
      <c r="M2789" t="s">
        <v>31546</v>
      </c>
      <c r="N2789" t="str">
        <f>"Camk1d"</f>
        <v>Camk1d</v>
      </c>
      <c r="O2789" s="3" t="str">
        <f>HYPERLINK("http://www.informatics.jax.org/marker/MGI:2442190", "MGI:2442190")</f>
        <v>MGI:2442190</v>
      </c>
      <c r="P2789" t="s">
        <v>31547</v>
      </c>
      <c r="Q2789" t="s">
        <v>31548</v>
      </c>
      <c r="R2789" t="s">
        <v>40</v>
      </c>
      <c r="S2789" t="s">
        <v>41</v>
      </c>
      <c r="T2789" t="s">
        <v>32</v>
      </c>
      <c r="U2789" t="s">
        <v>32</v>
      </c>
      <c r="V2789" t="s">
        <v>32</v>
      </c>
      <c r="W2789" t="s">
        <v>812</v>
      </c>
      <c r="X2789" t="s">
        <v>31549</v>
      </c>
      <c r="Y2789" t="s">
        <v>1007</v>
      </c>
      <c r="Z2789" t="s">
        <v>32</v>
      </c>
      <c r="AA2789" t="s">
        <v>31550</v>
      </c>
      <c r="AB2789" t="s">
        <v>110</v>
      </c>
      <c r="AC2789" t="s">
        <v>31551</v>
      </c>
      <c r="AD2789" t="s">
        <v>32</v>
      </c>
      <c r="AE2789" t="s">
        <v>32</v>
      </c>
      <c r="AF2789" t="s">
        <v>46835</v>
      </c>
    </row>
    <row r="2790" spans="1:33" x14ac:dyDescent="0.2">
      <c r="A2790">
        <v>2785</v>
      </c>
      <c r="B2790" t="s">
        <v>31552</v>
      </c>
      <c r="C2790" t="s">
        <v>31553</v>
      </c>
      <c r="D2790" t="s">
        <v>31554</v>
      </c>
      <c r="E2790" t="s">
        <v>31555</v>
      </c>
      <c r="F2790" t="s">
        <v>31556</v>
      </c>
      <c r="G2790" t="s">
        <v>31557</v>
      </c>
      <c r="H2790" t="str">
        <f>"Gne"</f>
        <v>Gne</v>
      </c>
      <c r="I2790" t="s">
        <v>31558</v>
      </c>
      <c r="J2790" t="s">
        <v>37</v>
      </c>
      <c r="K2790">
        <v>10090</v>
      </c>
      <c r="L2790" s="3" t="str">
        <f>HYPERLINK("http://www.uniprot.org/uniprot/Q91WG8", "Q91WG8")</f>
        <v>Q91WG8</v>
      </c>
      <c r="M2790" t="s">
        <v>31559</v>
      </c>
      <c r="N2790" t="str">
        <f>"Gne"</f>
        <v>Gne</v>
      </c>
      <c r="O2790" s="3" t="str">
        <f>HYPERLINK("http://www.informatics.jax.org/marker/MGI:1354951", "MGI:1354951")</f>
        <v>MGI:1354951</v>
      </c>
      <c r="P2790" t="s">
        <v>31560</v>
      </c>
      <c r="Q2790" t="s">
        <v>32</v>
      </c>
      <c r="R2790" t="s">
        <v>418</v>
      </c>
      <c r="S2790" t="s">
        <v>32</v>
      </c>
      <c r="T2790" t="s">
        <v>32</v>
      </c>
      <c r="U2790" t="s">
        <v>32</v>
      </c>
      <c r="V2790" t="s">
        <v>32</v>
      </c>
      <c r="W2790" t="s">
        <v>2325</v>
      </c>
      <c r="X2790" t="s">
        <v>31561</v>
      </c>
      <c r="Y2790" t="s">
        <v>618</v>
      </c>
      <c r="Z2790" t="s">
        <v>32</v>
      </c>
      <c r="AA2790" t="s">
        <v>31562</v>
      </c>
      <c r="AB2790" t="s">
        <v>1268</v>
      </c>
      <c r="AC2790" t="s">
        <v>31563</v>
      </c>
      <c r="AD2790" t="s">
        <v>24424</v>
      </c>
      <c r="AE2790" t="s">
        <v>2175</v>
      </c>
      <c r="AF2790" t="s">
        <v>46835</v>
      </c>
    </row>
    <row r="2791" spans="1:33" x14ac:dyDescent="0.2">
      <c r="A2791">
        <v>2786</v>
      </c>
      <c r="B2791" t="s">
        <v>31564</v>
      </c>
      <c r="C2791" t="s">
        <v>47110</v>
      </c>
      <c r="D2791" t="s">
        <v>32</v>
      </c>
      <c r="E2791" t="s">
        <v>46996</v>
      </c>
      <c r="F2791" t="s">
        <v>46995</v>
      </c>
      <c r="G2791" t="s">
        <v>32</v>
      </c>
      <c r="H2791" t="s">
        <v>47241</v>
      </c>
      <c r="I2791" t="s">
        <v>32</v>
      </c>
      <c r="J2791" t="s">
        <v>37</v>
      </c>
      <c r="K2791">
        <v>10090</v>
      </c>
      <c r="L2791" s="3" t="str">
        <f>HYPERLINK(CONCATENATE("https://www.uniprot.org/uniprotkb/", AG2791, "/entry"), AG2791)</f>
        <v>Q9EPN1</v>
      </c>
      <c r="M2791" t="s">
        <v>32</v>
      </c>
      <c r="N2791" t="s">
        <v>32</v>
      </c>
      <c r="O2791" s="3" t="s">
        <v>32</v>
      </c>
      <c r="P2791" t="s">
        <v>32</v>
      </c>
      <c r="Q2791" t="s">
        <v>32</v>
      </c>
      <c r="R2791" t="s">
        <v>32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32</v>
      </c>
      <c r="Y2791" t="s">
        <v>32</v>
      </c>
      <c r="Z2791" t="s">
        <v>32</v>
      </c>
      <c r="AA2791" t="s">
        <v>32</v>
      </c>
      <c r="AB2791" t="s">
        <v>32</v>
      </c>
      <c r="AC2791" t="s">
        <v>32</v>
      </c>
      <c r="AD2791" t="s">
        <v>32</v>
      </c>
      <c r="AE2791" t="s">
        <v>32</v>
      </c>
      <c r="AF2791" t="s">
        <v>46835</v>
      </c>
      <c r="AG2791" t="s">
        <v>46995</v>
      </c>
    </row>
    <row r="2792" spans="1:33" x14ac:dyDescent="0.2">
      <c r="A2792">
        <v>2787</v>
      </c>
      <c r="B2792" t="s">
        <v>31565</v>
      </c>
      <c r="C2792" t="s">
        <v>31566</v>
      </c>
      <c r="D2792" t="s">
        <v>31567</v>
      </c>
      <c r="E2792" t="s">
        <v>31568</v>
      </c>
      <c r="F2792" t="s">
        <v>31569</v>
      </c>
      <c r="G2792" t="s">
        <v>31570</v>
      </c>
      <c r="H2792" t="str">
        <f>"Acox1"</f>
        <v>Acox1</v>
      </c>
      <c r="I2792" t="s">
        <v>31571</v>
      </c>
      <c r="J2792" t="s">
        <v>37</v>
      </c>
      <c r="K2792">
        <v>10090</v>
      </c>
      <c r="L2792" s="3" t="str">
        <f>HYPERLINK("http://www.uniprot.org/uniprot/Q9R0H0", "Q9R0H0")</f>
        <v>Q9R0H0</v>
      </c>
      <c r="M2792" t="s">
        <v>31572</v>
      </c>
      <c r="N2792" t="str">
        <f>"Acox1"</f>
        <v>Acox1</v>
      </c>
      <c r="O2792" s="3" t="str">
        <f>HYPERLINK("http://www.informatics.jax.org/marker/MGI:1330812", "MGI:1330812")</f>
        <v>MGI:1330812</v>
      </c>
      <c r="P2792" t="s">
        <v>31573</v>
      </c>
      <c r="Q2792" t="s">
        <v>6214</v>
      </c>
      <c r="R2792" t="s">
        <v>5745</v>
      </c>
      <c r="S2792" t="s">
        <v>41</v>
      </c>
      <c r="T2792" t="s">
        <v>32</v>
      </c>
      <c r="U2792" t="s">
        <v>32</v>
      </c>
      <c r="V2792" t="s">
        <v>32</v>
      </c>
      <c r="W2792" t="s">
        <v>4600</v>
      </c>
      <c r="X2792" t="s">
        <v>600</v>
      </c>
      <c r="Y2792" t="s">
        <v>157</v>
      </c>
      <c r="Z2792" t="s">
        <v>32</v>
      </c>
      <c r="AA2792" t="s">
        <v>31574</v>
      </c>
      <c r="AB2792" t="s">
        <v>31575</v>
      </c>
      <c r="AC2792" t="s">
        <v>31576</v>
      </c>
      <c r="AD2792" t="s">
        <v>18713</v>
      </c>
      <c r="AE2792" t="s">
        <v>31577</v>
      </c>
      <c r="AF2792" t="s">
        <v>46835</v>
      </c>
    </row>
    <row r="2793" spans="1:33" x14ac:dyDescent="0.2">
      <c r="A2793">
        <v>2788</v>
      </c>
      <c r="B2793" t="s">
        <v>31578</v>
      </c>
      <c r="C2793" t="s">
        <v>31579</v>
      </c>
      <c r="D2793" t="s">
        <v>32</v>
      </c>
      <c r="E2793" t="s">
        <v>31580</v>
      </c>
      <c r="F2793" t="s">
        <v>31581</v>
      </c>
      <c r="G2793" t="s">
        <v>32</v>
      </c>
      <c r="H2793" t="str">
        <f>"Rpap3"</f>
        <v>Rpap3</v>
      </c>
      <c r="I2793" t="s">
        <v>31582</v>
      </c>
      <c r="J2793" t="s">
        <v>37</v>
      </c>
      <c r="K2793">
        <v>10090</v>
      </c>
      <c r="L2793" s="3" t="str">
        <f>HYPERLINK("http://www.uniprot.org/uniprot/Q9D706", "Q9D706")</f>
        <v>Q9D706</v>
      </c>
      <c r="M2793" t="s">
        <v>31583</v>
      </c>
      <c r="N2793" t="str">
        <f>"Rpap3"</f>
        <v>Rpap3</v>
      </c>
      <c r="O2793" s="3" t="str">
        <f>HYPERLINK("http://www.informatics.jax.org/marker/MGI:1277218", "MGI:1277218")</f>
        <v>MGI:1277218</v>
      </c>
      <c r="P2793" t="s">
        <v>31584</v>
      </c>
      <c r="Q2793" t="s">
        <v>32</v>
      </c>
      <c r="R2793" t="s">
        <v>32</v>
      </c>
      <c r="S2793" t="s">
        <v>32</v>
      </c>
      <c r="T2793" t="s">
        <v>32</v>
      </c>
      <c r="U2793" t="s">
        <v>32</v>
      </c>
      <c r="V2793" t="s">
        <v>995</v>
      </c>
      <c r="W2793" t="s">
        <v>32</v>
      </c>
      <c r="X2793" t="s">
        <v>32</v>
      </c>
      <c r="Y2793" t="s">
        <v>516</v>
      </c>
      <c r="Z2793" t="s">
        <v>32</v>
      </c>
      <c r="AA2793" t="s">
        <v>32</v>
      </c>
      <c r="AB2793" t="s">
        <v>31585</v>
      </c>
      <c r="AC2793" t="s">
        <v>32</v>
      </c>
      <c r="AD2793" t="s">
        <v>32</v>
      </c>
      <c r="AE2793" t="s">
        <v>32</v>
      </c>
      <c r="AF2793" t="s">
        <v>46835</v>
      </c>
    </row>
    <row r="2794" spans="1:33" x14ac:dyDescent="0.2">
      <c r="A2794">
        <v>2789</v>
      </c>
      <c r="B2794" t="s">
        <v>31586</v>
      </c>
      <c r="C2794" t="s">
        <v>31587</v>
      </c>
      <c r="D2794" t="s">
        <v>31588</v>
      </c>
      <c r="E2794" t="s">
        <v>31589</v>
      </c>
      <c r="F2794" t="s">
        <v>31590</v>
      </c>
      <c r="G2794" t="s">
        <v>31591</v>
      </c>
      <c r="H2794" t="str">
        <f>"Brd4"</f>
        <v>Brd4</v>
      </c>
      <c r="I2794" t="s">
        <v>31592</v>
      </c>
      <c r="J2794" t="s">
        <v>37</v>
      </c>
      <c r="K2794">
        <v>10090</v>
      </c>
      <c r="L2794" s="3" t="str">
        <f>HYPERLINK("http://www.uniprot.org/uniprot/Q9ESU6", "Q9ESU6")</f>
        <v>Q9ESU6</v>
      </c>
      <c r="M2794" t="s">
        <v>31593</v>
      </c>
      <c r="N2794" t="str">
        <f>"Brd4"</f>
        <v>Brd4</v>
      </c>
      <c r="O2794" s="3" t="str">
        <f>HYPERLINK("http://www.informatics.jax.org/marker/MGI:1888520", "MGI:1888520")</f>
        <v>MGI:1888520</v>
      </c>
      <c r="P2794" t="s">
        <v>31594</v>
      </c>
      <c r="Q2794" t="s">
        <v>4152</v>
      </c>
      <c r="R2794" t="s">
        <v>1939</v>
      </c>
      <c r="S2794" t="s">
        <v>41</v>
      </c>
      <c r="T2794" t="s">
        <v>32</v>
      </c>
      <c r="U2794" t="s">
        <v>32</v>
      </c>
      <c r="V2794" t="s">
        <v>23404</v>
      </c>
      <c r="W2794" t="s">
        <v>32</v>
      </c>
      <c r="X2794" t="s">
        <v>9988</v>
      </c>
      <c r="Y2794" t="s">
        <v>516</v>
      </c>
      <c r="Z2794" t="s">
        <v>126</v>
      </c>
      <c r="AA2794" t="s">
        <v>31595</v>
      </c>
      <c r="AB2794" t="s">
        <v>31596</v>
      </c>
      <c r="AC2794" t="s">
        <v>31597</v>
      </c>
      <c r="AD2794" t="s">
        <v>32</v>
      </c>
      <c r="AE2794" t="s">
        <v>32</v>
      </c>
      <c r="AF2794" t="s">
        <v>46835</v>
      </c>
    </row>
    <row r="2795" spans="1:33" x14ac:dyDescent="0.2">
      <c r="A2795">
        <v>2790</v>
      </c>
      <c r="B2795" t="s">
        <v>31598</v>
      </c>
      <c r="C2795" t="s">
        <v>31599</v>
      </c>
      <c r="D2795" t="s">
        <v>31600</v>
      </c>
      <c r="E2795" t="s">
        <v>31601</v>
      </c>
      <c r="F2795" t="s">
        <v>31602</v>
      </c>
      <c r="G2795" t="s">
        <v>31603</v>
      </c>
      <c r="H2795" t="str">
        <f>"Exoc5"</f>
        <v>Exoc5</v>
      </c>
      <c r="I2795" t="s">
        <v>31604</v>
      </c>
      <c r="J2795" t="s">
        <v>37</v>
      </c>
      <c r="K2795">
        <v>10090</v>
      </c>
      <c r="L2795" s="3" t="str">
        <f>HYPERLINK("http://www.uniprot.org/uniprot/Q3TPX4", "Q3TPX4")</f>
        <v>Q3TPX4</v>
      </c>
      <c r="M2795" t="s">
        <v>31605</v>
      </c>
      <c r="N2795" t="str">
        <f>"Exoc5"</f>
        <v>Exoc5</v>
      </c>
      <c r="O2795" s="3" t="str">
        <f>HYPERLINK("http://www.informatics.jax.org/marker/MGI:2145645", "MGI:2145645")</f>
        <v>MGI:2145645</v>
      </c>
      <c r="P2795" t="s">
        <v>31606</v>
      </c>
      <c r="Q2795" t="s">
        <v>24397</v>
      </c>
      <c r="R2795" t="s">
        <v>418</v>
      </c>
      <c r="S2795" t="s">
        <v>32</v>
      </c>
      <c r="T2795" t="s">
        <v>32</v>
      </c>
      <c r="U2795" t="s">
        <v>32</v>
      </c>
      <c r="V2795" t="s">
        <v>290</v>
      </c>
      <c r="W2795" t="s">
        <v>32</v>
      </c>
      <c r="X2795" t="s">
        <v>32</v>
      </c>
      <c r="Y2795" t="s">
        <v>157</v>
      </c>
      <c r="Z2795" t="s">
        <v>32</v>
      </c>
      <c r="AA2795" t="s">
        <v>31607</v>
      </c>
      <c r="AB2795" t="s">
        <v>31608</v>
      </c>
      <c r="AC2795" t="s">
        <v>31609</v>
      </c>
      <c r="AD2795" t="s">
        <v>32</v>
      </c>
      <c r="AE2795" t="s">
        <v>24401</v>
      </c>
      <c r="AF2795" t="s">
        <v>46835</v>
      </c>
    </row>
    <row r="2796" spans="1:33" x14ac:dyDescent="0.2">
      <c r="A2796">
        <v>2791</v>
      </c>
      <c r="B2796" t="s">
        <v>31610</v>
      </c>
      <c r="C2796" t="s">
        <v>31611</v>
      </c>
      <c r="D2796" t="s">
        <v>31612</v>
      </c>
      <c r="E2796" t="s">
        <v>31613</v>
      </c>
      <c r="F2796" t="s">
        <v>31614</v>
      </c>
      <c r="G2796" t="s">
        <v>31615</v>
      </c>
      <c r="H2796" t="str">
        <f>"Dnajc10"</f>
        <v>Dnajc10</v>
      </c>
      <c r="I2796" t="s">
        <v>31616</v>
      </c>
      <c r="J2796" t="s">
        <v>37</v>
      </c>
      <c r="K2796">
        <v>10090</v>
      </c>
      <c r="L2796" s="3" t="str">
        <f>HYPERLINK("http://www.uniprot.org/uniprot/Q9DC23", "Q9DC23")</f>
        <v>Q9DC23</v>
      </c>
      <c r="M2796" t="s">
        <v>31617</v>
      </c>
      <c r="N2796" t="str">
        <f>"Dnajc10"</f>
        <v>Dnajc10</v>
      </c>
      <c r="O2796" s="3" t="str">
        <f>HYPERLINK("http://www.informatics.jax.org/marker/MGI:1914111", "MGI:1914111")</f>
        <v>MGI:1914111</v>
      </c>
      <c r="P2796" t="s">
        <v>31618</v>
      </c>
      <c r="Q2796" t="s">
        <v>32</v>
      </c>
      <c r="R2796" t="s">
        <v>671</v>
      </c>
      <c r="S2796" t="s">
        <v>32</v>
      </c>
      <c r="T2796" t="s">
        <v>32</v>
      </c>
      <c r="U2796" t="s">
        <v>32</v>
      </c>
      <c r="V2796" t="s">
        <v>672</v>
      </c>
      <c r="W2796" t="s">
        <v>32</v>
      </c>
      <c r="X2796" t="s">
        <v>600</v>
      </c>
      <c r="Y2796" t="s">
        <v>5275</v>
      </c>
      <c r="Z2796" t="s">
        <v>126</v>
      </c>
      <c r="AA2796" t="s">
        <v>31619</v>
      </c>
      <c r="AB2796" t="s">
        <v>31620</v>
      </c>
      <c r="AC2796" t="s">
        <v>31621</v>
      </c>
      <c r="AD2796" t="s">
        <v>32</v>
      </c>
      <c r="AE2796" t="s">
        <v>32</v>
      </c>
      <c r="AF2796" t="s">
        <v>46835</v>
      </c>
    </row>
    <row r="2797" spans="1:33" x14ac:dyDescent="0.2">
      <c r="A2797">
        <v>2792</v>
      </c>
      <c r="B2797" t="s">
        <v>31622</v>
      </c>
      <c r="C2797" t="s">
        <v>31623</v>
      </c>
      <c r="D2797" t="s">
        <v>32</v>
      </c>
      <c r="E2797" t="s">
        <v>31624</v>
      </c>
      <c r="F2797" t="s">
        <v>31625</v>
      </c>
      <c r="G2797" t="s">
        <v>31626</v>
      </c>
      <c r="H2797" t="str">
        <f>"Ctbp1"</f>
        <v>Ctbp1</v>
      </c>
      <c r="I2797" t="s">
        <v>32</v>
      </c>
      <c r="J2797" t="s">
        <v>37</v>
      </c>
      <c r="K2797">
        <v>10090</v>
      </c>
      <c r="L2797" s="3" t="str">
        <f>HYPERLINK("http://www.uniprot.org/uniprot/O88712", "O88712")</f>
        <v>O88712</v>
      </c>
      <c r="M2797" t="s">
        <v>31627</v>
      </c>
      <c r="N2797" t="str">
        <f>"Ctbp1"</f>
        <v>Ctbp1</v>
      </c>
      <c r="O2797" s="3" t="str">
        <f>HYPERLINK("http://www.informatics.jax.org/marker/MGI:1201685", "MGI:1201685")</f>
        <v>MGI:1201685</v>
      </c>
      <c r="P2797" t="s">
        <v>31628</v>
      </c>
      <c r="Q2797" t="s">
        <v>13865</v>
      </c>
      <c r="R2797" t="s">
        <v>40</v>
      </c>
      <c r="S2797" t="s">
        <v>41</v>
      </c>
      <c r="T2797" t="s">
        <v>32</v>
      </c>
      <c r="U2797" t="s">
        <v>32</v>
      </c>
      <c r="V2797" t="s">
        <v>32</v>
      </c>
      <c r="W2797" t="s">
        <v>325</v>
      </c>
      <c r="X2797" t="s">
        <v>21874</v>
      </c>
      <c r="Y2797" t="s">
        <v>23483</v>
      </c>
      <c r="Z2797" t="s">
        <v>32</v>
      </c>
      <c r="AA2797" t="s">
        <v>31629</v>
      </c>
      <c r="AB2797" t="s">
        <v>31630</v>
      </c>
      <c r="AC2797" t="s">
        <v>31631</v>
      </c>
      <c r="AD2797" t="s">
        <v>32</v>
      </c>
      <c r="AE2797" t="s">
        <v>31632</v>
      </c>
      <c r="AF2797" t="s">
        <v>46835</v>
      </c>
    </row>
    <row r="2798" spans="1:33" x14ac:dyDescent="0.2">
      <c r="A2798">
        <v>2793</v>
      </c>
      <c r="B2798" t="s">
        <v>31633</v>
      </c>
      <c r="C2798" t="s">
        <v>31634</v>
      </c>
      <c r="D2798" t="s">
        <v>31635</v>
      </c>
      <c r="E2798" t="s">
        <v>31636</v>
      </c>
      <c r="F2798" t="s">
        <v>31637</v>
      </c>
      <c r="G2798" t="s">
        <v>31638</v>
      </c>
      <c r="H2798" t="str">
        <f>"Ptn"</f>
        <v>Ptn</v>
      </c>
      <c r="I2798" t="s">
        <v>32</v>
      </c>
      <c r="J2798" t="s">
        <v>37</v>
      </c>
      <c r="K2798">
        <v>10090</v>
      </c>
      <c r="L2798" s="3" t="str">
        <f>HYPERLINK("http://www.uniprot.org/uniprot/P63089", "P63089")</f>
        <v>P63089</v>
      </c>
      <c r="M2798" t="s">
        <v>31639</v>
      </c>
      <c r="N2798" t="str">
        <f>"Ptn"</f>
        <v>Ptn</v>
      </c>
      <c r="O2798" s="3" t="str">
        <f>HYPERLINK("http://www.informatics.jax.org/marker/MGI:97804", "MGI:97804")</f>
        <v>MGI:97804</v>
      </c>
      <c r="P2798" t="s">
        <v>31640</v>
      </c>
      <c r="Q2798" t="s">
        <v>32</v>
      </c>
      <c r="R2798" t="s">
        <v>630</v>
      </c>
      <c r="S2798" t="s">
        <v>32</v>
      </c>
      <c r="T2798" t="s">
        <v>32</v>
      </c>
      <c r="U2798" t="s">
        <v>32</v>
      </c>
      <c r="V2798" t="s">
        <v>811</v>
      </c>
      <c r="W2798" t="s">
        <v>32</v>
      </c>
      <c r="X2798" t="s">
        <v>31641</v>
      </c>
      <c r="Y2798" t="s">
        <v>494</v>
      </c>
      <c r="Z2798" t="s">
        <v>32</v>
      </c>
      <c r="AA2798" t="s">
        <v>31642</v>
      </c>
      <c r="AB2798" t="s">
        <v>31643</v>
      </c>
      <c r="AC2798" t="s">
        <v>31644</v>
      </c>
      <c r="AD2798" t="s">
        <v>32</v>
      </c>
      <c r="AE2798" t="s">
        <v>31645</v>
      </c>
      <c r="AF2798" t="s">
        <v>46835</v>
      </c>
    </row>
    <row r="2799" spans="1:33" x14ac:dyDescent="0.2">
      <c r="A2799">
        <v>2794</v>
      </c>
      <c r="B2799" t="s">
        <v>31646</v>
      </c>
      <c r="C2799" t="s">
        <v>31647</v>
      </c>
      <c r="D2799" t="s">
        <v>32</v>
      </c>
      <c r="E2799" t="s">
        <v>31648</v>
      </c>
      <c r="F2799" t="s">
        <v>31649</v>
      </c>
      <c r="G2799" t="s">
        <v>31650</v>
      </c>
      <c r="H2799" t="str">
        <f>"Leo1"</f>
        <v>Leo1</v>
      </c>
      <c r="I2799" t="s">
        <v>31651</v>
      </c>
      <c r="J2799" t="s">
        <v>37</v>
      </c>
      <c r="K2799">
        <v>10090</v>
      </c>
      <c r="L2799" s="3" t="str">
        <f>HYPERLINK("http://www.uniprot.org/uniprot/Q5XJE5", "Q5XJE5")</f>
        <v>Q5XJE5</v>
      </c>
      <c r="M2799" t="s">
        <v>31652</v>
      </c>
      <c r="N2799" t="str">
        <f>"Leo1"</f>
        <v>Leo1</v>
      </c>
      <c r="O2799" s="3" t="str">
        <f>HYPERLINK("http://www.informatics.jax.org/marker/MGI:2685031", "MGI:2685031")</f>
        <v>MGI:2685031</v>
      </c>
      <c r="P2799" t="s">
        <v>31653</v>
      </c>
      <c r="Q2799" t="s">
        <v>17650</v>
      </c>
      <c r="R2799" t="s">
        <v>2279</v>
      </c>
      <c r="S2799" t="s">
        <v>41</v>
      </c>
      <c r="T2799" t="s">
        <v>32</v>
      </c>
      <c r="U2799" t="s">
        <v>32</v>
      </c>
      <c r="V2799" t="s">
        <v>32</v>
      </c>
      <c r="W2799" t="s">
        <v>32</v>
      </c>
      <c r="X2799" t="s">
        <v>2602</v>
      </c>
      <c r="Y2799" t="s">
        <v>157</v>
      </c>
      <c r="Z2799" t="s">
        <v>32</v>
      </c>
      <c r="AA2799" t="s">
        <v>31654</v>
      </c>
      <c r="AB2799" t="s">
        <v>31655</v>
      </c>
      <c r="AC2799" t="s">
        <v>31656</v>
      </c>
      <c r="AD2799" t="s">
        <v>32</v>
      </c>
      <c r="AE2799" t="s">
        <v>31657</v>
      </c>
      <c r="AF2799" t="s">
        <v>46835</v>
      </c>
    </row>
    <row r="2800" spans="1:33" x14ac:dyDescent="0.2">
      <c r="A2800">
        <v>2795</v>
      </c>
      <c r="B2800" t="s">
        <v>31658</v>
      </c>
      <c r="C2800" t="s">
        <v>31659</v>
      </c>
      <c r="D2800" t="s">
        <v>31660</v>
      </c>
      <c r="E2800" t="s">
        <v>31661</v>
      </c>
      <c r="F2800" t="s">
        <v>31662</v>
      </c>
      <c r="G2800" t="s">
        <v>31663</v>
      </c>
      <c r="H2800" t="str">
        <f>"Prelid1"</f>
        <v>Prelid1</v>
      </c>
      <c r="I2800" t="s">
        <v>31664</v>
      </c>
      <c r="J2800" t="s">
        <v>37</v>
      </c>
      <c r="K2800">
        <v>10090</v>
      </c>
      <c r="L2800" s="3" t="str">
        <f>HYPERLINK("http://www.uniprot.org/uniprot/Q8R107", "Q8R107")</f>
        <v>Q8R107</v>
      </c>
      <c r="M2800" t="s">
        <v>31665</v>
      </c>
      <c r="N2800" t="str">
        <f>"Prelid1"</f>
        <v>Prelid1</v>
      </c>
      <c r="O2800" s="3" t="str">
        <f>HYPERLINK("http://www.informatics.jax.org/marker/MGI:1913744", "MGI:1913744")</f>
        <v>MGI:1913744</v>
      </c>
      <c r="P2800" t="s">
        <v>31666</v>
      </c>
      <c r="Q2800" t="s">
        <v>31667</v>
      </c>
      <c r="R2800" t="s">
        <v>1038</v>
      </c>
      <c r="S2800" t="s">
        <v>32</v>
      </c>
      <c r="T2800" t="s">
        <v>32</v>
      </c>
      <c r="U2800" t="s">
        <v>32</v>
      </c>
      <c r="V2800" t="s">
        <v>1039</v>
      </c>
      <c r="W2800" t="s">
        <v>32</v>
      </c>
      <c r="X2800" t="s">
        <v>32</v>
      </c>
      <c r="Y2800" t="s">
        <v>32</v>
      </c>
      <c r="Z2800" t="s">
        <v>32</v>
      </c>
      <c r="AA2800" t="s">
        <v>31668</v>
      </c>
      <c r="AB2800" t="s">
        <v>31669</v>
      </c>
      <c r="AC2800" t="s">
        <v>31670</v>
      </c>
      <c r="AD2800" t="s">
        <v>32</v>
      </c>
      <c r="AE2800" t="s">
        <v>31671</v>
      </c>
      <c r="AF2800" t="s">
        <v>46835</v>
      </c>
    </row>
    <row r="2801" spans="1:32" x14ac:dyDescent="0.2">
      <c r="A2801">
        <v>2796</v>
      </c>
      <c r="B2801" t="s">
        <v>31672</v>
      </c>
      <c r="C2801" t="s">
        <v>31673</v>
      </c>
      <c r="D2801" t="s">
        <v>31674</v>
      </c>
      <c r="E2801" t="s">
        <v>31675</v>
      </c>
      <c r="F2801" t="s">
        <v>31676</v>
      </c>
      <c r="G2801" t="s">
        <v>32</v>
      </c>
      <c r="H2801" t="str">
        <f>"Lamtor2"</f>
        <v>Lamtor2</v>
      </c>
      <c r="I2801" t="s">
        <v>31677</v>
      </c>
      <c r="J2801" t="s">
        <v>37</v>
      </c>
      <c r="K2801">
        <v>10090</v>
      </c>
      <c r="L2801" s="3" t="str">
        <f>HYPERLINK("http://www.uniprot.org/uniprot/Q9JHS3", "Q9JHS3")</f>
        <v>Q9JHS3</v>
      </c>
      <c r="M2801" t="s">
        <v>31678</v>
      </c>
      <c r="N2801" t="str">
        <f>"Lamtor2"</f>
        <v>Lamtor2</v>
      </c>
      <c r="O2801" s="3" t="str">
        <f>HYPERLINK("http://www.informatics.jax.org/marker/MGI:1932697", "MGI:1932697")</f>
        <v>MGI:1932697</v>
      </c>
      <c r="P2801" t="s">
        <v>31679</v>
      </c>
      <c r="Q2801" t="s">
        <v>32</v>
      </c>
      <c r="R2801" t="s">
        <v>20648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32</v>
      </c>
      <c r="Y2801" t="s">
        <v>32</v>
      </c>
      <c r="Z2801" t="s">
        <v>126</v>
      </c>
      <c r="AA2801" t="s">
        <v>31680</v>
      </c>
      <c r="AB2801" t="s">
        <v>31681</v>
      </c>
      <c r="AC2801" t="s">
        <v>31056</v>
      </c>
      <c r="AD2801" t="s">
        <v>32</v>
      </c>
      <c r="AE2801" t="s">
        <v>31682</v>
      </c>
      <c r="AF2801" t="s">
        <v>46835</v>
      </c>
    </row>
    <row r="2802" spans="1:32" x14ac:dyDescent="0.2">
      <c r="A2802">
        <v>2797</v>
      </c>
      <c r="B2802" t="s">
        <v>31683</v>
      </c>
      <c r="C2802" t="s">
        <v>31684</v>
      </c>
      <c r="D2802" t="s">
        <v>32</v>
      </c>
      <c r="E2802" t="s">
        <v>31685</v>
      </c>
      <c r="F2802" t="s">
        <v>31686</v>
      </c>
      <c r="G2802" t="s">
        <v>32</v>
      </c>
      <c r="H2802" t="str">
        <f>"Mrps26"</f>
        <v>Mrps26</v>
      </c>
      <c r="I2802" t="s">
        <v>32</v>
      </c>
      <c r="J2802" t="s">
        <v>37</v>
      </c>
      <c r="K2802">
        <v>10090</v>
      </c>
      <c r="L2802" s="3" t="str">
        <f>HYPERLINK("http://www.uniprot.org/uniprot/Q80ZS3", "Q80ZS3")</f>
        <v>Q80ZS3</v>
      </c>
      <c r="M2802" t="s">
        <v>31687</v>
      </c>
      <c r="N2802" t="str">
        <f>"Mrps26"</f>
        <v>Mrps26</v>
      </c>
      <c r="O2802" s="3" t="str">
        <f>HYPERLINK("http://www.informatics.jax.org/marker/MGI:1333830", "MGI:1333830")</f>
        <v>MGI:1333830</v>
      </c>
      <c r="P2802" t="s">
        <v>17268</v>
      </c>
      <c r="Q2802" t="s">
        <v>32</v>
      </c>
      <c r="R2802" t="s">
        <v>1038</v>
      </c>
      <c r="S2802" t="s">
        <v>32</v>
      </c>
      <c r="T2802" t="s">
        <v>32</v>
      </c>
      <c r="U2802" t="s">
        <v>32</v>
      </c>
      <c r="V2802" t="s">
        <v>1039</v>
      </c>
      <c r="W2802" t="s">
        <v>32</v>
      </c>
      <c r="X2802" t="s">
        <v>447</v>
      </c>
      <c r="Y2802" t="s">
        <v>78</v>
      </c>
      <c r="Z2802" t="s">
        <v>32</v>
      </c>
      <c r="AA2802" t="s">
        <v>23519</v>
      </c>
      <c r="AB2802" t="s">
        <v>31688</v>
      </c>
      <c r="AC2802" t="s">
        <v>32</v>
      </c>
      <c r="AD2802" t="s">
        <v>32</v>
      </c>
      <c r="AE2802" t="s">
        <v>17271</v>
      </c>
      <c r="AF2802" t="s">
        <v>46835</v>
      </c>
    </row>
    <row r="2803" spans="1:32" x14ac:dyDescent="0.2">
      <c r="A2803">
        <v>2798</v>
      </c>
      <c r="B2803" t="s">
        <v>31689</v>
      </c>
      <c r="C2803" t="s">
        <v>31690</v>
      </c>
      <c r="D2803" t="s">
        <v>31691</v>
      </c>
      <c r="E2803" t="s">
        <v>31692</v>
      </c>
      <c r="F2803" t="s">
        <v>31693</v>
      </c>
      <c r="G2803" t="s">
        <v>31694</v>
      </c>
      <c r="H2803" t="str">
        <f>"Ppp6r1"</f>
        <v>Ppp6r1</v>
      </c>
      <c r="I2803" t="s">
        <v>31695</v>
      </c>
      <c r="J2803" t="s">
        <v>37</v>
      </c>
      <c r="K2803">
        <v>10090</v>
      </c>
      <c r="L2803" s="3" t="str">
        <f>HYPERLINK("http://www.uniprot.org/uniprot/Q7TSI3", "Q7TSI3")</f>
        <v>Q7TSI3</v>
      </c>
      <c r="M2803" t="s">
        <v>31696</v>
      </c>
      <c r="N2803" t="str">
        <f>"Ppp6r1"</f>
        <v>Ppp6r1</v>
      </c>
      <c r="O2803" s="3" t="str">
        <f>HYPERLINK("http://www.informatics.jax.org/marker/MGI:2442163", "MGI:2442163")</f>
        <v>MGI:2442163</v>
      </c>
      <c r="P2803" t="s">
        <v>21963</v>
      </c>
      <c r="Q2803" t="s">
        <v>32</v>
      </c>
      <c r="R2803" t="s">
        <v>418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32</v>
      </c>
      <c r="Y2803" t="s">
        <v>618</v>
      </c>
      <c r="Z2803" t="s">
        <v>32</v>
      </c>
      <c r="AA2803" t="s">
        <v>22934</v>
      </c>
      <c r="AB2803" t="s">
        <v>928</v>
      </c>
      <c r="AC2803" t="s">
        <v>31697</v>
      </c>
      <c r="AD2803" t="s">
        <v>32</v>
      </c>
      <c r="AE2803" t="s">
        <v>11206</v>
      </c>
      <c r="AF2803" t="s">
        <v>46835</v>
      </c>
    </row>
    <row r="2804" spans="1:32" x14ac:dyDescent="0.2">
      <c r="A2804">
        <v>2799</v>
      </c>
      <c r="B2804" t="s">
        <v>31698</v>
      </c>
      <c r="C2804" t="s">
        <v>31699</v>
      </c>
      <c r="D2804" t="s">
        <v>31700</v>
      </c>
      <c r="E2804" t="s">
        <v>31701</v>
      </c>
      <c r="F2804" t="s">
        <v>31702</v>
      </c>
      <c r="G2804" t="s">
        <v>31703</v>
      </c>
      <c r="H2804" t="str">
        <f>"Smad2"</f>
        <v>Smad2</v>
      </c>
      <c r="I2804" t="s">
        <v>31704</v>
      </c>
      <c r="J2804" t="s">
        <v>37</v>
      </c>
      <c r="K2804">
        <v>10090</v>
      </c>
      <c r="L2804" s="3" t="str">
        <f>HYPERLINK("http://www.uniprot.org/uniprot/Q62432", "Q62432")</f>
        <v>Q62432</v>
      </c>
      <c r="M2804" t="s">
        <v>31705</v>
      </c>
      <c r="N2804" t="str">
        <f>"Smad2"</f>
        <v>Smad2</v>
      </c>
      <c r="O2804" s="3" t="str">
        <f>HYPERLINK("http://www.informatics.jax.org/marker/MGI:108051", "MGI:108051")</f>
        <v>MGI:108051</v>
      </c>
      <c r="P2804" t="s">
        <v>31706</v>
      </c>
      <c r="Q2804" t="s">
        <v>4152</v>
      </c>
      <c r="R2804" t="s">
        <v>40</v>
      </c>
      <c r="S2804" t="s">
        <v>41</v>
      </c>
      <c r="T2804" t="s">
        <v>32</v>
      </c>
      <c r="U2804" t="s">
        <v>32</v>
      </c>
      <c r="V2804" t="s">
        <v>32</v>
      </c>
      <c r="W2804" t="s">
        <v>42</v>
      </c>
      <c r="X2804" t="s">
        <v>247</v>
      </c>
      <c r="Y2804" t="s">
        <v>1023</v>
      </c>
      <c r="Z2804" t="s">
        <v>32</v>
      </c>
      <c r="AA2804" t="s">
        <v>31707</v>
      </c>
      <c r="AB2804" t="s">
        <v>31708</v>
      </c>
      <c r="AC2804" t="s">
        <v>31709</v>
      </c>
      <c r="AD2804" t="s">
        <v>32</v>
      </c>
      <c r="AE2804" t="s">
        <v>31710</v>
      </c>
      <c r="AF2804" t="s">
        <v>46835</v>
      </c>
    </row>
    <row r="2805" spans="1:32" x14ac:dyDescent="0.2">
      <c r="A2805">
        <v>2800</v>
      </c>
      <c r="B2805" t="s">
        <v>31711</v>
      </c>
      <c r="C2805" t="s">
        <v>31712</v>
      </c>
      <c r="D2805" t="s">
        <v>31713</v>
      </c>
      <c r="E2805" t="s">
        <v>31714</v>
      </c>
      <c r="F2805" t="s">
        <v>31715</v>
      </c>
      <c r="G2805" t="s">
        <v>31716</v>
      </c>
      <c r="H2805" t="str">
        <f>"Cstf2t"</f>
        <v>Cstf2t</v>
      </c>
      <c r="I2805" t="s">
        <v>31717</v>
      </c>
      <c r="J2805" t="s">
        <v>37</v>
      </c>
      <c r="K2805">
        <v>10090</v>
      </c>
      <c r="L2805" s="3" t="str">
        <f>HYPERLINK("http://www.uniprot.org/uniprot/Q8C7E9", "Q8C7E9")</f>
        <v>Q8C7E9</v>
      </c>
      <c r="M2805" t="s">
        <v>31718</v>
      </c>
      <c r="N2805" t="str">
        <f>"Cstf2t"</f>
        <v>Cstf2t</v>
      </c>
      <c r="O2805" s="3" t="str">
        <f>HYPERLINK("http://www.informatics.jax.org/marker/MGI:1932622", "MGI:1932622")</f>
        <v>MGI:1932622</v>
      </c>
      <c r="P2805" t="s">
        <v>31719</v>
      </c>
      <c r="Q2805" t="s">
        <v>16601</v>
      </c>
      <c r="R2805" t="s">
        <v>2279</v>
      </c>
      <c r="S2805" t="s">
        <v>32</v>
      </c>
      <c r="T2805" t="s">
        <v>32</v>
      </c>
      <c r="U2805" t="s">
        <v>32</v>
      </c>
      <c r="V2805" t="s">
        <v>55</v>
      </c>
      <c r="W2805" t="s">
        <v>32</v>
      </c>
      <c r="X2805" t="s">
        <v>1282</v>
      </c>
      <c r="Y2805" t="s">
        <v>618</v>
      </c>
      <c r="Z2805" t="s">
        <v>32</v>
      </c>
      <c r="AA2805" t="s">
        <v>23655</v>
      </c>
      <c r="AB2805" t="s">
        <v>31720</v>
      </c>
      <c r="AC2805" t="s">
        <v>18770</v>
      </c>
      <c r="AD2805" t="s">
        <v>32</v>
      </c>
      <c r="AE2805" t="s">
        <v>13215</v>
      </c>
      <c r="AF2805" t="s">
        <v>46835</v>
      </c>
    </row>
    <row r="2806" spans="1:32" x14ac:dyDescent="0.2">
      <c r="A2806">
        <v>2801</v>
      </c>
      <c r="B2806" t="s">
        <v>31721</v>
      </c>
      <c r="C2806" t="s">
        <v>31722</v>
      </c>
      <c r="D2806" t="s">
        <v>31723</v>
      </c>
      <c r="E2806" t="s">
        <v>31724</v>
      </c>
      <c r="F2806" t="s">
        <v>31725</v>
      </c>
      <c r="G2806" t="s">
        <v>31726</v>
      </c>
      <c r="H2806" t="str">
        <f>"Rbm45"</f>
        <v>Rbm45</v>
      </c>
      <c r="I2806" t="s">
        <v>31727</v>
      </c>
      <c r="J2806" t="s">
        <v>37</v>
      </c>
      <c r="K2806">
        <v>10090</v>
      </c>
      <c r="L2806" s="3" t="str">
        <f>HYPERLINK("http://www.uniprot.org/uniprot/Q8BHN5", "Q8BHN5")</f>
        <v>Q8BHN5</v>
      </c>
      <c r="M2806" t="s">
        <v>31728</v>
      </c>
      <c r="N2806" t="str">
        <f>"Rbm45"</f>
        <v>Rbm45</v>
      </c>
      <c r="O2806" s="3" t="str">
        <f>HYPERLINK("http://www.informatics.jax.org/marker/MGI:2387367", "MGI:2387367")</f>
        <v>MGI:2387367</v>
      </c>
      <c r="P2806" t="s">
        <v>31729</v>
      </c>
      <c r="Q2806" t="s">
        <v>2027</v>
      </c>
      <c r="R2806" t="s">
        <v>40</v>
      </c>
      <c r="S2806" t="s">
        <v>32</v>
      </c>
      <c r="T2806" t="s">
        <v>32</v>
      </c>
      <c r="U2806" t="s">
        <v>32</v>
      </c>
      <c r="V2806" t="s">
        <v>55</v>
      </c>
      <c r="W2806" t="s">
        <v>32</v>
      </c>
      <c r="X2806" t="s">
        <v>617</v>
      </c>
      <c r="Y2806" t="s">
        <v>1007</v>
      </c>
      <c r="Z2806" t="s">
        <v>32</v>
      </c>
      <c r="AA2806" t="s">
        <v>6279</v>
      </c>
      <c r="AB2806" t="s">
        <v>31730</v>
      </c>
      <c r="AC2806" t="s">
        <v>24867</v>
      </c>
      <c r="AD2806" t="s">
        <v>32</v>
      </c>
      <c r="AE2806" t="s">
        <v>32</v>
      </c>
      <c r="AF2806" t="s">
        <v>46835</v>
      </c>
    </row>
    <row r="2807" spans="1:32" x14ac:dyDescent="0.2">
      <c r="A2807">
        <v>2802</v>
      </c>
      <c r="B2807" t="s">
        <v>31731</v>
      </c>
      <c r="C2807" t="s">
        <v>31732</v>
      </c>
      <c r="D2807" t="s">
        <v>32</v>
      </c>
      <c r="E2807" t="s">
        <v>31733</v>
      </c>
      <c r="F2807" t="s">
        <v>31734</v>
      </c>
      <c r="G2807" t="s">
        <v>31735</v>
      </c>
      <c r="H2807" t="str">
        <f>"Xpo4"</f>
        <v>Xpo4</v>
      </c>
      <c r="I2807" t="s">
        <v>32</v>
      </c>
      <c r="J2807" t="s">
        <v>37</v>
      </c>
      <c r="K2807">
        <v>10090</v>
      </c>
      <c r="L2807" s="3" t="str">
        <f>HYPERLINK("http://www.uniprot.org/uniprot/Q9ESJ0", "Q9ESJ0")</f>
        <v>Q9ESJ0</v>
      </c>
      <c r="M2807" t="s">
        <v>31736</v>
      </c>
      <c r="N2807" t="str">
        <f>"Xpo4"</f>
        <v>Xpo4</v>
      </c>
      <c r="O2807" s="3" t="str">
        <f>HYPERLINK("http://www.informatics.jax.org/marker/MGI:1888526", "MGI:1888526")</f>
        <v>MGI:1888526</v>
      </c>
      <c r="P2807" t="s">
        <v>31737</v>
      </c>
      <c r="Q2807" t="s">
        <v>434</v>
      </c>
      <c r="R2807" t="s">
        <v>40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32</v>
      </c>
      <c r="Y2807" t="s">
        <v>618</v>
      </c>
      <c r="Z2807" t="s">
        <v>126</v>
      </c>
      <c r="AA2807" t="s">
        <v>31738</v>
      </c>
      <c r="AB2807" t="s">
        <v>31739</v>
      </c>
      <c r="AC2807" t="s">
        <v>31740</v>
      </c>
      <c r="AD2807" t="s">
        <v>32</v>
      </c>
      <c r="AE2807" t="s">
        <v>32</v>
      </c>
      <c r="AF2807" t="s">
        <v>46835</v>
      </c>
    </row>
    <row r="2808" spans="1:32" x14ac:dyDescent="0.2">
      <c r="A2808">
        <v>2803</v>
      </c>
      <c r="B2808" t="s">
        <v>31741</v>
      </c>
      <c r="C2808" t="s">
        <v>31742</v>
      </c>
      <c r="D2808" t="s">
        <v>31743</v>
      </c>
      <c r="E2808" t="s">
        <v>31744</v>
      </c>
      <c r="F2808" t="s">
        <v>31745</v>
      </c>
      <c r="G2808" t="s">
        <v>31746</v>
      </c>
      <c r="H2808" t="str">
        <f>"Ggact"</f>
        <v>Ggact</v>
      </c>
      <c r="I2808" t="s">
        <v>31747</v>
      </c>
      <c r="J2808" t="s">
        <v>37</v>
      </c>
      <c r="K2808">
        <v>10090</v>
      </c>
      <c r="L2808" s="3" t="str">
        <f>HYPERLINK("http://www.uniprot.org/uniprot/Q923B0", "Q923B0")</f>
        <v>Q923B0</v>
      </c>
      <c r="M2808" t="s">
        <v>31748</v>
      </c>
      <c r="N2808" t="str">
        <f>"Ggact"</f>
        <v>Ggact</v>
      </c>
      <c r="O2808" s="3" t="str">
        <f>HYPERLINK("http://www.informatics.jax.org/marker/MGI:2385008", "MGI:2385008")</f>
        <v>MGI:2385008</v>
      </c>
      <c r="P2808" t="s">
        <v>31749</v>
      </c>
      <c r="Q2808" t="s">
        <v>32</v>
      </c>
      <c r="R2808" t="s">
        <v>32</v>
      </c>
      <c r="S2808" t="s">
        <v>41</v>
      </c>
      <c r="T2808" t="s">
        <v>32</v>
      </c>
      <c r="U2808" t="s">
        <v>32</v>
      </c>
      <c r="V2808" t="s">
        <v>32</v>
      </c>
      <c r="W2808" t="s">
        <v>32</v>
      </c>
      <c r="X2808" t="s">
        <v>224</v>
      </c>
      <c r="Y2808" t="s">
        <v>32</v>
      </c>
      <c r="Z2808" t="s">
        <v>126</v>
      </c>
      <c r="AA2808" t="s">
        <v>31750</v>
      </c>
      <c r="AB2808" t="s">
        <v>1268</v>
      </c>
      <c r="AC2808" t="s">
        <v>31751</v>
      </c>
      <c r="AD2808" t="s">
        <v>32</v>
      </c>
      <c r="AE2808" t="s">
        <v>32</v>
      </c>
      <c r="AF2808" t="s">
        <v>46835</v>
      </c>
    </row>
    <row r="2809" spans="1:32" x14ac:dyDescent="0.2">
      <c r="A2809">
        <v>2804</v>
      </c>
      <c r="B2809" t="s">
        <v>31752</v>
      </c>
      <c r="C2809" t="s">
        <v>31753</v>
      </c>
      <c r="D2809" t="s">
        <v>32</v>
      </c>
      <c r="E2809" t="s">
        <v>31754</v>
      </c>
      <c r="F2809" t="s">
        <v>31755</v>
      </c>
      <c r="G2809" t="s">
        <v>31756</v>
      </c>
      <c r="H2809" t="str">
        <f>"Mrps28"</f>
        <v>Mrps28</v>
      </c>
      <c r="I2809" t="s">
        <v>32</v>
      </c>
      <c r="J2809" t="s">
        <v>37</v>
      </c>
      <c r="K2809">
        <v>10090</v>
      </c>
      <c r="L2809" s="3" t="str">
        <f>HYPERLINK("http://www.uniprot.org/uniprot/Q9CY16", "Q9CY16")</f>
        <v>Q9CY16</v>
      </c>
      <c r="M2809" t="s">
        <v>31757</v>
      </c>
      <c r="N2809" t="str">
        <f>"Mrps28"</f>
        <v>Mrps28</v>
      </c>
      <c r="O2809" s="3" t="str">
        <f>HYPERLINK("http://www.informatics.jax.org/marker/MGI:1913480", "MGI:1913480")</f>
        <v>MGI:1913480</v>
      </c>
      <c r="P2809" t="s">
        <v>31758</v>
      </c>
      <c r="Q2809" t="s">
        <v>32</v>
      </c>
      <c r="R2809" t="s">
        <v>1038</v>
      </c>
      <c r="S2809" t="s">
        <v>32</v>
      </c>
      <c r="T2809" t="s">
        <v>32</v>
      </c>
      <c r="U2809" t="s">
        <v>32</v>
      </c>
      <c r="V2809" t="s">
        <v>1039</v>
      </c>
      <c r="W2809" t="s">
        <v>32</v>
      </c>
      <c r="X2809" t="s">
        <v>447</v>
      </c>
      <c r="Y2809" t="s">
        <v>157</v>
      </c>
      <c r="Z2809" t="s">
        <v>32</v>
      </c>
      <c r="AA2809" t="s">
        <v>23519</v>
      </c>
      <c r="AB2809" t="s">
        <v>23520</v>
      </c>
      <c r="AC2809" t="s">
        <v>32</v>
      </c>
      <c r="AD2809" t="s">
        <v>32</v>
      </c>
      <c r="AE2809" t="s">
        <v>17271</v>
      </c>
      <c r="AF2809" t="s">
        <v>46835</v>
      </c>
    </row>
    <row r="2810" spans="1:32" x14ac:dyDescent="0.2">
      <c r="A2810">
        <v>2805</v>
      </c>
      <c r="B2810" t="s">
        <v>31759</v>
      </c>
      <c r="C2810" t="s">
        <v>31760</v>
      </c>
      <c r="D2810" t="s">
        <v>31761</v>
      </c>
      <c r="E2810" t="s">
        <v>31762</v>
      </c>
      <c r="F2810" t="s">
        <v>31763</v>
      </c>
      <c r="G2810" t="s">
        <v>31764</v>
      </c>
      <c r="H2810" t="str">
        <f>"Dnajb12"</f>
        <v>Dnajb12</v>
      </c>
      <c r="I2810" t="s">
        <v>32</v>
      </c>
      <c r="J2810" t="s">
        <v>37</v>
      </c>
      <c r="K2810">
        <v>10090</v>
      </c>
      <c r="L2810" s="3" t="str">
        <f>HYPERLINK("http://www.uniprot.org/uniprot/Q9QYI4", "Q9QYI4")</f>
        <v>Q9QYI4</v>
      </c>
      <c r="M2810" t="s">
        <v>31765</v>
      </c>
      <c r="N2810" t="str">
        <f>"Dnajb12"</f>
        <v>Dnajb12</v>
      </c>
      <c r="O2810" s="3" t="str">
        <f>HYPERLINK("http://www.informatics.jax.org/marker/MGI:1931881", "MGI:1931881")</f>
        <v>MGI:1931881</v>
      </c>
      <c r="P2810" t="s">
        <v>31766</v>
      </c>
      <c r="Q2810" t="s">
        <v>32</v>
      </c>
      <c r="R2810" t="s">
        <v>17568</v>
      </c>
      <c r="S2810" t="s">
        <v>32</v>
      </c>
      <c r="T2810" t="s">
        <v>32</v>
      </c>
      <c r="U2810" t="s">
        <v>32</v>
      </c>
      <c r="V2810" t="s">
        <v>493</v>
      </c>
      <c r="W2810" t="s">
        <v>32</v>
      </c>
      <c r="X2810" t="s">
        <v>388</v>
      </c>
      <c r="Y2810" t="s">
        <v>57</v>
      </c>
      <c r="Z2810" t="s">
        <v>32</v>
      </c>
      <c r="AA2810" t="s">
        <v>31767</v>
      </c>
      <c r="AB2810" t="s">
        <v>31768</v>
      </c>
      <c r="AC2810" t="s">
        <v>14516</v>
      </c>
      <c r="AD2810" t="s">
        <v>32</v>
      </c>
      <c r="AE2810" t="s">
        <v>32</v>
      </c>
      <c r="AF2810" t="s">
        <v>46835</v>
      </c>
    </row>
    <row r="2811" spans="1:32" x14ac:dyDescent="0.2">
      <c r="A2811">
        <v>2806</v>
      </c>
      <c r="B2811" t="s">
        <v>31769</v>
      </c>
      <c r="C2811" t="s">
        <v>31770</v>
      </c>
      <c r="D2811" t="s">
        <v>31771</v>
      </c>
      <c r="E2811" t="s">
        <v>31772</v>
      </c>
      <c r="F2811" t="s">
        <v>31773</v>
      </c>
      <c r="G2811" t="s">
        <v>31774</v>
      </c>
      <c r="H2811" t="str">
        <f>"Arl8a"</f>
        <v>Arl8a</v>
      </c>
      <c r="I2811" t="s">
        <v>31775</v>
      </c>
      <c r="J2811" t="s">
        <v>37</v>
      </c>
      <c r="K2811">
        <v>10090</v>
      </c>
      <c r="L2811" s="3" t="str">
        <f>HYPERLINK("http://www.uniprot.org/uniprot/Q8VEH3", "Q8VEH3")</f>
        <v>Q8VEH3</v>
      </c>
      <c r="M2811" t="s">
        <v>31776</v>
      </c>
      <c r="N2811" t="str">
        <f>"Arl8a"</f>
        <v>Arl8a</v>
      </c>
      <c r="O2811" s="3" t="str">
        <f>HYPERLINK("http://www.informatics.jax.org/marker/MGI:1915974", "MGI:1915974")</f>
        <v>MGI:1915974</v>
      </c>
      <c r="P2811" t="s">
        <v>31777</v>
      </c>
      <c r="Q2811" t="s">
        <v>26221</v>
      </c>
      <c r="R2811" t="s">
        <v>26222</v>
      </c>
      <c r="S2811" t="s">
        <v>32</v>
      </c>
      <c r="T2811" t="s">
        <v>32</v>
      </c>
      <c r="U2811" t="s">
        <v>32</v>
      </c>
      <c r="V2811" t="s">
        <v>32</v>
      </c>
      <c r="W2811" t="s">
        <v>261</v>
      </c>
      <c r="X2811" t="s">
        <v>32</v>
      </c>
      <c r="Y2811" t="s">
        <v>32</v>
      </c>
      <c r="Z2811" t="s">
        <v>32</v>
      </c>
      <c r="AA2811" t="s">
        <v>31778</v>
      </c>
      <c r="AB2811" t="s">
        <v>31779</v>
      </c>
      <c r="AC2811" t="s">
        <v>15410</v>
      </c>
      <c r="AD2811" t="s">
        <v>32</v>
      </c>
      <c r="AE2811" t="s">
        <v>548</v>
      </c>
      <c r="AF2811" t="s">
        <v>46835</v>
      </c>
    </row>
    <row r="2812" spans="1:32" x14ac:dyDescent="0.2">
      <c r="A2812">
        <v>2807</v>
      </c>
      <c r="B2812" t="s">
        <v>31780</v>
      </c>
      <c r="C2812" t="s">
        <v>31781</v>
      </c>
      <c r="D2812" t="s">
        <v>31782</v>
      </c>
      <c r="E2812" t="s">
        <v>31783</v>
      </c>
      <c r="F2812" t="s">
        <v>31784</v>
      </c>
      <c r="G2812" t="s">
        <v>32</v>
      </c>
      <c r="H2812" t="str">
        <f>"Serpina1d"</f>
        <v>Serpina1d</v>
      </c>
      <c r="I2812" t="s">
        <v>31785</v>
      </c>
      <c r="J2812" t="s">
        <v>37</v>
      </c>
      <c r="K2812">
        <v>10090</v>
      </c>
      <c r="L2812" s="3" t="str">
        <f>HYPERLINK("http://www.uniprot.org/uniprot/Q00897", "Q00897")</f>
        <v>Q00897</v>
      </c>
      <c r="M2812" t="s">
        <v>31786</v>
      </c>
      <c r="N2812" t="str">
        <f>"Serpina1d"</f>
        <v>Serpina1d</v>
      </c>
      <c r="O2812" s="3" t="str">
        <f>HYPERLINK("http://www.informatics.jax.org/marker/MGI:891968", "MGI:891968")</f>
        <v>MGI:891968</v>
      </c>
      <c r="P2812" t="s">
        <v>18052</v>
      </c>
      <c r="Q2812" t="s">
        <v>32</v>
      </c>
      <c r="R2812" t="s">
        <v>630</v>
      </c>
      <c r="S2812" t="s">
        <v>32</v>
      </c>
      <c r="T2812" t="s">
        <v>32</v>
      </c>
      <c r="U2812" t="s">
        <v>32</v>
      </c>
      <c r="V2812" t="s">
        <v>811</v>
      </c>
      <c r="W2812" t="s">
        <v>32</v>
      </c>
      <c r="X2812" t="s">
        <v>2661</v>
      </c>
      <c r="Y2812" t="s">
        <v>3733</v>
      </c>
      <c r="Z2812" t="s">
        <v>32</v>
      </c>
      <c r="AA2812" t="s">
        <v>18053</v>
      </c>
      <c r="AB2812" t="s">
        <v>31787</v>
      </c>
      <c r="AC2812" t="s">
        <v>18055</v>
      </c>
      <c r="AD2812" t="s">
        <v>32</v>
      </c>
      <c r="AE2812" t="s">
        <v>32</v>
      </c>
      <c r="AF2812" t="s">
        <v>46835</v>
      </c>
    </row>
    <row r="2813" spans="1:32" x14ac:dyDescent="0.2">
      <c r="A2813">
        <v>2808</v>
      </c>
      <c r="B2813" t="s">
        <v>31788</v>
      </c>
      <c r="C2813" t="s">
        <v>31789</v>
      </c>
      <c r="D2813" t="s">
        <v>31790</v>
      </c>
      <c r="E2813" t="s">
        <v>31791</v>
      </c>
      <c r="F2813" t="s">
        <v>31792</v>
      </c>
      <c r="G2813" t="s">
        <v>31793</v>
      </c>
      <c r="H2813" t="str">
        <f>"Nfyc"</f>
        <v>Nfyc</v>
      </c>
      <c r="I2813" t="s">
        <v>32</v>
      </c>
      <c r="J2813" t="s">
        <v>37</v>
      </c>
      <c r="K2813">
        <v>10090</v>
      </c>
      <c r="L2813" s="3" t="str">
        <f>HYPERLINK("http://www.uniprot.org/uniprot/P70353", "P70353")</f>
        <v>P70353</v>
      </c>
      <c r="M2813" t="s">
        <v>31794</v>
      </c>
      <c r="N2813" t="str">
        <f>"Nfyc"</f>
        <v>Nfyc</v>
      </c>
      <c r="O2813" s="3" t="str">
        <f>HYPERLINK("http://www.informatics.jax.org/marker/MGI:107901", "MGI:107901")</f>
        <v>MGI:107901</v>
      </c>
      <c r="P2813" t="s">
        <v>27666</v>
      </c>
      <c r="Q2813" t="s">
        <v>4152</v>
      </c>
      <c r="R2813" t="s">
        <v>2279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2350</v>
      </c>
      <c r="Y2813" t="s">
        <v>32</v>
      </c>
      <c r="Z2813" t="s">
        <v>32</v>
      </c>
      <c r="AA2813" t="s">
        <v>31795</v>
      </c>
      <c r="AB2813" t="s">
        <v>31796</v>
      </c>
      <c r="AC2813" t="s">
        <v>31797</v>
      </c>
      <c r="AD2813" t="s">
        <v>32</v>
      </c>
      <c r="AE2813" t="s">
        <v>32</v>
      </c>
      <c r="AF2813" t="s">
        <v>46835</v>
      </c>
    </row>
    <row r="2814" spans="1:32" x14ac:dyDescent="0.2">
      <c r="A2814">
        <v>2809</v>
      </c>
      <c r="B2814" t="s">
        <v>31798</v>
      </c>
      <c r="C2814" t="s">
        <v>31799</v>
      </c>
      <c r="D2814" t="s">
        <v>31800</v>
      </c>
      <c r="E2814" t="s">
        <v>31801</v>
      </c>
      <c r="F2814" t="s">
        <v>31802</v>
      </c>
      <c r="G2814" t="s">
        <v>31803</v>
      </c>
      <c r="H2814" t="str">
        <f>"Ap1s2"</f>
        <v>Ap1s2</v>
      </c>
      <c r="I2814" t="s">
        <v>32</v>
      </c>
      <c r="J2814" t="s">
        <v>37</v>
      </c>
      <c r="K2814">
        <v>10090</v>
      </c>
      <c r="L2814" s="3" t="str">
        <f>HYPERLINK("http://www.uniprot.org/uniprot/Q9DB50", "Q9DB50")</f>
        <v>Q9DB50</v>
      </c>
      <c r="M2814" t="s">
        <v>31804</v>
      </c>
      <c r="N2814" t="str">
        <f>"Ap1s2"</f>
        <v>Ap1s2</v>
      </c>
      <c r="O2814" s="3" t="str">
        <f>HYPERLINK("http://www.informatics.jax.org/marker/MGI:1889383", "MGI:1889383")</f>
        <v>MGI:1889383</v>
      </c>
      <c r="P2814" t="s">
        <v>31805</v>
      </c>
      <c r="Q2814" t="s">
        <v>434</v>
      </c>
      <c r="R2814" t="s">
        <v>31495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32</v>
      </c>
      <c r="Y2814" t="s">
        <v>32</v>
      </c>
      <c r="Z2814" t="s">
        <v>32</v>
      </c>
      <c r="AA2814" t="s">
        <v>31806</v>
      </c>
      <c r="AB2814" t="s">
        <v>31807</v>
      </c>
      <c r="AC2814" t="s">
        <v>16930</v>
      </c>
      <c r="AD2814" t="s">
        <v>32</v>
      </c>
      <c r="AE2814" t="s">
        <v>9104</v>
      </c>
      <c r="AF2814" t="s">
        <v>46835</v>
      </c>
    </row>
    <row r="2815" spans="1:32" x14ac:dyDescent="0.2">
      <c r="A2815">
        <v>2810</v>
      </c>
      <c r="B2815" t="s">
        <v>31808</v>
      </c>
      <c r="C2815" t="s">
        <v>31809</v>
      </c>
      <c r="D2815" t="s">
        <v>31810</v>
      </c>
      <c r="E2815" t="s">
        <v>31811</v>
      </c>
      <c r="F2815" t="s">
        <v>31812</v>
      </c>
      <c r="G2815" t="s">
        <v>31813</v>
      </c>
      <c r="H2815" t="str">
        <f>"Sin3b"</f>
        <v>Sin3b</v>
      </c>
      <c r="I2815" t="s">
        <v>31814</v>
      </c>
      <c r="J2815" t="s">
        <v>37</v>
      </c>
      <c r="K2815">
        <v>10090</v>
      </c>
      <c r="L2815" s="3" t="str">
        <f>HYPERLINK("http://www.uniprot.org/uniprot/Q62141", "Q62141")</f>
        <v>Q62141</v>
      </c>
      <c r="M2815" t="s">
        <v>31815</v>
      </c>
      <c r="N2815" t="str">
        <f>"Sin3b"</f>
        <v>Sin3b</v>
      </c>
      <c r="O2815" s="3" t="str">
        <f>HYPERLINK("http://www.informatics.jax.org/marker/MGI:107158", "MGI:107158")</f>
        <v>MGI:107158</v>
      </c>
      <c r="P2815" t="s">
        <v>31816</v>
      </c>
      <c r="Q2815" t="s">
        <v>4152</v>
      </c>
      <c r="R2815" t="s">
        <v>2279</v>
      </c>
      <c r="S2815" t="s">
        <v>41</v>
      </c>
      <c r="T2815" t="s">
        <v>32</v>
      </c>
      <c r="U2815" t="s">
        <v>32</v>
      </c>
      <c r="V2815" t="s">
        <v>55</v>
      </c>
      <c r="W2815" t="s">
        <v>32</v>
      </c>
      <c r="X2815" t="s">
        <v>5195</v>
      </c>
      <c r="Y2815" t="s">
        <v>2836</v>
      </c>
      <c r="Z2815" t="s">
        <v>126</v>
      </c>
      <c r="AA2815" t="s">
        <v>31817</v>
      </c>
      <c r="AB2815" t="s">
        <v>31818</v>
      </c>
      <c r="AC2815" t="s">
        <v>31819</v>
      </c>
      <c r="AD2815" t="s">
        <v>32</v>
      </c>
      <c r="AE2815" t="s">
        <v>31820</v>
      </c>
      <c r="AF2815" t="s">
        <v>46835</v>
      </c>
    </row>
    <row r="2816" spans="1:32" x14ac:dyDescent="0.2">
      <c r="A2816">
        <v>2811</v>
      </c>
      <c r="B2816" t="s">
        <v>31821</v>
      </c>
      <c r="C2816" t="s">
        <v>31822</v>
      </c>
      <c r="D2816" t="s">
        <v>32</v>
      </c>
      <c r="E2816" t="s">
        <v>31823</v>
      </c>
      <c r="F2816" t="s">
        <v>31824</v>
      </c>
      <c r="G2816" t="s">
        <v>31825</v>
      </c>
      <c r="H2816" t="str">
        <f>"Spag7"</f>
        <v>Spag7</v>
      </c>
      <c r="I2816" t="s">
        <v>32</v>
      </c>
      <c r="J2816" t="s">
        <v>37</v>
      </c>
      <c r="K2816">
        <v>10090</v>
      </c>
      <c r="L2816" s="3" t="str">
        <f>HYPERLINK("http://www.uniprot.org/uniprot/Q7TNE3", "Q7TNE3")</f>
        <v>Q7TNE3</v>
      </c>
      <c r="M2816" t="s">
        <v>31826</v>
      </c>
      <c r="N2816" t="str">
        <f>"Spag7"</f>
        <v>Spag7</v>
      </c>
      <c r="O2816" s="3" t="str">
        <f>HYPERLINK("http://www.informatics.jax.org/marker/MGI:107380", "MGI:107380")</f>
        <v>MGI:107380</v>
      </c>
      <c r="P2816" t="s">
        <v>28377</v>
      </c>
      <c r="Q2816" t="s">
        <v>32</v>
      </c>
      <c r="R2816" t="s">
        <v>2279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32</v>
      </c>
      <c r="Y2816" t="s">
        <v>157</v>
      </c>
      <c r="Z2816" t="s">
        <v>32</v>
      </c>
      <c r="AA2816" t="s">
        <v>32</v>
      </c>
      <c r="AB2816" t="s">
        <v>3606</v>
      </c>
      <c r="AC2816" t="s">
        <v>10795</v>
      </c>
      <c r="AD2816" t="s">
        <v>32</v>
      </c>
      <c r="AE2816" t="s">
        <v>32</v>
      </c>
      <c r="AF2816" t="s">
        <v>46835</v>
      </c>
    </row>
    <row r="2817" spans="1:32" x14ac:dyDescent="0.2">
      <c r="A2817">
        <v>2812</v>
      </c>
      <c r="B2817" t="s">
        <v>31827</v>
      </c>
      <c r="C2817" t="s">
        <v>31828</v>
      </c>
      <c r="D2817" t="s">
        <v>31829</v>
      </c>
      <c r="E2817" t="s">
        <v>31830</v>
      </c>
      <c r="F2817" t="s">
        <v>31831</v>
      </c>
      <c r="G2817" t="s">
        <v>31832</v>
      </c>
      <c r="H2817" t="str">
        <f>"Tinagl1"</f>
        <v>Tinagl1</v>
      </c>
      <c r="I2817" t="s">
        <v>31833</v>
      </c>
      <c r="J2817" t="s">
        <v>37</v>
      </c>
      <c r="K2817">
        <v>10090</v>
      </c>
      <c r="L2817" s="3" t="str">
        <f>HYPERLINK("http://www.uniprot.org/uniprot/Q99JR5", "Q99JR5")</f>
        <v>Q99JR5</v>
      </c>
      <c r="M2817" t="s">
        <v>31834</v>
      </c>
      <c r="N2817" t="str">
        <f>"Tinagl1"</f>
        <v>Tinagl1</v>
      </c>
      <c r="O2817" s="3" t="str">
        <f>HYPERLINK("http://www.informatics.jax.org/marker/MGI:2137617", "MGI:2137617")</f>
        <v>MGI:2137617</v>
      </c>
      <c r="P2817" t="s">
        <v>31835</v>
      </c>
      <c r="Q2817" t="s">
        <v>32</v>
      </c>
      <c r="R2817" t="s">
        <v>630</v>
      </c>
      <c r="S2817" t="s">
        <v>32</v>
      </c>
      <c r="T2817" t="s">
        <v>32</v>
      </c>
      <c r="U2817" t="s">
        <v>32</v>
      </c>
      <c r="V2817" t="s">
        <v>811</v>
      </c>
      <c r="W2817" t="s">
        <v>32</v>
      </c>
      <c r="X2817" t="s">
        <v>32</v>
      </c>
      <c r="Y2817" t="s">
        <v>5275</v>
      </c>
      <c r="Z2817" t="s">
        <v>32</v>
      </c>
      <c r="AA2817" t="s">
        <v>4615</v>
      </c>
      <c r="AB2817" t="s">
        <v>31836</v>
      </c>
      <c r="AC2817" t="s">
        <v>31837</v>
      </c>
      <c r="AD2817" t="s">
        <v>32</v>
      </c>
      <c r="AE2817" t="s">
        <v>32</v>
      </c>
      <c r="AF2817" t="s">
        <v>46835</v>
      </c>
    </row>
    <row r="2818" spans="1:32" x14ac:dyDescent="0.2">
      <c r="A2818">
        <v>2813</v>
      </c>
      <c r="B2818" t="s">
        <v>31838</v>
      </c>
      <c r="C2818" t="s">
        <v>31839</v>
      </c>
      <c r="D2818" t="s">
        <v>31840</v>
      </c>
      <c r="E2818" t="s">
        <v>31841</v>
      </c>
      <c r="F2818" t="s">
        <v>31842</v>
      </c>
      <c r="G2818" t="s">
        <v>31843</v>
      </c>
      <c r="H2818" t="str">
        <f>"Tmem109"</f>
        <v>Tmem109</v>
      </c>
      <c r="I2818" t="s">
        <v>32</v>
      </c>
      <c r="J2818" t="s">
        <v>37</v>
      </c>
      <c r="K2818">
        <v>10090</v>
      </c>
      <c r="L2818" s="3" t="str">
        <f>HYPERLINK("http://www.uniprot.org/uniprot/Q3UBX0", "Q3UBX0")</f>
        <v>Q3UBX0</v>
      </c>
      <c r="M2818" t="s">
        <v>31844</v>
      </c>
      <c r="N2818" t="str">
        <f>"Tmem109"</f>
        <v>Tmem109</v>
      </c>
      <c r="O2818" s="3" t="str">
        <f>HYPERLINK("http://www.informatics.jax.org/marker/MGI:1915789", "MGI:1915789")</f>
        <v>MGI:1915789</v>
      </c>
      <c r="P2818" t="s">
        <v>31845</v>
      </c>
      <c r="Q2818" t="s">
        <v>6326</v>
      </c>
      <c r="R2818" t="s">
        <v>31846</v>
      </c>
      <c r="S2818" t="s">
        <v>32</v>
      </c>
      <c r="T2818" t="s">
        <v>32</v>
      </c>
      <c r="U2818" t="s">
        <v>32</v>
      </c>
      <c r="V2818" t="s">
        <v>3948</v>
      </c>
      <c r="W2818" t="s">
        <v>32</v>
      </c>
      <c r="X2818" t="s">
        <v>31847</v>
      </c>
      <c r="Y2818" t="s">
        <v>32</v>
      </c>
      <c r="Z2818" t="s">
        <v>32</v>
      </c>
      <c r="AA2818" t="s">
        <v>31848</v>
      </c>
      <c r="AB2818" t="s">
        <v>31849</v>
      </c>
      <c r="AC2818" t="s">
        <v>31850</v>
      </c>
      <c r="AD2818" t="s">
        <v>32</v>
      </c>
      <c r="AE2818" t="s">
        <v>32</v>
      </c>
      <c r="AF2818" t="s">
        <v>46835</v>
      </c>
    </row>
    <row r="2819" spans="1:32" x14ac:dyDescent="0.2">
      <c r="A2819">
        <v>2814</v>
      </c>
      <c r="B2819" t="s">
        <v>31851</v>
      </c>
      <c r="C2819" t="s">
        <v>31852</v>
      </c>
      <c r="D2819" t="s">
        <v>32</v>
      </c>
      <c r="E2819" t="s">
        <v>31853</v>
      </c>
      <c r="F2819" t="s">
        <v>31854</v>
      </c>
      <c r="G2819" t="s">
        <v>31855</v>
      </c>
      <c r="H2819" t="str">
        <f>"Fam114a2"</f>
        <v>Fam114a2</v>
      </c>
      <c r="I2819" t="s">
        <v>32</v>
      </c>
      <c r="J2819" t="s">
        <v>37</v>
      </c>
      <c r="K2819">
        <v>10090</v>
      </c>
      <c r="L2819" s="3" t="str">
        <f>HYPERLINK("http://www.uniprot.org/uniprot/Q8VE88", "Q8VE88")</f>
        <v>Q8VE88</v>
      </c>
      <c r="M2819" t="s">
        <v>31856</v>
      </c>
      <c r="N2819" t="str">
        <f>"Fam114a2"</f>
        <v>Fam114a2</v>
      </c>
      <c r="O2819" s="3" t="str">
        <f>HYPERLINK("http://www.informatics.jax.org/marker/MGI:1917629", "MGI:1917629")</f>
        <v>MGI:1917629</v>
      </c>
      <c r="P2819" t="s">
        <v>13974</v>
      </c>
      <c r="Q2819" t="s">
        <v>32</v>
      </c>
      <c r="R2819" t="s">
        <v>32</v>
      </c>
      <c r="S2819" t="s">
        <v>41</v>
      </c>
      <c r="T2819" t="s">
        <v>32</v>
      </c>
      <c r="U2819" t="s">
        <v>32</v>
      </c>
      <c r="V2819" t="s">
        <v>32</v>
      </c>
      <c r="W2819" t="s">
        <v>32</v>
      </c>
      <c r="X2819" t="s">
        <v>32</v>
      </c>
      <c r="Y2819" t="s">
        <v>618</v>
      </c>
      <c r="Z2819" t="s">
        <v>32</v>
      </c>
      <c r="AA2819" t="s">
        <v>32</v>
      </c>
      <c r="AB2819" t="s">
        <v>32</v>
      </c>
      <c r="AC2819" t="s">
        <v>32</v>
      </c>
      <c r="AD2819" t="s">
        <v>32</v>
      </c>
      <c r="AE2819" t="s">
        <v>32</v>
      </c>
      <c r="AF2819" t="s">
        <v>46835</v>
      </c>
    </row>
    <row r="2820" spans="1:32" x14ac:dyDescent="0.2">
      <c r="A2820">
        <v>2815</v>
      </c>
      <c r="B2820" t="s">
        <v>31857</v>
      </c>
      <c r="C2820" t="s">
        <v>31858</v>
      </c>
      <c r="D2820" t="s">
        <v>31859</v>
      </c>
      <c r="E2820" t="s">
        <v>31860</v>
      </c>
      <c r="F2820" t="s">
        <v>31861</v>
      </c>
      <c r="G2820" t="s">
        <v>31862</v>
      </c>
      <c r="H2820" t="str">
        <f>"Habp4"</f>
        <v>Habp4</v>
      </c>
      <c r="I2820" t="s">
        <v>32</v>
      </c>
      <c r="J2820" t="s">
        <v>37</v>
      </c>
      <c r="K2820">
        <v>10090</v>
      </c>
      <c r="L2820" s="3" t="str">
        <f>HYPERLINK("http://www.uniprot.org/uniprot/Q9JKS5", "Q9JKS5")</f>
        <v>Q9JKS5</v>
      </c>
      <c r="M2820" t="s">
        <v>31863</v>
      </c>
      <c r="N2820" t="str">
        <f>"Habp4"</f>
        <v>Habp4</v>
      </c>
      <c r="O2820" s="3" t="str">
        <f>HYPERLINK("http://www.informatics.jax.org/marker/MGI:1891713", "MGI:1891713")</f>
        <v>MGI:1891713</v>
      </c>
      <c r="P2820" t="s">
        <v>31864</v>
      </c>
      <c r="Q2820" t="s">
        <v>31865</v>
      </c>
      <c r="R2820" t="s">
        <v>40</v>
      </c>
      <c r="S2820" t="s">
        <v>32</v>
      </c>
      <c r="T2820" t="s">
        <v>32</v>
      </c>
      <c r="U2820" t="s">
        <v>32</v>
      </c>
      <c r="V2820" t="s">
        <v>290</v>
      </c>
      <c r="W2820" t="s">
        <v>32</v>
      </c>
      <c r="X2820" t="s">
        <v>1282</v>
      </c>
      <c r="Y2820" t="s">
        <v>2192</v>
      </c>
      <c r="Z2820" t="s">
        <v>32</v>
      </c>
      <c r="AA2820" t="s">
        <v>31866</v>
      </c>
      <c r="AB2820" t="s">
        <v>31867</v>
      </c>
      <c r="AC2820" t="s">
        <v>31868</v>
      </c>
      <c r="AD2820" t="s">
        <v>32</v>
      </c>
      <c r="AE2820" t="s">
        <v>2235</v>
      </c>
      <c r="AF2820" t="s">
        <v>46835</v>
      </c>
    </row>
    <row r="2821" spans="1:32" x14ac:dyDescent="0.2">
      <c r="A2821">
        <v>2816</v>
      </c>
      <c r="B2821" t="s">
        <v>31869</v>
      </c>
      <c r="C2821" t="s">
        <v>31870</v>
      </c>
      <c r="D2821" t="s">
        <v>31871</v>
      </c>
      <c r="E2821" t="s">
        <v>31872</v>
      </c>
      <c r="F2821" t="s">
        <v>31873</v>
      </c>
      <c r="G2821" t="s">
        <v>32</v>
      </c>
      <c r="H2821" t="str">
        <f>"Prxl2b"</f>
        <v>Prxl2b</v>
      </c>
      <c r="I2821" t="s">
        <v>31874</v>
      </c>
      <c r="J2821" t="s">
        <v>37</v>
      </c>
      <c r="K2821">
        <v>10090</v>
      </c>
      <c r="L2821" s="3" t="str">
        <f>HYPERLINK("http://www.uniprot.org/uniprot/Q9DB60", "Q9DB60")</f>
        <v>Q9DB60</v>
      </c>
      <c r="M2821" t="s">
        <v>31875</v>
      </c>
      <c r="N2821" t="str">
        <f>"Prxl2b"</f>
        <v>Prxl2b</v>
      </c>
      <c r="O2821" s="3" t="str">
        <f>HYPERLINK("http://www.informatics.jax.org/marker/MGI:1913719", "MGI:1913719")</f>
        <v>MGI:1913719</v>
      </c>
      <c r="P2821" t="s">
        <v>31876</v>
      </c>
      <c r="Q2821" t="s">
        <v>7462</v>
      </c>
      <c r="R2821" t="s">
        <v>418</v>
      </c>
      <c r="S2821" t="s">
        <v>32</v>
      </c>
      <c r="T2821" t="s">
        <v>32</v>
      </c>
      <c r="U2821" t="s">
        <v>32</v>
      </c>
      <c r="V2821" t="s">
        <v>32</v>
      </c>
      <c r="W2821" t="s">
        <v>3204</v>
      </c>
      <c r="X2821" t="s">
        <v>600</v>
      </c>
      <c r="Y2821" t="s">
        <v>618</v>
      </c>
      <c r="Z2821" t="s">
        <v>32</v>
      </c>
      <c r="AA2821" t="s">
        <v>31877</v>
      </c>
      <c r="AB2821" t="s">
        <v>31878</v>
      </c>
      <c r="AC2821" t="s">
        <v>31879</v>
      </c>
      <c r="AD2821" t="s">
        <v>32</v>
      </c>
      <c r="AE2821" t="s">
        <v>32</v>
      </c>
      <c r="AF2821" t="s">
        <v>46835</v>
      </c>
    </row>
    <row r="2822" spans="1:32" x14ac:dyDescent="0.2">
      <c r="A2822">
        <v>2817</v>
      </c>
      <c r="B2822" t="s">
        <v>31880</v>
      </c>
      <c r="C2822" t="s">
        <v>31881</v>
      </c>
      <c r="D2822" t="s">
        <v>31882</v>
      </c>
      <c r="E2822" t="s">
        <v>31883</v>
      </c>
      <c r="F2822" t="s">
        <v>31884</v>
      </c>
      <c r="G2822" t="s">
        <v>31885</v>
      </c>
      <c r="H2822" t="str">
        <f>"Dido1"</f>
        <v>Dido1</v>
      </c>
      <c r="I2822" t="s">
        <v>31886</v>
      </c>
      <c r="J2822" t="s">
        <v>37</v>
      </c>
      <c r="K2822">
        <v>10090</v>
      </c>
      <c r="L2822" s="3" t="str">
        <f>HYPERLINK("http://www.uniprot.org/uniprot/Q8C9B9", "Q8C9B9")</f>
        <v>Q8C9B9</v>
      </c>
      <c r="M2822" t="s">
        <v>31887</v>
      </c>
      <c r="N2822" t="str">
        <f>"Dido1"</f>
        <v>Dido1</v>
      </c>
      <c r="O2822" s="3" t="str">
        <f>HYPERLINK("http://www.informatics.jax.org/marker/MGI:1344352", "MGI:1344352")</f>
        <v>MGI:1344352</v>
      </c>
      <c r="P2822" t="s">
        <v>31888</v>
      </c>
      <c r="Q2822" t="s">
        <v>541</v>
      </c>
      <c r="R2822" t="s">
        <v>324</v>
      </c>
      <c r="S2822" t="s">
        <v>41</v>
      </c>
      <c r="T2822" t="s">
        <v>32</v>
      </c>
      <c r="U2822" t="s">
        <v>32</v>
      </c>
      <c r="V2822" t="s">
        <v>446</v>
      </c>
      <c r="W2822" t="s">
        <v>42</v>
      </c>
      <c r="X2822" t="s">
        <v>32</v>
      </c>
      <c r="Y2822" t="s">
        <v>207</v>
      </c>
      <c r="Z2822" t="s">
        <v>126</v>
      </c>
      <c r="AA2822" t="s">
        <v>31889</v>
      </c>
      <c r="AB2822" t="s">
        <v>31890</v>
      </c>
      <c r="AC2822" t="s">
        <v>4525</v>
      </c>
      <c r="AD2822" t="s">
        <v>32</v>
      </c>
      <c r="AE2822" t="s">
        <v>32</v>
      </c>
      <c r="AF2822" t="s">
        <v>46835</v>
      </c>
    </row>
    <row r="2823" spans="1:32" x14ac:dyDescent="0.2">
      <c r="A2823">
        <v>2818</v>
      </c>
      <c r="B2823" t="s">
        <v>31891</v>
      </c>
      <c r="C2823" t="s">
        <v>31892</v>
      </c>
      <c r="D2823" t="s">
        <v>32</v>
      </c>
      <c r="E2823" t="s">
        <v>31893</v>
      </c>
      <c r="F2823" t="s">
        <v>31894</v>
      </c>
      <c r="G2823" t="s">
        <v>31895</v>
      </c>
      <c r="H2823" t="str">
        <f>"Gys1"</f>
        <v>Gys1</v>
      </c>
      <c r="I2823" t="s">
        <v>31896</v>
      </c>
      <c r="J2823" t="s">
        <v>37</v>
      </c>
      <c r="K2823">
        <v>10090</v>
      </c>
      <c r="L2823" s="3" t="str">
        <f>HYPERLINK("http://www.uniprot.org/uniprot/Q9Z1E4", "Q9Z1E4")</f>
        <v>Q9Z1E4</v>
      </c>
      <c r="M2823" t="s">
        <v>31897</v>
      </c>
      <c r="N2823" t="str">
        <f>"Gys1"</f>
        <v>Gys1</v>
      </c>
      <c r="O2823" s="3" t="str">
        <f>HYPERLINK("http://www.informatics.jax.org/marker/MGI:101805", "MGI:101805")</f>
        <v>MGI:101805</v>
      </c>
      <c r="P2823" t="s">
        <v>31898</v>
      </c>
      <c r="Q2823" t="s">
        <v>8458</v>
      </c>
      <c r="R2823" t="s">
        <v>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1720</v>
      </c>
      <c r="Y2823" t="s">
        <v>618</v>
      </c>
      <c r="Z2823" t="s">
        <v>32</v>
      </c>
      <c r="AA2823" t="s">
        <v>31899</v>
      </c>
      <c r="AB2823" t="s">
        <v>31900</v>
      </c>
      <c r="AC2823" t="s">
        <v>31901</v>
      </c>
      <c r="AD2823" t="s">
        <v>7492</v>
      </c>
      <c r="AE2823" t="s">
        <v>30136</v>
      </c>
      <c r="AF2823" t="s">
        <v>46835</v>
      </c>
    </row>
    <row r="2824" spans="1:32" x14ac:dyDescent="0.2">
      <c r="A2824">
        <v>2819</v>
      </c>
      <c r="B2824" t="s">
        <v>31902</v>
      </c>
      <c r="C2824" t="s">
        <v>31903</v>
      </c>
      <c r="D2824" t="s">
        <v>32</v>
      </c>
      <c r="E2824" t="s">
        <v>31904</v>
      </c>
      <c r="F2824" t="s">
        <v>31905</v>
      </c>
      <c r="G2824" t="s">
        <v>31906</v>
      </c>
      <c r="H2824" t="str">
        <f>"Hook1"</f>
        <v>Hook1</v>
      </c>
      <c r="I2824" t="s">
        <v>32</v>
      </c>
      <c r="J2824" t="s">
        <v>37</v>
      </c>
      <c r="K2824">
        <v>10090</v>
      </c>
      <c r="L2824" s="3" t="str">
        <f>HYPERLINK("http://www.uniprot.org/uniprot/Q8BIL5", "Q8BIL5")</f>
        <v>Q8BIL5</v>
      </c>
      <c r="M2824" t="s">
        <v>31907</v>
      </c>
      <c r="N2824" t="str">
        <f>"Hook1"</f>
        <v>Hook1</v>
      </c>
      <c r="O2824" s="3" t="str">
        <f>HYPERLINK("http://www.informatics.jax.org/marker/MGI:1925213", "MGI:1925213")</f>
        <v>MGI:1925213</v>
      </c>
      <c r="P2824" t="s">
        <v>31908</v>
      </c>
      <c r="Q2824" t="s">
        <v>31909</v>
      </c>
      <c r="R2824" t="s">
        <v>341</v>
      </c>
      <c r="S2824" t="s">
        <v>41</v>
      </c>
      <c r="T2824" t="s">
        <v>32</v>
      </c>
      <c r="U2824" t="s">
        <v>32</v>
      </c>
      <c r="V2824" t="s">
        <v>290</v>
      </c>
      <c r="W2824" t="s">
        <v>32</v>
      </c>
      <c r="X2824" t="s">
        <v>2029</v>
      </c>
      <c r="Y2824" t="s">
        <v>157</v>
      </c>
      <c r="Z2824" t="s">
        <v>126</v>
      </c>
      <c r="AA2824" t="s">
        <v>31910</v>
      </c>
      <c r="AB2824" t="s">
        <v>31911</v>
      </c>
      <c r="AC2824" t="s">
        <v>31912</v>
      </c>
      <c r="AD2824" t="s">
        <v>32</v>
      </c>
      <c r="AE2824" t="s">
        <v>32</v>
      </c>
      <c r="AF2824" t="s">
        <v>46835</v>
      </c>
    </row>
    <row r="2825" spans="1:32" x14ac:dyDescent="0.2">
      <c r="A2825">
        <v>2820</v>
      </c>
      <c r="B2825" t="s">
        <v>31913</v>
      </c>
      <c r="C2825" t="s">
        <v>31914</v>
      </c>
      <c r="D2825" t="s">
        <v>31915</v>
      </c>
      <c r="E2825" t="s">
        <v>31916</v>
      </c>
      <c r="F2825" t="s">
        <v>31917</v>
      </c>
      <c r="G2825" t="s">
        <v>31918</v>
      </c>
      <c r="H2825" t="str">
        <f>"Ak4"</f>
        <v>Ak4</v>
      </c>
      <c r="I2825" t="s">
        <v>31919</v>
      </c>
      <c r="J2825" t="s">
        <v>37</v>
      </c>
      <c r="K2825">
        <v>10090</v>
      </c>
      <c r="L2825" s="3" t="str">
        <f>HYPERLINK("http://www.uniprot.org/uniprot/Q9WUR9", "Q9WUR9")</f>
        <v>Q9WUR9</v>
      </c>
      <c r="M2825" t="s">
        <v>31920</v>
      </c>
      <c r="N2825" t="str">
        <f>"Ak4"</f>
        <v>Ak4</v>
      </c>
      <c r="O2825" s="3" t="str">
        <f>HYPERLINK("http://www.informatics.jax.org/marker/MGI:87979", "MGI:87979")</f>
        <v>MGI:87979</v>
      </c>
      <c r="P2825" t="s">
        <v>31921</v>
      </c>
      <c r="Q2825" t="s">
        <v>32</v>
      </c>
      <c r="R2825" t="s">
        <v>1038</v>
      </c>
      <c r="S2825" t="s">
        <v>32</v>
      </c>
      <c r="T2825" t="s">
        <v>32</v>
      </c>
      <c r="U2825" t="s">
        <v>32</v>
      </c>
      <c r="V2825" t="s">
        <v>32</v>
      </c>
      <c r="W2825" t="s">
        <v>31922</v>
      </c>
      <c r="X2825" t="s">
        <v>419</v>
      </c>
      <c r="Y2825" t="s">
        <v>78</v>
      </c>
      <c r="Z2825" t="s">
        <v>32</v>
      </c>
      <c r="AA2825" t="s">
        <v>31923</v>
      </c>
      <c r="AB2825" t="s">
        <v>12327</v>
      </c>
      <c r="AC2825" t="s">
        <v>31924</v>
      </c>
      <c r="AD2825" t="s">
        <v>32</v>
      </c>
      <c r="AE2825" t="s">
        <v>6139</v>
      </c>
      <c r="AF2825" t="s">
        <v>46835</v>
      </c>
    </row>
    <row r="2826" spans="1:32" x14ac:dyDescent="0.2">
      <c r="A2826">
        <v>2821</v>
      </c>
      <c r="B2826" t="s">
        <v>31925</v>
      </c>
      <c r="C2826" t="s">
        <v>31926</v>
      </c>
      <c r="D2826" t="s">
        <v>31927</v>
      </c>
      <c r="E2826" t="s">
        <v>31928</v>
      </c>
      <c r="F2826" t="s">
        <v>31929</v>
      </c>
      <c r="G2826" t="s">
        <v>31930</v>
      </c>
      <c r="H2826" t="str">
        <f>"Polr2h"</f>
        <v>Polr2h</v>
      </c>
      <c r="I2826" t="s">
        <v>32</v>
      </c>
      <c r="J2826" t="s">
        <v>37</v>
      </c>
      <c r="K2826">
        <v>10090</v>
      </c>
      <c r="L2826" s="3" t="str">
        <f>HYPERLINK("http://www.uniprot.org/uniprot/Q923G2", "Q923G2")</f>
        <v>Q923G2</v>
      </c>
      <c r="M2826" t="s">
        <v>31931</v>
      </c>
      <c r="N2826" t="str">
        <f>"Polr2h"</f>
        <v>Polr2h</v>
      </c>
      <c r="O2826" s="3" t="str">
        <f>HYPERLINK("http://www.informatics.jax.org/marker/MGI:2384309", "MGI:2384309")</f>
        <v>MGI:2384309</v>
      </c>
      <c r="P2826" t="s">
        <v>31932</v>
      </c>
      <c r="Q2826" t="s">
        <v>16415</v>
      </c>
      <c r="R2826" t="s">
        <v>19800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247</v>
      </c>
      <c r="Y2826" t="s">
        <v>78</v>
      </c>
      <c r="Z2826" t="s">
        <v>32</v>
      </c>
      <c r="AA2826" t="s">
        <v>20776</v>
      </c>
      <c r="AB2826" t="s">
        <v>31933</v>
      </c>
      <c r="AC2826" t="s">
        <v>31934</v>
      </c>
      <c r="AD2826" t="s">
        <v>32</v>
      </c>
      <c r="AE2826" t="s">
        <v>31507</v>
      </c>
      <c r="AF2826" t="s">
        <v>46835</v>
      </c>
    </row>
    <row r="2827" spans="1:32" x14ac:dyDescent="0.2">
      <c r="A2827">
        <v>2822</v>
      </c>
      <c r="B2827" t="s">
        <v>31935</v>
      </c>
      <c r="C2827" t="s">
        <v>31936</v>
      </c>
      <c r="D2827" t="s">
        <v>32</v>
      </c>
      <c r="E2827" t="s">
        <v>31937</v>
      </c>
      <c r="F2827" t="s">
        <v>31938</v>
      </c>
      <c r="G2827" t="s">
        <v>31939</v>
      </c>
      <c r="H2827" t="str">
        <f>"Ccdc22"</f>
        <v>Ccdc22</v>
      </c>
      <c r="I2827" t="s">
        <v>31940</v>
      </c>
      <c r="J2827" t="s">
        <v>37</v>
      </c>
      <c r="K2827">
        <v>10090</v>
      </c>
      <c r="L2827" s="3" t="str">
        <f>HYPERLINK("http://www.uniprot.org/uniprot/Q9JIG7", "Q9JIG7")</f>
        <v>Q9JIG7</v>
      </c>
      <c r="M2827" t="s">
        <v>31941</v>
      </c>
      <c r="N2827" t="str">
        <f>"Ccdc22"</f>
        <v>Ccdc22</v>
      </c>
      <c r="O2827" s="3" t="str">
        <f>HYPERLINK("http://www.informatics.jax.org/marker/MGI:1859608", "MGI:1859608")</f>
        <v>MGI:1859608</v>
      </c>
      <c r="P2827" t="s">
        <v>31942</v>
      </c>
      <c r="Q2827" t="s">
        <v>22396</v>
      </c>
      <c r="R2827" t="s">
        <v>11451</v>
      </c>
      <c r="S2827" t="s">
        <v>32</v>
      </c>
      <c r="T2827" t="s">
        <v>32</v>
      </c>
      <c r="U2827" t="s">
        <v>32</v>
      </c>
      <c r="V2827" t="s">
        <v>290</v>
      </c>
      <c r="W2827" t="s">
        <v>32</v>
      </c>
      <c r="X2827" t="s">
        <v>32</v>
      </c>
      <c r="Y2827" t="s">
        <v>618</v>
      </c>
      <c r="Z2827" t="s">
        <v>32</v>
      </c>
      <c r="AA2827" t="s">
        <v>31943</v>
      </c>
      <c r="AB2827" t="s">
        <v>31944</v>
      </c>
      <c r="AC2827" t="s">
        <v>31945</v>
      </c>
      <c r="AD2827" t="s">
        <v>32</v>
      </c>
      <c r="AE2827" t="s">
        <v>14635</v>
      </c>
      <c r="AF2827" t="s">
        <v>46835</v>
      </c>
    </row>
    <row r="2828" spans="1:32" x14ac:dyDescent="0.2">
      <c r="A2828">
        <v>2823</v>
      </c>
      <c r="B2828" t="s">
        <v>31946</v>
      </c>
      <c r="C2828" t="s">
        <v>31947</v>
      </c>
      <c r="D2828" t="s">
        <v>31948</v>
      </c>
      <c r="E2828" t="s">
        <v>31949</v>
      </c>
      <c r="F2828" t="s">
        <v>31950</v>
      </c>
      <c r="G2828" t="s">
        <v>32</v>
      </c>
      <c r="H2828" t="str">
        <f>"Kdsr"</f>
        <v>Kdsr</v>
      </c>
      <c r="I2828" t="s">
        <v>31951</v>
      </c>
      <c r="J2828" t="s">
        <v>37</v>
      </c>
      <c r="K2828">
        <v>10090</v>
      </c>
      <c r="L2828" s="3" t="str">
        <f>HYPERLINK("http://www.uniprot.org/uniprot/Q6GV12", "Q6GV12")</f>
        <v>Q6GV12</v>
      </c>
      <c r="M2828" t="s">
        <v>31952</v>
      </c>
      <c r="N2828" t="str">
        <f>"Kdsr"</f>
        <v>Kdsr</v>
      </c>
      <c r="O2828" s="3" t="str">
        <f>HYPERLINK("http://www.informatics.jax.org/marker/MGI:1918000", "MGI:1918000")</f>
        <v>MGI:1918000</v>
      </c>
      <c r="P2828" t="s">
        <v>31953</v>
      </c>
      <c r="Q2828" t="s">
        <v>23187</v>
      </c>
      <c r="R2828" t="s">
        <v>1664</v>
      </c>
      <c r="S2828" t="s">
        <v>32</v>
      </c>
      <c r="T2828" t="s">
        <v>32</v>
      </c>
      <c r="U2828" t="s">
        <v>4682</v>
      </c>
      <c r="V2828" t="s">
        <v>3948</v>
      </c>
      <c r="W2828" t="s">
        <v>3204</v>
      </c>
      <c r="X2828" t="s">
        <v>600</v>
      </c>
      <c r="Y2828" t="s">
        <v>32</v>
      </c>
      <c r="Z2828" t="s">
        <v>32</v>
      </c>
      <c r="AA2828" t="s">
        <v>31954</v>
      </c>
      <c r="AB2828" t="s">
        <v>16952</v>
      </c>
      <c r="AC2828" t="s">
        <v>31955</v>
      </c>
      <c r="AD2828" t="s">
        <v>9930</v>
      </c>
      <c r="AE2828" t="s">
        <v>31956</v>
      </c>
      <c r="AF2828" t="s">
        <v>46835</v>
      </c>
    </row>
    <row r="2829" spans="1:32" x14ac:dyDescent="0.2">
      <c r="A2829">
        <v>2824</v>
      </c>
      <c r="B2829" t="s">
        <v>31957</v>
      </c>
      <c r="C2829" t="s">
        <v>31958</v>
      </c>
      <c r="D2829" t="s">
        <v>31959</v>
      </c>
      <c r="E2829" t="s">
        <v>31960</v>
      </c>
      <c r="F2829" t="s">
        <v>31961</v>
      </c>
      <c r="G2829" t="s">
        <v>31962</v>
      </c>
      <c r="H2829" t="str">
        <f>"Ube2f"</f>
        <v>Ube2f</v>
      </c>
      <c r="I2829" t="s">
        <v>31963</v>
      </c>
      <c r="J2829" t="s">
        <v>37</v>
      </c>
      <c r="K2829">
        <v>10090</v>
      </c>
      <c r="L2829" s="3" t="str">
        <f>HYPERLINK("http://www.uniprot.org/uniprot/Q9CY34", "Q9CY34")</f>
        <v>Q9CY34</v>
      </c>
      <c r="M2829" t="s">
        <v>31964</v>
      </c>
      <c r="N2829" t="str">
        <f>"Ube2f"</f>
        <v>Ube2f</v>
      </c>
      <c r="O2829" s="3" t="str">
        <f>HYPERLINK("http://www.informatics.jax.org/marker/MGI:1915171", "MGI:1915171")</f>
        <v>MGI:1915171</v>
      </c>
      <c r="P2829" t="s">
        <v>31965</v>
      </c>
      <c r="Q2829" t="s">
        <v>1020</v>
      </c>
      <c r="R2829" t="s">
        <v>32</v>
      </c>
      <c r="S2829" t="s">
        <v>32</v>
      </c>
      <c r="T2829" t="s">
        <v>32</v>
      </c>
      <c r="U2829" t="s">
        <v>32</v>
      </c>
      <c r="V2829" t="s">
        <v>32</v>
      </c>
      <c r="W2829" t="s">
        <v>205</v>
      </c>
      <c r="X2829" t="s">
        <v>515</v>
      </c>
      <c r="Y2829" t="s">
        <v>78</v>
      </c>
      <c r="Z2829" t="s">
        <v>32</v>
      </c>
      <c r="AA2829" t="s">
        <v>31966</v>
      </c>
      <c r="AB2829" t="s">
        <v>3606</v>
      </c>
      <c r="AC2829" t="s">
        <v>31967</v>
      </c>
      <c r="AD2829" t="s">
        <v>6231</v>
      </c>
      <c r="AE2829" t="s">
        <v>23932</v>
      </c>
      <c r="AF2829" t="s">
        <v>46835</v>
      </c>
    </row>
    <row r="2830" spans="1:32" x14ac:dyDescent="0.2">
      <c r="A2830">
        <v>2825</v>
      </c>
      <c r="B2830" t="s">
        <v>31968</v>
      </c>
      <c r="C2830" t="s">
        <v>31969</v>
      </c>
      <c r="D2830" t="s">
        <v>31970</v>
      </c>
      <c r="E2830" t="s">
        <v>31971</v>
      </c>
      <c r="F2830" t="s">
        <v>31972</v>
      </c>
      <c r="G2830" t="s">
        <v>31973</v>
      </c>
      <c r="H2830" t="str">
        <f>"Nfu1"</f>
        <v>Nfu1</v>
      </c>
      <c r="I2830" t="s">
        <v>31974</v>
      </c>
      <c r="J2830" t="s">
        <v>37</v>
      </c>
      <c r="K2830">
        <v>10090</v>
      </c>
      <c r="L2830" s="3" t="str">
        <f>HYPERLINK("http://www.uniprot.org/uniprot/Q9QZ23", "Q9QZ23")</f>
        <v>Q9QZ23</v>
      </c>
      <c r="M2830" t="s">
        <v>31975</v>
      </c>
      <c r="N2830" t="str">
        <f>"Nfu1"</f>
        <v>Nfu1</v>
      </c>
      <c r="O2830" s="3" t="str">
        <f>HYPERLINK("http://www.informatics.jax.org/marker/MGI:1913290", "MGI:1913290")</f>
        <v>MGI:1913290</v>
      </c>
      <c r="P2830" t="s">
        <v>31976</v>
      </c>
      <c r="Q2830" t="s">
        <v>32</v>
      </c>
      <c r="R2830" t="s">
        <v>1842</v>
      </c>
      <c r="S2830" t="s">
        <v>32</v>
      </c>
      <c r="T2830" t="s">
        <v>32</v>
      </c>
      <c r="U2830" t="s">
        <v>32</v>
      </c>
      <c r="V2830" t="s">
        <v>1039</v>
      </c>
      <c r="W2830" t="s">
        <v>4414</v>
      </c>
      <c r="X2830" t="s">
        <v>32</v>
      </c>
      <c r="Y2830" t="s">
        <v>32</v>
      </c>
      <c r="Z2830" t="s">
        <v>126</v>
      </c>
      <c r="AA2830" t="s">
        <v>31977</v>
      </c>
      <c r="AB2830" t="s">
        <v>31978</v>
      </c>
      <c r="AC2830" t="s">
        <v>31979</v>
      </c>
      <c r="AD2830" t="s">
        <v>32</v>
      </c>
      <c r="AE2830" t="s">
        <v>32</v>
      </c>
      <c r="AF2830" t="s">
        <v>46835</v>
      </c>
    </row>
    <row r="2831" spans="1:32" x14ac:dyDescent="0.2">
      <c r="A2831">
        <v>2826</v>
      </c>
      <c r="B2831" t="s">
        <v>31980</v>
      </c>
      <c r="C2831" t="s">
        <v>31981</v>
      </c>
      <c r="D2831" t="s">
        <v>31982</v>
      </c>
      <c r="E2831" t="s">
        <v>31983</v>
      </c>
      <c r="F2831" t="s">
        <v>31984</v>
      </c>
      <c r="G2831" t="s">
        <v>31985</v>
      </c>
      <c r="H2831" t="str">
        <f>"Arhgap17"</f>
        <v>Arhgap17</v>
      </c>
      <c r="I2831" t="s">
        <v>32</v>
      </c>
      <c r="J2831" t="s">
        <v>37</v>
      </c>
      <c r="K2831">
        <v>10090</v>
      </c>
      <c r="L2831" s="3" t="str">
        <f>HYPERLINK("http://www.uniprot.org/uniprot/Q3UIA2", "Q3UIA2")</f>
        <v>Q3UIA2</v>
      </c>
      <c r="M2831" t="s">
        <v>31986</v>
      </c>
      <c r="N2831" t="str">
        <f>"Arhgap17"</f>
        <v>Arhgap17</v>
      </c>
      <c r="O2831" s="3" t="str">
        <f>HYPERLINK("http://www.informatics.jax.org/marker/MGI:1917747", "MGI:1917747")</f>
        <v>MGI:1917747</v>
      </c>
      <c r="P2831" t="s">
        <v>31987</v>
      </c>
      <c r="Q2831" t="s">
        <v>32</v>
      </c>
      <c r="R2831" t="s">
        <v>31988</v>
      </c>
      <c r="S2831" t="s">
        <v>41</v>
      </c>
      <c r="T2831" t="s">
        <v>32</v>
      </c>
      <c r="U2831" t="s">
        <v>32</v>
      </c>
      <c r="V2831" t="s">
        <v>7861</v>
      </c>
      <c r="W2831" t="s">
        <v>32</v>
      </c>
      <c r="X2831" t="s">
        <v>715</v>
      </c>
      <c r="Y2831" t="s">
        <v>618</v>
      </c>
      <c r="Z2831" t="s">
        <v>32</v>
      </c>
      <c r="AA2831" t="s">
        <v>31989</v>
      </c>
      <c r="AB2831" t="s">
        <v>31990</v>
      </c>
      <c r="AC2831" t="s">
        <v>25692</v>
      </c>
      <c r="AD2831" t="s">
        <v>32</v>
      </c>
      <c r="AE2831" t="s">
        <v>31991</v>
      </c>
      <c r="AF2831" t="s">
        <v>46835</v>
      </c>
    </row>
    <row r="2832" spans="1:32" x14ac:dyDescent="0.2">
      <c r="A2832">
        <v>2827</v>
      </c>
      <c r="B2832" t="s">
        <v>31992</v>
      </c>
      <c r="C2832" t="s">
        <v>31993</v>
      </c>
      <c r="D2832" t="s">
        <v>32</v>
      </c>
      <c r="E2832" t="s">
        <v>31994</v>
      </c>
      <c r="F2832" t="s">
        <v>31995</v>
      </c>
      <c r="G2832" t="s">
        <v>32</v>
      </c>
      <c r="H2832" t="str">
        <f>"Stau1"</f>
        <v>Stau1</v>
      </c>
      <c r="I2832" t="s">
        <v>31996</v>
      </c>
      <c r="J2832" t="s">
        <v>37</v>
      </c>
      <c r="K2832">
        <v>10090</v>
      </c>
      <c r="L2832" s="3" t="str">
        <f>HYPERLINK("http://www.uniprot.org/uniprot/Q9Z108", "Q9Z108")</f>
        <v>Q9Z108</v>
      </c>
      <c r="M2832" t="s">
        <v>31997</v>
      </c>
      <c r="N2832" t="str">
        <f>"Stau1"</f>
        <v>Stau1</v>
      </c>
      <c r="O2832" s="3" t="str">
        <f>HYPERLINK("http://www.informatics.jax.org/marker/MGI:1338864", "MGI:1338864")</f>
        <v>MGI:1338864</v>
      </c>
      <c r="P2832" t="s">
        <v>31998</v>
      </c>
      <c r="Q2832" t="s">
        <v>32</v>
      </c>
      <c r="R2832" t="s">
        <v>874</v>
      </c>
      <c r="S2832" t="s">
        <v>32</v>
      </c>
      <c r="T2832" t="s">
        <v>32</v>
      </c>
      <c r="U2832" t="s">
        <v>32</v>
      </c>
      <c r="V2832" t="s">
        <v>55</v>
      </c>
      <c r="W2832" t="s">
        <v>32</v>
      </c>
      <c r="X2832" t="s">
        <v>1282</v>
      </c>
      <c r="Y2832" t="s">
        <v>175</v>
      </c>
      <c r="Z2832" t="s">
        <v>32</v>
      </c>
      <c r="AA2832" t="s">
        <v>31999</v>
      </c>
      <c r="AB2832" t="s">
        <v>32000</v>
      </c>
      <c r="AC2832" t="s">
        <v>32001</v>
      </c>
      <c r="AD2832" t="s">
        <v>32</v>
      </c>
      <c r="AE2832" t="s">
        <v>32</v>
      </c>
      <c r="AF2832" t="s">
        <v>46835</v>
      </c>
    </row>
    <row r="2833" spans="1:32" x14ac:dyDescent="0.2">
      <c r="A2833">
        <v>2828</v>
      </c>
      <c r="B2833" t="s">
        <v>32002</v>
      </c>
      <c r="C2833" t="s">
        <v>32003</v>
      </c>
      <c r="D2833" t="s">
        <v>32004</v>
      </c>
      <c r="E2833" t="s">
        <v>32005</v>
      </c>
      <c r="F2833" t="s">
        <v>32006</v>
      </c>
      <c r="G2833" t="s">
        <v>32007</v>
      </c>
      <c r="H2833" t="str">
        <f>"Cggbp1"</f>
        <v>Cggbp1</v>
      </c>
      <c r="I2833" t="s">
        <v>32</v>
      </c>
      <c r="J2833" t="s">
        <v>37</v>
      </c>
      <c r="K2833">
        <v>10090</v>
      </c>
      <c r="L2833" s="3" t="str">
        <f>HYPERLINK("http://www.uniprot.org/uniprot/Q8BHG9", "Q8BHG9")</f>
        <v>Q8BHG9</v>
      </c>
      <c r="M2833" t="s">
        <v>32008</v>
      </c>
      <c r="N2833" t="str">
        <f>"Cggbp1"</f>
        <v>Cggbp1</v>
      </c>
      <c r="O2833" s="3" t="str">
        <f>HYPERLINK("http://www.informatics.jax.org/marker/MGI:2146370", "MGI:2146370")</f>
        <v>MGI:2146370</v>
      </c>
      <c r="P2833" t="s">
        <v>32009</v>
      </c>
      <c r="Q2833" t="s">
        <v>4152</v>
      </c>
      <c r="R2833" t="s">
        <v>2279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247</v>
      </c>
      <c r="Y2833" t="s">
        <v>618</v>
      </c>
      <c r="Z2833" t="s">
        <v>32</v>
      </c>
      <c r="AA2833" t="s">
        <v>32010</v>
      </c>
      <c r="AB2833" t="s">
        <v>7318</v>
      </c>
      <c r="AC2833" t="s">
        <v>32011</v>
      </c>
      <c r="AD2833" t="s">
        <v>32</v>
      </c>
      <c r="AE2833" t="s">
        <v>32</v>
      </c>
      <c r="AF2833" t="s">
        <v>46835</v>
      </c>
    </row>
    <row r="2834" spans="1:32" x14ac:dyDescent="0.2">
      <c r="A2834">
        <v>2829</v>
      </c>
      <c r="B2834" t="s">
        <v>32012</v>
      </c>
      <c r="C2834" t="s">
        <v>32013</v>
      </c>
      <c r="D2834" t="s">
        <v>32014</v>
      </c>
      <c r="E2834" t="s">
        <v>32015</v>
      </c>
      <c r="F2834" t="s">
        <v>32016</v>
      </c>
      <c r="G2834" t="s">
        <v>32017</v>
      </c>
      <c r="H2834" t="str">
        <f>"Sars2"</f>
        <v>Sars2</v>
      </c>
      <c r="I2834" t="s">
        <v>32018</v>
      </c>
      <c r="J2834" t="s">
        <v>37</v>
      </c>
      <c r="K2834">
        <v>10090</v>
      </c>
      <c r="L2834" s="3" t="str">
        <f>HYPERLINK("http://www.uniprot.org/uniprot/Q9JJL8", "Q9JJL8")</f>
        <v>Q9JJL8</v>
      </c>
      <c r="M2834" t="s">
        <v>32019</v>
      </c>
      <c r="N2834" t="str">
        <f>"Sars2"</f>
        <v>Sars2</v>
      </c>
      <c r="O2834" s="3" t="str">
        <f>HYPERLINK("http://www.informatics.jax.org/marker/MGI:1919234", "MGI:1919234")</f>
        <v>MGI:1919234</v>
      </c>
      <c r="P2834" t="s">
        <v>22783</v>
      </c>
      <c r="Q2834" t="s">
        <v>260</v>
      </c>
      <c r="R2834" t="s">
        <v>1038</v>
      </c>
      <c r="S2834" t="s">
        <v>32</v>
      </c>
      <c r="T2834" t="s">
        <v>32</v>
      </c>
      <c r="U2834" t="s">
        <v>32</v>
      </c>
      <c r="V2834" t="s">
        <v>1039</v>
      </c>
      <c r="W2834" t="s">
        <v>205</v>
      </c>
      <c r="X2834" t="s">
        <v>2983</v>
      </c>
      <c r="Y2834" t="s">
        <v>78</v>
      </c>
      <c r="Z2834" t="s">
        <v>32</v>
      </c>
      <c r="AA2834" t="s">
        <v>32020</v>
      </c>
      <c r="AB2834" t="s">
        <v>2128</v>
      </c>
      <c r="AC2834" t="s">
        <v>32021</v>
      </c>
      <c r="AD2834" t="s">
        <v>4285</v>
      </c>
      <c r="AE2834" t="s">
        <v>32</v>
      </c>
      <c r="AF2834" t="s">
        <v>46835</v>
      </c>
    </row>
    <row r="2835" spans="1:32" x14ac:dyDescent="0.2">
      <c r="A2835">
        <v>2830</v>
      </c>
      <c r="B2835" t="s">
        <v>32022</v>
      </c>
      <c r="C2835" t="s">
        <v>32023</v>
      </c>
      <c r="D2835" t="s">
        <v>32024</v>
      </c>
      <c r="E2835" t="s">
        <v>32025</v>
      </c>
      <c r="F2835" t="s">
        <v>32026</v>
      </c>
      <c r="G2835" t="s">
        <v>32027</v>
      </c>
      <c r="H2835" t="str">
        <f>"Magi2"</f>
        <v>Magi2</v>
      </c>
      <c r="I2835" t="s">
        <v>32028</v>
      </c>
      <c r="J2835" t="s">
        <v>37</v>
      </c>
      <c r="K2835">
        <v>10090</v>
      </c>
      <c r="L2835" s="3" t="str">
        <f>HYPERLINK("http://www.uniprot.org/uniprot/Q9WVQ1", "Q9WVQ1")</f>
        <v>Q9WVQ1</v>
      </c>
      <c r="M2835" t="s">
        <v>32029</v>
      </c>
      <c r="N2835" t="str">
        <f>"Magi2"</f>
        <v>Magi2</v>
      </c>
      <c r="O2835" s="3" t="str">
        <f>HYPERLINK("http://www.informatics.jax.org/marker/MGI:1354953", "MGI:1354953")</f>
        <v>MGI:1354953</v>
      </c>
      <c r="P2835" t="s">
        <v>32030</v>
      </c>
      <c r="Q2835" t="s">
        <v>32031</v>
      </c>
      <c r="R2835" t="s">
        <v>32032</v>
      </c>
      <c r="S2835" t="s">
        <v>41</v>
      </c>
      <c r="T2835" t="s">
        <v>32</v>
      </c>
      <c r="U2835" t="s">
        <v>32</v>
      </c>
      <c r="V2835" t="s">
        <v>55</v>
      </c>
      <c r="W2835" t="s">
        <v>32</v>
      </c>
      <c r="X2835" t="s">
        <v>32</v>
      </c>
      <c r="Y2835" t="s">
        <v>618</v>
      </c>
      <c r="Z2835" t="s">
        <v>126</v>
      </c>
      <c r="AA2835" t="s">
        <v>32033</v>
      </c>
      <c r="AB2835" t="s">
        <v>32034</v>
      </c>
      <c r="AC2835" t="s">
        <v>32035</v>
      </c>
      <c r="AD2835" t="s">
        <v>32</v>
      </c>
      <c r="AE2835" t="s">
        <v>32</v>
      </c>
      <c r="AF2835" t="s">
        <v>46835</v>
      </c>
    </row>
    <row r="2836" spans="1:32" x14ac:dyDescent="0.2">
      <c r="A2836">
        <v>2831</v>
      </c>
      <c r="B2836" t="s">
        <v>32036</v>
      </c>
      <c r="C2836" t="s">
        <v>32037</v>
      </c>
      <c r="D2836" t="s">
        <v>32038</v>
      </c>
      <c r="E2836" t="s">
        <v>32039</v>
      </c>
      <c r="F2836" t="s">
        <v>32040</v>
      </c>
      <c r="G2836" t="s">
        <v>32041</v>
      </c>
      <c r="H2836" t="str">
        <f>"Hexa"</f>
        <v>Hexa</v>
      </c>
      <c r="I2836" t="s">
        <v>32</v>
      </c>
      <c r="J2836" t="s">
        <v>37</v>
      </c>
      <c r="K2836">
        <v>10090</v>
      </c>
      <c r="L2836" s="3" t="str">
        <f>HYPERLINK("http://www.uniprot.org/uniprot/P29416", "P29416")</f>
        <v>P29416</v>
      </c>
      <c r="M2836" t="s">
        <v>32042</v>
      </c>
      <c r="N2836" t="str">
        <f>"Hexa"</f>
        <v>Hexa</v>
      </c>
      <c r="O2836" s="3" t="str">
        <f>HYPERLINK("http://www.informatics.jax.org/marker/MGI:96073", "MGI:96073")</f>
        <v>MGI:96073</v>
      </c>
      <c r="P2836" t="s">
        <v>32043</v>
      </c>
      <c r="Q2836" t="s">
        <v>598</v>
      </c>
      <c r="R2836" t="s">
        <v>13962</v>
      </c>
      <c r="S2836" t="s">
        <v>32</v>
      </c>
      <c r="T2836" t="s">
        <v>32</v>
      </c>
      <c r="U2836" t="s">
        <v>32</v>
      </c>
      <c r="V2836" t="s">
        <v>811</v>
      </c>
      <c r="W2836" t="s">
        <v>32</v>
      </c>
      <c r="X2836" t="s">
        <v>4316</v>
      </c>
      <c r="Y2836" t="s">
        <v>5781</v>
      </c>
      <c r="Z2836" t="s">
        <v>32</v>
      </c>
      <c r="AA2836" t="s">
        <v>32044</v>
      </c>
      <c r="AB2836" t="s">
        <v>32045</v>
      </c>
      <c r="AC2836" t="s">
        <v>32046</v>
      </c>
      <c r="AD2836" t="s">
        <v>32</v>
      </c>
      <c r="AE2836" t="s">
        <v>32047</v>
      </c>
      <c r="AF2836" t="s">
        <v>46835</v>
      </c>
    </row>
    <row r="2837" spans="1:32" x14ac:dyDescent="0.2">
      <c r="A2837">
        <v>2832</v>
      </c>
      <c r="B2837" t="s">
        <v>32048</v>
      </c>
      <c r="C2837" t="s">
        <v>32049</v>
      </c>
      <c r="D2837" t="s">
        <v>32050</v>
      </c>
      <c r="E2837" t="s">
        <v>32051</v>
      </c>
      <c r="F2837" t="s">
        <v>32052</v>
      </c>
      <c r="G2837" t="s">
        <v>32</v>
      </c>
      <c r="H2837" t="str">
        <f>"Hat1"</f>
        <v>Hat1</v>
      </c>
      <c r="I2837" t="s">
        <v>32</v>
      </c>
      <c r="J2837" t="s">
        <v>37</v>
      </c>
      <c r="K2837">
        <v>10090</v>
      </c>
      <c r="L2837" s="3" t="str">
        <f>HYPERLINK("http://www.uniprot.org/uniprot/Q8BY71", "Q8BY71")</f>
        <v>Q8BY71</v>
      </c>
      <c r="M2837" t="s">
        <v>32053</v>
      </c>
      <c r="N2837" t="str">
        <f>"Hat1"</f>
        <v>Hat1</v>
      </c>
      <c r="O2837" s="3" t="str">
        <f>HYPERLINK("http://www.informatics.jax.org/marker/MGI:96013", "MGI:96013")</f>
        <v>MGI:96013</v>
      </c>
      <c r="P2837" t="s">
        <v>32054</v>
      </c>
      <c r="Q2837" t="s">
        <v>32</v>
      </c>
      <c r="R2837" t="s">
        <v>2377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7304</v>
      </c>
      <c r="Y2837" t="s">
        <v>157</v>
      </c>
      <c r="Z2837" t="s">
        <v>32</v>
      </c>
      <c r="AA2837" t="s">
        <v>32055</v>
      </c>
      <c r="AB2837" t="s">
        <v>32056</v>
      </c>
      <c r="AC2837" t="s">
        <v>32057</v>
      </c>
      <c r="AD2837" t="s">
        <v>32</v>
      </c>
      <c r="AE2837" t="s">
        <v>252</v>
      </c>
      <c r="AF2837" t="s">
        <v>46835</v>
      </c>
    </row>
    <row r="2838" spans="1:32" x14ac:dyDescent="0.2">
      <c r="A2838">
        <v>2833</v>
      </c>
      <c r="B2838" t="s">
        <v>32058</v>
      </c>
      <c r="C2838" t="s">
        <v>32059</v>
      </c>
      <c r="D2838" t="s">
        <v>32060</v>
      </c>
      <c r="E2838" t="s">
        <v>32061</v>
      </c>
      <c r="F2838" t="s">
        <v>32062</v>
      </c>
      <c r="G2838" t="s">
        <v>32063</v>
      </c>
      <c r="H2838" t="str">
        <f>"Thoc7"</f>
        <v>Thoc7</v>
      </c>
      <c r="I2838" t="s">
        <v>32064</v>
      </c>
      <c r="J2838" t="s">
        <v>37</v>
      </c>
      <c r="K2838">
        <v>10090</v>
      </c>
      <c r="L2838" s="3" t="str">
        <f>HYPERLINK("http://www.uniprot.org/uniprot/Q7TMY4", "Q7TMY4")</f>
        <v>Q7TMY4</v>
      </c>
      <c r="M2838" t="s">
        <v>32065</v>
      </c>
      <c r="N2838" t="str">
        <f>"Thoc7"</f>
        <v>Thoc7</v>
      </c>
      <c r="O2838" s="3" t="str">
        <f>HYPERLINK("http://www.informatics.jax.org/marker/MGI:1913481", "MGI:1913481")</f>
        <v>MGI:1913481</v>
      </c>
      <c r="P2838" t="s">
        <v>32066</v>
      </c>
      <c r="Q2838" t="s">
        <v>1127</v>
      </c>
      <c r="R2838" t="s">
        <v>40</v>
      </c>
      <c r="S2838" t="s">
        <v>41</v>
      </c>
      <c r="T2838" t="s">
        <v>32</v>
      </c>
      <c r="U2838" t="s">
        <v>32</v>
      </c>
      <c r="V2838" t="s">
        <v>290</v>
      </c>
      <c r="W2838" t="s">
        <v>32</v>
      </c>
      <c r="X2838" t="s">
        <v>1282</v>
      </c>
      <c r="Y2838" t="s">
        <v>157</v>
      </c>
      <c r="Z2838" t="s">
        <v>32</v>
      </c>
      <c r="AA2838" t="s">
        <v>32067</v>
      </c>
      <c r="AB2838" t="s">
        <v>32068</v>
      </c>
      <c r="AC2838" t="s">
        <v>4711</v>
      </c>
      <c r="AD2838" t="s">
        <v>32</v>
      </c>
      <c r="AE2838" t="s">
        <v>16560</v>
      </c>
      <c r="AF2838" t="s">
        <v>46835</v>
      </c>
    </row>
    <row r="2839" spans="1:32" x14ac:dyDescent="0.2">
      <c r="A2839">
        <v>2834</v>
      </c>
      <c r="B2839" t="s">
        <v>32069</v>
      </c>
      <c r="C2839" t="s">
        <v>32070</v>
      </c>
      <c r="D2839" t="s">
        <v>32071</v>
      </c>
      <c r="E2839" t="s">
        <v>32072</v>
      </c>
      <c r="F2839" t="s">
        <v>32073</v>
      </c>
      <c r="G2839" t="s">
        <v>32074</v>
      </c>
      <c r="H2839" t="str">
        <f>"Fut11"</f>
        <v>Fut11</v>
      </c>
      <c r="I2839" t="s">
        <v>32</v>
      </c>
      <c r="J2839" t="s">
        <v>37</v>
      </c>
      <c r="K2839">
        <v>10090</v>
      </c>
      <c r="L2839" s="3" t="str">
        <f>HYPERLINK("http://www.uniprot.org/uniprot/Q8BHC9", "Q8BHC9")</f>
        <v>Q8BHC9</v>
      </c>
      <c r="M2839" t="s">
        <v>32075</v>
      </c>
      <c r="N2839" t="str">
        <f>"Fut11"</f>
        <v>Fut11</v>
      </c>
      <c r="O2839" s="3" t="str">
        <f>HYPERLINK("http://www.informatics.jax.org/marker/MGI:1920318", "MGI:1920318")</f>
        <v>MGI:1920318</v>
      </c>
      <c r="P2839" t="s">
        <v>32076</v>
      </c>
      <c r="Q2839" t="s">
        <v>32</v>
      </c>
      <c r="R2839" t="s">
        <v>13904</v>
      </c>
      <c r="S2839" t="s">
        <v>32</v>
      </c>
      <c r="T2839" t="s">
        <v>32</v>
      </c>
      <c r="U2839" t="s">
        <v>32</v>
      </c>
      <c r="V2839" t="s">
        <v>1550</v>
      </c>
      <c r="W2839" t="s">
        <v>32</v>
      </c>
      <c r="X2839" t="s">
        <v>2362</v>
      </c>
      <c r="Y2839" t="s">
        <v>5275</v>
      </c>
      <c r="Z2839" t="s">
        <v>32</v>
      </c>
      <c r="AA2839" t="s">
        <v>32077</v>
      </c>
      <c r="AB2839" t="s">
        <v>32078</v>
      </c>
      <c r="AC2839" t="s">
        <v>32079</v>
      </c>
      <c r="AD2839" t="s">
        <v>3952</v>
      </c>
      <c r="AE2839" t="s">
        <v>32080</v>
      </c>
      <c r="AF2839" t="s">
        <v>46835</v>
      </c>
    </row>
    <row r="2840" spans="1:32" x14ac:dyDescent="0.2">
      <c r="A2840">
        <v>2835</v>
      </c>
      <c r="B2840" t="s">
        <v>32081</v>
      </c>
      <c r="C2840" t="s">
        <v>32082</v>
      </c>
      <c r="D2840" t="s">
        <v>32</v>
      </c>
      <c r="E2840" t="s">
        <v>32083</v>
      </c>
      <c r="F2840" t="s">
        <v>32084</v>
      </c>
      <c r="G2840" t="s">
        <v>32085</v>
      </c>
      <c r="H2840" t="str">
        <f>"Lsm3"</f>
        <v>Lsm3</v>
      </c>
      <c r="I2840" t="s">
        <v>32</v>
      </c>
      <c r="J2840" t="s">
        <v>37</v>
      </c>
      <c r="K2840">
        <v>10090</v>
      </c>
      <c r="L2840" s="3" t="str">
        <f>HYPERLINK("http://www.uniprot.org/uniprot/P62311", "P62311")</f>
        <v>P62311</v>
      </c>
      <c r="M2840" t="s">
        <v>32086</v>
      </c>
      <c r="N2840" t="str">
        <f>"Lsm3"</f>
        <v>Lsm3</v>
      </c>
      <c r="O2840" s="3" t="str">
        <f>HYPERLINK("http://www.informatics.jax.org/marker/MGI:1914928", "MGI:1914928")</f>
        <v>MGI:1914928</v>
      </c>
      <c r="P2840" t="s">
        <v>19254</v>
      </c>
      <c r="Q2840" t="s">
        <v>2139</v>
      </c>
      <c r="R2840" t="s">
        <v>2140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1129</v>
      </c>
      <c r="Y2840" t="s">
        <v>78</v>
      </c>
      <c r="Z2840" t="s">
        <v>32</v>
      </c>
      <c r="AA2840" t="s">
        <v>32087</v>
      </c>
      <c r="AB2840" t="s">
        <v>32088</v>
      </c>
      <c r="AC2840" t="s">
        <v>32089</v>
      </c>
      <c r="AD2840" t="s">
        <v>32</v>
      </c>
      <c r="AE2840" t="s">
        <v>12895</v>
      </c>
      <c r="AF2840" t="s">
        <v>46835</v>
      </c>
    </row>
    <row r="2841" spans="1:32" x14ac:dyDescent="0.2">
      <c r="A2841">
        <v>2836</v>
      </c>
      <c r="B2841" t="s">
        <v>32090</v>
      </c>
      <c r="C2841" t="s">
        <v>32091</v>
      </c>
      <c r="D2841" t="s">
        <v>32</v>
      </c>
      <c r="E2841" t="s">
        <v>32092</v>
      </c>
      <c r="F2841" t="s">
        <v>32093</v>
      </c>
      <c r="G2841" t="s">
        <v>32094</v>
      </c>
      <c r="H2841" t="str">
        <f>"Vps53"</f>
        <v>Vps53</v>
      </c>
      <c r="I2841" t="s">
        <v>32</v>
      </c>
      <c r="J2841" t="s">
        <v>37</v>
      </c>
      <c r="K2841">
        <v>10090</v>
      </c>
      <c r="L2841" s="3" t="str">
        <f>HYPERLINK("http://www.uniprot.org/uniprot/Q8CCB4", "Q8CCB4")</f>
        <v>Q8CCB4</v>
      </c>
      <c r="M2841" t="s">
        <v>32095</v>
      </c>
      <c r="N2841" t="str">
        <f>"Vps53"</f>
        <v>Vps53</v>
      </c>
      <c r="O2841" s="3" t="str">
        <f>HYPERLINK("http://www.informatics.jax.org/marker/MGI:1915549", "MGI:1915549")</f>
        <v>MGI:1915549</v>
      </c>
      <c r="P2841" t="s">
        <v>32096</v>
      </c>
      <c r="Q2841" t="s">
        <v>434</v>
      </c>
      <c r="R2841" t="s">
        <v>6982</v>
      </c>
      <c r="S2841" t="s">
        <v>41</v>
      </c>
      <c r="T2841" t="s">
        <v>32</v>
      </c>
      <c r="U2841" t="s">
        <v>32</v>
      </c>
      <c r="V2841" t="s">
        <v>290</v>
      </c>
      <c r="W2841" t="s">
        <v>32</v>
      </c>
      <c r="X2841" t="s">
        <v>32</v>
      </c>
      <c r="Y2841" t="s">
        <v>157</v>
      </c>
      <c r="Z2841" t="s">
        <v>32</v>
      </c>
      <c r="AA2841" t="s">
        <v>32097</v>
      </c>
      <c r="AB2841" t="s">
        <v>32098</v>
      </c>
      <c r="AC2841" t="s">
        <v>32</v>
      </c>
      <c r="AD2841" t="s">
        <v>32</v>
      </c>
      <c r="AE2841" t="s">
        <v>10808</v>
      </c>
      <c r="AF2841" t="s">
        <v>46835</v>
      </c>
    </row>
    <row r="2842" spans="1:32" x14ac:dyDescent="0.2">
      <c r="A2842">
        <v>2837</v>
      </c>
      <c r="B2842" t="s">
        <v>32099</v>
      </c>
      <c r="C2842" t="s">
        <v>32100</v>
      </c>
      <c r="D2842" t="s">
        <v>32101</v>
      </c>
      <c r="E2842" t="s">
        <v>32102</v>
      </c>
      <c r="F2842" t="s">
        <v>32103</v>
      </c>
      <c r="G2842" t="s">
        <v>32</v>
      </c>
      <c r="H2842" t="str">
        <f>"Gsk3a"</f>
        <v>Gsk3a</v>
      </c>
      <c r="I2842" t="s">
        <v>32</v>
      </c>
      <c r="J2842" t="s">
        <v>37</v>
      </c>
      <c r="K2842">
        <v>10090</v>
      </c>
      <c r="L2842" s="3" t="str">
        <f>HYPERLINK("http://www.uniprot.org/uniprot/Q2NL51", "Q2NL51")</f>
        <v>Q2NL51</v>
      </c>
      <c r="M2842" t="s">
        <v>32104</v>
      </c>
      <c r="N2842" t="str">
        <f>"Gsk3a"</f>
        <v>Gsk3a</v>
      </c>
      <c r="O2842" s="3" t="str">
        <f>HYPERLINK("http://www.informatics.jax.org/marker/MGI:2152453", "MGI:2152453")</f>
        <v>MGI:2152453</v>
      </c>
      <c r="P2842" t="s">
        <v>32105</v>
      </c>
      <c r="Q2842" t="s">
        <v>32106</v>
      </c>
      <c r="R2842" t="s">
        <v>32</v>
      </c>
      <c r="S2842" t="s">
        <v>32</v>
      </c>
      <c r="T2842" t="s">
        <v>32</v>
      </c>
      <c r="U2842" t="s">
        <v>32</v>
      </c>
      <c r="V2842" t="s">
        <v>32</v>
      </c>
      <c r="W2842" t="s">
        <v>205</v>
      </c>
      <c r="X2842" t="s">
        <v>32107</v>
      </c>
      <c r="Y2842" t="s">
        <v>157</v>
      </c>
      <c r="Z2842" t="s">
        <v>32</v>
      </c>
      <c r="AA2842" t="s">
        <v>32108</v>
      </c>
      <c r="AB2842" t="s">
        <v>32109</v>
      </c>
      <c r="AC2842" t="s">
        <v>32110</v>
      </c>
      <c r="AD2842" t="s">
        <v>32</v>
      </c>
      <c r="AE2842" t="s">
        <v>32</v>
      </c>
      <c r="AF2842" t="s">
        <v>46835</v>
      </c>
    </row>
    <row r="2843" spans="1:32" x14ac:dyDescent="0.2">
      <c r="A2843">
        <v>2838</v>
      </c>
      <c r="B2843" t="s">
        <v>32111</v>
      </c>
      <c r="C2843" t="s">
        <v>32112</v>
      </c>
      <c r="D2843" t="s">
        <v>32</v>
      </c>
      <c r="E2843" t="s">
        <v>32113</v>
      </c>
      <c r="F2843" t="s">
        <v>32114</v>
      </c>
      <c r="G2843" t="s">
        <v>32</v>
      </c>
      <c r="H2843" t="str">
        <f>"Mrpl13"</f>
        <v>Mrpl13</v>
      </c>
      <c r="I2843" t="s">
        <v>32</v>
      </c>
      <c r="J2843" t="s">
        <v>37</v>
      </c>
      <c r="K2843">
        <v>10090</v>
      </c>
      <c r="L2843" s="3" t="str">
        <f>HYPERLINK("http://www.uniprot.org/uniprot/Q9D1P0", "Q9D1P0")</f>
        <v>Q9D1P0</v>
      </c>
      <c r="M2843" t="s">
        <v>32115</v>
      </c>
      <c r="N2843" t="str">
        <f>"Mrpl13"</f>
        <v>Mrpl13</v>
      </c>
      <c r="O2843" s="3" t="str">
        <f>HYPERLINK("http://www.informatics.jax.org/marker/MGI:2137218", "MGI:2137218")</f>
        <v>MGI:2137218</v>
      </c>
      <c r="P2843" t="s">
        <v>27221</v>
      </c>
      <c r="Q2843" t="s">
        <v>32</v>
      </c>
      <c r="R2843" t="s">
        <v>1038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447</v>
      </c>
      <c r="Y2843" t="s">
        <v>78</v>
      </c>
      <c r="Z2843" t="s">
        <v>32</v>
      </c>
      <c r="AA2843" t="s">
        <v>32116</v>
      </c>
      <c r="AB2843" t="s">
        <v>32117</v>
      </c>
      <c r="AC2843" t="s">
        <v>1685</v>
      </c>
      <c r="AD2843" t="s">
        <v>32</v>
      </c>
      <c r="AE2843" t="s">
        <v>17271</v>
      </c>
      <c r="AF2843" t="s">
        <v>46835</v>
      </c>
    </row>
    <row r="2844" spans="1:32" x14ac:dyDescent="0.2">
      <c r="A2844">
        <v>2839</v>
      </c>
      <c r="B2844" t="s">
        <v>32118</v>
      </c>
      <c r="C2844" t="s">
        <v>32119</v>
      </c>
      <c r="D2844" t="s">
        <v>32120</v>
      </c>
      <c r="E2844" t="s">
        <v>32121</v>
      </c>
      <c r="F2844" t="s">
        <v>32122</v>
      </c>
      <c r="G2844" t="s">
        <v>32123</v>
      </c>
      <c r="H2844" t="str">
        <f>"Exosc7"</f>
        <v>Exosc7</v>
      </c>
      <c r="I2844" t="s">
        <v>32124</v>
      </c>
      <c r="J2844" t="s">
        <v>37</v>
      </c>
      <c r="K2844">
        <v>10090</v>
      </c>
      <c r="L2844" s="3" t="str">
        <f>HYPERLINK("http://www.uniprot.org/uniprot/Q9D0M0", "Q9D0M0")</f>
        <v>Q9D0M0</v>
      </c>
      <c r="M2844" t="s">
        <v>32125</v>
      </c>
      <c r="N2844" t="str">
        <f>"Exosc7"</f>
        <v>Exosc7</v>
      </c>
      <c r="O2844" s="3" t="str">
        <f>HYPERLINK("http://www.informatics.jax.org/marker/MGI:1913696", "MGI:1913696")</f>
        <v>MGI:1913696</v>
      </c>
      <c r="P2844" t="s">
        <v>32126</v>
      </c>
      <c r="Q2844" t="s">
        <v>15770</v>
      </c>
      <c r="R2844" t="s">
        <v>28476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1282</v>
      </c>
      <c r="Y2844" t="s">
        <v>78</v>
      </c>
      <c r="Z2844" t="s">
        <v>32</v>
      </c>
      <c r="AA2844" t="s">
        <v>32127</v>
      </c>
      <c r="AB2844" t="s">
        <v>28478</v>
      </c>
      <c r="AC2844" t="s">
        <v>4711</v>
      </c>
      <c r="AD2844" t="s">
        <v>32</v>
      </c>
      <c r="AE2844" t="s">
        <v>28479</v>
      </c>
      <c r="AF2844" t="s">
        <v>46835</v>
      </c>
    </row>
    <row r="2845" spans="1:32" x14ac:dyDescent="0.2">
      <c r="A2845">
        <v>2840</v>
      </c>
      <c r="B2845" t="s">
        <v>32128</v>
      </c>
      <c r="C2845" t="s">
        <v>32129</v>
      </c>
      <c r="D2845" t="s">
        <v>32130</v>
      </c>
      <c r="E2845" t="s">
        <v>32131</v>
      </c>
      <c r="F2845" t="s">
        <v>32132</v>
      </c>
      <c r="G2845" t="s">
        <v>32133</v>
      </c>
      <c r="H2845" t="str">
        <f>"Lemd2"</f>
        <v>Lemd2</v>
      </c>
      <c r="I2845" t="s">
        <v>32134</v>
      </c>
      <c r="J2845" t="s">
        <v>37</v>
      </c>
      <c r="K2845">
        <v>10090</v>
      </c>
      <c r="L2845" s="3" t="str">
        <f>HYPERLINK("http://www.uniprot.org/uniprot/Q6DVA0", "Q6DVA0")</f>
        <v>Q6DVA0</v>
      </c>
      <c r="M2845" t="s">
        <v>32135</v>
      </c>
      <c r="N2845" t="str">
        <f>"Lemd2"</f>
        <v>Lemd2</v>
      </c>
      <c r="O2845" s="3" t="str">
        <f>HYPERLINK("http://www.informatics.jax.org/marker/MGI:2385045", "MGI:2385045")</f>
        <v>MGI:2385045</v>
      </c>
      <c r="P2845" t="s">
        <v>32136</v>
      </c>
      <c r="Q2845" t="s">
        <v>32</v>
      </c>
      <c r="R2845" t="s">
        <v>6797</v>
      </c>
      <c r="S2845" t="s">
        <v>32</v>
      </c>
      <c r="T2845" t="s">
        <v>32</v>
      </c>
      <c r="U2845" t="s">
        <v>32</v>
      </c>
      <c r="V2845" t="s">
        <v>493</v>
      </c>
      <c r="W2845" t="s">
        <v>32</v>
      </c>
      <c r="X2845" t="s">
        <v>32</v>
      </c>
      <c r="Y2845" t="s">
        <v>157</v>
      </c>
      <c r="Z2845" t="s">
        <v>32</v>
      </c>
      <c r="AA2845" t="s">
        <v>32137</v>
      </c>
      <c r="AB2845" t="s">
        <v>32138</v>
      </c>
      <c r="AC2845" t="s">
        <v>32139</v>
      </c>
      <c r="AD2845" t="s">
        <v>32</v>
      </c>
      <c r="AE2845" t="s">
        <v>32</v>
      </c>
      <c r="AF2845" t="s">
        <v>46835</v>
      </c>
    </row>
    <row r="2846" spans="1:32" x14ac:dyDescent="0.2">
      <c r="A2846">
        <v>2841</v>
      </c>
      <c r="B2846" t="s">
        <v>32140</v>
      </c>
      <c r="C2846" t="s">
        <v>32141</v>
      </c>
      <c r="D2846" t="s">
        <v>32142</v>
      </c>
      <c r="E2846" t="s">
        <v>32143</v>
      </c>
      <c r="F2846" t="s">
        <v>32144</v>
      </c>
      <c r="G2846" t="s">
        <v>32145</v>
      </c>
      <c r="H2846" t="str">
        <f>"Myo5a"</f>
        <v>Myo5a</v>
      </c>
      <c r="I2846" t="s">
        <v>32146</v>
      </c>
      <c r="J2846" t="s">
        <v>37</v>
      </c>
      <c r="K2846">
        <v>10090</v>
      </c>
      <c r="L2846" s="3" t="str">
        <f>HYPERLINK("http://www.uniprot.org/uniprot/Q99104", "Q99104")</f>
        <v>Q99104</v>
      </c>
      <c r="M2846" t="s">
        <v>32147</v>
      </c>
      <c r="N2846" t="str">
        <f>"Myo5a"</f>
        <v>Myo5a</v>
      </c>
      <c r="O2846" s="3" t="str">
        <f>HYPERLINK("http://www.informatics.jax.org/marker/MGI:105976", "MGI:105976")</f>
        <v>MGI:105976</v>
      </c>
      <c r="P2846" t="s">
        <v>32148</v>
      </c>
      <c r="Q2846" t="s">
        <v>434</v>
      </c>
      <c r="R2846" t="s">
        <v>32</v>
      </c>
      <c r="S2846" t="s">
        <v>32</v>
      </c>
      <c r="T2846" t="s">
        <v>32</v>
      </c>
      <c r="U2846" t="s">
        <v>32</v>
      </c>
      <c r="V2846" t="s">
        <v>137</v>
      </c>
      <c r="W2846" t="s">
        <v>205</v>
      </c>
      <c r="X2846" t="s">
        <v>1366</v>
      </c>
      <c r="Y2846" t="s">
        <v>157</v>
      </c>
      <c r="Z2846" t="s">
        <v>126</v>
      </c>
      <c r="AA2846" t="s">
        <v>32149</v>
      </c>
      <c r="AB2846" t="s">
        <v>32150</v>
      </c>
      <c r="AC2846" t="s">
        <v>32151</v>
      </c>
      <c r="AD2846" t="s">
        <v>32</v>
      </c>
      <c r="AE2846" t="s">
        <v>32152</v>
      </c>
      <c r="AF2846" t="s">
        <v>46835</v>
      </c>
    </row>
    <row r="2847" spans="1:32" x14ac:dyDescent="0.2">
      <c r="A2847">
        <v>2842</v>
      </c>
      <c r="B2847" t="s">
        <v>32153</v>
      </c>
      <c r="C2847" t="s">
        <v>32154</v>
      </c>
      <c r="D2847" t="s">
        <v>32155</v>
      </c>
      <c r="E2847" t="s">
        <v>32156</v>
      </c>
      <c r="F2847" t="s">
        <v>32157</v>
      </c>
      <c r="G2847" t="s">
        <v>32158</v>
      </c>
      <c r="H2847" t="str">
        <f>"Ppil3"</f>
        <v>Ppil3</v>
      </c>
      <c r="I2847" t="s">
        <v>32159</v>
      </c>
      <c r="J2847" t="s">
        <v>37</v>
      </c>
      <c r="K2847">
        <v>10090</v>
      </c>
      <c r="L2847" s="3" t="str">
        <f>HYPERLINK("http://www.uniprot.org/uniprot/Q9D6L8", "Q9D6L8")</f>
        <v>Q9D6L8</v>
      </c>
      <c r="M2847" t="s">
        <v>32160</v>
      </c>
      <c r="N2847" t="str">
        <f>"Ppil3"</f>
        <v>Ppil3</v>
      </c>
      <c r="O2847" s="3" t="str">
        <f>HYPERLINK("http://www.informatics.jax.org/marker/MGI:1917475", "MGI:1917475")</f>
        <v>MGI:1917475</v>
      </c>
      <c r="P2847" t="s">
        <v>32161</v>
      </c>
      <c r="Q2847" t="s">
        <v>2139</v>
      </c>
      <c r="R2847" t="s">
        <v>32162</v>
      </c>
      <c r="S2847" t="s">
        <v>41</v>
      </c>
      <c r="T2847" t="s">
        <v>32</v>
      </c>
      <c r="U2847" t="s">
        <v>32</v>
      </c>
      <c r="V2847" t="s">
        <v>32</v>
      </c>
      <c r="W2847" t="s">
        <v>32</v>
      </c>
      <c r="X2847" t="s">
        <v>543</v>
      </c>
      <c r="Y2847" t="s">
        <v>57</v>
      </c>
      <c r="Z2847" t="s">
        <v>32</v>
      </c>
      <c r="AA2847" t="s">
        <v>32163</v>
      </c>
      <c r="AB2847" t="s">
        <v>32164</v>
      </c>
      <c r="AC2847" t="s">
        <v>3607</v>
      </c>
      <c r="AD2847" t="s">
        <v>32</v>
      </c>
      <c r="AE2847" t="s">
        <v>946</v>
      </c>
      <c r="AF2847" t="s">
        <v>46835</v>
      </c>
    </row>
    <row r="2848" spans="1:32" x14ac:dyDescent="0.2">
      <c r="A2848">
        <v>2843</v>
      </c>
      <c r="B2848" t="s">
        <v>32165</v>
      </c>
      <c r="C2848" t="s">
        <v>32166</v>
      </c>
      <c r="D2848" t="s">
        <v>32</v>
      </c>
      <c r="E2848" t="s">
        <v>32167</v>
      </c>
      <c r="F2848" t="s">
        <v>32168</v>
      </c>
      <c r="G2848" t="s">
        <v>32</v>
      </c>
      <c r="H2848" t="str">
        <f>"Wdr6"</f>
        <v>Wdr6</v>
      </c>
      <c r="I2848" t="s">
        <v>32</v>
      </c>
      <c r="J2848" t="s">
        <v>37</v>
      </c>
      <c r="K2848">
        <v>10090</v>
      </c>
      <c r="L2848" s="3" t="str">
        <f>HYPERLINK("http://www.uniprot.org/uniprot/Q99ME2", "Q99ME2")</f>
        <v>Q99ME2</v>
      </c>
      <c r="M2848" t="s">
        <v>32169</v>
      </c>
      <c r="N2848" t="str">
        <f>"Wdr6"</f>
        <v>Wdr6</v>
      </c>
      <c r="O2848" s="3" t="str">
        <f>HYPERLINK("http://www.informatics.jax.org/marker/MGI:1930140", "MGI:1930140")</f>
        <v>MGI:1930140</v>
      </c>
      <c r="P2848" t="s">
        <v>32170</v>
      </c>
      <c r="Q2848" t="s">
        <v>9824</v>
      </c>
      <c r="R2848" t="s">
        <v>418</v>
      </c>
      <c r="S2848" t="s">
        <v>32</v>
      </c>
      <c r="T2848" t="s">
        <v>32</v>
      </c>
      <c r="U2848" t="s">
        <v>32</v>
      </c>
      <c r="V2848" t="s">
        <v>1910</v>
      </c>
      <c r="W2848" t="s">
        <v>32</v>
      </c>
      <c r="X2848" t="s">
        <v>32</v>
      </c>
      <c r="Y2848" t="s">
        <v>78</v>
      </c>
      <c r="Z2848" t="s">
        <v>32</v>
      </c>
      <c r="AA2848" t="s">
        <v>32171</v>
      </c>
      <c r="AB2848" t="s">
        <v>32172</v>
      </c>
      <c r="AC2848" t="s">
        <v>32173</v>
      </c>
      <c r="AD2848" t="s">
        <v>32</v>
      </c>
      <c r="AE2848" t="s">
        <v>32174</v>
      </c>
      <c r="AF2848" t="s">
        <v>46835</v>
      </c>
    </row>
    <row r="2849" spans="1:32" x14ac:dyDescent="0.2">
      <c r="A2849">
        <v>2844</v>
      </c>
      <c r="B2849" t="s">
        <v>32175</v>
      </c>
      <c r="C2849" t="s">
        <v>32176</v>
      </c>
      <c r="D2849" t="s">
        <v>32</v>
      </c>
      <c r="E2849" t="s">
        <v>32177</v>
      </c>
      <c r="F2849" t="s">
        <v>32178</v>
      </c>
      <c r="G2849" t="s">
        <v>32179</v>
      </c>
      <c r="H2849" t="str">
        <f>"Commd8"</f>
        <v>Commd8</v>
      </c>
      <c r="I2849" t="s">
        <v>32</v>
      </c>
      <c r="J2849" t="s">
        <v>37</v>
      </c>
      <c r="K2849">
        <v>10090</v>
      </c>
      <c r="L2849" s="3" t="str">
        <f>HYPERLINK("http://www.uniprot.org/uniprot/Q9CZG3", "Q9CZG3")</f>
        <v>Q9CZG3</v>
      </c>
      <c r="M2849" t="s">
        <v>32180</v>
      </c>
      <c r="N2849" t="str">
        <f>"Commd8"</f>
        <v>Commd8</v>
      </c>
      <c r="O2849" s="3" t="str">
        <f>HYPERLINK("http://www.informatics.jax.org/marker/MGI:1343485", "MGI:1343485")</f>
        <v>MGI:1343485</v>
      </c>
      <c r="P2849" t="s">
        <v>29421</v>
      </c>
      <c r="Q2849" t="s">
        <v>2278</v>
      </c>
      <c r="R2849" t="s">
        <v>40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32</v>
      </c>
      <c r="Y2849" t="s">
        <v>32</v>
      </c>
      <c r="Z2849" t="s">
        <v>32</v>
      </c>
      <c r="AA2849" t="s">
        <v>32</v>
      </c>
      <c r="AB2849" t="s">
        <v>4202</v>
      </c>
      <c r="AC2849" t="s">
        <v>32</v>
      </c>
      <c r="AD2849" t="s">
        <v>32</v>
      </c>
      <c r="AE2849" t="s">
        <v>14635</v>
      </c>
      <c r="AF2849" t="s">
        <v>46835</v>
      </c>
    </row>
    <row r="2850" spans="1:32" x14ac:dyDescent="0.2">
      <c r="A2850">
        <v>2845</v>
      </c>
      <c r="B2850" t="s">
        <v>32181</v>
      </c>
      <c r="C2850" t="s">
        <v>32182</v>
      </c>
      <c r="D2850" t="s">
        <v>32183</v>
      </c>
      <c r="E2850" t="s">
        <v>32184</v>
      </c>
      <c r="F2850" t="s">
        <v>32185</v>
      </c>
      <c r="G2850" t="s">
        <v>32186</v>
      </c>
      <c r="H2850" t="str">
        <f>"Bid"</f>
        <v>Bid</v>
      </c>
      <c r="I2850" t="s">
        <v>32</v>
      </c>
      <c r="J2850" t="s">
        <v>37</v>
      </c>
      <c r="K2850">
        <v>10090</v>
      </c>
      <c r="L2850" s="3" t="str">
        <f>HYPERLINK("http://www.uniprot.org/uniprot/P70444", "P70444")</f>
        <v>P70444</v>
      </c>
      <c r="M2850" t="s">
        <v>32187</v>
      </c>
      <c r="N2850" t="str">
        <f>"Bid"</f>
        <v>Bid</v>
      </c>
      <c r="O2850" s="3" t="str">
        <f>HYPERLINK("http://www.informatics.jax.org/marker/MGI:108093", "MGI:108093")</f>
        <v>MGI:108093</v>
      </c>
      <c r="P2850" t="s">
        <v>32188</v>
      </c>
      <c r="Q2850" t="s">
        <v>541</v>
      </c>
      <c r="R2850" t="s">
        <v>9642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32</v>
      </c>
      <c r="Y2850" t="s">
        <v>1023</v>
      </c>
      <c r="Z2850" t="s">
        <v>126</v>
      </c>
      <c r="AA2850" t="s">
        <v>32189</v>
      </c>
      <c r="AB2850" t="s">
        <v>32190</v>
      </c>
      <c r="AC2850" t="s">
        <v>3477</v>
      </c>
      <c r="AD2850" t="s">
        <v>32</v>
      </c>
      <c r="AE2850" t="s">
        <v>32191</v>
      </c>
      <c r="AF2850" t="s">
        <v>46835</v>
      </c>
    </row>
    <row r="2851" spans="1:32" x14ac:dyDescent="0.2">
      <c r="A2851">
        <v>2846</v>
      </c>
      <c r="B2851" t="s">
        <v>32192</v>
      </c>
      <c r="C2851" t="s">
        <v>32193</v>
      </c>
      <c r="D2851" t="s">
        <v>32194</v>
      </c>
      <c r="E2851" t="s">
        <v>32195</v>
      </c>
      <c r="F2851" t="s">
        <v>32196</v>
      </c>
      <c r="G2851" t="s">
        <v>32197</v>
      </c>
      <c r="H2851" t="str">
        <f>"Sgpl1"</f>
        <v>Sgpl1</v>
      </c>
      <c r="I2851" t="s">
        <v>32</v>
      </c>
      <c r="J2851" t="s">
        <v>37</v>
      </c>
      <c r="K2851">
        <v>10090</v>
      </c>
      <c r="L2851" s="3" t="str">
        <f>HYPERLINK("http://www.uniprot.org/uniprot/Q8R0X7", "Q8R0X7")</f>
        <v>Q8R0X7</v>
      </c>
      <c r="M2851" t="s">
        <v>32198</v>
      </c>
      <c r="N2851" t="str">
        <f>"Sgpl1"</f>
        <v>Sgpl1</v>
      </c>
      <c r="O2851" s="3" t="str">
        <f>HYPERLINK("http://www.informatics.jax.org/marker/MGI:1261415", "MGI:1261415")</f>
        <v>MGI:1261415</v>
      </c>
      <c r="P2851" t="s">
        <v>32199</v>
      </c>
      <c r="Q2851" t="s">
        <v>32200</v>
      </c>
      <c r="R2851" t="s">
        <v>1664</v>
      </c>
      <c r="S2851" t="s">
        <v>32</v>
      </c>
      <c r="T2851" t="s">
        <v>32</v>
      </c>
      <c r="U2851" t="s">
        <v>32</v>
      </c>
      <c r="V2851" t="s">
        <v>1550</v>
      </c>
      <c r="W2851" t="s">
        <v>3373</v>
      </c>
      <c r="X2851" t="s">
        <v>224</v>
      </c>
      <c r="Y2851" t="s">
        <v>22114</v>
      </c>
      <c r="Z2851" t="s">
        <v>32</v>
      </c>
      <c r="AA2851" t="s">
        <v>32201</v>
      </c>
      <c r="AB2851" t="s">
        <v>16952</v>
      </c>
      <c r="AC2851" t="s">
        <v>32202</v>
      </c>
      <c r="AD2851" t="s">
        <v>9930</v>
      </c>
      <c r="AE2851" t="s">
        <v>31956</v>
      </c>
      <c r="AF2851" t="s">
        <v>46835</v>
      </c>
    </row>
    <row r="2852" spans="1:32" x14ac:dyDescent="0.2">
      <c r="A2852">
        <v>2847</v>
      </c>
      <c r="B2852" t="s">
        <v>32203</v>
      </c>
      <c r="C2852" t="s">
        <v>32204</v>
      </c>
      <c r="D2852" t="s">
        <v>32</v>
      </c>
      <c r="E2852" t="s">
        <v>32205</v>
      </c>
      <c r="F2852" t="s">
        <v>32206</v>
      </c>
      <c r="G2852" t="s">
        <v>32207</v>
      </c>
      <c r="H2852" t="str">
        <f>"Tatdn1"</f>
        <v>Tatdn1</v>
      </c>
      <c r="I2852" t="s">
        <v>32</v>
      </c>
      <c r="J2852" t="s">
        <v>37</v>
      </c>
      <c r="K2852">
        <v>10090</v>
      </c>
      <c r="L2852" s="3" t="str">
        <f>HYPERLINK("http://www.uniprot.org/uniprot/Q6P8M1", "Q6P8M1")</f>
        <v>Q6P8M1</v>
      </c>
      <c r="M2852" t="s">
        <v>32208</v>
      </c>
      <c r="N2852" t="str">
        <f>"Tatdn1"</f>
        <v>Tatdn1</v>
      </c>
      <c r="O2852" s="3" t="str">
        <f>HYPERLINK("http://www.informatics.jax.org/marker/MGI:1916944", "MGI:1916944")</f>
        <v>MGI:1916944</v>
      </c>
      <c r="P2852" t="s">
        <v>32209</v>
      </c>
      <c r="Q2852" t="s">
        <v>32</v>
      </c>
      <c r="R2852" t="s">
        <v>2279</v>
      </c>
      <c r="S2852" t="s">
        <v>41</v>
      </c>
      <c r="T2852" t="s">
        <v>32</v>
      </c>
      <c r="U2852" t="s">
        <v>32</v>
      </c>
      <c r="V2852" t="s">
        <v>32</v>
      </c>
      <c r="W2852" t="s">
        <v>8683</v>
      </c>
      <c r="X2852" t="s">
        <v>19848</v>
      </c>
      <c r="Y2852" t="s">
        <v>32</v>
      </c>
      <c r="Z2852" t="s">
        <v>32</v>
      </c>
      <c r="AA2852" t="s">
        <v>32</v>
      </c>
      <c r="AB2852" t="s">
        <v>17865</v>
      </c>
      <c r="AC2852" t="s">
        <v>32210</v>
      </c>
      <c r="AD2852" t="s">
        <v>32</v>
      </c>
      <c r="AE2852" t="s">
        <v>32</v>
      </c>
      <c r="AF2852" t="s">
        <v>46835</v>
      </c>
    </row>
    <row r="2853" spans="1:32" x14ac:dyDescent="0.2">
      <c r="A2853">
        <v>2848</v>
      </c>
      <c r="B2853" t="s">
        <v>32211</v>
      </c>
      <c r="C2853" t="s">
        <v>32212</v>
      </c>
      <c r="D2853" t="s">
        <v>32213</v>
      </c>
      <c r="E2853" t="s">
        <v>32214</v>
      </c>
      <c r="F2853" t="s">
        <v>32215</v>
      </c>
      <c r="G2853" t="s">
        <v>32216</v>
      </c>
      <c r="H2853" t="str">
        <f>"Mov10"</f>
        <v>Mov10</v>
      </c>
      <c r="I2853" t="s">
        <v>32217</v>
      </c>
      <c r="J2853" t="s">
        <v>37</v>
      </c>
      <c r="K2853">
        <v>10090</v>
      </c>
      <c r="L2853" s="3" t="str">
        <f>HYPERLINK("http://www.uniprot.org/uniprot/P23249", "P23249")</f>
        <v>P23249</v>
      </c>
      <c r="M2853" t="s">
        <v>32218</v>
      </c>
      <c r="N2853" t="str">
        <f>"Mov10"</f>
        <v>Mov10</v>
      </c>
      <c r="O2853" s="3" t="str">
        <f>HYPERLINK("http://www.informatics.jax.org/marker/MGI:97054", "MGI:97054")</f>
        <v>MGI:97054</v>
      </c>
      <c r="P2853" t="s">
        <v>32219</v>
      </c>
      <c r="Q2853" t="s">
        <v>30438</v>
      </c>
      <c r="R2853" t="s">
        <v>40</v>
      </c>
      <c r="S2853" t="s">
        <v>32</v>
      </c>
      <c r="T2853" t="s">
        <v>32</v>
      </c>
      <c r="U2853" t="s">
        <v>32</v>
      </c>
      <c r="V2853" t="s">
        <v>32</v>
      </c>
      <c r="W2853" t="s">
        <v>205</v>
      </c>
      <c r="X2853" t="s">
        <v>5050</v>
      </c>
      <c r="Y2853" t="s">
        <v>157</v>
      </c>
      <c r="Z2853" t="s">
        <v>32</v>
      </c>
      <c r="AA2853" t="s">
        <v>32220</v>
      </c>
      <c r="AB2853" t="s">
        <v>32221</v>
      </c>
      <c r="AC2853" t="s">
        <v>32222</v>
      </c>
      <c r="AD2853" t="s">
        <v>32</v>
      </c>
      <c r="AE2853" t="s">
        <v>32</v>
      </c>
      <c r="AF2853" t="s">
        <v>46835</v>
      </c>
    </row>
    <row r="2854" spans="1:32" x14ac:dyDescent="0.2">
      <c r="A2854">
        <v>2849</v>
      </c>
      <c r="B2854" t="s">
        <v>32223</v>
      </c>
      <c r="C2854" t="s">
        <v>32224</v>
      </c>
      <c r="D2854" t="s">
        <v>32</v>
      </c>
      <c r="E2854" t="s">
        <v>32225</v>
      </c>
      <c r="F2854" t="s">
        <v>32226</v>
      </c>
      <c r="G2854" t="s">
        <v>32227</v>
      </c>
      <c r="H2854" t="str">
        <f>"Rhob"</f>
        <v>Rhob</v>
      </c>
      <c r="I2854" t="s">
        <v>32228</v>
      </c>
      <c r="J2854" t="s">
        <v>37</v>
      </c>
      <c r="K2854">
        <v>10090</v>
      </c>
      <c r="L2854" s="3" t="str">
        <f>HYPERLINK("http://www.uniprot.org/uniprot/P62746", "P62746")</f>
        <v>P62746</v>
      </c>
      <c r="M2854" t="s">
        <v>32229</v>
      </c>
      <c r="N2854" t="str">
        <f>"Rhob"</f>
        <v>Rhob</v>
      </c>
      <c r="O2854" s="3" t="str">
        <f>HYPERLINK("http://www.informatics.jax.org/marker/MGI:107949", "MGI:107949")</f>
        <v>MGI:107949</v>
      </c>
      <c r="P2854" t="s">
        <v>32230</v>
      </c>
      <c r="Q2854" t="s">
        <v>32231</v>
      </c>
      <c r="R2854" t="s">
        <v>32232</v>
      </c>
      <c r="S2854" t="s">
        <v>32</v>
      </c>
      <c r="T2854" t="s">
        <v>32</v>
      </c>
      <c r="U2854" t="s">
        <v>1636</v>
      </c>
      <c r="V2854" t="s">
        <v>32</v>
      </c>
      <c r="W2854" t="s">
        <v>261</v>
      </c>
      <c r="X2854" t="s">
        <v>2029</v>
      </c>
      <c r="Y2854" t="s">
        <v>3097</v>
      </c>
      <c r="Z2854" t="s">
        <v>32</v>
      </c>
      <c r="AA2854" t="s">
        <v>32233</v>
      </c>
      <c r="AB2854" t="s">
        <v>32234</v>
      </c>
      <c r="AC2854" t="s">
        <v>32235</v>
      </c>
      <c r="AD2854" t="s">
        <v>32</v>
      </c>
      <c r="AE2854" t="s">
        <v>32236</v>
      </c>
      <c r="AF2854" t="s">
        <v>46835</v>
      </c>
    </row>
    <row r="2855" spans="1:32" x14ac:dyDescent="0.2">
      <c r="A2855">
        <v>2850</v>
      </c>
      <c r="B2855" t="s">
        <v>32237</v>
      </c>
      <c r="C2855" t="s">
        <v>32238</v>
      </c>
      <c r="D2855" t="s">
        <v>32239</v>
      </c>
      <c r="E2855" t="s">
        <v>32240</v>
      </c>
      <c r="F2855" t="s">
        <v>32241</v>
      </c>
      <c r="G2855" t="s">
        <v>32242</v>
      </c>
      <c r="H2855" t="str">
        <f>"Cd34"</f>
        <v>Cd34</v>
      </c>
      <c r="I2855" t="s">
        <v>32</v>
      </c>
      <c r="J2855" t="s">
        <v>37</v>
      </c>
      <c r="K2855">
        <v>10090</v>
      </c>
      <c r="L2855" s="3" t="str">
        <f>HYPERLINK("http://www.uniprot.org/uniprot/Q64314", "Q64314")</f>
        <v>Q64314</v>
      </c>
      <c r="M2855" t="s">
        <v>32243</v>
      </c>
      <c r="N2855" t="str">
        <f>"Cd34"</f>
        <v>Cd34</v>
      </c>
      <c r="O2855" s="3" t="str">
        <f>HYPERLINK("http://www.informatics.jax.org/marker/MGI:88329", "MGI:88329")</f>
        <v>MGI:88329</v>
      </c>
      <c r="P2855" t="s">
        <v>32244</v>
      </c>
      <c r="Q2855" t="s">
        <v>2784</v>
      </c>
      <c r="R2855" t="s">
        <v>5989</v>
      </c>
      <c r="S2855" t="s">
        <v>41</v>
      </c>
      <c r="T2855" t="s">
        <v>32</v>
      </c>
      <c r="U2855" t="s">
        <v>32</v>
      </c>
      <c r="V2855" t="s">
        <v>3948</v>
      </c>
      <c r="W2855" t="s">
        <v>32</v>
      </c>
      <c r="X2855" t="s">
        <v>32</v>
      </c>
      <c r="Y2855" t="s">
        <v>4720</v>
      </c>
      <c r="Z2855" t="s">
        <v>32</v>
      </c>
      <c r="AA2855" t="s">
        <v>32245</v>
      </c>
      <c r="AB2855" t="s">
        <v>32246</v>
      </c>
      <c r="AC2855" t="s">
        <v>32247</v>
      </c>
      <c r="AD2855" t="s">
        <v>32</v>
      </c>
      <c r="AE2855" t="s">
        <v>32248</v>
      </c>
      <c r="AF2855" t="s">
        <v>46835</v>
      </c>
    </row>
    <row r="2856" spans="1:32" x14ac:dyDescent="0.2">
      <c r="A2856">
        <v>2851</v>
      </c>
      <c r="B2856" t="s">
        <v>32249</v>
      </c>
      <c r="C2856" t="s">
        <v>32250</v>
      </c>
      <c r="D2856" t="s">
        <v>32</v>
      </c>
      <c r="E2856" t="s">
        <v>32251</v>
      </c>
      <c r="F2856" t="s">
        <v>32252</v>
      </c>
      <c r="G2856" t="s">
        <v>32253</v>
      </c>
      <c r="H2856" t="str">
        <f>"Strbp"</f>
        <v>Strbp</v>
      </c>
      <c r="I2856" t="s">
        <v>32254</v>
      </c>
      <c r="J2856" t="s">
        <v>37</v>
      </c>
      <c r="K2856">
        <v>10090</v>
      </c>
      <c r="L2856" s="3" t="str">
        <f>HYPERLINK("http://www.uniprot.org/uniprot/Q91WM1", "Q91WM1")</f>
        <v>Q91WM1</v>
      </c>
      <c r="M2856" t="s">
        <v>32255</v>
      </c>
      <c r="N2856" t="str">
        <f>"Strbp"</f>
        <v>Strbp</v>
      </c>
      <c r="O2856" s="3" t="str">
        <f>HYPERLINK("http://www.informatics.jax.org/marker/MGI:104626", "MGI:104626")</f>
        <v>MGI:104626</v>
      </c>
      <c r="P2856" t="s">
        <v>32256</v>
      </c>
      <c r="Q2856" t="s">
        <v>615</v>
      </c>
      <c r="R2856" t="s">
        <v>186</v>
      </c>
      <c r="S2856" t="s">
        <v>41</v>
      </c>
      <c r="T2856" t="s">
        <v>32</v>
      </c>
      <c r="U2856" t="s">
        <v>32</v>
      </c>
      <c r="V2856" t="s">
        <v>55</v>
      </c>
      <c r="W2856" t="s">
        <v>32</v>
      </c>
      <c r="X2856" t="s">
        <v>18314</v>
      </c>
      <c r="Y2856" t="s">
        <v>175</v>
      </c>
      <c r="Z2856" t="s">
        <v>32</v>
      </c>
      <c r="AA2856" t="s">
        <v>32257</v>
      </c>
      <c r="AB2856" t="s">
        <v>32258</v>
      </c>
      <c r="AC2856" t="s">
        <v>32259</v>
      </c>
      <c r="AD2856" t="s">
        <v>32</v>
      </c>
      <c r="AE2856" t="s">
        <v>32</v>
      </c>
      <c r="AF2856" t="s">
        <v>46835</v>
      </c>
    </row>
    <row r="2857" spans="1:32" x14ac:dyDescent="0.2">
      <c r="A2857">
        <v>2852</v>
      </c>
      <c r="B2857" t="s">
        <v>32260</v>
      </c>
      <c r="C2857" t="s">
        <v>32261</v>
      </c>
      <c r="D2857" t="s">
        <v>32262</v>
      </c>
      <c r="E2857" t="s">
        <v>32263</v>
      </c>
      <c r="F2857" t="s">
        <v>32264</v>
      </c>
      <c r="G2857" t="s">
        <v>32265</v>
      </c>
      <c r="H2857" t="str">
        <f>"Ergic3"</f>
        <v>Ergic3</v>
      </c>
      <c r="I2857" t="s">
        <v>32266</v>
      </c>
      <c r="J2857" t="s">
        <v>37</v>
      </c>
      <c r="K2857">
        <v>10090</v>
      </c>
      <c r="L2857" s="3" t="str">
        <f>HYPERLINK("http://www.uniprot.org/uniprot/Q9CQE7", "Q9CQE7")</f>
        <v>Q9CQE7</v>
      </c>
      <c r="M2857" t="s">
        <v>32267</v>
      </c>
      <c r="N2857" t="str">
        <f>"Ergic3"</f>
        <v>Ergic3</v>
      </c>
      <c r="O2857" s="3" t="str">
        <f>HYPERLINK("http://www.informatics.jax.org/marker/MGI:1913616", "MGI:1913616")</f>
        <v>MGI:1913616</v>
      </c>
      <c r="P2857" t="s">
        <v>32268</v>
      </c>
      <c r="Q2857" t="s">
        <v>14011</v>
      </c>
      <c r="R2857" t="s">
        <v>11259</v>
      </c>
      <c r="S2857" t="s">
        <v>41</v>
      </c>
      <c r="T2857" t="s">
        <v>32</v>
      </c>
      <c r="U2857" t="s">
        <v>32</v>
      </c>
      <c r="V2857" t="s">
        <v>493</v>
      </c>
      <c r="W2857" t="s">
        <v>32</v>
      </c>
      <c r="X2857" t="s">
        <v>32</v>
      </c>
      <c r="Y2857" t="s">
        <v>372</v>
      </c>
      <c r="Z2857" t="s">
        <v>32</v>
      </c>
      <c r="AA2857" t="s">
        <v>32269</v>
      </c>
      <c r="AB2857" t="s">
        <v>32270</v>
      </c>
      <c r="AC2857" t="s">
        <v>32271</v>
      </c>
      <c r="AD2857" t="s">
        <v>32</v>
      </c>
      <c r="AE2857" t="s">
        <v>32</v>
      </c>
      <c r="AF2857" t="s">
        <v>46835</v>
      </c>
    </row>
    <row r="2858" spans="1:32" x14ac:dyDescent="0.2">
      <c r="A2858">
        <v>2853</v>
      </c>
      <c r="B2858" t="s">
        <v>32272</v>
      </c>
      <c r="C2858" t="s">
        <v>32273</v>
      </c>
      <c r="D2858" t="s">
        <v>32274</v>
      </c>
      <c r="E2858" t="s">
        <v>32275</v>
      </c>
      <c r="F2858" t="s">
        <v>32276</v>
      </c>
      <c r="G2858" t="s">
        <v>32277</v>
      </c>
      <c r="H2858" t="str">
        <f>"Slc39a10"</f>
        <v>Slc39a10</v>
      </c>
      <c r="I2858" t="s">
        <v>32278</v>
      </c>
      <c r="J2858" t="s">
        <v>37</v>
      </c>
      <c r="K2858">
        <v>10090</v>
      </c>
      <c r="L2858" s="3" t="str">
        <f>HYPERLINK("http://www.uniprot.org/uniprot/Q6P5F6", "Q6P5F6")</f>
        <v>Q6P5F6</v>
      </c>
      <c r="M2858" t="s">
        <v>32279</v>
      </c>
      <c r="N2858" t="str">
        <f>"Slc39a10"</f>
        <v>Slc39a10</v>
      </c>
      <c r="O2858" s="3" t="str">
        <f>HYPERLINK("http://www.informatics.jax.org/marker/MGI:1914515", "MGI:1914515")</f>
        <v>MGI:1914515</v>
      </c>
      <c r="P2858" t="s">
        <v>32280</v>
      </c>
      <c r="Q2858" t="s">
        <v>32281</v>
      </c>
      <c r="R2858" t="s">
        <v>5989</v>
      </c>
      <c r="S2858" t="s">
        <v>32</v>
      </c>
      <c r="T2858" t="s">
        <v>32</v>
      </c>
      <c r="U2858" t="s">
        <v>32</v>
      </c>
      <c r="V2858" t="s">
        <v>3948</v>
      </c>
      <c r="W2858" t="s">
        <v>32282</v>
      </c>
      <c r="X2858" t="s">
        <v>32</v>
      </c>
      <c r="Y2858" t="s">
        <v>4720</v>
      </c>
      <c r="Z2858" t="s">
        <v>32</v>
      </c>
      <c r="AA2858" t="s">
        <v>32283</v>
      </c>
      <c r="AB2858" t="s">
        <v>32284</v>
      </c>
      <c r="AC2858" t="s">
        <v>32285</v>
      </c>
      <c r="AD2858" t="s">
        <v>32</v>
      </c>
      <c r="AE2858" t="s">
        <v>32</v>
      </c>
      <c r="AF2858" t="s">
        <v>46835</v>
      </c>
    </row>
    <row r="2859" spans="1:32" x14ac:dyDescent="0.2">
      <c r="A2859">
        <v>2854</v>
      </c>
      <c r="B2859" t="s">
        <v>32286</v>
      </c>
      <c r="C2859" t="s">
        <v>32287</v>
      </c>
      <c r="D2859" t="s">
        <v>32288</v>
      </c>
      <c r="E2859" t="s">
        <v>32289</v>
      </c>
      <c r="F2859" t="s">
        <v>32290</v>
      </c>
      <c r="G2859" t="s">
        <v>32291</v>
      </c>
      <c r="H2859" t="str">
        <f>"Ror1"</f>
        <v>Ror1</v>
      </c>
      <c r="I2859" t="s">
        <v>32292</v>
      </c>
      <c r="J2859" t="s">
        <v>37</v>
      </c>
      <c r="K2859">
        <v>10090</v>
      </c>
      <c r="L2859" s="3" t="str">
        <f>HYPERLINK("http://www.uniprot.org/uniprot/Q9Z139", "Q9Z139")</f>
        <v>Q9Z139</v>
      </c>
      <c r="M2859" t="s">
        <v>32293</v>
      </c>
      <c r="N2859" t="str">
        <f>"Ror1"</f>
        <v>Ror1</v>
      </c>
      <c r="O2859" s="3" t="str">
        <f>HYPERLINK("http://www.informatics.jax.org/marker/MGI:1347520", "MGI:1347520")</f>
        <v>MGI:1347520</v>
      </c>
      <c r="P2859" t="s">
        <v>32294</v>
      </c>
      <c r="Q2859" t="s">
        <v>3043</v>
      </c>
      <c r="R2859" t="s">
        <v>32295</v>
      </c>
      <c r="S2859" t="s">
        <v>32</v>
      </c>
      <c r="T2859" t="s">
        <v>32</v>
      </c>
      <c r="U2859" t="s">
        <v>32</v>
      </c>
      <c r="V2859" t="s">
        <v>32296</v>
      </c>
      <c r="W2859" t="s">
        <v>205</v>
      </c>
      <c r="X2859" t="s">
        <v>6983</v>
      </c>
      <c r="Y2859" t="s">
        <v>2865</v>
      </c>
      <c r="Z2859" t="s">
        <v>32</v>
      </c>
      <c r="AA2859" t="s">
        <v>32297</v>
      </c>
      <c r="AB2859" t="s">
        <v>32298</v>
      </c>
      <c r="AC2859" t="s">
        <v>32299</v>
      </c>
      <c r="AD2859" t="s">
        <v>32</v>
      </c>
      <c r="AE2859" t="s">
        <v>32300</v>
      </c>
      <c r="AF2859" t="s">
        <v>46835</v>
      </c>
    </row>
    <row r="2860" spans="1:32" x14ac:dyDescent="0.2">
      <c r="A2860">
        <v>2855</v>
      </c>
      <c r="B2860" t="s">
        <v>32301</v>
      </c>
      <c r="C2860" t="s">
        <v>32302</v>
      </c>
      <c r="D2860" t="s">
        <v>32303</v>
      </c>
      <c r="E2860" t="s">
        <v>32304</v>
      </c>
      <c r="F2860" t="s">
        <v>32305</v>
      </c>
      <c r="G2860" t="s">
        <v>32306</v>
      </c>
      <c r="H2860" t="str">
        <f>"Slc25a13"</f>
        <v>Slc25a13</v>
      </c>
      <c r="I2860" t="s">
        <v>32</v>
      </c>
      <c r="J2860" t="s">
        <v>37</v>
      </c>
      <c r="K2860">
        <v>10090</v>
      </c>
      <c r="L2860" s="3" t="str">
        <f>HYPERLINK("http://www.uniprot.org/uniprot/Q9QXX4", "Q9QXX4")</f>
        <v>Q9QXX4</v>
      </c>
      <c r="M2860" t="s">
        <v>32307</v>
      </c>
      <c r="N2860" t="str">
        <f>"Slc25a13"</f>
        <v>Slc25a13</v>
      </c>
      <c r="O2860" s="3" t="str">
        <f>HYPERLINK("http://www.informatics.jax.org/marker/MGI:1354721", "MGI:1354721")</f>
        <v>MGI:1354721</v>
      </c>
      <c r="P2860" t="s">
        <v>32308</v>
      </c>
      <c r="Q2860" t="s">
        <v>4425</v>
      </c>
      <c r="R2860" t="s">
        <v>3858</v>
      </c>
      <c r="S2860" t="s">
        <v>32</v>
      </c>
      <c r="T2860" t="s">
        <v>32</v>
      </c>
      <c r="U2860" t="s">
        <v>32</v>
      </c>
      <c r="V2860" t="s">
        <v>1620</v>
      </c>
      <c r="W2860" t="s">
        <v>188</v>
      </c>
      <c r="X2860" t="s">
        <v>32</v>
      </c>
      <c r="Y2860" t="s">
        <v>97</v>
      </c>
      <c r="Z2860" t="s">
        <v>32</v>
      </c>
      <c r="AA2860" t="s">
        <v>32309</v>
      </c>
      <c r="AB2860" t="s">
        <v>21070</v>
      </c>
      <c r="AC2860" t="s">
        <v>23316</v>
      </c>
      <c r="AD2860" t="s">
        <v>32</v>
      </c>
      <c r="AE2860" t="s">
        <v>11960</v>
      </c>
      <c r="AF2860" t="s">
        <v>46835</v>
      </c>
    </row>
    <row r="2861" spans="1:32" x14ac:dyDescent="0.2">
      <c r="A2861">
        <v>2856</v>
      </c>
      <c r="B2861" t="s">
        <v>32310</v>
      </c>
      <c r="C2861" t="s">
        <v>32311</v>
      </c>
      <c r="D2861" t="s">
        <v>32312</v>
      </c>
      <c r="E2861" t="s">
        <v>32313</v>
      </c>
      <c r="F2861" t="s">
        <v>32314</v>
      </c>
      <c r="G2861" t="s">
        <v>32315</v>
      </c>
      <c r="H2861" t="str">
        <f>"Mark3"</f>
        <v>Mark3</v>
      </c>
      <c r="I2861" t="s">
        <v>32316</v>
      </c>
      <c r="J2861" t="s">
        <v>37</v>
      </c>
      <c r="K2861">
        <v>10090</v>
      </c>
      <c r="L2861" s="3" t="str">
        <f>HYPERLINK("http://www.uniprot.org/uniprot/Q03141", "Q03141")</f>
        <v>Q03141</v>
      </c>
      <c r="M2861" t="s">
        <v>32317</v>
      </c>
      <c r="N2861" t="str">
        <f>"Mark3"</f>
        <v>Mark3</v>
      </c>
      <c r="O2861" s="3" t="str">
        <f>HYPERLINK("http://www.informatics.jax.org/marker/MGI:1341865", "MGI:1341865")</f>
        <v>MGI:1341865</v>
      </c>
      <c r="P2861" t="s">
        <v>32318</v>
      </c>
      <c r="Q2861" t="s">
        <v>32</v>
      </c>
      <c r="R2861" t="s">
        <v>10902</v>
      </c>
      <c r="S2861" t="s">
        <v>41</v>
      </c>
      <c r="T2861" t="s">
        <v>32</v>
      </c>
      <c r="U2861" t="s">
        <v>32</v>
      </c>
      <c r="V2861" t="s">
        <v>32</v>
      </c>
      <c r="W2861" t="s">
        <v>205</v>
      </c>
      <c r="X2861" t="s">
        <v>5419</v>
      </c>
      <c r="Y2861" t="s">
        <v>618</v>
      </c>
      <c r="Z2861" t="s">
        <v>126</v>
      </c>
      <c r="AA2861" t="s">
        <v>32319</v>
      </c>
      <c r="AB2861" t="s">
        <v>32320</v>
      </c>
      <c r="AC2861" t="s">
        <v>32321</v>
      </c>
      <c r="AD2861" t="s">
        <v>32</v>
      </c>
      <c r="AE2861" t="s">
        <v>32322</v>
      </c>
      <c r="AF2861" t="s">
        <v>46835</v>
      </c>
    </row>
    <row r="2862" spans="1:32" x14ac:dyDescent="0.2">
      <c r="A2862">
        <v>2857</v>
      </c>
      <c r="B2862" t="s">
        <v>32323</v>
      </c>
      <c r="C2862" t="s">
        <v>32324</v>
      </c>
      <c r="D2862" t="s">
        <v>32325</v>
      </c>
      <c r="E2862" t="s">
        <v>32326</v>
      </c>
      <c r="F2862" t="s">
        <v>32327</v>
      </c>
      <c r="G2862" t="s">
        <v>32328</v>
      </c>
      <c r="H2862" t="str">
        <f>"P4ha2"</f>
        <v>P4ha2</v>
      </c>
      <c r="I2862" t="s">
        <v>32</v>
      </c>
      <c r="J2862" t="s">
        <v>37</v>
      </c>
      <c r="K2862">
        <v>10090</v>
      </c>
      <c r="L2862" s="3" t="str">
        <f>HYPERLINK("http://www.uniprot.org/uniprot/Q60716", "Q60716")</f>
        <v>Q60716</v>
      </c>
      <c r="M2862" t="s">
        <v>32329</v>
      </c>
      <c r="N2862" t="str">
        <f>"P4ha2"</f>
        <v>P4ha2</v>
      </c>
      <c r="O2862" s="3" t="str">
        <f>HYPERLINK("http://www.informatics.jax.org/marker/MGI:894286", "MGI:894286")</f>
        <v>MGI:894286</v>
      </c>
      <c r="P2862" t="s">
        <v>3729</v>
      </c>
      <c r="Q2862" t="s">
        <v>32</v>
      </c>
      <c r="R2862" t="s">
        <v>671</v>
      </c>
      <c r="S2862" t="s">
        <v>41</v>
      </c>
      <c r="T2862" t="s">
        <v>32</v>
      </c>
      <c r="U2862" t="s">
        <v>32</v>
      </c>
      <c r="V2862" t="s">
        <v>3730</v>
      </c>
      <c r="W2862" t="s">
        <v>3731</v>
      </c>
      <c r="X2862" t="s">
        <v>3732</v>
      </c>
      <c r="Y2862" t="s">
        <v>3733</v>
      </c>
      <c r="Z2862" t="s">
        <v>32</v>
      </c>
      <c r="AA2862" t="s">
        <v>32330</v>
      </c>
      <c r="AB2862" t="s">
        <v>32331</v>
      </c>
      <c r="AC2862" t="s">
        <v>32332</v>
      </c>
      <c r="AD2862" t="s">
        <v>32</v>
      </c>
      <c r="AE2862" t="s">
        <v>2061</v>
      </c>
      <c r="AF2862" t="s">
        <v>46835</v>
      </c>
    </row>
    <row r="2863" spans="1:32" x14ac:dyDescent="0.2">
      <c r="A2863">
        <v>2858</v>
      </c>
      <c r="B2863" t="s">
        <v>32333</v>
      </c>
      <c r="C2863" t="s">
        <v>32334</v>
      </c>
      <c r="D2863" t="s">
        <v>32335</v>
      </c>
      <c r="E2863" t="s">
        <v>32336</v>
      </c>
      <c r="F2863" t="s">
        <v>32337</v>
      </c>
      <c r="G2863" t="s">
        <v>32</v>
      </c>
      <c r="H2863" t="str">
        <f>"Lactb2"</f>
        <v>Lactb2</v>
      </c>
      <c r="I2863" t="s">
        <v>32</v>
      </c>
      <c r="J2863" t="s">
        <v>37</v>
      </c>
      <c r="K2863">
        <v>10090</v>
      </c>
      <c r="L2863" s="3" t="str">
        <f>HYPERLINK("http://www.uniprot.org/uniprot/Q99KR3", "Q99KR3")</f>
        <v>Q99KR3</v>
      </c>
      <c r="M2863" t="s">
        <v>32338</v>
      </c>
      <c r="N2863" t="str">
        <f>"Lactb2"</f>
        <v>Lactb2</v>
      </c>
      <c r="O2863" s="3" t="str">
        <f>HYPERLINK("http://www.informatics.jax.org/marker/MGI:2442551", "MGI:2442551")</f>
        <v>MGI:2442551</v>
      </c>
      <c r="P2863" t="s">
        <v>32339</v>
      </c>
      <c r="Q2863" t="s">
        <v>32</v>
      </c>
      <c r="R2863" t="s">
        <v>1038</v>
      </c>
      <c r="S2863" t="s">
        <v>32</v>
      </c>
      <c r="T2863" t="s">
        <v>32</v>
      </c>
      <c r="U2863" t="s">
        <v>32</v>
      </c>
      <c r="V2863" t="s">
        <v>32</v>
      </c>
      <c r="W2863" t="s">
        <v>42</v>
      </c>
      <c r="X2863" t="s">
        <v>32340</v>
      </c>
      <c r="Y2863" t="s">
        <v>157</v>
      </c>
      <c r="Z2863" t="s">
        <v>32</v>
      </c>
      <c r="AA2863" t="s">
        <v>32341</v>
      </c>
      <c r="AB2863" t="s">
        <v>2128</v>
      </c>
      <c r="AC2863" t="s">
        <v>32342</v>
      </c>
      <c r="AD2863" t="s">
        <v>32</v>
      </c>
      <c r="AE2863" t="s">
        <v>32</v>
      </c>
      <c r="AF2863" t="s">
        <v>46835</v>
      </c>
    </row>
    <row r="2864" spans="1:32" x14ac:dyDescent="0.2">
      <c r="A2864">
        <v>2859</v>
      </c>
      <c r="B2864" t="s">
        <v>32343</v>
      </c>
      <c r="C2864" t="s">
        <v>32344</v>
      </c>
      <c r="D2864" t="s">
        <v>32345</v>
      </c>
      <c r="E2864" t="s">
        <v>32346</v>
      </c>
      <c r="F2864" t="s">
        <v>32347</v>
      </c>
      <c r="G2864" t="s">
        <v>32348</v>
      </c>
      <c r="H2864" t="str">
        <f>"Mogs"</f>
        <v>Mogs</v>
      </c>
      <c r="I2864" t="s">
        <v>32349</v>
      </c>
      <c r="J2864" t="s">
        <v>37</v>
      </c>
      <c r="K2864">
        <v>10090</v>
      </c>
      <c r="L2864" s="3" t="str">
        <f>HYPERLINK("http://www.uniprot.org/uniprot/Q80UM7", "Q80UM7")</f>
        <v>Q80UM7</v>
      </c>
      <c r="M2864" t="s">
        <v>32350</v>
      </c>
      <c r="N2864" t="str">
        <f>"Mogs"</f>
        <v>Mogs</v>
      </c>
      <c r="O2864" s="3" t="str">
        <f>HYPERLINK("http://www.informatics.jax.org/marker/MGI:1929872", "MGI:1929872")</f>
        <v>MGI:1929872</v>
      </c>
      <c r="P2864" t="s">
        <v>32351</v>
      </c>
      <c r="Q2864" t="s">
        <v>32</v>
      </c>
      <c r="R2864" t="s">
        <v>1664</v>
      </c>
      <c r="S2864" t="s">
        <v>32</v>
      </c>
      <c r="T2864" t="s">
        <v>32</v>
      </c>
      <c r="U2864" t="s">
        <v>32</v>
      </c>
      <c r="V2864" t="s">
        <v>1550</v>
      </c>
      <c r="W2864" t="s">
        <v>32</v>
      </c>
      <c r="X2864" t="s">
        <v>4316</v>
      </c>
      <c r="Y2864" t="s">
        <v>3733</v>
      </c>
      <c r="Z2864" t="s">
        <v>126</v>
      </c>
      <c r="AA2864" t="s">
        <v>32352</v>
      </c>
      <c r="AB2864" t="s">
        <v>16952</v>
      </c>
      <c r="AC2864" t="s">
        <v>32353</v>
      </c>
      <c r="AD2864" t="s">
        <v>32354</v>
      </c>
      <c r="AE2864" t="s">
        <v>32</v>
      </c>
      <c r="AF2864" t="s">
        <v>46835</v>
      </c>
    </row>
    <row r="2865" spans="1:32" x14ac:dyDescent="0.2">
      <c r="A2865">
        <v>2860</v>
      </c>
      <c r="B2865" t="s">
        <v>32355</v>
      </c>
      <c r="C2865" t="s">
        <v>32356</v>
      </c>
      <c r="D2865" t="s">
        <v>32357</v>
      </c>
      <c r="E2865" t="s">
        <v>32358</v>
      </c>
      <c r="F2865" t="s">
        <v>32359</v>
      </c>
      <c r="G2865" t="s">
        <v>32360</v>
      </c>
      <c r="H2865" t="str">
        <f>"Krr1"</f>
        <v>Krr1</v>
      </c>
      <c r="I2865" t="s">
        <v>32361</v>
      </c>
      <c r="J2865" t="s">
        <v>37</v>
      </c>
      <c r="K2865">
        <v>10090</v>
      </c>
      <c r="L2865" s="3" t="str">
        <f>HYPERLINK("http://www.uniprot.org/uniprot/Q8BGA5", "Q8BGA5")</f>
        <v>Q8BGA5</v>
      </c>
      <c r="M2865" t="s">
        <v>32362</v>
      </c>
      <c r="N2865" t="str">
        <f>"Krr1"</f>
        <v>Krr1</v>
      </c>
      <c r="O2865" s="3" t="str">
        <f>HYPERLINK("http://www.informatics.jax.org/marker/MGI:1289274", "MGI:1289274")</f>
        <v>MGI:1289274</v>
      </c>
      <c r="P2865" t="s">
        <v>32363</v>
      </c>
      <c r="Q2865" t="s">
        <v>13781</v>
      </c>
      <c r="R2865" t="s">
        <v>40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1129</v>
      </c>
      <c r="Y2865" t="s">
        <v>1007</v>
      </c>
      <c r="Z2865" t="s">
        <v>32</v>
      </c>
      <c r="AA2865" t="s">
        <v>25279</v>
      </c>
      <c r="AB2865" t="s">
        <v>32364</v>
      </c>
      <c r="AC2865" t="s">
        <v>4711</v>
      </c>
      <c r="AD2865" t="s">
        <v>32</v>
      </c>
      <c r="AE2865" t="s">
        <v>960</v>
      </c>
      <c r="AF2865" t="s">
        <v>46835</v>
      </c>
    </row>
    <row r="2866" spans="1:32" x14ac:dyDescent="0.2">
      <c r="A2866">
        <v>2861</v>
      </c>
      <c r="B2866" t="s">
        <v>32365</v>
      </c>
      <c r="C2866" t="s">
        <v>32366</v>
      </c>
      <c r="D2866" t="s">
        <v>32367</v>
      </c>
      <c r="E2866" t="s">
        <v>32368</v>
      </c>
      <c r="F2866" t="s">
        <v>32369</v>
      </c>
      <c r="G2866" t="s">
        <v>32</v>
      </c>
      <c r="H2866" t="str">
        <f>"Elavl2"</f>
        <v>Elavl2</v>
      </c>
      <c r="I2866" t="s">
        <v>32370</v>
      </c>
      <c r="J2866" t="s">
        <v>37</v>
      </c>
      <c r="K2866">
        <v>10090</v>
      </c>
      <c r="L2866" s="3" t="str">
        <f>HYPERLINK("http://www.uniprot.org/uniprot/Q60899", "Q60899")</f>
        <v>Q60899</v>
      </c>
      <c r="M2866" t="s">
        <v>32371</v>
      </c>
      <c r="N2866" t="str">
        <f>"Elavl2"</f>
        <v>Elavl2</v>
      </c>
      <c r="O2866" s="3" t="str">
        <f>HYPERLINK("http://www.informatics.jax.org/marker/MGI:1100887", "MGI:1100887")</f>
        <v>MGI:1100887</v>
      </c>
      <c r="P2866" t="s">
        <v>32372</v>
      </c>
      <c r="Q2866" t="s">
        <v>32</v>
      </c>
      <c r="R2866" t="s">
        <v>32</v>
      </c>
      <c r="S2866" t="s">
        <v>32</v>
      </c>
      <c r="T2866" t="s">
        <v>32</v>
      </c>
      <c r="U2866" t="s">
        <v>32</v>
      </c>
      <c r="V2866" t="s">
        <v>55</v>
      </c>
      <c r="W2866" t="s">
        <v>32</v>
      </c>
      <c r="X2866" t="s">
        <v>1282</v>
      </c>
      <c r="Y2866" t="s">
        <v>618</v>
      </c>
      <c r="Z2866" t="s">
        <v>32</v>
      </c>
      <c r="AA2866" t="s">
        <v>32373</v>
      </c>
      <c r="AB2866" t="s">
        <v>32374</v>
      </c>
      <c r="AC2866" t="s">
        <v>4711</v>
      </c>
      <c r="AD2866" t="s">
        <v>32</v>
      </c>
      <c r="AE2866" t="s">
        <v>946</v>
      </c>
      <c r="AF2866" t="s">
        <v>46835</v>
      </c>
    </row>
    <row r="2867" spans="1:32" x14ac:dyDescent="0.2">
      <c r="A2867">
        <v>2862</v>
      </c>
      <c r="B2867" t="s">
        <v>32375</v>
      </c>
      <c r="C2867" t="s">
        <v>32376</v>
      </c>
      <c r="D2867" t="s">
        <v>32</v>
      </c>
      <c r="E2867" t="s">
        <v>32377</v>
      </c>
      <c r="F2867" t="s">
        <v>32378</v>
      </c>
      <c r="G2867" t="s">
        <v>32379</v>
      </c>
      <c r="H2867" t="str">
        <f>"Mapkapk2"</f>
        <v>Mapkapk2</v>
      </c>
      <c r="I2867" t="s">
        <v>32380</v>
      </c>
      <c r="J2867" t="s">
        <v>37</v>
      </c>
      <c r="K2867">
        <v>10090</v>
      </c>
      <c r="L2867" s="3" t="str">
        <f>HYPERLINK("http://www.uniprot.org/uniprot/P49138", "P49138")</f>
        <v>P49138</v>
      </c>
      <c r="M2867" t="s">
        <v>32381</v>
      </c>
      <c r="N2867" t="str">
        <f>"Mapkapk2"</f>
        <v>Mapkapk2</v>
      </c>
      <c r="O2867" s="3" t="str">
        <f>HYPERLINK("http://www.informatics.jax.org/marker/MGI:109298", "MGI:109298")</f>
        <v>MGI:109298</v>
      </c>
      <c r="P2867" t="s">
        <v>32382</v>
      </c>
      <c r="Q2867" t="s">
        <v>32383</v>
      </c>
      <c r="R2867" t="s">
        <v>40</v>
      </c>
      <c r="S2867" t="s">
        <v>32</v>
      </c>
      <c r="T2867" t="s">
        <v>32</v>
      </c>
      <c r="U2867" t="s">
        <v>32</v>
      </c>
      <c r="V2867" t="s">
        <v>32</v>
      </c>
      <c r="W2867" t="s">
        <v>205</v>
      </c>
      <c r="X2867" t="s">
        <v>5419</v>
      </c>
      <c r="Y2867" t="s">
        <v>1007</v>
      </c>
      <c r="Z2867" t="s">
        <v>32</v>
      </c>
      <c r="AA2867" t="s">
        <v>32384</v>
      </c>
      <c r="AB2867" t="s">
        <v>32385</v>
      </c>
      <c r="AC2867" t="s">
        <v>32386</v>
      </c>
      <c r="AD2867" t="s">
        <v>32</v>
      </c>
      <c r="AE2867" t="s">
        <v>32387</v>
      </c>
      <c r="AF2867" t="s">
        <v>46835</v>
      </c>
    </row>
    <row r="2868" spans="1:32" x14ac:dyDescent="0.2">
      <c r="A2868">
        <v>2863</v>
      </c>
      <c r="B2868" t="s">
        <v>32388</v>
      </c>
      <c r="C2868" t="s">
        <v>32389</v>
      </c>
      <c r="D2868" t="s">
        <v>32390</v>
      </c>
      <c r="E2868" t="s">
        <v>32391</v>
      </c>
      <c r="F2868" t="s">
        <v>32392</v>
      </c>
      <c r="G2868" t="s">
        <v>32393</v>
      </c>
      <c r="H2868" t="str">
        <f>"Ubr1"</f>
        <v>Ubr1</v>
      </c>
      <c r="I2868" t="s">
        <v>32</v>
      </c>
      <c r="J2868" t="s">
        <v>37</v>
      </c>
      <c r="K2868">
        <v>10090</v>
      </c>
      <c r="L2868" s="3" t="str">
        <f>HYPERLINK("http://www.uniprot.org/uniprot/O70481", "O70481")</f>
        <v>O70481</v>
      </c>
      <c r="M2868" t="s">
        <v>32394</v>
      </c>
      <c r="N2868" t="str">
        <f>"Ubr1"</f>
        <v>Ubr1</v>
      </c>
      <c r="O2868" s="3" t="str">
        <f>HYPERLINK("http://www.informatics.jax.org/marker/MGI:1277977", "MGI:1277977")</f>
        <v>MGI:1277977</v>
      </c>
      <c r="P2868" t="s">
        <v>32395</v>
      </c>
      <c r="Q2868" t="s">
        <v>1020</v>
      </c>
      <c r="R2868" t="s">
        <v>418</v>
      </c>
      <c r="S2868" t="s">
        <v>32</v>
      </c>
      <c r="T2868" t="s">
        <v>32</v>
      </c>
      <c r="U2868" t="s">
        <v>32</v>
      </c>
      <c r="V2868" t="s">
        <v>446</v>
      </c>
      <c r="W2868" t="s">
        <v>42</v>
      </c>
      <c r="X2868" t="s">
        <v>515</v>
      </c>
      <c r="Y2868" t="s">
        <v>157</v>
      </c>
      <c r="Z2868" t="s">
        <v>32</v>
      </c>
      <c r="AA2868" t="s">
        <v>32396</v>
      </c>
      <c r="AB2868" t="s">
        <v>32397</v>
      </c>
      <c r="AC2868" t="s">
        <v>32398</v>
      </c>
      <c r="AD2868" t="s">
        <v>1027</v>
      </c>
      <c r="AE2868" t="s">
        <v>4220</v>
      </c>
      <c r="AF2868" t="s">
        <v>46835</v>
      </c>
    </row>
    <row r="2869" spans="1:32" x14ac:dyDescent="0.2">
      <c r="A2869">
        <v>2864</v>
      </c>
      <c r="B2869" t="s">
        <v>32399</v>
      </c>
      <c r="C2869" t="s">
        <v>32400</v>
      </c>
      <c r="D2869" t="s">
        <v>32401</v>
      </c>
      <c r="E2869" t="s">
        <v>32402</v>
      </c>
      <c r="F2869" t="s">
        <v>32403</v>
      </c>
      <c r="G2869" t="s">
        <v>32404</v>
      </c>
      <c r="H2869" t="str">
        <f>"Itsn2"</f>
        <v>Itsn2</v>
      </c>
      <c r="I2869" t="s">
        <v>32405</v>
      </c>
      <c r="J2869" t="s">
        <v>37</v>
      </c>
      <c r="K2869">
        <v>10090</v>
      </c>
      <c r="L2869" s="3" t="str">
        <f>HYPERLINK("http://www.uniprot.org/uniprot/Q9Z0R6", "Q9Z0R6")</f>
        <v>Q9Z0R6</v>
      </c>
      <c r="M2869" t="s">
        <v>32406</v>
      </c>
      <c r="N2869" t="str">
        <f>"Itsn2"</f>
        <v>Itsn2</v>
      </c>
      <c r="O2869" s="3" t="str">
        <f>HYPERLINK("http://www.informatics.jax.org/marker/MGI:1338049", "MGI:1338049")</f>
        <v>MGI:1338049</v>
      </c>
      <c r="P2869" t="s">
        <v>32407</v>
      </c>
      <c r="Q2869" t="s">
        <v>13296</v>
      </c>
      <c r="R2869" t="s">
        <v>418</v>
      </c>
      <c r="S2869" t="s">
        <v>41</v>
      </c>
      <c r="T2869" t="s">
        <v>32</v>
      </c>
      <c r="U2869" t="s">
        <v>32</v>
      </c>
      <c r="V2869" t="s">
        <v>404</v>
      </c>
      <c r="W2869" t="s">
        <v>188</v>
      </c>
      <c r="X2869" t="s">
        <v>32</v>
      </c>
      <c r="Y2869" t="s">
        <v>618</v>
      </c>
      <c r="Z2869" t="s">
        <v>32</v>
      </c>
      <c r="AA2869" t="s">
        <v>32408</v>
      </c>
      <c r="AB2869" t="s">
        <v>32409</v>
      </c>
      <c r="AC2869" t="s">
        <v>32410</v>
      </c>
      <c r="AD2869" t="s">
        <v>32</v>
      </c>
      <c r="AE2869" t="s">
        <v>32411</v>
      </c>
      <c r="AF2869" t="s">
        <v>46835</v>
      </c>
    </row>
    <row r="2870" spans="1:32" x14ac:dyDescent="0.2">
      <c r="A2870">
        <v>2865</v>
      </c>
      <c r="B2870" t="s">
        <v>32412</v>
      </c>
      <c r="C2870" t="s">
        <v>32413</v>
      </c>
      <c r="D2870" t="s">
        <v>32</v>
      </c>
      <c r="E2870" t="s">
        <v>32414</v>
      </c>
      <c r="F2870" t="s">
        <v>32415</v>
      </c>
      <c r="G2870" t="s">
        <v>32416</v>
      </c>
      <c r="H2870" t="str">
        <f>"Zc2hc1a"</f>
        <v>Zc2hc1a</v>
      </c>
      <c r="I2870" t="s">
        <v>32417</v>
      </c>
      <c r="J2870" t="s">
        <v>37</v>
      </c>
      <c r="K2870">
        <v>10090</v>
      </c>
      <c r="L2870" s="3" t="str">
        <f>HYPERLINK("http://www.uniprot.org/uniprot/Q8BJH1", "Q8BJH1")</f>
        <v>Q8BJH1</v>
      </c>
      <c r="M2870" t="s">
        <v>32418</v>
      </c>
      <c r="N2870" t="str">
        <f>"Zc2hc1a"</f>
        <v>Zc2hc1a</v>
      </c>
      <c r="O2870" s="3" t="str">
        <f>HYPERLINK("http://www.informatics.jax.org/marker/MGI:1914556", "MGI:1914556")</f>
        <v>MGI:1914556</v>
      </c>
      <c r="P2870" t="s">
        <v>32419</v>
      </c>
      <c r="Q2870" t="s">
        <v>32</v>
      </c>
      <c r="R2870" t="s">
        <v>32</v>
      </c>
      <c r="S2870" t="s">
        <v>41</v>
      </c>
      <c r="T2870" t="s">
        <v>32</v>
      </c>
      <c r="U2870" t="s">
        <v>32</v>
      </c>
      <c r="V2870" t="s">
        <v>446</v>
      </c>
      <c r="W2870" t="s">
        <v>42</v>
      </c>
      <c r="X2870" t="s">
        <v>32</v>
      </c>
      <c r="Y2870" t="s">
        <v>618</v>
      </c>
      <c r="Z2870" t="s">
        <v>32</v>
      </c>
      <c r="AA2870" t="s">
        <v>32</v>
      </c>
      <c r="AB2870" t="s">
        <v>32</v>
      </c>
      <c r="AC2870" t="s">
        <v>4525</v>
      </c>
      <c r="AD2870" t="s">
        <v>32</v>
      </c>
      <c r="AE2870" t="s">
        <v>32</v>
      </c>
      <c r="AF2870" t="s">
        <v>46835</v>
      </c>
    </row>
    <row r="2871" spans="1:32" x14ac:dyDescent="0.2">
      <c r="A2871">
        <v>2866</v>
      </c>
      <c r="B2871" t="s">
        <v>32420</v>
      </c>
      <c r="C2871" t="s">
        <v>32421</v>
      </c>
      <c r="D2871" t="s">
        <v>32422</v>
      </c>
      <c r="E2871" t="s">
        <v>32423</v>
      </c>
      <c r="F2871" t="s">
        <v>32424</v>
      </c>
      <c r="G2871" t="s">
        <v>32425</v>
      </c>
      <c r="H2871" t="str">
        <f>"Txnl4a"</f>
        <v>Txnl4a</v>
      </c>
      <c r="I2871" t="s">
        <v>32426</v>
      </c>
      <c r="J2871" t="s">
        <v>37</v>
      </c>
      <c r="K2871">
        <v>10090</v>
      </c>
      <c r="L2871" s="3" t="str">
        <f>HYPERLINK("http://www.uniprot.org/uniprot/P83877", "P83877")</f>
        <v>P83877</v>
      </c>
      <c r="M2871" t="s">
        <v>32427</v>
      </c>
      <c r="N2871" t="str">
        <f>"Txnl4a"</f>
        <v>Txnl4a</v>
      </c>
      <c r="O2871" s="3" t="str">
        <f>HYPERLINK("http://www.informatics.jax.org/marker/MGI:1351613", "MGI:1351613")</f>
        <v>MGI:1351613</v>
      </c>
      <c r="P2871" t="s">
        <v>32428</v>
      </c>
      <c r="Q2871" t="s">
        <v>32429</v>
      </c>
      <c r="R2871" t="s">
        <v>2140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32</v>
      </c>
      <c r="Y2871" t="s">
        <v>2080</v>
      </c>
      <c r="Z2871" t="s">
        <v>32</v>
      </c>
      <c r="AA2871" t="s">
        <v>32430</v>
      </c>
      <c r="AB2871" t="s">
        <v>32431</v>
      </c>
      <c r="AC2871" t="s">
        <v>32</v>
      </c>
      <c r="AD2871" t="s">
        <v>32</v>
      </c>
      <c r="AE2871" t="s">
        <v>7167</v>
      </c>
      <c r="AF2871" t="s">
        <v>46835</v>
      </c>
    </row>
    <row r="2872" spans="1:32" x14ac:dyDescent="0.2">
      <c r="A2872">
        <v>2867</v>
      </c>
      <c r="B2872" t="s">
        <v>32432</v>
      </c>
      <c r="C2872" t="s">
        <v>32433</v>
      </c>
      <c r="D2872" t="s">
        <v>32434</v>
      </c>
      <c r="E2872" t="s">
        <v>32435</v>
      </c>
      <c r="F2872" t="s">
        <v>32436</v>
      </c>
      <c r="G2872" t="s">
        <v>32437</v>
      </c>
      <c r="H2872" t="str">
        <f>"Setd7"</f>
        <v>Setd7</v>
      </c>
      <c r="I2872" t="s">
        <v>32438</v>
      </c>
      <c r="J2872" t="s">
        <v>37</v>
      </c>
      <c r="K2872">
        <v>10090</v>
      </c>
      <c r="L2872" s="3" t="str">
        <f>HYPERLINK("http://www.uniprot.org/uniprot/Q8VHL1", "Q8VHL1")</f>
        <v>Q8VHL1</v>
      </c>
      <c r="M2872" t="s">
        <v>32439</v>
      </c>
      <c r="N2872" t="str">
        <f>"Setd7"</f>
        <v>Setd7</v>
      </c>
      <c r="O2872" s="3" t="str">
        <f>HYPERLINK("http://www.informatics.jax.org/marker/MGI:1920501", "MGI:1920501")</f>
        <v>MGI:1920501</v>
      </c>
      <c r="P2872" t="s">
        <v>32440</v>
      </c>
      <c r="Q2872" t="s">
        <v>4152</v>
      </c>
      <c r="R2872" t="s">
        <v>1939</v>
      </c>
      <c r="S2872" t="s">
        <v>32</v>
      </c>
      <c r="T2872" t="s">
        <v>32</v>
      </c>
      <c r="U2872" t="s">
        <v>32</v>
      </c>
      <c r="V2872" t="s">
        <v>55</v>
      </c>
      <c r="W2872" t="s">
        <v>1705</v>
      </c>
      <c r="X2872" t="s">
        <v>32441</v>
      </c>
      <c r="Y2872" t="s">
        <v>32</v>
      </c>
      <c r="Z2872" t="s">
        <v>32</v>
      </c>
      <c r="AA2872" t="s">
        <v>32442</v>
      </c>
      <c r="AB2872" t="s">
        <v>32443</v>
      </c>
      <c r="AC2872" t="s">
        <v>32444</v>
      </c>
      <c r="AD2872" t="s">
        <v>32</v>
      </c>
      <c r="AE2872" t="s">
        <v>19097</v>
      </c>
      <c r="AF2872" t="s">
        <v>46835</v>
      </c>
    </row>
    <row r="2873" spans="1:32" x14ac:dyDescent="0.2">
      <c r="A2873">
        <v>2868</v>
      </c>
      <c r="B2873" t="s">
        <v>32445</v>
      </c>
      <c r="C2873" t="s">
        <v>32446</v>
      </c>
      <c r="D2873" t="s">
        <v>32</v>
      </c>
      <c r="E2873" t="s">
        <v>32447</v>
      </c>
      <c r="F2873" t="s">
        <v>32448</v>
      </c>
      <c r="G2873" t="s">
        <v>32449</v>
      </c>
      <c r="H2873" t="str">
        <f>"Hsdl1"</f>
        <v>Hsdl1</v>
      </c>
      <c r="I2873" t="s">
        <v>32</v>
      </c>
      <c r="J2873" t="s">
        <v>37</v>
      </c>
      <c r="K2873">
        <v>10090</v>
      </c>
      <c r="L2873" s="3" t="str">
        <f>HYPERLINK("http://www.uniprot.org/uniprot/Q8BTX9", "Q8BTX9")</f>
        <v>Q8BTX9</v>
      </c>
      <c r="M2873" t="s">
        <v>32450</v>
      </c>
      <c r="N2873" t="str">
        <f>"Hsdl1"</f>
        <v>Hsdl1</v>
      </c>
      <c r="O2873" s="3" t="str">
        <f>HYPERLINK("http://www.informatics.jax.org/marker/MGI:1919802", "MGI:1919802")</f>
        <v>MGI:1919802</v>
      </c>
      <c r="P2873" t="s">
        <v>32451</v>
      </c>
      <c r="Q2873" t="s">
        <v>32</v>
      </c>
      <c r="R2873" t="s">
        <v>1038</v>
      </c>
      <c r="S2873" t="s">
        <v>32</v>
      </c>
      <c r="T2873" t="s">
        <v>32</v>
      </c>
      <c r="U2873" t="s">
        <v>32</v>
      </c>
      <c r="V2873" t="s">
        <v>32</v>
      </c>
      <c r="W2873" t="s">
        <v>3204</v>
      </c>
      <c r="X2873" t="s">
        <v>32</v>
      </c>
      <c r="Y2873" t="s">
        <v>78</v>
      </c>
      <c r="Z2873" t="s">
        <v>32</v>
      </c>
      <c r="AA2873" t="s">
        <v>32</v>
      </c>
      <c r="AB2873" t="s">
        <v>32452</v>
      </c>
      <c r="AC2873" t="s">
        <v>32</v>
      </c>
      <c r="AD2873" t="s">
        <v>32</v>
      </c>
      <c r="AE2873" t="s">
        <v>32</v>
      </c>
      <c r="AF2873" t="s">
        <v>46835</v>
      </c>
    </row>
    <row r="2874" spans="1:32" x14ac:dyDescent="0.2">
      <c r="A2874">
        <v>2869</v>
      </c>
      <c r="B2874" t="s">
        <v>32453</v>
      </c>
      <c r="C2874" t="s">
        <v>32454</v>
      </c>
      <c r="D2874" t="s">
        <v>32455</v>
      </c>
      <c r="E2874" t="s">
        <v>32456</v>
      </c>
      <c r="F2874" t="s">
        <v>32457</v>
      </c>
      <c r="G2874" t="s">
        <v>32458</v>
      </c>
      <c r="H2874" t="str">
        <f>"Mapk14"</f>
        <v>Mapk14</v>
      </c>
      <c r="I2874" t="s">
        <v>32459</v>
      </c>
      <c r="J2874" t="s">
        <v>37</v>
      </c>
      <c r="K2874">
        <v>10090</v>
      </c>
      <c r="L2874" s="3" t="str">
        <f>HYPERLINK("http://www.uniprot.org/uniprot/P47811", "P47811")</f>
        <v>P47811</v>
      </c>
      <c r="M2874" t="s">
        <v>32460</v>
      </c>
      <c r="N2874" t="str">
        <f>"Mapk14"</f>
        <v>Mapk14</v>
      </c>
      <c r="O2874" s="3" t="str">
        <f>HYPERLINK("http://www.informatics.jax.org/marker/MGI:1346865", "MGI:1346865")</f>
        <v>MGI:1346865</v>
      </c>
      <c r="P2874" t="s">
        <v>32461</v>
      </c>
      <c r="Q2874" t="s">
        <v>22064</v>
      </c>
      <c r="R2874" t="s">
        <v>40</v>
      </c>
      <c r="S2874" t="s">
        <v>41</v>
      </c>
      <c r="T2874" t="s">
        <v>32</v>
      </c>
      <c r="U2874" t="s">
        <v>32</v>
      </c>
      <c r="V2874" t="s">
        <v>32</v>
      </c>
      <c r="W2874" t="s">
        <v>205</v>
      </c>
      <c r="X2874" t="s">
        <v>5419</v>
      </c>
      <c r="Y2874" t="s">
        <v>1023</v>
      </c>
      <c r="Z2874" t="s">
        <v>126</v>
      </c>
      <c r="AA2874" t="s">
        <v>32462</v>
      </c>
      <c r="AB2874" t="s">
        <v>32463</v>
      </c>
      <c r="AC2874" t="s">
        <v>32464</v>
      </c>
      <c r="AD2874" t="s">
        <v>32</v>
      </c>
      <c r="AE2874" t="s">
        <v>32465</v>
      </c>
      <c r="AF2874" t="s">
        <v>46835</v>
      </c>
    </row>
    <row r="2875" spans="1:32" x14ac:dyDescent="0.2">
      <c r="A2875">
        <v>2870</v>
      </c>
      <c r="B2875" t="s">
        <v>32466</v>
      </c>
      <c r="C2875" t="s">
        <v>32467</v>
      </c>
      <c r="D2875" t="s">
        <v>32468</v>
      </c>
      <c r="E2875" t="s">
        <v>32469</v>
      </c>
      <c r="F2875" t="s">
        <v>32470</v>
      </c>
      <c r="G2875" t="s">
        <v>32471</v>
      </c>
      <c r="H2875" t="str">
        <f>"Rb1cc1"</f>
        <v>Rb1cc1</v>
      </c>
      <c r="I2875" t="s">
        <v>32472</v>
      </c>
      <c r="J2875" t="s">
        <v>37</v>
      </c>
      <c r="K2875">
        <v>10090</v>
      </c>
      <c r="L2875" s="3" t="str">
        <f>HYPERLINK("http://www.uniprot.org/uniprot/Q9ESK9", "Q9ESK9")</f>
        <v>Q9ESK9</v>
      </c>
      <c r="M2875" t="s">
        <v>32473</v>
      </c>
      <c r="N2875" t="str">
        <f>"Rb1cc1"</f>
        <v>Rb1cc1</v>
      </c>
      <c r="O2875" s="3" t="str">
        <f>HYPERLINK("http://www.informatics.jax.org/marker/MGI:1341850", "MGI:1341850")</f>
        <v>MGI:1341850</v>
      </c>
      <c r="P2875" t="s">
        <v>32474</v>
      </c>
      <c r="Q2875" t="s">
        <v>32475</v>
      </c>
      <c r="R2875" t="s">
        <v>23368</v>
      </c>
      <c r="S2875" t="s">
        <v>32</v>
      </c>
      <c r="T2875" t="s">
        <v>32</v>
      </c>
      <c r="U2875" t="s">
        <v>1636</v>
      </c>
      <c r="V2875" t="s">
        <v>290</v>
      </c>
      <c r="W2875" t="s">
        <v>32</v>
      </c>
      <c r="X2875" t="s">
        <v>32</v>
      </c>
      <c r="Y2875" t="s">
        <v>618</v>
      </c>
      <c r="Z2875" t="s">
        <v>32</v>
      </c>
      <c r="AA2875" t="s">
        <v>32476</v>
      </c>
      <c r="AB2875" t="s">
        <v>32477</v>
      </c>
      <c r="AC2875" t="s">
        <v>32478</v>
      </c>
      <c r="AD2875" t="s">
        <v>32</v>
      </c>
      <c r="AE2875" t="s">
        <v>11665</v>
      </c>
      <c r="AF2875" t="s">
        <v>46835</v>
      </c>
    </row>
    <row r="2876" spans="1:32" x14ac:dyDescent="0.2">
      <c r="A2876">
        <v>2871</v>
      </c>
      <c r="B2876" t="s">
        <v>32479</v>
      </c>
      <c r="C2876" t="s">
        <v>32480</v>
      </c>
      <c r="D2876" t="s">
        <v>32481</v>
      </c>
      <c r="E2876" t="s">
        <v>32482</v>
      </c>
      <c r="F2876" t="s">
        <v>32483</v>
      </c>
      <c r="G2876" t="s">
        <v>32484</v>
      </c>
      <c r="H2876" t="str">
        <f>"Map3k5"</f>
        <v>Map3k5</v>
      </c>
      <c r="I2876" t="s">
        <v>32485</v>
      </c>
      <c r="J2876" t="s">
        <v>37</v>
      </c>
      <c r="K2876">
        <v>10090</v>
      </c>
      <c r="L2876" s="3" t="str">
        <f>HYPERLINK("http://www.uniprot.org/uniprot/O35099", "O35099")</f>
        <v>O35099</v>
      </c>
      <c r="M2876" t="s">
        <v>32486</v>
      </c>
      <c r="N2876" t="str">
        <f>"Map3k5"</f>
        <v>Map3k5</v>
      </c>
      <c r="O2876" s="3" t="str">
        <f>HYPERLINK("http://www.informatics.jax.org/marker/MGI:1346876", "MGI:1346876")</f>
        <v>MGI:1346876</v>
      </c>
      <c r="P2876" t="s">
        <v>32487</v>
      </c>
      <c r="Q2876" t="s">
        <v>32488</v>
      </c>
      <c r="R2876" t="s">
        <v>874</v>
      </c>
      <c r="S2876" t="s">
        <v>32</v>
      </c>
      <c r="T2876" t="s">
        <v>32</v>
      </c>
      <c r="U2876" t="s">
        <v>32</v>
      </c>
      <c r="V2876" t="s">
        <v>290</v>
      </c>
      <c r="W2876" t="s">
        <v>1266</v>
      </c>
      <c r="X2876" t="s">
        <v>5419</v>
      </c>
      <c r="Y2876" t="s">
        <v>18842</v>
      </c>
      <c r="Z2876" t="s">
        <v>32</v>
      </c>
      <c r="AA2876" t="s">
        <v>32489</v>
      </c>
      <c r="AB2876" t="s">
        <v>32490</v>
      </c>
      <c r="AC2876" t="s">
        <v>32491</v>
      </c>
      <c r="AD2876" t="s">
        <v>32</v>
      </c>
      <c r="AE2876" t="s">
        <v>32492</v>
      </c>
      <c r="AF2876" t="s">
        <v>46835</v>
      </c>
    </row>
    <row r="2877" spans="1:32" x14ac:dyDescent="0.2">
      <c r="A2877">
        <v>2872</v>
      </c>
      <c r="B2877" t="s">
        <v>32493</v>
      </c>
      <c r="C2877" t="s">
        <v>32494</v>
      </c>
      <c r="D2877" t="s">
        <v>32495</v>
      </c>
      <c r="E2877" t="s">
        <v>32496</v>
      </c>
      <c r="F2877" t="s">
        <v>32497</v>
      </c>
      <c r="G2877" t="s">
        <v>32498</v>
      </c>
      <c r="H2877" t="str">
        <f>"Sdsl"</f>
        <v>Sdsl</v>
      </c>
      <c r="I2877" t="s">
        <v>32499</v>
      </c>
      <c r="J2877" t="s">
        <v>37</v>
      </c>
      <c r="K2877">
        <v>10090</v>
      </c>
      <c r="L2877" s="3" t="str">
        <f>HYPERLINK("http://www.uniprot.org/uniprot/Q8R238", "Q8R238")</f>
        <v>Q8R238</v>
      </c>
      <c r="M2877" t="s">
        <v>32500</v>
      </c>
      <c r="N2877" t="str">
        <f>"Sdsl"</f>
        <v>Sdsl</v>
      </c>
      <c r="O2877" s="3" t="str">
        <f>HYPERLINK("http://www.informatics.jax.org/marker/MGI:2182607", "MGI:2182607")</f>
        <v>MGI:2182607</v>
      </c>
      <c r="P2877" t="s">
        <v>32501</v>
      </c>
      <c r="Q2877" t="s">
        <v>598</v>
      </c>
      <c r="R2877" t="s">
        <v>32</v>
      </c>
      <c r="S2877" t="s">
        <v>32</v>
      </c>
      <c r="T2877" t="s">
        <v>32</v>
      </c>
      <c r="U2877" t="s">
        <v>32</v>
      </c>
      <c r="V2877" t="s">
        <v>32</v>
      </c>
      <c r="W2877" t="s">
        <v>3373</v>
      </c>
      <c r="X2877" t="s">
        <v>224</v>
      </c>
      <c r="Y2877" t="s">
        <v>78</v>
      </c>
      <c r="Z2877" t="s">
        <v>32</v>
      </c>
      <c r="AA2877" t="s">
        <v>32502</v>
      </c>
      <c r="AB2877" t="s">
        <v>3721</v>
      </c>
      <c r="AC2877" t="s">
        <v>32503</v>
      </c>
      <c r="AD2877" t="s">
        <v>32</v>
      </c>
      <c r="AE2877" t="s">
        <v>16315</v>
      </c>
      <c r="AF2877" t="s">
        <v>46835</v>
      </c>
    </row>
    <row r="2878" spans="1:32" x14ac:dyDescent="0.2">
      <c r="A2878">
        <v>2873</v>
      </c>
      <c r="B2878" t="s">
        <v>32504</v>
      </c>
      <c r="C2878" t="s">
        <v>32505</v>
      </c>
      <c r="D2878" t="s">
        <v>32</v>
      </c>
      <c r="E2878" t="s">
        <v>32506</v>
      </c>
      <c r="F2878" t="s">
        <v>32507</v>
      </c>
      <c r="G2878" t="s">
        <v>32508</v>
      </c>
      <c r="H2878" t="str">
        <f>"Prkar2b"</f>
        <v>Prkar2b</v>
      </c>
      <c r="I2878" t="s">
        <v>32</v>
      </c>
      <c r="J2878" t="s">
        <v>37</v>
      </c>
      <c r="K2878">
        <v>10090</v>
      </c>
      <c r="L2878" s="3" t="str">
        <f>HYPERLINK("http://www.uniprot.org/uniprot/P31324", "P31324")</f>
        <v>P31324</v>
      </c>
      <c r="M2878" t="s">
        <v>32509</v>
      </c>
      <c r="N2878" t="str">
        <f>"Prkar2b"</f>
        <v>Prkar2b</v>
      </c>
      <c r="O2878" s="3" t="str">
        <f>HYPERLINK("http://www.informatics.jax.org/marker/MGI:97760", "MGI:97760")</f>
        <v>MGI:97760</v>
      </c>
      <c r="P2878" t="s">
        <v>32510</v>
      </c>
      <c r="Q2878" t="s">
        <v>32</v>
      </c>
      <c r="R2878" t="s">
        <v>222</v>
      </c>
      <c r="S2878" t="s">
        <v>32</v>
      </c>
      <c r="T2878" t="s">
        <v>32</v>
      </c>
      <c r="U2878" t="s">
        <v>32</v>
      </c>
      <c r="V2878" t="s">
        <v>55</v>
      </c>
      <c r="W2878" t="s">
        <v>10938</v>
      </c>
      <c r="X2878" t="s">
        <v>32</v>
      </c>
      <c r="Y2878" t="s">
        <v>618</v>
      </c>
      <c r="Z2878" t="s">
        <v>126</v>
      </c>
      <c r="AA2878" t="s">
        <v>32511</v>
      </c>
      <c r="AB2878" t="s">
        <v>32512</v>
      </c>
      <c r="AC2878" t="s">
        <v>32513</v>
      </c>
      <c r="AD2878" t="s">
        <v>32</v>
      </c>
      <c r="AE2878" t="s">
        <v>32514</v>
      </c>
      <c r="AF2878" t="s">
        <v>46835</v>
      </c>
    </row>
    <row r="2879" spans="1:32" x14ac:dyDescent="0.2">
      <c r="A2879">
        <v>2874</v>
      </c>
      <c r="B2879" t="s">
        <v>32515</v>
      </c>
      <c r="C2879" t="s">
        <v>32516</v>
      </c>
      <c r="D2879" t="s">
        <v>32</v>
      </c>
      <c r="E2879" t="s">
        <v>32517</v>
      </c>
      <c r="F2879" t="s">
        <v>32518</v>
      </c>
      <c r="G2879" t="s">
        <v>32519</v>
      </c>
      <c r="H2879" t="str">
        <f>"Uap1l1"</f>
        <v>Uap1l1</v>
      </c>
      <c r="I2879" t="s">
        <v>32</v>
      </c>
      <c r="J2879" t="s">
        <v>37</v>
      </c>
      <c r="K2879">
        <v>10090</v>
      </c>
      <c r="L2879" s="3" t="str">
        <f>HYPERLINK("http://www.uniprot.org/uniprot/Q3TW96", "Q3TW96")</f>
        <v>Q3TW96</v>
      </c>
      <c r="M2879" t="s">
        <v>32520</v>
      </c>
      <c r="N2879" t="str">
        <f>"Uap1l1"</f>
        <v>Uap1l1</v>
      </c>
      <c r="O2879" s="3" t="str">
        <f>HYPERLINK("http://www.informatics.jax.org/marker/MGI:2443318", "MGI:2443318")</f>
        <v>MGI:2443318</v>
      </c>
      <c r="P2879" t="s">
        <v>32521</v>
      </c>
      <c r="Q2879" t="s">
        <v>32</v>
      </c>
      <c r="R2879" t="s">
        <v>32</v>
      </c>
      <c r="S2879" t="s">
        <v>41</v>
      </c>
      <c r="T2879" t="s">
        <v>32</v>
      </c>
      <c r="U2879" t="s">
        <v>32</v>
      </c>
      <c r="V2879" t="s">
        <v>32</v>
      </c>
      <c r="W2879" t="s">
        <v>32</v>
      </c>
      <c r="X2879" t="s">
        <v>7489</v>
      </c>
      <c r="Y2879" t="s">
        <v>32</v>
      </c>
      <c r="Z2879" t="s">
        <v>32</v>
      </c>
      <c r="AA2879" t="s">
        <v>32522</v>
      </c>
      <c r="AB2879" t="s">
        <v>32</v>
      </c>
      <c r="AC2879" t="s">
        <v>32523</v>
      </c>
      <c r="AD2879" t="s">
        <v>32</v>
      </c>
      <c r="AE2879" t="s">
        <v>32</v>
      </c>
      <c r="AF2879" t="s">
        <v>46835</v>
      </c>
    </row>
    <row r="2880" spans="1:32" x14ac:dyDescent="0.2">
      <c r="A2880">
        <v>2875</v>
      </c>
      <c r="B2880" t="s">
        <v>32524</v>
      </c>
      <c r="C2880" t="s">
        <v>32525</v>
      </c>
      <c r="D2880" t="s">
        <v>32</v>
      </c>
      <c r="E2880" t="s">
        <v>32526</v>
      </c>
      <c r="F2880" t="s">
        <v>32527</v>
      </c>
      <c r="G2880" t="s">
        <v>32528</v>
      </c>
      <c r="H2880" t="str">
        <f>"Gna11"</f>
        <v>Gna11</v>
      </c>
      <c r="I2880" t="s">
        <v>32529</v>
      </c>
      <c r="J2880" t="s">
        <v>37</v>
      </c>
      <c r="K2880">
        <v>10090</v>
      </c>
      <c r="L2880" s="3" t="str">
        <f>HYPERLINK("http://www.uniprot.org/uniprot/P21278", "P21278")</f>
        <v>P21278</v>
      </c>
      <c r="M2880" t="s">
        <v>32530</v>
      </c>
      <c r="N2880" t="str">
        <f>"Gna11"</f>
        <v>Gna11</v>
      </c>
      <c r="O2880" s="3" t="str">
        <f>HYPERLINK("http://www.informatics.jax.org/marker/MGI:95766", "MGI:95766")</f>
        <v>MGI:95766</v>
      </c>
      <c r="P2880" t="s">
        <v>32531</v>
      </c>
      <c r="Q2880" t="s">
        <v>32</v>
      </c>
      <c r="R2880" t="s">
        <v>222</v>
      </c>
      <c r="S2880" t="s">
        <v>32</v>
      </c>
      <c r="T2880" t="s">
        <v>32</v>
      </c>
      <c r="U2880" t="s">
        <v>32</v>
      </c>
      <c r="V2880" t="s">
        <v>32</v>
      </c>
      <c r="W2880" t="s">
        <v>342</v>
      </c>
      <c r="X2880" t="s">
        <v>10391</v>
      </c>
      <c r="Y2880" t="s">
        <v>19965</v>
      </c>
      <c r="Z2880" t="s">
        <v>32</v>
      </c>
      <c r="AA2880" t="s">
        <v>32532</v>
      </c>
      <c r="AB2880" t="s">
        <v>32533</v>
      </c>
      <c r="AC2880" t="s">
        <v>32534</v>
      </c>
      <c r="AD2880" t="s">
        <v>32</v>
      </c>
      <c r="AE2880" t="s">
        <v>30149</v>
      </c>
      <c r="AF2880" t="s">
        <v>46835</v>
      </c>
    </row>
    <row r="2881" spans="1:32" x14ac:dyDescent="0.2">
      <c r="A2881">
        <v>2876</v>
      </c>
      <c r="B2881" t="s">
        <v>32535</v>
      </c>
      <c r="C2881" t="s">
        <v>32536</v>
      </c>
      <c r="D2881" t="s">
        <v>32537</v>
      </c>
      <c r="E2881" t="s">
        <v>32538</v>
      </c>
      <c r="F2881" t="s">
        <v>32539</v>
      </c>
      <c r="G2881" t="s">
        <v>32540</v>
      </c>
      <c r="H2881" t="str">
        <f>"Atp5mf"</f>
        <v>Atp5mf</v>
      </c>
      <c r="I2881" t="s">
        <v>32541</v>
      </c>
      <c r="J2881" t="s">
        <v>37</v>
      </c>
      <c r="K2881">
        <v>10090</v>
      </c>
      <c r="L2881" s="3" t="str">
        <f>HYPERLINK("http://www.uniprot.org/uniprot/P56135", "P56135")</f>
        <v>P56135</v>
      </c>
      <c r="M2881" t="s">
        <v>32542</v>
      </c>
      <c r="N2881" t="str">
        <f>"Atp5j2"</f>
        <v>Atp5j2</v>
      </c>
      <c r="O2881" s="3" t="str">
        <f>HYPERLINK("http://www.informatics.jax.org/marker/MGI:1927558", "MGI:1927558")</f>
        <v>MGI:1927558</v>
      </c>
      <c r="P2881" t="s">
        <v>32543</v>
      </c>
      <c r="Q2881" t="s">
        <v>1142</v>
      </c>
      <c r="R2881" t="s">
        <v>4258</v>
      </c>
      <c r="S2881" t="s">
        <v>32</v>
      </c>
      <c r="T2881" t="s">
        <v>32</v>
      </c>
      <c r="U2881" t="s">
        <v>32</v>
      </c>
      <c r="V2881" t="s">
        <v>493</v>
      </c>
      <c r="W2881" t="s">
        <v>32</v>
      </c>
      <c r="X2881" t="s">
        <v>32</v>
      </c>
      <c r="Y2881" t="s">
        <v>157</v>
      </c>
      <c r="Z2881" t="s">
        <v>32</v>
      </c>
      <c r="AA2881" t="s">
        <v>11382</v>
      </c>
      <c r="AB2881" t="s">
        <v>32544</v>
      </c>
      <c r="AC2881" t="s">
        <v>32545</v>
      </c>
      <c r="AD2881" t="s">
        <v>32</v>
      </c>
      <c r="AE2881" t="s">
        <v>1147</v>
      </c>
      <c r="AF2881" t="s">
        <v>46835</v>
      </c>
    </row>
    <row r="2882" spans="1:32" x14ac:dyDescent="0.2">
      <c r="A2882">
        <v>2877</v>
      </c>
      <c r="B2882" t="s">
        <v>32546</v>
      </c>
      <c r="C2882" t="s">
        <v>32547</v>
      </c>
      <c r="D2882" t="s">
        <v>32548</v>
      </c>
      <c r="E2882" t="s">
        <v>32549</v>
      </c>
      <c r="F2882" t="s">
        <v>32550</v>
      </c>
      <c r="G2882" t="s">
        <v>32551</v>
      </c>
      <c r="H2882" t="str">
        <f>"Babam1"</f>
        <v>Babam1</v>
      </c>
      <c r="I2882" t="s">
        <v>32552</v>
      </c>
      <c r="J2882" t="s">
        <v>37</v>
      </c>
      <c r="K2882">
        <v>10090</v>
      </c>
      <c r="L2882" s="3" t="str">
        <f>HYPERLINK("http://www.uniprot.org/uniprot/Q3UI43", "Q3UI43")</f>
        <v>Q3UI43</v>
      </c>
      <c r="M2882" t="s">
        <v>32553</v>
      </c>
      <c r="N2882" t="str">
        <f>"Babam1"</f>
        <v>Babam1</v>
      </c>
      <c r="O2882" s="3" t="str">
        <f>HYPERLINK("http://www.informatics.jax.org/marker/MGI:1915501", "MGI:1915501")</f>
        <v>MGI:1915501</v>
      </c>
      <c r="P2882" t="s">
        <v>32554</v>
      </c>
      <c r="Q2882" t="s">
        <v>30603</v>
      </c>
      <c r="R2882" t="s">
        <v>40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9988</v>
      </c>
      <c r="Y2882" t="s">
        <v>157</v>
      </c>
      <c r="Z2882" t="s">
        <v>126</v>
      </c>
      <c r="AA2882" t="s">
        <v>32555</v>
      </c>
      <c r="AB2882" t="s">
        <v>32556</v>
      </c>
      <c r="AC2882" t="s">
        <v>32</v>
      </c>
      <c r="AD2882" t="s">
        <v>32</v>
      </c>
      <c r="AE2882" t="s">
        <v>18594</v>
      </c>
      <c r="AF2882" t="s">
        <v>46835</v>
      </c>
    </row>
    <row r="2883" spans="1:32" x14ac:dyDescent="0.2">
      <c r="A2883">
        <v>2878</v>
      </c>
      <c r="B2883" t="s">
        <v>32557</v>
      </c>
      <c r="C2883" t="s">
        <v>32558</v>
      </c>
      <c r="D2883" t="s">
        <v>32</v>
      </c>
      <c r="E2883" t="s">
        <v>32559</v>
      </c>
      <c r="F2883" t="s">
        <v>32560</v>
      </c>
      <c r="G2883" t="s">
        <v>32561</v>
      </c>
      <c r="H2883" t="str">
        <f>"Clic5"</f>
        <v>Clic5</v>
      </c>
      <c r="I2883" t="s">
        <v>32</v>
      </c>
      <c r="J2883" t="s">
        <v>37</v>
      </c>
      <c r="K2883">
        <v>10090</v>
      </c>
      <c r="L2883" s="3" t="str">
        <f>HYPERLINK("http://www.uniprot.org/uniprot/Q8BXK9", "Q8BXK9")</f>
        <v>Q8BXK9</v>
      </c>
      <c r="M2883" t="s">
        <v>32562</v>
      </c>
      <c r="N2883" t="str">
        <f>"Clic5"</f>
        <v>Clic5</v>
      </c>
      <c r="O2883" s="3" t="str">
        <f>HYPERLINK("http://www.informatics.jax.org/marker/MGI:1917912", "MGI:1917912")</f>
        <v>MGI:1917912</v>
      </c>
      <c r="P2883" t="s">
        <v>32563</v>
      </c>
      <c r="Q2883" t="s">
        <v>32564</v>
      </c>
      <c r="R2883" t="s">
        <v>7088</v>
      </c>
      <c r="S2883" t="s">
        <v>32</v>
      </c>
      <c r="T2883" t="s">
        <v>32</v>
      </c>
      <c r="U2883" t="s">
        <v>32</v>
      </c>
      <c r="V2883" t="s">
        <v>493</v>
      </c>
      <c r="W2883" t="s">
        <v>7618</v>
      </c>
      <c r="X2883" t="s">
        <v>7619</v>
      </c>
      <c r="Y2883" t="s">
        <v>32</v>
      </c>
      <c r="Z2883" t="s">
        <v>32</v>
      </c>
      <c r="AA2883" t="s">
        <v>32565</v>
      </c>
      <c r="AB2883" t="s">
        <v>32566</v>
      </c>
      <c r="AC2883" t="s">
        <v>7622</v>
      </c>
      <c r="AD2883" t="s">
        <v>32</v>
      </c>
      <c r="AE2883" t="s">
        <v>32</v>
      </c>
      <c r="AF2883" t="s">
        <v>46835</v>
      </c>
    </row>
    <row r="2884" spans="1:32" x14ac:dyDescent="0.2">
      <c r="A2884">
        <v>2879</v>
      </c>
      <c r="B2884" t="s">
        <v>32567</v>
      </c>
      <c r="C2884" t="s">
        <v>32568</v>
      </c>
      <c r="D2884" t="s">
        <v>32569</v>
      </c>
      <c r="E2884" t="s">
        <v>32570</v>
      </c>
      <c r="F2884" t="s">
        <v>32571</v>
      </c>
      <c r="G2884" t="s">
        <v>32572</v>
      </c>
      <c r="H2884" t="str">
        <f>"Gabarapl2"</f>
        <v>Gabarapl2</v>
      </c>
      <c r="I2884" t="s">
        <v>32</v>
      </c>
      <c r="J2884" t="s">
        <v>37</v>
      </c>
      <c r="K2884">
        <v>10090</v>
      </c>
      <c r="L2884" s="3" t="str">
        <f>HYPERLINK("http://www.uniprot.org/uniprot/P60521", "P60521")</f>
        <v>P60521</v>
      </c>
      <c r="M2884" t="s">
        <v>32573</v>
      </c>
      <c r="N2884" t="str">
        <f>"Gabarapl2"</f>
        <v>Gabarapl2</v>
      </c>
      <c r="O2884" s="3" t="str">
        <f>HYPERLINK("http://www.informatics.jax.org/marker/MGI:1890602", "MGI:1890602")</f>
        <v>MGI:1890602</v>
      </c>
      <c r="P2884" t="s">
        <v>32574</v>
      </c>
      <c r="Q2884" t="s">
        <v>23025</v>
      </c>
      <c r="R2884" t="s">
        <v>18207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32</v>
      </c>
      <c r="Y2884" t="s">
        <v>14296</v>
      </c>
      <c r="Z2884" t="s">
        <v>32</v>
      </c>
      <c r="AA2884" t="s">
        <v>32575</v>
      </c>
      <c r="AB2884" t="s">
        <v>32576</v>
      </c>
      <c r="AC2884" t="s">
        <v>3477</v>
      </c>
      <c r="AD2884" t="s">
        <v>32</v>
      </c>
      <c r="AE2884" t="s">
        <v>15026</v>
      </c>
      <c r="AF2884" t="s">
        <v>46835</v>
      </c>
    </row>
    <row r="2885" spans="1:32" x14ac:dyDescent="0.2">
      <c r="A2885">
        <v>2880</v>
      </c>
      <c r="B2885" t="s">
        <v>32577</v>
      </c>
      <c r="C2885" t="s">
        <v>32578</v>
      </c>
      <c r="D2885" t="s">
        <v>32</v>
      </c>
      <c r="E2885" t="s">
        <v>32579</v>
      </c>
      <c r="F2885" t="s">
        <v>32580</v>
      </c>
      <c r="G2885" t="s">
        <v>32581</v>
      </c>
      <c r="H2885" t="str">
        <f>"Mrpl41"</f>
        <v>Mrpl41</v>
      </c>
      <c r="I2885" t="s">
        <v>32</v>
      </c>
      <c r="J2885" t="s">
        <v>37</v>
      </c>
      <c r="K2885">
        <v>10090</v>
      </c>
      <c r="L2885" s="3" t="str">
        <f>HYPERLINK("http://www.uniprot.org/uniprot/Q9CQN7", "Q9CQN7")</f>
        <v>Q9CQN7</v>
      </c>
      <c r="M2885" t="s">
        <v>32582</v>
      </c>
      <c r="N2885" t="str">
        <f>"Mrpl41"</f>
        <v>Mrpl41</v>
      </c>
      <c r="O2885" s="3" t="str">
        <f>HYPERLINK("http://www.informatics.jax.org/marker/MGI:1333816", "MGI:1333816")</f>
        <v>MGI:1333816</v>
      </c>
      <c r="P2885" t="s">
        <v>32583</v>
      </c>
      <c r="Q2885" t="s">
        <v>5417</v>
      </c>
      <c r="R2885" t="s">
        <v>1038</v>
      </c>
      <c r="S2885" t="s">
        <v>32</v>
      </c>
      <c r="T2885" t="s">
        <v>32</v>
      </c>
      <c r="U2885" t="s">
        <v>32</v>
      </c>
      <c r="V2885" t="s">
        <v>1039</v>
      </c>
      <c r="W2885" t="s">
        <v>32</v>
      </c>
      <c r="X2885" t="s">
        <v>447</v>
      </c>
      <c r="Y2885" t="s">
        <v>32</v>
      </c>
      <c r="Z2885" t="s">
        <v>32</v>
      </c>
      <c r="AA2885" t="s">
        <v>32584</v>
      </c>
      <c r="AB2885" t="s">
        <v>32585</v>
      </c>
      <c r="AC2885" t="s">
        <v>1010</v>
      </c>
      <c r="AD2885" t="s">
        <v>32</v>
      </c>
      <c r="AE2885" t="s">
        <v>17271</v>
      </c>
      <c r="AF2885" t="s">
        <v>46835</v>
      </c>
    </row>
    <row r="2886" spans="1:32" x14ac:dyDescent="0.2">
      <c r="A2886">
        <v>2881</v>
      </c>
      <c r="B2886" t="s">
        <v>32586</v>
      </c>
      <c r="C2886" t="s">
        <v>32587</v>
      </c>
      <c r="D2886" t="s">
        <v>32</v>
      </c>
      <c r="E2886" t="s">
        <v>32588</v>
      </c>
      <c r="F2886" t="s">
        <v>32589</v>
      </c>
      <c r="G2886" t="s">
        <v>32590</v>
      </c>
      <c r="H2886" t="str">
        <f>"Arf2"</f>
        <v>Arf2</v>
      </c>
      <c r="I2886" t="s">
        <v>32</v>
      </c>
      <c r="J2886" t="s">
        <v>37</v>
      </c>
      <c r="K2886">
        <v>10090</v>
      </c>
      <c r="L2886" s="3" t="str">
        <f>HYPERLINK("http://www.uniprot.org/uniprot/Q8BSL7", "Q8BSL7")</f>
        <v>Q8BSL7</v>
      </c>
      <c r="M2886" t="s">
        <v>32591</v>
      </c>
      <c r="N2886" t="str">
        <f>"Arf2"</f>
        <v>Arf2</v>
      </c>
      <c r="O2886" s="3" t="str">
        <f>HYPERLINK("http://www.informatics.jax.org/marker/MGI:99595", "MGI:99595")</f>
        <v>MGI:99595</v>
      </c>
      <c r="P2886" t="s">
        <v>32592</v>
      </c>
      <c r="Q2886" t="s">
        <v>2916</v>
      </c>
      <c r="R2886" t="s">
        <v>12904</v>
      </c>
      <c r="S2886" t="s">
        <v>32</v>
      </c>
      <c r="T2886" t="s">
        <v>32</v>
      </c>
      <c r="U2886" t="s">
        <v>32</v>
      </c>
      <c r="V2886" t="s">
        <v>32</v>
      </c>
      <c r="W2886" t="s">
        <v>261</v>
      </c>
      <c r="X2886" t="s">
        <v>32</v>
      </c>
      <c r="Y2886" t="s">
        <v>15432</v>
      </c>
      <c r="Z2886" t="s">
        <v>126</v>
      </c>
      <c r="AA2886" t="s">
        <v>32593</v>
      </c>
      <c r="AB2886" t="s">
        <v>32594</v>
      </c>
      <c r="AC2886" t="s">
        <v>15410</v>
      </c>
      <c r="AD2886" t="s">
        <v>32</v>
      </c>
      <c r="AE2886" t="s">
        <v>32</v>
      </c>
      <c r="AF2886" t="s">
        <v>46835</v>
      </c>
    </row>
    <row r="2887" spans="1:32" x14ac:dyDescent="0.2">
      <c r="A2887">
        <v>2882</v>
      </c>
      <c r="B2887" t="s">
        <v>32595</v>
      </c>
      <c r="C2887" t="s">
        <v>32596</v>
      </c>
      <c r="D2887" t="s">
        <v>32597</v>
      </c>
      <c r="E2887" t="s">
        <v>32598</v>
      </c>
      <c r="F2887" t="s">
        <v>32599</v>
      </c>
      <c r="G2887" t="s">
        <v>32600</v>
      </c>
      <c r="H2887" t="str">
        <f>"Ift140"</f>
        <v>Ift140</v>
      </c>
      <c r="I2887" t="s">
        <v>32601</v>
      </c>
      <c r="J2887" t="s">
        <v>37</v>
      </c>
      <c r="K2887">
        <v>10090</v>
      </c>
      <c r="L2887" s="3" t="str">
        <f>HYPERLINK("http://www.uniprot.org/uniprot/E9PY46", "E9PY46")</f>
        <v>E9PY46</v>
      </c>
      <c r="M2887" t="s">
        <v>32602</v>
      </c>
      <c r="N2887" t="str">
        <f>"Ift140"</f>
        <v>Ift140</v>
      </c>
      <c r="O2887" s="3" t="str">
        <f>HYPERLINK("http://www.informatics.jax.org/marker/MGI:2146906", "MGI:2146906")</f>
        <v>MGI:2146906</v>
      </c>
      <c r="P2887" t="s">
        <v>32603</v>
      </c>
      <c r="Q2887" t="s">
        <v>475</v>
      </c>
      <c r="R2887" t="s">
        <v>1223</v>
      </c>
      <c r="S2887" t="s">
        <v>32</v>
      </c>
      <c r="T2887" t="s">
        <v>32</v>
      </c>
      <c r="U2887" t="s">
        <v>829</v>
      </c>
      <c r="V2887" t="s">
        <v>32604</v>
      </c>
      <c r="W2887" t="s">
        <v>32</v>
      </c>
      <c r="X2887" t="s">
        <v>32</v>
      </c>
      <c r="Y2887" t="s">
        <v>618</v>
      </c>
      <c r="Z2887" t="s">
        <v>32</v>
      </c>
      <c r="AA2887" t="s">
        <v>32605</v>
      </c>
      <c r="AB2887" t="s">
        <v>32606</v>
      </c>
      <c r="AC2887" t="s">
        <v>32</v>
      </c>
      <c r="AD2887" t="s">
        <v>32</v>
      </c>
      <c r="AE2887" t="s">
        <v>30947</v>
      </c>
      <c r="AF2887" t="s">
        <v>46835</v>
      </c>
    </row>
    <row r="2888" spans="1:32" x14ac:dyDescent="0.2">
      <c r="A2888">
        <v>2883</v>
      </c>
      <c r="B2888" t="s">
        <v>32607</v>
      </c>
      <c r="C2888" t="s">
        <v>32608</v>
      </c>
      <c r="D2888" t="s">
        <v>32609</v>
      </c>
      <c r="E2888" t="s">
        <v>32610</v>
      </c>
      <c r="F2888" t="s">
        <v>32611</v>
      </c>
      <c r="G2888" t="s">
        <v>32</v>
      </c>
      <c r="H2888" t="str">
        <f>"Scgb2b2"</f>
        <v>Scgb2b2</v>
      </c>
      <c r="I2888" t="s">
        <v>32612</v>
      </c>
      <c r="J2888" t="s">
        <v>37</v>
      </c>
      <c r="K2888">
        <v>10090</v>
      </c>
      <c r="L2888" s="3" t="str">
        <f>HYPERLINK("http://www.uniprot.org/uniprot/Q6UGQ3", "Q6UGQ3")</f>
        <v>Q6UGQ3</v>
      </c>
      <c r="M2888" t="s">
        <v>32613</v>
      </c>
      <c r="N2888" t="str">
        <f>"Scgb2b2"</f>
        <v>Scgb2b2</v>
      </c>
      <c r="O2888" s="3" t="str">
        <f>HYPERLINK("http://www.informatics.jax.org/marker/MGI:3042579", "MGI:3042579")</f>
        <v>MGI:3042579</v>
      </c>
      <c r="P2888" t="s">
        <v>32614</v>
      </c>
      <c r="Q2888" t="s">
        <v>32</v>
      </c>
      <c r="R2888" t="s">
        <v>630</v>
      </c>
      <c r="S2888" t="s">
        <v>32</v>
      </c>
      <c r="T2888" t="s">
        <v>32</v>
      </c>
      <c r="U2888" t="s">
        <v>32</v>
      </c>
      <c r="V2888" t="s">
        <v>811</v>
      </c>
      <c r="W2888" t="s">
        <v>32</v>
      </c>
      <c r="X2888" t="s">
        <v>32</v>
      </c>
      <c r="Y2888" t="s">
        <v>32</v>
      </c>
      <c r="Z2888" t="s">
        <v>32</v>
      </c>
      <c r="AA2888" t="s">
        <v>32</v>
      </c>
      <c r="AB2888" t="s">
        <v>9349</v>
      </c>
      <c r="AC2888" t="s">
        <v>32</v>
      </c>
      <c r="AD2888" t="s">
        <v>32</v>
      </c>
      <c r="AE2888" t="s">
        <v>32</v>
      </c>
      <c r="AF2888" t="s">
        <v>46835</v>
      </c>
    </row>
    <row r="2889" spans="1:32" x14ac:dyDescent="0.2">
      <c r="A2889">
        <v>2884</v>
      </c>
      <c r="B2889" t="s">
        <v>32615</v>
      </c>
      <c r="C2889" t="s">
        <v>32616</v>
      </c>
      <c r="D2889" t="s">
        <v>32617</v>
      </c>
      <c r="E2889" t="s">
        <v>32618</v>
      </c>
      <c r="F2889" t="s">
        <v>32619</v>
      </c>
      <c r="G2889" t="s">
        <v>32</v>
      </c>
      <c r="H2889" t="str">
        <f>"Pi4k2a"</f>
        <v>Pi4k2a</v>
      </c>
      <c r="I2889" t="s">
        <v>32</v>
      </c>
      <c r="J2889" t="s">
        <v>37</v>
      </c>
      <c r="K2889">
        <v>10090</v>
      </c>
      <c r="L2889" s="3" t="str">
        <f>HYPERLINK("http://www.uniprot.org/uniprot/Q2TBE6", "Q2TBE6")</f>
        <v>Q2TBE6</v>
      </c>
      <c r="M2889" t="s">
        <v>32620</v>
      </c>
      <c r="N2889" t="str">
        <f>"Pi4k2a"</f>
        <v>Pi4k2a</v>
      </c>
      <c r="O2889" s="3" t="str">
        <f>HYPERLINK("http://www.informatics.jax.org/marker/MGI:1934031", "MGI:1934031")</f>
        <v>MGI:1934031</v>
      </c>
      <c r="P2889" t="s">
        <v>32621</v>
      </c>
      <c r="Q2889" t="s">
        <v>598</v>
      </c>
      <c r="R2889" t="s">
        <v>32622</v>
      </c>
      <c r="S2889" t="s">
        <v>32</v>
      </c>
      <c r="T2889" t="s">
        <v>32</v>
      </c>
      <c r="U2889" t="s">
        <v>32</v>
      </c>
      <c r="V2889" t="s">
        <v>32</v>
      </c>
      <c r="W2889" t="s">
        <v>205</v>
      </c>
      <c r="X2889" t="s">
        <v>419</v>
      </c>
      <c r="Y2889" t="s">
        <v>32623</v>
      </c>
      <c r="Z2889" t="s">
        <v>32</v>
      </c>
      <c r="AA2889" t="s">
        <v>32624</v>
      </c>
      <c r="AB2889" t="s">
        <v>32625</v>
      </c>
      <c r="AC2889" t="s">
        <v>32626</v>
      </c>
      <c r="AD2889" t="s">
        <v>32</v>
      </c>
      <c r="AE2889" t="s">
        <v>32627</v>
      </c>
      <c r="AF2889" t="s">
        <v>46835</v>
      </c>
    </row>
    <row r="2890" spans="1:32" x14ac:dyDescent="0.2">
      <c r="A2890">
        <v>2885</v>
      </c>
      <c r="B2890" t="s">
        <v>32628</v>
      </c>
      <c r="C2890" t="s">
        <v>32629</v>
      </c>
      <c r="D2890" t="s">
        <v>32630</v>
      </c>
      <c r="E2890" t="s">
        <v>32631</v>
      </c>
      <c r="F2890" t="s">
        <v>32632</v>
      </c>
      <c r="G2890" t="s">
        <v>32</v>
      </c>
      <c r="H2890" t="str">
        <f>"Nhp2"</f>
        <v>Nhp2</v>
      </c>
      <c r="I2890" t="s">
        <v>32633</v>
      </c>
      <c r="J2890" t="s">
        <v>37</v>
      </c>
      <c r="K2890">
        <v>10090</v>
      </c>
      <c r="L2890" s="3" t="str">
        <f>HYPERLINK("http://www.uniprot.org/uniprot/Q9CRB2", "Q9CRB2")</f>
        <v>Q9CRB2</v>
      </c>
      <c r="M2890" t="s">
        <v>32634</v>
      </c>
      <c r="N2890" t="str">
        <f>"Nhp2"</f>
        <v>Nhp2</v>
      </c>
      <c r="O2890" s="3" t="str">
        <f>HYPERLINK("http://www.informatics.jax.org/marker/MGI:1098547", "MGI:1098547")</f>
        <v>MGI:1098547</v>
      </c>
      <c r="P2890" t="s">
        <v>32635</v>
      </c>
      <c r="Q2890" t="s">
        <v>13781</v>
      </c>
      <c r="R2890" t="s">
        <v>2279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1129</v>
      </c>
      <c r="Y2890" t="s">
        <v>1007</v>
      </c>
      <c r="Z2890" t="s">
        <v>32</v>
      </c>
      <c r="AA2890" t="s">
        <v>32636</v>
      </c>
      <c r="AB2890" t="s">
        <v>32637</v>
      </c>
      <c r="AC2890" t="s">
        <v>32638</v>
      </c>
      <c r="AD2890" t="s">
        <v>32</v>
      </c>
      <c r="AE2890" t="s">
        <v>13786</v>
      </c>
      <c r="AF2890" t="s">
        <v>46835</v>
      </c>
    </row>
    <row r="2891" spans="1:32" x14ac:dyDescent="0.2">
      <c r="A2891">
        <v>2886</v>
      </c>
      <c r="B2891" t="s">
        <v>32639</v>
      </c>
      <c r="C2891" t="s">
        <v>32640</v>
      </c>
      <c r="D2891" t="s">
        <v>32641</v>
      </c>
      <c r="E2891" t="s">
        <v>32642</v>
      </c>
      <c r="F2891" t="s">
        <v>32643</v>
      </c>
      <c r="G2891" t="s">
        <v>32644</v>
      </c>
      <c r="H2891" t="str">
        <f>"Mad2l1"</f>
        <v>Mad2l1</v>
      </c>
      <c r="I2891" t="s">
        <v>32645</v>
      </c>
      <c r="J2891" t="s">
        <v>37</v>
      </c>
      <c r="K2891">
        <v>10090</v>
      </c>
      <c r="L2891" s="3" t="str">
        <f>HYPERLINK("http://www.uniprot.org/uniprot/Q9Z1B5", "Q9Z1B5")</f>
        <v>Q9Z1B5</v>
      </c>
      <c r="M2891" t="s">
        <v>32646</v>
      </c>
      <c r="N2891" t="str">
        <f>"Mad2l1"</f>
        <v>Mad2l1</v>
      </c>
      <c r="O2891" s="3" t="str">
        <f>HYPERLINK("http://www.informatics.jax.org/marker/MGI:1860374", "MGI:1860374")</f>
        <v>MGI:1860374</v>
      </c>
      <c r="P2891" t="s">
        <v>32647</v>
      </c>
      <c r="Q2891" t="s">
        <v>2968</v>
      </c>
      <c r="R2891" t="s">
        <v>9238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32</v>
      </c>
      <c r="Y2891" t="s">
        <v>157</v>
      </c>
      <c r="Z2891" t="s">
        <v>32</v>
      </c>
      <c r="AA2891" t="s">
        <v>32648</v>
      </c>
      <c r="AB2891" t="s">
        <v>32649</v>
      </c>
      <c r="AC2891" t="s">
        <v>32650</v>
      </c>
      <c r="AD2891" t="s">
        <v>32</v>
      </c>
      <c r="AE2891" t="s">
        <v>32651</v>
      </c>
      <c r="AF2891" t="s">
        <v>46835</v>
      </c>
    </row>
    <row r="2892" spans="1:32" x14ac:dyDescent="0.2">
      <c r="A2892">
        <v>2887</v>
      </c>
      <c r="B2892" t="s">
        <v>32652</v>
      </c>
      <c r="C2892" t="s">
        <v>32653</v>
      </c>
      <c r="D2892" t="s">
        <v>32654</v>
      </c>
      <c r="E2892" t="s">
        <v>32655</v>
      </c>
      <c r="F2892" t="s">
        <v>32656</v>
      </c>
      <c r="G2892" t="s">
        <v>32657</v>
      </c>
      <c r="H2892" t="str">
        <f>"Podxl"</f>
        <v>Podxl</v>
      </c>
      <c r="I2892" t="s">
        <v>32658</v>
      </c>
      <c r="J2892" t="s">
        <v>37</v>
      </c>
      <c r="K2892">
        <v>10090</v>
      </c>
      <c r="L2892" s="3" t="str">
        <f>HYPERLINK("http://www.uniprot.org/uniprot/Q9R0M4", "Q9R0M4")</f>
        <v>Q9R0M4</v>
      </c>
      <c r="M2892" t="s">
        <v>32659</v>
      </c>
      <c r="N2892" t="str">
        <f>"Podxl"</f>
        <v>Podxl</v>
      </c>
      <c r="O2892" s="3" t="str">
        <f>HYPERLINK("http://www.informatics.jax.org/marker/MGI:1351317", "MGI:1351317")</f>
        <v>MGI:1351317</v>
      </c>
      <c r="P2892" t="s">
        <v>32660</v>
      </c>
      <c r="Q2892" t="s">
        <v>2784</v>
      </c>
      <c r="R2892" t="s">
        <v>2943</v>
      </c>
      <c r="S2892" t="s">
        <v>32</v>
      </c>
      <c r="T2892" t="s">
        <v>32</v>
      </c>
      <c r="U2892" t="s">
        <v>32</v>
      </c>
      <c r="V2892" t="s">
        <v>3948</v>
      </c>
      <c r="W2892" t="s">
        <v>32</v>
      </c>
      <c r="X2892" t="s">
        <v>32</v>
      </c>
      <c r="Y2892" t="s">
        <v>4720</v>
      </c>
      <c r="Z2892" t="s">
        <v>32</v>
      </c>
      <c r="AA2892" t="s">
        <v>32661</v>
      </c>
      <c r="AB2892" t="s">
        <v>32662</v>
      </c>
      <c r="AC2892" t="s">
        <v>32</v>
      </c>
      <c r="AD2892" t="s">
        <v>32</v>
      </c>
      <c r="AE2892" t="s">
        <v>32</v>
      </c>
      <c r="AF2892" t="s">
        <v>46835</v>
      </c>
    </row>
    <row r="2893" spans="1:32" x14ac:dyDescent="0.2">
      <c r="A2893">
        <v>2888</v>
      </c>
      <c r="B2893" t="s">
        <v>32663</v>
      </c>
      <c r="C2893" t="s">
        <v>32664</v>
      </c>
      <c r="D2893" t="s">
        <v>32</v>
      </c>
      <c r="E2893" t="s">
        <v>32665</v>
      </c>
      <c r="F2893" t="s">
        <v>32666</v>
      </c>
      <c r="G2893" t="s">
        <v>32667</v>
      </c>
      <c r="H2893" t="str">
        <f>"Hgh1"</f>
        <v>Hgh1</v>
      </c>
      <c r="I2893" t="s">
        <v>32668</v>
      </c>
      <c r="J2893" t="s">
        <v>37</v>
      </c>
      <c r="K2893">
        <v>10090</v>
      </c>
      <c r="L2893" s="3" t="str">
        <f>HYPERLINK("http://www.uniprot.org/uniprot/Q8C3I8", "Q8C3I8")</f>
        <v>Q8C3I8</v>
      </c>
      <c r="M2893" t="s">
        <v>32669</v>
      </c>
      <c r="N2893" t="str">
        <f>"Hgh1"</f>
        <v>Hgh1</v>
      </c>
      <c r="O2893" s="3" t="str">
        <f>HYPERLINK("http://www.informatics.jax.org/marker/MGI:1930628", "MGI:1930628")</f>
        <v>MGI:1930628</v>
      </c>
      <c r="P2893" t="s">
        <v>618</v>
      </c>
      <c r="Q2893" t="s">
        <v>32</v>
      </c>
      <c r="R2893" t="s">
        <v>32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32</v>
      </c>
      <c r="Y2893" t="s">
        <v>618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t="s">
        <v>46835</v>
      </c>
    </row>
    <row r="2894" spans="1:32" x14ac:dyDescent="0.2">
      <c r="A2894">
        <v>2889</v>
      </c>
      <c r="B2894" t="s">
        <v>32670</v>
      </c>
      <c r="C2894" t="s">
        <v>32671</v>
      </c>
      <c r="D2894" t="s">
        <v>32672</v>
      </c>
      <c r="E2894" t="s">
        <v>32673</v>
      </c>
      <c r="F2894" t="s">
        <v>32674</v>
      </c>
      <c r="G2894" t="s">
        <v>32675</v>
      </c>
      <c r="H2894" t="str">
        <f>"Aktip"</f>
        <v>Aktip</v>
      </c>
      <c r="I2894" t="s">
        <v>32676</v>
      </c>
      <c r="J2894" t="s">
        <v>37</v>
      </c>
      <c r="K2894">
        <v>10090</v>
      </c>
      <c r="L2894" s="3" t="str">
        <f>HYPERLINK("http://www.uniprot.org/uniprot/Q64362", "Q64362")</f>
        <v>Q64362</v>
      </c>
      <c r="M2894" t="s">
        <v>32677</v>
      </c>
      <c r="N2894" t="str">
        <f>"Aktip"</f>
        <v>Aktip</v>
      </c>
      <c r="O2894" s="3" t="str">
        <f>HYPERLINK("http://www.informatics.jax.org/marker/MGI:3693832", "MGI:3693832")</f>
        <v>MGI:3693832</v>
      </c>
      <c r="P2894" t="s">
        <v>32678</v>
      </c>
      <c r="Q2894" t="s">
        <v>5895</v>
      </c>
      <c r="R2894" t="s">
        <v>222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32</v>
      </c>
      <c r="Y2894" t="s">
        <v>618</v>
      </c>
      <c r="Z2894" t="s">
        <v>32</v>
      </c>
      <c r="AA2894" t="s">
        <v>32679</v>
      </c>
      <c r="AB2894" t="s">
        <v>32680</v>
      </c>
      <c r="AC2894" t="s">
        <v>32681</v>
      </c>
      <c r="AD2894" t="s">
        <v>32</v>
      </c>
      <c r="AE2894" t="s">
        <v>32</v>
      </c>
      <c r="AF2894" t="s">
        <v>46835</v>
      </c>
    </row>
    <row r="2895" spans="1:32" x14ac:dyDescent="0.2">
      <c r="A2895">
        <v>2890</v>
      </c>
      <c r="B2895" t="s">
        <v>32682</v>
      </c>
      <c r="C2895" t="s">
        <v>32683</v>
      </c>
      <c r="D2895" t="s">
        <v>32</v>
      </c>
      <c r="E2895" t="s">
        <v>32684</v>
      </c>
      <c r="F2895" t="s">
        <v>32685</v>
      </c>
      <c r="G2895" t="s">
        <v>32686</v>
      </c>
      <c r="H2895" t="str">
        <f>"Scly"</f>
        <v>Scly</v>
      </c>
      <c r="I2895" t="s">
        <v>32687</v>
      </c>
      <c r="J2895" t="s">
        <v>37</v>
      </c>
      <c r="K2895">
        <v>10090</v>
      </c>
      <c r="L2895" s="3" t="str">
        <f>HYPERLINK("http://www.uniprot.org/uniprot/Q9JLI6", "Q9JLI6")</f>
        <v>Q9JLI6</v>
      </c>
      <c r="M2895" t="s">
        <v>32688</v>
      </c>
      <c r="N2895" t="str">
        <f>"Scly"</f>
        <v>Scly</v>
      </c>
      <c r="O2895" s="3" t="str">
        <f>HYPERLINK("http://www.informatics.jax.org/marker/MGI:1355310", "MGI:1355310")</f>
        <v>MGI:1355310</v>
      </c>
      <c r="P2895" t="s">
        <v>32689</v>
      </c>
      <c r="Q2895" t="s">
        <v>32</v>
      </c>
      <c r="R2895" t="s">
        <v>418</v>
      </c>
      <c r="S2895" t="s">
        <v>41</v>
      </c>
      <c r="T2895" t="s">
        <v>32</v>
      </c>
      <c r="U2895" t="s">
        <v>32</v>
      </c>
      <c r="V2895" t="s">
        <v>32</v>
      </c>
      <c r="W2895" t="s">
        <v>3373</v>
      </c>
      <c r="X2895" t="s">
        <v>32690</v>
      </c>
      <c r="Y2895" t="s">
        <v>157</v>
      </c>
      <c r="Z2895" t="s">
        <v>32</v>
      </c>
      <c r="AA2895" t="s">
        <v>32691</v>
      </c>
      <c r="AB2895" t="s">
        <v>32692</v>
      </c>
      <c r="AC2895" t="s">
        <v>32693</v>
      </c>
      <c r="AD2895" t="s">
        <v>32</v>
      </c>
      <c r="AE2895" t="s">
        <v>32694</v>
      </c>
      <c r="AF2895" t="s">
        <v>46835</v>
      </c>
    </row>
    <row r="2896" spans="1:32" x14ac:dyDescent="0.2">
      <c r="A2896">
        <v>2891</v>
      </c>
      <c r="B2896" t="s">
        <v>32695</v>
      </c>
      <c r="C2896" t="s">
        <v>32696</v>
      </c>
      <c r="D2896" t="s">
        <v>32</v>
      </c>
      <c r="E2896" t="s">
        <v>32697</v>
      </c>
      <c r="F2896" t="s">
        <v>32698</v>
      </c>
      <c r="G2896" t="s">
        <v>32699</v>
      </c>
      <c r="H2896" t="str">
        <f>"Fam91a1"</f>
        <v>Fam91a1</v>
      </c>
      <c r="I2896" t="s">
        <v>32700</v>
      </c>
      <c r="J2896" t="s">
        <v>37</v>
      </c>
      <c r="K2896">
        <v>10090</v>
      </c>
      <c r="L2896" s="3" t="str">
        <f>HYPERLINK("http://www.uniprot.org/uniprot/Q3UVG3", "Q3UVG3")</f>
        <v>Q3UVG3</v>
      </c>
      <c r="M2896" t="s">
        <v>32701</v>
      </c>
      <c r="N2896" t="str">
        <f>"Fam91a1"</f>
        <v>Fam91a1</v>
      </c>
      <c r="O2896" s="3" t="str">
        <f>HYPERLINK("http://www.informatics.jax.org/marker/MGI:1277178", "MGI:1277178")</f>
        <v>MGI:1277178</v>
      </c>
      <c r="P2896" t="s">
        <v>32702</v>
      </c>
      <c r="Q2896" t="s">
        <v>32</v>
      </c>
      <c r="R2896" t="s">
        <v>32703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32</v>
      </c>
      <c r="Y2896" t="s">
        <v>618</v>
      </c>
      <c r="Z2896" t="s">
        <v>32</v>
      </c>
      <c r="AA2896" t="s">
        <v>32704</v>
      </c>
      <c r="AB2896" t="s">
        <v>32705</v>
      </c>
      <c r="AC2896" t="s">
        <v>32</v>
      </c>
      <c r="AD2896" t="s">
        <v>32</v>
      </c>
      <c r="AE2896" t="s">
        <v>4969</v>
      </c>
      <c r="AF2896" t="s">
        <v>46835</v>
      </c>
    </row>
    <row r="2897" spans="1:33" x14ac:dyDescent="0.2">
      <c r="A2897">
        <v>2892</v>
      </c>
      <c r="B2897" t="s">
        <v>32706</v>
      </c>
      <c r="C2897" t="s">
        <v>32707</v>
      </c>
      <c r="D2897" t="s">
        <v>32708</v>
      </c>
      <c r="E2897" t="s">
        <v>32709</v>
      </c>
      <c r="F2897" t="s">
        <v>32710</v>
      </c>
      <c r="G2897" t="s">
        <v>32711</v>
      </c>
      <c r="H2897" t="str">
        <f>"Slc9a3r1"</f>
        <v>Slc9a3r1</v>
      </c>
      <c r="I2897" t="s">
        <v>32712</v>
      </c>
      <c r="J2897" t="s">
        <v>37</v>
      </c>
      <c r="K2897">
        <v>10090</v>
      </c>
      <c r="L2897" s="3" t="str">
        <f>HYPERLINK("http://www.uniprot.org/uniprot/P70441", "P70441")</f>
        <v>P70441</v>
      </c>
      <c r="M2897" t="s">
        <v>32713</v>
      </c>
      <c r="N2897" t="str">
        <f>"Slc9a3r1"</f>
        <v>Slc9a3r1</v>
      </c>
      <c r="O2897" s="3" t="str">
        <f>HYPERLINK("http://www.informatics.jax.org/marker/MGI:1349482", "MGI:1349482")</f>
        <v>MGI:1349482</v>
      </c>
      <c r="P2897" t="s">
        <v>32714</v>
      </c>
      <c r="Q2897" t="s">
        <v>3043</v>
      </c>
      <c r="R2897" t="s">
        <v>10902</v>
      </c>
      <c r="S2897" t="s">
        <v>41</v>
      </c>
      <c r="T2897" t="s">
        <v>32</v>
      </c>
      <c r="U2897" t="s">
        <v>32</v>
      </c>
      <c r="V2897" t="s">
        <v>55</v>
      </c>
      <c r="W2897" t="s">
        <v>32</v>
      </c>
      <c r="X2897" t="s">
        <v>32</v>
      </c>
      <c r="Y2897" t="s">
        <v>157</v>
      </c>
      <c r="Z2897" t="s">
        <v>32</v>
      </c>
      <c r="AA2897" t="s">
        <v>32715</v>
      </c>
      <c r="AB2897" t="s">
        <v>32716</v>
      </c>
      <c r="AC2897" t="s">
        <v>32717</v>
      </c>
      <c r="AD2897" t="s">
        <v>32</v>
      </c>
      <c r="AE2897" t="s">
        <v>32</v>
      </c>
      <c r="AF2897" t="s">
        <v>46835</v>
      </c>
    </row>
    <row r="2898" spans="1:33" x14ac:dyDescent="0.2">
      <c r="A2898">
        <v>2893</v>
      </c>
      <c r="B2898" t="s">
        <v>32718</v>
      </c>
      <c r="C2898" t="s">
        <v>32719</v>
      </c>
      <c r="D2898" t="s">
        <v>32</v>
      </c>
      <c r="E2898" t="s">
        <v>32720</v>
      </c>
      <c r="F2898" t="s">
        <v>32721</v>
      </c>
      <c r="G2898" t="s">
        <v>32722</v>
      </c>
      <c r="H2898" t="str">
        <f>"Crbn"</f>
        <v>Crbn</v>
      </c>
      <c r="I2898" t="s">
        <v>32</v>
      </c>
      <c r="J2898" t="s">
        <v>37</v>
      </c>
      <c r="K2898">
        <v>10090</v>
      </c>
      <c r="L2898" s="3" t="str">
        <f>HYPERLINK("http://www.uniprot.org/uniprot/Q8C7D2", "Q8C7D2")</f>
        <v>Q8C7D2</v>
      </c>
      <c r="M2898" t="s">
        <v>32723</v>
      </c>
      <c r="N2898" t="str">
        <f>"Crbn"</f>
        <v>Crbn</v>
      </c>
      <c r="O2898" s="3" t="str">
        <f>HYPERLINK("http://www.informatics.jax.org/marker/MGI:1913277", "MGI:1913277")</f>
        <v>MGI:1913277</v>
      </c>
      <c r="P2898" t="s">
        <v>32724</v>
      </c>
      <c r="Q2898" t="s">
        <v>1020</v>
      </c>
      <c r="R2898" t="s">
        <v>5943</v>
      </c>
      <c r="S2898" t="s">
        <v>41</v>
      </c>
      <c r="T2898" t="s">
        <v>32</v>
      </c>
      <c r="U2898" t="s">
        <v>32</v>
      </c>
      <c r="V2898" t="s">
        <v>32</v>
      </c>
      <c r="W2898" t="s">
        <v>42</v>
      </c>
      <c r="X2898" t="s">
        <v>32</v>
      </c>
      <c r="Y2898" t="s">
        <v>2836</v>
      </c>
      <c r="Z2898" t="s">
        <v>126</v>
      </c>
      <c r="AA2898" t="s">
        <v>32725</v>
      </c>
      <c r="AB2898" t="s">
        <v>32726</v>
      </c>
      <c r="AC2898" t="s">
        <v>14710</v>
      </c>
      <c r="AD2898" t="s">
        <v>1027</v>
      </c>
      <c r="AE2898" t="s">
        <v>32</v>
      </c>
      <c r="AF2898" t="s">
        <v>46835</v>
      </c>
    </row>
    <row r="2899" spans="1:33" x14ac:dyDescent="0.2">
      <c r="A2899">
        <v>2894</v>
      </c>
      <c r="B2899" t="s">
        <v>32727</v>
      </c>
      <c r="C2899" t="s">
        <v>47142</v>
      </c>
      <c r="D2899" t="s">
        <v>32</v>
      </c>
      <c r="E2899" t="s">
        <v>46998</v>
      </c>
      <c r="F2899" t="s">
        <v>46997</v>
      </c>
      <c r="G2899" t="s">
        <v>32</v>
      </c>
      <c r="H2899" t="s">
        <v>47273</v>
      </c>
      <c r="I2899" t="s">
        <v>32</v>
      </c>
      <c r="J2899" t="s">
        <v>37</v>
      </c>
      <c r="K2899">
        <v>10090</v>
      </c>
      <c r="L2899" s="3" t="str">
        <f>HYPERLINK(CONCATENATE("https://www.uniprot.org/uniprotkb/", AG2899, "/entry"), AG2899)</f>
        <v>Q7TNL5</v>
      </c>
      <c r="M2899" t="s">
        <v>32</v>
      </c>
      <c r="N2899" t="s">
        <v>32</v>
      </c>
      <c r="O2899" s="3" t="s">
        <v>32</v>
      </c>
      <c r="P2899" t="s">
        <v>32</v>
      </c>
      <c r="Q2899" t="s">
        <v>32</v>
      </c>
      <c r="R2899" t="s">
        <v>32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32</v>
      </c>
      <c r="Y2899" t="s">
        <v>32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  <c r="AE2899" t="s">
        <v>32</v>
      </c>
      <c r="AF2899" t="s">
        <v>46835</v>
      </c>
      <c r="AG2899" t="s">
        <v>46997</v>
      </c>
    </row>
    <row r="2900" spans="1:33" x14ac:dyDescent="0.2">
      <c r="A2900">
        <v>2895</v>
      </c>
      <c r="B2900" t="s">
        <v>32728</v>
      </c>
      <c r="C2900" t="s">
        <v>32729</v>
      </c>
      <c r="D2900" t="s">
        <v>32730</v>
      </c>
      <c r="E2900" t="s">
        <v>32731</v>
      </c>
      <c r="F2900" t="s">
        <v>32732</v>
      </c>
      <c r="G2900" t="s">
        <v>32733</v>
      </c>
      <c r="H2900" t="str">
        <f>"Appl1"</f>
        <v>Appl1</v>
      </c>
      <c r="I2900" t="s">
        <v>32</v>
      </c>
      <c r="J2900" t="s">
        <v>37</v>
      </c>
      <c r="K2900">
        <v>10090</v>
      </c>
      <c r="L2900" s="3" t="str">
        <f>HYPERLINK("http://www.uniprot.org/uniprot/Q8K3H0", "Q8K3H0")</f>
        <v>Q8K3H0</v>
      </c>
      <c r="M2900" t="s">
        <v>32734</v>
      </c>
      <c r="N2900" t="str">
        <f>"Appl1"</f>
        <v>Appl1</v>
      </c>
      <c r="O2900" s="3" t="str">
        <f>HYPERLINK("http://www.informatics.jax.org/marker/MGI:1920243", "MGI:1920243")</f>
        <v>MGI:1920243</v>
      </c>
      <c r="P2900" t="s">
        <v>32735</v>
      </c>
      <c r="Q2900" t="s">
        <v>9824</v>
      </c>
      <c r="R2900" t="s">
        <v>32736</v>
      </c>
      <c r="S2900" t="s">
        <v>32</v>
      </c>
      <c r="T2900" t="s">
        <v>32</v>
      </c>
      <c r="U2900" t="s">
        <v>32</v>
      </c>
      <c r="V2900" t="s">
        <v>290</v>
      </c>
      <c r="W2900" t="s">
        <v>32</v>
      </c>
      <c r="X2900" t="s">
        <v>32</v>
      </c>
      <c r="Y2900" t="s">
        <v>618</v>
      </c>
      <c r="Z2900" t="s">
        <v>32</v>
      </c>
      <c r="AA2900" t="s">
        <v>32737</v>
      </c>
      <c r="AB2900" t="s">
        <v>32738</v>
      </c>
      <c r="AC2900" t="s">
        <v>32739</v>
      </c>
      <c r="AD2900" t="s">
        <v>32</v>
      </c>
      <c r="AE2900" t="s">
        <v>32740</v>
      </c>
      <c r="AF2900" t="s">
        <v>46835</v>
      </c>
    </row>
    <row r="2901" spans="1:33" x14ac:dyDescent="0.2">
      <c r="A2901">
        <v>2896</v>
      </c>
      <c r="B2901" t="s">
        <v>32741</v>
      </c>
      <c r="C2901" t="s">
        <v>32742</v>
      </c>
      <c r="D2901" t="s">
        <v>32</v>
      </c>
      <c r="E2901" t="s">
        <v>32743</v>
      </c>
      <c r="F2901" t="s">
        <v>32744</v>
      </c>
      <c r="G2901" t="s">
        <v>32</v>
      </c>
      <c r="H2901" t="str">
        <f>"Phkb"</f>
        <v>Phkb</v>
      </c>
      <c r="I2901" t="s">
        <v>32</v>
      </c>
      <c r="J2901" t="s">
        <v>37</v>
      </c>
      <c r="K2901">
        <v>10090</v>
      </c>
      <c r="L2901" s="3" t="str">
        <f>HYPERLINK("http://www.uniprot.org/uniprot/Q7TSH2", "Q7TSH2")</f>
        <v>Q7TSH2</v>
      </c>
      <c r="M2901" t="s">
        <v>32745</v>
      </c>
      <c r="N2901" t="str">
        <f>"Phkb"</f>
        <v>Phkb</v>
      </c>
      <c r="O2901" s="3" t="str">
        <f>HYPERLINK("http://www.informatics.jax.org/marker/MGI:97578", "MGI:97578")</f>
        <v>MGI:97578</v>
      </c>
      <c r="P2901" t="s">
        <v>32746</v>
      </c>
      <c r="Q2901" t="s">
        <v>1718</v>
      </c>
      <c r="R2901" t="s">
        <v>2474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1926</v>
      </c>
      <c r="Y2901" t="s">
        <v>17897</v>
      </c>
      <c r="Z2901" t="s">
        <v>32</v>
      </c>
      <c r="AA2901" t="s">
        <v>32747</v>
      </c>
      <c r="AB2901" t="s">
        <v>32748</v>
      </c>
      <c r="AC2901" t="s">
        <v>32749</v>
      </c>
      <c r="AD2901" t="s">
        <v>32750</v>
      </c>
      <c r="AE2901" t="s">
        <v>1724</v>
      </c>
      <c r="AF2901" t="s">
        <v>46835</v>
      </c>
    </row>
    <row r="2902" spans="1:33" x14ac:dyDescent="0.2">
      <c r="A2902">
        <v>2897</v>
      </c>
      <c r="B2902" t="s">
        <v>32751</v>
      </c>
      <c r="C2902" t="s">
        <v>32752</v>
      </c>
      <c r="D2902" t="s">
        <v>32753</v>
      </c>
      <c r="E2902" t="s">
        <v>32754</v>
      </c>
      <c r="F2902" t="s">
        <v>32755</v>
      </c>
      <c r="G2902" t="s">
        <v>32756</v>
      </c>
      <c r="H2902" t="str">
        <f>"Cfap20"</f>
        <v>Cfap20</v>
      </c>
      <c r="I2902" t="s">
        <v>32757</v>
      </c>
      <c r="J2902" t="s">
        <v>37</v>
      </c>
      <c r="K2902">
        <v>10090</v>
      </c>
      <c r="L2902" s="3" t="str">
        <f>HYPERLINK("http://www.uniprot.org/uniprot/Q8BTU1", "Q8BTU1")</f>
        <v>Q8BTU1</v>
      </c>
      <c r="M2902" t="s">
        <v>32758</v>
      </c>
      <c r="N2902" t="str">
        <f>"Cfap20"</f>
        <v>Cfap20</v>
      </c>
      <c r="O2902" s="3" t="str">
        <f>HYPERLINK("http://www.informatics.jax.org/marker/MGI:107428", "MGI:107428")</f>
        <v>MGI:107428</v>
      </c>
      <c r="P2902" t="s">
        <v>32759</v>
      </c>
      <c r="Q2902" t="s">
        <v>32</v>
      </c>
      <c r="R2902" t="s">
        <v>32760</v>
      </c>
      <c r="S2902" t="s">
        <v>41</v>
      </c>
      <c r="T2902" t="s">
        <v>32</v>
      </c>
      <c r="U2902" t="s">
        <v>32</v>
      </c>
      <c r="V2902" t="s">
        <v>32</v>
      </c>
      <c r="W2902" t="s">
        <v>32</v>
      </c>
      <c r="X2902" t="s">
        <v>32</v>
      </c>
      <c r="Y2902" t="s">
        <v>32</v>
      </c>
      <c r="Z2902" t="s">
        <v>32</v>
      </c>
      <c r="AA2902" t="s">
        <v>32761</v>
      </c>
      <c r="AB2902" t="s">
        <v>32762</v>
      </c>
      <c r="AC2902" t="s">
        <v>32</v>
      </c>
      <c r="AD2902" t="s">
        <v>32</v>
      </c>
      <c r="AE2902" t="s">
        <v>32</v>
      </c>
      <c r="AF2902" t="s">
        <v>46835</v>
      </c>
    </row>
    <row r="2903" spans="1:33" x14ac:dyDescent="0.2">
      <c r="A2903">
        <v>2898</v>
      </c>
      <c r="B2903" t="s">
        <v>32763</v>
      </c>
      <c r="C2903" t="s">
        <v>32764</v>
      </c>
      <c r="D2903" t="s">
        <v>32765</v>
      </c>
      <c r="E2903" t="s">
        <v>32766</v>
      </c>
      <c r="F2903" t="s">
        <v>32767</v>
      </c>
      <c r="G2903" t="s">
        <v>32768</v>
      </c>
      <c r="H2903" t="str">
        <f>"Rfk"</f>
        <v>Rfk</v>
      </c>
      <c r="I2903" t="s">
        <v>32</v>
      </c>
      <c r="J2903" t="s">
        <v>37</v>
      </c>
      <c r="K2903">
        <v>10090</v>
      </c>
      <c r="L2903" s="3" t="str">
        <f>HYPERLINK("http://www.uniprot.org/uniprot/Q8CFV9", "Q8CFV9")</f>
        <v>Q8CFV9</v>
      </c>
      <c r="M2903" t="s">
        <v>32769</v>
      </c>
      <c r="N2903" t="str">
        <f>"Rfk"</f>
        <v>Rfk</v>
      </c>
      <c r="O2903" s="3" t="str">
        <f>HYPERLINK("http://www.informatics.jax.org/marker/MGI:1914688", "MGI:1914688")</f>
        <v>MGI:1914688</v>
      </c>
      <c r="P2903" t="s">
        <v>32770</v>
      </c>
      <c r="Q2903" t="s">
        <v>32</v>
      </c>
      <c r="R2903" t="s">
        <v>418</v>
      </c>
      <c r="S2903" t="s">
        <v>32</v>
      </c>
      <c r="T2903" t="s">
        <v>32</v>
      </c>
      <c r="U2903" t="s">
        <v>32</v>
      </c>
      <c r="V2903" t="s">
        <v>32</v>
      </c>
      <c r="W2903" t="s">
        <v>32771</v>
      </c>
      <c r="X2903" t="s">
        <v>419</v>
      </c>
      <c r="Y2903" t="s">
        <v>32</v>
      </c>
      <c r="Z2903" t="s">
        <v>32</v>
      </c>
      <c r="AA2903" t="s">
        <v>32772</v>
      </c>
      <c r="AB2903" t="s">
        <v>3721</v>
      </c>
      <c r="AC2903" t="s">
        <v>32773</v>
      </c>
      <c r="AD2903" t="s">
        <v>32774</v>
      </c>
      <c r="AE2903" t="s">
        <v>31348</v>
      </c>
      <c r="AF2903" t="s">
        <v>46835</v>
      </c>
    </row>
    <row r="2904" spans="1:33" x14ac:dyDescent="0.2">
      <c r="A2904">
        <v>2899</v>
      </c>
      <c r="B2904" t="s">
        <v>32775</v>
      </c>
      <c r="C2904" t="s">
        <v>32776</v>
      </c>
      <c r="D2904" t="s">
        <v>32777</v>
      </c>
      <c r="E2904" t="s">
        <v>32778</v>
      </c>
      <c r="F2904" t="s">
        <v>32779</v>
      </c>
      <c r="G2904" t="s">
        <v>32780</v>
      </c>
      <c r="H2904" t="str">
        <f>"Nck1"</f>
        <v>Nck1</v>
      </c>
      <c r="I2904" t="s">
        <v>32</v>
      </c>
      <c r="J2904" t="s">
        <v>37</v>
      </c>
      <c r="K2904">
        <v>10090</v>
      </c>
      <c r="L2904" s="3" t="str">
        <f>HYPERLINK("http://www.uniprot.org/uniprot/Q99M51", "Q99M51")</f>
        <v>Q99M51</v>
      </c>
      <c r="M2904" t="s">
        <v>32781</v>
      </c>
      <c r="N2904" t="str">
        <f>"Nck1"</f>
        <v>Nck1</v>
      </c>
      <c r="O2904" s="3" t="str">
        <f>HYPERLINK("http://www.informatics.jax.org/marker/MGI:109601", "MGI:109601")</f>
        <v>MGI:109601</v>
      </c>
      <c r="P2904" t="s">
        <v>32782</v>
      </c>
      <c r="Q2904" t="s">
        <v>1680</v>
      </c>
      <c r="R2904" t="s">
        <v>729</v>
      </c>
      <c r="S2904" t="s">
        <v>32</v>
      </c>
      <c r="T2904" t="s">
        <v>32</v>
      </c>
      <c r="U2904" t="s">
        <v>32</v>
      </c>
      <c r="V2904" t="s">
        <v>9656</v>
      </c>
      <c r="W2904" t="s">
        <v>32</v>
      </c>
      <c r="X2904" t="s">
        <v>32</v>
      </c>
      <c r="Y2904" t="s">
        <v>157</v>
      </c>
      <c r="Z2904" t="s">
        <v>32</v>
      </c>
      <c r="AA2904" t="s">
        <v>32783</v>
      </c>
      <c r="AB2904" t="s">
        <v>32784</v>
      </c>
      <c r="AC2904" t="s">
        <v>32785</v>
      </c>
      <c r="AD2904" t="s">
        <v>32</v>
      </c>
      <c r="AE2904" t="s">
        <v>32786</v>
      </c>
      <c r="AF2904" t="s">
        <v>46835</v>
      </c>
    </row>
    <row r="2905" spans="1:33" x14ac:dyDescent="0.2">
      <c r="A2905">
        <v>2900</v>
      </c>
      <c r="B2905" t="s">
        <v>32787</v>
      </c>
      <c r="C2905" t="s">
        <v>32788</v>
      </c>
      <c r="D2905" t="s">
        <v>32789</v>
      </c>
      <c r="E2905" t="s">
        <v>32790</v>
      </c>
      <c r="F2905" t="s">
        <v>32791</v>
      </c>
      <c r="G2905" t="s">
        <v>32792</v>
      </c>
      <c r="H2905" t="str">
        <f>"Zng1"</f>
        <v>Zng1</v>
      </c>
      <c r="I2905" t="s">
        <v>32793</v>
      </c>
      <c r="J2905" t="s">
        <v>37</v>
      </c>
      <c r="K2905">
        <v>10090</v>
      </c>
      <c r="L2905" s="3" t="str">
        <f>HYPERLINK("http://www.uniprot.org/uniprot/Q8VEH6", "Q8VEH6")</f>
        <v>Q8VEH6</v>
      </c>
      <c r="M2905" t="s">
        <v>32794</v>
      </c>
      <c r="N2905" t="str">
        <f>"Cbwd1"</f>
        <v>Cbwd1</v>
      </c>
      <c r="O2905" s="3" t="str">
        <f>HYPERLINK("http://www.informatics.jax.org/marker/MGI:2385089", "MGI:2385089")</f>
        <v>MGI:2385089</v>
      </c>
      <c r="P2905" t="s">
        <v>32795</v>
      </c>
      <c r="Q2905" t="s">
        <v>32</v>
      </c>
      <c r="R2905" t="s">
        <v>2279</v>
      </c>
      <c r="S2905" t="s">
        <v>41</v>
      </c>
      <c r="T2905" t="s">
        <v>32</v>
      </c>
      <c r="U2905" t="s">
        <v>32</v>
      </c>
      <c r="V2905" t="s">
        <v>32</v>
      </c>
      <c r="W2905" t="s">
        <v>32796</v>
      </c>
      <c r="X2905" t="s">
        <v>860</v>
      </c>
      <c r="Y2905" t="s">
        <v>32</v>
      </c>
      <c r="Z2905" t="s">
        <v>126</v>
      </c>
      <c r="AA2905" t="s">
        <v>32797</v>
      </c>
      <c r="AB2905" t="s">
        <v>110</v>
      </c>
      <c r="AC2905" t="s">
        <v>32798</v>
      </c>
      <c r="AD2905" t="s">
        <v>32</v>
      </c>
      <c r="AE2905" t="s">
        <v>32</v>
      </c>
      <c r="AF2905" t="s">
        <v>46835</v>
      </c>
    </row>
    <row r="2906" spans="1:33" x14ac:dyDescent="0.2">
      <c r="A2906">
        <v>2901</v>
      </c>
      <c r="B2906" t="s">
        <v>32799</v>
      </c>
      <c r="C2906" t="s">
        <v>32800</v>
      </c>
      <c r="D2906" t="s">
        <v>32</v>
      </c>
      <c r="E2906" t="s">
        <v>32801</v>
      </c>
      <c r="F2906" t="s">
        <v>32802</v>
      </c>
      <c r="G2906" t="s">
        <v>32803</v>
      </c>
      <c r="H2906" t="str">
        <f>"Sec63"</f>
        <v>Sec63</v>
      </c>
      <c r="I2906" t="s">
        <v>32804</v>
      </c>
      <c r="J2906" t="s">
        <v>37</v>
      </c>
      <c r="K2906">
        <v>10090</v>
      </c>
      <c r="L2906" s="3" t="str">
        <f>HYPERLINK("http://www.uniprot.org/uniprot/Q8VHE0", "Q8VHE0")</f>
        <v>Q8VHE0</v>
      </c>
      <c r="M2906" t="s">
        <v>32805</v>
      </c>
      <c r="N2906" t="str">
        <f>"Sec63"</f>
        <v>Sec63</v>
      </c>
      <c r="O2906" s="3" t="str">
        <f>HYPERLINK("http://www.informatics.jax.org/marker/MGI:2155302", "MGI:2155302")</f>
        <v>MGI:2155302</v>
      </c>
      <c r="P2906" t="s">
        <v>32806</v>
      </c>
      <c r="Q2906" t="s">
        <v>434</v>
      </c>
      <c r="R2906" t="s">
        <v>1664</v>
      </c>
      <c r="S2906" t="s">
        <v>32</v>
      </c>
      <c r="T2906" t="s">
        <v>32</v>
      </c>
      <c r="U2906" t="s">
        <v>32</v>
      </c>
      <c r="V2906" t="s">
        <v>14659</v>
      </c>
      <c r="W2906" t="s">
        <v>32</v>
      </c>
      <c r="X2906" t="s">
        <v>388</v>
      </c>
      <c r="Y2906" t="s">
        <v>618</v>
      </c>
      <c r="Z2906" t="s">
        <v>32</v>
      </c>
      <c r="AA2906" t="s">
        <v>32807</v>
      </c>
      <c r="AB2906" t="s">
        <v>32808</v>
      </c>
      <c r="AC2906" t="s">
        <v>29923</v>
      </c>
      <c r="AD2906" t="s">
        <v>32</v>
      </c>
      <c r="AE2906" t="s">
        <v>32</v>
      </c>
      <c r="AF2906" t="s">
        <v>46835</v>
      </c>
    </row>
    <row r="2907" spans="1:33" x14ac:dyDescent="0.2">
      <c r="A2907">
        <v>2902</v>
      </c>
      <c r="B2907" t="s">
        <v>32809</v>
      </c>
      <c r="C2907" t="s">
        <v>32810</v>
      </c>
      <c r="D2907" t="s">
        <v>32811</v>
      </c>
      <c r="E2907" t="s">
        <v>32812</v>
      </c>
      <c r="F2907" t="s">
        <v>32813</v>
      </c>
      <c r="G2907" t="s">
        <v>32814</v>
      </c>
      <c r="H2907" t="str">
        <f>"Kpna2"</f>
        <v>Kpna2</v>
      </c>
      <c r="I2907" t="s">
        <v>32815</v>
      </c>
      <c r="J2907" t="s">
        <v>37</v>
      </c>
      <c r="K2907">
        <v>10090</v>
      </c>
      <c r="L2907" s="3" t="str">
        <f>HYPERLINK("http://www.uniprot.org/uniprot/P52293", "P52293")</f>
        <v>P52293</v>
      </c>
      <c r="M2907" t="s">
        <v>32816</v>
      </c>
      <c r="N2907" t="str">
        <f>"Kpna2"</f>
        <v>Kpna2</v>
      </c>
      <c r="O2907" s="3" t="str">
        <f>HYPERLINK("http://www.informatics.jax.org/marker/MGI:103561", "MGI:103561")</f>
        <v>MGI:103561</v>
      </c>
      <c r="P2907" t="s">
        <v>32817</v>
      </c>
      <c r="Q2907" t="s">
        <v>434</v>
      </c>
      <c r="R2907" t="s">
        <v>40</v>
      </c>
      <c r="S2907" t="s">
        <v>32</v>
      </c>
      <c r="T2907" t="s">
        <v>32</v>
      </c>
      <c r="U2907" t="s">
        <v>32</v>
      </c>
      <c r="V2907" t="s">
        <v>55</v>
      </c>
      <c r="W2907" t="s">
        <v>32</v>
      </c>
      <c r="X2907" t="s">
        <v>32</v>
      </c>
      <c r="Y2907" t="s">
        <v>157</v>
      </c>
      <c r="Z2907" t="s">
        <v>126</v>
      </c>
      <c r="AA2907" t="s">
        <v>32818</v>
      </c>
      <c r="AB2907" t="s">
        <v>32819</v>
      </c>
      <c r="AC2907" t="s">
        <v>32820</v>
      </c>
      <c r="AD2907" t="s">
        <v>32</v>
      </c>
      <c r="AE2907" t="s">
        <v>32821</v>
      </c>
      <c r="AF2907" t="s">
        <v>46835</v>
      </c>
    </row>
    <row r="2908" spans="1:33" x14ac:dyDescent="0.2">
      <c r="A2908">
        <v>2903</v>
      </c>
      <c r="B2908" t="s">
        <v>32822</v>
      </c>
      <c r="C2908" t="s">
        <v>32823</v>
      </c>
      <c r="D2908" t="s">
        <v>32</v>
      </c>
      <c r="E2908" t="s">
        <v>32824</v>
      </c>
      <c r="F2908" t="s">
        <v>32825</v>
      </c>
      <c r="G2908" t="s">
        <v>32826</v>
      </c>
      <c r="H2908" t="str">
        <f>"Mien1"</f>
        <v>Mien1</v>
      </c>
      <c r="I2908" t="s">
        <v>32827</v>
      </c>
      <c r="J2908" t="s">
        <v>37</v>
      </c>
      <c r="K2908">
        <v>10090</v>
      </c>
      <c r="L2908" s="3" t="str">
        <f>HYPERLINK("http://www.uniprot.org/uniprot/Q9CQ86", "Q9CQ86")</f>
        <v>Q9CQ86</v>
      </c>
      <c r="M2908" t="s">
        <v>32828</v>
      </c>
      <c r="N2908" t="str">
        <f>"Mien1"</f>
        <v>Mien1</v>
      </c>
      <c r="O2908" s="3" t="str">
        <f>HYPERLINK("http://www.informatics.jax.org/marker/MGI:1913678", "MGI:1913678")</f>
        <v>MGI:1913678</v>
      </c>
      <c r="P2908" t="s">
        <v>32829</v>
      </c>
      <c r="Q2908" t="s">
        <v>541</v>
      </c>
      <c r="R2908" t="s">
        <v>222</v>
      </c>
      <c r="S2908" t="s">
        <v>32</v>
      </c>
      <c r="T2908" t="s">
        <v>32</v>
      </c>
      <c r="U2908" t="s">
        <v>32</v>
      </c>
      <c r="V2908" t="s">
        <v>1090</v>
      </c>
      <c r="W2908" t="s">
        <v>32</v>
      </c>
      <c r="X2908" t="s">
        <v>32</v>
      </c>
      <c r="Y2908" t="s">
        <v>32830</v>
      </c>
      <c r="Z2908" t="s">
        <v>32</v>
      </c>
      <c r="AA2908" t="s">
        <v>32831</v>
      </c>
      <c r="AB2908" t="s">
        <v>32832</v>
      </c>
      <c r="AC2908" t="s">
        <v>32</v>
      </c>
      <c r="AD2908" t="s">
        <v>32</v>
      </c>
      <c r="AE2908" t="s">
        <v>32</v>
      </c>
      <c r="AF2908" t="s">
        <v>46835</v>
      </c>
    </row>
    <row r="2909" spans="1:33" x14ac:dyDescent="0.2">
      <c r="A2909">
        <v>2904</v>
      </c>
      <c r="B2909" t="s">
        <v>32833</v>
      </c>
      <c r="C2909" t="s">
        <v>32834</v>
      </c>
      <c r="D2909" t="s">
        <v>32835</v>
      </c>
      <c r="E2909" t="s">
        <v>32836</v>
      </c>
      <c r="F2909" t="s">
        <v>32837</v>
      </c>
      <c r="G2909" t="s">
        <v>32838</v>
      </c>
      <c r="H2909" t="str">
        <f>"Usp48"</f>
        <v>Usp48</v>
      </c>
      <c r="I2909" t="s">
        <v>32839</v>
      </c>
      <c r="J2909" t="s">
        <v>37</v>
      </c>
      <c r="K2909">
        <v>10090</v>
      </c>
      <c r="L2909" s="3" t="str">
        <f>HYPERLINK("http://www.uniprot.org/uniprot/Q3V0C5", "Q3V0C5")</f>
        <v>Q3V0C5</v>
      </c>
      <c r="M2909" t="s">
        <v>32840</v>
      </c>
      <c r="N2909" t="str">
        <f>"Usp48"</f>
        <v>Usp48</v>
      </c>
      <c r="O2909" s="3" t="str">
        <f>HYPERLINK("http://www.informatics.jax.org/marker/MGI:2158502", "MGI:2158502")</f>
        <v>MGI:2158502</v>
      </c>
      <c r="P2909" t="s">
        <v>32841</v>
      </c>
      <c r="Q2909" t="s">
        <v>1020</v>
      </c>
      <c r="R2909" t="s">
        <v>40</v>
      </c>
      <c r="S2909" t="s">
        <v>41</v>
      </c>
      <c r="T2909" t="s">
        <v>32</v>
      </c>
      <c r="U2909" t="s">
        <v>32</v>
      </c>
      <c r="V2909" t="s">
        <v>55</v>
      </c>
      <c r="W2909" t="s">
        <v>32</v>
      </c>
      <c r="X2909" t="s">
        <v>557</v>
      </c>
      <c r="Y2909" t="s">
        <v>157</v>
      </c>
      <c r="Z2909" t="s">
        <v>32</v>
      </c>
      <c r="AA2909" t="s">
        <v>19781</v>
      </c>
      <c r="AB2909" t="s">
        <v>32842</v>
      </c>
      <c r="AC2909" t="s">
        <v>19782</v>
      </c>
      <c r="AD2909" t="s">
        <v>32</v>
      </c>
      <c r="AE2909" t="s">
        <v>6333</v>
      </c>
      <c r="AF2909" t="s">
        <v>46835</v>
      </c>
    </row>
    <row r="2910" spans="1:33" x14ac:dyDescent="0.2">
      <c r="A2910">
        <v>2905</v>
      </c>
      <c r="B2910" t="s">
        <v>32843</v>
      </c>
      <c r="C2910" t="s">
        <v>32844</v>
      </c>
      <c r="D2910" t="s">
        <v>32845</v>
      </c>
      <c r="E2910" t="s">
        <v>32846</v>
      </c>
      <c r="F2910" t="s">
        <v>32847</v>
      </c>
      <c r="G2910" t="s">
        <v>32848</v>
      </c>
      <c r="H2910" t="str">
        <f>"Vill"</f>
        <v>Vill</v>
      </c>
      <c r="I2910" t="s">
        <v>32</v>
      </c>
      <c r="J2910" t="s">
        <v>37</v>
      </c>
      <c r="K2910">
        <v>10090</v>
      </c>
      <c r="L2910" s="3" t="str">
        <f>HYPERLINK("http://www.uniprot.org/uniprot/Q91YD6", "Q91YD6")</f>
        <v>Q91YD6</v>
      </c>
      <c r="M2910" t="s">
        <v>32849</v>
      </c>
      <c r="N2910" t="str">
        <f>"Vill"</f>
        <v>Vill</v>
      </c>
      <c r="O2910" s="3" t="str">
        <f>HYPERLINK("http://www.informatics.jax.org/marker/MGI:1201781", "MGI:1201781")</f>
        <v>MGI:1201781</v>
      </c>
      <c r="P2910" t="s">
        <v>32850</v>
      </c>
      <c r="Q2910" t="s">
        <v>32</v>
      </c>
      <c r="R2910" t="s">
        <v>32</v>
      </c>
      <c r="S2910" t="s">
        <v>41</v>
      </c>
      <c r="T2910" t="s">
        <v>32</v>
      </c>
      <c r="U2910" t="s">
        <v>32</v>
      </c>
      <c r="V2910" t="s">
        <v>55</v>
      </c>
      <c r="W2910" t="s">
        <v>1380</v>
      </c>
      <c r="X2910" t="s">
        <v>479</v>
      </c>
      <c r="Y2910" t="s">
        <v>32</v>
      </c>
      <c r="Z2910" t="s">
        <v>32</v>
      </c>
      <c r="AA2910" t="s">
        <v>32851</v>
      </c>
      <c r="AB2910" t="s">
        <v>32852</v>
      </c>
      <c r="AC2910" t="s">
        <v>32853</v>
      </c>
      <c r="AD2910" t="s">
        <v>32</v>
      </c>
      <c r="AE2910" t="s">
        <v>32</v>
      </c>
      <c r="AF2910" t="s">
        <v>46835</v>
      </c>
    </row>
    <row r="2911" spans="1:33" x14ac:dyDescent="0.2">
      <c r="A2911">
        <v>2906</v>
      </c>
      <c r="B2911" t="s">
        <v>32854</v>
      </c>
      <c r="C2911" t="s">
        <v>32855</v>
      </c>
      <c r="D2911" t="s">
        <v>32856</v>
      </c>
      <c r="E2911" t="s">
        <v>32857</v>
      </c>
      <c r="F2911" t="s">
        <v>32858</v>
      </c>
      <c r="G2911" t="s">
        <v>32859</v>
      </c>
      <c r="H2911" t="str">
        <f>"Ddrgk1"</f>
        <v>Ddrgk1</v>
      </c>
      <c r="I2911" t="s">
        <v>32</v>
      </c>
      <c r="J2911" t="s">
        <v>37</v>
      </c>
      <c r="K2911">
        <v>10090</v>
      </c>
      <c r="L2911" s="3" t="str">
        <f>HYPERLINK("http://www.uniprot.org/uniprot/Q80WW9", "Q80WW9")</f>
        <v>Q80WW9</v>
      </c>
      <c r="M2911" t="s">
        <v>32860</v>
      </c>
      <c r="N2911" t="str">
        <f>"Ddrgk1"</f>
        <v>Ddrgk1</v>
      </c>
      <c r="O2911" s="3" t="str">
        <f>HYPERLINK("http://www.informatics.jax.org/marker/MGI:1924256", "MGI:1924256")</f>
        <v>MGI:1924256</v>
      </c>
      <c r="P2911" t="s">
        <v>32861</v>
      </c>
      <c r="Q2911" t="s">
        <v>1020</v>
      </c>
      <c r="R2911" t="s">
        <v>1664</v>
      </c>
      <c r="S2911" t="s">
        <v>32</v>
      </c>
      <c r="T2911" t="s">
        <v>32</v>
      </c>
      <c r="U2911" t="s">
        <v>32</v>
      </c>
      <c r="V2911" t="s">
        <v>811</v>
      </c>
      <c r="W2911" t="s">
        <v>32</v>
      </c>
      <c r="X2911" t="s">
        <v>32</v>
      </c>
      <c r="Y2911" t="s">
        <v>1007</v>
      </c>
      <c r="Z2911" t="s">
        <v>126</v>
      </c>
      <c r="AA2911" t="s">
        <v>32862</v>
      </c>
      <c r="AB2911" t="s">
        <v>32863</v>
      </c>
      <c r="AC2911" t="s">
        <v>32864</v>
      </c>
      <c r="AD2911" t="s">
        <v>32</v>
      </c>
      <c r="AE2911" t="s">
        <v>29726</v>
      </c>
      <c r="AF2911" t="s">
        <v>46835</v>
      </c>
    </row>
    <row r="2912" spans="1:33" x14ac:dyDescent="0.2">
      <c r="A2912">
        <v>2907</v>
      </c>
      <c r="B2912" t="s">
        <v>32865</v>
      </c>
      <c r="C2912" t="s">
        <v>32866</v>
      </c>
      <c r="D2912" t="s">
        <v>32867</v>
      </c>
      <c r="E2912" t="s">
        <v>32868</v>
      </c>
      <c r="F2912" t="s">
        <v>32869</v>
      </c>
      <c r="G2912" t="s">
        <v>32870</v>
      </c>
      <c r="H2912" t="str">
        <f>"Gkap1"</f>
        <v>Gkap1</v>
      </c>
      <c r="I2912" t="s">
        <v>32871</v>
      </c>
      <c r="J2912" t="s">
        <v>37</v>
      </c>
      <c r="K2912">
        <v>10090</v>
      </c>
      <c r="L2912" s="3" t="str">
        <f>HYPERLINK("http://www.uniprot.org/uniprot/Q9JMB0", "Q9JMB0")</f>
        <v>Q9JMB0</v>
      </c>
      <c r="M2912" t="s">
        <v>32872</v>
      </c>
      <c r="N2912" t="str">
        <f>"Gkap1"</f>
        <v>Gkap1</v>
      </c>
      <c r="O2912" s="3" t="str">
        <f>HYPERLINK("http://www.informatics.jax.org/marker/MGI:1891694", "MGI:1891694")</f>
        <v>MGI:1891694</v>
      </c>
      <c r="P2912" t="s">
        <v>32873</v>
      </c>
      <c r="Q2912" t="s">
        <v>32</v>
      </c>
      <c r="R2912" t="s">
        <v>12904</v>
      </c>
      <c r="S2912" t="s">
        <v>32</v>
      </c>
      <c r="T2912" t="s">
        <v>32</v>
      </c>
      <c r="U2912" t="s">
        <v>32</v>
      </c>
      <c r="V2912" t="s">
        <v>290</v>
      </c>
      <c r="W2912" t="s">
        <v>32</v>
      </c>
      <c r="X2912" t="s">
        <v>32</v>
      </c>
      <c r="Y2912" t="s">
        <v>618</v>
      </c>
      <c r="Z2912" t="s">
        <v>32</v>
      </c>
      <c r="AA2912" t="s">
        <v>32874</v>
      </c>
      <c r="AB2912" t="s">
        <v>32875</v>
      </c>
      <c r="AC2912" t="s">
        <v>4516</v>
      </c>
      <c r="AD2912" t="s">
        <v>32</v>
      </c>
      <c r="AE2912" t="s">
        <v>32</v>
      </c>
      <c r="AF2912" t="s">
        <v>46835</v>
      </c>
    </row>
    <row r="2913" spans="1:33" x14ac:dyDescent="0.2">
      <c r="A2913">
        <v>2908</v>
      </c>
      <c r="B2913" t="s">
        <v>32876</v>
      </c>
      <c r="C2913" t="s">
        <v>32877</v>
      </c>
      <c r="D2913" t="s">
        <v>32878</v>
      </c>
      <c r="E2913" t="s">
        <v>32879</v>
      </c>
      <c r="F2913" t="s">
        <v>32880</v>
      </c>
      <c r="G2913" t="s">
        <v>32881</v>
      </c>
      <c r="H2913" t="str">
        <f>"Pelp1"</f>
        <v>Pelp1</v>
      </c>
      <c r="I2913" t="s">
        <v>32882</v>
      </c>
      <c r="J2913" t="s">
        <v>37</v>
      </c>
      <c r="K2913">
        <v>10090</v>
      </c>
      <c r="L2913" s="3" t="str">
        <f>HYPERLINK("http://www.uniprot.org/uniprot/Q9DBD5", "Q9DBD5")</f>
        <v>Q9DBD5</v>
      </c>
      <c r="M2913" t="s">
        <v>32883</v>
      </c>
      <c r="N2913" t="str">
        <f>"Pelp1"</f>
        <v>Pelp1</v>
      </c>
      <c r="O2913" s="3" t="str">
        <f>HYPERLINK("http://www.informatics.jax.org/marker/MGI:1922523", "MGI:1922523")</f>
        <v>MGI:1922523</v>
      </c>
      <c r="P2913" t="s">
        <v>32884</v>
      </c>
      <c r="Q2913" t="s">
        <v>16415</v>
      </c>
      <c r="R2913" t="s">
        <v>40</v>
      </c>
      <c r="S2913" t="s">
        <v>32</v>
      </c>
      <c r="T2913" t="s">
        <v>32</v>
      </c>
      <c r="U2913" t="s">
        <v>32</v>
      </c>
      <c r="V2913" t="s">
        <v>55</v>
      </c>
      <c r="W2913" t="s">
        <v>32</v>
      </c>
      <c r="X2913" t="s">
        <v>6736</v>
      </c>
      <c r="Y2913" t="s">
        <v>1023</v>
      </c>
      <c r="Z2913" t="s">
        <v>32</v>
      </c>
      <c r="AA2913" t="s">
        <v>32885</v>
      </c>
      <c r="AB2913" t="s">
        <v>32886</v>
      </c>
      <c r="AC2913" t="s">
        <v>32887</v>
      </c>
      <c r="AD2913" t="s">
        <v>32</v>
      </c>
      <c r="AE2913" t="s">
        <v>960</v>
      </c>
      <c r="AF2913" t="s">
        <v>46835</v>
      </c>
    </row>
    <row r="2914" spans="1:33" x14ac:dyDescent="0.2">
      <c r="A2914">
        <v>2909</v>
      </c>
      <c r="B2914" t="s">
        <v>32888</v>
      </c>
      <c r="C2914" t="s">
        <v>32889</v>
      </c>
      <c r="D2914" t="s">
        <v>32890</v>
      </c>
      <c r="E2914" t="s">
        <v>32891</v>
      </c>
      <c r="F2914" t="s">
        <v>32892</v>
      </c>
      <c r="G2914" t="s">
        <v>32893</v>
      </c>
      <c r="H2914" t="str">
        <f>"Igkc"</f>
        <v>Igkc</v>
      </c>
      <c r="I2914" t="s">
        <v>32</v>
      </c>
      <c r="J2914" t="s">
        <v>37</v>
      </c>
      <c r="K2914">
        <v>10090</v>
      </c>
      <c r="L2914" s="3" t="str">
        <f>HYPERLINK("http://www.uniprot.org/uniprot/P01837", "P01837")</f>
        <v>P01837</v>
      </c>
      <c r="M2914" t="s">
        <v>32894</v>
      </c>
      <c r="N2914" t="str">
        <f>"Igkc"</f>
        <v>Igkc</v>
      </c>
      <c r="O2914" s="3" t="str">
        <f>HYPERLINK("http://www.informatics.jax.org/marker/MGI:96495", "MGI:96495")</f>
        <v>MGI:96495</v>
      </c>
      <c r="P2914" t="s">
        <v>32895</v>
      </c>
      <c r="Q2914" t="s">
        <v>32</v>
      </c>
      <c r="R2914" t="s">
        <v>32</v>
      </c>
      <c r="S2914" t="s">
        <v>32</v>
      </c>
      <c r="T2914" t="s">
        <v>32</v>
      </c>
      <c r="U2914" t="s">
        <v>32</v>
      </c>
      <c r="V2914" t="s">
        <v>32896</v>
      </c>
      <c r="W2914" t="s">
        <v>32</v>
      </c>
      <c r="X2914" t="s">
        <v>32</v>
      </c>
      <c r="Y2914" t="s">
        <v>494</v>
      </c>
      <c r="Z2914" t="s">
        <v>126</v>
      </c>
      <c r="AA2914" t="s">
        <v>32897</v>
      </c>
      <c r="AB2914" t="s">
        <v>32898</v>
      </c>
      <c r="AC2914" t="s">
        <v>30462</v>
      </c>
      <c r="AD2914" t="s">
        <v>32</v>
      </c>
      <c r="AE2914" t="s">
        <v>32</v>
      </c>
      <c r="AF2914" t="s">
        <v>46835</v>
      </c>
    </row>
    <row r="2915" spans="1:33" x14ac:dyDescent="0.2">
      <c r="A2915">
        <v>2910</v>
      </c>
      <c r="B2915" t="s">
        <v>32899</v>
      </c>
      <c r="C2915" t="s">
        <v>32900</v>
      </c>
      <c r="D2915" t="s">
        <v>32</v>
      </c>
      <c r="E2915" t="s">
        <v>32901</v>
      </c>
      <c r="F2915" t="s">
        <v>32902</v>
      </c>
      <c r="G2915" t="s">
        <v>32903</v>
      </c>
      <c r="H2915" t="str">
        <f>"Col12a1"</f>
        <v>Col12a1</v>
      </c>
      <c r="I2915" t="s">
        <v>32</v>
      </c>
      <c r="J2915" t="s">
        <v>37</v>
      </c>
      <c r="K2915">
        <v>10090</v>
      </c>
      <c r="L2915" s="3" t="str">
        <f>HYPERLINK("http://www.uniprot.org/uniprot/Q60847", "Q60847")</f>
        <v>Q60847</v>
      </c>
      <c r="M2915" t="s">
        <v>32904</v>
      </c>
      <c r="N2915" t="str">
        <f>"Col12a1"</f>
        <v>Col12a1</v>
      </c>
      <c r="O2915" s="3" t="str">
        <f>HYPERLINK("http://www.informatics.jax.org/marker/MGI:88448", "MGI:88448")</f>
        <v>MGI:88448</v>
      </c>
      <c r="P2915" t="s">
        <v>32905</v>
      </c>
      <c r="Q2915" t="s">
        <v>2784</v>
      </c>
      <c r="R2915" t="s">
        <v>5586</v>
      </c>
      <c r="S2915" t="s">
        <v>41</v>
      </c>
      <c r="T2915" t="s">
        <v>32</v>
      </c>
      <c r="U2915" t="s">
        <v>32</v>
      </c>
      <c r="V2915" t="s">
        <v>8152</v>
      </c>
      <c r="W2915" t="s">
        <v>32</v>
      </c>
      <c r="X2915" t="s">
        <v>32</v>
      </c>
      <c r="Y2915" t="s">
        <v>32906</v>
      </c>
      <c r="Z2915" t="s">
        <v>32</v>
      </c>
      <c r="AA2915" t="s">
        <v>32907</v>
      </c>
      <c r="AB2915" t="s">
        <v>32908</v>
      </c>
      <c r="AC2915" t="s">
        <v>32</v>
      </c>
      <c r="AD2915" t="s">
        <v>32</v>
      </c>
      <c r="AE2915" t="s">
        <v>32909</v>
      </c>
      <c r="AF2915" t="s">
        <v>46835</v>
      </c>
    </row>
    <row r="2916" spans="1:33" x14ac:dyDescent="0.2">
      <c r="A2916">
        <v>2911</v>
      </c>
      <c r="B2916" t="s">
        <v>32910</v>
      </c>
      <c r="C2916" t="s">
        <v>32911</v>
      </c>
      <c r="D2916" t="s">
        <v>32</v>
      </c>
      <c r="E2916" t="s">
        <v>32912</v>
      </c>
      <c r="F2916" t="s">
        <v>32913</v>
      </c>
      <c r="G2916" t="s">
        <v>32</v>
      </c>
      <c r="H2916" t="str">
        <f>"Afg3l2"</f>
        <v>Afg3l2</v>
      </c>
      <c r="I2916" t="s">
        <v>32</v>
      </c>
      <c r="J2916" t="s">
        <v>37</v>
      </c>
      <c r="K2916">
        <v>10090</v>
      </c>
      <c r="L2916" s="3" t="str">
        <f>HYPERLINK("http://www.uniprot.org/uniprot/Q8JZQ2", "Q8JZQ2")</f>
        <v>Q8JZQ2</v>
      </c>
      <c r="M2916" t="s">
        <v>32914</v>
      </c>
      <c r="N2916" t="str">
        <f>"Afg3l2"</f>
        <v>Afg3l2</v>
      </c>
      <c r="O2916" s="3" t="str">
        <f>HYPERLINK("http://www.informatics.jax.org/marker/MGI:1916847", "MGI:1916847")</f>
        <v>MGI:1916847</v>
      </c>
      <c r="P2916" t="s">
        <v>32915</v>
      </c>
      <c r="Q2916" t="s">
        <v>32</v>
      </c>
      <c r="R2916" t="s">
        <v>3858</v>
      </c>
      <c r="S2916" t="s">
        <v>32</v>
      </c>
      <c r="T2916" t="s">
        <v>32</v>
      </c>
      <c r="U2916" t="s">
        <v>829</v>
      </c>
      <c r="V2916" t="s">
        <v>3859</v>
      </c>
      <c r="W2916" t="s">
        <v>2325</v>
      </c>
      <c r="X2916" t="s">
        <v>4882</v>
      </c>
      <c r="Y2916" t="s">
        <v>32</v>
      </c>
      <c r="Z2916" t="s">
        <v>32</v>
      </c>
      <c r="AA2916" t="s">
        <v>32916</v>
      </c>
      <c r="AB2916" t="s">
        <v>32917</v>
      </c>
      <c r="AC2916" t="s">
        <v>32918</v>
      </c>
      <c r="AD2916" t="s">
        <v>32</v>
      </c>
      <c r="AE2916" t="s">
        <v>8564</v>
      </c>
      <c r="AF2916" t="s">
        <v>46835</v>
      </c>
    </row>
    <row r="2917" spans="1:33" x14ac:dyDescent="0.2">
      <c r="A2917">
        <v>2912</v>
      </c>
      <c r="B2917" t="s">
        <v>32919</v>
      </c>
      <c r="C2917" t="s">
        <v>32920</v>
      </c>
      <c r="D2917" t="s">
        <v>32921</v>
      </c>
      <c r="E2917" t="s">
        <v>32922</v>
      </c>
      <c r="F2917" t="s">
        <v>32923</v>
      </c>
      <c r="G2917" t="s">
        <v>32924</v>
      </c>
      <c r="H2917" t="str">
        <f>"Dock1"</f>
        <v>Dock1</v>
      </c>
      <c r="I2917" t="s">
        <v>32</v>
      </c>
      <c r="J2917" t="s">
        <v>37</v>
      </c>
      <c r="K2917">
        <v>10090</v>
      </c>
      <c r="L2917" s="3" t="str">
        <f>HYPERLINK("http://www.uniprot.org/uniprot/Q8BUR4", "Q8BUR4")</f>
        <v>Q8BUR4</v>
      </c>
      <c r="M2917" t="s">
        <v>32925</v>
      </c>
      <c r="N2917" t="str">
        <f>"Dock1"</f>
        <v>Dock1</v>
      </c>
      <c r="O2917" s="3" t="str">
        <f>HYPERLINK("http://www.informatics.jax.org/marker/MGI:2429765", "MGI:2429765")</f>
        <v>MGI:2429765</v>
      </c>
      <c r="P2917" t="s">
        <v>32926</v>
      </c>
      <c r="Q2917" t="s">
        <v>22507</v>
      </c>
      <c r="R2917" t="s">
        <v>714</v>
      </c>
      <c r="S2917" t="s">
        <v>41</v>
      </c>
      <c r="T2917" t="s">
        <v>32</v>
      </c>
      <c r="U2917" t="s">
        <v>32</v>
      </c>
      <c r="V2917" t="s">
        <v>13796</v>
      </c>
      <c r="W2917" t="s">
        <v>32</v>
      </c>
      <c r="X2917" t="s">
        <v>5011</v>
      </c>
      <c r="Y2917" t="s">
        <v>618</v>
      </c>
      <c r="Z2917" t="s">
        <v>126</v>
      </c>
      <c r="AA2917" t="s">
        <v>32927</v>
      </c>
      <c r="AB2917" t="s">
        <v>32928</v>
      </c>
      <c r="AC2917" t="s">
        <v>32929</v>
      </c>
      <c r="AD2917" t="s">
        <v>32</v>
      </c>
      <c r="AE2917" t="s">
        <v>32930</v>
      </c>
      <c r="AF2917" t="s">
        <v>46835</v>
      </c>
    </row>
    <row r="2918" spans="1:33" x14ac:dyDescent="0.2">
      <c r="A2918">
        <v>2913</v>
      </c>
      <c r="B2918" t="s">
        <v>32931</v>
      </c>
      <c r="C2918" t="s">
        <v>32932</v>
      </c>
      <c r="D2918" t="s">
        <v>32933</v>
      </c>
      <c r="E2918" t="s">
        <v>32934</v>
      </c>
      <c r="F2918" t="s">
        <v>32935</v>
      </c>
      <c r="G2918" t="s">
        <v>32936</v>
      </c>
      <c r="H2918" t="str">
        <f>"Phldb1"</f>
        <v>Phldb1</v>
      </c>
      <c r="I2918" t="s">
        <v>32937</v>
      </c>
      <c r="J2918" t="s">
        <v>37</v>
      </c>
      <c r="K2918">
        <v>10090</v>
      </c>
      <c r="L2918" s="3" t="str">
        <f>HYPERLINK("http://www.uniprot.org/uniprot/Q6PDH0", "Q6PDH0")</f>
        <v>Q6PDH0</v>
      </c>
      <c r="M2918" t="s">
        <v>32938</v>
      </c>
      <c r="N2918" t="str">
        <f>"Phldb1"</f>
        <v>Phldb1</v>
      </c>
      <c r="O2918" s="3" t="str">
        <f>HYPERLINK("http://www.informatics.jax.org/marker/MGI:2143230", "MGI:2143230")</f>
        <v>MGI:2143230</v>
      </c>
      <c r="P2918" t="s">
        <v>32939</v>
      </c>
      <c r="Q2918" t="s">
        <v>32</v>
      </c>
      <c r="R2918" t="s">
        <v>32</v>
      </c>
      <c r="S2918" t="s">
        <v>41</v>
      </c>
      <c r="T2918" t="s">
        <v>32</v>
      </c>
      <c r="U2918" t="s">
        <v>32</v>
      </c>
      <c r="V2918" t="s">
        <v>290</v>
      </c>
      <c r="W2918" t="s">
        <v>32</v>
      </c>
      <c r="X2918" t="s">
        <v>32</v>
      </c>
      <c r="Y2918" t="s">
        <v>2734</v>
      </c>
      <c r="Z2918" t="s">
        <v>32</v>
      </c>
      <c r="AA2918" t="s">
        <v>32940</v>
      </c>
      <c r="AB2918" t="s">
        <v>32941</v>
      </c>
      <c r="AC2918" t="s">
        <v>32</v>
      </c>
      <c r="AD2918" t="s">
        <v>32</v>
      </c>
      <c r="AE2918" t="s">
        <v>32</v>
      </c>
      <c r="AF2918" t="s">
        <v>46835</v>
      </c>
    </row>
    <row r="2919" spans="1:33" x14ac:dyDescent="0.2">
      <c r="A2919">
        <v>2914</v>
      </c>
      <c r="B2919" t="s">
        <v>32942</v>
      </c>
      <c r="C2919" t="s">
        <v>32943</v>
      </c>
      <c r="D2919" t="s">
        <v>32944</v>
      </c>
      <c r="E2919" t="s">
        <v>32945</v>
      </c>
      <c r="F2919" t="s">
        <v>32946</v>
      </c>
      <c r="G2919" t="s">
        <v>32947</v>
      </c>
      <c r="H2919" t="str">
        <f>"Chmp1a"</f>
        <v>Chmp1a</v>
      </c>
      <c r="I2919" t="s">
        <v>32948</v>
      </c>
      <c r="J2919" t="s">
        <v>37</v>
      </c>
      <c r="K2919">
        <v>10090</v>
      </c>
      <c r="L2919" s="3" t="str">
        <f>HYPERLINK("http://www.uniprot.org/uniprot/Q921W0", "Q921W0")</f>
        <v>Q921W0</v>
      </c>
      <c r="M2919" t="s">
        <v>32949</v>
      </c>
      <c r="N2919" t="str">
        <f>"Chmp1a"</f>
        <v>Chmp1a</v>
      </c>
      <c r="O2919" s="3" t="str">
        <f>HYPERLINK("http://www.informatics.jax.org/marker/MGI:1920159", "MGI:1920159")</f>
        <v>MGI:1920159</v>
      </c>
      <c r="P2919" t="s">
        <v>32950</v>
      </c>
      <c r="Q2919" t="s">
        <v>32951</v>
      </c>
      <c r="R2919" t="s">
        <v>7802</v>
      </c>
      <c r="S2919" t="s">
        <v>32</v>
      </c>
      <c r="T2919" t="s">
        <v>32</v>
      </c>
      <c r="U2919" t="s">
        <v>32</v>
      </c>
      <c r="V2919" t="s">
        <v>290</v>
      </c>
      <c r="W2919" t="s">
        <v>32</v>
      </c>
      <c r="X2919" t="s">
        <v>5195</v>
      </c>
      <c r="Y2919" t="s">
        <v>157</v>
      </c>
      <c r="Z2919" t="s">
        <v>32</v>
      </c>
      <c r="AA2919" t="s">
        <v>32952</v>
      </c>
      <c r="AB2919" t="s">
        <v>32953</v>
      </c>
      <c r="AC2919" t="s">
        <v>32954</v>
      </c>
      <c r="AD2919" t="s">
        <v>32</v>
      </c>
      <c r="AE2919" t="s">
        <v>32</v>
      </c>
      <c r="AF2919" t="s">
        <v>46835</v>
      </c>
    </row>
    <row r="2920" spans="1:33" x14ac:dyDescent="0.2">
      <c r="A2920">
        <v>2915</v>
      </c>
      <c r="B2920" t="s">
        <v>32955</v>
      </c>
      <c r="C2920" t="s">
        <v>32956</v>
      </c>
      <c r="D2920" t="s">
        <v>32957</v>
      </c>
      <c r="E2920" t="s">
        <v>32958</v>
      </c>
      <c r="F2920" t="s">
        <v>32959</v>
      </c>
      <c r="G2920" t="s">
        <v>32960</v>
      </c>
      <c r="H2920" t="str">
        <f>"Gspt2"</f>
        <v>Gspt2</v>
      </c>
      <c r="I2920" t="s">
        <v>32961</v>
      </c>
      <c r="J2920" t="s">
        <v>37</v>
      </c>
      <c r="K2920">
        <v>10090</v>
      </c>
      <c r="L2920" s="3" t="str">
        <f>HYPERLINK("http://www.uniprot.org/uniprot/Q149F3", "Q149F3")</f>
        <v>Q149F3</v>
      </c>
      <c r="M2920" t="s">
        <v>32962</v>
      </c>
      <c r="N2920" t="str">
        <f>"Gspt2"</f>
        <v>Gspt2</v>
      </c>
      <c r="O2920" s="3" t="str">
        <f>HYPERLINK("http://www.informatics.jax.org/marker/MGI:1316727", "MGI:1316727")</f>
        <v>MGI:1316727</v>
      </c>
      <c r="P2920" t="s">
        <v>32963</v>
      </c>
      <c r="Q2920" t="s">
        <v>32964</v>
      </c>
      <c r="R2920" t="s">
        <v>418</v>
      </c>
      <c r="S2920" t="s">
        <v>32</v>
      </c>
      <c r="T2920" t="s">
        <v>32</v>
      </c>
      <c r="U2920" t="s">
        <v>32</v>
      </c>
      <c r="V2920" t="s">
        <v>32</v>
      </c>
      <c r="W2920" t="s">
        <v>261</v>
      </c>
      <c r="X2920" t="s">
        <v>32</v>
      </c>
      <c r="Y2920" t="s">
        <v>32</v>
      </c>
      <c r="Z2920" t="s">
        <v>32</v>
      </c>
      <c r="AA2920" t="s">
        <v>32965</v>
      </c>
      <c r="AB2920" t="s">
        <v>32966</v>
      </c>
      <c r="AC2920" t="s">
        <v>7427</v>
      </c>
      <c r="AD2920" t="s">
        <v>32</v>
      </c>
      <c r="AE2920" t="s">
        <v>7283</v>
      </c>
      <c r="AF2920" t="s">
        <v>46835</v>
      </c>
    </row>
    <row r="2921" spans="1:33" x14ac:dyDescent="0.2">
      <c r="A2921">
        <v>2916</v>
      </c>
      <c r="B2921" t="s">
        <v>32967</v>
      </c>
      <c r="C2921" t="s">
        <v>32968</v>
      </c>
      <c r="D2921" t="s">
        <v>32969</v>
      </c>
      <c r="E2921" t="s">
        <v>32970</v>
      </c>
      <c r="F2921" t="s">
        <v>32971</v>
      </c>
      <c r="G2921" t="s">
        <v>32972</v>
      </c>
      <c r="H2921" t="str">
        <f>"Supv3l1"</f>
        <v>Supv3l1</v>
      </c>
      <c r="I2921" t="s">
        <v>32973</v>
      </c>
      <c r="J2921" t="s">
        <v>37</v>
      </c>
      <c r="K2921">
        <v>10090</v>
      </c>
      <c r="L2921" s="3" t="str">
        <f>HYPERLINK("http://www.uniprot.org/uniprot/Q80YD1", "Q80YD1")</f>
        <v>Q80YD1</v>
      </c>
      <c r="M2921" t="s">
        <v>32974</v>
      </c>
      <c r="N2921" t="str">
        <f>"Supv3l1"</f>
        <v>Supv3l1</v>
      </c>
      <c r="O2921" s="3" t="str">
        <f>HYPERLINK("http://www.informatics.jax.org/marker/MGI:2441711", "MGI:2441711")</f>
        <v>MGI:2441711</v>
      </c>
      <c r="P2921" t="s">
        <v>32975</v>
      </c>
      <c r="Q2921" t="s">
        <v>32</v>
      </c>
      <c r="R2921" t="s">
        <v>18467</v>
      </c>
      <c r="S2921" t="s">
        <v>32</v>
      </c>
      <c r="T2921" t="s">
        <v>32</v>
      </c>
      <c r="U2921" t="s">
        <v>32</v>
      </c>
      <c r="V2921" t="s">
        <v>1039</v>
      </c>
      <c r="W2921" t="s">
        <v>205</v>
      </c>
      <c r="X2921" t="s">
        <v>16991</v>
      </c>
      <c r="Y2921" t="s">
        <v>157</v>
      </c>
      <c r="Z2921" t="s">
        <v>32</v>
      </c>
      <c r="AA2921" t="s">
        <v>32976</v>
      </c>
      <c r="AB2921" t="s">
        <v>32977</v>
      </c>
      <c r="AC2921" t="s">
        <v>32978</v>
      </c>
      <c r="AD2921" t="s">
        <v>32</v>
      </c>
      <c r="AE2921" t="s">
        <v>32</v>
      </c>
      <c r="AF2921" t="s">
        <v>46835</v>
      </c>
    </row>
    <row r="2922" spans="1:33" x14ac:dyDescent="0.2">
      <c r="A2922">
        <v>2917</v>
      </c>
      <c r="B2922" t="s">
        <v>32979</v>
      </c>
      <c r="C2922" t="s">
        <v>47224</v>
      </c>
      <c r="D2922" t="s">
        <v>32</v>
      </c>
      <c r="E2922" t="s">
        <v>47000</v>
      </c>
      <c r="F2922" t="s">
        <v>46999</v>
      </c>
      <c r="G2922" t="s">
        <v>32</v>
      </c>
      <c r="H2922" t="s">
        <v>47357</v>
      </c>
      <c r="I2922" t="s">
        <v>32</v>
      </c>
      <c r="J2922" t="s">
        <v>37</v>
      </c>
      <c r="K2922">
        <v>10090</v>
      </c>
      <c r="L2922" s="3" t="str">
        <f>HYPERLINK(CONCATENATE("https://www.uniprot.org/uniprotkb/", AG2922, "/entry"), AG2922)</f>
        <v>A2A484</v>
      </c>
      <c r="M2922" t="s">
        <v>32</v>
      </c>
      <c r="N2922" t="s">
        <v>32</v>
      </c>
      <c r="O2922" s="3" t="s">
        <v>32</v>
      </c>
      <c r="P2922" t="s">
        <v>32</v>
      </c>
      <c r="Q2922" t="s">
        <v>32</v>
      </c>
      <c r="R2922" t="s">
        <v>32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32</v>
      </c>
      <c r="Y2922" t="s">
        <v>32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t="s">
        <v>46835</v>
      </c>
      <c r="AG2922" t="s">
        <v>46999</v>
      </c>
    </row>
    <row r="2923" spans="1:33" x14ac:dyDescent="0.2">
      <c r="A2923">
        <v>2918</v>
      </c>
      <c r="B2923" t="s">
        <v>32980</v>
      </c>
      <c r="C2923" t="s">
        <v>32981</v>
      </c>
      <c r="D2923" t="s">
        <v>32982</v>
      </c>
      <c r="E2923" t="s">
        <v>32983</v>
      </c>
      <c r="F2923" t="s">
        <v>32984</v>
      </c>
      <c r="G2923" t="s">
        <v>32985</v>
      </c>
      <c r="H2923" t="str">
        <f>"Ces1c"</f>
        <v>Ces1c</v>
      </c>
      <c r="I2923" t="s">
        <v>32986</v>
      </c>
      <c r="J2923" t="s">
        <v>37</v>
      </c>
      <c r="K2923">
        <v>10090</v>
      </c>
      <c r="L2923" s="3" t="str">
        <f>HYPERLINK("http://www.uniprot.org/uniprot/P23953", "P23953")</f>
        <v>P23953</v>
      </c>
      <c r="M2923" t="s">
        <v>32987</v>
      </c>
      <c r="N2923" t="str">
        <f>"Ces1c"</f>
        <v>Ces1c</v>
      </c>
      <c r="O2923" s="3" t="str">
        <f>HYPERLINK("http://www.informatics.jax.org/marker/MGI:95420", "MGI:95420")</f>
        <v>MGI:95420</v>
      </c>
      <c r="P2923" t="s">
        <v>32988</v>
      </c>
      <c r="Q2923" t="s">
        <v>32</v>
      </c>
      <c r="R2923" t="s">
        <v>671</v>
      </c>
      <c r="S2923" t="s">
        <v>32</v>
      </c>
      <c r="T2923" t="s">
        <v>32</v>
      </c>
      <c r="U2923" t="s">
        <v>32</v>
      </c>
      <c r="V2923" t="s">
        <v>811</v>
      </c>
      <c r="W2923" t="s">
        <v>32</v>
      </c>
      <c r="X2923" t="s">
        <v>8988</v>
      </c>
      <c r="Y2923" t="s">
        <v>2865</v>
      </c>
      <c r="Z2923" t="s">
        <v>32</v>
      </c>
      <c r="AA2923" t="s">
        <v>32989</v>
      </c>
      <c r="AB2923" t="s">
        <v>32990</v>
      </c>
      <c r="AC2923" t="s">
        <v>32991</v>
      </c>
      <c r="AD2923" t="s">
        <v>32</v>
      </c>
      <c r="AE2923" t="s">
        <v>32</v>
      </c>
      <c r="AF2923" t="s">
        <v>46835</v>
      </c>
    </row>
    <row r="2924" spans="1:33" x14ac:dyDescent="0.2">
      <c r="A2924">
        <v>2919</v>
      </c>
      <c r="B2924" t="s">
        <v>32992</v>
      </c>
      <c r="C2924" t="s">
        <v>32993</v>
      </c>
      <c r="D2924" t="s">
        <v>32994</v>
      </c>
      <c r="E2924" t="s">
        <v>32995</v>
      </c>
      <c r="F2924" t="s">
        <v>32996</v>
      </c>
      <c r="G2924" t="s">
        <v>32997</v>
      </c>
      <c r="H2924" t="str">
        <f>"Akr1b8"</f>
        <v>Akr1b8</v>
      </c>
      <c r="I2924" t="s">
        <v>32998</v>
      </c>
      <c r="J2924" t="s">
        <v>37</v>
      </c>
      <c r="K2924">
        <v>10090</v>
      </c>
      <c r="L2924" s="3" t="str">
        <f>HYPERLINK("http://www.uniprot.org/uniprot/P45377", "P45377")</f>
        <v>P45377</v>
      </c>
      <c r="M2924" t="s">
        <v>32999</v>
      </c>
      <c r="N2924" t="str">
        <f>"Akr1b8"</f>
        <v>Akr1b8</v>
      </c>
      <c r="O2924" s="3" t="str">
        <f>HYPERLINK("http://www.informatics.jax.org/marker/MGI:107673", "MGI:107673")</f>
        <v>MGI:107673</v>
      </c>
      <c r="P2924" t="s">
        <v>33000</v>
      </c>
      <c r="Q2924" t="s">
        <v>32</v>
      </c>
      <c r="R2924" t="s">
        <v>418</v>
      </c>
      <c r="S2924" t="s">
        <v>32</v>
      </c>
      <c r="T2924" t="s">
        <v>32</v>
      </c>
      <c r="U2924" t="s">
        <v>32</v>
      </c>
      <c r="V2924" t="s">
        <v>32</v>
      </c>
      <c r="W2924" t="s">
        <v>3204</v>
      </c>
      <c r="X2924" t="s">
        <v>600</v>
      </c>
      <c r="Y2924" t="s">
        <v>32</v>
      </c>
      <c r="Z2924" t="s">
        <v>126</v>
      </c>
      <c r="AA2924" t="s">
        <v>33001</v>
      </c>
      <c r="AB2924" t="s">
        <v>33002</v>
      </c>
      <c r="AC2924" t="s">
        <v>33003</v>
      </c>
      <c r="AD2924" t="s">
        <v>32</v>
      </c>
      <c r="AE2924" t="s">
        <v>26179</v>
      </c>
      <c r="AF2924" t="s">
        <v>46835</v>
      </c>
    </row>
    <row r="2925" spans="1:33" x14ac:dyDescent="0.2">
      <c r="A2925">
        <v>2920</v>
      </c>
      <c r="B2925" t="s">
        <v>33004</v>
      </c>
      <c r="C2925" t="s">
        <v>33005</v>
      </c>
      <c r="D2925" t="s">
        <v>33006</v>
      </c>
      <c r="E2925" t="s">
        <v>33007</v>
      </c>
      <c r="F2925" t="s">
        <v>33008</v>
      </c>
      <c r="G2925" t="s">
        <v>33009</v>
      </c>
      <c r="H2925" t="str">
        <f>"Fdft1"</f>
        <v>Fdft1</v>
      </c>
      <c r="I2925" t="s">
        <v>33010</v>
      </c>
      <c r="J2925" t="s">
        <v>37</v>
      </c>
      <c r="K2925">
        <v>10090</v>
      </c>
      <c r="L2925" s="3" t="str">
        <f>HYPERLINK("http://www.uniprot.org/uniprot/P53798", "P53798")</f>
        <v>P53798</v>
      </c>
      <c r="M2925" t="s">
        <v>33011</v>
      </c>
      <c r="N2925" t="str">
        <f>"Fdft1"</f>
        <v>Fdft1</v>
      </c>
      <c r="O2925" s="3" t="str">
        <f>HYPERLINK("http://www.informatics.jax.org/marker/MGI:102706", "MGI:102706")</f>
        <v>MGI:102706</v>
      </c>
      <c r="P2925" t="s">
        <v>33012</v>
      </c>
      <c r="Q2925" t="s">
        <v>5359</v>
      </c>
      <c r="R2925" t="s">
        <v>1664</v>
      </c>
      <c r="S2925" t="s">
        <v>32</v>
      </c>
      <c r="T2925" t="s">
        <v>32</v>
      </c>
      <c r="U2925" t="s">
        <v>32</v>
      </c>
      <c r="V2925" t="s">
        <v>493</v>
      </c>
      <c r="W2925" t="s">
        <v>33013</v>
      </c>
      <c r="X2925" t="s">
        <v>26005</v>
      </c>
      <c r="Y2925" t="s">
        <v>32</v>
      </c>
      <c r="Z2925" t="s">
        <v>32</v>
      </c>
      <c r="AA2925" t="s">
        <v>33014</v>
      </c>
      <c r="AB2925" t="s">
        <v>33015</v>
      </c>
      <c r="AC2925" t="s">
        <v>33016</v>
      </c>
      <c r="AD2925" t="s">
        <v>33017</v>
      </c>
      <c r="AE2925" t="s">
        <v>5365</v>
      </c>
      <c r="AF2925" t="s">
        <v>46835</v>
      </c>
    </row>
    <row r="2926" spans="1:33" x14ac:dyDescent="0.2">
      <c r="A2926">
        <v>2921</v>
      </c>
      <c r="B2926" t="s">
        <v>33018</v>
      </c>
      <c r="C2926" t="s">
        <v>33019</v>
      </c>
      <c r="D2926" t="s">
        <v>33020</v>
      </c>
      <c r="E2926" t="s">
        <v>33021</v>
      </c>
      <c r="F2926" t="s">
        <v>33022</v>
      </c>
      <c r="G2926" t="s">
        <v>32</v>
      </c>
      <c r="H2926" t="str">
        <f>"Fibp"</f>
        <v>Fibp</v>
      </c>
      <c r="I2926" t="s">
        <v>32</v>
      </c>
      <c r="J2926" t="s">
        <v>37</v>
      </c>
      <c r="K2926">
        <v>10090</v>
      </c>
      <c r="L2926" s="3" t="str">
        <f>HYPERLINK("http://www.uniprot.org/uniprot/Q9JI19", "Q9JI19")</f>
        <v>Q9JI19</v>
      </c>
      <c r="M2926" t="s">
        <v>33023</v>
      </c>
      <c r="N2926" t="str">
        <f>"Fibp"</f>
        <v>Fibp</v>
      </c>
      <c r="O2926" s="3" t="str">
        <f>HYPERLINK("http://www.informatics.jax.org/marker/MGI:1926233", "MGI:1926233")</f>
        <v>MGI:1926233</v>
      </c>
      <c r="P2926" t="s">
        <v>33024</v>
      </c>
      <c r="Q2926" t="s">
        <v>32</v>
      </c>
      <c r="R2926" t="s">
        <v>13520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32</v>
      </c>
      <c r="Y2926" t="s">
        <v>78</v>
      </c>
      <c r="Z2926" t="s">
        <v>32</v>
      </c>
      <c r="AA2926" t="s">
        <v>32</v>
      </c>
      <c r="AB2926" t="s">
        <v>33025</v>
      </c>
      <c r="AC2926" t="s">
        <v>7092</v>
      </c>
      <c r="AD2926" t="s">
        <v>32</v>
      </c>
      <c r="AE2926" t="s">
        <v>32</v>
      </c>
      <c r="AF2926" t="s">
        <v>46835</v>
      </c>
    </row>
    <row r="2927" spans="1:33" x14ac:dyDescent="0.2">
      <c r="A2927">
        <v>2922</v>
      </c>
      <c r="B2927" t="s">
        <v>33026</v>
      </c>
      <c r="C2927" t="s">
        <v>33027</v>
      </c>
      <c r="D2927" t="s">
        <v>33028</v>
      </c>
      <c r="E2927" t="s">
        <v>33029</v>
      </c>
      <c r="F2927" t="s">
        <v>33030</v>
      </c>
      <c r="G2927" t="s">
        <v>33031</v>
      </c>
      <c r="H2927" t="str">
        <f>"Bgn"</f>
        <v>Bgn</v>
      </c>
      <c r="I2927" t="s">
        <v>32</v>
      </c>
      <c r="J2927" t="s">
        <v>37</v>
      </c>
      <c r="K2927">
        <v>10090</v>
      </c>
      <c r="L2927" s="3" t="str">
        <f>HYPERLINK("http://www.uniprot.org/uniprot/P28653", "P28653")</f>
        <v>P28653</v>
      </c>
      <c r="M2927" t="s">
        <v>33032</v>
      </c>
      <c r="N2927" t="str">
        <f>"Bgn"</f>
        <v>Bgn</v>
      </c>
      <c r="O2927" s="3" t="str">
        <f>HYPERLINK("http://www.informatics.jax.org/marker/MGI:88158", "MGI:88158")</f>
        <v>MGI:88158</v>
      </c>
      <c r="P2927" t="s">
        <v>33033</v>
      </c>
      <c r="Q2927" t="s">
        <v>32</v>
      </c>
      <c r="R2927" t="s">
        <v>5586</v>
      </c>
      <c r="S2927" t="s">
        <v>32</v>
      </c>
      <c r="T2927" t="s">
        <v>32</v>
      </c>
      <c r="U2927" t="s">
        <v>32</v>
      </c>
      <c r="V2927" t="s">
        <v>22795</v>
      </c>
      <c r="W2927" t="s">
        <v>32</v>
      </c>
      <c r="X2927" t="s">
        <v>32</v>
      </c>
      <c r="Y2927" t="s">
        <v>33034</v>
      </c>
      <c r="Z2927" t="s">
        <v>32</v>
      </c>
      <c r="AA2927" t="s">
        <v>33035</v>
      </c>
      <c r="AB2927" t="s">
        <v>33036</v>
      </c>
      <c r="AC2927" t="s">
        <v>33037</v>
      </c>
      <c r="AD2927" t="s">
        <v>32</v>
      </c>
      <c r="AE2927" t="s">
        <v>33038</v>
      </c>
      <c r="AF2927" t="s">
        <v>46835</v>
      </c>
    </row>
    <row r="2928" spans="1:33" x14ac:dyDescent="0.2">
      <c r="A2928">
        <v>2923</v>
      </c>
      <c r="B2928" t="s">
        <v>33039</v>
      </c>
      <c r="C2928" t="s">
        <v>33040</v>
      </c>
      <c r="D2928" t="s">
        <v>33041</v>
      </c>
      <c r="E2928" t="s">
        <v>33042</v>
      </c>
      <c r="F2928" t="s">
        <v>33043</v>
      </c>
      <c r="G2928" t="s">
        <v>33044</v>
      </c>
      <c r="H2928" t="str">
        <f>"Pgap1"</f>
        <v>Pgap1</v>
      </c>
      <c r="I2928" t="s">
        <v>32</v>
      </c>
      <c r="J2928" t="s">
        <v>37</v>
      </c>
      <c r="K2928">
        <v>10090</v>
      </c>
      <c r="L2928" s="3" t="str">
        <f>HYPERLINK("http://www.uniprot.org/uniprot/Q3UUQ7", "Q3UUQ7")</f>
        <v>Q3UUQ7</v>
      </c>
      <c r="M2928" t="s">
        <v>33045</v>
      </c>
      <c r="N2928" t="str">
        <f>"Pgap1"</f>
        <v>Pgap1</v>
      </c>
      <c r="O2928" s="3" t="str">
        <f>HYPERLINK("http://www.informatics.jax.org/marker/MGI:2443342", "MGI:2443342")</f>
        <v>MGI:2443342</v>
      </c>
      <c r="P2928" t="s">
        <v>33046</v>
      </c>
      <c r="Q2928" t="s">
        <v>434</v>
      </c>
      <c r="R2928" t="s">
        <v>1664</v>
      </c>
      <c r="S2928" t="s">
        <v>41</v>
      </c>
      <c r="T2928" t="s">
        <v>32</v>
      </c>
      <c r="U2928" t="s">
        <v>32</v>
      </c>
      <c r="V2928" t="s">
        <v>493</v>
      </c>
      <c r="W2928" t="s">
        <v>32</v>
      </c>
      <c r="X2928" t="s">
        <v>343</v>
      </c>
      <c r="Y2928" t="s">
        <v>3733</v>
      </c>
      <c r="Z2928" t="s">
        <v>32</v>
      </c>
      <c r="AA2928" t="s">
        <v>33047</v>
      </c>
      <c r="AB2928" t="s">
        <v>16952</v>
      </c>
      <c r="AC2928" t="s">
        <v>33048</v>
      </c>
      <c r="AD2928" t="s">
        <v>32</v>
      </c>
      <c r="AE2928" t="s">
        <v>21287</v>
      </c>
      <c r="AF2928" t="s">
        <v>46835</v>
      </c>
    </row>
    <row r="2929" spans="1:32" x14ac:dyDescent="0.2">
      <c r="A2929">
        <v>2924</v>
      </c>
      <c r="B2929" t="s">
        <v>33049</v>
      </c>
      <c r="C2929" t="s">
        <v>33050</v>
      </c>
      <c r="D2929" t="s">
        <v>33051</v>
      </c>
      <c r="E2929" t="s">
        <v>33052</v>
      </c>
      <c r="F2929" t="s">
        <v>33053</v>
      </c>
      <c r="G2929" t="s">
        <v>33054</v>
      </c>
      <c r="H2929" t="str">
        <f>"Hddc2"</f>
        <v>Hddc2</v>
      </c>
      <c r="I2929" t="s">
        <v>32</v>
      </c>
      <c r="J2929" t="s">
        <v>37</v>
      </c>
      <c r="K2929">
        <v>10090</v>
      </c>
      <c r="L2929" s="3" t="str">
        <f>HYPERLINK("http://www.uniprot.org/uniprot/Q3SXD3", "Q3SXD3")</f>
        <v>Q3SXD3</v>
      </c>
      <c r="M2929" t="s">
        <v>33055</v>
      </c>
      <c r="N2929" t="str">
        <f>"Hddc2"</f>
        <v>Hddc2</v>
      </c>
      <c r="O2929" s="3" t="str">
        <f>HYPERLINK("http://www.informatics.jax.org/marker/MGI:1916942", "MGI:1916942")</f>
        <v>MGI:1916942</v>
      </c>
      <c r="P2929" t="s">
        <v>33056</v>
      </c>
      <c r="Q2929" t="s">
        <v>32</v>
      </c>
      <c r="R2929" t="s">
        <v>32</v>
      </c>
      <c r="S2929" t="s">
        <v>32</v>
      </c>
      <c r="T2929" t="s">
        <v>32</v>
      </c>
      <c r="U2929" t="s">
        <v>32</v>
      </c>
      <c r="V2929" t="s">
        <v>32</v>
      </c>
      <c r="W2929" t="s">
        <v>223</v>
      </c>
      <c r="X2929" t="s">
        <v>343</v>
      </c>
      <c r="Y2929" t="s">
        <v>157</v>
      </c>
      <c r="Z2929" t="s">
        <v>32</v>
      </c>
      <c r="AA2929" t="s">
        <v>32</v>
      </c>
      <c r="AB2929" t="s">
        <v>3721</v>
      </c>
      <c r="AC2929" t="s">
        <v>33057</v>
      </c>
      <c r="AD2929" t="s">
        <v>32</v>
      </c>
      <c r="AE2929" t="s">
        <v>32</v>
      </c>
      <c r="AF2929" t="s">
        <v>46835</v>
      </c>
    </row>
    <row r="2930" spans="1:32" x14ac:dyDescent="0.2">
      <c r="A2930">
        <v>2925</v>
      </c>
      <c r="B2930" t="s">
        <v>33058</v>
      </c>
      <c r="C2930" t="s">
        <v>33059</v>
      </c>
      <c r="D2930" t="s">
        <v>32</v>
      </c>
      <c r="E2930" t="s">
        <v>33060</v>
      </c>
      <c r="F2930" t="s">
        <v>33061</v>
      </c>
      <c r="G2930" t="s">
        <v>33062</v>
      </c>
      <c r="H2930" t="s">
        <v>32</v>
      </c>
      <c r="I2930" t="s">
        <v>32</v>
      </c>
      <c r="J2930" t="s">
        <v>37</v>
      </c>
      <c r="K2930">
        <v>10090</v>
      </c>
      <c r="L2930" s="3" t="str">
        <f>HYPERLINK("http://www.uniprot.org/uniprot/Q9CYI0", "Q9CYI0")</f>
        <v>Q9CYI0</v>
      </c>
      <c r="M2930" t="s">
        <v>33063</v>
      </c>
      <c r="N2930" t="str">
        <f>"5730455P16Rik"</f>
        <v>5730455P16Rik</v>
      </c>
      <c r="O2930" s="3" t="str">
        <f>HYPERLINK("http://www.informatics.jax.org/marker/MGI:1917841", "MGI:1917841")</f>
        <v>MGI:1917841</v>
      </c>
      <c r="P2930" t="s">
        <v>618</v>
      </c>
      <c r="Q2930" t="s">
        <v>32</v>
      </c>
      <c r="R2930" t="s">
        <v>32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32</v>
      </c>
      <c r="Y2930" t="s">
        <v>618</v>
      </c>
      <c r="Z2930" t="s">
        <v>32</v>
      </c>
      <c r="AA2930" t="s">
        <v>32704</v>
      </c>
      <c r="AB2930" t="s">
        <v>32705</v>
      </c>
      <c r="AC2930" t="s">
        <v>32</v>
      </c>
      <c r="AD2930" t="s">
        <v>32</v>
      </c>
      <c r="AE2930" t="s">
        <v>32</v>
      </c>
      <c r="AF2930" t="s">
        <v>46835</v>
      </c>
    </row>
    <row r="2931" spans="1:32" x14ac:dyDescent="0.2">
      <c r="A2931">
        <v>2926</v>
      </c>
      <c r="B2931" t="s">
        <v>33064</v>
      </c>
      <c r="C2931" t="s">
        <v>33065</v>
      </c>
      <c r="D2931" t="s">
        <v>32</v>
      </c>
      <c r="E2931" t="s">
        <v>33066</v>
      </c>
      <c r="F2931" t="s">
        <v>33067</v>
      </c>
      <c r="G2931" t="s">
        <v>33068</v>
      </c>
      <c r="H2931" t="str">
        <f>"Cttnbp2nl"</f>
        <v>Cttnbp2nl</v>
      </c>
      <c r="I2931" t="s">
        <v>33069</v>
      </c>
      <c r="J2931" t="s">
        <v>37</v>
      </c>
      <c r="K2931">
        <v>10090</v>
      </c>
      <c r="L2931" s="3" t="str">
        <f>HYPERLINK("http://www.uniprot.org/uniprot/Q99LJ0", "Q99LJ0")</f>
        <v>Q99LJ0</v>
      </c>
      <c r="M2931" t="s">
        <v>33070</v>
      </c>
      <c r="N2931" t="str">
        <f>"Cttnbp2nl"</f>
        <v>Cttnbp2nl</v>
      </c>
      <c r="O2931" s="3" t="str">
        <f>HYPERLINK("http://www.informatics.jax.org/marker/MGI:1933137", "MGI:1933137")</f>
        <v>MGI:1933137</v>
      </c>
      <c r="P2931" t="s">
        <v>33071</v>
      </c>
      <c r="Q2931" t="s">
        <v>32</v>
      </c>
      <c r="R2931" t="s">
        <v>1210</v>
      </c>
      <c r="S2931" t="s">
        <v>32</v>
      </c>
      <c r="T2931" t="s">
        <v>32</v>
      </c>
      <c r="U2931" t="s">
        <v>32</v>
      </c>
      <c r="V2931" t="s">
        <v>290</v>
      </c>
      <c r="W2931" t="s">
        <v>32</v>
      </c>
      <c r="X2931" t="s">
        <v>32</v>
      </c>
      <c r="Y2931" t="s">
        <v>618</v>
      </c>
      <c r="Z2931" t="s">
        <v>32</v>
      </c>
      <c r="AA2931" t="s">
        <v>33072</v>
      </c>
      <c r="AB2931" t="s">
        <v>33073</v>
      </c>
      <c r="AC2931" t="s">
        <v>21416</v>
      </c>
      <c r="AD2931" t="s">
        <v>32</v>
      </c>
      <c r="AE2931" t="s">
        <v>32</v>
      </c>
      <c r="AF2931" t="s">
        <v>46835</v>
      </c>
    </row>
    <row r="2932" spans="1:32" x14ac:dyDescent="0.2">
      <c r="A2932">
        <v>2927</v>
      </c>
      <c r="B2932" t="s">
        <v>33074</v>
      </c>
      <c r="C2932" t="s">
        <v>33075</v>
      </c>
      <c r="D2932" t="s">
        <v>33076</v>
      </c>
      <c r="E2932" t="s">
        <v>33077</v>
      </c>
      <c r="F2932" t="s">
        <v>33078</v>
      </c>
      <c r="G2932" t="s">
        <v>33079</v>
      </c>
      <c r="H2932" t="str">
        <f>"Ddx20"</f>
        <v>Ddx20</v>
      </c>
      <c r="I2932" t="s">
        <v>33080</v>
      </c>
      <c r="J2932" t="s">
        <v>37</v>
      </c>
      <c r="K2932">
        <v>10090</v>
      </c>
      <c r="L2932" s="3" t="str">
        <f>HYPERLINK("http://www.uniprot.org/uniprot/Q9JJY4", "Q9JJY4")</f>
        <v>Q9JJY4</v>
      </c>
      <c r="M2932" t="s">
        <v>33081</v>
      </c>
      <c r="N2932" t="str">
        <f>"Ddx20"</f>
        <v>Ddx20</v>
      </c>
      <c r="O2932" s="3" t="str">
        <f>HYPERLINK("http://www.informatics.jax.org/marker/MGI:1858415", "MGI:1858415")</f>
        <v>MGI:1858415</v>
      </c>
      <c r="P2932" t="s">
        <v>33082</v>
      </c>
      <c r="Q2932" t="s">
        <v>2139</v>
      </c>
      <c r="R2932" t="s">
        <v>40</v>
      </c>
      <c r="S2932" t="s">
        <v>32</v>
      </c>
      <c r="T2932" t="s">
        <v>32</v>
      </c>
      <c r="U2932" t="s">
        <v>32</v>
      </c>
      <c r="V2932" t="s">
        <v>32</v>
      </c>
      <c r="W2932" t="s">
        <v>205</v>
      </c>
      <c r="X2932" t="s">
        <v>11015</v>
      </c>
      <c r="Y2932" t="s">
        <v>618</v>
      </c>
      <c r="Z2932" t="s">
        <v>32</v>
      </c>
      <c r="AA2932" t="s">
        <v>33083</v>
      </c>
      <c r="AB2932" t="s">
        <v>33084</v>
      </c>
      <c r="AC2932" t="s">
        <v>33085</v>
      </c>
      <c r="AD2932" t="s">
        <v>32</v>
      </c>
      <c r="AE2932" t="s">
        <v>23017</v>
      </c>
      <c r="AF2932" t="s">
        <v>46835</v>
      </c>
    </row>
    <row r="2933" spans="1:32" x14ac:dyDescent="0.2">
      <c r="A2933">
        <v>2928</v>
      </c>
      <c r="B2933" t="s">
        <v>33086</v>
      </c>
      <c r="C2933" t="s">
        <v>33087</v>
      </c>
      <c r="D2933" t="s">
        <v>33088</v>
      </c>
      <c r="E2933" t="s">
        <v>33089</v>
      </c>
      <c r="F2933" t="s">
        <v>33090</v>
      </c>
      <c r="G2933" t="s">
        <v>33091</v>
      </c>
      <c r="H2933" t="str">
        <f>"Ppp4r3a"</f>
        <v>Ppp4r3a</v>
      </c>
      <c r="I2933" t="s">
        <v>32</v>
      </c>
      <c r="J2933" t="s">
        <v>37</v>
      </c>
      <c r="K2933">
        <v>10090</v>
      </c>
      <c r="L2933" s="3" t="str">
        <f>HYPERLINK("http://www.uniprot.org/uniprot/Q6P2K6", "Q6P2K6")</f>
        <v>Q6P2K6</v>
      </c>
      <c r="M2933" t="s">
        <v>33092</v>
      </c>
      <c r="N2933" t="str">
        <f>"Ppp4r3a"</f>
        <v>Ppp4r3a</v>
      </c>
      <c r="O2933" s="3" t="str">
        <f>HYPERLINK("http://www.informatics.jax.org/marker/MGI:1915984", "MGI:1915984")</f>
        <v>MGI:1915984</v>
      </c>
      <c r="P2933" t="s">
        <v>33093</v>
      </c>
      <c r="Q2933" t="s">
        <v>32</v>
      </c>
      <c r="R2933" t="s">
        <v>324</v>
      </c>
      <c r="S2933" t="s">
        <v>41</v>
      </c>
      <c r="T2933" t="s">
        <v>32</v>
      </c>
      <c r="U2933" t="s">
        <v>32</v>
      </c>
      <c r="V2933" t="s">
        <v>32</v>
      </c>
      <c r="W2933" t="s">
        <v>32</v>
      </c>
      <c r="X2933" t="s">
        <v>32</v>
      </c>
      <c r="Y2933" t="s">
        <v>157</v>
      </c>
      <c r="Z2933" t="s">
        <v>32</v>
      </c>
      <c r="AA2933" t="s">
        <v>33094</v>
      </c>
      <c r="AB2933" t="s">
        <v>33095</v>
      </c>
      <c r="AC2933" t="s">
        <v>24412</v>
      </c>
      <c r="AD2933" t="s">
        <v>32</v>
      </c>
      <c r="AE2933" t="s">
        <v>32</v>
      </c>
      <c r="AF2933" t="s">
        <v>46835</v>
      </c>
    </row>
    <row r="2934" spans="1:32" x14ac:dyDescent="0.2">
      <c r="A2934">
        <v>2929</v>
      </c>
      <c r="B2934" t="s">
        <v>33096</v>
      </c>
      <c r="C2934" t="s">
        <v>33097</v>
      </c>
      <c r="D2934" t="s">
        <v>33098</v>
      </c>
      <c r="E2934" t="s">
        <v>33099</v>
      </c>
      <c r="F2934" t="s">
        <v>33100</v>
      </c>
      <c r="G2934" t="s">
        <v>33101</v>
      </c>
      <c r="H2934" t="str">
        <f>"Slc12a2"</f>
        <v>Slc12a2</v>
      </c>
      <c r="I2934" t="s">
        <v>33102</v>
      </c>
      <c r="J2934" t="s">
        <v>37</v>
      </c>
      <c r="K2934">
        <v>10090</v>
      </c>
      <c r="L2934" s="3" t="str">
        <f>HYPERLINK("http://www.uniprot.org/uniprot/P55012", "P55012")</f>
        <v>P55012</v>
      </c>
      <c r="M2934" t="s">
        <v>33103</v>
      </c>
      <c r="N2934" t="str">
        <f>"Slc12a2"</f>
        <v>Slc12a2</v>
      </c>
      <c r="O2934" s="3" t="str">
        <f>HYPERLINK("http://www.informatics.jax.org/marker/MGI:101924", "MGI:101924")</f>
        <v>MGI:101924</v>
      </c>
      <c r="P2934" t="s">
        <v>33104</v>
      </c>
      <c r="Q2934" t="s">
        <v>33105</v>
      </c>
      <c r="R2934" t="s">
        <v>2474</v>
      </c>
      <c r="S2934" t="s">
        <v>32</v>
      </c>
      <c r="T2934" t="s">
        <v>32</v>
      </c>
      <c r="U2934" t="s">
        <v>32</v>
      </c>
      <c r="V2934" t="s">
        <v>493</v>
      </c>
      <c r="W2934" t="s">
        <v>33106</v>
      </c>
      <c r="X2934" t="s">
        <v>32</v>
      </c>
      <c r="Y2934" t="s">
        <v>9015</v>
      </c>
      <c r="Z2934" t="s">
        <v>32</v>
      </c>
      <c r="AA2934" t="s">
        <v>33107</v>
      </c>
      <c r="AB2934" t="s">
        <v>33108</v>
      </c>
      <c r="AC2934" t="s">
        <v>33109</v>
      </c>
      <c r="AD2934" t="s">
        <v>32</v>
      </c>
      <c r="AE2934" t="s">
        <v>33110</v>
      </c>
      <c r="AF2934" t="s">
        <v>46835</v>
      </c>
    </row>
    <row r="2935" spans="1:32" x14ac:dyDescent="0.2">
      <c r="A2935">
        <v>2930</v>
      </c>
      <c r="B2935" t="s">
        <v>33111</v>
      </c>
      <c r="C2935" t="s">
        <v>33112</v>
      </c>
      <c r="D2935" t="s">
        <v>32</v>
      </c>
      <c r="E2935" t="s">
        <v>33113</v>
      </c>
      <c r="F2935" t="s">
        <v>33114</v>
      </c>
      <c r="G2935" t="s">
        <v>33115</v>
      </c>
      <c r="H2935" t="str">
        <f>"Thada"</f>
        <v>Thada</v>
      </c>
      <c r="I2935" t="s">
        <v>33116</v>
      </c>
      <c r="J2935" t="s">
        <v>37</v>
      </c>
      <c r="K2935">
        <v>10090</v>
      </c>
      <c r="L2935" s="3" t="str">
        <f>HYPERLINK("http://www.uniprot.org/uniprot/A8C756", "A8C756")</f>
        <v>A8C756</v>
      </c>
      <c r="M2935" t="s">
        <v>33117</v>
      </c>
      <c r="N2935" t="str">
        <f>"Thada"</f>
        <v>Thada</v>
      </c>
      <c r="O2935" s="3" t="str">
        <f>HYPERLINK("http://www.informatics.jax.org/marker/MGI:3039623", "MGI:3039623")</f>
        <v>MGI:3039623</v>
      </c>
      <c r="P2935" t="s">
        <v>13508</v>
      </c>
      <c r="Q2935" t="s">
        <v>32</v>
      </c>
      <c r="R2935" t="s">
        <v>32</v>
      </c>
      <c r="S2935" t="s">
        <v>41</v>
      </c>
      <c r="T2935" t="s">
        <v>32</v>
      </c>
      <c r="U2935" t="s">
        <v>32</v>
      </c>
      <c r="V2935" t="s">
        <v>290</v>
      </c>
      <c r="W2935" t="s">
        <v>32</v>
      </c>
      <c r="X2935" t="s">
        <v>32</v>
      </c>
      <c r="Y2935" t="s">
        <v>618</v>
      </c>
      <c r="Z2935" t="s">
        <v>32</v>
      </c>
      <c r="AA2935" t="s">
        <v>33118</v>
      </c>
      <c r="AB2935" t="s">
        <v>16036</v>
      </c>
      <c r="AC2935" t="s">
        <v>32</v>
      </c>
      <c r="AD2935" t="s">
        <v>32</v>
      </c>
      <c r="AE2935" t="s">
        <v>32</v>
      </c>
      <c r="AF2935" t="s">
        <v>46835</v>
      </c>
    </row>
    <row r="2936" spans="1:32" x14ac:dyDescent="0.2">
      <c r="A2936">
        <v>2931</v>
      </c>
      <c r="B2936" t="s">
        <v>33119</v>
      </c>
      <c r="C2936" t="s">
        <v>33120</v>
      </c>
      <c r="D2936" t="s">
        <v>33121</v>
      </c>
      <c r="E2936" t="s">
        <v>33122</v>
      </c>
      <c r="F2936" t="s">
        <v>33123</v>
      </c>
      <c r="G2936" t="s">
        <v>32</v>
      </c>
      <c r="H2936" t="str">
        <f>"Prkci"</f>
        <v>Prkci</v>
      </c>
      <c r="I2936" t="s">
        <v>33124</v>
      </c>
      <c r="J2936" t="s">
        <v>37</v>
      </c>
      <c r="K2936">
        <v>10090</v>
      </c>
      <c r="L2936" s="3" t="str">
        <f>HYPERLINK("http://www.uniprot.org/uniprot/Q62074", "Q62074")</f>
        <v>Q62074</v>
      </c>
      <c r="M2936" t="s">
        <v>33125</v>
      </c>
      <c r="N2936" t="str">
        <f>"Prkci"</f>
        <v>Prkci</v>
      </c>
      <c r="O2936" s="3" t="str">
        <f>HYPERLINK("http://www.informatics.jax.org/marker/MGI:99260", "MGI:99260")</f>
        <v>MGI:99260</v>
      </c>
      <c r="P2936" t="s">
        <v>33126</v>
      </c>
      <c r="Q2936" t="s">
        <v>32</v>
      </c>
      <c r="R2936" t="s">
        <v>7802</v>
      </c>
      <c r="S2936" t="s">
        <v>32</v>
      </c>
      <c r="T2936" t="s">
        <v>32</v>
      </c>
      <c r="U2936" t="s">
        <v>27831</v>
      </c>
      <c r="V2936" t="s">
        <v>446</v>
      </c>
      <c r="W2936" t="s">
        <v>2325</v>
      </c>
      <c r="X2936" t="s">
        <v>19330</v>
      </c>
      <c r="Y2936" t="s">
        <v>157</v>
      </c>
      <c r="Z2936" t="s">
        <v>126</v>
      </c>
      <c r="AA2936" t="s">
        <v>33127</v>
      </c>
      <c r="AB2936" t="s">
        <v>33128</v>
      </c>
      <c r="AC2936" t="s">
        <v>33129</v>
      </c>
      <c r="AD2936" t="s">
        <v>32</v>
      </c>
      <c r="AE2936" t="s">
        <v>33130</v>
      </c>
      <c r="AF2936" t="s">
        <v>46835</v>
      </c>
    </row>
    <row r="2937" spans="1:32" x14ac:dyDescent="0.2">
      <c r="A2937">
        <v>2932</v>
      </c>
      <c r="B2937" t="s">
        <v>33131</v>
      </c>
      <c r="C2937" t="s">
        <v>33132</v>
      </c>
      <c r="D2937" t="s">
        <v>32</v>
      </c>
      <c r="E2937" t="s">
        <v>33133</v>
      </c>
      <c r="F2937" t="s">
        <v>33134</v>
      </c>
      <c r="G2937" t="s">
        <v>32</v>
      </c>
      <c r="H2937" t="str">
        <f>"Tbc1d13"</f>
        <v>Tbc1d13</v>
      </c>
      <c r="I2937" t="s">
        <v>32</v>
      </c>
      <c r="J2937" t="s">
        <v>37</v>
      </c>
      <c r="K2937">
        <v>10090</v>
      </c>
      <c r="L2937" s="3" t="str">
        <f>HYPERLINK("http://www.uniprot.org/uniprot/Q8R3D1", "Q8R3D1")</f>
        <v>Q8R3D1</v>
      </c>
      <c r="M2937" t="s">
        <v>33135</v>
      </c>
      <c r="N2937" t="str">
        <f>"Tbc1d13"</f>
        <v>Tbc1d13</v>
      </c>
      <c r="O2937" s="3" t="str">
        <f>HYPERLINK("http://www.informatics.jax.org/marker/MGI:2385326", "MGI:2385326")</f>
        <v>MGI:2385326</v>
      </c>
      <c r="P2937" t="s">
        <v>33136</v>
      </c>
      <c r="Q2937" t="s">
        <v>32</v>
      </c>
      <c r="R2937" t="s">
        <v>714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715</v>
      </c>
      <c r="Y2937" t="s">
        <v>32</v>
      </c>
      <c r="Z2937" t="s">
        <v>32</v>
      </c>
      <c r="AA2937" t="s">
        <v>33137</v>
      </c>
      <c r="AB2937" t="s">
        <v>22509</v>
      </c>
      <c r="AC2937" t="s">
        <v>27623</v>
      </c>
      <c r="AD2937" t="s">
        <v>32</v>
      </c>
      <c r="AE2937" t="s">
        <v>20884</v>
      </c>
      <c r="AF2937" t="s">
        <v>46835</v>
      </c>
    </row>
    <row r="2938" spans="1:32" x14ac:dyDescent="0.2">
      <c r="A2938">
        <v>2933</v>
      </c>
      <c r="B2938" t="s">
        <v>33138</v>
      </c>
      <c r="C2938" t="s">
        <v>33139</v>
      </c>
      <c r="D2938" t="s">
        <v>33140</v>
      </c>
      <c r="E2938" t="s">
        <v>33141</v>
      </c>
      <c r="F2938" t="s">
        <v>33142</v>
      </c>
      <c r="G2938" t="s">
        <v>33143</v>
      </c>
      <c r="H2938" t="str">
        <f>"Htra2"</f>
        <v>Htra2</v>
      </c>
      <c r="I2938" t="s">
        <v>33144</v>
      </c>
      <c r="J2938" t="s">
        <v>37</v>
      </c>
      <c r="K2938">
        <v>10090</v>
      </c>
      <c r="L2938" s="3" t="str">
        <f>HYPERLINK("http://www.uniprot.org/uniprot/Q9JIY5", "Q9JIY5")</f>
        <v>Q9JIY5</v>
      </c>
      <c r="M2938" t="s">
        <v>33145</v>
      </c>
      <c r="N2938" t="str">
        <f>"Htra2"</f>
        <v>Htra2</v>
      </c>
      <c r="O2938" s="3" t="str">
        <f>HYPERLINK("http://www.informatics.jax.org/marker/MGI:1928676", "MGI:1928676")</f>
        <v>MGI:1928676</v>
      </c>
      <c r="P2938" t="s">
        <v>33146</v>
      </c>
      <c r="Q2938" t="s">
        <v>541</v>
      </c>
      <c r="R2938" t="s">
        <v>6354</v>
      </c>
      <c r="S2938" t="s">
        <v>32</v>
      </c>
      <c r="T2938" t="s">
        <v>32</v>
      </c>
      <c r="U2938" t="s">
        <v>32</v>
      </c>
      <c r="V2938" t="s">
        <v>3859</v>
      </c>
      <c r="W2938" t="s">
        <v>32</v>
      </c>
      <c r="X2938" t="s">
        <v>4493</v>
      </c>
      <c r="Y2938" t="s">
        <v>4013</v>
      </c>
      <c r="Z2938" t="s">
        <v>32</v>
      </c>
      <c r="AA2938" t="s">
        <v>33147</v>
      </c>
      <c r="AB2938" t="s">
        <v>33148</v>
      </c>
      <c r="AC2938" t="s">
        <v>33149</v>
      </c>
      <c r="AD2938" t="s">
        <v>32</v>
      </c>
      <c r="AE2938" t="s">
        <v>32</v>
      </c>
      <c r="AF2938" t="s">
        <v>46835</v>
      </c>
    </row>
    <row r="2939" spans="1:32" x14ac:dyDescent="0.2">
      <c r="A2939">
        <v>2934</v>
      </c>
      <c r="B2939" t="s">
        <v>33150</v>
      </c>
      <c r="C2939" t="s">
        <v>33151</v>
      </c>
      <c r="D2939" t="s">
        <v>33152</v>
      </c>
      <c r="E2939" t="s">
        <v>33153</v>
      </c>
      <c r="F2939" t="s">
        <v>33154</v>
      </c>
      <c r="G2939" t="s">
        <v>33155</v>
      </c>
      <c r="H2939" t="str">
        <f>"Ppp1r9b"</f>
        <v>Ppp1r9b</v>
      </c>
      <c r="I2939" t="s">
        <v>32</v>
      </c>
      <c r="J2939" t="s">
        <v>37</v>
      </c>
      <c r="K2939">
        <v>10090</v>
      </c>
      <c r="L2939" s="3" t="str">
        <f>HYPERLINK("http://www.uniprot.org/uniprot/Q6R891", "Q6R891")</f>
        <v>Q6R891</v>
      </c>
      <c r="M2939" t="s">
        <v>33156</v>
      </c>
      <c r="N2939" t="str">
        <f>"Ppp1r9b"</f>
        <v>Ppp1r9b</v>
      </c>
      <c r="O2939" s="3" t="str">
        <f>HYPERLINK("http://www.informatics.jax.org/marker/MGI:2387581", "MGI:2387581")</f>
        <v>MGI:2387581</v>
      </c>
      <c r="P2939" t="s">
        <v>33157</v>
      </c>
      <c r="Q2939" t="s">
        <v>2027</v>
      </c>
      <c r="R2939" t="s">
        <v>2601</v>
      </c>
      <c r="S2939" t="s">
        <v>41</v>
      </c>
      <c r="T2939" t="s">
        <v>32</v>
      </c>
      <c r="U2939" t="s">
        <v>32</v>
      </c>
      <c r="V2939" t="s">
        <v>290</v>
      </c>
      <c r="W2939" t="s">
        <v>32</v>
      </c>
      <c r="X2939" t="s">
        <v>5157</v>
      </c>
      <c r="Y2939" t="s">
        <v>618</v>
      </c>
      <c r="Z2939" t="s">
        <v>32</v>
      </c>
      <c r="AA2939" t="s">
        <v>33158</v>
      </c>
      <c r="AB2939" t="s">
        <v>33159</v>
      </c>
      <c r="AC2939" t="s">
        <v>33160</v>
      </c>
      <c r="AD2939" t="s">
        <v>32</v>
      </c>
      <c r="AE2939" t="s">
        <v>32</v>
      </c>
      <c r="AF2939" t="s">
        <v>46835</v>
      </c>
    </row>
    <row r="2940" spans="1:32" x14ac:dyDescent="0.2">
      <c r="A2940">
        <v>2935</v>
      </c>
      <c r="B2940" t="s">
        <v>33161</v>
      </c>
      <c r="C2940" t="s">
        <v>33162</v>
      </c>
      <c r="D2940" t="s">
        <v>32</v>
      </c>
      <c r="E2940" t="s">
        <v>33163</v>
      </c>
      <c r="F2940" t="s">
        <v>33164</v>
      </c>
      <c r="G2940" t="s">
        <v>33165</v>
      </c>
      <c r="H2940" t="str">
        <f>"Emd"</f>
        <v>Emd</v>
      </c>
      <c r="I2940" t="s">
        <v>33166</v>
      </c>
      <c r="J2940" t="s">
        <v>37</v>
      </c>
      <c r="K2940">
        <v>10090</v>
      </c>
      <c r="L2940" s="3" t="str">
        <f>HYPERLINK("http://www.uniprot.org/uniprot/O08579", "O08579")</f>
        <v>O08579</v>
      </c>
      <c r="M2940" t="s">
        <v>33167</v>
      </c>
      <c r="N2940" t="str">
        <f>"Emd"</f>
        <v>Emd</v>
      </c>
      <c r="O2940" s="3" t="str">
        <f>HYPERLINK("http://www.informatics.jax.org/marker/MGI:108117", "MGI:108117")</f>
        <v>MGI:108117</v>
      </c>
      <c r="P2940" t="s">
        <v>33168</v>
      </c>
      <c r="Q2940" t="s">
        <v>32</v>
      </c>
      <c r="R2940" t="s">
        <v>33169</v>
      </c>
      <c r="S2940" t="s">
        <v>32</v>
      </c>
      <c r="T2940" t="s">
        <v>32</v>
      </c>
      <c r="U2940" t="s">
        <v>32</v>
      </c>
      <c r="V2940" t="s">
        <v>493</v>
      </c>
      <c r="W2940" t="s">
        <v>32</v>
      </c>
      <c r="X2940" t="s">
        <v>405</v>
      </c>
      <c r="Y2940" t="s">
        <v>157</v>
      </c>
      <c r="Z2940" t="s">
        <v>32</v>
      </c>
      <c r="AA2940" t="s">
        <v>33170</v>
      </c>
      <c r="AB2940" t="s">
        <v>33171</v>
      </c>
      <c r="AC2940" t="s">
        <v>33172</v>
      </c>
      <c r="AD2940" t="s">
        <v>32</v>
      </c>
      <c r="AE2940" t="s">
        <v>33173</v>
      </c>
      <c r="AF2940" t="s">
        <v>46835</v>
      </c>
    </row>
    <row r="2941" spans="1:32" x14ac:dyDescent="0.2">
      <c r="A2941">
        <v>2936</v>
      </c>
      <c r="B2941" t="s">
        <v>33174</v>
      </c>
      <c r="C2941" t="s">
        <v>33175</v>
      </c>
      <c r="D2941" t="s">
        <v>33176</v>
      </c>
      <c r="E2941" t="s">
        <v>33177</v>
      </c>
      <c r="F2941" t="s">
        <v>33178</v>
      </c>
      <c r="G2941" t="s">
        <v>33179</v>
      </c>
      <c r="H2941" t="str">
        <f>"Plch1"</f>
        <v>Plch1</v>
      </c>
      <c r="I2941" t="s">
        <v>33180</v>
      </c>
      <c r="J2941" t="s">
        <v>37</v>
      </c>
      <c r="K2941">
        <v>10090</v>
      </c>
      <c r="L2941" s="3" t="str">
        <f>HYPERLINK("http://www.uniprot.org/uniprot/Q4KWH5", "Q4KWH5")</f>
        <v>Q4KWH5</v>
      </c>
      <c r="M2941" t="s">
        <v>33181</v>
      </c>
      <c r="N2941" t="str">
        <f>"Plch1"</f>
        <v>Plch1</v>
      </c>
      <c r="O2941" s="3" t="str">
        <f>HYPERLINK("http://www.informatics.jax.org/marker/MGI:2683547", "MGI:2683547")</f>
        <v>MGI:2683547</v>
      </c>
      <c r="P2941" t="s">
        <v>33182</v>
      </c>
      <c r="Q2941" t="s">
        <v>4809</v>
      </c>
      <c r="R2941" t="s">
        <v>714</v>
      </c>
      <c r="S2941" t="s">
        <v>41</v>
      </c>
      <c r="T2941" t="s">
        <v>32</v>
      </c>
      <c r="U2941" t="s">
        <v>32</v>
      </c>
      <c r="V2941" t="s">
        <v>55</v>
      </c>
      <c r="W2941" t="s">
        <v>188</v>
      </c>
      <c r="X2941" t="s">
        <v>33183</v>
      </c>
      <c r="Y2941" t="s">
        <v>32</v>
      </c>
      <c r="Z2941" t="s">
        <v>32</v>
      </c>
      <c r="AA2941" t="s">
        <v>33184</v>
      </c>
      <c r="AB2941" t="s">
        <v>33185</v>
      </c>
      <c r="AC2941" t="s">
        <v>33186</v>
      </c>
      <c r="AD2941" t="s">
        <v>32</v>
      </c>
      <c r="AE2941" t="s">
        <v>33187</v>
      </c>
      <c r="AF2941" t="s">
        <v>46835</v>
      </c>
    </row>
    <row r="2942" spans="1:32" x14ac:dyDescent="0.2">
      <c r="A2942">
        <v>2937</v>
      </c>
      <c r="B2942" t="s">
        <v>33188</v>
      </c>
      <c r="C2942" t="s">
        <v>33189</v>
      </c>
      <c r="D2942" t="s">
        <v>33190</v>
      </c>
      <c r="E2942" t="s">
        <v>33191</v>
      </c>
      <c r="F2942" t="s">
        <v>33192</v>
      </c>
      <c r="G2942" t="s">
        <v>33193</v>
      </c>
      <c r="H2942" t="str">
        <f>"Slc25a20"</f>
        <v>Slc25a20</v>
      </c>
      <c r="I2942" t="s">
        <v>33194</v>
      </c>
      <c r="J2942" t="s">
        <v>37</v>
      </c>
      <c r="K2942">
        <v>10090</v>
      </c>
      <c r="L2942" s="3" t="str">
        <f>HYPERLINK("http://www.uniprot.org/uniprot/Q9Z2Z6", "Q9Z2Z6")</f>
        <v>Q9Z2Z6</v>
      </c>
      <c r="M2942" t="s">
        <v>33195</v>
      </c>
      <c r="N2942" t="str">
        <f>"Slc25a20"</f>
        <v>Slc25a20</v>
      </c>
      <c r="O2942" s="3" t="str">
        <f>HYPERLINK("http://www.informatics.jax.org/marker/MGI:1928738", "MGI:1928738")</f>
        <v>MGI:1928738</v>
      </c>
      <c r="P2942" t="s">
        <v>33196</v>
      </c>
      <c r="Q2942" t="s">
        <v>582</v>
      </c>
      <c r="R2942" t="s">
        <v>3858</v>
      </c>
      <c r="S2942" t="s">
        <v>32</v>
      </c>
      <c r="T2942" t="s">
        <v>32</v>
      </c>
      <c r="U2942" t="s">
        <v>32</v>
      </c>
      <c r="V2942" t="s">
        <v>1620</v>
      </c>
      <c r="W2942" t="s">
        <v>32</v>
      </c>
      <c r="X2942" t="s">
        <v>32</v>
      </c>
      <c r="Y2942" t="s">
        <v>78</v>
      </c>
      <c r="Z2942" t="s">
        <v>32</v>
      </c>
      <c r="AA2942" t="s">
        <v>33197</v>
      </c>
      <c r="AB2942" t="s">
        <v>33198</v>
      </c>
      <c r="AC2942" t="s">
        <v>33199</v>
      </c>
      <c r="AD2942" t="s">
        <v>32</v>
      </c>
      <c r="AE2942" t="s">
        <v>7308</v>
      </c>
      <c r="AF2942" t="s">
        <v>46835</v>
      </c>
    </row>
    <row r="2943" spans="1:32" x14ac:dyDescent="0.2">
      <c r="A2943">
        <v>2938</v>
      </c>
      <c r="B2943" t="s">
        <v>33200</v>
      </c>
      <c r="C2943" t="s">
        <v>33201</v>
      </c>
      <c r="D2943" t="s">
        <v>33202</v>
      </c>
      <c r="E2943" t="s">
        <v>33203</v>
      </c>
      <c r="F2943" t="s">
        <v>33204</v>
      </c>
      <c r="G2943" t="s">
        <v>33205</v>
      </c>
      <c r="H2943" t="str">
        <f>"Sort1"</f>
        <v>Sort1</v>
      </c>
      <c r="I2943" t="s">
        <v>32</v>
      </c>
      <c r="J2943" t="s">
        <v>37</v>
      </c>
      <c r="K2943">
        <v>10090</v>
      </c>
      <c r="L2943" s="3" t="str">
        <f>HYPERLINK("http://www.uniprot.org/uniprot/Q6PHU5", "Q6PHU5")</f>
        <v>Q6PHU5</v>
      </c>
      <c r="M2943" t="s">
        <v>33206</v>
      </c>
      <c r="N2943" t="str">
        <f>"Sort1"</f>
        <v>Sort1</v>
      </c>
      <c r="O2943" s="3" t="str">
        <f>HYPERLINK("http://www.informatics.jax.org/marker/MGI:1338015", "MGI:1338015")</f>
        <v>MGI:1338015</v>
      </c>
      <c r="P2943" t="s">
        <v>33207</v>
      </c>
      <c r="Q2943" t="s">
        <v>33208</v>
      </c>
      <c r="R2943" t="s">
        <v>33209</v>
      </c>
      <c r="S2943" t="s">
        <v>41</v>
      </c>
      <c r="T2943" t="s">
        <v>32</v>
      </c>
      <c r="U2943" t="s">
        <v>32</v>
      </c>
      <c r="V2943" t="s">
        <v>1665</v>
      </c>
      <c r="W2943" t="s">
        <v>32</v>
      </c>
      <c r="X2943" t="s">
        <v>9014</v>
      </c>
      <c r="Y2943" t="s">
        <v>11753</v>
      </c>
      <c r="Z2943" t="s">
        <v>126</v>
      </c>
      <c r="AA2943" t="s">
        <v>33210</v>
      </c>
      <c r="AB2943" t="s">
        <v>33211</v>
      </c>
      <c r="AC2943" t="s">
        <v>33212</v>
      </c>
      <c r="AD2943" t="s">
        <v>32</v>
      </c>
      <c r="AE2943" t="s">
        <v>10968</v>
      </c>
      <c r="AF2943" t="s">
        <v>46835</v>
      </c>
    </row>
    <row r="2944" spans="1:32" x14ac:dyDescent="0.2">
      <c r="A2944">
        <v>2939</v>
      </c>
      <c r="B2944" t="s">
        <v>33213</v>
      </c>
      <c r="C2944" t="s">
        <v>33214</v>
      </c>
      <c r="D2944" t="s">
        <v>33215</v>
      </c>
      <c r="E2944" t="s">
        <v>33216</v>
      </c>
      <c r="F2944" t="s">
        <v>33217</v>
      </c>
      <c r="G2944" t="s">
        <v>33218</v>
      </c>
      <c r="H2944" t="str">
        <f>"Golga3"</f>
        <v>Golga3</v>
      </c>
      <c r="I2944" t="s">
        <v>33219</v>
      </c>
      <c r="J2944" t="s">
        <v>37</v>
      </c>
      <c r="K2944">
        <v>10090</v>
      </c>
      <c r="L2944" s="3" t="str">
        <f>HYPERLINK("http://www.uniprot.org/uniprot/P55937", "P55937")</f>
        <v>P55937</v>
      </c>
      <c r="M2944" t="s">
        <v>33220</v>
      </c>
      <c r="N2944" t="str">
        <f>"Golga3"</f>
        <v>Golga3</v>
      </c>
      <c r="O2944" s="3" t="str">
        <f>HYPERLINK("http://www.informatics.jax.org/marker/MGI:96958", "MGI:96958")</f>
        <v>MGI:96958</v>
      </c>
      <c r="P2944" t="s">
        <v>33221</v>
      </c>
      <c r="Q2944" t="s">
        <v>615</v>
      </c>
      <c r="R2944" t="s">
        <v>7998</v>
      </c>
      <c r="S2944" t="s">
        <v>41</v>
      </c>
      <c r="T2944" t="s">
        <v>32</v>
      </c>
      <c r="U2944" t="s">
        <v>32</v>
      </c>
      <c r="V2944" t="s">
        <v>290</v>
      </c>
      <c r="W2944" t="s">
        <v>32</v>
      </c>
      <c r="X2944" t="s">
        <v>2029</v>
      </c>
      <c r="Y2944" t="s">
        <v>157</v>
      </c>
      <c r="Z2944" t="s">
        <v>32</v>
      </c>
      <c r="AA2944" t="s">
        <v>9694</v>
      </c>
      <c r="AB2944" t="s">
        <v>33222</v>
      </c>
      <c r="AC2944" t="s">
        <v>32</v>
      </c>
      <c r="AD2944" t="s">
        <v>32</v>
      </c>
      <c r="AE2944" t="s">
        <v>33223</v>
      </c>
      <c r="AF2944" t="s">
        <v>46835</v>
      </c>
    </row>
    <row r="2945" spans="1:33" x14ac:dyDescent="0.2">
      <c r="A2945">
        <v>2940</v>
      </c>
      <c r="B2945" t="s">
        <v>33224</v>
      </c>
      <c r="C2945" t="s">
        <v>47191</v>
      </c>
      <c r="D2945" t="s">
        <v>32</v>
      </c>
      <c r="E2945" t="s">
        <v>47002</v>
      </c>
      <c r="F2945" t="s">
        <v>47001</v>
      </c>
      <c r="G2945" t="s">
        <v>32</v>
      </c>
      <c r="H2945" t="s">
        <v>47322</v>
      </c>
      <c r="I2945" t="s">
        <v>32</v>
      </c>
      <c r="J2945" t="s">
        <v>37</v>
      </c>
      <c r="K2945">
        <v>10090</v>
      </c>
      <c r="L2945" s="3" t="str">
        <f>HYPERLINK(CONCATENATE("https://www.uniprot.org/uniprotkb/", AG2945, "/entry"), AG2945)</f>
        <v>E9Q411</v>
      </c>
      <c r="M2945" t="s">
        <v>32</v>
      </c>
      <c r="N2945" t="s">
        <v>32</v>
      </c>
      <c r="O2945" s="3" t="s">
        <v>32</v>
      </c>
      <c r="P2945" t="s">
        <v>32</v>
      </c>
      <c r="Q2945" t="s">
        <v>32</v>
      </c>
      <c r="R2945" t="s">
        <v>32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32</v>
      </c>
      <c r="Y2945" t="s">
        <v>32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t="s">
        <v>46835</v>
      </c>
      <c r="AG2945" t="s">
        <v>47001</v>
      </c>
    </row>
    <row r="2946" spans="1:33" x14ac:dyDescent="0.2">
      <c r="A2946">
        <v>2941</v>
      </c>
      <c r="B2946" t="s">
        <v>33225</v>
      </c>
      <c r="C2946" t="s">
        <v>33226</v>
      </c>
      <c r="D2946" t="s">
        <v>33227</v>
      </c>
      <c r="E2946" t="s">
        <v>33228</v>
      </c>
      <c r="F2946" t="s">
        <v>33229</v>
      </c>
      <c r="G2946" t="s">
        <v>33230</v>
      </c>
      <c r="H2946" t="str">
        <f>"Dap3"</f>
        <v>Dap3</v>
      </c>
      <c r="I2946" t="s">
        <v>33231</v>
      </c>
      <c r="J2946" t="s">
        <v>37</v>
      </c>
      <c r="K2946">
        <v>10090</v>
      </c>
      <c r="L2946" s="3" t="str">
        <f>HYPERLINK("http://www.uniprot.org/uniprot/Q9ER88", "Q9ER88")</f>
        <v>Q9ER88</v>
      </c>
      <c r="M2946" t="s">
        <v>33232</v>
      </c>
      <c r="N2946" t="str">
        <f>"Dap3"</f>
        <v>Dap3</v>
      </c>
      <c r="O2946" s="3" t="str">
        <f>HYPERLINK("http://www.informatics.jax.org/marker/MGI:1929538", "MGI:1929538")</f>
        <v>MGI:1929538</v>
      </c>
      <c r="P2946" t="s">
        <v>33233</v>
      </c>
      <c r="Q2946" t="s">
        <v>541</v>
      </c>
      <c r="R2946" t="s">
        <v>1038</v>
      </c>
      <c r="S2946" t="s">
        <v>41</v>
      </c>
      <c r="T2946" t="s">
        <v>32</v>
      </c>
      <c r="U2946" t="s">
        <v>32</v>
      </c>
      <c r="V2946" t="s">
        <v>1039</v>
      </c>
      <c r="W2946" t="s">
        <v>32</v>
      </c>
      <c r="X2946" t="s">
        <v>447</v>
      </c>
      <c r="Y2946" t="s">
        <v>78</v>
      </c>
      <c r="Z2946" t="s">
        <v>32</v>
      </c>
      <c r="AA2946" t="s">
        <v>33234</v>
      </c>
      <c r="AB2946" t="s">
        <v>33235</v>
      </c>
      <c r="AC2946" t="s">
        <v>1010</v>
      </c>
      <c r="AD2946" t="s">
        <v>32</v>
      </c>
      <c r="AE2946" t="s">
        <v>17271</v>
      </c>
      <c r="AF2946" t="s">
        <v>46835</v>
      </c>
    </row>
    <row r="2947" spans="1:33" x14ac:dyDescent="0.2">
      <c r="A2947">
        <v>2942</v>
      </c>
      <c r="B2947" t="s">
        <v>33236</v>
      </c>
      <c r="C2947" t="s">
        <v>33237</v>
      </c>
      <c r="D2947" t="s">
        <v>33238</v>
      </c>
      <c r="E2947" t="s">
        <v>33239</v>
      </c>
      <c r="F2947" t="s">
        <v>33240</v>
      </c>
      <c r="G2947" t="s">
        <v>33241</v>
      </c>
      <c r="H2947" t="str">
        <f>"Alcam"</f>
        <v>Alcam</v>
      </c>
      <c r="I2947" t="s">
        <v>32</v>
      </c>
      <c r="J2947" t="s">
        <v>37</v>
      </c>
      <c r="K2947">
        <v>10090</v>
      </c>
      <c r="L2947" s="3" t="str">
        <f>HYPERLINK("http://www.uniprot.org/uniprot/Q61490", "Q61490")</f>
        <v>Q61490</v>
      </c>
      <c r="M2947" t="s">
        <v>33242</v>
      </c>
      <c r="N2947" t="str">
        <f>"Alcam"</f>
        <v>Alcam</v>
      </c>
      <c r="O2947" s="3" t="str">
        <f>HYPERLINK("http://www.informatics.jax.org/marker/MGI:1313266", "MGI:1313266")</f>
        <v>MGI:1313266</v>
      </c>
      <c r="P2947" t="s">
        <v>33243</v>
      </c>
      <c r="Q2947" t="s">
        <v>33244</v>
      </c>
      <c r="R2947" t="s">
        <v>2943</v>
      </c>
      <c r="S2947" t="s">
        <v>32</v>
      </c>
      <c r="T2947" t="s">
        <v>32</v>
      </c>
      <c r="U2947" t="s">
        <v>32</v>
      </c>
      <c r="V2947" t="s">
        <v>2864</v>
      </c>
      <c r="W2947" t="s">
        <v>32</v>
      </c>
      <c r="X2947" t="s">
        <v>32</v>
      </c>
      <c r="Y2947" t="s">
        <v>5275</v>
      </c>
      <c r="Z2947" t="s">
        <v>32</v>
      </c>
      <c r="AA2947" t="s">
        <v>33245</v>
      </c>
      <c r="AB2947" t="s">
        <v>33246</v>
      </c>
      <c r="AC2947" t="s">
        <v>4516</v>
      </c>
      <c r="AD2947" t="s">
        <v>32</v>
      </c>
      <c r="AE2947" t="s">
        <v>32</v>
      </c>
      <c r="AF2947" t="s">
        <v>46835</v>
      </c>
    </row>
    <row r="2948" spans="1:33" x14ac:dyDescent="0.2">
      <c r="A2948">
        <v>2943</v>
      </c>
      <c r="B2948" t="s">
        <v>33247</v>
      </c>
      <c r="C2948" t="s">
        <v>33248</v>
      </c>
      <c r="D2948" t="s">
        <v>32</v>
      </c>
      <c r="E2948" t="s">
        <v>33249</v>
      </c>
      <c r="F2948" t="s">
        <v>33250</v>
      </c>
      <c r="G2948" t="s">
        <v>33251</v>
      </c>
      <c r="H2948" t="str">
        <f>"Mrpl1"</f>
        <v>Mrpl1</v>
      </c>
      <c r="I2948" t="s">
        <v>32</v>
      </c>
      <c r="J2948" t="s">
        <v>37</v>
      </c>
      <c r="K2948">
        <v>10090</v>
      </c>
      <c r="L2948" s="3" t="str">
        <f>HYPERLINK("http://www.uniprot.org/uniprot/Q99N96", "Q99N96")</f>
        <v>Q99N96</v>
      </c>
      <c r="M2948" t="s">
        <v>33252</v>
      </c>
      <c r="N2948" t="str">
        <f>"Mrpl1"</f>
        <v>Mrpl1</v>
      </c>
      <c r="O2948" s="3" t="str">
        <f>HYPERLINK("http://www.informatics.jax.org/marker/MGI:2137202", "MGI:2137202")</f>
        <v>MGI:2137202</v>
      </c>
      <c r="P2948" t="s">
        <v>27153</v>
      </c>
      <c r="Q2948" t="s">
        <v>32</v>
      </c>
      <c r="R2948" t="s">
        <v>1038</v>
      </c>
      <c r="S2948" t="s">
        <v>32</v>
      </c>
      <c r="T2948" t="s">
        <v>32</v>
      </c>
      <c r="U2948" t="s">
        <v>32</v>
      </c>
      <c r="V2948" t="s">
        <v>1039</v>
      </c>
      <c r="W2948" t="s">
        <v>32</v>
      </c>
      <c r="X2948" t="s">
        <v>447</v>
      </c>
      <c r="Y2948" t="s">
        <v>618</v>
      </c>
      <c r="Z2948" t="s">
        <v>32</v>
      </c>
      <c r="AA2948" t="s">
        <v>33253</v>
      </c>
      <c r="AB2948" t="s">
        <v>33254</v>
      </c>
      <c r="AC2948" t="s">
        <v>1056</v>
      </c>
      <c r="AD2948" t="s">
        <v>32</v>
      </c>
      <c r="AE2948" t="s">
        <v>17271</v>
      </c>
      <c r="AF2948" t="s">
        <v>46835</v>
      </c>
    </row>
    <row r="2949" spans="1:33" x14ac:dyDescent="0.2">
      <c r="A2949">
        <v>2944</v>
      </c>
      <c r="B2949" t="s">
        <v>33255</v>
      </c>
      <c r="C2949" t="s">
        <v>33256</v>
      </c>
      <c r="D2949" t="s">
        <v>33257</v>
      </c>
      <c r="E2949" t="s">
        <v>33258</v>
      </c>
      <c r="F2949" t="s">
        <v>33259</v>
      </c>
      <c r="G2949" t="s">
        <v>33260</v>
      </c>
      <c r="H2949" t="str">
        <f>"Nexn"</f>
        <v>Nexn</v>
      </c>
      <c r="I2949" t="s">
        <v>32</v>
      </c>
      <c r="J2949" t="s">
        <v>37</v>
      </c>
      <c r="K2949">
        <v>10090</v>
      </c>
      <c r="L2949" s="3" t="str">
        <f>HYPERLINK("http://www.uniprot.org/uniprot/Q7TPW1", "Q7TPW1")</f>
        <v>Q7TPW1</v>
      </c>
      <c r="M2949" t="s">
        <v>33261</v>
      </c>
      <c r="N2949" t="str">
        <f>"Nexn"</f>
        <v>Nexn</v>
      </c>
      <c r="O2949" s="3" t="str">
        <f>HYPERLINK("http://www.informatics.jax.org/marker/MGI:1916060", "MGI:1916060")</f>
        <v>MGI:1916060</v>
      </c>
      <c r="P2949" t="s">
        <v>33262</v>
      </c>
      <c r="Q2949" t="s">
        <v>32</v>
      </c>
      <c r="R2949" t="s">
        <v>403</v>
      </c>
      <c r="S2949" t="s">
        <v>32</v>
      </c>
      <c r="T2949" t="s">
        <v>32</v>
      </c>
      <c r="U2949" t="s">
        <v>32</v>
      </c>
      <c r="V2949" t="s">
        <v>32896</v>
      </c>
      <c r="W2949" t="s">
        <v>32</v>
      </c>
      <c r="X2949" t="s">
        <v>405</v>
      </c>
      <c r="Y2949" t="s">
        <v>618</v>
      </c>
      <c r="Z2949" t="s">
        <v>32</v>
      </c>
      <c r="AA2949" t="s">
        <v>33263</v>
      </c>
      <c r="AB2949" t="s">
        <v>33264</v>
      </c>
      <c r="AC2949" t="s">
        <v>33265</v>
      </c>
      <c r="AD2949" t="s">
        <v>32</v>
      </c>
      <c r="AE2949" t="s">
        <v>32</v>
      </c>
      <c r="AF2949" t="s">
        <v>46835</v>
      </c>
    </row>
    <row r="2950" spans="1:33" x14ac:dyDescent="0.2">
      <c r="A2950">
        <v>2945</v>
      </c>
      <c r="B2950" t="s">
        <v>33266</v>
      </c>
      <c r="C2950" t="s">
        <v>33267</v>
      </c>
      <c r="D2950" t="s">
        <v>33268</v>
      </c>
      <c r="E2950" t="s">
        <v>33269</v>
      </c>
      <c r="F2950" t="s">
        <v>33270</v>
      </c>
      <c r="G2950" t="s">
        <v>33271</v>
      </c>
      <c r="H2950" t="str">
        <f>"Rbm27"</f>
        <v>Rbm27</v>
      </c>
      <c r="I2950" t="s">
        <v>33272</v>
      </c>
      <c r="J2950" t="s">
        <v>37</v>
      </c>
      <c r="K2950">
        <v>10090</v>
      </c>
      <c r="L2950" s="3" t="str">
        <f>HYPERLINK("http://www.uniprot.org/uniprot/Q5SFM8", "Q5SFM8")</f>
        <v>Q5SFM8</v>
      </c>
      <c r="M2950" t="s">
        <v>33273</v>
      </c>
      <c r="N2950" t="str">
        <f>"Rbm27"</f>
        <v>Rbm27</v>
      </c>
      <c r="O2950" s="3" t="str">
        <f>HYPERLINK("http://www.informatics.jax.org/marker/MGI:2147194", "MGI:2147194")</f>
        <v>MGI:2147194</v>
      </c>
      <c r="P2950" t="s">
        <v>33274</v>
      </c>
      <c r="Q2950" t="s">
        <v>32</v>
      </c>
      <c r="R2950" t="s">
        <v>40</v>
      </c>
      <c r="S2950" t="s">
        <v>41</v>
      </c>
      <c r="T2950" t="s">
        <v>32</v>
      </c>
      <c r="U2950" t="s">
        <v>32</v>
      </c>
      <c r="V2950" t="s">
        <v>11171</v>
      </c>
      <c r="W2950" t="s">
        <v>42</v>
      </c>
      <c r="X2950" t="s">
        <v>1282</v>
      </c>
      <c r="Y2950" t="s">
        <v>2734</v>
      </c>
      <c r="Z2950" t="s">
        <v>32</v>
      </c>
      <c r="AA2950" t="s">
        <v>22205</v>
      </c>
      <c r="AB2950" t="s">
        <v>9671</v>
      </c>
      <c r="AC2950" t="s">
        <v>22206</v>
      </c>
      <c r="AD2950" t="s">
        <v>32</v>
      </c>
      <c r="AE2950" t="s">
        <v>32</v>
      </c>
      <c r="AF2950" t="s">
        <v>46835</v>
      </c>
    </row>
    <row r="2951" spans="1:33" x14ac:dyDescent="0.2">
      <c r="A2951">
        <v>2946</v>
      </c>
      <c r="B2951" t="s">
        <v>33275</v>
      </c>
      <c r="C2951" t="s">
        <v>33276</v>
      </c>
      <c r="D2951" t="s">
        <v>33277</v>
      </c>
      <c r="E2951" t="s">
        <v>33278</v>
      </c>
      <c r="F2951" t="s">
        <v>33279</v>
      </c>
      <c r="G2951" t="s">
        <v>32</v>
      </c>
      <c r="H2951" t="str">
        <f>"Pcbd2"</f>
        <v>Pcbd2</v>
      </c>
      <c r="I2951" t="s">
        <v>33280</v>
      </c>
      <c r="J2951" t="s">
        <v>37</v>
      </c>
      <c r="K2951">
        <v>10090</v>
      </c>
      <c r="L2951" s="3" t="str">
        <f>HYPERLINK("http://www.uniprot.org/uniprot/Q9CZL5", "Q9CZL5")</f>
        <v>Q9CZL5</v>
      </c>
      <c r="M2951" t="s">
        <v>33281</v>
      </c>
      <c r="N2951" t="str">
        <f>"Pcbd2"</f>
        <v>Pcbd2</v>
      </c>
      <c r="O2951" s="3" t="str">
        <f>HYPERLINK("http://www.informatics.jax.org/marker/MGI:1919812", "MGI:1919812")</f>
        <v>MGI:1919812</v>
      </c>
      <c r="P2951" t="s">
        <v>33282</v>
      </c>
      <c r="Q2951" t="s">
        <v>15180</v>
      </c>
      <c r="R2951" t="s">
        <v>32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224</v>
      </c>
      <c r="Y2951" t="s">
        <v>78</v>
      </c>
      <c r="Z2951" t="s">
        <v>126</v>
      </c>
      <c r="AA2951" t="s">
        <v>33283</v>
      </c>
      <c r="AB2951" t="s">
        <v>33284</v>
      </c>
      <c r="AC2951" t="s">
        <v>33285</v>
      </c>
      <c r="AD2951" t="s">
        <v>32</v>
      </c>
      <c r="AE2951" t="s">
        <v>32</v>
      </c>
      <c r="AF2951" t="s">
        <v>46835</v>
      </c>
    </row>
    <row r="2952" spans="1:33" x14ac:dyDescent="0.2">
      <c r="A2952">
        <v>2947</v>
      </c>
      <c r="B2952" t="s">
        <v>33286</v>
      </c>
      <c r="C2952" t="s">
        <v>47177</v>
      </c>
      <c r="D2952" t="s">
        <v>32</v>
      </c>
      <c r="E2952" t="s">
        <v>47004</v>
      </c>
      <c r="F2952" t="s">
        <v>47003</v>
      </c>
      <c r="G2952" t="s">
        <v>32</v>
      </c>
      <c r="H2952" t="s">
        <v>47308</v>
      </c>
      <c r="I2952" t="s">
        <v>32</v>
      </c>
      <c r="J2952" t="s">
        <v>37</v>
      </c>
      <c r="K2952">
        <v>10090</v>
      </c>
      <c r="L2952" s="3" t="str">
        <f>HYPERLINK(CONCATENATE("https://www.uniprot.org/uniprotkb/", AG2952, "/entry"), AG2952)</f>
        <v>F8VPP8</v>
      </c>
      <c r="M2952" t="s">
        <v>32</v>
      </c>
      <c r="N2952" t="s">
        <v>32</v>
      </c>
      <c r="O2952" s="3" t="s">
        <v>32</v>
      </c>
      <c r="P2952" t="s">
        <v>32</v>
      </c>
      <c r="Q2952" t="s">
        <v>32</v>
      </c>
      <c r="R2952" t="s">
        <v>32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32</v>
      </c>
      <c r="Y2952" t="s">
        <v>32</v>
      </c>
      <c r="Z2952" t="s">
        <v>32</v>
      </c>
      <c r="AA2952" t="s">
        <v>32</v>
      </c>
      <c r="AB2952" t="s">
        <v>32</v>
      </c>
      <c r="AC2952" t="s">
        <v>32</v>
      </c>
      <c r="AD2952" t="s">
        <v>32</v>
      </c>
      <c r="AE2952" t="s">
        <v>32</v>
      </c>
      <c r="AF2952" t="s">
        <v>46835</v>
      </c>
      <c r="AG2952" t="s">
        <v>47003</v>
      </c>
    </row>
    <row r="2953" spans="1:33" x14ac:dyDescent="0.2">
      <c r="A2953">
        <v>2948</v>
      </c>
      <c r="B2953" t="s">
        <v>33287</v>
      </c>
      <c r="C2953" t="s">
        <v>33288</v>
      </c>
      <c r="D2953" t="s">
        <v>33289</v>
      </c>
      <c r="E2953" t="s">
        <v>33290</v>
      </c>
      <c r="F2953" t="s">
        <v>33291</v>
      </c>
      <c r="G2953" t="s">
        <v>33292</v>
      </c>
      <c r="H2953" t="str">
        <f>"Stag1"</f>
        <v>Stag1</v>
      </c>
      <c r="I2953" t="s">
        <v>33293</v>
      </c>
      <c r="J2953" t="s">
        <v>37</v>
      </c>
      <c r="K2953">
        <v>10090</v>
      </c>
      <c r="L2953" s="3" t="str">
        <f>HYPERLINK("http://www.uniprot.org/uniprot/Q9D3E6", "Q9D3E6")</f>
        <v>Q9D3E6</v>
      </c>
      <c r="M2953" t="s">
        <v>33294</v>
      </c>
      <c r="N2953" t="str">
        <f>"Stag1"</f>
        <v>Stag1</v>
      </c>
      <c r="O2953" s="3" t="str">
        <f>HYPERLINK("http://www.informatics.jax.org/marker/MGI:1098658", "MGI:1098658")</f>
        <v>MGI:1098658</v>
      </c>
      <c r="P2953" t="s">
        <v>33295</v>
      </c>
      <c r="Q2953" t="s">
        <v>6873</v>
      </c>
      <c r="R2953" t="s">
        <v>1939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32</v>
      </c>
      <c r="Y2953" t="s">
        <v>1007</v>
      </c>
      <c r="Z2953" t="s">
        <v>32</v>
      </c>
      <c r="AA2953" t="s">
        <v>33296</v>
      </c>
      <c r="AB2953" t="s">
        <v>33297</v>
      </c>
      <c r="AC2953" t="s">
        <v>16404</v>
      </c>
      <c r="AD2953" t="s">
        <v>32</v>
      </c>
      <c r="AE2953" t="s">
        <v>10523</v>
      </c>
      <c r="AF2953" t="s">
        <v>46835</v>
      </c>
    </row>
    <row r="2954" spans="1:33" x14ac:dyDescent="0.2">
      <c r="A2954">
        <v>2949</v>
      </c>
      <c r="B2954" t="s">
        <v>33298</v>
      </c>
      <c r="C2954" t="s">
        <v>33299</v>
      </c>
      <c r="D2954" t="s">
        <v>32</v>
      </c>
      <c r="E2954" t="s">
        <v>33300</v>
      </c>
      <c r="F2954" t="s">
        <v>33301</v>
      </c>
      <c r="G2954" t="s">
        <v>33302</v>
      </c>
      <c r="H2954" t="str">
        <f>"Vps11"</f>
        <v>Vps11</v>
      </c>
      <c r="I2954" t="s">
        <v>32</v>
      </c>
      <c r="J2954" t="s">
        <v>37</v>
      </c>
      <c r="K2954">
        <v>10090</v>
      </c>
      <c r="L2954" s="3" t="str">
        <f>HYPERLINK("http://www.uniprot.org/uniprot/Q91W86", "Q91W86")</f>
        <v>Q91W86</v>
      </c>
      <c r="M2954" t="s">
        <v>33303</v>
      </c>
      <c r="N2954" t="str">
        <f>"Vps11"</f>
        <v>Vps11</v>
      </c>
      <c r="O2954" s="3" t="str">
        <f>HYPERLINK("http://www.informatics.jax.org/marker/MGI:1918982", "MGI:1918982")</f>
        <v>MGI:1918982</v>
      </c>
      <c r="P2954" t="s">
        <v>33304</v>
      </c>
      <c r="Q2954" t="s">
        <v>23025</v>
      </c>
      <c r="R2954" t="s">
        <v>33305</v>
      </c>
      <c r="S2954" t="s">
        <v>32</v>
      </c>
      <c r="T2954" t="s">
        <v>32</v>
      </c>
      <c r="U2954" t="s">
        <v>32</v>
      </c>
      <c r="V2954" t="s">
        <v>12028</v>
      </c>
      <c r="W2954" t="s">
        <v>33306</v>
      </c>
      <c r="X2954" t="s">
        <v>32</v>
      </c>
      <c r="Y2954" t="s">
        <v>97</v>
      </c>
      <c r="Z2954" t="s">
        <v>32</v>
      </c>
      <c r="AA2954" t="s">
        <v>33307</v>
      </c>
      <c r="AB2954" t="s">
        <v>33308</v>
      </c>
      <c r="AC2954" t="s">
        <v>33309</v>
      </c>
      <c r="AD2954" t="s">
        <v>32</v>
      </c>
      <c r="AE2954" t="s">
        <v>32</v>
      </c>
      <c r="AF2954" t="s">
        <v>46835</v>
      </c>
    </row>
    <row r="2955" spans="1:33" x14ac:dyDescent="0.2">
      <c r="A2955">
        <v>2950</v>
      </c>
      <c r="B2955" t="s">
        <v>33310</v>
      </c>
      <c r="C2955" t="s">
        <v>33311</v>
      </c>
      <c r="D2955" t="s">
        <v>33312</v>
      </c>
      <c r="E2955" t="s">
        <v>33313</v>
      </c>
      <c r="F2955" t="s">
        <v>33314</v>
      </c>
      <c r="G2955" t="s">
        <v>33315</v>
      </c>
      <c r="H2955" t="str">
        <f>"Cisd3"</f>
        <v>Cisd3</v>
      </c>
      <c r="I2955" t="s">
        <v>33316</v>
      </c>
      <c r="J2955" t="s">
        <v>37</v>
      </c>
      <c r="K2955">
        <v>10090</v>
      </c>
      <c r="L2955" s="3" t="str">
        <f>HYPERLINK("http://www.uniprot.org/uniprot/B1AR13", "B1AR13")</f>
        <v>B1AR13</v>
      </c>
      <c r="M2955" t="s">
        <v>33317</v>
      </c>
      <c r="N2955" t="str">
        <f>"Cisd3"</f>
        <v>Cisd3</v>
      </c>
      <c r="O2955" s="3" t="str">
        <f>HYPERLINK("http://www.informatics.jax.org/marker/MGI:101788", "MGI:101788")</f>
        <v>MGI:101788</v>
      </c>
      <c r="P2955" t="s">
        <v>33318</v>
      </c>
      <c r="Q2955" t="s">
        <v>32</v>
      </c>
      <c r="R2955" t="s">
        <v>1038</v>
      </c>
      <c r="S2955" t="s">
        <v>32</v>
      </c>
      <c r="T2955" t="s">
        <v>32</v>
      </c>
      <c r="U2955" t="s">
        <v>32</v>
      </c>
      <c r="V2955" t="s">
        <v>1039</v>
      </c>
      <c r="W2955" t="s">
        <v>4783</v>
      </c>
      <c r="X2955" t="s">
        <v>32</v>
      </c>
      <c r="Y2955" t="s">
        <v>78</v>
      </c>
      <c r="Z2955" t="s">
        <v>32</v>
      </c>
      <c r="AA2955" t="s">
        <v>33319</v>
      </c>
      <c r="AB2955" t="s">
        <v>3721</v>
      </c>
      <c r="AC2955" t="s">
        <v>33320</v>
      </c>
      <c r="AD2955" t="s">
        <v>32</v>
      </c>
      <c r="AE2955" t="s">
        <v>32</v>
      </c>
      <c r="AF2955" t="s">
        <v>46835</v>
      </c>
    </row>
    <row r="2956" spans="1:33" x14ac:dyDescent="0.2">
      <c r="A2956">
        <v>2951</v>
      </c>
      <c r="B2956" t="s">
        <v>33321</v>
      </c>
      <c r="C2956" t="s">
        <v>33322</v>
      </c>
      <c r="D2956" t="s">
        <v>33323</v>
      </c>
      <c r="E2956" t="s">
        <v>33324</v>
      </c>
      <c r="F2956" t="s">
        <v>33325</v>
      </c>
      <c r="G2956" t="s">
        <v>33326</v>
      </c>
      <c r="H2956" t="str">
        <f>"Fmnl2"</f>
        <v>Fmnl2</v>
      </c>
      <c r="I2956" t="s">
        <v>33327</v>
      </c>
      <c r="J2956" t="s">
        <v>37</v>
      </c>
      <c r="K2956">
        <v>10090</v>
      </c>
      <c r="L2956" s="3" t="str">
        <f>HYPERLINK("http://www.uniprot.org/uniprot/A2APV2", "A2APV2")</f>
        <v>A2APV2</v>
      </c>
      <c r="M2956" t="s">
        <v>33328</v>
      </c>
      <c r="N2956" t="str">
        <f>"Fmnl2"</f>
        <v>Fmnl2</v>
      </c>
      <c r="O2956" s="3" t="str">
        <f>HYPERLINK("http://www.informatics.jax.org/marker/MGI:1918659", "MGI:1918659")</f>
        <v>MGI:1918659</v>
      </c>
      <c r="P2956" t="s">
        <v>33329</v>
      </c>
      <c r="Q2956" t="s">
        <v>32</v>
      </c>
      <c r="R2956" t="s">
        <v>418</v>
      </c>
      <c r="S2956" t="s">
        <v>41</v>
      </c>
      <c r="T2956" t="s">
        <v>32</v>
      </c>
      <c r="U2956" t="s">
        <v>32</v>
      </c>
      <c r="V2956" t="s">
        <v>32</v>
      </c>
      <c r="W2956" t="s">
        <v>32</v>
      </c>
      <c r="X2956" t="s">
        <v>32</v>
      </c>
      <c r="Y2956" t="s">
        <v>5562</v>
      </c>
      <c r="Z2956" t="s">
        <v>32</v>
      </c>
      <c r="AA2956" t="s">
        <v>33330</v>
      </c>
      <c r="AB2956" t="s">
        <v>1268</v>
      </c>
      <c r="AC2956" t="s">
        <v>7661</v>
      </c>
      <c r="AD2956" t="s">
        <v>32</v>
      </c>
      <c r="AE2956" t="s">
        <v>33331</v>
      </c>
      <c r="AF2956" t="s">
        <v>46835</v>
      </c>
    </row>
    <row r="2957" spans="1:33" x14ac:dyDescent="0.2">
      <c r="A2957">
        <v>2952</v>
      </c>
      <c r="B2957" t="s">
        <v>33332</v>
      </c>
      <c r="C2957" t="s">
        <v>33333</v>
      </c>
      <c r="D2957" t="s">
        <v>33334</v>
      </c>
      <c r="E2957" t="s">
        <v>33335</v>
      </c>
      <c r="F2957" t="s">
        <v>33336</v>
      </c>
      <c r="G2957" t="s">
        <v>33337</v>
      </c>
      <c r="H2957" t="str">
        <f>"Nop53"</f>
        <v>Nop53</v>
      </c>
      <c r="I2957" t="s">
        <v>32</v>
      </c>
      <c r="J2957" t="s">
        <v>37</v>
      </c>
      <c r="K2957">
        <v>10090</v>
      </c>
      <c r="L2957" s="3" t="str">
        <f>HYPERLINK("http://www.uniprot.org/uniprot/Q8BK35", "Q8BK35")</f>
        <v>Q8BK35</v>
      </c>
      <c r="M2957" t="s">
        <v>33338</v>
      </c>
      <c r="N2957" t="str">
        <f>"Nop53"</f>
        <v>Nop53</v>
      </c>
      <c r="O2957" s="3" t="str">
        <f>HYPERLINK("http://www.informatics.jax.org/marker/MGI:2154441", "MGI:2154441")</f>
        <v>MGI:2154441</v>
      </c>
      <c r="P2957" t="s">
        <v>33339</v>
      </c>
      <c r="Q2957" t="s">
        <v>6400</v>
      </c>
      <c r="R2957" t="s">
        <v>2279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32</v>
      </c>
      <c r="Y2957" t="s">
        <v>157</v>
      </c>
      <c r="Z2957" t="s">
        <v>32</v>
      </c>
      <c r="AA2957" t="s">
        <v>33340</v>
      </c>
      <c r="AB2957" t="s">
        <v>33341</v>
      </c>
      <c r="AC2957" t="s">
        <v>33342</v>
      </c>
      <c r="AD2957" t="s">
        <v>32</v>
      </c>
      <c r="AE2957" t="s">
        <v>32</v>
      </c>
      <c r="AF2957" t="s">
        <v>46835</v>
      </c>
    </row>
    <row r="2958" spans="1:33" x14ac:dyDescent="0.2">
      <c r="A2958">
        <v>2953</v>
      </c>
      <c r="B2958" t="s">
        <v>33343</v>
      </c>
      <c r="C2958" t="s">
        <v>33344</v>
      </c>
      <c r="D2958" t="s">
        <v>33345</v>
      </c>
      <c r="E2958" t="s">
        <v>33346</v>
      </c>
      <c r="F2958" t="s">
        <v>33347</v>
      </c>
      <c r="G2958" t="s">
        <v>33348</v>
      </c>
      <c r="H2958" t="str">
        <f>"Mfge8"</f>
        <v>Mfge8</v>
      </c>
      <c r="I2958" t="s">
        <v>32</v>
      </c>
      <c r="J2958" t="s">
        <v>37</v>
      </c>
      <c r="K2958">
        <v>10090</v>
      </c>
      <c r="L2958" s="3" t="str">
        <f>HYPERLINK("http://www.uniprot.org/uniprot/P21956", "P21956")</f>
        <v>P21956</v>
      </c>
      <c r="M2958" t="s">
        <v>33349</v>
      </c>
      <c r="N2958" t="str">
        <f>"Mfge8"</f>
        <v>Mfge8</v>
      </c>
      <c r="O2958" s="3" t="str">
        <f>HYPERLINK("http://www.informatics.jax.org/marker/MGI:102768", "MGI:102768")</f>
        <v>MGI:102768</v>
      </c>
      <c r="P2958" t="s">
        <v>33350</v>
      </c>
      <c r="Q2958" t="s">
        <v>33351</v>
      </c>
      <c r="R2958" t="s">
        <v>27608</v>
      </c>
      <c r="S2958" t="s">
        <v>41</v>
      </c>
      <c r="T2958" t="s">
        <v>32</v>
      </c>
      <c r="U2958" t="s">
        <v>32</v>
      </c>
      <c r="V2958" t="s">
        <v>2786</v>
      </c>
      <c r="W2958" t="s">
        <v>32</v>
      </c>
      <c r="X2958" t="s">
        <v>32</v>
      </c>
      <c r="Y2958" t="s">
        <v>5275</v>
      </c>
      <c r="Z2958" t="s">
        <v>126</v>
      </c>
      <c r="AA2958" t="s">
        <v>33352</v>
      </c>
      <c r="AB2958" t="s">
        <v>33353</v>
      </c>
      <c r="AC2958" t="s">
        <v>33354</v>
      </c>
      <c r="AD2958" t="s">
        <v>32</v>
      </c>
      <c r="AE2958" t="s">
        <v>636</v>
      </c>
      <c r="AF2958" t="s">
        <v>46835</v>
      </c>
    </row>
    <row r="2959" spans="1:33" x14ac:dyDescent="0.2">
      <c r="A2959">
        <v>2954</v>
      </c>
      <c r="B2959" t="s">
        <v>33355</v>
      </c>
      <c r="C2959" t="s">
        <v>33356</v>
      </c>
      <c r="D2959" t="s">
        <v>33357</v>
      </c>
      <c r="E2959" t="s">
        <v>33358</v>
      </c>
      <c r="F2959" t="s">
        <v>33359</v>
      </c>
      <c r="G2959" t="s">
        <v>33360</v>
      </c>
      <c r="H2959" t="str">
        <f>"Eif1ad"</f>
        <v>Eif1ad</v>
      </c>
      <c r="I2959" t="s">
        <v>32</v>
      </c>
      <c r="J2959" t="s">
        <v>37</v>
      </c>
      <c r="K2959">
        <v>10090</v>
      </c>
      <c r="L2959" s="3" t="str">
        <f>HYPERLINK("http://www.uniprot.org/uniprot/Q3THJ3", "Q3THJ3")</f>
        <v>Q3THJ3</v>
      </c>
      <c r="M2959" t="s">
        <v>33361</v>
      </c>
      <c r="N2959" t="str">
        <f>"Eif1ad"</f>
        <v>Eif1ad</v>
      </c>
      <c r="O2959" s="3" t="str">
        <f>HYPERLINK("http://www.informatics.jax.org/marker/MGI:1917110", "MGI:1917110")</f>
        <v>MGI:1917110</v>
      </c>
      <c r="P2959" t="s">
        <v>33362</v>
      </c>
      <c r="Q2959" t="s">
        <v>32</v>
      </c>
      <c r="R2959" t="s">
        <v>2279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1282</v>
      </c>
      <c r="Y2959" t="s">
        <v>618</v>
      </c>
      <c r="Z2959" t="s">
        <v>32</v>
      </c>
      <c r="AA2959" t="s">
        <v>32</v>
      </c>
      <c r="AB2959" t="s">
        <v>33363</v>
      </c>
      <c r="AC2959" t="s">
        <v>4898</v>
      </c>
      <c r="AD2959" t="s">
        <v>32</v>
      </c>
      <c r="AE2959" t="s">
        <v>32</v>
      </c>
      <c r="AF2959" t="s">
        <v>46835</v>
      </c>
    </row>
    <row r="2960" spans="1:33" x14ac:dyDescent="0.2">
      <c r="A2960">
        <v>2955</v>
      </c>
      <c r="B2960" t="s">
        <v>33364</v>
      </c>
      <c r="C2960" t="s">
        <v>33365</v>
      </c>
      <c r="D2960" t="s">
        <v>33366</v>
      </c>
      <c r="E2960" t="s">
        <v>33367</v>
      </c>
      <c r="F2960" t="s">
        <v>33368</v>
      </c>
      <c r="G2960" t="s">
        <v>32</v>
      </c>
      <c r="H2960" t="str">
        <f>"Arid1b"</f>
        <v>Arid1b</v>
      </c>
      <c r="I2960" t="s">
        <v>32</v>
      </c>
      <c r="J2960" t="s">
        <v>37</v>
      </c>
      <c r="K2960">
        <v>10090</v>
      </c>
      <c r="L2960" s="3" t="str">
        <f>HYPERLINK("http://www.uniprot.org/uniprot/E9Q4N7", "E9Q4N7")</f>
        <v>E9Q4N7</v>
      </c>
      <c r="M2960" t="s">
        <v>33369</v>
      </c>
      <c r="N2960" t="str">
        <f>"Arid1b"</f>
        <v>Arid1b</v>
      </c>
      <c r="O2960" s="3" t="str">
        <f>HYPERLINK("http://www.informatics.jax.org/marker/MGI:1926129", "MGI:1926129")</f>
        <v>MGI:1926129</v>
      </c>
      <c r="P2960" t="s">
        <v>33370</v>
      </c>
      <c r="Q2960" t="s">
        <v>9987</v>
      </c>
      <c r="R2960" t="s">
        <v>2279</v>
      </c>
      <c r="S2960" t="s">
        <v>32</v>
      </c>
      <c r="T2960" t="s">
        <v>32</v>
      </c>
      <c r="U2960" t="s">
        <v>32</v>
      </c>
      <c r="V2960" t="s">
        <v>290</v>
      </c>
      <c r="W2960" t="s">
        <v>32</v>
      </c>
      <c r="X2960" t="s">
        <v>5712</v>
      </c>
      <c r="Y2960" t="s">
        <v>97</v>
      </c>
      <c r="Z2960" t="s">
        <v>32</v>
      </c>
      <c r="AA2960" t="s">
        <v>33371</v>
      </c>
      <c r="AB2960" t="s">
        <v>33372</v>
      </c>
      <c r="AC2960" t="s">
        <v>13572</v>
      </c>
      <c r="AD2960" t="s">
        <v>32</v>
      </c>
      <c r="AE2960" t="s">
        <v>9992</v>
      </c>
      <c r="AF2960" t="s">
        <v>46835</v>
      </c>
    </row>
    <row r="2961" spans="1:32" x14ac:dyDescent="0.2">
      <c r="A2961">
        <v>2956</v>
      </c>
      <c r="B2961" t="s">
        <v>33373</v>
      </c>
      <c r="C2961" t="s">
        <v>33374</v>
      </c>
      <c r="D2961" t="s">
        <v>33375</v>
      </c>
      <c r="E2961" t="s">
        <v>33376</v>
      </c>
      <c r="F2961" t="s">
        <v>33377</v>
      </c>
      <c r="G2961" t="s">
        <v>32</v>
      </c>
      <c r="H2961" t="str">
        <f>"Serpinf2"</f>
        <v>Serpinf2</v>
      </c>
      <c r="I2961" t="s">
        <v>33378</v>
      </c>
      <c r="J2961" t="s">
        <v>37</v>
      </c>
      <c r="K2961">
        <v>10090</v>
      </c>
      <c r="L2961" s="3" t="str">
        <f>HYPERLINK("http://www.uniprot.org/uniprot/Q61247", "Q61247")</f>
        <v>Q61247</v>
      </c>
      <c r="M2961" t="s">
        <v>33379</v>
      </c>
      <c r="N2961" t="str">
        <f>"Serpinf2"</f>
        <v>Serpinf2</v>
      </c>
      <c r="O2961" s="3" t="str">
        <f>HYPERLINK("http://www.informatics.jax.org/marker/MGI:107173", "MGI:107173")</f>
        <v>MGI:107173</v>
      </c>
      <c r="P2961" t="s">
        <v>33380</v>
      </c>
      <c r="Q2961" t="s">
        <v>33381</v>
      </c>
      <c r="R2961" t="s">
        <v>630</v>
      </c>
      <c r="S2961" t="s">
        <v>32</v>
      </c>
      <c r="T2961" t="s">
        <v>32</v>
      </c>
      <c r="U2961" t="s">
        <v>32</v>
      </c>
      <c r="V2961" t="s">
        <v>811</v>
      </c>
      <c r="W2961" t="s">
        <v>32</v>
      </c>
      <c r="X2961" t="s">
        <v>2661</v>
      </c>
      <c r="Y2961" t="s">
        <v>2787</v>
      </c>
      <c r="Z2961" t="s">
        <v>126</v>
      </c>
      <c r="AA2961" t="s">
        <v>33382</v>
      </c>
      <c r="AB2961" t="s">
        <v>33383</v>
      </c>
      <c r="AC2961" t="s">
        <v>33384</v>
      </c>
      <c r="AD2961" t="s">
        <v>32</v>
      </c>
      <c r="AE2961" t="s">
        <v>33385</v>
      </c>
      <c r="AF2961" t="s">
        <v>46835</v>
      </c>
    </row>
    <row r="2962" spans="1:32" x14ac:dyDescent="0.2">
      <c r="A2962">
        <v>2957</v>
      </c>
      <c r="B2962" t="s">
        <v>33386</v>
      </c>
      <c r="C2962" t="s">
        <v>33387</v>
      </c>
      <c r="D2962" t="s">
        <v>33388</v>
      </c>
      <c r="E2962" t="s">
        <v>33389</v>
      </c>
      <c r="F2962" t="s">
        <v>33390</v>
      </c>
      <c r="G2962" t="s">
        <v>33391</v>
      </c>
      <c r="H2962" t="str">
        <f>"Capn5"</f>
        <v>Capn5</v>
      </c>
      <c r="I2962" t="s">
        <v>33392</v>
      </c>
      <c r="J2962" t="s">
        <v>37</v>
      </c>
      <c r="K2962">
        <v>10090</v>
      </c>
      <c r="L2962" s="3" t="str">
        <f>HYPERLINK("http://www.uniprot.org/uniprot/O08688", "O08688")</f>
        <v>O08688</v>
      </c>
      <c r="M2962" t="s">
        <v>33393</v>
      </c>
      <c r="N2962" t="str">
        <f>"Capn5"</f>
        <v>Capn5</v>
      </c>
      <c r="O2962" s="3" t="str">
        <f>HYPERLINK("http://www.informatics.jax.org/marker/MGI:1100859", "MGI:1100859")</f>
        <v>MGI:1100859</v>
      </c>
      <c r="P2962" t="s">
        <v>557</v>
      </c>
      <c r="Q2962" t="s">
        <v>32</v>
      </c>
      <c r="R2962" t="s">
        <v>32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557</v>
      </c>
      <c r="Y2962" t="s">
        <v>32</v>
      </c>
      <c r="Z2962" t="s">
        <v>32</v>
      </c>
      <c r="AA2962" t="s">
        <v>4615</v>
      </c>
      <c r="AB2962" t="s">
        <v>33394</v>
      </c>
      <c r="AC2962" t="s">
        <v>33395</v>
      </c>
      <c r="AD2962" t="s">
        <v>32</v>
      </c>
      <c r="AE2962" t="s">
        <v>561</v>
      </c>
      <c r="AF2962" t="s">
        <v>46835</v>
      </c>
    </row>
    <row r="2963" spans="1:32" x14ac:dyDescent="0.2">
      <c r="A2963">
        <v>2958</v>
      </c>
      <c r="B2963" t="s">
        <v>33396</v>
      </c>
      <c r="C2963" t="s">
        <v>33397</v>
      </c>
      <c r="D2963" t="s">
        <v>33398</v>
      </c>
      <c r="E2963" t="s">
        <v>33399</v>
      </c>
      <c r="F2963" t="s">
        <v>33400</v>
      </c>
      <c r="G2963" t="s">
        <v>33401</v>
      </c>
      <c r="H2963" t="str">
        <f>"Adam17"</f>
        <v>Adam17</v>
      </c>
      <c r="I2963" t="s">
        <v>33402</v>
      </c>
      <c r="J2963" t="s">
        <v>37</v>
      </c>
      <c r="K2963">
        <v>10090</v>
      </c>
      <c r="L2963" s="3" t="str">
        <f>HYPERLINK("http://www.uniprot.org/uniprot/Q9Z0F8", "Q9Z0F8")</f>
        <v>Q9Z0F8</v>
      </c>
      <c r="M2963" t="s">
        <v>33403</v>
      </c>
      <c r="N2963" t="str">
        <f>"Adam17"</f>
        <v>Adam17</v>
      </c>
      <c r="O2963" s="3" t="str">
        <f>HYPERLINK("http://www.informatics.jax.org/marker/MGI:1096335", "MGI:1096335")</f>
        <v>MGI:1096335</v>
      </c>
      <c r="P2963" t="s">
        <v>33404</v>
      </c>
      <c r="Q2963" t="s">
        <v>18780</v>
      </c>
      <c r="R2963" t="s">
        <v>30458</v>
      </c>
      <c r="S2963" t="s">
        <v>41</v>
      </c>
      <c r="T2963" t="s">
        <v>32</v>
      </c>
      <c r="U2963" t="s">
        <v>32</v>
      </c>
      <c r="V2963" t="s">
        <v>18782</v>
      </c>
      <c r="W2963" t="s">
        <v>42</v>
      </c>
      <c r="X2963" t="s">
        <v>4882</v>
      </c>
      <c r="Y2963" t="s">
        <v>18783</v>
      </c>
      <c r="Z2963" t="s">
        <v>32</v>
      </c>
      <c r="AA2963" t="s">
        <v>33405</v>
      </c>
      <c r="AB2963" t="s">
        <v>33406</v>
      </c>
      <c r="AC2963" t="s">
        <v>33407</v>
      </c>
      <c r="AD2963" t="s">
        <v>32</v>
      </c>
      <c r="AE2963" t="s">
        <v>33408</v>
      </c>
      <c r="AF2963" t="s">
        <v>46835</v>
      </c>
    </row>
    <row r="2964" spans="1:32" x14ac:dyDescent="0.2">
      <c r="A2964">
        <v>2959</v>
      </c>
      <c r="B2964" t="s">
        <v>33409</v>
      </c>
      <c r="C2964" t="s">
        <v>33410</v>
      </c>
      <c r="D2964" t="s">
        <v>33411</v>
      </c>
      <c r="E2964" t="s">
        <v>33412</v>
      </c>
      <c r="F2964" t="s">
        <v>33413</v>
      </c>
      <c r="G2964" t="s">
        <v>33414</v>
      </c>
      <c r="H2964" t="str">
        <f>"Brd3"</f>
        <v>Brd3</v>
      </c>
      <c r="I2964" t="s">
        <v>33415</v>
      </c>
      <c r="J2964" t="s">
        <v>37</v>
      </c>
      <c r="K2964">
        <v>10090</v>
      </c>
      <c r="L2964" s="3" t="str">
        <f>HYPERLINK("http://www.uniprot.org/uniprot/Q8K2F0", "Q8K2F0")</f>
        <v>Q8K2F0</v>
      </c>
      <c r="M2964" t="s">
        <v>33416</v>
      </c>
      <c r="N2964" t="str">
        <f>"Brd3"</f>
        <v>Brd3</v>
      </c>
      <c r="O2964" s="3" t="str">
        <f>HYPERLINK("http://www.informatics.jax.org/marker/MGI:1914632", "MGI:1914632")</f>
        <v>MGI:1914632</v>
      </c>
      <c r="P2964" t="s">
        <v>33417</v>
      </c>
      <c r="Q2964" t="s">
        <v>4152</v>
      </c>
      <c r="R2964" t="s">
        <v>2279</v>
      </c>
      <c r="S2964" t="s">
        <v>41</v>
      </c>
      <c r="T2964" t="s">
        <v>32</v>
      </c>
      <c r="U2964" t="s">
        <v>32</v>
      </c>
      <c r="V2964" t="s">
        <v>33418</v>
      </c>
      <c r="W2964" t="s">
        <v>32</v>
      </c>
      <c r="X2964" t="s">
        <v>9988</v>
      </c>
      <c r="Y2964" t="s">
        <v>1007</v>
      </c>
      <c r="Z2964" t="s">
        <v>126</v>
      </c>
      <c r="AA2964" t="s">
        <v>33419</v>
      </c>
      <c r="AB2964" t="s">
        <v>33420</v>
      </c>
      <c r="AC2964" t="s">
        <v>33421</v>
      </c>
      <c r="AD2964" t="s">
        <v>32</v>
      </c>
      <c r="AE2964" t="s">
        <v>32</v>
      </c>
      <c r="AF2964" t="s">
        <v>46835</v>
      </c>
    </row>
    <row r="2965" spans="1:32" x14ac:dyDescent="0.2">
      <c r="A2965">
        <v>2960</v>
      </c>
      <c r="B2965" t="s">
        <v>33422</v>
      </c>
      <c r="C2965" t="s">
        <v>33423</v>
      </c>
      <c r="D2965" t="s">
        <v>33424</v>
      </c>
      <c r="E2965" t="s">
        <v>33425</v>
      </c>
      <c r="F2965" t="s">
        <v>33426</v>
      </c>
      <c r="G2965" t="s">
        <v>33427</v>
      </c>
      <c r="H2965" t="str">
        <f>"Znf385a"</f>
        <v>Znf385a</v>
      </c>
      <c r="I2965" t="s">
        <v>33428</v>
      </c>
      <c r="J2965" t="s">
        <v>37</v>
      </c>
      <c r="K2965">
        <v>10090</v>
      </c>
      <c r="L2965" s="3" t="str">
        <f>HYPERLINK("http://www.uniprot.org/uniprot/Q8VD12", "Q8VD12")</f>
        <v>Q8VD12</v>
      </c>
      <c r="M2965" t="s">
        <v>33429</v>
      </c>
      <c r="N2965" t="str">
        <f>"Zfp385a"</f>
        <v>Zfp385a</v>
      </c>
      <c r="O2965" s="3" t="str">
        <f>HYPERLINK("http://www.informatics.jax.org/marker/MGI:1352495", "MGI:1352495")</f>
        <v>MGI:1352495</v>
      </c>
      <c r="P2965" t="s">
        <v>33430</v>
      </c>
      <c r="Q2965" t="s">
        <v>33431</v>
      </c>
      <c r="R2965" t="s">
        <v>1952</v>
      </c>
      <c r="S2965" t="s">
        <v>41</v>
      </c>
      <c r="T2965" t="s">
        <v>32</v>
      </c>
      <c r="U2965" t="s">
        <v>32</v>
      </c>
      <c r="V2965" t="s">
        <v>3791</v>
      </c>
      <c r="W2965" t="s">
        <v>42</v>
      </c>
      <c r="X2965" t="s">
        <v>1282</v>
      </c>
      <c r="Y2965" t="s">
        <v>2836</v>
      </c>
      <c r="Z2965" t="s">
        <v>32</v>
      </c>
      <c r="AA2965" t="s">
        <v>33432</v>
      </c>
      <c r="AB2965" t="s">
        <v>33433</v>
      </c>
      <c r="AC2965" t="s">
        <v>33434</v>
      </c>
      <c r="AD2965" t="s">
        <v>32</v>
      </c>
      <c r="AE2965" t="s">
        <v>33435</v>
      </c>
      <c r="AF2965" t="s">
        <v>46835</v>
      </c>
    </row>
    <row r="2966" spans="1:32" x14ac:dyDescent="0.2">
      <c r="A2966">
        <v>2961</v>
      </c>
      <c r="B2966" t="s">
        <v>33436</v>
      </c>
      <c r="C2966" t="s">
        <v>33437</v>
      </c>
      <c r="D2966" t="s">
        <v>33438</v>
      </c>
      <c r="E2966" t="s">
        <v>33439</v>
      </c>
      <c r="F2966" t="s">
        <v>33440</v>
      </c>
      <c r="G2966" t="s">
        <v>32</v>
      </c>
      <c r="H2966" t="str">
        <f>"S100a10"</f>
        <v>S100a10</v>
      </c>
      <c r="I2966" t="s">
        <v>33441</v>
      </c>
      <c r="J2966" t="s">
        <v>37</v>
      </c>
      <c r="K2966">
        <v>10090</v>
      </c>
      <c r="L2966" s="3" t="str">
        <f>HYPERLINK("http://www.uniprot.org/uniprot/P08207", "P08207")</f>
        <v>P08207</v>
      </c>
      <c r="M2966" t="s">
        <v>33442</v>
      </c>
      <c r="N2966" t="str">
        <f>"S100a10"</f>
        <v>S100a10</v>
      </c>
      <c r="O2966" s="3" t="str">
        <f>HYPERLINK("http://www.informatics.jax.org/marker/MGI:1339468", "MGI:1339468")</f>
        <v>MGI:1339468</v>
      </c>
      <c r="P2966" t="s">
        <v>33443</v>
      </c>
      <c r="Q2966" t="s">
        <v>32</v>
      </c>
      <c r="R2966" t="s">
        <v>32</v>
      </c>
      <c r="S2966" t="s">
        <v>32</v>
      </c>
      <c r="T2966" t="s">
        <v>32</v>
      </c>
      <c r="U2966" t="s">
        <v>32</v>
      </c>
      <c r="V2966" t="s">
        <v>55</v>
      </c>
      <c r="W2966" t="s">
        <v>32</v>
      </c>
      <c r="X2966" t="s">
        <v>32</v>
      </c>
      <c r="Y2966" t="s">
        <v>78</v>
      </c>
      <c r="Z2966" t="s">
        <v>32</v>
      </c>
      <c r="AA2966" t="s">
        <v>33444</v>
      </c>
      <c r="AB2966" t="s">
        <v>33445</v>
      </c>
      <c r="AC2966" t="s">
        <v>33446</v>
      </c>
      <c r="AD2966" t="s">
        <v>32</v>
      </c>
      <c r="AE2966" t="s">
        <v>33447</v>
      </c>
      <c r="AF2966" t="s">
        <v>46835</v>
      </c>
    </row>
    <row r="2967" spans="1:32" x14ac:dyDescent="0.2">
      <c r="A2967">
        <v>2962</v>
      </c>
      <c r="B2967" t="s">
        <v>33448</v>
      </c>
      <c r="C2967" t="s">
        <v>33449</v>
      </c>
      <c r="D2967" t="s">
        <v>32</v>
      </c>
      <c r="E2967" t="s">
        <v>33450</v>
      </c>
      <c r="F2967" t="s">
        <v>33451</v>
      </c>
      <c r="G2967" t="s">
        <v>33452</v>
      </c>
      <c r="H2967" t="str">
        <f>"Wnt7b"</f>
        <v>Wnt7b</v>
      </c>
      <c r="I2967" t="s">
        <v>33453</v>
      </c>
      <c r="J2967" t="s">
        <v>37</v>
      </c>
      <c r="K2967">
        <v>10090</v>
      </c>
      <c r="L2967" s="3" t="str">
        <f>HYPERLINK("http://www.uniprot.org/uniprot/P28047", "P28047")</f>
        <v>P28047</v>
      </c>
      <c r="M2967" t="s">
        <v>33454</v>
      </c>
      <c r="N2967" t="str">
        <f>"Wnt7b"</f>
        <v>Wnt7b</v>
      </c>
      <c r="O2967" s="3" t="str">
        <f>HYPERLINK("http://www.informatics.jax.org/marker/MGI:98962", "MGI:98962")</f>
        <v>MGI:98962</v>
      </c>
      <c r="P2967" t="s">
        <v>33455</v>
      </c>
      <c r="Q2967" t="s">
        <v>3043</v>
      </c>
      <c r="R2967" t="s">
        <v>5586</v>
      </c>
      <c r="S2967" t="s">
        <v>32</v>
      </c>
      <c r="T2967" t="s">
        <v>32</v>
      </c>
      <c r="U2967" t="s">
        <v>32</v>
      </c>
      <c r="V2967" t="s">
        <v>811</v>
      </c>
      <c r="W2967" t="s">
        <v>32</v>
      </c>
      <c r="X2967" t="s">
        <v>2029</v>
      </c>
      <c r="Y2967" t="s">
        <v>33456</v>
      </c>
      <c r="Z2967" t="s">
        <v>32</v>
      </c>
      <c r="AA2967" t="s">
        <v>33457</v>
      </c>
      <c r="AB2967" t="s">
        <v>33458</v>
      </c>
      <c r="AC2967" t="s">
        <v>33459</v>
      </c>
      <c r="AD2967" t="s">
        <v>32</v>
      </c>
      <c r="AE2967" t="s">
        <v>6561</v>
      </c>
      <c r="AF2967" t="s">
        <v>46835</v>
      </c>
    </row>
    <row r="2968" spans="1:32" x14ac:dyDescent="0.2">
      <c r="A2968">
        <v>2963</v>
      </c>
      <c r="B2968" t="s">
        <v>33460</v>
      </c>
      <c r="C2968" t="s">
        <v>33461</v>
      </c>
      <c r="D2968" t="s">
        <v>33462</v>
      </c>
      <c r="E2968" t="s">
        <v>33463</v>
      </c>
      <c r="F2968" t="s">
        <v>33464</v>
      </c>
      <c r="G2968" t="s">
        <v>33465</v>
      </c>
      <c r="H2968" t="str">
        <f>"Noc2l"</f>
        <v>Noc2l</v>
      </c>
      <c r="I2968" t="s">
        <v>33466</v>
      </c>
      <c r="J2968" t="s">
        <v>37</v>
      </c>
      <c r="K2968">
        <v>10090</v>
      </c>
      <c r="L2968" s="3" t="str">
        <f>HYPERLINK("http://www.uniprot.org/uniprot/Q9WV70", "Q9WV70")</f>
        <v>Q9WV70</v>
      </c>
      <c r="M2968" t="s">
        <v>33467</v>
      </c>
      <c r="N2968" t="str">
        <f>"Noc2l"</f>
        <v>Noc2l</v>
      </c>
      <c r="O2968" s="3" t="str">
        <f>HYPERLINK("http://www.informatics.jax.org/marker/MGI:1931051", "MGI:1931051")</f>
        <v>MGI:1931051</v>
      </c>
      <c r="P2968" t="s">
        <v>33468</v>
      </c>
      <c r="Q2968" t="s">
        <v>20510</v>
      </c>
      <c r="R2968" t="s">
        <v>2279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5195</v>
      </c>
      <c r="Y2968" t="s">
        <v>618</v>
      </c>
      <c r="Z2968" t="s">
        <v>32</v>
      </c>
      <c r="AA2968" t="s">
        <v>33469</v>
      </c>
      <c r="AB2968" t="s">
        <v>33470</v>
      </c>
      <c r="AC2968" t="s">
        <v>33471</v>
      </c>
      <c r="AD2968" t="s">
        <v>32</v>
      </c>
      <c r="AE2968" t="s">
        <v>33472</v>
      </c>
      <c r="AF2968" t="s">
        <v>46835</v>
      </c>
    </row>
    <row r="2969" spans="1:32" x14ac:dyDescent="0.2">
      <c r="A2969">
        <v>2964</v>
      </c>
      <c r="B2969" t="s">
        <v>33473</v>
      </c>
      <c r="C2969" t="s">
        <v>33474</v>
      </c>
      <c r="D2969" t="s">
        <v>33475</v>
      </c>
      <c r="E2969" t="s">
        <v>33476</v>
      </c>
      <c r="F2969" t="s">
        <v>33477</v>
      </c>
      <c r="G2969" t="s">
        <v>32</v>
      </c>
      <c r="H2969" t="str">
        <f>"Ppic"</f>
        <v>Ppic</v>
      </c>
      <c r="I2969" t="s">
        <v>32</v>
      </c>
      <c r="J2969" t="s">
        <v>37</v>
      </c>
      <c r="K2969">
        <v>10090</v>
      </c>
      <c r="L2969" s="3" t="str">
        <f>HYPERLINK("http://www.uniprot.org/uniprot/P30412", "P30412")</f>
        <v>P30412</v>
      </c>
      <c r="M2969" t="s">
        <v>33478</v>
      </c>
      <c r="N2969" t="str">
        <f>"Ppic"</f>
        <v>Ppic</v>
      </c>
      <c r="O2969" s="3" t="str">
        <f>HYPERLINK("http://www.informatics.jax.org/marker/MGI:97751", "MGI:97751")</f>
        <v>MGI:97751</v>
      </c>
      <c r="P2969" t="s">
        <v>33479</v>
      </c>
      <c r="Q2969" t="s">
        <v>32</v>
      </c>
      <c r="R2969" t="s">
        <v>418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543</v>
      </c>
      <c r="Y2969" t="s">
        <v>32</v>
      </c>
      <c r="Z2969" t="s">
        <v>126</v>
      </c>
      <c r="AA2969" t="s">
        <v>30859</v>
      </c>
      <c r="AB2969" t="s">
        <v>19552</v>
      </c>
      <c r="AC2969" t="s">
        <v>30861</v>
      </c>
      <c r="AD2969" t="s">
        <v>32</v>
      </c>
      <c r="AE2969" t="s">
        <v>32</v>
      </c>
      <c r="AF2969" t="s">
        <v>46835</v>
      </c>
    </row>
    <row r="2970" spans="1:32" x14ac:dyDescent="0.2">
      <c r="A2970">
        <v>2965</v>
      </c>
      <c r="B2970" t="s">
        <v>33480</v>
      </c>
      <c r="C2970" t="s">
        <v>33481</v>
      </c>
      <c r="D2970" t="s">
        <v>33482</v>
      </c>
      <c r="E2970" t="s">
        <v>33483</v>
      </c>
      <c r="F2970" t="s">
        <v>33484</v>
      </c>
      <c r="G2970" t="s">
        <v>33485</v>
      </c>
      <c r="H2970" t="str">
        <f>"Pdcd6"</f>
        <v>Pdcd6</v>
      </c>
      <c r="I2970" t="s">
        <v>33486</v>
      </c>
      <c r="J2970" t="s">
        <v>37</v>
      </c>
      <c r="K2970">
        <v>10090</v>
      </c>
      <c r="L2970" s="3" t="str">
        <f>HYPERLINK("http://www.uniprot.org/uniprot/P12815", "P12815")</f>
        <v>P12815</v>
      </c>
      <c r="M2970" t="s">
        <v>33487</v>
      </c>
      <c r="N2970" t="str">
        <f>"Pdcd6"</f>
        <v>Pdcd6</v>
      </c>
      <c r="O2970" s="3" t="str">
        <f>HYPERLINK("http://www.informatics.jax.org/marker/MGI:109283", "MGI:109283")</f>
        <v>MGI:109283</v>
      </c>
      <c r="P2970" t="s">
        <v>33488</v>
      </c>
      <c r="Q2970" t="s">
        <v>20294</v>
      </c>
      <c r="R2970" t="s">
        <v>33489</v>
      </c>
      <c r="S2970" t="s">
        <v>41</v>
      </c>
      <c r="T2970" t="s">
        <v>32</v>
      </c>
      <c r="U2970" t="s">
        <v>32</v>
      </c>
      <c r="V2970" t="s">
        <v>55</v>
      </c>
      <c r="W2970" t="s">
        <v>18891</v>
      </c>
      <c r="X2970" t="s">
        <v>32</v>
      </c>
      <c r="Y2970" t="s">
        <v>78</v>
      </c>
      <c r="Z2970" t="s">
        <v>126</v>
      </c>
      <c r="AA2970" t="s">
        <v>33490</v>
      </c>
      <c r="AB2970" t="s">
        <v>33491</v>
      </c>
      <c r="AC2970" t="s">
        <v>33492</v>
      </c>
      <c r="AD2970" t="s">
        <v>32</v>
      </c>
      <c r="AE2970" t="s">
        <v>32</v>
      </c>
      <c r="AF2970" t="s">
        <v>46835</v>
      </c>
    </row>
    <row r="2971" spans="1:32" x14ac:dyDescent="0.2">
      <c r="A2971">
        <v>2966</v>
      </c>
      <c r="B2971" t="s">
        <v>33493</v>
      </c>
      <c r="C2971" t="s">
        <v>33494</v>
      </c>
      <c r="D2971" t="s">
        <v>32</v>
      </c>
      <c r="E2971" t="s">
        <v>33495</v>
      </c>
      <c r="F2971" t="s">
        <v>33496</v>
      </c>
      <c r="G2971" t="s">
        <v>33497</v>
      </c>
      <c r="H2971" t="str">
        <f>"Sh3bgrl2"</f>
        <v>Sh3bgrl2</v>
      </c>
      <c r="I2971" t="s">
        <v>32</v>
      </c>
      <c r="J2971" t="s">
        <v>37</v>
      </c>
      <c r="K2971">
        <v>10090</v>
      </c>
      <c r="L2971" s="3" t="str">
        <f>HYPERLINK("http://www.uniprot.org/uniprot/Q8BG73", "Q8BG73")</f>
        <v>Q8BG73</v>
      </c>
      <c r="M2971" t="s">
        <v>33498</v>
      </c>
      <c r="N2971" t="str">
        <f>"Sh3bgrl2"</f>
        <v>Sh3bgrl2</v>
      </c>
      <c r="O2971" s="3" t="str">
        <f>HYPERLINK("http://www.informatics.jax.org/marker/MGI:1915350", "MGI:1915350")</f>
        <v>MGI:1915350</v>
      </c>
      <c r="P2971" t="s">
        <v>33499</v>
      </c>
      <c r="Q2971" t="s">
        <v>32</v>
      </c>
      <c r="R2971" t="s">
        <v>2279</v>
      </c>
      <c r="S2971" t="s">
        <v>32</v>
      </c>
      <c r="T2971" t="s">
        <v>32</v>
      </c>
      <c r="U2971" t="s">
        <v>32</v>
      </c>
      <c r="V2971" t="s">
        <v>7861</v>
      </c>
      <c r="W2971" t="s">
        <v>32</v>
      </c>
      <c r="X2971" t="s">
        <v>32</v>
      </c>
      <c r="Y2971" t="s">
        <v>32</v>
      </c>
      <c r="Z2971" t="s">
        <v>32</v>
      </c>
      <c r="AA2971" t="s">
        <v>32</v>
      </c>
      <c r="AB2971" t="s">
        <v>33500</v>
      </c>
      <c r="AC2971" t="s">
        <v>23260</v>
      </c>
      <c r="AD2971" t="s">
        <v>32</v>
      </c>
      <c r="AE2971" t="s">
        <v>32</v>
      </c>
      <c r="AF2971" t="s">
        <v>46835</v>
      </c>
    </row>
    <row r="2972" spans="1:32" x14ac:dyDescent="0.2">
      <c r="A2972">
        <v>2967</v>
      </c>
      <c r="B2972" t="s">
        <v>33501</v>
      </c>
      <c r="C2972" t="s">
        <v>33502</v>
      </c>
      <c r="D2972" t="s">
        <v>32</v>
      </c>
      <c r="E2972" t="s">
        <v>33503</v>
      </c>
      <c r="F2972" t="s">
        <v>33504</v>
      </c>
      <c r="G2972" t="s">
        <v>32</v>
      </c>
      <c r="H2972" t="str">
        <f>"Cyb5a"</f>
        <v>Cyb5a</v>
      </c>
      <c r="I2972" t="s">
        <v>33505</v>
      </c>
      <c r="J2972" t="s">
        <v>37</v>
      </c>
      <c r="K2972">
        <v>10090</v>
      </c>
      <c r="L2972" s="3" t="str">
        <f>HYPERLINK("http://www.uniprot.org/uniprot/P56395", "P56395")</f>
        <v>P56395</v>
      </c>
      <c r="M2972" t="s">
        <v>33506</v>
      </c>
      <c r="N2972" t="str">
        <f>"Cyb5a"</f>
        <v>Cyb5a</v>
      </c>
      <c r="O2972" s="3" t="str">
        <f>HYPERLINK("http://www.informatics.jax.org/marker/MGI:1926952", "MGI:1926952")</f>
        <v>MGI:1926952</v>
      </c>
      <c r="P2972" t="s">
        <v>33507</v>
      </c>
      <c r="Q2972" t="s">
        <v>4599</v>
      </c>
      <c r="R2972" t="s">
        <v>15998</v>
      </c>
      <c r="S2972" t="s">
        <v>32</v>
      </c>
      <c r="T2972" t="s">
        <v>32</v>
      </c>
      <c r="U2972" t="s">
        <v>32</v>
      </c>
      <c r="V2972" t="s">
        <v>493</v>
      </c>
      <c r="W2972" t="s">
        <v>6053</v>
      </c>
      <c r="X2972" t="s">
        <v>32</v>
      </c>
      <c r="Y2972" t="s">
        <v>78</v>
      </c>
      <c r="Z2972" t="s">
        <v>32</v>
      </c>
      <c r="AA2972" t="s">
        <v>29020</v>
      </c>
      <c r="AB2972" t="s">
        <v>33508</v>
      </c>
      <c r="AC2972" t="s">
        <v>33509</v>
      </c>
      <c r="AD2972" t="s">
        <v>32</v>
      </c>
      <c r="AE2972" t="s">
        <v>33510</v>
      </c>
      <c r="AF2972" t="s">
        <v>46835</v>
      </c>
    </row>
    <row r="2973" spans="1:32" x14ac:dyDescent="0.2">
      <c r="A2973">
        <v>2968</v>
      </c>
      <c r="B2973" t="s">
        <v>33511</v>
      </c>
      <c r="C2973" t="s">
        <v>33512</v>
      </c>
      <c r="D2973" t="s">
        <v>33513</v>
      </c>
      <c r="E2973" t="s">
        <v>33514</v>
      </c>
      <c r="F2973" t="s">
        <v>33515</v>
      </c>
      <c r="G2973" t="s">
        <v>33516</v>
      </c>
      <c r="H2973" t="str">
        <f>"Ddx27"</f>
        <v>Ddx27</v>
      </c>
      <c r="I2973" t="s">
        <v>32</v>
      </c>
      <c r="J2973" t="s">
        <v>37</v>
      </c>
      <c r="K2973">
        <v>10090</v>
      </c>
      <c r="L2973" s="3" t="str">
        <f>HYPERLINK("http://www.uniprot.org/uniprot/Q921N6", "Q921N6")</f>
        <v>Q921N6</v>
      </c>
      <c r="M2973" t="s">
        <v>33517</v>
      </c>
      <c r="N2973" t="str">
        <f>"Ddx27"</f>
        <v>Ddx27</v>
      </c>
      <c r="O2973" s="3" t="str">
        <f>HYPERLINK("http://www.informatics.jax.org/marker/MGI:2385884", "MGI:2385884")</f>
        <v>MGI:2385884</v>
      </c>
      <c r="P2973" t="s">
        <v>33518</v>
      </c>
      <c r="Q2973" t="s">
        <v>13781</v>
      </c>
      <c r="R2973" t="s">
        <v>1939</v>
      </c>
      <c r="S2973" t="s">
        <v>41</v>
      </c>
      <c r="T2973" t="s">
        <v>32</v>
      </c>
      <c r="U2973" t="s">
        <v>32</v>
      </c>
      <c r="V2973" t="s">
        <v>32</v>
      </c>
      <c r="W2973" t="s">
        <v>205</v>
      </c>
      <c r="X2973" t="s">
        <v>16991</v>
      </c>
      <c r="Y2973" t="s">
        <v>618</v>
      </c>
      <c r="Z2973" t="s">
        <v>32</v>
      </c>
      <c r="AA2973" t="s">
        <v>25279</v>
      </c>
      <c r="AB2973" t="s">
        <v>29243</v>
      </c>
      <c r="AC2973" t="s">
        <v>33519</v>
      </c>
      <c r="AD2973" t="s">
        <v>32</v>
      </c>
      <c r="AE2973" t="s">
        <v>32</v>
      </c>
      <c r="AF2973" t="s">
        <v>46835</v>
      </c>
    </row>
    <row r="2974" spans="1:32" x14ac:dyDescent="0.2">
      <c r="A2974">
        <v>2969</v>
      </c>
      <c r="B2974" t="s">
        <v>33520</v>
      </c>
      <c r="C2974" t="s">
        <v>33521</v>
      </c>
      <c r="D2974" t="s">
        <v>32</v>
      </c>
      <c r="E2974" t="s">
        <v>33522</v>
      </c>
      <c r="F2974" t="s">
        <v>33523</v>
      </c>
      <c r="G2974" t="s">
        <v>33524</v>
      </c>
      <c r="H2974" t="str">
        <f>"Klhl22"</f>
        <v>Klhl22</v>
      </c>
      <c r="I2974" t="s">
        <v>32</v>
      </c>
      <c r="J2974" t="s">
        <v>37</v>
      </c>
      <c r="K2974">
        <v>10090</v>
      </c>
      <c r="L2974" s="3" t="str">
        <f>HYPERLINK("http://www.uniprot.org/uniprot/Q99JN2", "Q99JN2")</f>
        <v>Q99JN2</v>
      </c>
      <c r="M2974" t="s">
        <v>33525</v>
      </c>
      <c r="N2974" t="str">
        <f>"Klhl22"</f>
        <v>Klhl22</v>
      </c>
      <c r="O2974" s="3" t="str">
        <f>HYPERLINK("http://www.informatics.jax.org/marker/MGI:1337995", "MGI:1337995")</f>
        <v>MGI:1337995</v>
      </c>
      <c r="P2974" t="s">
        <v>33526</v>
      </c>
      <c r="Q2974" t="s">
        <v>19695</v>
      </c>
      <c r="R2974" t="s">
        <v>33527</v>
      </c>
      <c r="S2974" t="s">
        <v>41</v>
      </c>
      <c r="T2974" t="s">
        <v>32</v>
      </c>
      <c r="U2974" t="s">
        <v>32</v>
      </c>
      <c r="V2974" t="s">
        <v>11766</v>
      </c>
      <c r="W2974" t="s">
        <v>32</v>
      </c>
      <c r="X2974" t="s">
        <v>32</v>
      </c>
      <c r="Y2974" t="s">
        <v>157</v>
      </c>
      <c r="Z2974" t="s">
        <v>32</v>
      </c>
      <c r="AA2974" t="s">
        <v>33528</v>
      </c>
      <c r="AB2974" t="s">
        <v>33529</v>
      </c>
      <c r="AC2974" t="s">
        <v>33530</v>
      </c>
      <c r="AD2974" t="s">
        <v>1027</v>
      </c>
      <c r="AE2974" t="s">
        <v>23932</v>
      </c>
      <c r="AF2974" t="s">
        <v>46835</v>
      </c>
    </row>
    <row r="2975" spans="1:32" x14ac:dyDescent="0.2">
      <c r="A2975">
        <v>2970</v>
      </c>
      <c r="B2975" t="s">
        <v>33531</v>
      </c>
      <c r="C2975" t="s">
        <v>33532</v>
      </c>
      <c r="D2975" t="s">
        <v>33533</v>
      </c>
      <c r="E2975" t="s">
        <v>33534</v>
      </c>
      <c r="F2975" t="s">
        <v>33535</v>
      </c>
      <c r="G2975" t="s">
        <v>32</v>
      </c>
      <c r="H2975" t="str">
        <f>"Dpm3"</f>
        <v>Dpm3</v>
      </c>
      <c r="I2975" t="s">
        <v>32</v>
      </c>
      <c r="J2975" t="s">
        <v>37</v>
      </c>
      <c r="K2975">
        <v>10090</v>
      </c>
      <c r="L2975" s="3" t="str">
        <f>HYPERLINK("http://www.uniprot.org/uniprot/Q9D1Q4", "Q9D1Q4")</f>
        <v>Q9D1Q4</v>
      </c>
      <c r="M2975" t="s">
        <v>33536</v>
      </c>
      <c r="N2975" t="str">
        <f>"Dpm3"</f>
        <v>Dpm3</v>
      </c>
      <c r="O2975" s="3" t="str">
        <f>HYPERLINK("http://www.informatics.jax.org/marker/MGI:1915813", "MGI:1915813")</f>
        <v>MGI:1915813</v>
      </c>
      <c r="P2975" t="s">
        <v>20637</v>
      </c>
      <c r="Q2975" t="s">
        <v>32</v>
      </c>
      <c r="R2975" t="s">
        <v>1664</v>
      </c>
      <c r="S2975" t="s">
        <v>32</v>
      </c>
      <c r="T2975" t="s">
        <v>32</v>
      </c>
      <c r="U2975" t="s">
        <v>32</v>
      </c>
      <c r="V2975" t="s">
        <v>493</v>
      </c>
      <c r="W2975" t="s">
        <v>32</v>
      </c>
      <c r="X2975" t="s">
        <v>32</v>
      </c>
      <c r="Y2975" t="s">
        <v>32</v>
      </c>
      <c r="Z2975" t="s">
        <v>32</v>
      </c>
      <c r="AA2975" t="s">
        <v>33537</v>
      </c>
      <c r="AB2975" t="s">
        <v>33538</v>
      </c>
      <c r="AC2975" t="s">
        <v>10442</v>
      </c>
      <c r="AD2975" t="s">
        <v>3952</v>
      </c>
      <c r="AE2975" t="s">
        <v>23994</v>
      </c>
      <c r="AF2975" t="s">
        <v>46835</v>
      </c>
    </row>
    <row r="2976" spans="1:32" x14ac:dyDescent="0.2">
      <c r="A2976">
        <v>2971</v>
      </c>
      <c r="B2976" t="s">
        <v>33539</v>
      </c>
      <c r="C2976" t="s">
        <v>33540</v>
      </c>
      <c r="D2976" t="s">
        <v>32</v>
      </c>
      <c r="E2976" t="s">
        <v>33541</v>
      </c>
      <c r="F2976" t="s">
        <v>33542</v>
      </c>
      <c r="G2976" t="s">
        <v>32</v>
      </c>
      <c r="H2976" t="str">
        <f>"Mdp1"</f>
        <v>Mdp1</v>
      </c>
      <c r="I2976" t="s">
        <v>32</v>
      </c>
      <c r="J2976" t="s">
        <v>37</v>
      </c>
      <c r="K2976">
        <v>10090</v>
      </c>
      <c r="L2976" s="3" t="str">
        <f>HYPERLINK("http://www.uniprot.org/uniprot/Q9D967", "Q9D967")</f>
        <v>Q9D967</v>
      </c>
      <c r="M2976" t="s">
        <v>33543</v>
      </c>
      <c r="N2976" t="str">
        <f>"Mdp1"</f>
        <v>Mdp1</v>
      </c>
      <c r="O2976" s="3" t="str">
        <f>HYPERLINK("http://www.informatics.jax.org/marker/MGI:1915131", "MGI:1915131")</f>
        <v>MGI:1915131</v>
      </c>
      <c r="P2976" t="s">
        <v>33544</v>
      </c>
      <c r="Q2976" t="s">
        <v>32</v>
      </c>
      <c r="R2976" t="s">
        <v>32</v>
      </c>
      <c r="S2976" t="s">
        <v>32</v>
      </c>
      <c r="T2976" t="s">
        <v>32</v>
      </c>
      <c r="U2976" t="s">
        <v>32</v>
      </c>
      <c r="V2976" t="s">
        <v>32</v>
      </c>
      <c r="W2976" t="s">
        <v>223</v>
      </c>
      <c r="X2976" t="s">
        <v>3683</v>
      </c>
      <c r="Y2976" t="s">
        <v>32</v>
      </c>
      <c r="Z2976" t="s">
        <v>126</v>
      </c>
      <c r="AA2976" t="s">
        <v>33545</v>
      </c>
      <c r="AB2976" t="s">
        <v>32</v>
      </c>
      <c r="AC2976" t="s">
        <v>33546</v>
      </c>
      <c r="AD2976" t="s">
        <v>32</v>
      </c>
      <c r="AE2976" t="s">
        <v>32</v>
      </c>
      <c r="AF2976" t="s">
        <v>46835</v>
      </c>
    </row>
    <row r="2977" spans="1:32" x14ac:dyDescent="0.2">
      <c r="A2977">
        <v>2972</v>
      </c>
      <c r="B2977" t="s">
        <v>33547</v>
      </c>
      <c r="C2977" t="s">
        <v>33548</v>
      </c>
      <c r="D2977" t="s">
        <v>32</v>
      </c>
      <c r="E2977" t="s">
        <v>33549</v>
      </c>
      <c r="F2977" t="s">
        <v>33550</v>
      </c>
      <c r="G2977" t="s">
        <v>33551</v>
      </c>
      <c r="H2977" t="str">
        <f>"Vwa8"</f>
        <v>Vwa8</v>
      </c>
      <c r="I2977" t="s">
        <v>33552</v>
      </c>
      <c r="J2977" t="s">
        <v>37</v>
      </c>
      <c r="K2977">
        <v>10090</v>
      </c>
      <c r="L2977" s="3" t="str">
        <f>HYPERLINK("http://www.uniprot.org/uniprot/Q8CC88", "Q8CC88")</f>
        <v>Q8CC88</v>
      </c>
      <c r="M2977" t="s">
        <v>33553</v>
      </c>
      <c r="N2977" t="str">
        <f>"Vwa8"</f>
        <v>Vwa8</v>
      </c>
      <c r="O2977" s="3" t="str">
        <f>HYPERLINK("http://www.informatics.jax.org/marker/MGI:1919008", "MGI:1919008")</f>
        <v>MGI:1919008</v>
      </c>
      <c r="P2977" t="s">
        <v>33554</v>
      </c>
      <c r="Q2977" t="s">
        <v>32</v>
      </c>
      <c r="R2977" t="s">
        <v>1038</v>
      </c>
      <c r="S2977" t="s">
        <v>41</v>
      </c>
      <c r="T2977" t="s">
        <v>32</v>
      </c>
      <c r="U2977" t="s">
        <v>32</v>
      </c>
      <c r="V2977" t="s">
        <v>1039</v>
      </c>
      <c r="W2977" t="s">
        <v>205</v>
      </c>
      <c r="X2977" t="s">
        <v>32</v>
      </c>
      <c r="Y2977" t="s">
        <v>32</v>
      </c>
      <c r="Z2977" t="s">
        <v>32</v>
      </c>
      <c r="AA2977" t="s">
        <v>32</v>
      </c>
      <c r="AB2977" t="s">
        <v>5747</v>
      </c>
      <c r="AC2977" t="s">
        <v>33555</v>
      </c>
      <c r="AD2977" t="s">
        <v>32</v>
      </c>
      <c r="AE2977" t="s">
        <v>32</v>
      </c>
      <c r="AF2977" t="s">
        <v>46835</v>
      </c>
    </row>
    <row r="2978" spans="1:32" x14ac:dyDescent="0.2">
      <c r="A2978">
        <v>2973</v>
      </c>
      <c r="B2978" t="s">
        <v>33556</v>
      </c>
      <c r="C2978" t="s">
        <v>33557</v>
      </c>
      <c r="D2978" t="s">
        <v>33558</v>
      </c>
      <c r="E2978" t="s">
        <v>33559</v>
      </c>
      <c r="F2978" t="s">
        <v>33560</v>
      </c>
      <c r="G2978" t="s">
        <v>33561</v>
      </c>
      <c r="H2978" t="str">
        <f>"Ubac1"</f>
        <v>Ubac1</v>
      </c>
      <c r="I2978" t="s">
        <v>33562</v>
      </c>
      <c r="J2978" t="s">
        <v>37</v>
      </c>
      <c r="K2978">
        <v>10090</v>
      </c>
      <c r="L2978" s="3" t="str">
        <f>HYPERLINK("http://www.uniprot.org/uniprot/Q8VDI7", "Q8VDI7")</f>
        <v>Q8VDI7</v>
      </c>
      <c r="M2978" t="s">
        <v>33563</v>
      </c>
      <c r="N2978" t="str">
        <f>"Ubac1"</f>
        <v>Ubac1</v>
      </c>
      <c r="O2978" s="3" t="str">
        <f>HYPERLINK("http://www.informatics.jax.org/marker/MGI:1920995", "MGI:1920995")</f>
        <v>MGI:1920995</v>
      </c>
      <c r="P2978" t="s">
        <v>33564</v>
      </c>
      <c r="Q2978" t="s">
        <v>1020</v>
      </c>
      <c r="R2978" t="s">
        <v>418</v>
      </c>
      <c r="S2978" t="s">
        <v>32</v>
      </c>
      <c r="T2978" t="s">
        <v>32</v>
      </c>
      <c r="U2978" t="s">
        <v>32</v>
      </c>
      <c r="V2978" t="s">
        <v>55</v>
      </c>
      <c r="W2978" t="s">
        <v>32</v>
      </c>
      <c r="X2978" t="s">
        <v>32</v>
      </c>
      <c r="Y2978" t="s">
        <v>78</v>
      </c>
      <c r="Z2978" t="s">
        <v>32</v>
      </c>
      <c r="AA2978" t="s">
        <v>24460</v>
      </c>
      <c r="AB2978" t="s">
        <v>33565</v>
      </c>
      <c r="AC2978" t="s">
        <v>32</v>
      </c>
      <c r="AD2978" t="s">
        <v>1027</v>
      </c>
      <c r="AE2978" t="s">
        <v>4220</v>
      </c>
      <c r="AF2978" t="s">
        <v>46835</v>
      </c>
    </row>
    <row r="2979" spans="1:32" x14ac:dyDescent="0.2">
      <c r="A2979">
        <v>2974</v>
      </c>
      <c r="B2979" t="s">
        <v>33566</v>
      </c>
      <c r="C2979" t="s">
        <v>33567</v>
      </c>
      <c r="D2979" t="s">
        <v>33568</v>
      </c>
      <c r="E2979" t="s">
        <v>33569</v>
      </c>
      <c r="F2979" t="s">
        <v>33570</v>
      </c>
      <c r="G2979" t="s">
        <v>33571</v>
      </c>
      <c r="H2979" t="str">
        <f>"Slc35b2"</f>
        <v>Slc35b2</v>
      </c>
      <c r="I2979" t="s">
        <v>33572</v>
      </c>
      <c r="J2979" t="s">
        <v>37</v>
      </c>
      <c r="K2979">
        <v>10090</v>
      </c>
      <c r="L2979" s="3" t="str">
        <f>HYPERLINK("http://www.uniprot.org/uniprot/Q91ZN5", "Q91ZN5")</f>
        <v>Q91ZN5</v>
      </c>
      <c r="M2979" t="s">
        <v>33573</v>
      </c>
      <c r="N2979" t="str">
        <f>"Slc35b2"</f>
        <v>Slc35b2</v>
      </c>
      <c r="O2979" s="3" t="str">
        <f>HYPERLINK("http://www.informatics.jax.org/marker/MGI:1921086", "MGI:1921086")</f>
        <v>MGI:1921086</v>
      </c>
      <c r="P2979" t="s">
        <v>33574</v>
      </c>
      <c r="Q2979" t="s">
        <v>4425</v>
      </c>
      <c r="R2979" t="s">
        <v>13904</v>
      </c>
      <c r="S2979" t="s">
        <v>41</v>
      </c>
      <c r="T2979" t="s">
        <v>32</v>
      </c>
      <c r="U2979" t="s">
        <v>32</v>
      </c>
      <c r="V2979" t="s">
        <v>493</v>
      </c>
      <c r="W2979" t="s">
        <v>32</v>
      </c>
      <c r="X2979" t="s">
        <v>32</v>
      </c>
      <c r="Y2979" t="s">
        <v>32</v>
      </c>
      <c r="Z2979" t="s">
        <v>32</v>
      </c>
      <c r="AA2979" t="s">
        <v>33575</v>
      </c>
      <c r="AB2979" t="s">
        <v>33576</v>
      </c>
      <c r="AC2979" t="s">
        <v>33577</v>
      </c>
      <c r="AD2979" t="s">
        <v>32</v>
      </c>
      <c r="AE2979" t="s">
        <v>33578</v>
      </c>
      <c r="AF2979" t="s">
        <v>46835</v>
      </c>
    </row>
    <row r="2980" spans="1:32" x14ac:dyDescent="0.2">
      <c r="A2980">
        <v>2975</v>
      </c>
      <c r="B2980" t="s">
        <v>33579</v>
      </c>
      <c r="C2980" t="s">
        <v>33580</v>
      </c>
      <c r="D2980" t="s">
        <v>33581</v>
      </c>
      <c r="E2980" t="s">
        <v>33582</v>
      </c>
      <c r="F2980" t="s">
        <v>33583</v>
      </c>
      <c r="G2980" t="s">
        <v>33584</v>
      </c>
      <c r="H2980" t="str">
        <f>"Rcan2"</f>
        <v>Rcan2</v>
      </c>
      <c r="I2980" t="s">
        <v>33585</v>
      </c>
      <c r="J2980" t="s">
        <v>37</v>
      </c>
      <c r="K2980">
        <v>10090</v>
      </c>
      <c r="L2980" s="3" t="str">
        <f>HYPERLINK("http://www.uniprot.org/uniprot/Q9JHG2", "Q9JHG2")</f>
        <v>Q9JHG2</v>
      </c>
      <c r="M2980" t="s">
        <v>33586</v>
      </c>
      <c r="N2980" t="str">
        <f>"Rcan2"</f>
        <v>Rcan2</v>
      </c>
      <c r="O2980" s="3" t="str">
        <f>HYPERLINK("http://www.informatics.jax.org/marker/MGI:1858219", "MGI:1858219")</f>
        <v>MGI:1858219</v>
      </c>
      <c r="P2980" t="s">
        <v>618</v>
      </c>
      <c r="Q2980" t="s">
        <v>32</v>
      </c>
      <c r="R2980" t="s">
        <v>32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32</v>
      </c>
      <c r="Y2980" t="s">
        <v>618</v>
      </c>
      <c r="Z2980" t="s">
        <v>32</v>
      </c>
      <c r="AA2980" t="s">
        <v>33587</v>
      </c>
      <c r="AB2980" t="s">
        <v>110</v>
      </c>
      <c r="AC2980" t="s">
        <v>33588</v>
      </c>
      <c r="AD2980" t="s">
        <v>32</v>
      </c>
      <c r="AE2980" t="s">
        <v>32</v>
      </c>
      <c r="AF2980" t="s">
        <v>46835</v>
      </c>
    </row>
    <row r="2981" spans="1:32" x14ac:dyDescent="0.2">
      <c r="A2981">
        <v>2976</v>
      </c>
      <c r="B2981" t="s">
        <v>33589</v>
      </c>
      <c r="C2981" t="s">
        <v>33590</v>
      </c>
      <c r="D2981" t="s">
        <v>32</v>
      </c>
      <c r="E2981" t="s">
        <v>33591</v>
      </c>
      <c r="F2981" t="s">
        <v>33592</v>
      </c>
      <c r="G2981" t="s">
        <v>33593</v>
      </c>
      <c r="H2981" t="str">
        <f>"Trappc2l"</f>
        <v>Trappc2l</v>
      </c>
      <c r="I2981" t="s">
        <v>32</v>
      </c>
      <c r="J2981" t="s">
        <v>37</v>
      </c>
      <c r="K2981">
        <v>10090</v>
      </c>
      <c r="L2981" s="3" t="str">
        <f>HYPERLINK("http://www.uniprot.org/uniprot/Q9JME7", "Q9JME7")</f>
        <v>Q9JME7</v>
      </c>
      <c r="M2981" t="s">
        <v>33594</v>
      </c>
      <c r="N2981" t="str">
        <f>"Trappc2l"</f>
        <v>Trappc2l</v>
      </c>
      <c r="O2981" s="3" t="str">
        <f>HYPERLINK("http://www.informatics.jax.org/marker/MGI:1916295", "MGI:1916295")</f>
        <v>MGI:1916295</v>
      </c>
      <c r="P2981" t="s">
        <v>33595</v>
      </c>
      <c r="Q2981" t="s">
        <v>14011</v>
      </c>
      <c r="R2981" t="s">
        <v>33596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32</v>
      </c>
      <c r="Y2981" t="s">
        <v>32</v>
      </c>
      <c r="Z2981" t="s">
        <v>32</v>
      </c>
      <c r="AA2981" t="s">
        <v>29748</v>
      </c>
      <c r="AB2981" t="s">
        <v>33597</v>
      </c>
      <c r="AC2981" t="s">
        <v>32</v>
      </c>
      <c r="AD2981" t="s">
        <v>32</v>
      </c>
      <c r="AE2981" t="s">
        <v>19968</v>
      </c>
      <c r="AF2981" t="s">
        <v>46835</v>
      </c>
    </row>
    <row r="2982" spans="1:32" x14ac:dyDescent="0.2">
      <c r="A2982">
        <v>2977</v>
      </c>
      <c r="B2982" t="s">
        <v>33598</v>
      </c>
      <c r="C2982" t="s">
        <v>33599</v>
      </c>
      <c r="D2982" t="s">
        <v>32</v>
      </c>
      <c r="E2982" t="s">
        <v>33600</v>
      </c>
      <c r="F2982" t="s">
        <v>33601</v>
      </c>
      <c r="G2982" t="s">
        <v>33602</v>
      </c>
      <c r="H2982" t="str">
        <f>"Vav2"</f>
        <v>Vav2</v>
      </c>
      <c r="I2982" t="s">
        <v>32</v>
      </c>
      <c r="J2982" t="s">
        <v>37</v>
      </c>
      <c r="K2982">
        <v>10090</v>
      </c>
      <c r="L2982" s="3" t="str">
        <f>HYPERLINK("http://www.uniprot.org/uniprot/Q60992", "Q60992")</f>
        <v>Q60992</v>
      </c>
      <c r="M2982" t="s">
        <v>33603</v>
      </c>
      <c r="N2982" t="str">
        <f>"Vav2"</f>
        <v>Vav2</v>
      </c>
      <c r="O2982" s="3" t="str">
        <f>HYPERLINK("http://www.informatics.jax.org/marker/MGI:102718", "MGI:102718")</f>
        <v>MGI:102718</v>
      </c>
      <c r="P2982" t="s">
        <v>33604</v>
      </c>
      <c r="Q2982" t="s">
        <v>4227</v>
      </c>
      <c r="R2982" t="s">
        <v>32</v>
      </c>
      <c r="S2982" t="s">
        <v>32</v>
      </c>
      <c r="T2982" t="s">
        <v>32</v>
      </c>
      <c r="U2982" t="s">
        <v>32</v>
      </c>
      <c r="V2982" t="s">
        <v>33605</v>
      </c>
      <c r="W2982" t="s">
        <v>42</v>
      </c>
      <c r="X2982" t="s">
        <v>5011</v>
      </c>
      <c r="Y2982" t="s">
        <v>618</v>
      </c>
      <c r="Z2982" t="s">
        <v>32</v>
      </c>
      <c r="AA2982" t="s">
        <v>33606</v>
      </c>
      <c r="AB2982" t="s">
        <v>4024</v>
      </c>
      <c r="AC2982" t="s">
        <v>33607</v>
      </c>
      <c r="AD2982" t="s">
        <v>32</v>
      </c>
      <c r="AE2982" t="s">
        <v>33608</v>
      </c>
      <c r="AF2982" t="s">
        <v>46835</v>
      </c>
    </row>
    <row r="2983" spans="1:32" x14ac:dyDescent="0.2">
      <c r="A2983">
        <v>2978</v>
      </c>
      <c r="B2983" t="s">
        <v>33609</v>
      </c>
      <c r="C2983" t="s">
        <v>33610</v>
      </c>
      <c r="D2983" t="s">
        <v>33611</v>
      </c>
      <c r="E2983" t="s">
        <v>33612</v>
      </c>
      <c r="F2983" t="s">
        <v>33613</v>
      </c>
      <c r="G2983" t="s">
        <v>32</v>
      </c>
      <c r="H2983" t="str">
        <f>"M6pr"</f>
        <v>M6pr</v>
      </c>
      <c r="I2983" t="s">
        <v>33614</v>
      </c>
      <c r="J2983" t="s">
        <v>37</v>
      </c>
      <c r="K2983">
        <v>10090</v>
      </c>
      <c r="L2983" s="3" t="str">
        <f>HYPERLINK("http://www.uniprot.org/uniprot/P24668", "P24668")</f>
        <v>P24668</v>
      </c>
      <c r="M2983" t="s">
        <v>33615</v>
      </c>
      <c r="N2983" t="str">
        <f>"M6pr"</f>
        <v>M6pr</v>
      </c>
      <c r="O2983" s="3" t="str">
        <f>HYPERLINK("http://www.informatics.jax.org/marker/MGI:96904", "MGI:96904")</f>
        <v>MGI:96904</v>
      </c>
      <c r="P2983" t="s">
        <v>33616</v>
      </c>
      <c r="Q2983" t="s">
        <v>4425</v>
      </c>
      <c r="R2983" t="s">
        <v>19635</v>
      </c>
      <c r="S2983" t="s">
        <v>32</v>
      </c>
      <c r="T2983" t="s">
        <v>32</v>
      </c>
      <c r="U2983" t="s">
        <v>32</v>
      </c>
      <c r="V2983" t="s">
        <v>3948</v>
      </c>
      <c r="W2983" t="s">
        <v>32</v>
      </c>
      <c r="X2983" t="s">
        <v>6983</v>
      </c>
      <c r="Y2983" t="s">
        <v>2865</v>
      </c>
      <c r="Z2983" t="s">
        <v>32</v>
      </c>
      <c r="AA2983" t="s">
        <v>33617</v>
      </c>
      <c r="AB2983" t="s">
        <v>33618</v>
      </c>
      <c r="AC2983" t="s">
        <v>33619</v>
      </c>
      <c r="AD2983" t="s">
        <v>32</v>
      </c>
      <c r="AE2983" t="s">
        <v>33620</v>
      </c>
      <c r="AF2983" t="s">
        <v>46835</v>
      </c>
    </row>
    <row r="2984" spans="1:32" x14ac:dyDescent="0.2">
      <c r="A2984">
        <v>2979</v>
      </c>
      <c r="B2984" t="s">
        <v>33621</v>
      </c>
      <c r="C2984" t="s">
        <v>33622</v>
      </c>
      <c r="D2984" t="s">
        <v>33623</v>
      </c>
      <c r="E2984" t="s">
        <v>33624</v>
      </c>
      <c r="F2984" t="s">
        <v>33625</v>
      </c>
      <c r="G2984" t="s">
        <v>33626</v>
      </c>
      <c r="H2984" t="str">
        <f>"Zcchc8"</f>
        <v>Zcchc8</v>
      </c>
      <c r="I2984" t="s">
        <v>32</v>
      </c>
      <c r="J2984" t="s">
        <v>37</v>
      </c>
      <c r="K2984">
        <v>10090</v>
      </c>
      <c r="L2984" s="3" t="str">
        <f>HYPERLINK("http://www.uniprot.org/uniprot/Q9CYA6", "Q9CYA6")</f>
        <v>Q9CYA6</v>
      </c>
      <c r="M2984" t="s">
        <v>33627</v>
      </c>
      <c r="N2984" t="str">
        <f>"Zcchc8"</f>
        <v>Zcchc8</v>
      </c>
      <c r="O2984" s="3" t="str">
        <f>HYPERLINK("http://www.informatics.jax.org/marker/MGI:1917900", "MGI:1917900")</f>
        <v>MGI:1917900</v>
      </c>
      <c r="P2984" t="s">
        <v>33628</v>
      </c>
      <c r="Q2984" t="s">
        <v>2139</v>
      </c>
      <c r="R2984" t="s">
        <v>2140</v>
      </c>
      <c r="S2984" t="s">
        <v>32</v>
      </c>
      <c r="T2984" t="s">
        <v>32</v>
      </c>
      <c r="U2984" t="s">
        <v>32</v>
      </c>
      <c r="V2984" t="s">
        <v>11171</v>
      </c>
      <c r="W2984" t="s">
        <v>42</v>
      </c>
      <c r="X2984" t="s">
        <v>32</v>
      </c>
      <c r="Y2984" t="s">
        <v>157</v>
      </c>
      <c r="Z2984" t="s">
        <v>32</v>
      </c>
      <c r="AA2984" t="s">
        <v>33629</v>
      </c>
      <c r="AB2984" t="s">
        <v>33630</v>
      </c>
      <c r="AC2984" t="s">
        <v>15686</v>
      </c>
      <c r="AD2984" t="s">
        <v>32</v>
      </c>
      <c r="AE2984" t="s">
        <v>32</v>
      </c>
      <c r="AF2984" t="s">
        <v>46835</v>
      </c>
    </row>
    <row r="2985" spans="1:32" x14ac:dyDescent="0.2">
      <c r="A2985">
        <v>2980</v>
      </c>
      <c r="B2985" t="s">
        <v>33631</v>
      </c>
      <c r="C2985" t="s">
        <v>33632</v>
      </c>
      <c r="D2985" t="s">
        <v>33633</v>
      </c>
      <c r="E2985" t="s">
        <v>33634</v>
      </c>
      <c r="F2985" t="s">
        <v>33635</v>
      </c>
      <c r="G2985" t="s">
        <v>33636</v>
      </c>
      <c r="H2985" t="str">
        <f>"Ncor1"</f>
        <v>Ncor1</v>
      </c>
      <c r="I2985" t="s">
        <v>33637</v>
      </c>
      <c r="J2985" t="s">
        <v>37</v>
      </c>
      <c r="K2985">
        <v>10090</v>
      </c>
      <c r="L2985" s="3" t="str">
        <f>HYPERLINK("http://www.uniprot.org/uniprot/Q60974", "Q60974")</f>
        <v>Q60974</v>
      </c>
      <c r="M2985" t="s">
        <v>33638</v>
      </c>
      <c r="N2985" t="str">
        <f>"Ncor1"</f>
        <v>Ncor1</v>
      </c>
      <c r="O2985" s="3" t="str">
        <f>HYPERLINK("http://www.informatics.jax.org/marker/MGI:1349717", "MGI:1349717")</f>
        <v>MGI:1349717</v>
      </c>
      <c r="P2985" t="s">
        <v>33639</v>
      </c>
      <c r="Q2985" t="s">
        <v>1992</v>
      </c>
      <c r="R2985" t="s">
        <v>2279</v>
      </c>
      <c r="S2985" t="s">
        <v>41</v>
      </c>
      <c r="T2985" t="s">
        <v>32</v>
      </c>
      <c r="U2985" t="s">
        <v>32</v>
      </c>
      <c r="V2985" t="s">
        <v>137</v>
      </c>
      <c r="W2985" t="s">
        <v>32</v>
      </c>
      <c r="X2985" t="s">
        <v>33640</v>
      </c>
      <c r="Y2985" t="s">
        <v>516</v>
      </c>
      <c r="Z2985" t="s">
        <v>32</v>
      </c>
      <c r="AA2985" t="s">
        <v>33641</v>
      </c>
      <c r="AB2985" t="s">
        <v>33642</v>
      </c>
      <c r="AC2985" t="s">
        <v>33643</v>
      </c>
      <c r="AD2985" t="s">
        <v>32</v>
      </c>
      <c r="AE2985" t="s">
        <v>33644</v>
      </c>
      <c r="AF2985" t="s">
        <v>46835</v>
      </c>
    </row>
    <row r="2986" spans="1:32" x14ac:dyDescent="0.2">
      <c r="A2986">
        <v>2981</v>
      </c>
      <c r="B2986" t="s">
        <v>33645</v>
      </c>
      <c r="C2986" t="s">
        <v>33646</v>
      </c>
      <c r="D2986" t="s">
        <v>32</v>
      </c>
      <c r="E2986" t="s">
        <v>33647</v>
      </c>
      <c r="F2986" t="s">
        <v>33648</v>
      </c>
      <c r="G2986" t="s">
        <v>33649</v>
      </c>
      <c r="H2986" t="str">
        <f>"Ccdc43"</f>
        <v>Ccdc43</v>
      </c>
      <c r="I2986" t="s">
        <v>33650</v>
      </c>
      <c r="J2986" t="s">
        <v>37</v>
      </c>
      <c r="K2986">
        <v>10090</v>
      </c>
      <c r="L2986" s="3" t="str">
        <f>HYPERLINK("http://www.uniprot.org/uniprot/Q9CR29", "Q9CR29")</f>
        <v>Q9CR29</v>
      </c>
      <c r="M2986" t="s">
        <v>33651</v>
      </c>
      <c r="N2986" t="str">
        <f>"Ccdc43"</f>
        <v>Ccdc43</v>
      </c>
      <c r="O2986" s="3" t="str">
        <f>HYPERLINK("http://www.informatics.jax.org/marker/MGI:1289318", "MGI:1289318")</f>
        <v>MGI:1289318</v>
      </c>
      <c r="P2986" t="s">
        <v>33652</v>
      </c>
      <c r="Q2986" t="s">
        <v>32</v>
      </c>
      <c r="R2986" t="s">
        <v>32</v>
      </c>
      <c r="S2986" t="s">
        <v>41</v>
      </c>
      <c r="T2986" t="s">
        <v>32</v>
      </c>
      <c r="U2986" t="s">
        <v>32</v>
      </c>
      <c r="V2986" t="s">
        <v>290</v>
      </c>
      <c r="W2986" t="s">
        <v>32</v>
      </c>
      <c r="X2986" t="s">
        <v>32</v>
      </c>
      <c r="Y2986" t="s">
        <v>1007</v>
      </c>
      <c r="Z2986" t="s">
        <v>32</v>
      </c>
      <c r="AA2986" t="s">
        <v>32</v>
      </c>
      <c r="AB2986" t="s">
        <v>1268</v>
      </c>
      <c r="AC2986" t="s">
        <v>32</v>
      </c>
      <c r="AD2986" t="s">
        <v>32</v>
      </c>
      <c r="AE2986" t="s">
        <v>32</v>
      </c>
      <c r="AF2986" t="s">
        <v>46835</v>
      </c>
    </row>
    <row r="2987" spans="1:32" x14ac:dyDescent="0.2">
      <c r="A2987">
        <v>2982</v>
      </c>
      <c r="B2987" t="s">
        <v>33653</v>
      </c>
      <c r="C2987" t="s">
        <v>33654</v>
      </c>
      <c r="D2987" t="s">
        <v>33655</v>
      </c>
      <c r="E2987" t="s">
        <v>33656</v>
      </c>
      <c r="F2987" t="s">
        <v>33657</v>
      </c>
      <c r="G2987" t="s">
        <v>32</v>
      </c>
      <c r="H2987" t="str">
        <f>"Polr2i"</f>
        <v>Polr2i</v>
      </c>
      <c r="I2987" t="s">
        <v>32</v>
      </c>
      <c r="J2987" t="s">
        <v>37</v>
      </c>
      <c r="K2987">
        <v>10090</v>
      </c>
      <c r="L2987" s="3" t="str">
        <f>HYPERLINK("http://www.uniprot.org/uniprot/P60898", "P60898")</f>
        <v>P60898</v>
      </c>
      <c r="M2987" t="s">
        <v>33658</v>
      </c>
      <c r="N2987" t="str">
        <f>"Polr2i"</f>
        <v>Polr2i</v>
      </c>
      <c r="O2987" s="3" t="str">
        <f>HYPERLINK("http://www.informatics.jax.org/marker/MGI:1917170", "MGI:1917170")</f>
        <v>MGI:1917170</v>
      </c>
      <c r="P2987" t="s">
        <v>33659</v>
      </c>
      <c r="Q2987" t="s">
        <v>16415</v>
      </c>
      <c r="R2987" t="s">
        <v>19800</v>
      </c>
      <c r="S2987" t="s">
        <v>32</v>
      </c>
      <c r="T2987" t="s">
        <v>32</v>
      </c>
      <c r="U2987" t="s">
        <v>32</v>
      </c>
      <c r="V2987" t="s">
        <v>446</v>
      </c>
      <c r="W2987" t="s">
        <v>42</v>
      </c>
      <c r="X2987" t="s">
        <v>32</v>
      </c>
      <c r="Y2987" t="s">
        <v>78</v>
      </c>
      <c r="Z2987" t="s">
        <v>32</v>
      </c>
      <c r="AA2987" t="s">
        <v>33660</v>
      </c>
      <c r="AB2987" t="s">
        <v>33661</v>
      </c>
      <c r="AC2987" t="s">
        <v>27845</v>
      </c>
      <c r="AD2987" t="s">
        <v>32</v>
      </c>
      <c r="AE2987" t="s">
        <v>16422</v>
      </c>
      <c r="AF2987" t="s">
        <v>46835</v>
      </c>
    </row>
    <row r="2988" spans="1:32" x14ac:dyDescent="0.2">
      <c r="A2988">
        <v>2983</v>
      </c>
      <c r="B2988" t="s">
        <v>33662</v>
      </c>
      <c r="C2988" t="s">
        <v>33663</v>
      </c>
      <c r="D2988" t="s">
        <v>33664</v>
      </c>
      <c r="E2988" t="s">
        <v>33665</v>
      </c>
      <c r="F2988" t="s">
        <v>33666</v>
      </c>
      <c r="G2988" t="s">
        <v>33667</v>
      </c>
      <c r="H2988" t="str">
        <f>"Pcbp3"</f>
        <v>Pcbp3</v>
      </c>
      <c r="I2988" t="s">
        <v>32</v>
      </c>
      <c r="J2988" t="s">
        <v>37</v>
      </c>
      <c r="K2988">
        <v>10090</v>
      </c>
      <c r="L2988" s="3" t="str">
        <f>HYPERLINK("http://www.uniprot.org/uniprot/P57722", "P57722")</f>
        <v>P57722</v>
      </c>
      <c r="M2988" t="s">
        <v>33668</v>
      </c>
      <c r="N2988" t="str">
        <f>"Pcbp3"</f>
        <v>Pcbp3</v>
      </c>
      <c r="O2988" s="3" t="str">
        <f>HYPERLINK("http://www.informatics.jax.org/marker/MGI:1890470", "MGI:1890470")</f>
        <v>MGI:1890470</v>
      </c>
      <c r="P2988" t="s">
        <v>33669</v>
      </c>
      <c r="Q2988" t="s">
        <v>32</v>
      </c>
      <c r="R2988" t="s">
        <v>418</v>
      </c>
      <c r="S2988" t="s">
        <v>41</v>
      </c>
      <c r="T2988" t="s">
        <v>32</v>
      </c>
      <c r="U2988" t="s">
        <v>32</v>
      </c>
      <c r="V2988" t="s">
        <v>55</v>
      </c>
      <c r="W2988" t="s">
        <v>32</v>
      </c>
      <c r="X2988" t="s">
        <v>1993</v>
      </c>
      <c r="Y2988" t="s">
        <v>32</v>
      </c>
      <c r="Z2988" t="s">
        <v>32</v>
      </c>
      <c r="AA2988" t="s">
        <v>33670</v>
      </c>
      <c r="AB2988" t="s">
        <v>3991</v>
      </c>
      <c r="AC2988" t="s">
        <v>33671</v>
      </c>
      <c r="AD2988" t="s">
        <v>32</v>
      </c>
      <c r="AE2988" t="s">
        <v>32</v>
      </c>
      <c r="AF2988" t="s">
        <v>46835</v>
      </c>
    </row>
    <row r="2989" spans="1:32" x14ac:dyDescent="0.2">
      <c r="A2989">
        <v>2984</v>
      </c>
      <c r="B2989" t="s">
        <v>33672</v>
      </c>
      <c r="C2989" t="s">
        <v>33673</v>
      </c>
      <c r="D2989" t="s">
        <v>33674</v>
      </c>
      <c r="E2989" t="s">
        <v>33675</v>
      </c>
      <c r="F2989" t="s">
        <v>33676</v>
      </c>
      <c r="G2989" t="s">
        <v>33677</v>
      </c>
      <c r="H2989" t="str">
        <f>"Eif4e2"</f>
        <v>Eif4e2</v>
      </c>
      <c r="I2989" t="s">
        <v>32</v>
      </c>
      <c r="J2989" t="s">
        <v>37</v>
      </c>
      <c r="K2989">
        <v>10090</v>
      </c>
      <c r="L2989" s="3" t="str">
        <f>HYPERLINK("http://www.uniprot.org/uniprot/Q8BMB3", "Q8BMB3")</f>
        <v>Q8BMB3</v>
      </c>
      <c r="M2989" t="s">
        <v>33678</v>
      </c>
      <c r="N2989" t="str">
        <f>"Eif4e2"</f>
        <v>Eif4e2</v>
      </c>
      <c r="O2989" s="3" t="str">
        <f>HYPERLINK("http://www.informatics.jax.org/marker/MGI:1914440", "MGI:1914440")</f>
        <v>MGI:1914440</v>
      </c>
      <c r="P2989" t="s">
        <v>33679</v>
      </c>
      <c r="Q2989" t="s">
        <v>33680</v>
      </c>
      <c r="R2989" t="s">
        <v>418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1566</v>
      </c>
      <c r="Y2989" t="s">
        <v>516</v>
      </c>
      <c r="Z2989" t="s">
        <v>32</v>
      </c>
      <c r="AA2989" t="s">
        <v>33681</v>
      </c>
      <c r="AB2989" t="s">
        <v>33682</v>
      </c>
      <c r="AC2989" t="s">
        <v>33683</v>
      </c>
      <c r="AD2989" t="s">
        <v>32</v>
      </c>
      <c r="AE2989" t="s">
        <v>2299</v>
      </c>
      <c r="AF2989" t="s">
        <v>46835</v>
      </c>
    </row>
    <row r="2990" spans="1:32" x14ac:dyDescent="0.2">
      <c r="A2990">
        <v>2985</v>
      </c>
      <c r="B2990" t="s">
        <v>33684</v>
      </c>
      <c r="C2990" t="s">
        <v>33685</v>
      </c>
      <c r="D2990" t="s">
        <v>33686</v>
      </c>
      <c r="E2990" t="s">
        <v>33687</v>
      </c>
      <c r="F2990" t="s">
        <v>33688</v>
      </c>
      <c r="G2990" t="s">
        <v>33689</v>
      </c>
      <c r="H2990" t="str">
        <f>"Gatd1"</f>
        <v>Gatd1</v>
      </c>
      <c r="I2990" t="s">
        <v>32</v>
      </c>
      <c r="J2990" t="s">
        <v>37</v>
      </c>
      <c r="K2990">
        <v>10090</v>
      </c>
      <c r="L2990" s="3" t="str">
        <f>HYPERLINK("http://www.uniprot.org/uniprot/Q8BFQ8", "Q8BFQ8")</f>
        <v>Q8BFQ8</v>
      </c>
      <c r="M2990" t="s">
        <v>33690</v>
      </c>
      <c r="N2990" t="str">
        <f>"Gatd1"</f>
        <v>Gatd1</v>
      </c>
      <c r="O2990" s="3" t="str">
        <f>HYPERLINK("http://www.informatics.jax.org/marker/MGI:2387178", "MGI:2387178")</f>
        <v>MGI:2387178</v>
      </c>
      <c r="P2990" t="s">
        <v>24746</v>
      </c>
      <c r="Q2990" t="s">
        <v>32</v>
      </c>
      <c r="R2990" t="s">
        <v>630</v>
      </c>
      <c r="S2990" t="s">
        <v>32</v>
      </c>
      <c r="T2990" t="s">
        <v>32</v>
      </c>
      <c r="U2990" t="s">
        <v>32</v>
      </c>
      <c r="V2990" t="s">
        <v>811</v>
      </c>
      <c r="W2990" t="s">
        <v>32</v>
      </c>
      <c r="X2990" t="s">
        <v>32</v>
      </c>
      <c r="Y2990" t="s">
        <v>3733</v>
      </c>
      <c r="Z2990" t="s">
        <v>32</v>
      </c>
      <c r="AA2990" t="s">
        <v>33691</v>
      </c>
      <c r="AB2990" t="s">
        <v>33692</v>
      </c>
      <c r="AC2990" t="s">
        <v>33693</v>
      </c>
      <c r="AD2990" t="s">
        <v>32</v>
      </c>
      <c r="AE2990" t="s">
        <v>32</v>
      </c>
      <c r="AF2990" t="s">
        <v>46835</v>
      </c>
    </row>
    <row r="2991" spans="1:32" x14ac:dyDescent="0.2">
      <c r="A2991">
        <v>2986</v>
      </c>
      <c r="B2991" t="s">
        <v>33694</v>
      </c>
      <c r="C2991" t="s">
        <v>33695</v>
      </c>
      <c r="D2991" t="s">
        <v>32</v>
      </c>
      <c r="E2991" t="s">
        <v>33696</v>
      </c>
      <c r="F2991" t="s">
        <v>33697</v>
      </c>
      <c r="G2991" t="s">
        <v>32</v>
      </c>
      <c r="H2991" t="str">
        <f>"Ttc12"</f>
        <v>Ttc12</v>
      </c>
      <c r="I2991" t="s">
        <v>32</v>
      </c>
      <c r="J2991" t="s">
        <v>37</v>
      </c>
      <c r="K2991">
        <v>10090</v>
      </c>
      <c r="L2991" s="3" t="str">
        <f>HYPERLINK("http://www.uniprot.org/uniprot/Q8BW49", "Q8BW49")</f>
        <v>Q8BW49</v>
      </c>
      <c r="M2991" t="s">
        <v>33698</v>
      </c>
      <c r="N2991" t="str">
        <f>"Ttc12"</f>
        <v>Ttc12</v>
      </c>
      <c r="O2991" s="3" t="str">
        <f>HYPERLINK("http://www.informatics.jax.org/marker/MGI:2444588", "MGI:2444588")</f>
        <v>MGI:2444588</v>
      </c>
      <c r="P2991" t="s">
        <v>33699</v>
      </c>
      <c r="Q2991" t="s">
        <v>475</v>
      </c>
      <c r="R2991" t="s">
        <v>418</v>
      </c>
      <c r="S2991" t="s">
        <v>32</v>
      </c>
      <c r="T2991" t="s">
        <v>32</v>
      </c>
      <c r="U2991" t="s">
        <v>32</v>
      </c>
      <c r="V2991" t="s">
        <v>995</v>
      </c>
      <c r="W2991" t="s">
        <v>32</v>
      </c>
      <c r="X2991" t="s">
        <v>32</v>
      </c>
      <c r="Y2991" t="s">
        <v>618</v>
      </c>
      <c r="Z2991" t="s">
        <v>32</v>
      </c>
      <c r="AA2991" t="s">
        <v>33700</v>
      </c>
      <c r="AB2991" t="s">
        <v>33701</v>
      </c>
      <c r="AC2991" t="s">
        <v>32</v>
      </c>
      <c r="AD2991" t="s">
        <v>32</v>
      </c>
      <c r="AE2991" t="s">
        <v>32</v>
      </c>
      <c r="AF2991" t="s">
        <v>46835</v>
      </c>
    </row>
    <row r="2992" spans="1:32" x14ac:dyDescent="0.2">
      <c r="A2992">
        <v>2987</v>
      </c>
      <c r="B2992" t="s">
        <v>33702</v>
      </c>
      <c r="C2992" t="s">
        <v>33703</v>
      </c>
      <c r="D2992" t="s">
        <v>33704</v>
      </c>
      <c r="E2992" t="s">
        <v>33705</v>
      </c>
      <c r="F2992" t="s">
        <v>33706</v>
      </c>
      <c r="G2992" t="s">
        <v>33707</v>
      </c>
      <c r="H2992" t="str">
        <f>"Impdh1"</f>
        <v>Impdh1</v>
      </c>
      <c r="I2992" t="s">
        <v>32</v>
      </c>
      <c r="J2992" t="s">
        <v>37</v>
      </c>
      <c r="K2992">
        <v>10090</v>
      </c>
      <c r="L2992" s="3" t="str">
        <f>HYPERLINK("http://www.uniprot.org/uniprot/P50096", "P50096")</f>
        <v>P50096</v>
      </c>
      <c r="M2992" t="s">
        <v>33708</v>
      </c>
      <c r="N2992" t="str">
        <f>"Impdh1"</f>
        <v>Impdh1</v>
      </c>
      <c r="O2992" s="3" t="str">
        <f>HYPERLINK("http://www.informatics.jax.org/marker/MGI:96567", "MGI:96567")</f>
        <v>MGI:96567</v>
      </c>
      <c r="P2992" t="s">
        <v>33709</v>
      </c>
      <c r="Q2992" t="s">
        <v>6079</v>
      </c>
      <c r="R2992" t="s">
        <v>40</v>
      </c>
      <c r="S2992" t="s">
        <v>32</v>
      </c>
      <c r="T2992" t="s">
        <v>32</v>
      </c>
      <c r="U2992" t="s">
        <v>32</v>
      </c>
      <c r="V2992" t="s">
        <v>6080</v>
      </c>
      <c r="W2992" t="s">
        <v>6081</v>
      </c>
      <c r="X2992" t="s">
        <v>600</v>
      </c>
      <c r="Y2992" t="s">
        <v>2734</v>
      </c>
      <c r="Z2992" t="s">
        <v>32</v>
      </c>
      <c r="AA2992" t="s">
        <v>33710</v>
      </c>
      <c r="AB2992" t="s">
        <v>4218</v>
      </c>
      <c r="AC2992" t="s">
        <v>33711</v>
      </c>
      <c r="AD2992" t="s">
        <v>6085</v>
      </c>
      <c r="AE2992" t="s">
        <v>6086</v>
      </c>
      <c r="AF2992" t="s">
        <v>46835</v>
      </c>
    </row>
    <row r="2993" spans="1:32" x14ac:dyDescent="0.2">
      <c r="A2993">
        <v>2988</v>
      </c>
      <c r="B2993" t="s">
        <v>33712</v>
      </c>
      <c r="C2993" t="s">
        <v>33713</v>
      </c>
      <c r="D2993" t="s">
        <v>33714</v>
      </c>
      <c r="E2993" t="s">
        <v>33715</v>
      </c>
      <c r="F2993" t="s">
        <v>33716</v>
      </c>
      <c r="G2993" t="s">
        <v>33717</v>
      </c>
      <c r="H2993" t="str">
        <f>"Hacd3"</f>
        <v>Hacd3</v>
      </c>
      <c r="I2993" t="s">
        <v>32</v>
      </c>
      <c r="J2993" t="s">
        <v>37</v>
      </c>
      <c r="K2993">
        <v>10090</v>
      </c>
      <c r="L2993" s="3" t="str">
        <f>HYPERLINK("http://www.uniprot.org/uniprot/Q8K2C9", "Q8K2C9")</f>
        <v>Q8K2C9</v>
      </c>
      <c r="M2993" t="s">
        <v>33718</v>
      </c>
      <c r="N2993" t="str">
        <f>"Hacd3"</f>
        <v>Hacd3</v>
      </c>
      <c r="O2993" s="3" t="str">
        <f>HYPERLINK("http://www.informatics.jax.org/marker/MGI:1889341", "MGI:1889341")</f>
        <v>MGI:1889341</v>
      </c>
      <c r="P2993" t="s">
        <v>33719</v>
      </c>
      <c r="Q2993" t="s">
        <v>1249</v>
      </c>
      <c r="R2993" t="s">
        <v>1664</v>
      </c>
      <c r="S2993" t="s">
        <v>32</v>
      </c>
      <c r="T2993" t="s">
        <v>32</v>
      </c>
      <c r="U2993" t="s">
        <v>32</v>
      </c>
      <c r="V2993" t="s">
        <v>6500</v>
      </c>
      <c r="W2993" t="s">
        <v>32</v>
      </c>
      <c r="X2993" t="s">
        <v>224</v>
      </c>
      <c r="Y2993" t="s">
        <v>157</v>
      </c>
      <c r="Z2993" t="s">
        <v>32</v>
      </c>
      <c r="AA2993" t="s">
        <v>33720</v>
      </c>
      <c r="AB2993" t="s">
        <v>33721</v>
      </c>
      <c r="AC2993" t="s">
        <v>33722</v>
      </c>
      <c r="AD2993" t="s">
        <v>1256</v>
      </c>
      <c r="AE2993" t="s">
        <v>9931</v>
      </c>
      <c r="AF2993" t="s">
        <v>46835</v>
      </c>
    </row>
    <row r="2994" spans="1:32" x14ac:dyDescent="0.2">
      <c r="A2994">
        <v>2989</v>
      </c>
      <c r="B2994" t="s">
        <v>33723</v>
      </c>
      <c r="C2994" t="s">
        <v>33724</v>
      </c>
      <c r="D2994" t="s">
        <v>33725</v>
      </c>
      <c r="E2994" t="s">
        <v>33726</v>
      </c>
      <c r="F2994" t="s">
        <v>33727</v>
      </c>
      <c r="G2994" t="s">
        <v>33728</v>
      </c>
      <c r="H2994" t="str">
        <f>"Agpat4"</f>
        <v>Agpat4</v>
      </c>
      <c r="I2994" t="s">
        <v>32</v>
      </c>
      <c r="J2994" t="s">
        <v>37</v>
      </c>
      <c r="K2994">
        <v>10090</v>
      </c>
      <c r="L2994" s="3" t="str">
        <f>HYPERLINK("http://www.uniprot.org/uniprot/Q8K4X7", "Q8K4X7")</f>
        <v>Q8K4X7</v>
      </c>
      <c r="M2994" t="s">
        <v>33729</v>
      </c>
      <c r="N2994" t="str">
        <f>"Agpat4"</f>
        <v>Agpat4</v>
      </c>
      <c r="O2994" s="3" t="str">
        <f>HYPERLINK("http://www.informatics.jax.org/marker/MGI:1915512", "MGI:1915512")</f>
        <v>MGI:1915512</v>
      </c>
      <c r="P2994" t="s">
        <v>33730</v>
      </c>
      <c r="Q2994" t="s">
        <v>22663</v>
      </c>
      <c r="R2994" t="s">
        <v>1664</v>
      </c>
      <c r="S2994" t="s">
        <v>32</v>
      </c>
      <c r="T2994" t="s">
        <v>32</v>
      </c>
      <c r="U2994" t="s">
        <v>32</v>
      </c>
      <c r="V2994" t="s">
        <v>493</v>
      </c>
      <c r="W2994" t="s">
        <v>32</v>
      </c>
      <c r="X2994" t="s">
        <v>7304</v>
      </c>
      <c r="Y2994" t="s">
        <v>32</v>
      </c>
      <c r="Z2994" t="s">
        <v>32</v>
      </c>
      <c r="AA2994" t="s">
        <v>33731</v>
      </c>
      <c r="AB2994" t="s">
        <v>33732</v>
      </c>
      <c r="AC2994" t="s">
        <v>33733</v>
      </c>
      <c r="AD2994" t="s">
        <v>33734</v>
      </c>
      <c r="AE2994" t="s">
        <v>9863</v>
      </c>
      <c r="AF2994" t="s">
        <v>46835</v>
      </c>
    </row>
    <row r="2995" spans="1:32" x14ac:dyDescent="0.2">
      <c r="A2995">
        <v>2990</v>
      </c>
      <c r="B2995" t="s">
        <v>33735</v>
      </c>
      <c r="C2995" t="s">
        <v>33736</v>
      </c>
      <c r="D2995" t="s">
        <v>32</v>
      </c>
      <c r="E2995" t="s">
        <v>33737</v>
      </c>
      <c r="F2995" t="s">
        <v>33738</v>
      </c>
      <c r="G2995" t="s">
        <v>32</v>
      </c>
      <c r="H2995" t="str">
        <f>"Cyp20a1"</f>
        <v>Cyp20a1</v>
      </c>
      <c r="I2995" t="s">
        <v>32</v>
      </c>
      <c r="J2995" t="s">
        <v>37</v>
      </c>
      <c r="K2995">
        <v>10090</v>
      </c>
      <c r="L2995" s="3" t="str">
        <f>HYPERLINK("http://www.uniprot.org/uniprot/Q8BKE6", "Q8BKE6")</f>
        <v>Q8BKE6</v>
      </c>
      <c r="M2995" t="s">
        <v>33739</v>
      </c>
      <c r="N2995" t="str">
        <f>"Cyp20a1"</f>
        <v>Cyp20a1</v>
      </c>
      <c r="O2995" s="3" t="str">
        <f>HYPERLINK("http://www.informatics.jax.org/marker/MGI:1925201", "MGI:1925201")</f>
        <v>MGI:1925201</v>
      </c>
      <c r="P2995" t="s">
        <v>33740</v>
      </c>
      <c r="Q2995" t="s">
        <v>32</v>
      </c>
      <c r="R2995" t="s">
        <v>5989</v>
      </c>
      <c r="S2995" t="s">
        <v>32</v>
      </c>
      <c r="T2995" t="s">
        <v>32</v>
      </c>
      <c r="U2995" t="s">
        <v>32</v>
      </c>
      <c r="V2995" t="s">
        <v>493</v>
      </c>
      <c r="W2995" t="s">
        <v>6053</v>
      </c>
      <c r="X2995" t="s">
        <v>18648</v>
      </c>
      <c r="Y2995" t="s">
        <v>32</v>
      </c>
      <c r="Z2995" t="s">
        <v>32</v>
      </c>
      <c r="AA2995" t="s">
        <v>32</v>
      </c>
      <c r="AB2995" t="s">
        <v>14923</v>
      </c>
      <c r="AC2995" t="s">
        <v>33741</v>
      </c>
      <c r="AD2995" t="s">
        <v>32</v>
      </c>
      <c r="AE2995" t="s">
        <v>32</v>
      </c>
      <c r="AF2995" t="s">
        <v>46835</v>
      </c>
    </row>
    <row r="2996" spans="1:32" x14ac:dyDescent="0.2">
      <c r="A2996">
        <v>2991</v>
      </c>
      <c r="B2996" t="s">
        <v>33742</v>
      </c>
      <c r="C2996" t="s">
        <v>33743</v>
      </c>
      <c r="D2996" t="s">
        <v>33744</v>
      </c>
      <c r="E2996" t="s">
        <v>33745</v>
      </c>
      <c r="F2996" t="s">
        <v>33746</v>
      </c>
      <c r="G2996" t="s">
        <v>33747</v>
      </c>
      <c r="H2996" t="str">
        <f>"Tsen34"</f>
        <v>Tsen34</v>
      </c>
      <c r="I2996" t="s">
        <v>33748</v>
      </c>
      <c r="J2996" t="s">
        <v>37</v>
      </c>
      <c r="K2996">
        <v>10090</v>
      </c>
      <c r="L2996" s="3" t="str">
        <f>HYPERLINK("http://www.uniprot.org/uniprot/Q8BMZ5", "Q8BMZ5")</f>
        <v>Q8BMZ5</v>
      </c>
      <c r="M2996" t="s">
        <v>33749</v>
      </c>
      <c r="N2996" t="str">
        <f>"Tsen34"</f>
        <v>Tsen34</v>
      </c>
      <c r="O2996" s="3" t="str">
        <f>HYPERLINK("http://www.informatics.jax.org/marker/MGI:1913328", "MGI:1913328")</f>
        <v>MGI:1913328</v>
      </c>
      <c r="P2996" t="s">
        <v>33750</v>
      </c>
      <c r="Q2996" t="s">
        <v>28062</v>
      </c>
      <c r="R2996" t="s">
        <v>2279</v>
      </c>
      <c r="S2996" t="s">
        <v>41</v>
      </c>
      <c r="T2996" t="s">
        <v>32</v>
      </c>
      <c r="U2996" t="s">
        <v>32</v>
      </c>
      <c r="V2996" t="s">
        <v>32</v>
      </c>
      <c r="W2996" t="s">
        <v>32</v>
      </c>
      <c r="X2996" t="s">
        <v>224</v>
      </c>
      <c r="Y2996" t="s">
        <v>32</v>
      </c>
      <c r="Z2996" t="s">
        <v>32</v>
      </c>
      <c r="AA2996" t="s">
        <v>33751</v>
      </c>
      <c r="AB2996" t="s">
        <v>33752</v>
      </c>
      <c r="AC2996" t="s">
        <v>33753</v>
      </c>
      <c r="AD2996" t="s">
        <v>32</v>
      </c>
      <c r="AE2996" t="s">
        <v>32</v>
      </c>
      <c r="AF2996" t="s">
        <v>46835</v>
      </c>
    </row>
    <row r="2997" spans="1:32" x14ac:dyDescent="0.2">
      <c r="A2997">
        <v>2992</v>
      </c>
      <c r="B2997" t="s">
        <v>33754</v>
      </c>
      <c r="C2997" t="s">
        <v>33755</v>
      </c>
      <c r="D2997" t="s">
        <v>33756</v>
      </c>
      <c r="E2997" t="s">
        <v>33757</v>
      </c>
      <c r="F2997" t="s">
        <v>33758</v>
      </c>
      <c r="G2997" t="s">
        <v>33759</v>
      </c>
      <c r="H2997" t="str">
        <f>"Niban2"</f>
        <v>Niban2</v>
      </c>
      <c r="I2997" t="s">
        <v>32</v>
      </c>
      <c r="J2997" t="s">
        <v>37</v>
      </c>
      <c r="K2997">
        <v>10090</v>
      </c>
      <c r="L2997" s="3" t="str">
        <f>HYPERLINK("http://www.uniprot.org/uniprot/Q8R1F1", "Q8R1F1")</f>
        <v>Q8R1F1</v>
      </c>
      <c r="M2997" t="s">
        <v>33760</v>
      </c>
      <c r="N2997" t="str">
        <f>"Niban2"</f>
        <v>Niban2</v>
      </c>
      <c r="O2997" s="3" t="str">
        <f>HYPERLINK("http://www.informatics.jax.org/marker/MGI:2442910", "MGI:2442910")</f>
        <v>MGI:2442910</v>
      </c>
      <c r="P2997" t="s">
        <v>33761</v>
      </c>
      <c r="Q2997" t="s">
        <v>32</v>
      </c>
      <c r="R2997" t="s">
        <v>33762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32</v>
      </c>
      <c r="Y2997" t="s">
        <v>5562</v>
      </c>
      <c r="Z2997" t="s">
        <v>32</v>
      </c>
      <c r="AA2997" t="s">
        <v>33763</v>
      </c>
      <c r="AB2997" t="s">
        <v>33764</v>
      </c>
      <c r="AC2997" t="s">
        <v>13501</v>
      </c>
      <c r="AD2997" t="s">
        <v>32</v>
      </c>
      <c r="AE2997" t="s">
        <v>32</v>
      </c>
      <c r="AF2997" t="s">
        <v>46835</v>
      </c>
    </row>
    <row r="2998" spans="1:32" x14ac:dyDescent="0.2">
      <c r="A2998">
        <v>2993</v>
      </c>
      <c r="B2998" t="s">
        <v>33765</v>
      </c>
      <c r="C2998" t="s">
        <v>33766</v>
      </c>
      <c r="D2998" t="s">
        <v>33767</v>
      </c>
      <c r="E2998" t="s">
        <v>33768</v>
      </c>
      <c r="F2998" t="s">
        <v>33769</v>
      </c>
      <c r="G2998" t="s">
        <v>33770</v>
      </c>
      <c r="H2998" t="str">
        <f>"Ptpn12"</f>
        <v>Ptpn12</v>
      </c>
      <c r="I2998" t="s">
        <v>32</v>
      </c>
      <c r="J2998" t="s">
        <v>37</v>
      </c>
      <c r="K2998">
        <v>10090</v>
      </c>
      <c r="L2998" s="3" t="str">
        <f>HYPERLINK("http://www.uniprot.org/uniprot/P35831", "P35831")</f>
        <v>P35831</v>
      </c>
      <c r="M2998" t="s">
        <v>33771</v>
      </c>
      <c r="N2998" t="str">
        <f>"Ptpn12"</f>
        <v>Ptpn12</v>
      </c>
      <c r="O2998" s="3" t="str">
        <f>HYPERLINK("http://www.informatics.jax.org/marker/MGI:104673", "MGI:104673")</f>
        <v>MGI:104673</v>
      </c>
      <c r="P2998" t="s">
        <v>33772</v>
      </c>
      <c r="Q2998" t="s">
        <v>32</v>
      </c>
      <c r="R2998" t="s">
        <v>5156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3683</v>
      </c>
      <c r="Y2998" t="s">
        <v>157</v>
      </c>
      <c r="Z2998" t="s">
        <v>32</v>
      </c>
      <c r="AA2998" t="s">
        <v>33773</v>
      </c>
      <c r="AB2998" t="s">
        <v>33774</v>
      </c>
      <c r="AC2998" t="s">
        <v>33775</v>
      </c>
      <c r="AD2998" t="s">
        <v>32</v>
      </c>
      <c r="AE2998" t="s">
        <v>33776</v>
      </c>
      <c r="AF2998" t="s">
        <v>46835</v>
      </c>
    </row>
    <row r="2999" spans="1:32" x14ac:dyDescent="0.2">
      <c r="A2999">
        <v>2994</v>
      </c>
      <c r="B2999" t="s">
        <v>33777</v>
      </c>
      <c r="C2999" t="s">
        <v>33778</v>
      </c>
      <c r="D2999" t="s">
        <v>33779</v>
      </c>
      <c r="E2999" t="s">
        <v>33780</v>
      </c>
      <c r="F2999" t="s">
        <v>33781</v>
      </c>
      <c r="G2999" t="s">
        <v>33782</v>
      </c>
      <c r="H2999" t="str">
        <f>"Tns3"</f>
        <v>Tns3</v>
      </c>
      <c r="I2999" t="s">
        <v>33783</v>
      </c>
      <c r="J2999" t="s">
        <v>37</v>
      </c>
      <c r="K2999">
        <v>10090</v>
      </c>
      <c r="L2999" s="3" t="str">
        <f>HYPERLINK("http://www.uniprot.org/uniprot/Q5SSZ5", "Q5SSZ5")</f>
        <v>Q5SSZ5</v>
      </c>
      <c r="M2999" t="s">
        <v>33784</v>
      </c>
      <c r="N2999" t="str">
        <f>"Tns3"</f>
        <v>Tns3</v>
      </c>
      <c r="O2999" s="3" t="str">
        <f>HYPERLINK("http://www.informatics.jax.org/marker/MGI:2443012", "MGI:2443012")</f>
        <v>MGI:2443012</v>
      </c>
      <c r="P2999" t="s">
        <v>33785</v>
      </c>
      <c r="Q2999" t="s">
        <v>32</v>
      </c>
      <c r="R2999" t="s">
        <v>8772</v>
      </c>
      <c r="S2999" t="s">
        <v>41</v>
      </c>
      <c r="T2999" t="s">
        <v>32</v>
      </c>
      <c r="U2999" t="s">
        <v>32</v>
      </c>
      <c r="V2999" t="s">
        <v>12625</v>
      </c>
      <c r="W2999" t="s">
        <v>32</v>
      </c>
      <c r="X2999" t="s">
        <v>32</v>
      </c>
      <c r="Y2999" t="s">
        <v>618</v>
      </c>
      <c r="Z2999" t="s">
        <v>32</v>
      </c>
      <c r="AA2999" t="s">
        <v>33786</v>
      </c>
      <c r="AB2999" t="s">
        <v>33787</v>
      </c>
      <c r="AC2999" t="s">
        <v>33788</v>
      </c>
      <c r="AD2999" t="s">
        <v>32</v>
      </c>
      <c r="AE2999" t="s">
        <v>33789</v>
      </c>
      <c r="AF2999" t="s">
        <v>46835</v>
      </c>
    </row>
    <row r="3000" spans="1:32" x14ac:dyDescent="0.2">
      <c r="A3000">
        <v>2995</v>
      </c>
      <c r="B3000" t="s">
        <v>33790</v>
      </c>
      <c r="C3000" t="s">
        <v>33791</v>
      </c>
      <c r="D3000" t="s">
        <v>33792</v>
      </c>
      <c r="E3000" t="s">
        <v>33793</v>
      </c>
      <c r="F3000" t="s">
        <v>33794</v>
      </c>
      <c r="G3000" t="s">
        <v>33795</v>
      </c>
      <c r="H3000" t="str">
        <f>"Irf2bp1"</f>
        <v>Irf2bp1</v>
      </c>
      <c r="I3000" t="s">
        <v>32</v>
      </c>
      <c r="J3000" t="s">
        <v>37</v>
      </c>
      <c r="K3000">
        <v>10090</v>
      </c>
      <c r="L3000" s="3" t="str">
        <f>HYPERLINK("http://www.uniprot.org/uniprot/Q8R3Y8", "Q8R3Y8")</f>
        <v>Q8R3Y8</v>
      </c>
      <c r="M3000" t="s">
        <v>33796</v>
      </c>
      <c r="N3000" t="str">
        <f>"Irf2bp1"</f>
        <v>Irf2bp1</v>
      </c>
      <c r="O3000" s="3" t="str">
        <f>HYPERLINK("http://www.informatics.jax.org/marker/MGI:2442159", "MGI:2442159")</f>
        <v>MGI:2442159</v>
      </c>
      <c r="P3000" t="s">
        <v>33797</v>
      </c>
      <c r="Q3000" t="s">
        <v>2278</v>
      </c>
      <c r="R3000" t="s">
        <v>2279</v>
      </c>
      <c r="S3000" t="s">
        <v>41</v>
      </c>
      <c r="T3000" t="s">
        <v>32</v>
      </c>
      <c r="U3000" t="s">
        <v>32</v>
      </c>
      <c r="V3000" t="s">
        <v>11171</v>
      </c>
      <c r="W3000" t="s">
        <v>42</v>
      </c>
      <c r="X3000" t="s">
        <v>33798</v>
      </c>
      <c r="Y3000" t="s">
        <v>2192</v>
      </c>
      <c r="Z3000" t="s">
        <v>32</v>
      </c>
      <c r="AA3000" t="s">
        <v>33799</v>
      </c>
      <c r="AB3000" t="s">
        <v>7318</v>
      </c>
      <c r="AC3000" t="s">
        <v>33800</v>
      </c>
      <c r="AD3000" t="s">
        <v>32</v>
      </c>
      <c r="AE3000" t="s">
        <v>32</v>
      </c>
      <c r="AF3000" t="s">
        <v>46835</v>
      </c>
    </row>
    <row r="3001" spans="1:32" x14ac:dyDescent="0.2">
      <c r="A3001">
        <v>2996</v>
      </c>
      <c r="B3001" t="s">
        <v>33801</v>
      </c>
      <c r="C3001" t="s">
        <v>33802</v>
      </c>
      <c r="D3001" t="s">
        <v>33803</v>
      </c>
      <c r="E3001" t="s">
        <v>33804</v>
      </c>
      <c r="F3001" t="s">
        <v>33805</v>
      </c>
      <c r="G3001" t="s">
        <v>32</v>
      </c>
      <c r="H3001" t="str">
        <f>"Tagln3"</f>
        <v>Tagln3</v>
      </c>
      <c r="I3001" t="s">
        <v>33806</v>
      </c>
      <c r="J3001" t="s">
        <v>37</v>
      </c>
      <c r="K3001">
        <v>10090</v>
      </c>
      <c r="L3001" s="3" t="str">
        <f>HYPERLINK("http://www.uniprot.org/uniprot/Q9R1Q8", "Q9R1Q8")</f>
        <v>Q9R1Q8</v>
      </c>
      <c r="M3001" t="s">
        <v>33807</v>
      </c>
      <c r="N3001" t="str">
        <f>"Tagln3"</f>
        <v>Tagln3</v>
      </c>
      <c r="O3001" s="3" t="str">
        <f>HYPERLINK("http://www.informatics.jax.org/marker/MGI:1926784", "MGI:1926784")</f>
        <v>MGI:1926784</v>
      </c>
      <c r="P3001" t="s">
        <v>618</v>
      </c>
      <c r="Q3001" t="s">
        <v>32</v>
      </c>
      <c r="R3001" t="s">
        <v>32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32</v>
      </c>
      <c r="Y3001" t="s">
        <v>618</v>
      </c>
      <c r="Z3001" t="s">
        <v>32</v>
      </c>
      <c r="AA3001" t="s">
        <v>33808</v>
      </c>
      <c r="AB3001" t="s">
        <v>33809</v>
      </c>
      <c r="AC3001" t="s">
        <v>32</v>
      </c>
      <c r="AD3001" t="s">
        <v>32</v>
      </c>
      <c r="AE3001" t="s">
        <v>32</v>
      </c>
      <c r="AF3001" t="s">
        <v>46835</v>
      </c>
    </row>
    <row r="3002" spans="1:32" x14ac:dyDescent="0.2">
      <c r="A3002">
        <v>2997</v>
      </c>
      <c r="B3002" t="s">
        <v>33810</v>
      </c>
      <c r="C3002" t="s">
        <v>33811</v>
      </c>
      <c r="D3002" t="s">
        <v>33812</v>
      </c>
      <c r="E3002" t="s">
        <v>33813</v>
      </c>
      <c r="F3002" t="s">
        <v>33814</v>
      </c>
      <c r="G3002" t="s">
        <v>33815</v>
      </c>
      <c r="H3002" t="str">
        <f>"Ppp4c"</f>
        <v>Ppp4c</v>
      </c>
      <c r="I3002" t="s">
        <v>33816</v>
      </c>
      <c r="J3002" t="s">
        <v>37</v>
      </c>
      <c r="K3002">
        <v>10090</v>
      </c>
      <c r="L3002" s="3" t="str">
        <f>HYPERLINK("http://www.uniprot.org/uniprot/P97470", "P97470")</f>
        <v>P97470</v>
      </c>
      <c r="M3002" t="s">
        <v>33817</v>
      </c>
      <c r="N3002" t="str">
        <f>"Ppp4c"</f>
        <v>Ppp4c</v>
      </c>
      <c r="O3002" s="3" t="str">
        <f>HYPERLINK("http://www.informatics.jax.org/marker/MGI:1891763", "MGI:1891763")</f>
        <v>MGI:1891763</v>
      </c>
      <c r="P3002" t="s">
        <v>33818</v>
      </c>
      <c r="Q3002" t="s">
        <v>32</v>
      </c>
      <c r="R3002" t="s">
        <v>324</v>
      </c>
      <c r="S3002" t="s">
        <v>32</v>
      </c>
      <c r="T3002" t="s">
        <v>32</v>
      </c>
      <c r="U3002" t="s">
        <v>32</v>
      </c>
      <c r="V3002" t="s">
        <v>32</v>
      </c>
      <c r="W3002" t="s">
        <v>5883</v>
      </c>
      <c r="X3002" t="s">
        <v>3683</v>
      </c>
      <c r="Y3002" t="s">
        <v>57</v>
      </c>
      <c r="Z3002" t="s">
        <v>32</v>
      </c>
      <c r="AA3002" t="s">
        <v>33819</v>
      </c>
      <c r="AB3002" t="s">
        <v>33820</v>
      </c>
      <c r="AC3002" t="s">
        <v>33821</v>
      </c>
      <c r="AD3002" t="s">
        <v>32</v>
      </c>
      <c r="AE3002" t="s">
        <v>31232</v>
      </c>
      <c r="AF3002" t="s">
        <v>46835</v>
      </c>
    </row>
    <row r="3003" spans="1:32" x14ac:dyDescent="0.2">
      <c r="A3003">
        <v>2998</v>
      </c>
      <c r="B3003" t="s">
        <v>33822</v>
      </c>
      <c r="C3003" t="s">
        <v>33823</v>
      </c>
      <c r="D3003" t="s">
        <v>33824</v>
      </c>
      <c r="E3003" t="s">
        <v>33825</v>
      </c>
      <c r="F3003" t="s">
        <v>33826</v>
      </c>
      <c r="G3003" t="s">
        <v>33827</v>
      </c>
      <c r="H3003" t="str">
        <f>"Gde1"</f>
        <v>Gde1</v>
      </c>
      <c r="I3003" t="s">
        <v>32</v>
      </c>
      <c r="J3003" t="s">
        <v>37</v>
      </c>
      <c r="K3003">
        <v>10090</v>
      </c>
      <c r="L3003" s="3" t="str">
        <f>HYPERLINK("http://www.uniprot.org/uniprot/Q9JL56", "Q9JL56")</f>
        <v>Q9JL56</v>
      </c>
      <c r="M3003" t="s">
        <v>33828</v>
      </c>
      <c r="N3003" t="str">
        <f>"Gde1"</f>
        <v>Gde1</v>
      </c>
      <c r="O3003" s="3" t="str">
        <f>HYPERLINK("http://www.informatics.jax.org/marker/MGI:1891827", "MGI:1891827")</f>
        <v>MGI:1891827</v>
      </c>
      <c r="P3003" t="s">
        <v>33829</v>
      </c>
      <c r="Q3003" t="s">
        <v>598</v>
      </c>
      <c r="R3003" t="s">
        <v>22974</v>
      </c>
      <c r="S3003" t="s">
        <v>32</v>
      </c>
      <c r="T3003" t="s">
        <v>32</v>
      </c>
      <c r="U3003" t="s">
        <v>32</v>
      </c>
      <c r="V3003" t="s">
        <v>493</v>
      </c>
      <c r="W3003" t="s">
        <v>223</v>
      </c>
      <c r="X3003" t="s">
        <v>343</v>
      </c>
      <c r="Y3003" t="s">
        <v>3733</v>
      </c>
      <c r="Z3003" t="s">
        <v>32</v>
      </c>
      <c r="AA3003" t="s">
        <v>33830</v>
      </c>
      <c r="AB3003" t="s">
        <v>33831</v>
      </c>
      <c r="AC3003" t="s">
        <v>33832</v>
      </c>
      <c r="AD3003" t="s">
        <v>32</v>
      </c>
      <c r="AE3003" t="s">
        <v>19290</v>
      </c>
      <c r="AF3003" t="s">
        <v>46835</v>
      </c>
    </row>
    <row r="3004" spans="1:32" x14ac:dyDescent="0.2">
      <c r="A3004">
        <v>2999</v>
      </c>
      <c r="B3004" t="s">
        <v>33833</v>
      </c>
      <c r="C3004" t="s">
        <v>33834</v>
      </c>
      <c r="D3004" t="s">
        <v>33835</v>
      </c>
      <c r="E3004" t="s">
        <v>33836</v>
      </c>
      <c r="F3004" t="s">
        <v>33837</v>
      </c>
      <c r="G3004" t="s">
        <v>33838</v>
      </c>
      <c r="H3004" t="str">
        <f>"Marchf5"</f>
        <v>Marchf5</v>
      </c>
      <c r="I3004" s="1">
        <v>45356</v>
      </c>
      <c r="J3004" t="s">
        <v>37</v>
      </c>
      <c r="K3004">
        <v>10090</v>
      </c>
      <c r="L3004" s="3" t="str">
        <f>HYPERLINK("http://www.uniprot.org/uniprot/Q3KNM2", "Q3KNM2")</f>
        <v>Q3KNM2</v>
      </c>
      <c r="M3004" t="s">
        <v>33839</v>
      </c>
      <c r="N3004" t="str">
        <f>"Marchf5"</f>
        <v>Marchf5</v>
      </c>
      <c r="O3004" s="3" t="str">
        <f>HYPERLINK("http://www.informatics.jax.org/marker/MGI:1915207", "MGI:1915207")</f>
        <v>MGI:1915207</v>
      </c>
      <c r="P3004" t="s">
        <v>33840</v>
      </c>
      <c r="Q3004" t="s">
        <v>1020</v>
      </c>
      <c r="R3004" t="s">
        <v>10615</v>
      </c>
      <c r="S3004" t="s">
        <v>32</v>
      </c>
      <c r="T3004" t="s">
        <v>32</v>
      </c>
      <c r="U3004" t="s">
        <v>32</v>
      </c>
      <c r="V3004" t="s">
        <v>8267</v>
      </c>
      <c r="W3004" t="s">
        <v>42</v>
      </c>
      <c r="X3004" t="s">
        <v>515</v>
      </c>
      <c r="Y3004" t="s">
        <v>5599</v>
      </c>
      <c r="Z3004" t="s">
        <v>32</v>
      </c>
      <c r="AA3004" t="s">
        <v>33841</v>
      </c>
      <c r="AB3004" t="s">
        <v>33842</v>
      </c>
      <c r="AC3004" t="s">
        <v>33843</v>
      </c>
      <c r="AD3004" t="s">
        <v>1027</v>
      </c>
      <c r="AE3004" t="s">
        <v>32</v>
      </c>
      <c r="AF3004" t="s">
        <v>46835</v>
      </c>
    </row>
    <row r="3005" spans="1:32" x14ac:dyDescent="0.2">
      <c r="A3005">
        <v>3000</v>
      </c>
      <c r="B3005" t="s">
        <v>33844</v>
      </c>
      <c r="C3005" t="s">
        <v>33845</v>
      </c>
      <c r="D3005" t="s">
        <v>33846</v>
      </c>
      <c r="E3005" t="s">
        <v>33847</v>
      </c>
      <c r="F3005" t="s">
        <v>33848</v>
      </c>
      <c r="G3005" t="s">
        <v>33849</v>
      </c>
      <c r="H3005" t="str">
        <f>"Rbm28"</f>
        <v>Rbm28</v>
      </c>
      <c r="I3005" t="s">
        <v>32</v>
      </c>
      <c r="J3005" t="s">
        <v>37</v>
      </c>
      <c r="K3005">
        <v>10090</v>
      </c>
      <c r="L3005" s="3" t="str">
        <f>HYPERLINK("http://www.uniprot.org/uniprot/Q8CGC6", "Q8CGC6")</f>
        <v>Q8CGC6</v>
      </c>
      <c r="M3005" t="s">
        <v>33850</v>
      </c>
      <c r="N3005" t="str">
        <f>"Rbm28"</f>
        <v>Rbm28</v>
      </c>
      <c r="O3005" s="3" t="str">
        <f>HYPERLINK("http://www.informatics.jax.org/marker/MGI:2655711", "MGI:2655711")</f>
        <v>MGI:2655711</v>
      </c>
      <c r="P3005" t="s">
        <v>33851</v>
      </c>
      <c r="Q3005" t="s">
        <v>2139</v>
      </c>
      <c r="R3005" t="s">
        <v>2140</v>
      </c>
      <c r="S3005" t="s">
        <v>32</v>
      </c>
      <c r="T3005" t="s">
        <v>32</v>
      </c>
      <c r="U3005" t="s">
        <v>32</v>
      </c>
      <c r="V3005" t="s">
        <v>55</v>
      </c>
      <c r="W3005" t="s">
        <v>32</v>
      </c>
      <c r="X3005" t="s">
        <v>1282</v>
      </c>
      <c r="Y3005" t="s">
        <v>516</v>
      </c>
      <c r="Z3005" t="s">
        <v>126</v>
      </c>
      <c r="AA3005" t="s">
        <v>16469</v>
      </c>
      <c r="AB3005" t="s">
        <v>33852</v>
      </c>
      <c r="AC3005" t="s">
        <v>4711</v>
      </c>
      <c r="AD3005" t="s">
        <v>32</v>
      </c>
      <c r="AE3005" t="s">
        <v>32</v>
      </c>
      <c r="AF3005" t="s">
        <v>46835</v>
      </c>
    </row>
    <row r="3006" spans="1:32" x14ac:dyDescent="0.2">
      <c r="A3006">
        <v>3001</v>
      </c>
      <c r="B3006" t="s">
        <v>33853</v>
      </c>
      <c r="C3006" t="s">
        <v>33854</v>
      </c>
      <c r="D3006" t="s">
        <v>33855</v>
      </c>
      <c r="E3006" t="s">
        <v>33856</v>
      </c>
      <c r="F3006" t="s">
        <v>33857</v>
      </c>
      <c r="G3006" t="s">
        <v>33858</v>
      </c>
      <c r="H3006" t="str">
        <f>"Myh14"</f>
        <v>Myh14</v>
      </c>
      <c r="I3006" t="s">
        <v>32</v>
      </c>
      <c r="J3006" t="s">
        <v>37</v>
      </c>
      <c r="K3006">
        <v>10090</v>
      </c>
      <c r="L3006" s="3" t="str">
        <f>HYPERLINK("http://www.uniprot.org/uniprot/Q6URW6", "Q6URW6")</f>
        <v>Q6URW6</v>
      </c>
      <c r="M3006" t="s">
        <v>33859</v>
      </c>
      <c r="N3006" t="str">
        <f>"Myh14"</f>
        <v>Myh14</v>
      </c>
      <c r="O3006" s="3" t="str">
        <f>HYPERLINK("http://www.informatics.jax.org/marker/MGI:1919210", "MGI:1919210")</f>
        <v>MGI:1919210</v>
      </c>
      <c r="P3006" t="s">
        <v>33860</v>
      </c>
      <c r="Q3006" t="s">
        <v>646</v>
      </c>
      <c r="R3006" t="s">
        <v>32</v>
      </c>
      <c r="S3006" t="s">
        <v>41</v>
      </c>
      <c r="T3006" t="s">
        <v>32</v>
      </c>
      <c r="U3006" t="s">
        <v>32</v>
      </c>
      <c r="V3006" t="s">
        <v>290</v>
      </c>
      <c r="W3006" t="s">
        <v>205</v>
      </c>
      <c r="X3006" t="s">
        <v>1366</v>
      </c>
      <c r="Y3006" t="s">
        <v>157</v>
      </c>
      <c r="Z3006" t="s">
        <v>32</v>
      </c>
      <c r="AA3006" t="s">
        <v>33861</v>
      </c>
      <c r="AB3006" t="s">
        <v>33862</v>
      </c>
      <c r="AC3006" t="s">
        <v>33863</v>
      </c>
      <c r="AD3006" t="s">
        <v>32</v>
      </c>
      <c r="AE3006" t="s">
        <v>3266</v>
      </c>
      <c r="AF3006" t="s">
        <v>46835</v>
      </c>
    </row>
    <row r="3007" spans="1:32" x14ac:dyDescent="0.2">
      <c r="A3007">
        <v>3002</v>
      </c>
      <c r="B3007" t="s">
        <v>33864</v>
      </c>
      <c r="C3007" t="s">
        <v>33865</v>
      </c>
      <c r="D3007" t="s">
        <v>32</v>
      </c>
      <c r="E3007" t="s">
        <v>33866</v>
      </c>
      <c r="F3007" t="s">
        <v>33867</v>
      </c>
      <c r="G3007" t="s">
        <v>32</v>
      </c>
      <c r="H3007" t="str">
        <f>"Tex10"</f>
        <v>Tex10</v>
      </c>
      <c r="I3007" t="s">
        <v>32</v>
      </c>
      <c r="J3007" t="s">
        <v>37</v>
      </c>
      <c r="K3007">
        <v>10090</v>
      </c>
      <c r="L3007" s="3" t="str">
        <f>HYPERLINK("http://www.uniprot.org/uniprot/Q3URQ0", "Q3URQ0")</f>
        <v>Q3URQ0</v>
      </c>
      <c r="M3007" t="s">
        <v>33868</v>
      </c>
      <c r="N3007" t="str">
        <f>"Tex10"</f>
        <v>Tex10</v>
      </c>
      <c r="O3007" s="3" t="str">
        <f>HYPERLINK("http://www.informatics.jax.org/marker/MGI:1344413", "MGI:1344413")</f>
        <v>MGI:1344413</v>
      </c>
      <c r="P3007" t="s">
        <v>19197</v>
      </c>
      <c r="Q3007" t="s">
        <v>32</v>
      </c>
      <c r="R3007" t="s">
        <v>40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32</v>
      </c>
      <c r="Y3007" t="s">
        <v>618</v>
      </c>
      <c r="Z3007" t="s">
        <v>32</v>
      </c>
      <c r="AA3007" t="s">
        <v>32</v>
      </c>
      <c r="AB3007" t="s">
        <v>33869</v>
      </c>
      <c r="AC3007" t="s">
        <v>32</v>
      </c>
      <c r="AD3007" t="s">
        <v>32</v>
      </c>
      <c r="AE3007" t="s">
        <v>960</v>
      </c>
      <c r="AF3007" t="s">
        <v>46835</v>
      </c>
    </row>
    <row r="3008" spans="1:32" x14ac:dyDescent="0.2">
      <c r="A3008">
        <v>3003</v>
      </c>
      <c r="B3008" t="s">
        <v>33870</v>
      </c>
      <c r="C3008" t="s">
        <v>33871</v>
      </c>
      <c r="D3008" t="s">
        <v>33872</v>
      </c>
      <c r="E3008" t="s">
        <v>33873</v>
      </c>
      <c r="F3008" t="s">
        <v>33874</v>
      </c>
      <c r="G3008" t="s">
        <v>33875</v>
      </c>
      <c r="H3008" t="str">
        <f>"Glmn"</f>
        <v>Glmn</v>
      </c>
      <c r="I3008" t="s">
        <v>33876</v>
      </c>
      <c r="J3008" t="s">
        <v>37</v>
      </c>
      <c r="K3008">
        <v>10090</v>
      </c>
      <c r="L3008" s="3" t="str">
        <f>HYPERLINK("http://www.uniprot.org/uniprot/Q8BZM1", "Q8BZM1")</f>
        <v>Q8BZM1</v>
      </c>
      <c r="M3008" t="s">
        <v>33877</v>
      </c>
      <c r="N3008" t="str">
        <f>"Glmn"</f>
        <v>Glmn</v>
      </c>
      <c r="O3008" s="3" t="str">
        <f>HYPERLINK("http://www.informatics.jax.org/marker/MGI:2141180", "MGI:2141180")</f>
        <v>MGI:2141180</v>
      </c>
      <c r="P3008" t="s">
        <v>157</v>
      </c>
      <c r="Q3008" t="s">
        <v>32</v>
      </c>
      <c r="R3008" t="s">
        <v>32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32</v>
      </c>
      <c r="Y3008" t="s">
        <v>157</v>
      </c>
      <c r="Z3008" t="s">
        <v>32</v>
      </c>
      <c r="AA3008" t="s">
        <v>33878</v>
      </c>
      <c r="AB3008" t="s">
        <v>33879</v>
      </c>
      <c r="AC3008" t="s">
        <v>33880</v>
      </c>
      <c r="AD3008" t="s">
        <v>32</v>
      </c>
      <c r="AE3008" t="s">
        <v>4220</v>
      </c>
      <c r="AF3008" t="s">
        <v>46835</v>
      </c>
    </row>
    <row r="3009" spans="1:32" x14ac:dyDescent="0.2">
      <c r="A3009">
        <v>3004</v>
      </c>
      <c r="B3009" t="s">
        <v>33881</v>
      </c>
      <c r="C3009" t="s">
        <v>33882</v>
      </c>
      <c r="D3009" t="s">
        <v>33883</v>
      </c>
      <c r="E3009" t="s">
        <v>33884</v>
      </c>
      <c r="F3009" t="s">
        <v>33885</v>
      </c>
      <c r="G3009" t="s">
        <v>33886</v>
      </c>
      <c r="H3009" t="str">
        <f>"Pip4k2b"</f>
        <v>Pip4k2b</v>
      </c>
      <c r="I3009" t="s">
        <v>33887</v>
      </c>
      <c r="J3009" t="s">
        <v>37</v>
      </c>
      <c r="K3009">
        <v>10090</v>
      </c>
      <c r="L3009" s="3" t="str">
        <f>HYPERLINK("http://www.uniprot.org/uniprot/Q80XI4", "Q80XI4")</f>
        <v>Q80XI4</v>
      </c>
      <c r="M3009" t="s">
        <v>33888</v>
      </c>
      <c r="N3009" t="str">
        <f>"Pip4k2b"</f>
        <v>Pip4k2b</v>
      </c>
      <c r="O3009" s="3" t="str">
        <f>HYPERLINK("http://www.informatics.jax.org/marker/MGI:1934234", "MGI:1934234")</f>
        <v>MGI:1934234</v>
      </c>
      <c r="P3009" t="s">
        <v>33889</v>
      </c>
      <c r="Q3009" t="s">
        <v>598</v>
      </c>
      <c r="R3009" t="s">
        <v>16855</v>
      </c>
      <c r="S3009" t="s">
        <v>32</v>
      </c>
      <c r="T3009" t="s">
        <v>32</v>
      </c>
      <c r="U3009" t="s">
        <v>32</v>
      </c>
      <c r="V3009" t="s">
        <v>32</v>
      </c>
      <c r="W3009" t="s">
        <v>31922</v>
      </c>
      <c r="X3009" t="s">
        <v>419</v>
      </c>
      <c r="Y3009" t="s">
        <v>1023</v>
      </c>
      <c r="Z3009" t="s">
        <v>32</v>
      </c>
      <c r="AA3009" t="s">
        <v>33890</v>
      </c>
      <c r="AB3009" t="s">
        <v>33891</v>
      </c>
      <c r="AC3009" t="s">
        <v>33892</v>
      </c>
      <c r="AD3009" t="s">
        <v>32</v>
      </c>
      <c r="AE3009" t="s">
        <v>33893</v>
      </c>
      <c r="AF3009" t="s">
        <v>46835</v>
      </c>
    </row>
    <row r="3010" spans="1:32" x14ac:dyDescent="0.2">
      <c r="A3010">
        <v>3005</v>
      </c>
      <c r="B3010" t="s">
        <v>33894</v>
      </c>
      <c r="C3010" t="s">
        <v>33895</v>
      </c>
      <c r="D3010" t="s">
        <v>33896</v>
      </c>
      <c r="E3010" t="s">
        <v>33897</v>
      </c>
      <c r="F3010" t="s">
        <v>33898</v>
      </c>
      <c r="G3010" t="s">
        <v>32</v>
      </c>
      <c r="H3010" t="str">
        <f>"Ogn"</f>
        <v>Ogn</v>
      </c>
      <c r="I3010" t="s">
        <v>33899</v>
      </c>
      <c r="J3010" t="s">
        <v>37</v>
      </c>
      <c r="K3010">
        <v>10090</v>
      </c>
      <c r="L3010" s="3" t="str">
        <f>HYPERLINK("http://www.uniprot.org/uniprot/Q62000", "Q62000")</f>
        <v>Q62000</v>
      </c>
      <c r="M3010" t="s">
        <v>33900</v>
      </c>
      <c r="N3010" t="str">
        <f>"Ogn"</f>
        <v>Ogn</v>
      </c>
      <c r="O3010" s="3" t="str">
        <f>HYPERLINK("http://www.informatics.jax.org/marker/MGI:109278", "MGI:109278")</f>
        <v>MGI:109278</v>
      </c>
      <c r="P3010" t="s">
        <v>33901</v>
      </c>
      <c r="Q3010" t="s">
        <v>32</v>
      </c>
      <c r="R3010" t="s">
        <v>5586</v>
      </c>
      <c r="S3010" t="s">
        <v>32</v>
      </c>
      <c r="T3010" t="s">
        <v>32</v>
      </c>
      <c r="U3010" t="s">
        <v>32</v>
      </c>
      <c r="V3010" t="s">
        <v>22795</v>
      </c>
      <c r="W3010" t="s">
        <v>32</v>
      </c>
      <c r="X3010" t="s">
        <v>11135</v>
      </c>
      <c r="Y3010" t="s">
        <v>5275</v>
      </c>
      <c r="Z3010" t="s">
        <v>32</v>
      </c>
      <c r="AA3010" t="s">
        <v>33902</v>
      </c>
      <c r="AB3010" t="s">
        <v>33903</v>
      </c>
      <c r="AC3010" t="s">
        <v>33904</v>
      </c>
      <c r="AD3010" t="s">
        <v>32</v>
      </c>
      <c r="AE3010" t="s">
        <v>33905</v>
      </c>
      <c r="AF3010" t="s">
        <v>46835</v>
      </c>
    </row>
    <row r="3011" spans="1:32" x14ac:dyDescent="0.2">
      <c r="A3011">
        <v>3006</v>
      </c>
      <c r="B3011" t="s">
        <v>33906</v>
      </c>
      <c r="C3011" t="s">
        <v>33907</v>
      </c>
      <c r="D3011" t="s">
        <v>33908</v>
      </c>
      <c r="E3011" t="s">
        <v>33909</v>
      </c>
      <c r="F3011" t="s">
        <v>33910</v>
      </c>
      <c r="G3011" t="s">
        <v>33911</v>
      </c>
      <c r="H3011" t="str">
        <f>"Ints12"</f>
        <v>Ints12</v>
      </c>
      <c r="I3011" t="s">
        <v>33912</v>
      </c>
      <c r="J3011" t="s">
        <v>37</v>
      </c>
      <c r="K3011">
        <v>10090</v>
      </c>
      <c r="L3011" s="3" t="str">
        <f>HYPERLINK("http://www.uniprot.org/uniprot/Q9D168", "Q9D168")</f>
        <v>Q9D168</v>
      </c>
      <c r="M3011" t="s">
        <v>33913</v>
      </c>
      <c r="N3011" t="str">
        <f>"Ints12"</f>
        <v>Ints12</v>
      </c>
      <c r="O3011" s="3" t="str">
        <f>HYPERLINK("http://www.informatics.jax.org/marker/MGI:1919043", "MGI:1919043")</f>
        <v>MGI:1919043</v>
      </c>
      <c r="P3011" t="s">
        <v>33914</v>
      </c>
      <c r="Q3011" t="s">
        <v>32</v>
      </c>
      <c r="R3011" t="s">
        <v>2279</v>
      </c>
      <c r="S3011" t="s">
        <v>32</v>
      </c>
      <c r="T3011" t="s">
        <v>32</v>
      </c>
      <c r="U3011" t="s">
        <v>32</v>
      </c>
      <c r="V3011" t="s">
        <v>446</v>
      </c>
      <c r="W3011" t="s">
        <v>42</v>
      </c>
      <c r="X3011" t="s">
        <v>32</v>
      </c>
      <c r="Y3011" t="s">
        <v>1007</v>
      </c>
      <c r="Z3011" t="s">
        <v>126</v>
      </c>
      <c r="AA3011" t="s">
        <v>33915</v>
      </c>
      <c r="AB3011" t="s">
        <v>33916</v>
      </c>
      <c r="AC3011" t="s">
        <v>4525</v>
      </c>
      <c r="AD3011" t="s">
        <v>32</v>
      </c>
      <c r="AE3011" t="s">
        <v>22679</v>
      </c>
      <c r="AF3011" t="s">
        <v>46835</v>
      </c>
    </row>
    <row r="3012" spans="1:32" x14ac:dyDescent="0.2">
      <c r="A3012">
        <v>3007</v>
      </c>
      <c r="B3012" t="s">
        <v>33917</v>
      </c>
      <c r="C3012" t="s">
        <v>33918</v>
      </c>
      <c r="D3012" t="s">
        <v>33919</v>
      </c>
      <c r="E3012" t="s">
        <v>33920</v>
      </c>
      <c r="F3012" t="s">
        <v>33921</v>
      </c>
      <c r="G3012" t="s">
        <v>33922</v>
      </c>
      <c r="H3012" t="str">
        <f>"Dhx30"</f>
        <v>Dhx30</v>
      </c>
      <c r="I3012" t="s">
        <v>33923</v>
      </c>
      <c r="J3012" t="s">
        <v>37</v>
      </c>
      <c r="K3012">
        <v>10090</v>
      </c>
      <c r="L3012" s="3" t="str">
        <f>HYPERLINK("http://www.uniprot.org/uniprot/Q99PU8", "Q99PU8")</f>
        <v>Q99PU8</v>
      </c>
      <c r="M3012" t="s">
        <v>33924</v>
      </c>
      <c r="N3012" t="str">
        <f>"Dhx30"</f>
        <v>Dhx30</v>
      </c>
      <c r="O3012" s="3" t="str">
        <f>HYPERLINK("http://www.informatics.jax.org/marker/MGI:1920081", "MGI:1920081")</f>
        <v>MGI:1920081</v>
      </c>
      <c r="P3012" t="s">
        <v>33925</v>
      </c>
      <c r="Q3012" t="s">
        <v>6400</v>
      </c>
      <c r="R3012" t="s">
        <v>33926</v>
      </c>
      <c r="S3012" t="s">
        <v>41</v>
      </c>
      <c r="T3012" t="s">
        <v>32</v>
      </c>
      <c r="U3012" t="s">
        <v>32</v>
      </c>
      <c r="V3012" t="s">
        <v>32</v>
      </c>
      <c r="W3012" t="s">
        <v>205</v>
      </c>
      <c r="X3012" t="s">
        <v>5050</v>
      </c>
      <c r="Y3012" t="s">
        <v>618</v>
      </c>
      <c r="Z3012" t="s">
        <v>32</v>
      </c>
      <c r="AA3012" t="s">
        <v>33927</v>
      </c>
      <c r="AB3012" t="s">
        <v>33928</v>
      </c>
      <c r="AC3012" t="s">
        <v>33929</v>
      </c>
      <c r="AD3012" t="s">
        <v>32</v>
      </c>
      <c r="AE3012" t="s">
        <v>32</v>
      </c>
      <c r="AF3012" t="s">
        <v>46835</v>
      </c>
    </row>
    <row r="3013" spans="1:32" x14ac:dyDescent="0.2">
      <c r="A3013">
        <v>3008</v>
      </c>
      <c r="B3013" t="s">
        <v>33930</v>
      </c>
      <c r="C3013" t="s">
        <v>33931</v>
      </c>
      <c r="D3013" t="s">
        <v>33932</v>
      </c>
      <c r="E3013" t="s">
        <v>33933</v>
      </c>
      <c r="F3013" t="s">
        <v>33934</v>
      </c>
      <c r="G3013" t="s">
        <v>33935</v>
      </c>
      <c r="H3013" t="str">
        <f>"Acad8"</f>
        <v>Acad8</v>
      </c>
      <c r="I3013" t="s">
        <v>32</v>
      </c>
      <c r="J3013" t="s">
        <v>37</v>
      </c>
      <c r="K3013">
        <v>10090</v>
      </c>
      <c r="L3013" s="3" t="str">
        <f>HYPERLINK("http://www.uniprot.org/uniprot/Q9D7B6", "Q9D7B6")</f>
        <v>Q9D7B6</v>
      </c>
      <c r="M3013" t="s">
        <v>33936</v>
      </c>
      <c r="N3013" t="str">
        <f>"Acad8"</f>
        <v>Acad8</v>
      </c>
      <c r="O3013" s="3" t="str">
        <f>HYPERLINK("http://www.informatics.jax.org/marker/MGI:1914198", "MGI:1914198")</f>
        <v>MGI:1914198</v>
      </c>
      <c r="P3013" t="s">
        <v>33937</v>
      </c>
      <c r="Q3013" t="s">
        <v>25078</v>
      </c>
      <c r="R3013" t="s">
        <v>1038</v>
      </c>
      <c r="S3013" t="s">
        <v>32</v>
      </c>
      <c r="T3013" t="s">
        <v>32</v>
      </c>
      <c r="U3013" t="s">
        <v>32</v>
      </c>
      <c r="V3013" t="s">
        <v>1039</v>
      </c>
      <c r="W3013" t="s">
        <v>4600</v>
      </c>
      <c r="X3013" t="s">
        <v>600</v>
      </c>
      <c r="Y3013" t="s">
        <v>78</v>
      </c>
      <c r="Z3013" t="s">
        <v>32</v>
      </c>
      <c r="AA3013" t="s">
        <v>33938</v>
      </c>
      <c r="AB3013" t="s">
        <v>3721</v>
      </c>
      <c r="AC3013" t="s">
        <v>33939</v>
      </c>
      <c r="AD3013" t="s">
        <v>25081</v>
      </c>
      <c r="AE3013" t="s">
        <v>8652</v>
      </c>
      <c r="AF3013" t="s">
        <v>46835</v>
      </c>
    </row>
    <row r="3014" spans="1:32" x14ac:dyDescent="0.2">
      <c r="A3014">
        <v>3009</v>
      </c>
      <c r="B3014" t="s">
        <v>33940</v>
      </c>
      <c r="C3014" t="s">
        <v>33941</v>
      </c>
      <c r="D3014" t="s">
        <v>33942</v>
      </c>
      <c r="E3014" t="s">
        <v>33943</v>
      </c>
      <c r="F3014" t="s">
        <v>33944</v>
      </c>
      <c r="G3014" t="s">
        <v>33945</v>
      </c>
      <c r="H3014" t="str">
        <f>"Alox12"</f>
        <v>Alox12</v>
      </c>
      <c r="I3014" t="s">
        <v>33946</v>
      </c>
      <c r="J3014" t="s">
        <v>37</v>
      </c>
      <c r="K3014">
        <v>10090</v>
      </c>
      <c r="L3014" s="3" t="str">
        <f>HYPERLINK("http://www.uniprot.org/uniprot/P39655", "P39655")</f>
        <v>P39655</v>
      </c>
      <c r="M3014" t="s">
        <v>33947</v>
      </c>
      <c r="N3014" t="str">
        <f>"Alox12"</f>
        <v>Alox12</v>
      </c>
      <c r="O3014" s="3" t="str">
        <f>HYPERLINK("http://www.informatics.jax.org/marker/MGI:87998", "MGI:87998")</f>
        <v>MGI:87998</v>
      </c>
      <c r="P3014" t="s">
        <v>33948</v>
      </c>
      <c r="Q3014" t="s">
        <v>6214</v>
      </c>
      <c r="R3014" t="s">
        <v>714</v>
      </c>
      <c r="S3014" t="s">
        <v>32</v>
      </c>
      <c r="T3014" t="s">
        <v>32</v>
      </c>
      <c r="U3014" t="s">
        <v>32</v>
      </c>
      <c r="V3014" t="s">
        <v>32</v>
      </c>
      <c r="W3014" t="s">
        <v>845</v>
      </c>
      <c r="X3014" t="s">
        <v>33949</v>
      </c>
      <c r="Y3014" t="s">
        <v>618</v>
      </c>
      <c r="Z3014" t="s">
        <v>32</v>
      </c>
      <c r="AA3014" t="s">
        <v>33950</v>
      </c>
      <c r="AB3014" t="s">
        <v>33951</v>
      </c>
      <c r="AC3014" t="s">
        <v>33952</v>
      </c>
      <c r="AD3014" t="s">
        <v>33953</v>
      </c>
      <c r="AE3014" t="s">
        <v>33954</v>
      </c>
      <c r="AF3014" t="s">
        <v>46835</v>
      </c>
    </row>
    <row r="3015" spans="1:32" x14ac:dyDescent="0.2">
      <c r="A3015">
        <v>3010</v>
      </c>
      <c r="B3015" t="s">
        <v>33955</v>
      </c>
      <c r="C3015" t="s">
        <v>33956</v>
      </c>
      <c r="D3015" t="s">
        <v>33957</v>
      </c>
      <c r="E3015" t="s">
        <v>33958</v>
      </c>
      <c r="F3015" t="s">
        <v>33959</v>
      </c>
      <c r="G3015" t="s">
        <v>33960</v>
      </c>
      <c r="H3015" t="str">
        <f>"Twf2"</f>
        <v>Twf2</v>
      </c>
      <c r="I3015" t="s">
        <v>33961</v>
      </c>
      <c r="J3015" t="s">
        <v>37</v>
      </c>
      <c r="K3015">
        <v>10090</v>
      </c>
      <c r="L3015" s="3" t="str">
        <f>HYPERLINK("http://www.uniprot.org/uniprot/Q9Z0P5", "Q9Z0P5")</f>
        <v>Q9Z0P5</v>
      </c>
      <c r="M3015" t="s">
        <v>33962</v>
      </c>
      <c r="N3015" t="str">
        <f>"Twf2"</f>
        <v>Twf2</v>
      </c>
      <c r="O3015" s="3" t="str">
        <f>HYPERLINK("http://www.informatics.jax.org/marker/MGI:1346078", "MGI:1346078")</f>
        <v>MGI:1346078</v>
      </c>
      <c r="P3015" t="s">
        <v>33963</v>
      </c>
      <c r="Q3015" t="s">
        <v>475</v>
      </c>
      <c r="R3015" t="s">
        <v>1210</v>
      </c>
      <c r="S3015" t="s">
        <v>10616</v>
      </c>
      <c r="T3015" t="s">
        <v>32</v>
      </c>
      <c r="U3015" t="s">
        <v>32</v>
      </c>
      <c r="V3015" t="s">
        <v>55</v>
      </c>
      <c r="W3015" t="s">
        <v>32</v>
      </c>
      <c r="X3015" t="s">
        <v>5157</v>
      </c>
      <c r="Y3015" t="s">
        <v>157</v>
      </c>
      <c r="Z3015" t="s">
        <v>126</v>
      </c>
      <c r="AA3015" t="s">
        <v>33964</v>
      </c>
      <c r="AB3015" t="s">
        <v>33965</v>
      </c>
      <c r="AC3015" t="s">
        <v>33966</v>
      </c>
      <c r="AD3015" t="s">
        <v>32</v>
      </c>
      <c r="AE3015" t="s">
        <v>32</v>
      </c>
      <c r="AF3015" t="s">
        <v>46835</v>
      </c>
    </row>
    <row r="3016" spans="1:32" x14ac:dyDescent="0.2">
      <c r="A3016">
        <v>3011</v>
      </c>
      <c r="B3016" t="s">
        <v>33967</v>
      </c>
      <c r="C3016" t="s">
        <v>33968</v>
      </c>
      <c r="D3016" t="s">
        <v>33969</v>
      </c>
      <c r="E3016" t="s">
        <v>33970</v>
      </c>
      <c r="F3016" t="s">
        <v>33971</v>
      </c>
      <c r="G3016" t="s">
        <v>33972</v>
      </c>
      <c r="H3016" t="str">
        <f>"Hspa1b"</f>
        <v>Hspa1b</v>
      </c>
      <c r="I3016" t="s">
        <v>33973</v>
      </c>
      <c r="J3016" t="s">
        <v>37</v>
      </c>
      <c r="K3016">
        <v>10090</v>
      </c>
      <c r="L3016" s="3" t="str">
        <f>HYPERLINK("http://www.uniprot.org/uniprot/P17879", "P17879")</f>
        <v>P17879</v>
      </c>
      <c r="M3016" t="s">
        <v>33974</v>
      </c>
      <c r="N3016" t="str">
        <f>"Hspa1b"</f>
        <v>Hspa1b</v>
      </c>
      <c r="O3016" s="3" t="str">
        <f>HYPERLINK("http://www.informatics.jax.org/marker/MGI:99517", "MGI:99517")</f>
        <v>MGI:99517</v>
      </c>
      <c r="P3016" t="s">
        <v>33975</v>
      </c>
      <c r="Q3016" t="s">
        <v>386</v>
      </c>
      <c r="R3016" t="s">
        <v>186</v>
      </c>
      <c r="S3016" t="s">
        <v>32</v>
      </c>
      <c r="T3016" t="s">
        <v>32</v>
      </c>
      <c r="U3016" t="s">
        <v>32</v>
      </c>
      <c r="V3016" t="s">
        <v>32</v>
      </c>
      <c r="W3016" t="s">
        <v>205</v>
      </c>
      <c r="X3016" t="s">
        <v>388</v>
      </c>
      <c r="Y3016" t="s">
        <v>97</v>
      </c>
      <c r="Z3016" t="s">
        <v>32</v>
      </c>
      <c r="AA3016" t="s">
        <v>33976</v>
      </c>
      <c r="AB3016" t="s">
        <v>33977</v>
      </c>
      <c r="AC3016" t="s">
        <v>33978</v>
      </c>
      <c r="AD3016" t="s">
        <v>32</v>
      </c>
      <c r="AE3016" t="s">
        <v>33979</v>
      </c>
      <c r="AF3016" t="s">
        <v>46835</v>
      </c>
    </row>
    <row r="3017" spans="1:32" x14ac:dyDescent="0.2">
      <c r="A3017">
        <v>3012</v>
      </c>
      <c r="B3017" t="s">
        <v>33980</v>
      </c>
      <c r="C3017" t="s">
        <v>33981</v>
      </c>
      <c r="D3017" t="s">
        <v>33982</v>
      </c>
      <c r="E3017" t="s">
        <v>33983</v>
      </c>
      <c r="F3017" t="s">
        <v>33984</v>
      </c>
      <c r="G3017" t="s">
        <v>33985</v>
      </c>
      <c r="H3017" t="str">
        <f>"Ppp2r1b"</f>
        <v>Ppp2r1b</v>
      </c>
      <c r="I3017" t="s">
        <v>32</v>
      </c>
      <c r="J3017" t="s">
        <v>37</v>
      </c>
      <c r="K3017">
        <v>10090</v>
      </c>
      <c r="L3017" s="3" t="str">
        <f>HYPERLINK("http://www.uniprot.org/uniprot/Q7TNP2", "Q7TNP2")</f>
        <v>Q7TNP2</v>
      </c>
      <c r="M3017" t="s">
        <v>33986</v>
      </c>
      <c r="N3017" t="str">
        <f>"Ppp2r1b"</f>
        <v>Ppp2r1b</v>
      </c>
      <c r="O3017" s="3" t="str">
        <f>HYPERLINK("http://www.informatics.jax.org/marker/MGI:1920949", "MGI:1920949")</f>
        <v>MGI:1920949</v>
      </c>
      <c r="P3017" t="s">
        <v>33443</v>
      </c>
      <c r="Q3017" t="s">
        <v>32</v>
      </c>
      <c r="R3017" t="s">
        <v>32</v>
      </c>
      <c r="S3017" t="s">
        <v>32</v>
      </c>
      <c r="T3017" t="s">
        <v>32</v>
      </c>
      <c r="U3017" t="s">
        <v>32</v>
      </c>
      <c r="V3017" t="s">
        <v>55</v>
      </c>
      <c r="W3017" t="s">
        <v>32</v>
      </c>
      <c r="X3017" t="s">
        <v>32</v>
      </c>
      <c r="Y3017" t="s">
        <v>78</v>
      </c>
      <c r="Z3017" t="s">
        <v>32</v>
      </c>
      <c r="AA3017" t="s">
        <v>33987</v>
      </c>
      <c r="AB3017" t="s">
        <v>33988</v>
      </c>
      <c r="AC3017" t="s">
        <v>24974</v>
      </c>
      <c r="AD3017" t="s">
        <v>32</v>
      </c>
      <c r="AE3017" t="s">
        <v>33989</v>
      </c>
      <c r="AF3017" t="s">
        <v>46835</v>
      </c>
    </row>
    <row r="3018" spans="1:32" x14ac:dyDescent="0.2">
      <c r="A3018">
        <v>3013</v>
      </c>
      <c r="B3018" t="s">
        <v>33990</v>
      </c>
      <c r="C3018" t="s">
        <v>33991</v>
      </c>
      <c r="D3018" t="s">
        <v>33992</v>
      </c>
      <c r="E3018" t="s">
        <v>33993</v>
      </c>
      <c r="F3018" t="s">
        <v>33994</v>
      </c>
      <c r="G3018" t="s">
        <v>33995</v>
      </c>
      <c r="H3018" t="str">
        <f>"Aldh5a1"</f>
        <v>Aldh5a1</v>
      </c>
      <c r="I3018" t="s">
        <v>32</v>
      </c>
      <c r="J3018" t="s">
        <v>37</v>
      </c>
      <c r="K3018">
        <v>10090</v>
      </c>
      <c r="L3018" s="3" t="str">
        <f>HYPERLINK("http://www.uniprot.org/uniprot/Q8BWF0", "Q8BWF0")</f>
        <v>Q8BWF0</v>
      </c>
      <c r="M3018" t="s">
        <v>33996</v>
      </c>
      <c r="N3018" t="str">
        <f>"Aldh5a1"</f>
        <v>Aldh5a1</v>
      </c>
      <c r="O3018" s="3" t="str">
        <f>HYPERLINK("http://www.informatics.jax.org/marker/MGI:2441982", "MGI:2441982")</f>
        <v>MGI:2441982</v>
      </c>
      <c r="P3018" t="s">
        <v>33997</v>
      </c>
      <c r="Q3018" t="s">
        <v>32</v>
      </c>
      <c r="R3018" t="s">
        <v>1038</v>
      </c>
      <c r="S3018" t="s">
        <v>32</v>
      </c>
      <c r="T3018" t="s">
        <v>32</v>
      </c>
      <c r="U3018" t="s">
        <v>32</v>
      </c>
      <c r="V3018" t="s">
        <v>1039</v>
      </c>
      <c r="W3018" t="s">
        <v>325</v>
      </c>
      <c r="X3018" t="s">
        <v>600</v>
      </c>
      <c r="Y3018" t="s">
        <v>480</v>
      </c>
      <c r="Z3018" t="s">
        <v>32</v>
      </c>
      <c r="AA3018" t="s">
        <v>33998</v>
      </c>
      <c r="AB3018" t="s">
        <v>3721</v>
      </c>
      <c r="AC3018" t="s">
        <v>33999</v>
      </c>
      <c r="AD3018" t="s">
        <v>34000</v>
      </c>
      <c r="AE3018" t="s">
        <v>31034</v>
      </c>
      <c r="AF3018" t="s">
        <v>46835</v>
      </c>
    </row>
    <row r="3019" spans="1:32" x14ac:dyDescent="0.2">
      <c r="A3019">
        <v>3014</v>
      </c>
      <c r="B3019" t="s">
        <v>34001</v>
      </c>
      <c r="C3019" t="s">
        <v>34002</v>
      </c>
      <c r="D3019" t="s">
        <v>34003</v>
      </c>
      <c r="E3019" t="s">
        <v>34004</v>
      </c>
      <c r="F3019" t="s">
        <v>34005</v>
      </c>
      <c r="G3019" t="s">
        <v>34006</v>
      </c>
      <c r="H3019" t="str">
        <f>"Diablo"</f>
        <v>Diablo</v>
      </c>
      <c r="I3019" t="s">
        <v>32</v>
      </c>
      <c r="J3019" t="s">
        <v>37</v>
      </c>
      <c r="K3019">
        <v>10090</v>
      </c>
      <c r="L3019" s="3" t="str">
        <f>HYPERLINK("http://www.uniprot.org/uniprot/Q9JIQ3", "Q9JIQ3")</f>
        <v>Q9JIQ3</v>
      </c>
      <c r="M3019" t="s">
        <v>34007</v>
      </c>
      <c r="N3019" t="str">
        <f>"Diablo"</f>
        <v>Diablo</v>
      </c>
      <c r="O3019" s="3" t="str">
        <f>HYPERLINK("http://www.informatics.jax.org/marker/MGI:1913843", "MGI:1913843")</f>
        <v>MGI:1913843</v>
      </c>
      <c r="P3019" t="s">
        <v>34008</v>
      </c>
      <c r="Q3019" t="s">
        <v>541</v>
      </c>
      <c r="R3019" t="s">
        <v>1038</v>
      </c>
      <c r="S3019" t="s">
        <v>32</v>
      </c>
      <c r="T3019" t="s">
        <v>32</v>
      </c>
      <c r="U3019" t="s">
        <v>32</v>
      </c>
      <c r="V3019" t="s">
        <v>1039</v>
      </c>
      <c r="W3019" t="s">
        <v>32</v>
      </c>
      <c r="X3019" t="s">
        <v>32</v>
      </c>
      <c r="Y3019" t="s">
        <v>2836</v>
      </c>
      <c r="Z3019" t="s">
        <v>32</v>
      </c>
      <c r="AA3019" t="s">
        <v>34009</v>
      </c>
      <c r="AB3019" t="s">
        <v>34010</v>
      </c>
      <c r="AC3019" t="s">
        <v>32</v>
      </c>
      <c r="AD3019" t="s">
        <v>32</v>
      </c>
      <c r="AE3019" t="s">
        <v>34011</v>
      </c>
      <c r="AF3019" t="s">
        <v>46835</v>
      </c>
    </row>
    <row r="3020" spans="1:32" x14ac:dyDescent="0.2">
      <c r="A3020">
        <v>3015</v>
      </c>
      <c r="B3020" t="s">
        <v>34012</v>
      </c>
      <c r="C3020" t="s">
        <v>34013</v>
      </c>
      <c r="D3020" t="s">
        <v>34014</v>
      </c>
      <c r="E3020" t="s">
        <v>34015</v>
      </c>
      <c r="F3020" t="s">
        <v>34016</v>
      </c>
      <c r="G3020" t="s">
        <v>34017</v>
      </c>
      <c r="H3020" t="str">
        <f>"Alg11"</f>
        <v>Alg11</v>
      </c>
      <c r="I3020" t="s">
        <v>32</v>
      </c>
      <c r="J3020" t="s">
        <v>37</v>
      </c>
      <c r="K3020">
        <v>10090</v>
      </c>
      <c r="L3020" s="3" t="str">
        <f>HYPERLINK("http://www.uniprot.org/uniprot/Q3TZM9", "Q3TZM9")</f>
        <v>Q3TZM9</v>
      </c>
      <c r="M3020" t="s">
        <v>34018</v>
      </c>
      <c r="N3020" t="str">
        <f>"Alg11"</f>
        <v>Alg11</v>
      </c>
      <c r="O3020" s="3" t="str">
        <f>HYPERLINK("http://www.informatics.jax.org/marker/MGI:2142632", "MGI:2142632")</f>
        <v>MGI:2142632</v>
      </c>
      <c r="P3020" t="s">
        <v>34019</v>
      </c>
      <c r="Q3020" t="s">
        <v>32</v>
      </c>
      <c r="R3020" t="s">
        <v>1664</v>
      </c>
      <c r="S3020" t="s">
        <v>41</v>
      </c>
      <c r="T3020" t="s">
        <v>32</v>
      </c>
      <c r="U3020" t="s">
        <v>32</v>
      </c>
      <c r="V3020" t="s">
        <v>493</v>
      </c>
      <c r="W3020" t="s">
        <v>32</v>
      </c>
      <c r="X3020" t="s">
        <v>2362</v>
      </c>
      <c r="Y3020" t="s">
        <v>32</v>
      </c>
      <c r="Z3020" t="s">
        <v>32</v>
      </c>
      <c r="AA3020" t="s">
        <v>34020</v>
      </c>
      <c r="AB3020" t="s">
        <v>22665</v>
      </c>
      <c r="AC3020" t="s">
        <v>34021</v>
      </c>
      <c r="AD3020" t="s">
        <v>32</v>
      </c>
      <c r="AE3020" t="s">
        <v>32</v>
      </c>
      <c r="AF3020" t="s">
        <v>46835</v>
      </c>
    </row>
    <row r="3021" spans="1:32" x14ac:dyDescent="0.2">
      <c r="A3021">
        <v>3016</v>
      </c>
      <c r="B3021" t="s">
        <v>34022</v>
      </c>
      <c r="C3021" t="s">
        <v>34023</v>
      </c>
      <c r="D3021" t="s">
        <v>34024</v>
      </c>
      <c r="E3021" t="s">
        <v>34025</v>
      </c>
      <c r="F3021" t="s">
        <v>34026</v>
      </c>
      <c r="G3021" t="s">
        <v>34027</v>
      </c>
      <c r="H3021" t="str">
        <f>"Mphosph10"</f>
        <v>Mphosph10</v>
      </c>
      <c r="I3021" t="s">
        <v>32</v>
      </c>
      <c r="J3021" t="s">
        <v>37</v>
      </c>
      <c r="K3021">
        <v>10090</v>
      </c>
      <c r="L3021" s="3" t="str">
        <f>HYPERLINK("http://www.uniprot.org/uniprot/Q810V0", "Q810V0")</f>
        <v>Q810V0</v>
      </c>
      <c r="M3021" t="s">
        <v>34028</v>
      </c>
      <c r="N3021" t="str">
        <f>"Mphosph10"</f>
        <v>Mphosph10</v>
      </c>
      <c r="O3021" s="3" t="str">
        <f>HYPERLINK("http://www.informatics.jax.org/marker/MGI:1915223", "MGI:1915223")</f>
        <v>MGI:1915223</v>
      </c>
      <c r="P3021" t="s">
        <v>34029</v>
      </c>
      <c r="Q3021" t="s">
        <v>13781</v>
      </c>
      <c r="R3021" t="s">
        <v>1939</v>
      </c>
      <c r="S3021" t="s">
        <v>32</v>
      </c>
      <c r="T3021" t="s">
        <v>32</v>
      </c>
      <c r="U3021" t="s">
        <v>32</v>
      </c>
      <c r="V3021" t="s">
        <v>290</v>
      </c>
      <c r="W3021" t="s">
        <v>32</v>
      </c>
      <c r="X3021" t="s">
        <v>7646</v>
      </c>
      <c r="Y3021" t="s">
        <v>516</v>
      </c>
      <c r="Z3021" t="s">
        <v>32</v>
      </c>
      <c r="AA3021" t="s">
        <v>25279</v>
      </c>
      <c r="AB3021" t="s">
        <v>34030</v>
      </c>
      <c r="AC3021" t="s">
        <v>32</v>
      </c>
      <c r="AD3021" t="s">
        <v>32</v>
      </c>
      <c r="AE3021" t="s">
        <v>960</v>
      </c>
      <c r="AF3021" t="s">
        <v>46835</v>
      </c>
    </row>
    <row r="3022" spans="1:32" x14ac:dyDescent="0.2">
      <c r="A3022">
        <v>3017</v>
      </c>
      <c r="B3022" t="s">
        <v>34031</v>
      </c>
      <c r="C3022" t="s">
        <v>34032</v>
      </c>
      <c r="D3022" t="s">
        <v>34033</v>
      </c>
      <c r="E3022" t="s">
        <v>34034</v>
      </c>
      <c r="F3022" t="s">
        <v>34035</v>
      </c>
      <c r="G3022" t="s">
        <v>34036</v>
      </c>
      <c r="H3022" t="str">
        <f>"Nudt22"</f>
        <v>Nudt22</v>
      </c>
      <c r="I3022" t="s">
        <v>32</v>
      </c>
      <c r="J3022" t="s">
        <v>37</v>
      </c>
      <c r="K3022">
        <v>10090</v>
      </c>
      <c r="L3022" s="3" t="str">
        <f>HYPERLINK("http://www.uniprot.org/uniprot/Q9DD16", "Q9DD16")</f>
        <v>Q9DD16</v>
      </c>
      <c r="M3022" t="s">
        <v>34037</v>
      </c>
      <c r="N3022" t="str">
        <f>"Nudt22"</f>
        <v>Nudt22</v>
      </c>
      <c r="O3022" s="3" t="str">
        <f>HYPERLINK("http://www.informatics.jax.org/marker/MGI:1915573", "MGI:1915573")</f>
        <v>MGI:1915573</v>
      </c>
      <c r="P3022" t="s">
        <v>6570</v>
      </c>
      <c r="Q3022" t="s">
        <v>32</v>
      </c>
      <c r="R3022" t="s">
        <v>32</v>
      </c>
      <c r="S3022" t="s">
        <v>32</v>
      </c>
      <c r="T3022" t="s">
        <v>32</v>
      </c>
      <c r="U3022" t="s">
        <v>32</v>
      </c>
      <c r="V3022" t="s">
        <v>32</v>
      </c>
      <c r="W3022" t="s">
        <v>223</v>
      </c>
      <c r="X3022" t="s">
        <v>343</v>
      </c>
      <c r="Y3022" t="s">
        <v>32</v>
      </c>
      <c r="Z3022" t="s">
        <v>32</v>
      </c>
      <c r="AA3022" t="s">
        <v>32</v>
      </c>
      <c r="AB3022" t="s">
        <v>17865</v>
      </c>
      <c r="AC3022" t="s">
        <v>34038</v>
      </c>
      <c r="AD3022" t="s">
        <v>32</v>
      </c>
      <c r="AE3022" t="s">
        <v>32</v>
      </c>
      <c r="AF3022" t="s">
        <v>46835</v>
      </c>
    </row>
    <row r="3023" spans="1:32" x14ac:dyDescent="0.2">
      <c r="A3023">
        <v>3018</v>
      </c>
      <c r="B3023" t="s">
        <v>34039</v>
      </c>
      <c r="C3023" t="s">
        <v>34040</v>
      </c>
      <c r="D3023" t="s">
        <v>34041</v>
      </c>
      <c r="E3023" t="s">
        <v>34042</v>
      </c>
      <c r="F3023" t="s">
        <v>34043</v>
      </c>
      <c r="G3023" t="s">
        <v>34044</v>
      </c>
      <c r="H3023" t="str">
        <f>"Adam9"</f>
        <v>Adam9</v>
      </c>
      <c r="I3023" t="s">
        <v>32</v>
      </c>
      <c r="J3023" t="s">
        <v>37</v>
      </c>
      <c r="K3023">
        <v>10090</v>
      </c>
      <c r="L3023" s="3" t="str">
        <f>HYPERLINK("http://www.uniprot.org/uniprot/Q61072", "Q61072")</f>
        <v>Q61072</v>
      </c>
      <c r="M3023" t="s">
        <v>34045</v>
      </c>
      <c r="N3023" t="str">
        <f>"Adam9"</f>
        <v>Adam9</v>
      </c>
      <c r="O3023" s="3" t="str">
        <f>HYPERLINK("http://www.informatics.jax.org/marker/MGI:105376", "MGI:105376")</f>
        <v>MGI:105376</v>
      </c>
      <c r="P3023" t="s">
        <v>34046</v>
      </c>
      <c r="Q3023" t="s">
        <v>32</v>
      </c>
      <c r="R3023" t="s">
        <v>2474</v>
      </c>
      <c r="S3023" t="s">
        <v>32</v>
      </c>
      <c r="T3023" t="s">
        <v>32</v>
      </c>
      <c r="U3023" t="s">
        <v>32</v>
      </c>
      <c r="V3023" t="s">
        <v>34047</v>
      </c>
      <c r="W3023" t="s">
        <v>42</v>
      </c>
      <c r="X3023" t="s">
        <v>4882</v>
      </c>
      <c r="Y3023" t="s">
        <v>34048</v>
      </c>
      <c r="Z3023" t="s">
        <v>32</v>
      </c>
      <c r="AA3023" t="s">
        <v>34049</v>
      </c>
      <c r="AB3023" t="s">
        <v>34050</v>
      </c>
      <c r="AC3023" t="s">
        <v>34051</v>
      </c>
      <c r="AD3023" t="s">
        <v>32</v>
      </c>
      <c r="AE3023" t="s">
        <v>32</v>
      </c>
      <c r="AF3023" t="s">
        <v>46835</v>
      </c>
    </row>
    <row r="3024" spans="1:32" x14ac:dyDescent="0.2">
      <c r="A3024">
        <v>3019</v>
      </c>
      <c r="B3024" t="s">
        <v>34052</v>
      </c>
      <c r="C3024" t="s">
        <v>34053</v>
      </c>
      <c r="D3024" t="s">
        <v>34054</v>
      </c>
      <c r="E3024" t="s">
        <v>34055</v>
      </c>
      <c r="F3024" t="s">
        <v>34056</v>
      </c>
      <c r="G3024" t="s">
        <v>34057</v>
      </c>
      <c r="H3024" t="str">
        <f>"Nup58"</f>
        <v>Nup58</v>
      </c>
      <c r="I3024" t="s">
        <v>34058</v>
      </c>
      <c r="J3024" t="s">
        <v>37</v>
      </c>
      <c r="K3024">
        <v>10090</v>
      </c>
      <c r="L3024" s="3" t="str">
        <f>HYPERLINK("http://www.uniprot.org/uniprot/Q8R332", "Q8R332")</f>
        <v>Q8R332</v>
      </c>
      <c r="M3024" t="s">
        <v>34059</v>
      </c>
      <c r="N3024" t="str">
        <f>"Nupl1"</f>
        <v>Nupl1</v>
      </c>
      <c r="O3024" s="3" t="str">
        <f>HYPERLINK("http://www.informatics.jax.org/marker/MGI:1919094", "MGI:1919094")</f>
        <v>MGI:1919094</v>
      </c>
      <c r="P3024" t="s">
        <v>34060</v>
      </c>
      <c r="Q3024" t="s">
        <v>6423</v>
      </c>
      <c r="R3024" t="s">
        <v>8238</v>
      </c>
      <c r="S3024" t="s">
        <v>41</v>
      </c>
      <c r="T3024" t="s">
        <v>32</v>
      </c>
      <c r="U3024" t="s">
        <v>32</v>
      </c>
      <c r="V3024" t="s">
        <v>137</v>
      </c>
      <c r="W3024" t="s">
        <v>32</v>
      </c>
      <c r="X3024" t="s">
        <v>32</v>
      </c>
      <c r="Y3024" t="s">
        <v>4720</v>
      </c>
      <c r="Z3024" t="s">
        <v>32</v>
      </c>
      <c r="AA3024" t="s">
        <v>34061</v>
      </c>
      <c r="AB3024" t="s">
        <v>34062</v>
      </c>
      <c r="AC3024" t="s">
        <v>34063</v>
      </c>
      <c r="AD3024" t="s">
        <v>32</v>
      </c>
      <c r="AE3024" t="s">
        <v>4686</v>
      </c>
      <c r="AF3024" t="s">
        <v>46835</v>
      </c>
    </row>
    <row r="3025" spans="1:32" x14ac:dyDescent="0.2">
      <c r="A3025">
        <v>3020</v>
      </c>
      <c r="B3025" t="s">
        <v>34064</v>
      </c>
      <c r="C3025" t="s">
        <v>34065</v>
      </c>
      <c r="D3025" t="s">
        <v>34066</v>
      </c>
      <c r="E3025" t="s">
        <v>34067</v>
      </c>
      <c r="F3025" t="s">
        <v>34068</v>
      </c>
      <c r="G3025" t="s">
        <v>34069</v>
      </c>
      <c r="H3025" t="str">
        <f>"Samhd1"</f>
        <v>Samhd1</v>
      </c>
      <c r="I3025" t="s">
        <v>32</v>
      </c>
      <c r="J3025" t="s">
        <v>37</v>
      </c>
      <c r="K3025">
        <v>10090</v>
      </c>
      <c r="L3025" s="3" t="str">
        <f>HYPERLINK("http://www.uniprot.org/uniprot/Q60710", "Q60710")</f>
        <v>Q60710</v>
      </c>
      <c r="M3025" t="s">
        <v>34070</v>
      </c>
      <c r="N3025" t="str">
        <f>"Samhd1"</f>
        <v>Samhd1</v>
      </c>
      <c r="O3025" s="3" t="str">
        <f>HYPERLINK("http://www.informatics.jax.org/marker/MGI:1927468", "MGI:1927468")</f>
        <v>MGI:1927468</v>
      </c>
      <c r="P3025" t="s">
        <v>34071</v>
      </c>
      <c r="Q3025" t="s">
        <v>34072</v>
      </c>
      <c r="R3025" t="s">
        <v>1939</v>
      </c>
      <c r="S3025" t="s">
        <v>41</v>
      </c>
      <c r="T3025" t="s">
        <v>32</v>
      </c>
      <c r="U3025" t="s">
        <v>32</v>
      </c>
      <c r="V3025" t="s">
        <v>32</v>
      </c>
      <c r="W3025" t="s">
        <v>34073</v>
      </c>
      <c r="X3025" t="s">
        <v>34074</v>
      </c>
      <c r="Y3025" t="s">
        <v>1007</v>
      </c>
      <c r="Z3025" t="s">
        <v>126</v>
      </c>
      <c r="AA3025" t="s">
        <v>34075</v>
      </c>
      <c r="AB3025" t="s">
        <v>34076</v>
      </c>
      <c r="AC3025" t="s">
        <v>34077</v>
      </c>
      <c r="AD3025" t="s">
        <v>32</v>
      </c>
      <c r="AE3025" t="s">
        <v>34078</v>
      </c>
      <c r="AF3025" t="s">
        <v>46835</v>
      </c>
    </row>
    <row r="3026" spans="1:32" x14ac:dyDescent="0.2">
      <c r="A3026">
        <v>3021</v>
      </c>
      <c r="B3026" t="s">
        <v>34079</v>
      </c>
      <c r="C3026" t="s">
        <v>34080</v>
      </c>
      <c r="D3026" t="s">
        <v>34081</v>
      </c>
      <c r="E3026" t="s">
        <v>34082</v>
      </c>
      <c r="F3026" t="s">
        <v>34083</v>
      </c>
      <c r="G3026" t="s">
        <v>32</v>
      </c>
      <c r="H3026" t="str">
        <f>"Diaph1"</f>
        <v>Diaph1</v>
      </c>
      <c r="I3026" t="s">
        <v>34084</v>
      </c>
      <c r="J3026" t="s">
        <v>37</v>
      </c>
      <c r="K3026">
        <v>10090</v>
      </c>
      <c r="L3026" s="3" t="str">
        <f>HYPERLINK("http://www.uniprot.org/uniprot/O08808", "O08808")</f>
        <v>O08808</v>
      </c>
      <c r="M3026" t="s">
        <v>34085</v>
      </c>
      <c r="N3026" t="str">
        <f>"Diaph1"</f>
        <v>Diaph1</v>
      </c>
      <c r="O3026" s="3" t="str">
        <f>HYPERLINK("http://www.informatics.jax.org/marker/MGI:1194490", "MGI:1194490")</f>
        <v>MGI:1194490</v>
      </c>
      <c r="P3026" t="s">
        <v>34086</v>
      </c>
      <c r="Q3026" t="s">
        <v>18337</v>
      </c>
      <c r="R3026" t="s">
        <v>2265</v>
      </c>
      <c r="S3026" t="s">
        <v>32</v>
      </c>
      <c r="T3026" t="s">
        <v>32</v>
      </c>
      <c r="U3026" t="s">
        <v>32</v>
      </c>
      <c r="V3026" t="s">
        <v>137</v>
      </c>
      <c r="W3026" t="s">
        <v>32</v>
      </c>
      <c r="X3026" t="s">
        <v>405</v>
      </c>
      <c r="Y3026" t="s">
        <v>157</v>
      </c>
      <c r="Z3026" t="s">
        <v>126</v>
      </c>
      <c r="AA3026" t="s">
        <v>34087</v>
      </c>
      <c r="AB3026" t="s">
        <v>34088</v>
      </c>
      <c r="AC3026" t="s">
        <v>34089</v>
      </c>
      <c r="AD3026" t="s">
        <v>32</v>
      </c>
      <c r="AE3026" t="s">
        <v>34090</v>
      </c>
      <c r="AF3026" t="s">
        <v>46835</v>
      </c>
    </row>
    <row r="3027" spans="1:32" x14ac:dyDescent="0.2">
      <c r="A3027">
        <v>3022</v>
      </c>
      <c r="B3027" t="s">
        <v>34091</v>
      </c>
      <c r="C3027" t="s">
        <v>34092</v>
      </c>
      <c r="D3027" t="s">
        <v>34093</v>
      </c>
      <c r="E3027" t="s">
        <v>34094</v>
      </c>
      <c r="F3027" t="s">
        <v>34095</v>
      </c>
      <c r="G3027" t="s">
        <v>34096</v>
      </c>
      <c r="H3027" t="str">
        <f>"Trappc12"</f>
        <v>Trappc12</v>
      </c>
      <c r="I3027" t="s">
        <v>32</v>
      </c>
      <c r="J3027" t="s">
        <v>37</v>
      </c>
      <c r="K3027">
        <v>10090</v>
      </c>
      <c r="L3027" s="3" t="str">
        <f>HYPERLINK("http://www.uniprot.org/uniprot/Q8K2L8", "Q8K2L8")</f>
        <v>Q8K2L8</v>
      </c>
      <c r="M3027" t="s">
        <v>34097</v>
      </c>
      <c r="N3027" t="str">
        <f>"Trappc12"</f>
        <v>Trappc12</v>
      </c>
      <c r="O3027" s="3" t="str">
        <f>HYPERLINK("http://www.informatics.jax.org/marker/MGI:2445089", "MGI:2445089")</f>
        <v>MGI:2445089</v>
      </c>
      <c r="P3027" t="s">
        <v>34098</v>
      </c>
      <c r="Q3027" t="s">
        <v>14011</v>
      </c>
      <c r="R3027" t="s">
        <v>2279</v>
      </c>
      <c r="S3027" t="s">
        <v>32</v>
      </c>
      <c r="T3027" t="s">
        <v>32</v>
      </c>
      <c r="U3027" t="s">
        <v>32</v>
      </c>
      <c r="V3027" t="s">
        <v>995</v>
      </c>
      <c r="W3027" t="s">
        <v>32</v>
      </c>
      <c r="X3027" t="s">
        <v>32</v>
      </c>
      <c r="Y3027" t="s">
        <v>618</v>
      </c>
      <c r="Z3027" t="s">
        <v>32</v>
      </c>
      <c r="AA3027" t="s">
        <v>34099</v>
      </c>
      <c r="AB3027" t="s">
        <v>34100</v>
      </c>
      <c r="AC3027" t="s">
        <v>32</v>
      </c>
      <c r="AD3027" t="s">
        <v>32</v>
      </c>
      <c r="AE3027" t="s">
        <v>8182</v>
      </c>
      <c r="AF3027" t="s">
        <v>46835</v>
      </c>
    </row>
    <row r="3028" spans="1:32" x14ac:dyDescent="0.2">
      <c r="A3028">
        <v>3023</v>
      </c>
      <c r="B3028" t="s">
        <v>34101</v>
      </c>
      <c r="C3028" t="s">
        <v>34102</v>
      </c>
      <c r="D3028" t="s">
        <v>32</v>
      </c>
      <c r="E3028" t="s">
        <v>34103</v>
      </c>
      <c r="F3028" t="s">
        <v>34104</v>
      </c>
      <c r="G3028" t="s">
        <v>34105</v>
      </c>
      <c r="H3028" t="str">
        <f>"Cd2bp2"</f>
        <v>Cd2bp2</v>
      </c>
      <c r="I3028" t="s">
        <v>32</v>
      </c>
      <c r="J3028" t="s">
        <v>37</v>
      </c>
      <c r="K3028">
        <v>10090</v>
      </c>
      <c r="L3028" s="3" t="str">
        <f>HYPERLINK("http://www.uniprot.org/uniprot/Q9CWK3", "Q9CWK3")</f>
        <v>Q9CWK3</v>
      </c>
      <c r="M3028" t="s">
        <v>34106</v>
      </c>
      <c r="N3028" t="str">
        <f>"Cd2bp2"</f>
        <v>Cd2bp2</v>
      </c>
      <c r="O3028" s="3" t="str">
        <f>HYPERLINK("http://www.informatics.jax.org/marker/MGI:1917483", "MGI:1917483")</f>
        <v>MGI:1917483</v>
      </c>
      <c r="P3028" t="s">
        <v>34107</v>
      </c>
      <c r="Q3028" t="s">
        <v>2139</v>
      </c>
      <c r="R3028" t="s">
        <v>40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32</v>
      </c>
      <c r="Y3028" t="s">
        <v>516</v>
      </c>
      <c r="Z3028" t="s">
        <v>32</v>
      </c>
      <c r="AA3028" t="s">
        <v>16469</v>
      </c>
      <c r="AB3028" t="s">
        <v>34108</v>
      </c>
      <c r="AC3028" t="s">
        <v>28922</v>
      </c>
      <c r="AD3028" t="s">
        <v>32</v>
      </c>
      <c r="AE3028" t="s">
        <v>946</v>
      </c>
      <c r="AF3028" t="s">
        <v>46835</v>
      </c>
    </row>
    <row r="3029" spans="1:32" x14ac:dyDescent="0.2">
      <c r="A3029">
        <v>3024</v>
      </c>
      <c r="B3029" t="s">
        <v>34109</v>
      </c>
      <c r="C3029" t="s">
        <v>34110</v>
      </c>
      <c r="D3029" t="s">
        <v>34111</v>
      </c>
      <c r="E3029" t="s">
        <v>34112</v>
      </c>
      <c r="F3029" t="s">
        <v>34113</v>
      </c>
      <c r="G3029" t="s">
        <v>32</v>
      </c>
      <c r="H3029" t="str">
        <f>"Rab9a"</f>
        <v>Rab9a</v>
      </c>
      <c r="I3029" t="s">
        <v>34114</v>
      </c>
      <c r="J3029" t="s">
        <v>37</v>
      </c>
      <c r="K3029">
        <v>10090</v>
      </c>
      <c r="L3029" s="3" t="str">
        <f>HYPERLINK("http://www.uniprot.org/uniprot/Q9R0M6", "Q9R0M6")</f>
        <v>Q9R0M6</v>
      </c>
      <c r="M3029" t="s">
        <v>34115</v>
      </c>
      <c r="N3029" t="str">
        <f>"Rab9"</f>
        <v>Rab9</v>
      </c>
      <c r="O3029" s="3" t="str">
        <f>HYPERLINK("http://www.informatics.jax.org/marker/MGI:1890695", "MGI:1890695")</f>
        <v>MGI:1890695</v>
      </c>
      <c r="P3029" t="s">
        <v>34116</v>
      </c>
      <c r="Q3029" t="s">
        <v>434</v>
      </c>
      <c r="R3029" t="s">
        <v>34117</v>
      </c>
      <c r="S3029" t="s">
        <v>32</v>
      </c>
      <c r="T3029" t="s">
        <v>32</v>
      </c>
      <c r="U3029" t="s">
        <v>32</v>
      </c>
      <c r="V3029" t="s">
        <v>32</v>
      </c>
      <c r="W3029" t="s">
        <v>261</v>
      </c>
      <c r="X3029" t="s">
        <v>32</v>
      </c>
      <c r="Y3029" t="s">
        <v>9225</v>
      </c>
      <c r="Z3029" t="s">
        <v>126</v>
      </c>
      <c r="AA3029" t="s">
        <v>34118</v>
      </c>
      <c r="AB3029" t="s">
        <v>34119</v>
      </c>
      <c r="AC3029" t="s">
        <v>34120</v>
      </c>
      <c r="AD3029" t="s">
        <v>32</v>
      </c>
      <c r="AE3029" t="s">
        <v>34121</v>
      </c>
      <c r="AF3029" t="s">
        <v>46835</v>
      </c>
    </row>
    <row r="3030" spans="1:32" x14ac:dyDescent="0.2">
      <c r="A3030">
        <v>3025</v>
      </c>
      <c r="B3030" t="s">
        <v>34122</v>
      </c>
      <c r="C3030" t="s">
        <v>34123</v>
      </c>
      <c r="D3030" t="s">
        <v>34124</v>
      </c>
      <c r="E3030" t="s">
        <v>34125</v>
      </c>
      <c r="F3030" t="s">
        <v>34126</v>
      </c>
      <c r="G3030" t="s">
        <v>34127</v>
      </c>
      <c r="H3030" t="str">
        <f>"Emc4"</f>
        <v>Emc4</v>
      </c>
      <c r="I3030" t="s">
        <v>34128</v>
      </c>
      <c r="J3030" t="s">
        <v>37</v>
      </c>
      <c r="K3030">
        <v>10090</v>
      </c>
      <c r="L3030" s="3" t="str">
        <f>HYPERLINK("http://www.uniprot.org/uniprot/Q9CZX9", "Q9CZX9")</f>
        <v>Q9CZX9</v>
      </c>
      <c r="M3030" t="s">
        <v>34129</v>
      </c>
      <c r="N3030" t="str">
        <f>"Emc4"</f>
        <v>Emc4</v>
      </c>
      <c r="O3030" s="3" t="str">
        <f>HYPERLINK("http://www.informatics.jax.org/marker/MGI:1915282", "MGI:1915282")</f>
        <v>MGI:1915282</v>
      </c>
      <c r="P3030" t="s">
        <v>34130</v>
      </c>
      <c r="Q3030" t="s">
        <v>541</v>
      </c>
      <c r="R3030" t="s">
        <v>1664</v>
      </c>
      <c r="S3030" t="s">
        <v>32</v>
      </c>
      <c r="T3030" t="s">
        <v>32</v>
      </c>
      <c r="U3030" t="s">
        <v>32</v>
      </c>
      <c r="V3030" t="s">
        <v>493</v>
      </c>
      <c r="W3030" t="s">
        <v>32</v>
      </c>
      <c r="X3030" t="s">
        <v>32</v>
      </c>
      <c r="Y3030" t="s">
        <v>157</v>
      </c>
      <c r="Z3030" t="s">
        <v>32</v>
      </c>
      <c r="AA3030" t="s">
        <v>34131</v>
      </c>
      <c r="AB3030" t="s">
        <v>23789</v>
      </c>
      <c r="AC3030" t="s">
        <v>21753</v>
      </c>
      <c r="AD3030" t="s">
        <v>32</v>
      </c>
      <c r="AE3030" t="s">
        <v>32</v>
      </c>
      <c r="AF3030" t="s">
        <v>46835</v>
      </c>
    </row>
    <row r="3031" spans="1:32" x14ac:dyDescent="0.2">
      <c r="A3031">
        <v>3026</v>
      </c>
      <c r="B3031" t="s">
        <v>34132</v>
      </c>
      <c r="C3031" t="s">
        <v>34133</v>
      </c>
      <c r="D3031" t="s">
        <v>34134</v>
      </c>
      <c r="E3031" t="s">
        <v>34135</v>
      </c>
      <c r="F3031" t="s">
        <v>34136</v>
      </c>
      <c r="G3031" t="s">
        <v>32</v>
      </c>
      <c r="H3031" t="str">
        <f>"Macrod1"</f>
        <v>Macrod1</v>
      </c>
      <c r="I3031" t="s">
        <v>34137</v>
      </c>
      <c r="J3031" t="s">
        <v>37</v>
      </c>
      <c r="K3031">
        <v>10090</v>
      </c>
      <c r="L3031" s="3" t="str">
        <f>HYPERLINK("http://www.uniprot.org/uniprot/Q922B1", "Q922B1")</f>
        <v>Q922B1</v>
      </c>
      <c r="M3031" t="s">
        <v>34138</v>
      </c>
      <c r="N3031" t="str">
        <f>"Macrod1"</f>
        <v>Macrod1</v>
      </c>
      <c r="O3031" s="3" t="str">
        <f>HYPERLINK("http://www.informatics.jax.org/marker/MGI:2147583", "MGI:2147583")</f>
        <v>MGI:2147583</v>
      </c>
      <c r="P3031" t="s">
        <v>34139</v>
      </c>
      <c r="Q3031" t="s">
        <v>32383</v>
      </c>
      <c r="R3031" t="s">
        <v>2279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343</v>
      </c>
      <c r="Y3031" t="s">
        <v>461</v>
      </c>
      <c r="Z3031" t="s">
        <v>32</v>
      </c>
      <c r="AA3031" t="s">
        <v>34140</v>
      </c>
      <c r="AB3031" t="s">
        <v>34141</v>
      </c>
      <c r="AC3031" t="s">
        <v>34142</v>
      </c>
      <c r="AD3031" t="s">
        <v>32</v>
      </c>
      <c r="AE3031" t="s">
        <v>32</v>
      </c>
      <c r="AF3031" t="s">
        <v>46835</v>
      </c>
    </row>
    <row r="3032" spans="1:32" x14ac:dyDescent="0.2">
      <c r="A3032">
        <v>3027</v>
      </c>
      <c r="B3032" t="s">
        <v>34143</v>
      </c>
      <c r="C3032" t="s">
        <v>34144</v>
      </c>
      <c r="D3032" t="s">
        <v>34145</v>
      </c>
      <c r="E3032" t="s">
        <v>34146</v>
      </c>
      <c r="F3032" t="s">
        <v>34147</v>
      </c>
      <c r="G3032" t="s">
        <v>34148</v>
      </c>
      <c r="H3032" t="str">
        <f>"Tsc1"</f>
        <v>Tsc1</v>
      </c>
      <c r="I3032" t="s">
        <v>34149</v>
      </c>
      <c r="J3032" t="s">
        <v>37</v>
      </c>
      <c r="K3032">
        <v>10090</v>
      </c>
      <c r="L3032" s="3" t="str">
        <f>HYPERLINK("http://www.uniprot.org/uniprot/Q9EP53", "Q9EP53")</f>
        <v>Q9EP53</v>
      </c>
      <c r="M3032" t="s">
        <v>34150</v>
      </c>
      <c r="N3032" t="str">
        <f>"Tsc1"</f>
        <v>Tsc1</v>
      </c>
      <c r="O3032" s="3" t="str">
        <f>HYPERLINK("http://www.informatics.jax.org/marker/MGI:1929183", "MGI:1929183")</f>
        <v>MGI:1929183</v>
      </c>
      <c r="P3032" t="s">
        <v>34151</v>
      </c>
      <c r="Q3032" t="s">
        <v>32</v>
      </c>
      <c r="R3032" t="s">
        <v>714</v>
      </c>
      <c r="S3032" t="s">
        <v>41</v>
      </c>
      <c r="T3032" t="s">
        <v>32</v>
      </c>
      <c r="U3032" t="s">
        <v>1636</v>
      </c>
      <c r="V3032" t="s">
        <v>290</v>
      </c>
      <c r="W3032" t="s">
        <v>32</v>
      </c>
      <c r="X3032" t="s">
        <v>388</v>
      </c>
      <c r="Y3032" t="s">
        <v>618</v>
      </c>
      <c r="Z3032" t="s">
        <v>32</v>
      </c>
      <c r="AA3032" t="s">
        <v>34152</v>
      </c>
      <c r="AB3032" t="s">
        <v>34153</v>
      </c>
      <c r="AC3032" t="s">
        <v>34154</v>
      </c>
      <c r="AD3032" t="s">
        <v>32</v>
      </c>
      <c r="AE3032" t="s">
        <v>34155</v>
      </c>
      <c r="AF3032" t="s">
        <v>46835</v>
      </c>
    </row>
    <row r="3033" spans="1:32" x14ac:dyDescent="0.2">
      <c r="A3033">
        <v>3028</v>
      </c>
      <c r="B3033" t="s">
        <v>34156</v>
      </c>
      <c r="C3033" t="s">
        <v>34157</v>
      </c>
      <c r="D3033" t="s">
        <v>34158</v>
      </c>
      <c r="E3033" t="s">
        <v>34159</v>
      </c>
      <c r="F3033" t="s">
        <v>34160</v>
      </c>
      <c r="G3033" t="s">
        <v>34161</v>
      </c>
      <c r="H3033" t="str">
        <f>"Cog4"</f>
        <v>Cog4</v>
      </c>
      <c r="I3033" t="s">
        <v>32</v>
      </c>
      <c r="J3033" t="s">
        <v>37</v>
      </c>
      <c r="K3033">
        <v>10090</v>
      </c>
      <c r="L3033" s="3" t="str">
        <f>HYPERLINK("http://www.uniprot.org/uniprot/Q8R1U1", "Q8R1U1")</f>
        <v>Q8R1U1</v>
      </c>
      <c r="M3033" t="s">
        <v>34162</v>
      </c>
      <c r="N3033" t="str">
        <f>"Cog4"</f>
        <v>Cog4</v>
      </c>
      <c r="O3033" s="3" t="str">
        <f>HYPERLINK("http://www.informatics.jax.org/marker/MGI:2142808", "MGI:2142808")</f>
        <v>MGI:2142808</v>
      </c>
      <c r="P3033" t="s">
        <v>34163</v>
      </c>
      <c r="Q3033" t="s">
        <v>434</v>
      </c>
      <c r="R3033" t="s">
        <v>7998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32</v>
      </c>
      <c r="Y3033" t="s">
        <v>157</v>
      </c>
      <c r="Z3033" t="s">
        <v>32</v>
      </c>
      <c r="AA3033" t="s">
        <v>34164</v>
      </c>
      <c r="AB3033" t="s">
        <v>34165</v>
      </c>
      <c r="AC3033" t="s">
        <v>4516</v>
      </c>
      <c r="AD3033" t="s">
        <v>32</v>
      </c>
      <c r="AE3033" t="s">
        <v>24940</v>
      </c>
      <c r="AF3033" t="s">
        <v>46835</v>
      </c>
    </row>
    <row r="3034" spans="1:32" x14ac:dyDescent="0.2">
      <c r="A3034">
        <v>3029</v>
      </c>
      <c r="B3034" t="s">
        <v>34166</v>
      </c>
      <c r="C3034" t="s">
        <v>34167</v>
      </c>
      <c r="D3034" t="s">
        <v>34168</v>
      </c>
      <c r="E3034" t="s">
        <v>34169</v>
      </c>
      <c r="F3034" t="s">
        <v>34170</v>
      </c>
      <c r="G3034" t="s">
        <v>32</v>
      </c>
      <c r="H3034" t="str">
        <f>"Fntb"</f>
        <v>Fntb</v>
      </c>
      <c r="I3034" t="s">
        <v>32</v>
      </c>
      <c r="J3034" t="s">
        <v>37</v>
      </c>
      <c r="K3034">
        <v>10090</v>
      </c>
      <c r="L3034" s="3" t="str">
        <f>HYPERLINK("http://www.uniprot.org/uniprot/Q8K2I1", "Q8K2I1")</f>
        <v>Q8K2I1</v>
      </c>
      <c r="M3034" t="s">
        <v>34171</v>
      </c>
      <c r="N3034" t="str">
        <f>"Fntb"</f>
        <v>Fntb</v>
      </c>
      <c r="O3034" s="3" t="str">
        <f>HYPERLINK("http://www.informatics.jax.org/marker/MGI:1861305", "MGI:1861305")</f>
        <v>MGI:1861305</v>
      </c>
      <c r="P3034" t="s">
        <v>34172</v>
      </c>
      <c r="Q3034" t="s">
        <v>598</v>
      </c>
      <c r="R3034" t="s">
        <v>32</v>
      </c>
      <c r="S3034" t="s">
        <v>32</v>
      </c>
      <c r="T3034" t="s">
        <v>32</v>
      </c>
      <c r="U3034" t="s">
        <v>32</v>
      </c>
      <c r="V3034" t="s">
        <v>55</v>
      </c>
      <c r="W3034" t="s">
        <v>42</v>
      </c>
      <c r="X3034" t="s">
        <v>16432</v>
      </c>
      <c r="Y3034" t="s">
        <v>618</v>
      </c>
      <c r="Z3034" t="s">
        <v>126</v>
      </c>
      <c r="AA3034" t="s">
        <v>34173</v>
      </c>
      <c r="AB3034" t="s">
        <v>34174</v>
      </c>
      <c r="AC3034" t="s">
        <v>34175</v>
      </c>
      <c r="AD3034" t="s">
        <v>32</v>
      </c>
      <c r="AE3034" t="s">
        <v>34176</v>
      </c>
      <c r="AF3034" t="s">
        <v>46835</v>
      </c>
    </row>
    <row r="3035" spans="1:32" x14ac:dyDescent="0.2">
      <c r="A3035">
        <v>3030</v>
      </c>
      <c r="B3035" t="s">
        <v>34177</v>
      </c>
      <c r="C3035" t="s">
        <v>34178</v>
      </c>
      <c r="D3035" t="s">
        <v>34179</v>
      </c>
      <c r="E3035" t="s">
        <v>34180</v>
      </c>
      <c r="F3035" t="s">
        <v>34181</v>
      </c>
      <c r="G3035" t="s">
        <v>34182</v>
      </c>
      <c r="H3035" t="str">
        <f>"Hs1bp3"</f>
        <v>Hs1bp3</v>
      </c>
      <c r="I3035" t="s">
        <v>32</v>
      </c>
      <c r="J3035" t="s">
        <v>37</v>
      </c>
      <c r="K3035">
        <v>10090</v>
      </c>
      <c r="L3035" s="3" t="str">
        <f>HYPERLINK("http://www.uniprot.org/uniprot/Q3TC93", "Q3TC93")</f>
        <v>Q3TC93</v>
      </c>
      <c r="M3035" t="s">
        <v>34183</v>
      </c>
      <c r="N3035" t="str">
        <f>"Hs1bp3"</f>
        <v>Hs1bp3</v>
      </c>
      <c r="O3035" s="3" t="str">
        <f>HYPERLINK("http://www.informatics.jax.org/marker/MGI:1913224", "MGI:1913224")</f>
        <v>MGI:1913224</v>
      </c>
      <c r="P3035" t="s">
        <v>157</v>
      </c>
      <c r="Q3035" t="s">
        <v>32</v>
      </c>
      <c r="R3035" t="s">
        <v>32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32</v>
      </c>
      <c r="Y3035" t="s">
        <v>157</v>
      </c>
      <c r="Z3035" t="s">
        <v>32</v>
      </c>
      <c r="AA3035" t="s">
        <v>34184</v>
      </c>
      <c r="AB3035" t="s">
        <v>24264</v>
      </c>
      <c r="AC3035" t="s">
        <v>34185</v>
      </c>
      <c r="AD3035" t="s">
        <v>32</v>
      </c>
      <c r="AE3035" t="s">
        <v>32</v>
      </c>
      <c r="AF3035" t="s">
        <v>46835</v>
      </c>
    </row>
    <row r="3036" spans="1:32" x14ac:dyDescent="0.2">
      <c r="A3036">
        <v>3031</v>
      </c>
      <c r="B3036" t="s">
        <v>34186</v>
      </c>
      <c r="C3036" t="s">
        <v>34187</v>
      </c>
      <c r="D3036" t="s">
        <v>34188</v>
      </c>
      <c r="E3036" t="s">
        <v>34189</v>
      </c>
      <c r="F3036" t="s">
        <v>34190</v>
      </c>
      <c r="G3036" t="s">
        <v>34191</v>
      </c>
      <c r="H3036" t="str">
        <f>"Ube3c"</f>
        <v>Ube3c</v>
      </c>
      <c r="I3036" t="s">
        <v>32</v>
      </c>
      <c r="J3036" t="s">
        <v>37</v>
      </c>
      <c r="K3036">
        <v>10090</v>
      </c>
      <c r="L3036" s="3" t="str">
        <f>HYPERLINK("http://www.uniprot.org/uniprot/Q80U95", "Q80U95")</f>
        <v>Q80U95</v>
      </c>
      <c r="M3036" t="s">
        <v>34192</v>
      </c>
      <c r="N3036" t="str">
        <f>"Ube3c"</f>
        <v>Ube3c</v>
      </c>
      <c r="O3036" s="3" t="str">
        <f>HYPERLINK("http://www.informatics.jax.org/marker/MGI:2140998", "MGI:2140998")</f>
        <v>MGI:2140998</v>
      </c>
      <c r="P3036" t="s">
        <v>34193</v>
      </c>
      <c r="Q3036" t="s">
        <v>1020</v>
      </c>
      <c r="R3036" t="s">
        <v>32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515</v>
      </c>
      <c r="Y3036" t="s">
        <v>7792</v>
      </c>
      <c r="Z3036" t="s">
        <v>32</v>
      </c>
      <c r="AA3036" t="s">
        <v>34194</v>
      </c>
      <c r="AB3036" t="s">
        <v>32</v>
      </c>
      <c r="AC3036" t="s">
        <v>34195</v>
      </c>
      <c r="AD3036" t="s">
        <v>1027</v>
      </c>
      <c r="AE3036" t="s">
        <v>4220</v>
      </c>
      <c r="AF3036" t="s">
        <v>46835</v>
      </c>
    </row>
    <row r="3037" spans="1:32" x14ac:dyDescent="0.2">
      <c r="A3037">
        <v>3032</v>
      </c>
      <c r="B3037" t="s">
        <v>34196</v>
      </c>
      <c r="C3037" t="s">
        <v>34197</v>
      </c>
      <c r="D3037" t="s">
        <v>34198</v>
      </c>
      <c r="E3037" t="s">
        <v>34199</v>
      </c>
      <c r="F3037" t="s">
        <v>34200</v>
      </c>
      <c r="G3037" t="s">
        <v>34201</v>
      </c>
      <c r="H3037" t="str">
        <f>"Dtna"</f>
        <v>Dtna</v>
      </c>
      <c r="I3037" t="s">
        <v>34202</v>
      </c>
      <c r="J3037" t="s">
        <v>37</v>
      </c>
      <c r="K3037">
        <v>10090</v>
      </c>
      <c r="L3037" s="3" t="str">
        <f>HYPERLINK("http://www.uniprot.org/uniprot/Q9D2N4", "Q9D2N4")</f>
        <v>Q9D2N4</v>
      </c>
      <c r="M3037" t="s">
        <v>34203</v>
      </c>
      <c r="N3037" t="str">
        <f>"Dtna"</f>
        <v>Dtna</v>
      </c>
      <c r="O3037" s="3" t="str">
        <f>HYPERLINK("http://www.informatics.jax.org/marker/MGI:106039", "MGI:106039")</f>
        <v>MGI:106039</v>
      </c>
      <c r="P3037" t="s">
        <v>34204</v>
      </c>
      <c r="Q3037" t="s">
        <v>32</v>
      </c>
      <c r="R3037" t="s">
        <v>34205</v>
      </c>
      <c r="S3037" t="s">
        <v>41</v>
      </c>
      <c r="T3037" t="s">
        <v>32</v>
      </c>
      <c r="U3037" t="s">
        <v>32</v>
      </c>
      <c r="V3037" t="s">
        <v>11171</v>
      </c>
      <c r="W3037" t="s">
        <v>42</v>
      </c>
      <c r="X3037" t="s">
        <v>32</v>
      </c>
      <c r="Y3037" t="s">
        <v>618</v>
      </c>
      <c r="Z3037" t="s">
        <v>32</v>
      </c>
      <c r="AA3037" t="s">
        <v>34206</v>
      </c>
      <c r="AB3037" t="s">
        <v>34207</v>
      </c>
      <c r="AC3037" t="s">
        <v>34208</v>
      </c>
      <c r="AD3037" t="s">
        <v>32</v>
      </c>
      <c r="AE3037" t="s">
        <v>32</v>
      </c>
      <c r="AF3037" t="s">
        <v>46835</v>
      </c>
    </row>
    <row r="3038" spans="1:32" x14ac:dyDescent="0.2">
      <c r="A3038">
        <v>3033</v>
      </c>
      <c r="B3038" t="s">
        <v>34209</v>
      </c>
      <c r="C3038" t="s">
        <v>34210</v>
      </c>
      <c r="D3038" t="s">
        <v>34211</v>
      </c>
      <c r="E3038" t="s">
        <v>34212</v>
      </c>
      <c r="F3038" t="s">
        <v>34213</v>
      </c>
      <c r="G3038" t="s">
        <v>34214</v>
      </c>
      <c r="H3038" t="str">
        <f>"Poglut2"</f>
        <v>Poglut2</v>
      </c>
      <c r="I3038" t="s">
        <v>34215</v>
      </c>
      <c r="J3038" t="s">
        <v>37</v>
      </c>
      <c r="K3038">
        <v>10090</v>
      </c>
      <c r="L3038" s="3" t="str">
        <f>HYPERLINK("http://www.uniprot.org/uniprot/Q9JHP7", "Q9JHP7")</f>
        <v>Q9JHP7</v>
      </c>
      <c r="M3038" t="s">
        <v>34216</v>
      </c>
      <c r="N3038" t="str">
        <f>"Poglut2"</f>
        <v>Poglut2</v>
      </c>
      <c r="O3038" s="3" t="str">
        <f>HYPERLINK("http://www.informatics.jax.org/marker/MGI:1919300", "MGI:1919300")</f>
        <v>MGI:1919300</v>
      </c>
      <c r="P3038" t="s">
        <v>34217</v>
      </c>
      <c r="Q3038" t="s">
        <v>32</v>
      </c>
      <c r="R3038" t="s">
        <v>671</v>
      </c>
      <c r="S3038" t="s">
        <v>41</v>
      </c>
      <c r="T3038" t="s">
        <v>32</v>
      </c>
      <c r="U3038" t="s">
        <v>32</v>
      </c>
      <c r="V3038" t="s">
        <v>811</v>
      </c>
      <c r="W3038" t="s">
        <v>32</v>
      </c>
      <c r="X3038" t="s">
        <v>2362</v>
      </c>
      <c r="Y3038" t="s">
        <v>3733</v>
      </c>
      <c r="Z3038" t="s">
        <v>32</v>
      </c>
      <c r="AA3038" t="s">
        <v>34218</v>
      </c>
      <c r="AB3038" t="s">
        <v>34219</v>
      </c>
      <c r="AC3038" t="s">
        <v>17488</v>
      </c>
      <c r="AD3038" t="s">
        <v>3952</v>
      </c>
      <c r="AE3038" t="s">
        <v>32</v>
      </c>
      <c r="AF3038" t="s">
        <v>46835</v>
      </c>
    </row>
    <row r="3039" spans="1:32" x14ac:dyDescent="0.2">
      <c r="A3039">
        <v>3034</v>
      </c>
      <c r="B3039" t="s">
        <v>34220</v>
      </c>
      <c r="C3039" t="s">
        <v>34221</v>
      </c>
      <c r="D3039" t="s">
        <v>34222</v>
      </c>
      <c r="E3039" t="s">
        <v>34223</v>
      </c>
      <c r="F3039" t="s">
        <v>34224</v>
      </c>
      <c r="G3039" t="s">
        <v>34225</v>
      </c>
      <c r="H3039" t="str">
        <f>"Preb"</f>
        <v>Preb</v>
      </c>
      <c r="I3039" t="s">
        <v>34226</v>
      </c>
      <c r="J3039" t="s">
        <v>37</v>
      </c>
      <c r="K3039">
        <v>10090</v>
      </c>
      <c r="L3039" s="3" t="str">
        <f>HYPERLINK("http://www.uniprot.org/uniprot/Q9WUQ2", "Q9WUQ2")</f>
        <v>Q9WUQ2</v>
      </c>
      <c r="M3039" t="s">
        <v>34227</v>
      </c>
      <c r="N3039" t="str">
        <f>"Preb"</f>
        <v>Preb</v>
      </c>
      <c r="O3039" s="3" t="str">
        <f>HYPERLINK("http://www.informatics.jax.org/marker/MGI:1355326", "MGI:1355326")</f>
        <v>MGI:1355326</v>
      </c>
      <c r="P3039" t="s">
        <v>34228</v>
      </c>
      <c r="Q3039" t="s">
        <v>34229</v>
      </c>
      <c r="R3039" t="s">
        <v>17568</v>
      </c>
      <c r="S3039" t="s">
        <v>32</v>
      </c>
      <c r="T3039" t="s">
        <v>32</v>
      </c>
      <c r="U3039" t="s">
        <v>32</v>
      </c>
      <c r="V3039" t="s">
        <v>34230</v>
      </c>
      <c r="W3039" t="s">
        <v>32</v>
      </c>
      <c r="X3039" t="s">
        <v>2350</v>
      </c>
      <c r="Y3039" t="s">
        <v>4216</v>
      </c>
      <c r="Z3039" t="s">
        <v>32</v>
      </c>
      <c r="AA3039" t="s">
        <v>34231</v>
      </c>
      <c r="AB3039" t="s">
        <v>34232</v>
      </c>
      <c r="AC3039" t="s">
        <v>34233</v>
      </c>
      <c r="AD3039" t="s">
        <v>32</v>
      </c>
      <c r="AE3039" t="s">
        <v>13908</v>
      </c>
      <c r="AF3039" t="s">
        <v>46835</v>
      </c>
    </row>
    <row r="3040" spans="1:32" x14ac:dyDescent="0.2">
      <c r="A3040">
        <v>3035</v>
      </c>
      <c r="B3040" t="s">
        <v>34234</v>
      </c>
      <c r="C3040" t="s">
        <v>34235</v>
      </c>
      <c r="D3040" t="s">
        <v>34236</v>
      </c>
      <c r="E3040" t="s">
        <v>34237</v>
      </c>
      <c r="F3040" t="s">
        <v>34238</v>
      </c>
      <c r="G3040" t="s">
        <v>34239</v>
      </c>
      <c r="H3040" t="str">
        <f>"Txn2"</f>
        <v>Txn2</v>
      </c>
      <c r="I3040" t="s">
        <v>32</v>
      </c>
      <c r="J3040" t="s">
        <v>37</v>
      </c>
      <c r="K3040">
        <v>10090</v>
      </c>
      <c r="L3040" s="3" t="str">
        <f>HYPERLINK("http://www.uniprot.org/uniprot/P97493", "P97493")</f>
        <v>P97493</v>
      </c>
      <c r="M3040" t="s">
        <v>34240</v>
      </c>
      <c r="N3040" t="str">
        <f>"Txn2"</f>
        <v>Txn2</v>
      </c>
      <c r="O3040" s="3" t="str">
        <f>HYPERLINK("http://www.informatics.jax.org/marker/MGI:1929468", "MGI:1929468")</f>
        <v>MGI:1929468</v>
      </c>
      <c r="P3040" t="s">
        <v>34241</v>
      </c>
      <c r="Q3040" t="s">
        <v>4599</v>
      </c>
      <c r="R3040" t="s">
        <v>1038</v>
      </c>
      <c r="S3040" t="s">
        <v>32</v>
      </c>
      <c r="T3040" t="s">
        <v>32</v>
      </c>
      <c r="U3040" t="s">
        <v>32</v>
      </c>
      <c r="V3040" t="s">
        <v>5688</v>
      </c>
      <c r="W3040" t="s">
        <v>32</v>
      </c>
      <c r="X3040" t="s">
        <v>32</v>
      </c>
      <c r="Y3040" t="s">
        <v>8737</v>
      </c>
      <c r="Z3040" t="s">
        <v>32</v>
      </c>
      <c r="AA3040" t="s">
        <v>34242</v>
      </c>
      <c r="AB3040" t="s">
        <v>34243</v>
      </c>
      <c r="AC3040" t="s">
        <v>34244</v>
      </c>
      <c r="AD3040" t="s">
        <v>32</v>
      </c>
      <c r="AE3040" t="s">
        <v>34245</v>
      </c>
      <c r="AF3040" t="s">
        <v>46835</v>
      </c>
    </row>
    <row r="3041" spans="1:33" x14ac:dyDescent="0.2">
      <c r="A3041">
        <v>3036</v>
      </c>
      <c r="B3041" t="s">
        <v>34246</v>
      </c>
      <c r="C3041" t="s">
        <v>34247</v>
      </c>
      <c r="D3041" t="s">
        <v>34248</v>
      </c>
      <c r="E3041" t="s">
        <v>34249</v>
      </c>
      <c r="F3041" t="s">
        <v>34250</v>
      </c>
      <c r="G3041" t="s">
        <v>34251</v>
      </c>
      <c r="H3041" t="str">
        <f>"Slc38a10"</f>
        <v>Slc38a10</v>
      </c>
      <c r="I3041" t="s">
        <v>32</v>
      </c>
      <c r="J3041" t="s">
        <v>37</v>
      </c>
      <c r="K3041">
        <v>10090</v>
      </c>
      <c r="L3041" s="3" t="str">
        <f>HYPERLINK("http://www.uniprot.org/uniprot/Q5I012", "Q5I012")</f>
        <v>Q5I012</v>
      </c>
      <c r="M3041" t="s">
        <v>34252</v>
      </c>
      <c r="N3041" t="str">
        <f>"Slc38a10"</f>
        <v>Slc38a10</v>
      </c>
      <c r="O3041" s="3" t="str">
        <f>HYPERLINK("http://www.informatics.jax.org/marker/MGI:1919305", "MGI:1919305")</f>
        <v>MGI:1919305</v>
      </c>
      <c r="P3041" t="s">
        <v>34253</v>
      </c>
      <c r="Q3041" t="s">
        <v>34254</v>
      </c>
      <c r="R3041" t="s">
        <v>5989</v>
      </c>
      <c r="S3041" t="s">
        <v>41</v>
      </c>
      <c r="T3041" t="s">
        <v>32</v>
      </c>
      <c r="U3041" t="s">
        <v>32</v>
      </c>
      <c r="V3041" t="s">
        <v>493</v>
      </c>
      <c r="W3041" t="s">
        <v>18285</v>
      </c>
      <c r="X3041" t="s">
        <v>32</v>
      </c>
      <c r="Y3041" t="s">
        <v>618</v>
      </c>
      <c r="Z3041" t="s">
        <v>32</v>
      </c>
      <c r="AA3041" t="s">
        <v>34255</v>
      </c>
      <c r="AB3041" t="s">
        <v>22945</v>
      </c>
      <c r="AC3041" t="s">
        <v>34256</v>
      </c>
      <c r="AD3041" t="s">
        <v>32</v>
      </c>
      <c r="AE3041" t="s">
        <v>32</v>
      </c>
      <c r="AF3041" t="s">
        <v>46835</v>
      </c>
    </row>
    <row r="3042" spans="1:33" x14ac:dyDescent="0.2">
      <c r="A3042">
        <v>3037</v>
      </c>
      <c r="B3042" t="s">
        <v>34257</v>
      </c>
      <c r="C3042" t="s">
        <v>34258</v>
      </c>
      <c r="D3042" t="s">
        <v>32</v>
      </c>
      <c r="E3042" t="s">
        <v>34259</v>
      </c>
      <c r="F3042" t="s">
        <v>34260</v>
      </c>
      <c r="G3042" t="s">
        <v>32</v>
      </c>
      <c r="H3042" t="str">
        <f>"Zc3h4"</f>
        <v>Zc3h4</v>
      </c>
      <c r="I3042" t="s">
        <v>32</v>
      </c>
      <c r="J3042" t="s">
        <v>37</v>
      </c>
      <c r="K3042">
        <v>10090</v>
      </c>
      <c r="L3042" s="3" t="str">
        <f>HYPERLINK("http://www.uniprot.org/uniprot/Q6ZPZ3", "Q6ZPZ3")</f>
        <v>Q6ZPZ3</v>
      </c>
      <c r="M3042" t="s">
        <v>34261</v>
      </c>
      <c r="N3042" t="str">
        <f>"Zc3h4"</f>
        <v>Zc3h4</v>
      </c>
      <c r="O3042" s="3" t="str">
        <f>HYPERLINK("http://www.informatics.jax.org/marker/MGI:2682314", "MGI:2682314")</f>
        <v>MGI:2682314</v>
      </c>
      <c r="P3042" t="s">
        <v>34262</v>
      </c>
      <c r="Q3042" t="s">
        <v>15914</v>
      </c>
      <c r="R3042" t="s">
        <v>18622</v>
      </c>
      <c r="S3042" t="s">
        <v>41</v>
      </c>
      <c r="T3042" t="s">
        <v>32</v>
      </c>
      <c r="U3042" t="s">
        <v>32</v>
      </c>
      <c r="V3042" t="s">
        <v>12028</v>
      </c>
      <c r="W3042" t="s">
        <v>42</v>
      </c>
      <c r="X3042" t="s">
        <v>1282</v>
      </c>
      <c r="Y3042" t="s">
        <v>2734</v>
      </c>
      <c r="Z3042" t="s">
        <v>32</v>
      </c>
      <c r="AA3042" t="s">
        <v>34263</v>
      </c>
      <c r="AB3042" t="s">
        <v>29691</v>
      </c>
      <c r="AC3042" t="s">
        <v>34264</v>
      </c>
      <c r="AD3042" t="s">
        <v>32</v>
      </c>
      <c r="AE3042" t="s">
        <v>32</v>
      </c>
      <c r="AF3042" t="s">
        <v>46835</v>
      </c>
    </row>
    <row r="3043" spans="1:33" x14ac:dyDescent="0.2">
      <c r="A3043">
        <v>3038</v>
      </c>
      <c r="B3043" t="s">
        <v>34265</v>
      </c>
      <c r="C3043" t="s">
        <v>34266</v>
      </c>
      <c r="D3043" t="s">
        <v>34267</v>
      </c>
      <c r="E3043" t="s">
        <v>34268</v>
      </c>
      <c r="F3043" t="s">
        <v>34269</v>
      </c>
      <c r="G3043" t="s">
        <v>34270</v>
      </c>
      <c r="H3043" t="str">
        <f>"Fundc2"</f>
        <v>Fundc2</v>
      </c>
      <c r="I3043" t="s">
        <v>34271</v>
      </c>
      <c r="J3043" t="s">
        <v>37</v>
      </c>
      <c r="K3043">
        <v>10090</v>
      </c>
      <c r="L3043" s="3" t="str">
        <f>HYPERLINK("http://www.uniprot.org/uniprot/Q9D6K8", "Q9D6K8")</f>
        <v>Q9D6K8</v>
      </c>
      <c r="M3043" t="s">
        <v>34272</v>
      </c>
      <c r="N3043" t="str">
        <f>"Fundc2"</f>
        <v>Fundc2</v>
      </c>
      <c r="O3043" s="3" t="str">
        <f>HYPERLINK("http://www.informatics.jax.org/marker/MGI:1914641", "MGI:1914641")</f>
        <v>MGI:1914641</v>
      </c>
      <c r="P3043" t="s">
        <v>34273</v>
      </c>
      <c r="Q3043" t="s">
        <v>4152</v>
      </c>
      <c r="R3043" t="s">
        <v>34274</v>
      </c>
      <c r="S3043" t="s">
        <v>32</v>
      </c>
      <c r="T3043" t="s">
        <v>32</v>
      </c>
      <c r="U3043" t="s">
        <v>32</v>
      </c>
      <c r="V3043" t="s">
        <v>493</v>
      </c>
      <c r="W3043" t="s">
        <v>32</v>
      </c>
      <c r="X3043" t="s">
        <v>32</v>
      </c>
      <c r="Y3043" t="s">
        <v>618</v>
      </c>
      <c r="Z3043" t="s">
        <v>32</v>
      </c>
      <c r="AA3043" t="s">
        <v>34275</v>
      </c>
      <c r="AB3043" t="s">
        <v>34276</v>
      </c>
      <c r="AC3043" t="s">
        <v>34277</v>
      </c>
      <c r="AD3043" t="s">
        <v>32</v>
      </c>
      <c r="AE3043" t="s">
        <v>32</v>
      </c>
      <c r="AF3043" t="s">
        <v>46835</v>
      </c>
    </row>
    <row r="3044" spans="1:33" x14ac:dyDescent="0.2">
      <c r="A3044">
        <v>3039</v>
      </c>
      <c r="B3044" t="s">
        <v>34278</v>
      </c>
      <c r="C3044" t="s">
        <v>34279</v>
      </c>
      <c r="D3044" t="s">
        <v>34280</v>
      </c>
      <c r="E3044" t="s">
        <v>34281</v>
      </c>
      <c r="F3044" t="s">
        <v>34282</v>
      </c>
      <c r="G3044" t="s">
        <v>34283</v>
      </c>
      <c r="H3044" t="str">
        <f>"Usp16"</f>
        <v>Usp16</v>
      </c>
      <c r="I3044" t="s">
        <v>32</v>
      </c>
      <c r="J3044" t="s">
        <v>37</v>
      </c>
      <c r="K3044">
        <v>10090</v>
      </c>
      <c r="L3044" s="3" t="str">
        <f>HYPERLINK("http://www.uniprot.org/uniprot/Q99LG0", "Q99LG0")</f>
        <v>Q99LG0</v>
      </c>
      <c r="M3044" t="s">
        <v>34284</v>
      </c>
      <c r="N3044" t="str">
        <f>"Usp16"</f>
        <v>Usp16</v>
      </c>
      <c r="O3044" s="3" t="str">
        <f>HYPERLINK("http://www.informatics.jax.org/marker/MGI:1921362", "MGI:1921362")</f>
        <v>MGI:1921362</v>
      </c>
      <c r="P3044" t="s">
        <v>34285</v>
      </c>
      <c r="Q3044" t="s">
        <v>34286</v>
      </c>
      <c r="R3044" t="s">
        <v>2279</v>
      </c>
      <c r="S3044" t="s">
        <v>32</v>
      </c>
      <c r="T3044" t="s">
        <v>32</v>
      </c>
      <c r="U3044" t="s">
        <v>32</v>
      </c>
      <c r="V3044" t="s">
        <v>446</v>
      </c>
      <c r="W3044" t="s">
        <v>42</v>
      </c>
      <c r="X3044" t="s">
        <v>34287</v>
      </c>
      <c r="Y3044" t="s">
        <v>1007</v>
      </c>
      <c r="Z3044" t="s">
        <v>32</v>
      </c>
      <c r="AA3044" t="s">
        <v>34288</v>
      </c>
      <c r="AB3044" t="s">
        <v>3606</v>
      </c>
      <c r="AC3044" t="s">
        <v>34289</v>
      </c>
      <c r="AD3044" t="s">
        <v>32</v>
      </c>
      <c r="AE3044" t="s">
        <v>6333</v>
      </c>
      <c r="AF3044" t="s">
        <v>46835</v>
      </c>
    </row>
    <row r="3045" spans="1:33" x14ac:dyDescent="0.2">
      <c r="A3045">
        <v>3040</v>
      </c>
      <c r="B3045" t="s">
        <v>34290</v>
      </c>
      <c r="C3045" t="s">
        <v>34291</v>
      </c>
      <c r="D3045" t="s">
        <v>32</v>
      </c>
      <c r="E3045" t="s">
        <v>34292</v>
      </c>
      <c r="F3045" t="s">
        <v>34293</v>
      </c>
      <c r="G3045" t="s">
        <v>32</v>
      </c>
      <c r="H3045" t="str">
        <f>"Sh3bgr"</f>
        <v>Sh3bgr</v>
      </c>
      <c r="I3045" t="s">
        <v>32</v>
      </c>
      <c r="J3045" t="s">
        <v>37</v>
      </c>
      <c r="K3045">
        <v>10090</v>
      </c>
      <c r="L3045" s="3" t="str">
        <f>HYPERLINK("http://www.uniprot.org/uniprot/Q9WUZ7", "Q9WUZ7")</f>
        <v>Q9WUZ7</v>
      </c>
      <c r="M3045" t="s">
        <v>34294</v>
      </c>
      <c r="N3045" t="str">
        <f>"Sh3bgr"</f>
        <v>Sh3bgr</v>
      </c>
      <c r="O3045" s="3" t="str">
        <f>HYPERLINK("http://www.informatics.jax.org/marker/MGI:1354740", "MGI:1354740")</f>
        <v>MGI:1354740</v>
      </c>
      <c r="P3045" t="s">
        <v>7861</v>
      </c>
      <c r="Q3045" t="s">
        <v>32</v>
      </c>
      <c r="R3045" t="s">
        <v>32</v>
      </c>
      <c r="S3045" t="s">
        <v>32</v>
      </c>
      <c r="T3045" t="s">
        <v>32</v>
      </c>
      <c r="U3045" t="s">
        <v>32</v>
      </c>
      <c r="V3045" t="s">
        <v>7861</v>
      </c>
      <c r="W3045" t="s">
        <v>32</v>
      </c>
      <c r="X3045" t="s">
        <v>32</v>
      </c>
      <c r="Y3045" t="s">
        <v>32</v>
      </c>
      <c r="Z3045" t="s">
        <v>32</v>
      </c>
      <c r="AA3045" t="s">
        <v>32</v>
      </c>
      <c r="AB3045" t="s">
        <v>32</v>
      </c>
      <c r="AC3045" t="s">
        <v>23260</v>
      </c>
      <c r="AD3045" t="s">
        <v>32</v>
      </c>
      <c r="AE3045" t="s">
        <v>32</v>
      </c>
      <c r="AF3045" t="s">
        <v>46835</v>
      </c>
    </row>
    <row r="3046" spans="1:33" x14ac:dyDescent="0.2">
      <c r="A3046">
        <v>3041</v>
      </c>
      <c r="B3046" t="s">
        <v>34295</v>
      </c>
      <c r="C3046" t="s">
        <v>34296</v>
      </c>
      <c r="D3046" t="s">
        <v>32</v>
      </c>
      <c r="E3046" t="s">
        <v>34297</v>
      </c>
      <c r="F3046" t="s">
        <v>34298</v>
      </c>
      <c r="G3046" t="s">
        <v>34299</v>
      </c>
      <c r="H3046" t="str">
        <f>"Tubgcp3"</f>
        <v>Tubgcp3</v>
      </c>
      <c r="I3046" t="s">
        <v>34300</v>
      </c>
      <c r="J3046" t="s">
        <v>37</v>
      </c>
      <c r="K3046">
        <v>10090</v>
      </c>
      <c r="L3046" s="3" t="str">
        <f>HYPERLINK("http://www.uniprot.org/uniprot/P58854", "P58854")</f>
        <v>P58854</v>
      </c>
      <c r="M3046" t="s">
        <v>34301</v>
      </c>
      <c r="N3046" t="str">
        <f>"Tubgcp3"</f>
        <v>Tubgcp3</v>
      </c>
      <c r="O3046" s="3" t="str">
        <f>HYPERLINK("http://www.informatics.jax.org/marker/MGI:2183752", "MGI:2183752")</f>
        <v>MGI:2183752</v>
      </c>
      <c r="P3046" t="s">
        <v>34302</v>
      </c>
      <c r="Q3046" t="s">
        <v>32</v>
      </c>
      <c r="R3046" t="s">
        <v>341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32</v>
      </c>
      <c r="Y3046" t="s">
        <v>157</v>
      </c>
      <c r="Z3046" t="s">
        <v>32</v>
      </c>
      <c r="AA3046" t="s">
        <v>34303</v>
      </c>
      <c r="AB3046" t="s">
        <v>34304</v>
      </c>
      <c r="AC3046" t="s">
        <v>29370</v>
      </c>
      <c r="AD3046" t="s">
        <v>32</v>
      </c>
      <c r="AE3046" t="s">
        <v>29371</v>
      </c>
      <c r="AF3046" t="s">
        <v>46835</v>
      </c>
    </row>
    <row r="3047" spans="1:33" x14ac:dyDescent="0.2">
      <c r="A3047">
        <v>3042</v>
      </c>
      <c r="B3047" t="s">
        <v>34305</v>
      </c>
      <c r="C3047" t="s">
        <v>34306</v>
      </c>
      <c r="D3047" t="s">
        <v>34307</v>
      </c>
      <c r="E3047" t="s">
        <v>34308</v>
      </c>
      <c r="F3047" t="s">
        <v>34309</v>
      </c>
      <c r="G3047" t="s">
        <v>34310</v>
      </c>
      <c r="H3047" t="str">
        <f>"Cpd"</f>
        <v>Cpd</v>
      </c>
      <c r="I3047" t="s">
        <v>32</v>
      </c>
      <c r="J3047" t="s">
        <v>37</v>
      </c>
      <c r="K3047">
        <v>10090</v>
      </c>
      <c r="L3047" s="3" t="str">
        <f>HYPERLINK("http://www.uniprot.org/uniprot/O89001", "O89001")</f>
        <v>O89001</v>
      </c>
      <c r="M3047" t="s">
        <v>34311</v>
      </c>
      <c r="N3047" t="str">
        <f>"Cpd"</f>
        <v>Cpd</v>
      </c>
      <c r="O3047" s="3" t="str">
        <f>HYPERLINK("http://www.informatics.jax.org/marker/MGI:107265", "MGI:107265")</f>
        <v>MGI:107265</v>
      </c>
      <c r="P3047" t="s">
        <v>34312</v>
      </c>
      <c r="Q3047" t="s">
        <v>32</v>
      </c>
      <c r="R3047" t="s">
        <v>2474</v>
      </c>
      <c r="S3047" t="s">
        <v>32</v>
      </c>
      <c r="T3047" t="s">
        <v>32</v>
      </c>
      <c r="U3047" t="s">
        <v>32</v>
      </c>
      <c r="V3047" t="s">
        <v>1665</v>
      </c>
      <c r="W3047" t="s">
        <v>42</v>
      </c>
      <c r="X3047" t="s">
        <v>8141</v>
      </c>
      <c r="Y3047" t="s">
        <v>34313</v>
      </c>
      <c r="Z3047" t="s">
        <v>32</v>
      </c>
      <c r="AA3047" t="s">
        <v>34314</v>
      </c>
      <c r="AB3047" t="s">
        <v>34315</v>
      </c>
      <c r="AC3047" t="s">
        <v>34316</v>
      </c>
      <c r="AD3047" t="s">
        <v>32</v>
      </c>
      <c r="AE3047" t="s">
        <v>34317</v>
      </c>
      <c r="AF3047" t="s">
        <v>46835</v>
      </c>
    </row>
    <row r="3048" spans="1:33" x14ac:dyDescent="0.2">
      <c r="A3048">
        <v>3043</v>
      </c>
      <c r="B3048" t="s">
        <v>34318</v>
      </c>
      <c r="C3048" t="s">
        <v>34319</v>
      </c>
      <c r="D3048" t="s">
        <v>34320</v>
      </c>
      <c r="E3048" t="s">
        <v>34321</v>
      </c>
      <c r="F3048" t="s">
        <v>34322</v>
      </c>
      <c r="G3048" t="s">
        <v>34323</v>
      </c>
      <c r="H3048" t="str">
        <f>"Sqor"</f>
        <v>Sqor</v>
      </c>
      <c r="I3048" t="s">
        <v>32</v>
      </c>
      <c r="J3048" t="s">
        <v>37</v>
      </c>
      <c r="K3048">
        <v>10090</v>
      </c>
      <c r="L3048" s="3" t="str">
        <f>HYPERLINK("http://www.uniprot.org/uniprot/Q9R112", "Q9R112")</f>
        <v>Q9R112</v>
      </c>
      <c r="M3048" t="s">
        <v>34324</v>
      </c>
      <c r="N3048" t="str">
        <f>"Sqor"</f>
        <v>Sqor</v>
      </c>
      <c r="O3048" s="3" t="str">
        <f>HYPERLINK("http://www.informatics.jax.org/marker/MGI:1929899", "MGI:1929899")</f>
        <v>MGI:1929899</v>
      </c>
      <c r="P3048" t="s">
        <v>34325</v>
      </c>
      <c r="Q3048" t="s">
        <v>32</v>
      </c>
      <c r="R3048" t="s">
        <v>1038</v>
      </c>
      <c r="S3048" t="s">
        <v>32</v>
      </c>
      <c r="T3048" t="s">
        <v>32</v>
      </c>
      <c r="U3048" t="s">
        <v>32</v>
      </c>
      <c r="V3048" t="s">
        <v>1039</v>
      </c>
      <c r="W3048" t="s">
        <v>4600</v>
      </c>
      <c r="X3048" t="s">
        <v>600</v>
      </c>
      <c r="Y3048" t="s">
        <v>34326</v>
      </c>
      <c r="Z3048" t="s">
        <v>32</v>
      </c>
      <c r="AA3048" t="s">
        <v>34327</v>
      </c>
      <c r="AB3048" t="s">
        <v>34328</v>
      </c>
      <c r="AC3048" t="s">
        <v>34329</v>
      </c>
      <c r="AD3048" t="s">
        <v>32</v>
      </c>
      <c r="AE3048" t="s">
        <v>34330</v>
      </c>
      <c r="AF3048" t="s">
        <v>46835</v>
      </c>
    </row>
    <row r="3049" spans="1:33" x14ac:dyDescent="0.2">
      <c r="A3049">
        <v>3044</v>
      </c>
      <c r="B3049" t="s">
        <v>34331</v>
      </c>
      <c r="C3049" t="s">
        <v>34332</v>
      </c>
      <c r="D3049" t="s">
        <v>34333</v>
      </c>
      <c r="E3049" t="s">
        <v>34334</v>
      </c>
      <c r="F3049" t="s">
        <v>34335</v>
      </c>
      <c r="G3049" t="s">
        <v>34336</v>
      </c>
      <c r="H3049" t="str">
        <f>"Timmdc1"</f>
        <v>Timmdc1</v>
      </c>
      <c r="I3049" t="s">
        <v>32</v>
      </c>
      <c r="J3049" t="s">
        <v>37</v>
      </c>
      <c r="K3049">
        <v>10090</v>
      </c>
      <c r="L3049" s="3" t="str">
        <f>HYPERLINK("http://www.uniprot.org/uniprot/Q8BUY5", "Q8BUY5")</f>
        <v>Q8BUY5</v>
      </c>
      <c r="M3049" t="s">
        <v>34337</v>
      </c>
      <c r="N3049" t="str">
        <f>"Timmdc1"</f>
        <v>Timmdc1</v>
      </c>
      <c r="O3049" s="3" t="str">
        <f>HYPERLINK("http://www.informatics.jax.org/marker/MGI:1922139", "MGI:1922139")</f>
        <v>MGI:1922139</v>
      </c>
      <c r="P3049" t="s">
        <v>34338</v>
      </c>
      <c r="Q3049" t="s">
        <v>32</v>
      </c>
      <c r="R3049" t="s">
        <v>6354</v>
      </c>
      <c r="S3049" t="s">
        <v>32</v>
      </c>
      <c r="T3049" t="s">
        <v>32</v>
      </c>
      <c r="U3049" t="s">
        <v>32</v>
      </c>
      <c r="V3049" t="s">
        <v>493</v>
      </c>
      <c r="W3049" t="s">
        <v>32</v>
      </c>
      <c r="X3049" t="s">
        <v>388</v>
      </c>
      <c r="Y3049" t="s">
        <v>618</v>
      </c>
      <c r="Z3049" t="s">
        <v>32</v>
      </c>
      <c r="AA3049" t="s">
        <v>32</v>
      </c>
      <c r="AB3049" t="s">
        <v>34339</v>
      </c>
      <c r="AC3049" t="s">
        <v>32</v>
      </c>
      <c r="AD3049" t="s">
        <v>32</v>
      </c>
      <c r="AE3049" t="s">
        <v>24653</v>
      </c>
      <c r="AF3049" t="s">
        <v>46835</v>
      </c>
    </row>
    <row r="3050" spans="1:33" x14ac:dyDescent="0.2">
      <c r="A3050">
        <v>3045</v>
      </c>
      <c r="B3050" t="s">
        <v>34340</v>
      </c>
      <c r="C3050" t="s">
        <v>34341</v>
      </c>
      <c r="D3050" t="s">
        <v>34342</v>
      </c>
      <c r="E3050" t="s">
        <v>34343</v>
      </c>
      <c r="F3050" t="s">
        <v>34344</v>
      </c>
      <c r="G3050" t="s">
        <v>34345</v>
      </c>
      <c r="H3050" t="str">
        <f>"Itga3"</f>
        <v>Itga3</v>
      </c>
      <c r="I3050" t="s">
        <v>32</v>
      </c>
      <c r="J3050" t="s">
        <v>37</v>
      </c>
      <c r="K3050">
        <v>10090</v>
      </c>
      <c r="L3050" s="3" t="str">
        <f>HYPERLINK("http://www.uniprot.org/uniprot/Q62470", "Q62470")</f>
        <v>Q62470</v>
      </c>
      <c r="M3050" t="s">
        <v>34346</v>
      </c>
      <c r="N3050" t="str">
        <f>"Itga3"</f>
        <v>Itga3</v>
      </c>
      <c r="O3050" s="3" t="str">
        <f>HYPERLINK("http://www.informatics.jax.org/marker/MGI:96602", "MGI:96602")</f>
        <v>MGI:96602</v>
      </c>
      <c r="P3050" t="s">
        <v>34347</v>
      </c>
      <c r="Q3050" t="s">
        <v>2784</v>
      </c>
      <c r="R3050" t="s">
        <v>22287</v>
      </c>
      <c r="S3050" t="s">
        <v>41</v>
      </c>
      <c r="T3050" t="s">
        <v>32</v>
      </c>
      <c r="U3050" t="s">
        <v>32</v>
      </c>
      <c r="V3050" t="s">
        <v>1665</v>
      </c>
      <c r="W3050" t="s">
        <v>32</v>
      </c>
      <c r="X3050" t="s">
        <v>8879</v>
      </c>
      <c r="Y3050" t="s">
        <v>34348</v>
      </c>
      <c r="Z3050" t="s">
        <v>32</v>
      </c>
      <c r="AA3050" t="s">
        <v>34349</v>
      </c>
      <c r="AB3050" t="s">
        <v>34350</v>
      </c>
      <c r="AC3050" t="s">
        <v>34351</v>
      </c>
      <c r="AD3050" t="s">
        <v>32</v>
      </c>
      <c r="AE3050" t="s">
        <v>34352</v>
      </c>
      <c r="AF3050" t="s">
        <v>46835</v>
      </c>
    </row>
    <row r="3051" spans="1:33" x14ac:dyDescent="0.2">
      <c r="A3051">
        <v>3046</v>
      </c>
      <c r="B3051" t="s">
        <v>34353</v>
      </c>
      <c r="C3051" t="s">
        <v>34354</v>
      </c>
      <c r="D3051" t="s">
        <v>34355</v>
      </c>
      <c r="E3051" t="s">
        <v>34356</v>
      </c>
      <c r="F3051" t="s">
        <v>34357</v>
      </c>
      <c r="G3051" t="s">
        <v>34358</v>
      </c>
      <c r="H3051" t="str">
        <f>"Bnip3l"</f>
        <v>Bnip3l</v>
      </c>
      <c r="I3051" t="s">
        <v>34359</v>
      </c>
      <c r="J3051" t="s">
        <v>37</v>
      </c>
      <c r="K3051">
        <v>10090</v>
      </c>
      <c r="L3051" s="3" t="str">
        <f>HYPERLINK("http://www.uniprot.org/uniprot/Q9Z2F7", "Q9Z2F7")</f>
        <v>Q9Z2F7</v>
      </c>
      <c r="M3051" t="s">
        <v>34360</v>
      </c>
      <c r="N3051" t="str">
        <f>"Bnip3l"</f>
        <v>Bnip3l</v>
      </c>
      <c r="O3051" s="3" t="str">
        <f>HYPERLINK("http://www.informatics.jax.org/marker/MGI:1332659", "MGI:1332659")</f>
        <v>MGI:1332659</v>
      </c>
      <c r="P3051" t="s">
        <v>34361</v>
      </c>
      <c r="Q3051" t="s">
        <v>541</v>
      </c>
      <c r="R3051" t="s">
        <v>34362</v>
      </c>
      <c r="S3051" t="s">
        <v>32</v>
      </c>
      <c r="T3051" t="s">
        <v>32</v>
      </c>
      <c r="U3051" t="s">
        <v>32</v>
      </c>
      <c r="V3051" t="s">
        <v>493</v>
      </c>
      <c r="W3051" t="s">
        <v>32</v>
      </c>
      <c r="X3051" t="s">
        <v>32</v>
      </c>
      <c r="Y3051" t="s">
        <v>618</v>
      </c>
      <c r="Z3051" t="s">
        <v>32</v>
      </c>
      <c r="AA3051" t="s">
        <v>34363</v>
      </c>
      <c r="AB3051" t="s">
        <v>34364</v>
      </c>
      <c r="AC3051" t="s">
        <v>34365</v>
      </c>
      <c r="AD3051" t="s">
        <v>32</v>
      </c>
      <c r="AE3051" t="s">
        <v>31671</v>
      </c>
      <c r="AF3051" t="s">
        <v>46835</v>
      </c>
    </row>
    <row r="3052" spans="1:33" x14ac:dyDescent="0.2">
      <c r="A3052">
        <v>3047</v>
      </c>
      <c r="B3052" t="s">
        <v>34366</v>
      </c>
      <c r="C3052" t="s">
        <v>34367</v>
      </c>
      <c r="D3052" t="s">
        <v>34368</v>
      </c>
      <c r="E3052" t="s">
        <v>34369</v>
      </c>
      <c r="F3052" t="s">
        <v>34370</v>
      </c>
      <c r="G3052" t="s">
        <v>34371</v>
      </c>
      <c r="H3052" t="str">
        <f>"Mpdz"</f>
        <v>Mpdz</v>
      </c>
      <c r="I3052" t="s">
        <v>34372</v>
      </c>
      <c r="J3052" t="s">
        <v>37</v>
      </c>
      <c r="K3052">
        <v>10090</v>
      </c>
      <c r="L3052" s="3" t="str">
        <f>HYPERLINK("http://www.uniprot.org/uniprot/Q8VBX6", "Q8VBX6")</f>
        <v>Q8VBX6</v>
      </c>
      <c r="M3052" t="s">
        <v>34373</v>
      </c>
      <c r="N3052" t="str">
        <f>"Mpdz"</f>
        <v>Mpdz</v>
      </c>
      <c r="O3052" s="3" t="str">
        <f>HYPERLINK("http://www.informatics.jax.org/marker/MGI:1343489", "MGI:1343489")</f>
        <v>MGI:1343489</v>
      </c>
      <c r="P3052" t="s">
        <v>34374</v>
      </c>
      <c r="Q3052" t="s">
        <v>32</v>
      </c>
      <c r="R3052" t="s">
        <v>34375</v>
      </c>
      <c r="S3052" t="s">
        <v>41</v>
      </c>
      <c r="T3052" t="s">
        <v>32</v>
      </c>
      <c r="U3052" t="s">
        <v>32</v>
      </c>
      <c r="V3052" t="s">
        <v>55</v>
      </c>
      <c r="W3052" t="s">
        <v>32</v>
      </c>
      <c r="X3052" t="s">
        <v>32</v>
      </c>
      <c r="Y3052" t="s">
        <v>2734</v>
      </c>
      <c r="Z3052" t="s">
        <v>126</v>
      </c>
      <c r="AA3052" t="s">
        <v>34376</v>
      </c>
      <c r="AB3052" t="s">
        <v>34377</v>
      </c>
      <c r="AC3052" t="s">
        <v>9944</v>
      </c>
      <c r="AD3052" t="s">
        <v>32</v>
      </c>
      <c r="AE3052" t="s">
        <v>32</v>
      </c>
      <c r="AF3052" t="s">
        <v>46835</v>
      </c>
    </row>
    <row r="3053" spans="1:33" x14ac:dyDescent="0.2">
      <c r="A3053">
        <v>3048</v>
      </c>
      <c r="B3053" t="s">
        <v>34378</v>
      </c>
      <c r="C3053" t="s">
        <v>34379</v>
      </c>
      <c r="D3053" t="s">
        <v>34380</v>
      </c>
      <c r="E3053" t="s">
        <v>34381</v>
      </c>
      <c r="F3053" t="s">
        <v>34382</v>
      </c>
      <c r="G3053" t="s">
        <v>34383</v>
      </c>
      <c r="H3053" t="str">
        <f>"Pir"</f>
        <v>Pir</v>
      </c>
      <c r="I3053" t="s">
        <v>32</v>
      </c>
      <c r="J3053" t="s">
        <v>37</v>
      </c>
      <c r="K3053">
        <v>10090</v>
      </c>
      <c r="L3053" s="3" t="str">
        <f>HYPERLINK("http://www.uniprot.org/uniprot/Q9D711", "Q9D711")</f>
        <v>Q9D711</v>
      </c>
      <c r="M3053" t="s">
        <v>34384</v>
      </c>
      <c r="N3053" t="str">
        <f>"Pir"</f>
        <v>Pir</v>
      </c>
      <c r="O3053" s="3" t="str">
        <f>HYPERLINK("http://www.informatics.jax.org/marker/MGI:1916906", "MGI:1916906")</f>
        <v>MGI:1916906</v>
      </c>
      <c r="P3053" t="s">
        <v>34385</v>
      </c>
      <c r="Q3053" t="s">
        <v>4152</v>
      </c>
      <c r="R3053" t="s">
        <v>40</v>
      </c>
      <c r="S3053" t="s">
        <v>32</v>
      </c>
      <c r="T3053" t="s">
        <v>32</v>
      </c>
      <c r="U3053" t="s">
        <v>32</v>
      </c>
      <c r="V3053" t="s">
        <v>32</v>
      </c>
      <c r="W3053" t="s">
        <v>845</v>
      </c>
      <c r="X3053" t="s">
        <v>3732</v>
      </c>
      <c r="Y3053" t="s">
        <v>32</v>
      </c>
      <c r="Z3053" t="s">
        <v>32</v>
      </c>
      <c r="AA3053" t="s">
        <v>34386</v>
      </c>
      <c r="AB3053" t="s">
        <v>4218</v>
      </c>
      <c r="AC3053" t="s">
        <v>34387</v>
      </c>
      <c r="AD3053" t="s">
        <v>34388</v>
      </c>
      <c r="AE3053" t="s">
        <v>34389</v>
      </c>
      <c r="AF3053" t="s">
        <v>46835</v>
      </c>
    </row>
    <row r="3054" spans="1:33" x14ac:dyDescent="0.2">
      <c r="A3054">
        <v>3049</v>
      </c>
      <c r="B3054" t="s">
        <v>34390</v>
      </c>
      <c r="C3054" t="s">
        <v>34391</v>
      </c>
      <c r="D3054" t="s">
        <v>34392</v>
      </c>
      <c r="E3054" t="s">
        <v>34393</v>
      </c>
      <c r="F3054" t="s">
        <v>34394</v>
      </c>
      <c r="G3054" t="s">
        <v>34395</v>
      </c>
      <c r="H3054" t="str">
        <f>"Pard3"</f>
        <v>Pard3</v>
      </c>
      <c r="I3054" t="s">
        <v>34396</v>
      </c>
      <c r="J3054" t="s">
        <v>37</v>
      </c>
      <c r="K3054">
        <v>10090</v>
      </c>
      <c r="L3054" s="3" t="str">
        <f>HYPERLINK("http://www.uniprot.org/uniprot/Q99NH2", "Q99NH2")</f>
        <v>Q99NH2</v>
      </c>
      <c r="M3054" t="s">
        <v>34397</v>
      </c>
      <c r="N3054" t="str">
        <f>"Pard3"</f>
        <v>Pard3</v>
      </c>
      <c r="O3054" s="3" t="str">
        <f>HYPERLINK("http://www.informatics.jax.org/marker/MGI:2135608", "MGI:2135608")</f>
        <v>MGI:2135608</v>
      </c>
      <c r="P3054" t="s">
        <v>34398</v>
      </c>
      <c r="Q3054" t="s">
        <v>34399</v>
      </c>
      <c r="R3054" t="s">
        <v>8224</v>
      </c>
      <c r="S3054" t="s">
        <v>41</v>
      </c>
      <c r="T3054" t="s">
        <v>32</v>
      </c>
      <c r="U3054" t="s">
        <v>32</v>
      </c>
      <c r="V3054" t="s">
        <v>137</v>
      </c>
      <c r="W3054" t="s">
        <v>584</v>
      </c>
      <c r="X3054" t="s">
        <v>32</v>
      </c>
      <c r="Y3054" t="s">
        <v>157</v>
      </c>
      <c r="Z3054" t="s">
        <v>126</v>
      </c>
      <c r="AA3054" t="s">
        <v>34400</v>
      </c>
      <c r="AB3054" t="s">
        <v>34401</v>
      </c>
      <c r="AC3054" t="s">
        <v>34402</v>
      </c>
      <c r="AD3054" t="s">
        <v>32</v>
      </c>
      <c r="AE3054" t="s">
        <v>34403</v>
      </c>
      <c r="AF3054" t="s">
        <v>46835</v>
      </c>
    </row>
    <row r="3055" spans="1:33" x14ac:dyDescent="0.2">
      <c r="A3055">
        <v>3050</v>
      </c>
      <c r="B3055" t="s">
        <v>34404</v>
      </c>
      <c r="C3055" t="s">
        <v>34405</v>
      </c>
      <c r="D3055" t="s">
        <v>34406</v>
      </c>
      <c r="E3055" t="s">
        <v>34407</v>
      </c>
      <c r="F3055" t="s">
        <v>34408</v>
      </c>
      <c r="G3055" t="s">
        <v>34409</v>
      </c>
      <c r="H3055" t="str">
        <f>"Cert1"</f>
        <v>Cert1</v>
      </c>
      <c r="I3055" t="s">
        <v>34410</v>
      </c>
      <c r="J3055" t="s">
        <v>37</v>
      </c>
      <c r="K3055">
        <v>10090</v>
      </c>
      <c r="L3055" s="3" t="str">
        <f>HYPERLINK("http://www.uniprot.org/uniprot/Q9EQG9", "Q9EQG9")</f>
        <v>Q9EQG9</v>
      </c>
      <c r="M3055" t="s">
        <v>34411</v>
      </c>
      <c r="N3055" t="str">
        <f>"Cert1"</f>
        <v>Cert1</v>
      </c>
      <c r="O3055" s="3" t="str">
        <f>HYPERLINK("http://www.informatics.jax.org/marker/MGI:1915268", "MGI:1915268")</f>
        <v>MGI:1915268</v>
      </c>
      <c r="P3055" t="s">
        <v>34412</v>
      </c>
      <c r="Q3055" t="s">
        <v>582</v>
      </c>
      <c r="R3055" t="s">
        <v>33596</v>
      </c>
      <c r="S3055" t="s">
        <v>41</v>
      </c>
      <c r="T3055" t="s">
        <v>32</v>
      </c>
      <c r="U3055" t="s">
        <v>32</v>
      </c>
      <c r="V3055" t="s">
        <v>290</v>
      </c>
      <c r="W3055" t="s">
        <v>584</v>
      </c>
      <c r="X3055" t="s">
        <v>32</v>
      </c>
      <c r="Y3055" t="s">
        <v>618</v>
      </c>
      <c r="Z3055" t="s">
        <v>32</v>
      </c>
      <c r="AA3055" t="s">
        <v>34413</v>
      </c>
      <c r="AB3055" t="s">
        <v>34414</v>
      </c>
      <c r="AC3055" t="s">
        <v>34415</v>
      </c>
      <c r="AD3055" t="s">
        <v>32</v>
      </c>
      <c r="AE3055" t="s">
        <v>32</v>
      </c>
      <c r="AF3055" t="s">
        <v>46835</v>
      </c>
    </row>
    <row r="3056" spans="1:33" x14ac:dyDescent="0.2">
      <c r="A3056">
        <v>3051</v>
      </c>
      <c r="B3056" t="s">
        <v>34416</v>
      </c>
      <c r="C3056" t="s">
        <v>47197</v>
      </c>
      <c r="D3056" t="s">
        <v>32</v>
      </c>
      <c r="E3056" t="s">
        <v>47006</v>
      </c>
      <c r="F3056" t="s">
        <v>47005</v>
      </c>
      <c r="G3056" t="s">
        <v>32</v>
      </c>
      <c r="H3056" t="s">
        <v>47328</v>
      </c>
      <c r="I3056" t="s">
        <v>32</v>
      </c>
      <c r="J3056" t="s">
        <v>37</v>
      </c>
      <c r="K3056">
        <v>10090</v>
      </c>
      <c r="L3056" s="3" t="str">
        <f>HYPERLINK(CONCATENATE("https://www.uniprot.org/uniprotkb/", AG3056, "/entry"), AG3056)</f>
        <v>E9PZM7</v>
      </c>
      <c r="M3056" t="s">
        <v>32</v>
      </c>
      <c r="N3056" t="s">
        <v>32</v>
      </c>
      <c r="O3056" s="3" t="s">
        <v>32</v>
      </c>
      <c r="P3056" t="s">
        <v>32</v>
      </c>
      <c r="Q3056" t="s">
        <v>32</v>
      </c>
      <c r="R3056" t="s">
        <v>32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32</v>
      </c>
      <c r="Y3056" t="s">
        <v>32</v>
      </c>
      <c r="Z3056" t="s">
        <v>32</v>
      </c>
      <c r="AA3056" t="s">
        <v>32</v>
      </c>
      <c r="AB3056" t="s">
        <v>32</v>
      </c>
      <c r="AC3056" t="s">
        <v>32</v>
      </c>
      <c r="AD3056" t="s">
        <v>32</v>
      </c>
      <c r="AE3056" t="s">
        <v>32</v>
      </c>
      <c r="AF3056" t="s">
        <v>46835</v>
      </c>
      <c r="AG3056" t="s">
        <v>47005</v>
      </c>
    </row>
    <row r="3057" spans="1:32" x14ac:dyDescent="0.2">
      <c r="A3057">
        <v>3052</v>
      </c>
      <c r="B3057" t="s">
        <v>34417</v>
      </c>
      <c r="C3057" t="s">
        <v>34418</v>
      </c>
      <c r="D3057" t="s">
        <v>32</v>
      </c>
      <c r="E3057" t="s">
        <v>34419</v>
      </c>
      <c r="F3057" t="s">
        <v>34420</v>
      </c>
      <c r="G3057" t="s">
        <v>34421</v>
      </c>
      <c r="H3057" t="str">
        <f>"Cdc123"</f>
        <v>Cdc123</v>
      </c>
      <c r="I3057" t="s">
        <v>32</v>
      </c>
      <c r="J3057" t="s">
        <v>37</v>
      </c>
      <c r="K3057">
        <v>10090</v>
      </c>
      <c r="L3057" s="3" t="str">
        <f>HYPERLINK("http://www.uniprot.org/uniprot/Q8CII2", "Q8CII2")</f>
        <v>Q8CII2</v>
      </c>
      <c r="M3057" t="s">
        <v>34422</v>
      </c>
      <c r="N3057" t="str">
        <f>"Cdc123"</f>
        <v>Cdc123</v>
      </c>
      <c r="O3057" s="3" t="str">
        <f>HYPERLINK("http://www.informatics.jax.org/marker/MGI:2138811", "MGI:2138811")</f>
        <v>MGI:2138811</v>
      </c>
      <c r="P3057" t="s">
        <v>34423</v>
      </c>
      <c r="Q3057" t="s">
        <v>11508</v>
      </c>
      <c r="R3057" t="s">
        <v>418</v>
      </c>
      <c r="S3057" t="s">
        <v>41</v>
      </c>
      <c r="T3057" t="s">
        <v>32</v>
      </c>
      <c r="U3057" t="s">
        <v>32</v>
      </c>
      <c r="V3057" t="s">
        <v>32</v>
      </c>
      <c r="W3057" t="s">
        <v>32</v>
      </c>
      <c r="X3057" t="s">
        <v>32</v>
      </c>
      <c r="Y3057" t="s">
        <v>618</v>
      </c>
      <c r="Z3057" t="s">
        <v>32</v>
      </c>
      <c r="AA3057" t="s">
        <v>34424</v>
      </c>
      <c r="AB3057" t="s">
        <v>2172</v>
      </c>
      <c r="AC3057" t="s">
        <v>32</v>
      </c>
      <c r="AD3057" t="s">
        <v>32</v>
      </c>
      <c r="AE3057" t="s">
        <v>32</v>
      </c>
      <c r="AF3057" t="s">
        <v>46835</v>
      </c>
    </row>
    <row r="3058" spans="1:32" x14ac:dyDescent="0.2">
      <c r="A3058">
        <v>3053</v>
      </c>
      <c r="B3058" t="s">
        <v>34425</v>
      </c>
      <c r="C3058" t="s">
        <v>34426</v>
      </c>
      <c r="D3058" t="s">
        <v>34427</v>
      </c>
      <c r="E3058" t="s">
        <v>34428</v>
      </c>
      <c r="F3058" t="s">
        <v>34429</v>
      </c>
      <c r="G3058" t="s">
        <v>34430</v>
      </c>
      <c r="H3058" t="str">
        <f>"Rabggtb"</f>
        <v>Rabggtb</v>
      </c>
      <c r="I3058" t="s">
        <v>32</v>
      </c>
      <c r="J3058" t="s">
        <v>37</v>
      </c>
      <c r="K3058">
        <v>10090</v>
      </c>
      <c r="L3058" s="3" t="str">
        <f>HYPERLINK("http://www.uniprot.org/uniprot/P53612", "P53612")</f>
        <v>P53612</v>
      </c>
      <c r="M3058" t="s">
        <v>34431</v>
      </c>
      <c r="N3058" t="str">
        <f>"Rabggtb"</f>
        <v>Rabggtb</v>
      </c>
      <c r="O3058" s="3" t="str">
        <f>HYPERLINK("http://www.informatics.jax.org/marker/MGI:99537", "MGI:99537")</f>
        <v>MGI:99537</v>
      </c>
      <c r="P3058" t="s">
        <v>34432</v>
      </c>
      <c r="Q3058" t="s">
        <v>32</v>
      </c>
      <c r="R3058" t="s">
        <v>32</v>
      </c>
      <c r="S3058" t="s">
        <v>32</v>
      </c>
      <c r="T3058" t="s">
        <v>32</v>
      </c>
      <c r="U3058" t="s">
        <v>32</v>
      </c>
      <c r="V3058" t="s">
        <v>55</v>
      </c>
      <c r="W3058" t="s">
        <v>42</v>
      </c>
      <c r="X3058" t="s">
        <v>16432</v>
      </c>
      <c r="Y3058" t="s">
        <v>618</v>
      </c>
      <c r="Z3058" t="s">
        <v>126</v>
      </c>
      <c r="AA3058" t="s">
        <v>34433</v>
      </c>
      <c r="AB3058" t="s">
        <v>34434</v>
      </c>
      <c r="AC3058" t="s">
        <v>34435</v>
      </c>
      <c r="AD3058" t="s">
        <v>32</v>
      </c>
      <c r="AE3058" t="s">
        <v>24036</v>
      </c>
      <c r="AF3058" t="s">
        <v>46835</v>
      </c>
    </row>
    <row r="3059" spans="1:32" x14ac:dyDescent="0.2">
      <c r="A3059">
        <v>3054</v>
      </c>
      <c r="B3059" t="s">
        <v>34436</v>
      </c>
      <c r="C3059" t="s">
        <v>34437</v>
      </c>
      <c r="D3059" t="s">
        <v>34438</v>
      </c>
      <c r="E3059" t="s">
        <v>34439</v>
      </c>
      <c r="F3059" t="s">
        <v>34440</v>
      </c>
      <c r="G3059" t="s">
        <v>34441</v>
      </c>
      <c r="H3059" t="str">
        <f>"Anapc7"</f>
        <v>Anapc7</v>
      </c>
      <c r="I3059" t="s">
        <v>34442</v>
      </c>
      <c r="J3059" t="s">
        <v>37</v>
      </c>
      <c r="K3059">
        <v>10090</v>
      </c>
      <c r="L3059" s="3" t="str">
        <f>HYPERLINK("http://www.uniprot.org/uniprot/Q9WVM3", "Q9WVM3")</f>
        <v>Q9WVM3</v>
      </c>
      <c r="M3059" t="s">
        <v>34443</v>
      </c>
      <c r="N3059" t="str">
        <f>"Anapc7"</f>
        <v>Anapc7</v>
      </c>
      <c r="O3059" s="3" t="str">
        <f>HYPERLINK("http://www.informatics.jax.org/marker/MGI:1929711", "MGI:1929711")</f>
        <v>MGI:1929711</v>
      </c>
      <c r="P3059" t="s">
        <v>34444</v>
      </c>
      <c r="Q3059" t="s">
        <v>19695</v>
      </c>
      <c r="R3059" t="s">
        <v>324</v>
      </c>
      <c r="S3059" t="s">
        <v>32</v>
      </c>
      <c r="T3059" t="s">
        <v>32</v>
      </c>
      <c r="U3059" t="s">
        <v>32</v>
      </c>
      <c r="V3059" t="s">
        <v>995</v>
      </c>
      <c r="W3059" t="s">
        <v>32</v>
      </c>
      <c r="X3059" t="s">
        <v>32</v>
      </c>
      <c r="Y3059" t="s">
        <v>78</v>
      </c>
      <c r="Z3059" t="s">
        <v>32</v>
      </c>
      <c r="AA3059" t="s">
        <v>26869</v>
      </c>
      <c r="AB3059" t="s">
        <v>34445</v>
      </c>
      <c r="AC3059" t="s">
        <v>28406</v>
      </c>
      <c r="AD3059" t="s">
        <v>1027</v>
      </c>
      <c r="AE3059" t="s">
        <v>19698</v>
      </c>
      <c r="AF3059" t="s">
        <v>46835</v>
      </c>
    </row>
    <row r="3060" spans="1:32" x14ac:dyDescent="0.2">
      <c r="A3060">
        <v>3055</v>
      </c>
      <c r="B3060" t="s">
        <v>34446</v>
      </c>
      <c r="C3060" t="s">
        <v>34447</v>
      </c>
      <c r="D3060" t="s">
        <v>32</v>
      </c>
      <c r="E3060" t="s">
        <v>34448</v>
      </c>
      <c r="F3060" t="s">
        <v>34449</v>
      </c>
      <c r="G3060" t="s">
        <v>34450</v>
      </c>
      <c r="H3060" t="str">
        <f>"Evi5"</f>
        <v>Evi5</v>
      </c>
      <c r="I3060" t="s">
        <v>32</v>
      </c>
      <c r="J3060" t="s">
        <v>37</v>
      </c>
      <c r="K3060">
        <v>10090</v>
      </c>
      <c r="L3060" s="3" t="str">
        <f>HYPERLINK("http://www.uniprot.org/uniprot/P97366", "P97366")</f>
        <v>P97366</v>
      </c>
      <c r="M3060" t="s">
        <v>34451</v>
      </c>
      <c r="N3060" t="str">
        <f>"Evi5"</f>
        <v>Evi5</v>
      </c>
      <c r="O3060" s="3" t="str">
        <f>HYPERLINK("http://www.informatics.jax.org/marker/MGI:104736", "MGI:104736")</f>
        <v>MGI:104736</v>
      </c>
      <c r="P3060" t="s">
        <v>34452</v>
      </c>
      <c r="Q3060" t="s">
        <v>11508</v>
      </c>
      <c r="R3060" t="s">
        <v>324</v>
      </c>
      <c r="S3060" t="s">
        <v>32</v>
      </c>
      <c r="T3060" t="s">
        <v>32</v>
      </c>
      <c r="U3060" t="s">
        <v>32</v>
      </c>
      <c r="V3060" t="s">
        <v>290</v>
      </c>
      <c r="W3060" t="s">
        <v>32</v>
      </c>
      <c r="X3060" t="s">
        <v>32</v>
      </c>
      <c r="Y3060" t="s">
        <v>2836</v>
      </c>
      <c r="Z3060" t="s">
        <v>32</v>
      </c>
      <c r="AA3060" t="s">
        <v>34453</v>
      </c>
      <c r="AB3060" t="s">
        <v>34454</v>
      </c>
      <c r="AC3060" t="s">
        <v>27623</v>
      </c>
      <c r="AD3060" t="s">
        <v>32</v>
      </c>
      <c r="AE3060" t="s">
        <v>32</v>
      </c>
      <c r="AF3060" t="s">
        <v>46835</v>
      </c>
    </row>
    <row r="3061" spans="1:32" x14ac:dyDescent="0.2">
      <c r="A3061">
        <v>3056</v>
      </c>
      <c r="B3061" t="s">
        <v>34455</v>
      </c>
      <c r="C3061" t="s">
        <v>34456</v>
      </c>
      <c r="D3061" t="s">
        <v>34457</v>
      </c>
      <c r="E3061" t="s">
        <v>34458</v>
      </c>
      <c r="F3061" t="s">
        <v>34459</v>
      </c>
      <c r="G3061" t="s">
        <v>32</v>
      </c>
      <c r="H3061" t="str">
        <f>"Taf7"</f>
        <v>Taf7</v>
      </c>
      <c r="I3061" t="s">
        <v>34460</v>
      </c>
      <c r="J3061" t="s">
        <v>37</v>
      </c>
      <c r="K3061">
        <v>10090</v>
      </c>
      <c r="L3061" s="3" t="str">
        <f>HYPERLINK("http://www.uniprot.org/uniprot/Q9R1C0", "Q9R1C0")</f>
        <v>Q9R1C0</v>
      </c>
      <c r="M3061" t="s">
        <v>34461</v>
      </c>
      <c r="N3061" t="str">
        <f>"Taf7"</f>
        <v>Taf7</v>
      </c>
      <c r="O3061" s="3" t="str">
        <f>HYPERLINK("http://www.informatics.jax.org/marker/MGI:1346348", "MGI:1346348")</f>
        <v>MGI:1346348</v>
      </c>
      <c r="P3061" t="s">
        <v>24068</v>
      </c>
      <c r="Q3061" t="s">
        <v>4152</v>
      </c>
      <c r="R3061" t="s">
        <v>2279</v>
      </c>
      <c r="S3061" t="s">
        <v>32</v>
      </c>
      <c r="T3061" t="s">
        <v>32</v>
      </c>
      <c r="U3061" t="s">
        <v>32</v>
      </c>
      <c r="V3061" t="s">
        <v>290</v>
      </c>
      <c r="W3061" t="s">
        <v>32</v>
      </c>
      <c r="X3061" t="s">
        <v>32</v>
      </c>
      <c r="Y3061" t="s">
        <v>618</v>
      </c>
      <c r="Z3061" t="s">
        <v>32</v>
      </c>
      <c r="AA3061" t="s">
        <v>34462</v>
      </c>
      <c r="AB3061" t="s">
        <v>34463</v>
      </c>
      <c r="AC3061" t="s">
        <v>34464</v>
      </c>
      <c r="AD3061" t="s">
        <v>32</v>
      </c>
      <c r="AE3061" t="s">
        <v>34465</v>
      </c>
      <c r="AF3061" t="s">
        <v>46835</v>
      </c>
    </row>
    <row r="3062" spans="1:32" x14ac:dyDescent="0.2">
      <c r="A3062">
        <v>3057</v>
      </c>
      <c r="B3062" t="s">
        <v>34466</v>
      </c>
      <c r="C3062" t="s">
        <v>34467</v>
      </c>
      <c r="D3062" t="s">
        <v>34468</v>
      </c>
      <c r="E3062" t="s">
        <v>34469</v>
      </c>
      <c r="F3062" t="s">
        <v>34470</v>
      </c>
      <c r="G3062" t="s">
        <v>34471</v>
      </c>
      <c r="H3062" t="str">
        <f>"Tab1"</f>
        <v>Tab1</v>
      </c>
      <c r="I3062" t="s">
        <v>34472</v>
      </c>
      <c r="J3062" t="s">
        <v>37</v>
      </c>
      <c r="K3062">
        <v>10090</v>
      </c>
      <c r="L3062" s="3" t="str">
        <f>HYPERLINK("http://www.uniprot.org/uniprot/Q8CF89", "Q8CF89")</f>
        <v>Q8CF89</v>
      </c>
      <c r="M3062" t="s">
        <v>34473</v>
      </c>
      <c r="N3062" t="str">
        <f>"Tab1"</f>
        <v>Tab1</v>
      </c>
      <c r="O3062" s="3" t="str">
        <f>HYPERLINK("http://www.informatics.jax.org/marker/MGI:1913763", "MGI:1913763")</f>
        <v>MGI:1913763</v>
      </c>
      <c r="P3062" t="s">
        <v>34474</v>
      </c>
      <c r="Q3062" t="s">
        <v>32</v>
      </c>
      <c r="R3062" t="s">
        <v>32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32</v>
      </c>
      <c r="Y3062" t="s">
        <v>2836</v>
      </c>
      <c r="Z3062" t="s">
        <v>126</v>
      </c>
      <c r="AA3062" t="s">
        <v>34475</v>
      </c>
      <c r="AB3062" t="s">
        <v>34476</v>
      </c>
      <c r="AC3062" t="s">
        <v>34477</v>
      </c>
      <c r="AD3062" t="s">
        <v>32</v>
      </c>
      <c r="AE3062" t="s">
        <v>34478</v>
      </c>
      <c r="AF3062" t="s">
        <v>46835</v>
      </c>
    </row>
    <row r="3063" spans="1:32" x14ac:dyDescent="0.2">
      <c r="A3063">
        <v>3058</v>
      </c>
      <c r="B3063" t="s">
        <v>34479</v>
      </c>
      <c r="C3063" t="s">
        <v>34480</v>
      </c>
      <c r="D3063" t="s">
        <v>32</v>
      </c>
      <c r="E3063" t="s">
        <v>34481</v>
      </c>
      <c r="F3063" t="s">
        <v>34482</v>
      </c>
      <c r="G3063" t="s">
        <v>32</v>
      </c>
      <c r="H3063" t="str">
        <f>"Vps33b"</f>
        <v>Vps33b</v>
      </c>
      <c r="I3063" t="s">
        <v>32</v>
      </c>
      <c r="J3063" t="s">
        <v>37</v>
      </c>
      <c r="K3063">
        <v>10090</v>
      </c>
      <c r="L3063" s="3" t="str">
        <f>HYPERLINK("http://www.uniprot.org/uniprot/P59016", "P59016")</f>
        <v>P59016</v>
      </c>
      <c r="M3063" t="s">
        <v>34483</v>
      </c>
      <c r="N3063" t="str">
        <f>"Vps33b"</f>
        <v>Vps33b</v>
      </c>
      <c r="O3063" s="3" t="str">
        <f>HYPERLINK("http://www.informatics.jax.org/marker/MGI:2446237", "MGI:2446237")</f>
        <v>MGI:2446237</v>
      </c>
      <c r="P3063" t="s">
        <v>34484</v>
      </c>
      <c r="Q3063" t="s">
        <v>434</v>
      </c>
      <c r="R3063" t="s">
        <v>33305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32</v>
      </c>
      <c r="Y3063" t="s">
        <v>157</v>
      </c>
      <c r="Z3063" t="s">
        <v>32</v>
      </c>
      <c r="AA3063" t="s">
        <v>34485</v>
      </c>
      <c r="AB3063" t="s">
        <v>34486</v>
      </c>
      <c r="AC3063" t="s">
        <v>9779</v>
      </c>
      <c r="AD3063" t="s">
        <v>32</v>
      </c>
      <c r="AE3063" t="s">
        <v>32</v>
      </c>
      <c r="AF3063" t="s">
        <v>46835</v>
      </c>
    </row>
    <row r="3064" spans="1:32" x14ac:dyDescent="0.2">
      <c r="A3064">
        <v>3059</v>
      </c>
      <c r="B3064" t="s">
        <v>34487</v>
      </c>
      <c r="C3064" t="s">
        <v>34488</v>
      </c>
      <c r="D3064" t="s">
        <v>32</v>
      </c>
      <c r="E3064" t="s">
        <v>34489</v>
      </c>
      <c r="F3064" t="s">
        <v>34490</v>
      </c>
      <c r="G3064" t="s">
        <v>32</v>
      </c>
      <c r="H3064" t="str">
        <f>"Mllt11"</f>
        <v>Mllt11</v>
      </c>
      <c r="I3064" t="s">
        <v>34491</v>
      </c>
      <c r="J3064" t="s">
        <v>37</v>
      </c>
      <c r="K3064">
        <v>10090</v>
      </c>
      <c r="L3064" s="3" t="str">
        <f>HYPERLINK("http://www.uniprot.org/uniprot/P97783", "P97783")</f>
        <v>P97783</v>
      </c>
      <c r="M3064" t="s">
        <v>34492</v>
      </c>
      <c r="N3064" t="str">
        <f>"Mllt11"</f>
        <v>Mllt11</v>
      </c>
      <c r="O3064" s="3" t="str">
        <f>HYPERLINK("http://www.informatics.jax.org/marker/MGI:1929671", "MGI:1929671")</f>
        <v>MGI:1929671</v>
      </c>
      <c r="P3064" t="s">
        <v>34493</v>
      </c>
      <c r="Q3064" t="s">
        <v>32</v>
      </c>
      <c r="R3064" t="s">
        <v>324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32</v>
      </c>
      <c r="Y3064" t="s">
        <v>2836</v>
      </c>
      <c r="Z3064" t="s">
        <v>32</v>
      </c>
      <c r="AA3064" t="s">
        <v>34494</v>
      </c>
      <c r="AB3064" t="s">
        <v>34495</v>
      </c>
      <c r="AC3064" t="s">
        <v>32</v>
      </c>
      <c r="AD3064" t="s">
        <v>32</v>
      </c>
      <c r="AE3064" t="s">
        <v>32</v>
      </c>
      <c r="AF3064" t="s">
        <v>46835</v>
      </c>
    </row>
    <row r="3065" spans="1:32" x14ac:dyDescent="0.2">
      <c r="A3065">
        <v>3060</v>
      </c>
      <c r="B3065" t="s">
        <v>34496</v>
      </c>
      <c r="C3065" t="s">
        <v>34497</v>
      </c>
      <c r="D3065" t="s">
        <v>34498</v>
      </c>
      <c r="E3065" t="s">
        <v>34499</v>
      </c>
      <c r="F3065" t="s">
        <v>34500</v>
      </c>
      <c r="G3065" t="s">
        <v>32</v>
      </c>
      <c r="H3065" t="str">
        <f>"Apoh"</f>
        <v>Apoh</v>
      </c>
      <c r="I3065" t="s">
        <v>34501</v>
      </c>
      <c r="J3065" t="s">
        <v>37</v>
      </c>
      <c r="K3065">
        <v>10090</v>
      </c>
      <c r="L3065" s="3" t="str">
        <f>HYPERLINK("http://www.uniprot.org/uniprot/Q01339", "Q01339")</f>
        <v>Q01339</v>
      </c>
      <c r="M3065" t="s">
        <v>34502</v>
      </c>
      <c r="N3065" t="str">
        <f>"Apoh"</f>
        <v>Apoh</v>
      </c>
      <c r="O3065" s="3" t="str">
        <f>HYPERLINK("http://www.informatics.jax.org/marker/MGI:88058", "MGI:88058")</f>
        <v>MGI:88058</v>
      </c>
      <c r="P3065" t="s">
        <v>34503</v>
      </c>
      <c r="Q3065" t="s">
        <v>32</v>
      </c>
      <c r="R3065" t="s">
        <v>630</v>
      </c>
      <c r="S3065" t="s">
        <v>32</v>
      </c>
      <c r="T3065" t="s">
        <v>32</v>
      </c>
      <c r="U3065" t="s">
        <v>32</v>
      </c>
      <c r="V3065" t="s">
        <v>34504</v>
      </c>
      <c r="W3065" t="s">
        <v>32</v>
      </c>
      <c r="X3065" t="s">
        <v>5246</v>
      </c>
      <c r="Y3065" t="s">
        <v>5275</v>
      </c>
      <c r="Z3065" t="s">
        <v>32</v>
      </c>
      <c r="AA3065" t="s">
        <v>34505</v>
      </c>
      <c r="AB3065" t="s">
        <v>34506</v>
      </c>
      <c r="AC3065" t="s">
        <v>34507</v>
      </c>
      <c r="AD3065" t="s">
        <v>32</v>
      </c>
      <c r="AE3065" t="s">
        <v>2235</v>
      </c>
      <c r="AF3065" t="s">
        <v>46835</v>
      </c>
    </row>
    <row r="3066" spans="1:32" x14ac:dyDescent="0.2">
      <c r="A3066">
        <v>3061</v>
      </c>
      <c r="B3066" t="s">
        <v>34508</v>
      </c>
      <c r="C3066" t="s">
        <v>34509</v>
      </c>
      <c r="D3066" t="s">
        <v>32</v>
      </c>
      <c r="E3066" t="s">
        <v>34510</v>
      </c>
      <c r="F3066" t="s">
        <v>34511</v>
      </c>
      <c r="G3066" t="s">
        <v>34512</v>
      </c>
      <c r="H3066" t="str">
        <f>"Commd2"</f>
        <v>Commd2</v>
      </c>
      <c r="I3066" t="s">
        <v>32</v>
      </c>
      <c r="J3066" t="s">
        <v>37</v>
      </c>
      <c r="K3066">
        <v>10090</v>
      </c>
      <c r="L3066" s="3" t="str">
        <f>HYPERLINK("http://www.uniprot.org/uniprot/Q8BXC6", "Q8BXC6")</f>
        <v>Q8BXC6</v>
      </c>
      <c r="M3066" t="s">
        <v>34513</v>
      </c>
      <c r="N3066" t="str">
        <f>"Commd2"</f>
        <v>Commd2</v>
      </c>
      <c r="O3066" s="3" t="str">
        <f>HYPERLINK("http://www.informatics.jax.org/marker/MGI:1098806", "MGI:1098806")</f>
        <v>MGI:1098806</v>
      </c>
      <c r="P3066" t="s">
        <v>34514</v>
      </c>
      <c r="Q3066" t="s">
        <v>2278</v>
      </c>
      <c r="R3066" t="s">
        <v>418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32</v>
      </c>
      <c r="Y3066" t="s">
        <v>32</v>
      </c>
      <c r="Z3066" t="s">
        <v>32</v>
      </c>
      <c r="AA3066" t="s">
        <v>32</v>
      </c>
      <c r="AB3066" t="s">
        <v>2172</v>
      </c>
      <c r="AC3066" t="s">
        <v>32</v>
      </c>
      <c r="AD3066" t="s">
        <v>32</v>
      </c>
      <c r="AE3066" t="s">
        <v>14635</v>
      </c>
      <c r="AF3066" t="s">
        <v>46835</v>
      </c>
    </row>
    <row r="3067" spans="1:32" x14ac:dyDescent="0.2">
      <c r="A3067">
        <v>3062</v>
      </c>
      <c r="B3067" t="s">
        <v>34515</v>
      </c>
      <c r="C3067" t="s">
        <v>34516</v>
      </c>
      <c r="D3067" t="s">
        <v>32</v>
      </c>
      <c r="E3067" t="s">
        <v>34517</v>
      </c>
      <c r="F3067" t="s">
        <v>34518</v>
      </c>
      <c r="G3067" t="s">
        <v>32</v>
      </c>
      <c r="H3067" t="str">
        <f>"Scrn2"</f>
        <v>Scrn2</v>
      </c>
      <c r="I3067" t="s">
        <v>32</v>
      </c>
      <c r="J3067" t="s">
        <v>37</v>
      </c>
      <c r="K3067">
        <v>10090</v>
      </c>
      <c r="L3067" s="3" t="str">
        <f>HYPERLINK("http://www.uniprot.org/uniprot/Q8VCA8", "Q8VCA8")</f>
        <v>Q8VCA8</v>
      </c>
      <c r="M3067" t="s">
        <v>34519</v>
      </c>
      <c r="N3067" t="str">
        <f>"Scrn2"</f>
        <v>Scrn2</v>
      </c>
      <c r="O3067" s="3" t="str">
        <f>HYPERLINK("http://www.informatics.jax.org/marker/MGI:1343092", "MGI:1343092")</f>
        <v>MGI:1343092</v>
      </c>
      <c r="P3067" t="s">
        <v>32</v>
      </c>
      <c r="Q3067" t="s">
        <v>32</v>
      </c>
      <c r="R3067" t="s">
        <v>32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32</v>
      </c>
      <c r="Y3067" t="s">
        <v>32</v>
      </c>
      <c r="Z3067" t="s">
        <v>32</v>
      </c>
      <c r="AA3067" t="s">
        <v>4615</v>
      </c>
      <c r="AB3067" t="s">
        <v>32</v>
      </c>
      <c r="AC3067" t="s">
        <v>7877</v>
      </c>
      <c r="AD3067" t="s">
        <v>32</v>
      </c>
      <c r="AE3067" t="s">
        <v>32</v>
      </c>
      <c r="AF3067" t="s">
        <v>46835</v>
      </c>
    </row>
    <row r="3068" spans="1:32" x14ac:dyDescent="0.2">
      <c r="A3068">
        <v>3063</v>
      </c>
      <c r="B3068" t="s">
        <v>34520</v>
      </c>
      <c r="C3068" t="s">
        <v>34521</v>
      </c>
      <c r="D3068" t="s">
        <v>34522</v>
      </c>
      <c r="E3068" t="s">
        <v>34523</v>
      </c>
      <c r="F3068" t="s">
        <v>34524</v>
      </c>
      <c r="G3068" t="s">
        <v>32</v>
      </c>
      <c r="H3068" t="str">
        <f>"Mafg"</f>
        <v>Mafg</v>
      </c>
      <c r="I3068" t="s">
        <v>32</v>
      </c>
      <c r="J3068" t="s">
        <v>37</v>
      </c>
      <c r="K3068">
        <v>10090</v>
      </c>
      <c r="L3068" s="3" t="str">
        <f>HYPERLINK("http://www.uniprot.org/uniprot/O54790", "O54790")</f>
        <v>O54790</v>
      </c>
      <c r="M3068" t="s">
        <v>34525</v>
      </c>
      <c r="N3068" t="str">
        <f>"Mafg"</f>
        <v>Mafg</v>
      </c>
      <c r="O3068" s="3" t="str">
        <f>HYPERLINK("http://www.informatics.jax.org/marker/MGI:96911", "MGI:96911")</f>
        <v>MGI:96911</v>
      </c>
      <c r="P3068" t="s">
        <v>34526</v>
      </c>
      <c r="Q3068" t="s">
        <v>4152</v>
      </c>
      <c r="R3068" t="s">
        <v>2279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7046</v>
      </c>
      <c r="Y3068" t="s">
        <v>516</v>
      </c>
      <c r="Z3068" t="s">
        <v>126</v>
      </c>
      <c r="AA3068" t="s">
        <v>34527</v>
      </c>
      <c r="AB3068" t="s">
        <v>34528</v>
      </c>
      <c r="AC3068" t="s">
        <v>34529</v>
      </c>
      <c r="AD3068" t="s">
        <v>32</v>
      </c>
      <c r="AE3068" t="s">
        <v>7401</v>
      </c>
      <c r="AF3068" t="s">
        <v>46835</v>
      </c>
    </row>
    <row r="3069" spans="1:32" x14ac:dyDescent="0.2">
      <c r="A3069">
        <v>3064</v>
      </c>
      <c r="B3069" t="s">
        <v>34530</v>
      </c>
      <c r="C3069" t="s">
        <v>34531</v>
      </c>
      <c r="D3069" t="s">
        <v>32</v>
      </c>
      <c r="E3069" t="s">
        <v>34532</v>
      </c>
      <c r="F3069" t="s">
        <v>34533</v>
      </c>
      <c r="G3069" t="s">
        <v>32</v>
      </c>
      <c r="H3069" t="str">
        <f>"Bcap29"</f>
        <v>Bcap29</v>
      </c>
      <c r="I3069" t="s">
        <v>34534</v>
      </c>
      <c r="J3069" t="s">
        <v>37</v>
      </c>
      <c r="K3069">
        <v>10090</v>
      </c>
      <c r="L3069" s="3" t="str">
        <f>HYPERLINK("http://www.uniprot.org/uniprot/Q61334", "Q61334")</f>
        <v>Q61334</v>
      </c>
      <c r="M3069" t="s">
        <v>34535</v>
      </c>
      <c r="N3069" t="str">
        <f>"Bcap29"</f>
        <v>Bcap29</v>
      </c>
      <c r="O3069" s="3" t="str">
        <f>HYPERLINK("http://www.informatics.jax.org/marker/MGI:101917", "MGI:101917")</f>
        <v>MGI:101917</v>
      </c>
      <c r="P3069" t="s">
        <v>10309</v>
      </c>
      <c r="Q3069" t="s">
        <v>10310</v>
      </c>
      <c r="R3069" t="s">
        <v>1664</v>
      </c>
      <c r="S3069" t="s">
        <v>32</v>
      </c>
      <c r="T3069" t="s">
        <v>32</v>
      </c>
      <c r="U3069" t="s">
        <v>32</v>
      </c>
      <c r="V3069" t="s">
        <v>6500</v>
      </c>
      <c r="W3069" t="s">
        <v>32</v>
      </c>
      <c r="X3069" t="s">
        <v>32</v>
      </c>
      <c r="Y3069" t="s">
        <v>32</v>
      </c>
      <c r="Z3069" t="s">
        <v>32</v>
      </c>
      <c r="AA3069" t="s">
        <v>34536</v>
      </c>
      <c r="AB3069" t="s">
        <v>31529</v>
      </c>
      <c r="AC3069" t="s">
        <v>32</v>
      </c>
      <c r="AD3069" t="s">
        <v>32</v>
      </c>
      <c r="AE3069" t="s">
        <v>32</v>
      </c>
      <c r="AF3069" t="s">
        <v>46835</v>
      </c>
    </row>
    <row r="3070" spans="1:32" x14ac:dyDescent="0.2">
      <c r="A3070">
        <v>3065</v>
      </c>
      <c r="B3070" t="s">
        <v>34537</v>
      </c>
      <c r="C3070" t="s">
        <v>34538</v>
      </c>
      <c r="D3070" t="s">
        <v>34539</v>
      </c>
      <c r="E3070" t="s">
        <v>34540</v>
      </c>
      <c r="F3070" t="s">
        <v>34541</v>
      </c>
      <c r="G3070" t="s">
        <v>32</v>
      </c>
      <c r="H3070" t="str">
        <f>"Nucb2"</f>
        <v>Nucb2</v>
      </c>
      <c r="I3070" t="s">
        <v>34542</v>
      </c>
      <c r="J3070" t="s">
        <v>37</v>
      </c>
      <c r="K3070">
        <v>10090</v>
      </c>
      <c r="L3070" s="3" t="str">
        <f>HYPERLINK("http://www.uniprot.org/uniprot/P81117", "P81117")</f>
        <v>P81117</v>
      </c>
      <c r="M3070" t="s">
        <v>34543</v>
      </c>
      <c r="N3070" t="str">
        <f>"Nucb2"</f>
        <v>Nucb2</v>
      </c>
      <c r="O3070" s="3" t="str">
        <f>HYPERLINK("http://www.informatics.jax.org/marker/MGI:1858179", "MGI:1858179")</f>
        <v>MGI:1858179</v>
      </c>
      <c r="P3070" t="s">
        <v>34544</v>
      </c>
      <c r="Q3070" t="s">
        <v>32</v>
      </c>
      <c r="R3070" t="s">
        <v>34545</v>
      </c>
      <c r="S3070" t="s">
        <v>32</v>
      </c>
      <c r="T3070" t="s">
        <v>32</v>
      </c>
      <c r="U3070" t="s">
        <v>32</v>
      </c>
      <c r="V3070" t="s">
        <v>478</v>
      </c>
      <c r="W3070" t="s">
        <v>188</v>
      </c>
      <c r="X3070" t="s">
        <v>9707</v>
      </c>
      <c r="Y3070" t="s">
        <v>34546</v>
      </c>
      <c r="Z3070" t="s">
        <v>32</v>
      </c>
      <c r="AA3070" t="s">
        <v>34547</v>
      </c>
      <c r="AB3070" t="s">
        <v>34548</v>
      </c>
      <c r="AC3070" t="s">
        <v>34549</v>
      </c>
      <c r="AD3070" t="s">
        <v>32</v>
      </c>
      <c r="AE3070" t="s">
        <v>32</v>
      </c>
      <c r="AF3070" t="s">
        <v>46835</v>
      </c>
    </row>
    <row r="3071" spans="1:32" x14ac:dyDescent="0.2">
      <c r="A3071">
        <v>3066</v>
      </c>
      <c r="B3071" t="s">
        <v>34550</v>
      </c>
      <c r="C3071" t="s">
        <v>34551</v>
      </c>
      <c r="D3071" t="s">
        <v>34552</v>
      </c>
      <c r="E3071" t="s">
        <v>34553</v>
      </c>
      <c r="F3071" t="s">
        <v>34554</v>
      </c>
      <c r="G3071" t="s">
        <v>32</v>
      </c>
      <c r="H3071" t="str">
        <f>"Atp6ap1"</f>
        <v>Atp6ap1</v>
      </c>
      <c r="I3071" t="s">
        <v>34555</v>
      </c>
      <c r="J3071" t="s">
        <v>37</v>
      </c>
      <c r="K3071">
        <v>10090</v>
      </c>
      <c r="L3071" s="3" t="str">
        <f>HYPERLINK("http://www.uniprot.org/uniprot/Q9R1Q9", "Q9R1Q9")</f>
        <v>Q9R1Q9</v>
      </c>
      <c r="M3071" t="s">
        <v>34556</v>
      </c>
      <c r="N3071" t="str">
        <f>"Atp6ap1"</f>
        <v>Atp6ap1</v>
      </c>
      <c r="O3071" s="3" t="str">
        <f>HYPERLINK("http://www.informatics.jax.org/marker/MGI:109629", "MGI:109629")</f>
        <v>MGI:109629</v>
      </c>
      <c r="P3071" t="s">
        <v>34557</v>
      </c>
      <c r="Q3071" t="s">
        <v>4257</v>
      </c>
      <c r="R3071" t="s">
        <v>34558</v>
      </c>
      <c r="S3071" t="s">
        <v>32</v>
      </c>
      <c r="T3071" t="s">
        <v>32</v>
      </c>
      <c r="U3071" t="s">
        <v>32</v>
      </c>
      <c r="V3071" t="s">
        <v>3948</v>
      </c>
      <c r="W3071" t="s">
        <v>32</v>
      </c>
      <c r="X3071" t="s">
        <v>32</v>
      </c>
      <c r="Y3071" t="s">
        <v>5275</v>
      </c>
      <c r="Z3071" t="s">
        <v>32</v>
      </c>
      <c r="AA3071" t="s">
        <v>34559</v>
      </c>
      <c r="AB3071" t="s">
        <v>34560</v>
      </c>
      <c r="AC3071" t="s">
        <v>10905</v>
      </c>
      <c r="AD3071" t="s">
        <v>32</v>
      </c>
      <c r="AE3071" t="s">
        <v>34561</v>
      </c>
      <c r="AF3071" t="s">
        <v>46835</v>
      </c>
    </row>
    <row r="3072" spans="1:32" x14ac:dyDescent="0.2">
      <c r="A3072">
        <v>3067</v>
      </c>
      <c r="B3072" t="s">
        <v>34562</v>
      </c>
      <c r="C3072" t="s">
        <v>34563</v>
      </c>
      <c r="D3072" t="s">
        <v>34564</v>
      </c>
      <c r="E3072" t="s">
        <v>34565</v>
      </c>
      <c r="F3072" t="s">
        <v>34566</v>
      </c>
      <c r="G3072" t="s">
        <v>34567</v>
      </c>
      <c r="H3072" t="str">
        <f>"Hacl1"</f>
        <v>Hacl1</v>
      </c>
      <c r="I3072" t="s">
        <v>34568</v>
      </c>
      <c r="J3072" t="s">
        <v>37</v>
      </c>
      <c r="K3072">
        <v>10090</v>
      </c>
      <c r="L3072" s="3" t="str">
        <f>HYPERLINK("http://www.uniprot.org/uniprot/Q9QXE0", "Q9QXE0")</f>
        <v>Q9QXE0</v>
      </c>
      <c r="M3072" t="s">
        <v>34569</v>
      </c>
      <c r="N3072" t="str">
        <f>"Hacl1"</f>
        <v>Hacl1</v>
      </c>
      <c r="O3072" s="3" t="str">
        <f>HYPERLINK("http://www.informatics.jax.org/marker/MGI:1929657", "MGI:1929657")</f>
        <v>MGI:1929657</v>
      </c>
      <c r="P3072" t="s">
        <v>34570</v>
      </c>
      <c r="Q3072" t="s">
        <v>6214</v>
      </c>
      <c r="R3072" t="s">
        <v>5745</v>
      </c>
      <c r="S3072" t="s">
        <v>32</v>
      </c>
      <c r="T3072" t="s">
        <v>32</v>
      </c>
      <c r="U3072" t="s">
        <v>32</v>
      </c>
      <c r="V3072" t="s">
        <v>32</v>
      </c>
      <c r="W3072" t="s">
        <v>34571</v>
      </c>
      <c r="X3072" t="s">
        <v>224</v>
      </c>
      <c r="Y3072" t="s">
        <v>618</v>
      </c>
      <c r="Z3072" t="s">
        <v>32</v>
      </c>
      <c r="AA3072" t="s">
        <v>34572</v>
      </c>
      <c r="AB3072" t="s">
        <v>34573</v>
      </c>
      <c r="AC3072" t="s">
        <v>34574</v>
      </c>
      <c r="AD3072" t="s">
        <v>15468</v>
      </c>
      <c r="AE3072" t="s">
        <v>34575</v>
      </c>
      <c r="AF3072" t="s">
        <v>46835</v>
      </c>
    </row>
    <row r="3073" spans="1:32" x14ac:dyDescent="0.2">
      <c r="A3073">
        <v>3068</v>
      </c>
      <c r="B3073" t="s">
        <v>34576</v>
      </c>
      <c r="C3073" t="s">
        <v>34577</v>
      </c>
      <c r="D3073" t="s">
        <v>34578</v>
      </c>
      <c r="E3073" t="s">
        <v>34579</v>
      </c>
      <c r="F3073" t="s">
        <v>34580</v>
      </c>
      <c r="G3073" t="s">
        <v>34581</v>
      </c>
      <c r="H3073" t="str">
        <f>"Gtf3c5"</f>
        <v>Gtf3c5</v>
      </c>
      <c r="I3073" t="s">
        <v>32</v>
      </c>
      <c r="J3073" t="s">
        <v>37</v>
      </c>
      <c r="K3073">
        <v>10090</v>
      </c>
      <c r="L3073" s="3" t="str">
        <f>HYPERLINK("http://www.uniprot.org/uniprot/Q8R2T8", "Q8R2T8")</f>
        <v>Q8R2T8</v>
      </c>
      <c r="M3073" t="s">
        <v>34582</v>
      </c>
      <c r="N3073" t="str">
        <f>"Gtf3c5"</f>
        <v>Gtf3c5</v>
      </c>
      <c r="O3073" s="3" t="str">
        <f>HYPERLINK("http://www.informatics.jax.org/marker/MGI:1917489", "MGI:1917489")</f>
        <v>MGI:1917489</v>
      </c>
      <c r="P3073" t="s">
        <v>34583</v>
      </c>
      <c r="Q3073" t="s">
        <v>16415</v>
      </c>
      <c r="R3073" t="s">
        <v>2279</v>
      </c>
      <c r="S3073" t="s">
        <v>41</v>
      </c>
      <c r="T3073" t="s">
        <v>32</v>
      </c>
      <c r="U3073" t="s">
        <v>32</v>
      </c>
      <c r="V3073" t="s">
        <v>32</v>
      </c>
      <c r="W3073" t="s">
        <v>32</v>
      </c>
      <c r="X3073" t="s">
        <v>247</v>
      </c>
      <c r="Y3073" t="s">
        <v>78</v>
      </c>
      <c r="Z3073" t="s">
        <v>32</v>
      </c>
      <c r="AA3073" t="s">
        <v>34584</v>
      </c>
      <c r="AB3073" t="s">
        <v>30751</v>
      </c>
      <c r="AC3073" t="s">
        <v>26790</v>
      </c>
      <c r="AD3073" t="s">
        <v>32</v>
      </c>
      <c r="AE3073" t="s">
        <v>26549</v>
      </c>
      <c r="AF3073" t="s">
        <v>46835</v>
      </c>
    </row>
    <row r="3074" spans="1:32" x14ac:dyDescent="0.2">
      <c r="A3074">
        <v>3069</v>
      </c>
      <c r="B3074" t="s">
        <v>34585</v>
      </c>
      <c r="C3074" t="s">
        <v>34586</v>
      </c>
      <c r="D3074" t="s">
        <v>32</v>
      </c>
      <c r="E3074" t="s">
        <v>34587</v>
      </c>
      <c r="F3074" t="s">
        <v>34588</v>
      </c>
      <c r="G3074" t="s">
        <v>32</v>
      </c>
      <c r="H3074" t="str">
        <f>"Surf2"</f>
        <v>Surf2</v>
      </c>
      <c r="I3074" t="s">
        <v>34589</v>
      </c>
      <c r="J3074" t="s">
        <v>37</v>
      </c>
      <c r="K3074">
        <v>10090</v>
      </c>
      <c r="L3074" s="3" t="str">
        <f>HYPERLINK("http://www.uniprot.org/uniprot/P09926", "P09926")</f>
        <v>P09926</v>
      </c>
      <c r="M3074" t="s">
        <v>34590</v>
      </c>
      <c r="N3074" t="str">
        <f>"Surf2"</f>
        <v>Surf2</v>
      </c>
      <c r="O3074" s="3" t="str">
        <f>HYPERLINK("http://www.informatics.jax.org/marker/MGI:98444", "MGI:98444")</f>
        <v>MGI:98444</v>
      </c>
      <c r="P3074" t="s">
        <v>618</v>
      </c>
      <c r="Q3074" t="s">
        <v>32</v>
      </c>
      <c r="R3074" t="s">
        <v>32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32</v>
      </c>
      <c r="Y3074" t="s">
        <v>618</v>
      </c>
      <c r="Z3074" t="s">
        <v>32</v>
      </c>
      <c r="AA3074" t="s">
        <v>32</v>
      </c>
      <c r="AB3074" t="s">
        <v>34591</v>
      </c>
      <c r="AC3074" t="s">
        <v>32</v>
      </c>
      <c r="AD3074" t="s">
        <v>32</v>
      </c>
      <c r="AE3074" t="s">
        <v>32</v>
      </c>
      <c r="AF3074" t="s">
        <v>46835</v>
      </c>
    </row>
    <row r="3075" spans="1:32" x14ac:dyDescent="0.2">
      <c r="A3075">
        <v>3070</v>
      </c>
      <c r="B3075" t="s">
        <v>34592</v>
      </c>
      <c r="C3075" t="s">
        <v>34593</v>
      </c>
      <c r="D3075" t="s">
        <v>34594</v>
      </c>
      <c r="E3075" t="s">
        <v>34595</v>
      </c>
      <c r="F3075" t="s">
        <v>34596</v>
      </c>
      <c r="G3075" t="s">
        <v>34597</v>
      </c>
      <c r="H3075" t="str">
        <f>"Rhot1"</f>
        <v>Rhot1</v>
      </c>
      <c r="I3075" t="s">
        <v>34598</v>
      </c>
      <c r="J3075" t="s">
        <v>37</v>
      </c>
      <c r="K3075">
        <v>10090</v>
      </c>
      <c r="L3075" s="3" t="str">
        <f>HYPERLINK("http://www.uniprot.org/uniprot/Q8BG51", "Q8BG51")</f>
        <v>Q8BG51</v>
      </c>
      <c r="M3075" t="s">
        <v>34599</v>
      </c>
      <c r="N3075" t="str">
        <f>"Rhot1"</f>
        <v>Rhot1</v>
      </c>
      <c r="O3075" s="3" t="str">
        <f>HYPERLINK("http://www.informatics.jax.org/marker/MGI:1926078", "MGI:1926078")</f>
        <v>MGI:1926078</v>
      </c>
      <c r="P3075" t="s">
        <v>34600</v>
      </c>
      <c r="Q3075" t="s">
        <v>32</v>
      </c>
      <c r="R3075" t="s">
        <v>4782</v>
      </c>
      <c r="S3075" t="s">
        <v>41</v>
      </c>
      <c r="T3075" t="s">
        <v>32</v>
      </c>
      <c r="U3075" t="s">
        <v>32</v>
      </c>
      <c r="V3075" t="s">
        <v>1620</v>
      </c>
      <c r="W3075" t="s">
        <v>34601</v>
      </c>
      <c r="X3075" t="s">
        <v>343</v>
      </c>
      <c r="Y3075" t="s">
        <v>5599</v>
      </c>
      <c r="Z3075" t="s">
        <v>32</v>
      </c>
      <c r="AA3075" t="s">
        <v>34602</v>
      </c>
      <c r="AB3075" t="s">
        <v>34603</v>
      </c>
      <c r="AC3075" t="s">
        <v>34604</v>
      </c>
      <c r="AD3075" t="s">
        <v>32</v>
      </c>
      <c r="AE3075" t="s">
        <v>34605</v>
      </c>
      <c r="AF3075" t="s">
        <v>46835</v>
      </c>
    </row>
    <row r="3076" spans="1:32" x14ac:dyDescent="0.2">
      <c r="A3076">
        <v>3071</v>
      </c>
      <c r="B3076" t="s">
        <v>34606</v>
      </c>
      <c r="C3076" t="s">
        <v>34607</v>
      </c>
      <c r="D3076" t="s">
        <v>34608</v>
      </c>
      <c r="E3076" t="s">
        <v>34609</v>
      </c>
      <c r="F3076" t="s">
        <v>34610</v>
      </c>
      <c r="G3076" t="s">
        <v>34611</v>
      </c>
      <c r="H3076" t="str">
        <f>"Llgl1"</f>
        <v>Llgl1</v>
      </c>
      <c r="I3076" t="s">
        <v>34612</v>
      </c>
      <c r="J3076" t="s">
        <v>37</v>
      </c>
      <c r="K3076">
        <v>10090</v>
      </c>
      <c r="L3076" s="3" t="str">
        <f>HYPERLINK("http://www.uniprot.org/uniprot/Q80Y17", "Q80Y17")</f>
        <v>Q80Y17</v>
      </c>
      <c r="M3076" t="s">
        <v>34613</v>
      </c>
      <c r="N3076" t="str">
        <f>"Llgl1"</f>
        <v>Llgl1</v>
      </c>
      <c r="O3076" s="3" t="str">
        <f>HYPERLINK("http://www.informatics.jax.org/marker/MGI:102682", "MGI:102682")</f>
        <v>MGI:102682</v>
      </c>
      <c r="P3076" t="s">
        <v>34614</v>
      </c>
      <c r="Q3076" t="s">
        <v>7874</v>
      </c>
      <c r="R3076" t="s">
        <v>34615</v>
      </c>
      <c r="S3076" t="s">
        <v>32</v>
      </c>
      <c r="T3076" t="s">
        <v>32</v>
      </c>
      <c r="U3076" t="s">
        <v>32</v>
      </c>
      <c r="V3076" t="s">
        <v>1910</v>
      </c>
      <c r="W3076" t="s">
        <v>32</v>
      </c>
      <c r="X3076" t="s">
        <v>32</v>
      </c>
      <c r="Y3076" t="s">
        <v>618</v>
      </c>
      <c r="Z3076" t="s">
        <v>32</v>
      </c>
      <c r="AA3076" t="s">
        <v>34616</v>
      </c>
      <c r="AB3076" t="s">
        <v>34617</v>
      </c>
      <c r="AC3076" t="s">
        <v>34618</v>
      </c>
      <c r="AD3076" t="s">
        <v>32</v>
      </c>
      <c r="AE3076" t="s">
        <v>32</v>
      </c>
      <c r="AF3076" t="s">
        <v>46835</v>
      </c>
    </row>
    <row r="3077" spans="1:32" x14ac:dyDescent="0.2">
      <c r="A3077">
        <v>3072</v>
      </c>
      <c r="B3077" t="s">
        <v>34619</v>
      </c>
      <c r="C3077" t="s">
        <v>34620</v>
      </c>
      <c r="D3077" t="s">
        <v>32</v>
      </c>
      <c r="E3077" t="s">
        <v>34621</v>
      </c>
      <c r="F3077" t="s">
        <v>34622</v>
      </c>
      <c r="G3077" t="s">
        <v>34623</v>
      </c>
      <c r="H3077" t="str">
        <f>"Plg"</f>
        <v>Plg</v>
      </c>
      <c r="I3077" t="s">
        <v>32</v>
      </c>
      <c r="J3077" t="s">
        <v>37</v>
      </c>
      <c r="K3077">
        <v>10090</v>
      </c>
      <c r="L3077" s="3" t="str">
        <f>HYPERLINK("http://www.uniprot.org/uniprot/P20918", "P20918")</f>
        <v>P20918</v>
      </c>
      <c r="M3077" t="s">
        <v>34624</v>
      </c>
      <c r="N3077" t="str">
        <f>"Plg"</f>
        <v>Plg</v>
      </c>
      <c r="O3077" s="3" t="str">
        <f>HYPERLINK("http://www.informatics.jax.org/marker/MGI:97620", "MGI:97620")</f>
        <v>MGI:97620</v>
      </c>
      <c r="P3077" t="s">
        <v>34625</v>
      </c>
      <c r="Q3077" t="s">
        <v>34626</v>
      </c>
      <c r="R3077" t="s">
        <v>630</v>
      </c>
      <c r="S3077" t="s">
        <v>32</v>
      </c>
      <c r="T3077" t="s">
        <v>32</v>
      </c>
      <c r="U3077" t="s">
        <v>32</v>
      </c>
      <c r="V3077" t="s">
        <v>34627</v>
      </c>
      <c r="W3077" t="s">
        <v>32</v>
      </c>
      <c r="X3077" t="s">
        <v>4493</v>
      </c>
      <c r="Y3077" t="s">
        <v>34628</v>
      </c>
      <c r="Z3077" t="s">
        <v>32</v>
      </c>
      <c r="AA3077" t="s">
        <v>34629</v>
      </c>
      <c r="AB3077" t="s">
        <v>34630</v>
      </c>
      <c r="AC3077" t="s">
        <v>34631</v>
      </c>
      <c r="AD3077" t="s">
        <v>32</v>
      </c>
      <c r="AE3077" t="s">
        <v>34632</v>
      </c>
      <c r="AF3077" t="s">
        <v>46835</v>
      </c>
    </row>
    <row r="3078" spans="1:32" x14ac:dyDescent="0.2">
      <c r="A3078">
        <v>3073</v>
      </c>
      <c r="B3078" t="s">
        <v>34633</v>
      </c>
      <c r="C3078" t="s">
        <v>34634</v>
      </c>
      <c r="D3078" t="s">
        <v>34635</v>
      </c>
      <c r="E3078" t="s">
        <v>34636</v>
      </c>
      <c r="F3078" t="s">
        <v>34637</v>
      </c>
      <c r="G3078" t="s">
        <v>32</v>
      </c>
      <c r="H3078" t="str">
        <f>"Mdk"</f>
        <v>Mdk</v>
      </c>
      <c r="I3078" t="s">
        <v>34638</v>
      </c>
      <c r="J3078" t="s">
        <v>37</v>
      </c>
      <c r="K3078">
        <v>10090</v>
      </c>
      <c r="L3078" s="3" t="str">
        <f>HYPERLINK("http://www.uniprot.org/uniprot/P12025", "P12025")</f>
        <v>P12025</v>
      </c>
      <c r="M3078" t="s">
        <v>34639</v>
      </c>
      <c r="N3078" t="str">
        <f>"Mdk"</f>
        <v>Mdk</v>
      </c>
      <c r="O3078" s="3" t="str">
        <f>HYPERLINK("http://www.informatics.jax.org/marker/MGI:96949", "MGI:96949")</f>
        <v>MGI:96949</v>
      </c>
      <c r="P3078" t="s">
        <v>34640</v>
      </c>
      <c r="Q3078" t="s">
        <v>687</v>
      </c>
      <c r="R3078" t="s">
        <v>630</v>
      </c>
      <c r="S3078" t="s">
        <v>32</v>
      </c>
      <c r="T3078" t="s">
        <v>32</v>
      </c>
      <c r="U3078" t="s">
        <v>32</v>
      </c>
      <c r="V3078" t="s">
        <v>811</v>
      </c>
      <c r="W3078" t="s">
        <v>32</v>
      </c>
      <c r="X3078" t="s">
        <v>34641</v>
      </c>
      <c r="Y3078" t="s">
        <v>494</v>
      </c>
      <c r="Z3078" t="s">
        <v>32</v>
      </c>
      <c r="AA3078" t="s">
        <v>34642</v>
      </c>
      <c r="AB3078" t="s">
        <v>34643</v>
      </c>
      <c r="AC3078" t="s">
        <v>34644</v>
      </c>
      <c r="AD3078" t="s">
        <v>32</v>
      </c>
      <c r="AE3078" t="s">
        <v>31645</v>
      </c>
      <c r="AF3078" t="s">
        <v>46835</v>
      </c>
    </row>
    <row r="3079" spans="1:32" x14ac:dyDescent="0.2">
      <c r="A3079">
        <v>3074</v>
      </c>
      <c r="B3079" t="s">
        <v>34645</v>
      </c>
      <c r="C3079" t="s">
        <v>34646</v>
      </c>
      <c r="D3079" t="s">
        <v>32</v>
      </c>
      <c r="E3079" t="s">
        <v>34647</v>
      </c>
      <c r="F3079" t="s">
        <v>34648</v>
      </c>
      <c r="G3079" t="s">
        <v>34649</v>
      </c>
      <c r="H3079" t="str">
        <f>"Ypel5"</f>
        <v>Ypel5</v>
      </c>
      <c r="I3079" t="s">
        <v>32</v>
      </c>
      <c r="J3079" t="s">
        <v>37</v>
      </c>
      <c r="K3079">
        <v>10090</v>
      </c>
      <c r="L3079" s="3" t="str">
        <f>HYPERLINK("http://www.uniprot.org/uniprot/P62700", "P62700")</f>
        <v>P62700</v>
      </c>
      <c r="M3079" t="s">
        <v>34650</v>
      </c>
      <c r="N3079" t="str">
        <f>"Ypel5"</f>
        <v>Ypel5</v>
      </c>
      <c r="O3079" s="3" t="str">
        <f>HYPERLINK("http://www.informatics.jax.org/marker/MGI:1916937", "MGI:1916937")</f>
        <v>MGI:1916937</v>
      </c>
      <c r="P3079" t="s">
        <v>34651</v>
      </c>
      <c r="Q3079" t="s">
        <v>32</v>
      </c>
      <c r="R3079" t="s">
        <v>324</v>
      </c>
      <c r="S3079" t="s">
        <v>32</v>
      </c>
      <c r="T3079" t="s">
        <v>32</v>
      </c>
      <c r="U3079" t="s">
        <v>32</v>
      </c>
      <c r="V3079" t="s">
        <v>32</v>
      </c>
      <c r="W3079" t="s">
        <v>42</v>
      </c>
      <c r="X3079" t="s">
        <v>32</v>
      </c>
      <c r="Y3079" t="s">
        <v>618</v>
      </c>
      <c r="Z3079" t="s">
        <v>32</v>
      </c>
      <c r="AA3079" t="s">
        <v>34652</v>
      </c>
      <c r="AB3079" t="s">
        <v>34653</v>
      </c>
      <c r="AC3079" t="s">
        <v>4525</v>
      </c>
      <c r="AD3079" t="s">
        <v>32</v>
      </c>
      <c r="AE3079" t="s">
        <v>548</v>
      </c>
      <c r="AF3079" t="s">
        <v>46835</v>
      </c>
    </row>
    <row r="3080" spans="1:32" x14ac:dyDescent="0.2">
      <c r="A3080">
        <v>3075</v>
      </c>
      <c r="B3080" t="s">
        <v>34654</v>
      </c>
      <c r="C3080" t="s">
        <v>34655</v>
      </c>
      <c r="D3080" t="s">
        <v>32</v>
      </c>
      <c r="E3080" t="s">
        <v>34656</v>
      </c>
      <c r="F3080" t="s">
        <v>34657</v>
      </c>
      <c r="G3080" t="s">
        <v>34658</v>
      </c>
      <c r="H3080" t="str">
        <f>"Get4"</f>
        <v>Get4</v>
      </c>
      <c r="I3080" t="s">
        <v>32</v>
      </c>
      <c r="J3080" t="s">
        <v>37</v>
      </c>
      <c r="K3080">
        <v>10090</v>
      </c>
      <c r="L3080" s="3" t="str">
        <f>HYPERLINK("http://www.uniprot.org/uniprot/Q9D1H7", "Q9D1H7")</f>
        <v>Q9D1H7</v>
      </c>
      <c r="M3080" t="s">
        <v>34659</v>
      </c>
      <c r="N3080" t="str">
        <f>"Get4"</f>
        <v>Get4</v>
      </c>
      <c r="O3080" s="3" t="str">
        <f>HYPERLINK("http://www.informatics.jax.org/marker/MGI:1914854", "MGI:1914854")</f>
        <v>MGI:1914854</v>
      </c>
      <c r="P3080" t="s">
        <v>34660</v>
      </c>
      <c r="Q3080" t="s">
        <v>4425</v>
      </c>
      <c r="R3080" t="s">
        <v>418</v>
      </c>
      <c r="S3080" t="s">
        <v>41</v>
      </c>
      <c r="T3080" t="s">
        <v>32</v>
      </c>
      <c r="U3080" t="s">
        <v>32</v>
      </c>
      <c r="V3080" t="s">
        <v>32</v>
      </c>
      <c r="W3080" t="s">
        <v>32</v>
      </c>
      <c r="X3080" t="s">
        <v>32</v>
      </c>
      <c r="Y3080" t="s">
        <v>4102</v>
      </c>
      <c r="Z3080" t="s">
        <v>32</v>
      </c>
      <c r="AA3080" t="s">
        <v>34661</v>
      </c>
      <c r="AB3080" t="s">
        <v>34662</v>
      </c>
      <c r="AC3080" t="s">
        <v>5313</v>
      </c>
      <c r="AD3080" t="s">
        <v>32</v>
      </c>
      <c r="AE3080" t="s">
        <v>32</v>
      </c>
      <c r="AF3080" t="s">
        <v>46835</v>
      </c>
    </row>
    <row r="3081" spans="1:32" x14ac:dyDescent="0.2">
      <c r="A3081">
        <v>3076</v>
      </c>
      <c r="B3081" t="s">
        <v>34663</v>
      </c>
      <c r="C3081" t="s">
        <v>34664</v>
      </c>
      <c r="D3081" t="s">
        <v>34665</v>
      </c>
      <c r="E3081" t="s">
        <v>34666</v>
      </c>
      <c r="F3081" t="s">
        <v>34667</v>
      </c>
      <c r="G3081" t="s">
        <v>32</v>
      </c>
      <c r="H3081" t="str">
        <f>"Thyn1"</f>
        <v>Thyn1</v>
      </c>
      <c r="I3081" t="s">
        <v>34668</v>
      </c>
      <c r="J3081" t="s">
        <v>37</v>
      </c>
      <c r="K3081">
        <v>10090</v>
      </c>
      <c r="L3081" s="3" t="str">
        <f>HYPERLINK("http://www.uniprot.org/uniprot/Q91YJ3", "Q91YJ3")</f>
        <v>Q91YJ3</v>
      </c>
      <c r="M3081" t="s">
        <v>34669</v>
      </c>
      <c r="N3081" t="str">
        <f>"Thyn1"</f>
        <v>Thyn1</v>
      </c>
      <c r="O3081" s="3" t="str">
        <f>HYPERLINK("http://www.informatics.jax.org/marker/MGI:1925112", "MGI:1925112")</f>
        <v>MGI:1925112</v>
      </c>
      <c r="P3081" t="s">
        <v>34670</v>
      </c>
      <c r="Q3081" t="s">
        <v>32</v>
      </c>
      <c r="R3081" t="s">
        <v>2279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32</v>
      </c>
      <c r="Y3081" t="s">
        <v>618</v>
      </c>
      <c r="Z3081" t="s">
        <v>32</v>
      </c>
      <c r="AA3081" t="s">
        <v>32</v>
      </c>
      <c r="AB3081" t="s">
        <v>3606</v>
      </c>
      <c r="AC3081" t="s">
        <v>32</v>
      </c>
      <c r="AD3081" t="s">
        <v>32</v>
      </c>
      <c r="AE3081" t="s">
        <v>32</v>
      </c>
      <c r="AF3081" t="s">
        <v>46835</v>
      </c>
    </row>
    <row r="3082" spans="1:32" x14ac:dyDescent="0.2">
      <c r="A3082">
        <v>3077</v>
      </c>
      <c r="B3082" t="s">
        <v>34671</v>
      </c>
      <c r="C3082" t="s">
        <v>34672</v>
      </c>
      <c r="D3082" t="s">
        <v>34673</v>
      </c>
      <c r="E3082" t="s">
        <v>34674</v>
      </c>
      <c r="F3082" t="s">
        <v>34675</v>
      </c>
      <c r="G3082" t="s">
        <v>34676</v>
      </c>
      <c r="H3082" t="str">
        <f>"Naa20"</f>
        <v>Naa20</v>
      </c>
      <c r="I3082" t="s">
        <v>34677</v>
      </c>
      <c r="J3082" t="s">
        <v>37</v>
      </c>
      <c r="K3082">
        <v>10090</v>
      </c>
      <c r="L3082" s="3" t="str">
        <f>HYPERLINK("http://www.uniprot.org/uniprot/P61600", "P61600")</f>
        <v>P61600</v>
      </c>
      <c r="M3082" t="s">
        <v>34678</v>
      </c>
      <c r="N3082" t="str">
        <f>"Naa20"</f>
        <v>Naa20</v>
      </c>
      <c r="O3082" s="3" t="str">
        <f>HYPERLINK("http://www.informatics.jax.org/marker/MGI:1915127", "MGI:1915127")</f>
        <v>MGI:1915127</v>
      </c>
      <c r="P3082" t="s">
        <v>34679</v>
      </c>
      <c r="Q3082" t="s">
        <v>32</v>
      </c>
      <c r="R3082" t="s">
        <v>40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7304</v>
      </c>
      <c r="Y3082" t="s">
        <v>32</v>
      </c>
      <c r="Z3082" t="s">
        <v>32</v>
      </c>
      <c r="AA3082" t="s">
        <v>34680</v>
      </c>
      <c r="AB3082" t="s">
        <v>34681</v>
      </c>
      <c r="AC3082" t="s">
        <v>34682</v>
      </c>
      <c r="AD3082" t="s">
        <v>32</v>
      </c>
      <c r="AE3082" t="s">
        <v>32</v>
      </c>
      <c r="AF3082" t="s">
        <v>46835</v>
      </c>
    </row>
    <row r="3083" spans="1:32" x14ac:dyDescent="0.2">
      <c r="A3083">
        <v>3078</v>
      </c>
      <c r="B3083" t="s">
        <v>34683</v>
      </c>
      <c r="C3083" t="s">
        <v>34684</v>
      </c>
      <c r="D3083" t="s">
        <v>32</v>
      </c>
      <c r="E3083" t="s">
        <v>34685</v>
      </c>
      <c r="F3083" t="s">
        <v>34686</v>
      </c>
      <c r="G3083" t="s">
        <v>32</v>
      </c>
      <c r="H3083" t="str">
        <f>"Mrps6"</f>
        <v>Mrps6</v>
      </c>
      <c r="I3083" t="s">
        <v>34687</v>
      </c>
      <c r="J3083" t="s">
        <v>37</v>
      </c>
      <c r="K3083">
        <v>10090</v>
      </c>
      <c r="L3083" s="3" t="str">
        <f>HYPERLINK("http://www.uniprot.org/uniprot/P58064", "P58064")</f>
        <v>P58064</v>
      </c>
      <c r="M3083" t="s">
        <v>34688</v>
      </c>
      <c r="N3083" t="str">
        <f>"Mrps6"</f>
        <v>Mrps6</v>
      </c>
      <c r="O3083" s="3" t="str">
        <f>HYPERLINK("http://www.informatics.jax.org/marker/MGI:2153111", "MGI:2153111")</f>
        <v>MGI:2153111</v>
      </c>
      <c r="P3083" t="s">
        <v>30889</v>
      </c>
      <c r="Q3083" t="s">
        <v>32</v>
      </c>
      <c r="R3083" t="s">
        <v>1038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447</v>
      </c>
      <c r="Y3083" t="s">
        <v>32</v>
      </c>
      <c r="Z3083" t="s">
        <v>32</v>
      </c>
      <c r="AA3083" t="s">
        <v>23519</v>
      </c>
      <c r="AB3083" t="s">
        <v>23520</v>
      </c>
      <c r="AC3083" t="s">
        <v>34689</v>
      </c>
      <c r="AD3083" t="s">
        <v>32</v>
      </c>
      <c r="AE3083" t="s">
        <v>17271</v>
      </c>
      <c r="AF3083" t="s">
        <v>46835</v>
      </c>
    </row>
    <row r="3084" spans="1:32" x14ac:dyDescent="0.2">
      <c r="A3084">
        <v>3079</v>
      </c>
      <c r="B3084" t="s">
        <v>34690</v>
      </c>
      <c r="C3084" t="s">
        <v>34691</v>
      </c>
      <c r="D3084" t="s">
        <v>34692</v>
      </c>
      <c r="E3084" t="s">
        <v>34693</v>
      </c>
      <c r="F3084" t="s">
        <v>34694</v>
      </c>
      <c r="G3084" t="s">
        <v>34695</v>
      </c>
      <c r="H3084" t="str">
        <f>"Septin5"</f>
        <v>Septin5</v>
      </c>
      <c r="I3084" t="s">
        <v>32</v>
      </c>
      <c r="J3084" t="s">
        <v>37</v>
      </c>
      <c r="K3084">
        <v>10090</v>
      </c>
      <c r="L3084" s="3" t="str">
        <f>HYPERLINK("http://www.uniprot.org/uniprot/Q9Z2Q6", "Q9Z2Q6")</f>
        <v>Q9Z2Q6</v>
      </c>
      <c r="M3084" t="s">
        <v>34696</v>
      </c>
      <c r="N3084" t="str">
        <f>"Septin5"</f>
        <v>Septin5</v>
      </c>
      <c r="O3084" s="3" t="str">
        <f>HYPERLINK("http://www.informatics.jax.org/marker/MGI:1195461", "MGI:1195461")</f>
        <v>MGI:1195461</v>
      </c>
      <c r="P3084" t="s">
        <v>34697</v>
      </c>
      <c r="Q3084" t="s">
        <v>11508</v>
      </c>
      <c r="R3084" t="s">
        <v>186</v>
      </c>
      <c r="S3084" t="s">
        <v>32</v>
      </c>
      <c r="T3084" t="s">
        <v>32</v>
      </c>
      <c r="U3084" t="s">
        <v>32</v>
      </c>
      <c r="V3084" t="s">
        <v>290</v>
      </c>
      <c r="W3084" t="s">
        <v>261</v>
      </c>
      <c r="X3084" t="s">
        <v>32</v>
      </c>
      <c r="Y3084" t="s">
        <v>2734</v>
      </c>
      <c r="Z3084" t="s">
        <v>32</v>
      </c>
      <c r="AA3084" t="s">
        <v>34698</v>
      </c>
      <c r="AB3084" t="s">
        <v>34699</v>
      </c>
      <c r="AC3084" t="s">
        <v>34700</v>
      </c>
      <c r="AD3084" t="s">
        <v>32</v>
      </c>
      <c r="AE3084" t="s">
        <v>32</v>
      </c>
      <c r="AF3084" t="s">
        <v>46835</v>
      </c>
    </row>
    <row r="3085" spans="1:32" x14ac:dyDescent="0.2">
      <c r="A3085">
        <v>3080</v>
      </c>
      <c r="B3085" t="s">
        <v>34701</v>
      </c>
      <c r="C3085" t="s">
        <v>34702</v>
      </c>
      <c r="D3085" t="s">
        <v>32</v>
      </c>
      <c r="E3085" t="s">
        <v>34703</v>
      </c>
      <c r="F3085" t="s">
        <v>34704</v>
      </c>
      <c r="G3085" t="s">
        <v>34705</v>
      </c>
      <c r="H3085" t="str">
        <f>"Myo5b"</f>
        <v>Myo5b</v>
      </c>
      <c r="I3085" t="s">
        <v>34706</v>
      </c>
      <c r="J3085" t="s">
        <v>37</v>
      </c>
      <c r="K3085">
        <v>10090</v>
      </c>
      <c r="L3085" s="3" t="str">
        <f>HYPERLINK("http://www.uniprot.org/uniprot/P21271", "P21271")</f>
        <v>P21271</v>
      </c>
      <c r="M3085" t="s">
        <v>34707</v>
      </c>
      <c r="N3085" t="str">
        <f>"Myo5b"</f>
        <v>Myo5b</v>
      </c>
      <c r="O3085" s="3" t="str">
        <f>HYPERLINK("http://www.informatics.jax.org/marker/MGI:106598", "MGI:106598")</f>
        <v>MGI:106598</v>
      </c>
      <c r="P3085" t="s">
        <v>34708</v>
      </c>
      <c r="Q3085" t="s">
        <v>434</v>
      </c>
      <c r="R3085" t="s">
        <v>418</v>
      </c>
      <c r="S3085" t="s">
        <v>41</v>
      </c>
      <c r="T3085" t="s">
        <v>32</v>
      </c>
      <c r="U3085" t="s">
        <v>32</v>
      </c>
      <c r="V3085" t="s">
        <v>137</v>
      </c>
      <c r="W3085" t="s">
        <v>205</v>
      </c>
      <c r="X3085" t="s">
        <v>1366</v>
      </c>
      <c r="Y3085" t="s">
        <v>618</v>
      </c>
      <c r="Z3085" t="s">
        <v>32</v>
      </c>
      <c r="AA3085" t="s">
        <v>34709</v>
      </c>
      <c r="AB3085" t="s">
        <v>34710</v>
      </c>
      <c r="AC3085" t="s">
        <v>34711</v>
      </c>
      <c r="AD3085" t="s">
        <v>32</v>
      </c>
      <c r="AE3085" t="s">
        <v>34712</v>
      </c>
      <c r="AF3085" t="s">
        <v>46835</v>
      </c>
    </row>
    <row r="3086" spans="1:32" x14ac:dyDescent="0.2">
      <c r="A3086">
        <v>3081</v>
      </c>
      <c r="B3086" t="s">
        <v>34713</v>
      </c>
      <c r="C3086" t="s">
        <v>34714</v>
      </c>
      <c r="D3086" t="s">
        <v>34715</v>
      </c>
      <c r="E3086" t="s">
        <v>34716</v>
      </c>
      <c r="F3086" t="s">
        <v>34717</v>
      </c>
      <c r="G3086" t="s">
        <v>34718</v>
      </c>
      <c r="H3086" t="str">
        <f>"Trir"</f>
        <v>Trir</v>
      </c>
      <c r="I3086" t="s">
        <v>32</v>
      </c>
      <c r="J3086" t="s">
        <v>37</v>
      </c>
      <c r="K3086">
        <v>10090</v>
      </c>
      <c r="L3086" s="3" t="str">
        <f>HYPERLINK("http://www.uniprot.org/uniprot/Q9D735", "Q9D735")</f>
        <v>Q9D735</v>
      </c>
      <c r="M3086" t="s">
        <v>34719</v>
      </c>
      <c r="N3086" t="str">
        <f>"Trir"</f>
        <v>Trir</v>
      </c>
      <c r="O3086" s="3" t="str">
        <f>HYPERLINK("http://www.informatics.jax.org/marker/MGI:1922833", "MGI:1922833")</f>
        <v>MGI:1922833</v>
      </c>
      <c r="P3086" t="s">
        <v>34720</v>
      </c>
      <c r="Q3086" t="s">
        <v>32</v>
      </c>
      <c r="R3086" t="s">
        <v>32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11145</v>
      </c>
      <c r="Y3086" t="s">
        <v>78</v>
      </c>
      <c r="Z3086" t="s">
        <v>32</v>
      </c>
      <c r="AA3086" t="s">
        <v>34721</v>
      </c>
      <c r="AB3086" t="s">
        <v>32</v>
      </c>
      <c r="AC3086" t="s">
        <v>34722</v>
      </c>
      <c r="AD3086" t="s">
        <v>32</v>
      </c>
      <c r="AE3086" t="s">
        <v>32</v>
      </c>
      <c r="AF3086" t="s">
        <v>46835</v>
      </c>
    </row>
    <row r="3087" spans="1:32" x14ac:dyDescent="0.2">
      <c r="A3087">
        <v>3082</v>
      </c>
      <c r="B3087" t="s">
        <v>34723</v>
      </c>
      <c r="C3087" t="s">
        <v>34724</v>
      </c>
      <c r="D3087" t="s">
        <v>32</v>
      </c>
      <c r="E3087" t="s">
        <v>34725</v>
      </c>
      <c r="F3087" t="s">
        <v>34726</v>
      </c>
      <c r="G3087" t="s">
        <v>34727</v>
      </c>
      <c r="H3087" t="str">
        <f>"Mrpl30"</f>
        <v>Mrpl30</v>
      </c>
      <c r="I3087" t="s">
        <v>32</v>
      </c>
      <c r="J3087" t="s">
        <v>37</v>
      </c>
      <c r="K3087">
        <v>10090</v>
      </c>
      <c r="L3087" s="3" t="str">
        <f>HYPERLINK("http://www.uniprot.org/uniprot/Q9D7N6", "Q9D7N6")</f>
        <v>Q9D7N6</v>
      </c>
      <c r="M3087" t="s">
        <v>34728</v>
      </c>
      <c r="N3087" t="str">
        <f>"Mrpl30"</f>
        <v>Mrpl30</v>
      </c>
      <c r="O3087" s="3" t="str">
        <f>HYPERLINK("http://www.informatics.jax.org/marker/MGI:1333820", "MGI:1333820")</f>
        <v>MGI:1333820</v>
      </c>
      <c r="P3087" t="s">
        <v>24765</v>
      </c>
      <c r="Q3087" t="s">
        <v>32</v>
      </c>
      <c r="R3087" t="s">
        <v>1038</v>
      </c>
      <c r="S3087" t="s">
        <v>32</v>
      </c>
      <c r="T3087" t="s">
        <v>32</v>
      </c>
      <c r="U3087" t="s">
        <v>32</v>
      </c>
      <c r="V3087" t="s">
        <v>1039</v>
      </c>
      <c r="W3087" t="s">
        <v>32</v>
      </c>
      <c r="X3087" t="s">
        <v>447</v>
      </c>
      <c r="Y3087" t="s">
        <v>32</v>
      </c>
      <c r="Z3087" t="s">
        <v>32</v>
      </c>
      <c r="AA3087" t="s">
        <v>23519</v>
      </c>
      <c r="AB3087" t="s">
        <v>17270</v>
      </c>
      <c r="AC3087" t="s">
        <v>1010</v>
      </c>
      <c r="AD3087" t="s">
        <v>32</v>
      </c>
      <c r="AE3087" t="s">
        <v>17271</v>
      </c>
      <c r="AF3087" t="s">
        <v>46835</v>
      </c>
    </row>
    <row r="3088" spans="1:32" x14ac:dyDescent="0.2">
      <c r="A3088">
        <v>3083</v>
      </c>
      <c r="B3088" t="s">
        <v>34729</v>
      </c>
      <c r="C3088" t="s">
        <v>34730</v>
      </c>
      <c r="D3088" t="s">
        <v>34731</v>
      </c>
      <c r="E3088" t="s">
        <v>34732</v>
      </c>
      <c r="F3088" t="s">
        <v>34733</v>
      </c>
      <c r="G3088" t="s">
        <v>34734</v>
      </c>
      <c r="H3088" t="str">
        <f>"Flrt2"</f>
        <v>Flrt2</v>
      </c>
      <c r="I3088" t="s">
        <v>32</v>
      </c>
      <c r="J3088" t="s">
        <v>37</v>
      </c>
      <c r="K3088">
        <v>10090</v>
      </c>
      <c r="L3088" s="3" t="str">
        <f>HYPERLINK("http://www.uniprot.org/uniprot/Q8BLU0", "Q8BLU0")</f>
        <v>Q8BLU0</v>
      </c>
      <c r="M3088" t="s">
        <v>34735</v>
      </c>
      <c r="N3088" t="str">
        <f>"Flrt2"</f>
        <v>Flrt2</v>
      </c>
      <c r="O3088" s="3" t="str">
        <f>HYPERLINK("http://www.informatics.jax.org/marker/MGI:3603594", "MGI:3603594")</f>
        <v>MGI:3603594</v>
      </c>
      <c r="P3088" t="s">
        <v>34736</v>
      </c>
      <c r="Q3088" t="s">
        <v>2784</v>
      </c>
      <c r="R3088" t="s">
        <v>34737</v>
      </c>
      <c r="S3088" t="s">
        <v>32</v>
      </c>
      <c r="T3088" t="s">
        <v>32</v>
      </c>
      <c r="U3088" t="s">
        <v>32</v>
      </c>
      <c r="V3088" t="s">
        <v>34738</v>
      </c>
      <c r="W3088" t="s">
        <v>32</v>
      </c>
      <c r="X3088" t="s">
        <v>2029</v>
      </c>
      <c r="Y3088" t="s">
        <v>5275</v>
      </c>
      <c r="Z3088" t="s">
        <v>126</v>
      </c>
      <c r="AA3088" t="s">
        <v>34739</v>
      </c>
      <c r="AB3088" t="s">
        <v>34740</v>
      </c>
      <c r="AC3088" t="s">
        <v>34741</v>
      </c>
      <c r="AD3088" t="s">
        <v>32</v>
      </c>
      <c r="AE3088" t="s">
        <v>34742</v>
      </c>
      <c r="AF3088" t="s">
        <v>46835</v>
      </c>
    </row>
    <row r="3089" spans="1:32" x14ac:dyDescent="0.2">
      <c r="A3089">
        <v>3084</v>
      </c>
      <c r="B3089" t="s">
        <v>34743</v>
      </c>
      <c r="C3089" t="s">
        <v>34744</v>
      </c>
      <c r="D3089" t="s">
        <v>34745</v>
      </c>
      <c r="E3089" t="s">
        <v>34746</v>
      </c>
      <c r="F3089" t="s">
        <v>34747</v>
      </c>
      <c r="G3089" t="s">
        <v>32</v>
      </c>
      <c r="H3089" t="str">
        <f>"Esf1"</f>
        <v>Esf1</v>
      </c>
      <c r="I3089" t="s">
        <v>34748</v>
      </c>
      <c r="J3089" t="s">
        <v>37</v>
      </c>
      <c r="K3089">
        <v>10090</v>
      </c>
      <c r="L3089" s="3" t="str">
        <f>HYPERLINK("http://www.uniprot.org/uniprot/Q3V1V3", "Q3V1V3")</f>
        <v>Q3V1V3</v>
      </c>
      <c r="M3089" t="s">
        <v>34749</v>
      </c>
      <c r="N3089" t="str">
        <f>"Esf1"</f>
        <v>Esf1</v>
      </c>
      <c r="O3089" s="3" t="str">
        <f>HYPERLINK("http://www.informatics.jax.org/marker/MGI:1913830", "MGI:1913830")</f>
        <v>MGI:1913830</v>
      </c>
      <c r="P3089" t="s">
        <v>34750</v>
      </c>
      <c r="Q3089" t="s">
        <v>4152</v>
      </c>
      <c r="R3089" t="s">
        <v>2279</v>
      </c>
      <c r="S3089" t="s">
        <v>32</v>
      </c>
      <c r="T3089" t="s">
        <v>32</v>
      </c>
      <c r="U3089" t="s">
        <v>32</v>
      </c>
      <c r="V3089" t="s">
        <v>290</v>
      </c>
      <c r="W3089" t="s">
        <v>32</v>
      </c>
      <c r="X3089" t="s">
        <v>32</v>
      </c>
      <c r="Y3089" t="s">
        <v>157</v>
      </c>
      <c r="Z3089" t="s">
        <v>32</v>
      </c>
      <c r="AA3089" t="s">
        <v>25279</v>
      </c>
      <c r="AB3089" t="s">
        <v>34751</v>
      </c>
      <c r="AC3089" t="s">
        <v>4711</v>
      </c>
      <c r="AD3089" t="s">
        <v>32</v>
      </c>
      <c r="AE3089" t="s">
        <v>32</v>
      </c>
      <c r="AF3089" t="s">
        <v>46835</v>
      </c>
    </row>
    <row r="3090" spans="1:32" x14ac:dyDescent="0.2">
      <c r="A3090">
        <v>3085</v>
      </c>
      <c r="B3090" t="s">
        <v>34752</v>
      </c>
      <c r="C3090" t="s">
        <v>34753</v>
      </c>
      <c r="D3090" t="s">
        <v>34754</v>
      </c>
      <c r="E3090" t="s">
        <v>34755</v>
      </c>
      <c r="F3090" t="s">
        <v>34756</v>
      </c>
      <c r="G3090" t="s">
        <v>34757</v>
      </c>
      <c r="H3090" t="str">
        <f>"Arhgap23"</f>
        <v>Arhgap23</v>
      </c>
      <c r="I3090" t="s">
        <v>34758</v>
      </c>
      <c r="J3090" t="s">
        <v>37</v>
      </c>
      <c r="K3090">
        <v>10090</v>
      </c>
      <c r="L3090" s="3" t="str">
        <f>HYPERLINK("http://www.uniprot.org/uniprot/Q69ZH9", "Q69ZH9")</f>
        <v>Q69ZH9</v>
      </c>
      <c r="M3090" t="s">
        <v>34759</v>
      </c>
      <c r="N3090" t="str">
        <f>"Arhgap23"</f>
        <v>Arhgap23</v>
      </c>
      <c r="O3090" s="3" t="str">
        <f>HYPERLINK("http://www.informatics.jax.org/marker/MGI:3697726", "MGI:3697726")</f>
        <v>MGI:3697726</v>
      </c>
      <c r="P3090" t="s">
        <v>34760</v>
      </c>
      <c r="Q3090" t="s">
        <v>32</v>
      </c>
      <c r="R3090" t="s">
        <v>32</v>
      </c>
      <c r="S3090" t="s">
        <v>41</v>
      </c>
      <c r="T3090" t="s">
        <v>32</v>
      </c>
      <c r="U3090" t="s">
        <v>32</v>
      </c>
      <c r="V3090" t="s">
        <v>32</v>
      </c>
      <c r="W3090" t="s">
        <v>32</v>
      </c>
      <c r="X3090" t="s">
        <v>715</v>
      </c>
      <c r="Y3090" t="s">
        <v>1007</v>
      </c>
      <c r="Z3090" t="s">
        <v>32</v>
      </c>
      <c r="AA3090" t="s">
        <v>19551</v>
      </c>
      <c r="AB3090" t="s">
        <v>32</v>
      </c>
      <c r="AC3090" t="s">
        <v>14857</v>
      </c>
      <c r="AD3090" t="s">
        <v>32</v>
      </c>
      <c r="AE3090" t="s">
        <v>34761</v>
      </c>
      <c r="AF3090" t="s">
        <v>46835</v>
      </c>
    </row>
    <row r="3091" spans="1:32" x14ac:dyDescent="0.2">
      <c r="A3091">
        <v>3086</v>
      </c>
      <c r="B3091" t="s">
        <v>34762</v>
      </c>
      <c r="C3091" t="s">
        <v>34763</v>
      </c>
      <c r="D3091" t="s">
        <v>34764</v>
      </c>
      <c r="E3091" t="s">
        <v>34765</v>
      </c>
      <c r="F3091" t="s">
        <v>34766</v>
      </c>
      <c r="G3091" t="s">
        <v>34767</v>
      </c>
      <c r="H3091" t="str">
        <f>"Casp3"</f>
        <v>Casp3</v>
      </c>
      <c r="I3091" t="s">
        <v>34768</v>
      </c>
      <c r="J3091" t="s">
        <v>37</v>
      </c>
      <c r="K3091">
        <v>10090</v>
      </c>
      <c r="L3091" s="3" t="str">
        <f>HYPERLINK("http://www.uniprot.org/uniprot/P70677", "P70677")</f>
        <v>P70677</v>
      </c>
      <c r="M3091" t="s">
        <v>34769</v>
      </c>
      <c r="N3091" t="str">
        <f>"Casp3"</f>
        <v>Casp3</v>
      </c>
      <c r="O3091" s="3" t="str">
        <f>HYPERLINK("http://www.informatics.jax.org/marker/MGI:107739", "MGI:107739")</f>
        <v>MGI:107739</v>
      </c>
      <c r="P3091" t="s">
        <v>34770</v>
      </c>
      <c r="Q3091" t="s">
        <v>541</v>
      </c>
      <c r="R3091" t="s">
        <v>418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557</v>
      </c>
      <c r="Y3091" t="s">
        <v>34771</v>
      </c>
      <c r="Z3091" t="s">
        <v>32</v>
      </c>
      <c r="AA3091" t="s">
        <v>34772</v>
      </c>
      <c r="AB3091" t="s">
        <v>34773</v>
      </c>
      <c r="AC3091" t="s">
        <v>34774</v>
      </c>
      <c r="AD3091" t="s">
        <v>32</v>
      </c>
      <c r="AE3091" t="s">
        <v>34775</v>
      </c>
      <c r="AF3091" t="s">
        <v>46835</v>
      </c>
    </row>
    <row r="3092" spans="1:32" x14ac:dyDescent="0.2">
      <c r="A3092">
        <v>3087</v>
      </c>
      <c r="B3092" t="s">
        <v>34776</v>
      </c>
      <c r="C3092" t="s">
        <v>34777</v>
      </c>
      <c r="D3092" t="s">
        <v>34778</v>
      </c>
      <c r="E3092" t="s">
        <v>34779</v>
      </c>
      <c r="F3092" t="s">
        <v>34780</v>
      </c>
      <c r="G3092" t="s">
        <v>34781</v>
      </c>
      <c r="H3092" t="str">
        <f>"Ylpm1"</f>
        <v>Ylpm1</v>
      </c>
      <c r="I3092" t="s">
        <v>34782</v>
      </c>
      <c r="J3092" t="s">
        <v>37</v>
      </c>
      <c r="K3092">
        <v>10090</v>
      </c>
      <c r="L3092" s="3" t="str">
        <f>HYPERLINK("http://www.uniprot.org/uniprot/Q9R0I7", "Q9R0I7")</f>
        <v>Q9R0I7</v>
      </c>
      <c r="M3092" t="s">
        <v>34783</v>
      </c>
      <c r="N3092" t="str">
        <f>"Ylpm1"</f>
        <v>Ylpm1</v>
      </c>
      <c r="O3092" s="3" t="str">
        <f>HYPERLINK("http://www.informatics.jax.org/marker/MGI:1926195", "MGI:1926195")</f>
        <v>MGI:1926195</v>
      </c>
      <c r="P3092" t="s">
        <v>34784</v>
      </c>
      <c r="Q3092" t="s">
        <v>4152</v>
      </c>
      <c r="R3092" t="s">
        <v>2279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5195</v>
      </c>
      <c r="Y3092" t="s">
        <v>10927</v>
      </c>
      <c r="Z3092" t="s">
        <v>32</v>
      </c>
      <c r="AA3092" t="s">
        <v>34785</v>
      </c>
      <c r="AB3092" t="s">
        <v>34786</v>
      </c>
      <c r="AC3092" t="s">
        <v>34787</v>
      </c>
      <c r="AD3092" t="s">
        <v>32</v>
      </c>
      <c r="AE3092" t="s">
        <v>32</v>
      </c>
      <c r="AF3092" t="s">
        <v>46835</v>
      </c>
    </row>
    <row r="3093" spans="1:32" x14ac:dyDescent="0.2">
      <c r="A3093">
        <v>3088</v>
      </c>
      <c r="B3093" t="s">
        <v>34788</v>
      </c>
      <c r="C3093" t="s">
        <v>34789</v>
      </c>
      <c r="D3093" t="s">
        <v>32</v>
      </c>
      <c r="E3093" t="s">
        <v>34790</v>
      </c>
      <c r="F3093" t="s">
        <v>34791</v>
      </c>
      <c r="G3093" t="s">
        <v>34792</v>
      </c>
      <c r="H3093" t="str">
        <f>"Trappc11"</f>
        <v>Trappc11</v>
      </c>
      <c r="I3093" t="s">
        <v>32</v>
      </c>
      <c r="J3093" t="s">
        <v>37</v>
      </c>
      <c r="K3093">
        <v>10090</v>
      </c>
      <c r="L3093" s="3" t="str">
        <f>HYPERLINK("http://www.uniprot.org/uniprot/B2RXC1", "B2RXC1")</f>
        <v>B2RXC1</v>
      </c>
      <c r="M3093" t="s">
        <v>34793</v>
      </c>
      <c r="N3093" t="str">
        <f>"Trappc11"</f>
        <v>Trappc11</v>
      </c>
      <c r="O3093" s="3" t="str">
        <f>HYPERLINK("http://www.informatics.jax.org/marker/MGI:2444585", "MGI:2444585")</f>
        <v>MGI:2444585</v>
      </c>
      <c r="P3093" t="s">
        <v>34794</v>
      </c>
      <c r="Q3093" t="s">
        <v>14011</v>
      </c>
      <c r="R3093" t="s">
        <v>12904</v>
      </c>
      <c r="S3093" t="s">
        <v>41</v>
      </c>
      <c r="T3093" t="s">
        <v>32</v>
      </c>
      <c r="U3093" t="s">
        <v>32</v>
      </c>
      <c r="V3093" t="s">
        <v>32</v>
      </c>
      <c r="W3093" t="s">
        <v>32</v>
      </c>
      <c r="X3093" t="s">
        <v>32</v>
      </c>
      <c r="Y3093" t="s">
        <v>78</v>
      </c>
      <c r="Z3093" t="s">
        <v>32</v>
      </c>
      <c r="AA3093" t="s">
        <v>34795</v>
      </c>
      <c r="AB3093" t="s">
        <v>34796</v>
      </c>
      <c r="AC3093" t="s">
        <v>32</v>
      </c>
      <c r="AD3093" t="s">
        <v>32</v>
      </c>
      <c r="AE3093" t="s">
        <v>8182</v>
      </c>
      <c r="AF3093" t="s">
        <v>46835</v>
      </c>
    </row>
    <row r="3094" spans="1:32" x14ac:dyDescent="0.2">
      <c r="A3094">
        <v>3089</v>
      </c>
      <c r="B3094" t="s">
        <v>34797</v>
      </c>
      <c r="C3094" t="s">
        <v>34798</v>
      </c>
      <c r="D3094" t="s">
        <v>32</v>
      </c>
      <c r="E3094" t="s">
        <v>34799</v>
      </c>
      <c r="F3094" t="s">
        <v>34800</v>
      </c>
      <c r="G3094" t="s">
        <v>34801</v>
      </c>
      <c r="H3094" t="str">
        <f>"Slmap"</f>
        <v>Slmap</v>
      </c>
      <c r="I3094" t="s">
        <v>34802</v>
      </c>
      <c r="J3094" t="s">
        <v>37</v>
      </c>
      <c r="K3094">
        <v>10090</v>
      </c>
      <c r="L3094" s="3" t="str">
        <f>HYPERLINK("http://www.uniprot.org/uniprot/Q3URD3", "Q3URD3")</f>
        <v>Q3URD3</v>
      </c>
      <c r="M3094" t="s">
        <v>34803</v>
      </c>
      <c r="N3094" t="str">
        <f>"Slmap"</f>
        <v>Slmap</v>
      </c>
      <c r="O3094" s="3" t="str">
        <f>HYPERLINK("http://www.informatics.jax.org/marker/MGI:1933549", "MGI:1933549")</f>
        <v>MGI:1933549</v>
      </c>
      <c r="P3094" t="s">
        <v>34804</v>
      </c>
      <c r="Q3094" t="s">
        <v>32</v>
      </c>
      <c r="R3094" t="s">
        <v>371</v>
      </c>
      <c r="S3094" t="s">
        <v>41</v>
      </c>
      <c r="T3094" t="s">
        <v>32</v>
      </c>
      <c r="U3094" t="s">
        <v>32</v>
      </c>
      <c r="V3094" t="s">
        <v>6500</v>
      </c>
      <c r="W3094" t="s">
        <v>32</v>
      </c>
      <c r="X3094" t="s">
        <v>32</v>
      </c>
      <c r="Y3094" t="s">
        <v>618</v>
      </c>
      <c r="Z3094" t="s">
        <v>32</v>
      </c>
      <c r="AA3094" t="s">
        <v>34805</v>
      </c>
      <c r="AB3094" t="s">
        <v>34806</v>
      </c>
      <c r="AC3094" t="s">
        <v>32</v>
      </c>
      <c r="AD3094" t="s">
        <v>32</v>
      </c>
      <c r="AE3094" t="s">
        <v>32</v>
      </c>
      <c r="AF3094" t="s">
        <v>46835</v>
      </c>
    </row>
    <row r="3095" spans="1:32" x14ac:dyDescent="0.2">
      <c r="A3095">
        <v>3090</v>
      </c>
      <c r="B3095" t="s">
        <v>34807</v>
      </c>
      <c r="C3095" t="s">
        <v>34808</v>
      </c>
      <c r="D3095" t="s">
        <v>32</v>
      </c>
      <c r="E3095" t="s">
        <v>34809</v>
      </c>
      <c r="F3095" t="s">
        <v>34810</v>
      </c>
      <c r="G3095" t="s">
        <v>32</v>
      </c>
      <c r="H3095" t="str">
        <f>"Atxn7l3b"</f>
        <v>Atxn7l3b</v>
      </c>
      <c r="I3095" t="s">
        <v>32</v>
      </c>
      <c r="J3095" t="s">
        <v>37</v>
      </c>
      <c r="K3095">
        <v>10090</v>
      </c>
      <c r="L3095" s="3" t="str">
        <f>HYPERLINK("http://www.uniprot.org/uniprot/Q3UD01", "Q3UD01")</f>
        <v>Q3UD01</v>
      </c>
      <c r="M3095" t="s">
        <v>34811</v>
      </c>
      <c r="N3095" t="str">
        <f>"Atxn7l3b"</f>
        <v>Atxn7l3b</v>
      </c>
      <c r="O3095" s="3" t="str">
        <f>HYPERLINK("http://www.informatics.jax.org/marker/MGI:1914971", "MGI:1914971")</f>
        <v>MGI:1914971</v>
      </c>
      <c r="P3095" t="s">
        <v>21963</v>
      </c>
      <c r="Q3095" t="s">
        <v>32</v>
      </c>
      <c r="R3095" t="s">
        <v>418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32</v>
      </c>
      <c r="Y3095" t="s">
        <v>618</v>
      </c>
      <c r="Z3095" t="s">
        <v>32</v>
      </c>
      <c r="AA3095" t="s">
        <v>34812</v>
      </c>
      <c r="AB3095" t="s">
        <v>2172</v>
      </c>
      <c r="AC3095" t="s">
        <v>32</v>
      </c>
      <c r="AD3095" t="s">
        <v>32</v>
      </c>
      <c r="AE3095" t="s">
        <v>32</v>
      </c>
      <c r="AF3095" t="s">
        <v>46835</v>
      </c>
    </row>
    <row r="3096" spans="1:32" x14ac:dyDescent="0.2">
      <c r="A3096">
        <v>3091</v>
      </c>
      <c r="B3096" t="s">
        <v>34813</v>
      </c>
      <c r="C3096" t="s">
        <v>34814</v>
      </c>
      <c r="D3096" t="s">
        <v>34815</v>
      </c>
      <c r="E3096" t="s">
        <v>34816</v>
      </c>
      <c r="F3096" t="s">
        <v>34817</v>
      </c>
      <c r="G3096" t="s">
        <v>32</v>
      </c>
      <c r="H3096" t="str">
        <f>"Top3b"</f>
        <v>Top3b</v>
      </c>
      <c r="I3096" t="s">
        <v>34818</v>
      </c>
      <c r="J3096" t="s">
        <v>37</v>
      </c>
      <c r="K3096">
        <v>10090</v>
      </c>
      <c r="L3096" s="3" t="str">
        <f>HYPERLINK("http://www.uniprot.org/uniprot/Q9Z321", "Q9Z321")</f>
        <v>Q9Z321</v>
      </c>
      <c r="M3096" t="s">
        <v>34819</v>
      </c>
      <c r="N3096" t="str">
        <f>"Top3b"</f>
        <v>Top3b</v>
      </c>
      <c r="O3096" s="3" t="str">
        <f>HYPERLINK("http://www.informatics.jax.org/marker/MGI:1333803", "MGI:1333803")</f>
        <v>MGI:1333803</v>
      </c>
      <c r="P3096" t="s">
        <v>8893</v>
      </c>
      <c r="Q3096" t="s">
        <v>32</v>
      </c>
      <c r="R3096" t="s">
        <v>32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8893</v>
      </c>
      <c r="Y3096" t="s">
        <v>32</v>
      </c>
      <c r="Z3096" t="s">
        <v>32</v>
      </c>
      <c r="AA3096" t="s">
        <v>34820</v>
      </c>
      <c r="AB3096" t="s">
        <v>34821</v>
      </c>
      <c r="AC3096" t="s">
        <v>34822</v>
      </c>
      <c r="AD3096" t="s">
        <v>32</v>
      </c>
      <c r="AE3096" t="s">
        <v>32</v>
      </c>
      <c r="AF3096" t="s">
        <v>46835</v>
      </c>
    </row>
    <row r="3097" spans="1:32" x14ac:dyDescent="0.2">
      <c r="A3097">
        <v>3092</v>
      </c>
      <c r="B3097" t="s">
        <v>34823</v>
      </c>
      <c r="C3097" t="s">
        <v>34824</v>
      </c>
      <c r="D3097" t="s">
        <v>34825</v>
      </c>
      <c r="E3097" t="s">
        <v>34826</v>
      </c>
      <c r="F3097" t="s">
        <v>34827</v>
      </c>
      <c r="G3097" t="s">
        <v>34828</v>
      </c>
      <c r="H3097" t="str">
        <f>"Slc9a3r2"</f>
        <v>Slc9a3r2</v>
      </c>
      <c r="I3097" t="s">
        <v>34829</v>
      </c>
      <c r="J3097" t="s">
        <v>37</v>
      </c>
      <c r="K3097">
        <v>10090</v>
      </c>
      <c r="L3097" s="3" t="str">
        <f>HYPERLINK("http://www.uniprot.org/uniprot/Q9JHL1", "Q9JHL1")</f>
        <v>Q9JHL1</v>
      </c>
      <c r="M3097" t="s">
        <v>34830</v>
      </c>
      <c r="N3097" t="str">
        <f>"Slc9a3r2"</f>
        <v>Slc9a3r2</v>
      </c>
      <c r="O3097" s="3" t="str">
        <f>HYPERLINK("http://www.informatics.jax.org/marker/MGI:1890662", "MGI:1890662")</f>
        <v>MGI:1890662</v>
      </c>
      <c r="P3097" t="s">
        <v>34831</v>
      </c>
      <c r="Q3097" t="s">
        <v>32</v>
      </c>
      <c r="R3097" t="s">
        <v>13681</v>
      </c>
      <c r="S3097" t="s">
        <v>41</v>
      </c>
      <c r="T3097" t="s">
        <v>32</v>
      </c>
      <c r="U3097" t="s">
        <v>32</v>
      </c>
      <c r="V3097" t="s">
        <v>55</v>
      </c>
      <c r="W3097" t="s">
        <v>32</v>
      </c>
      <c r="X3097" t="s">
        <v>32</v>
      </c>
      <c r="Y3097" t="s">
        <v>618</v>
      </c>
      <c r="Z3097" t="s">
        <v>32</v>
      </c>
      <c r="AA3097" t="s">
        <v>34832</v>
      </c>
      <c r="AB3097" t="s">
        <v>34833</v>
      </c>
      <c r="AC3097" t="s">
        <v>34834</v>
      </c>
      <c r="AD3097" t="s">
        <v>32</v>
      </c>
      <c r="AE3097" t="s">
        <v>32</v>
      </c>
      <c r="AF3097" t="s">
        <v>46835</v>
      </c>
    </row>
    <row r="3098" spans="1:32" x14ac:dyDescent="0.2">
      <c r="A3098">
        <v>3093</v>
      </c>
      <c r="B3098" t="s">
        <v>34835</v>
      </c>
      <c r="C3098" t="s">
        <v>34836</v>
      </c>
      <c r="D3098" t="s">
        <v>34837</v>
      </c>
      <c r="E3098" t="s">
        <v>34838</v>
      </c>
      <c r="F3098" t="s">
        <v>34839</v>
      </c>
      <c r="G3098" t="s">
        <v>34840</v>
      </c>
      <c r="H3098" t="str">
        <f>"Hopx"</f>
        <v>Hopx</v>
      </c>
      <c r="I3098" t="s">
        <v>34841</v>
      </c>
      <c r="J3098" t="s">
        <v>37</v>
      </c>
      <c r="K3098">
        <v>10090</v>
      </c>
      <c r="L3098" s="3" t="str">
        <f>HYPERLINK("http://www.uniprot.org/uniprot/Q8R1H0", "Q8R1H0")</f>
        <v>Q8R1H0</v>
      </c>
      <c r="M3098" t="s">
        <v>34842</v>
      </c>
      <c r="N3098" t="str">
        <f>"Hopx"</f>
        <v>Hopx</v>
      </c>
      <c r="O3098" s="3" t="str">
        <f>HYPERLINK("http://www.informatics.jax.org/marker/MGI:1916782", "MGI:1916782")</f>
        <v>MGI:1916782</v>
      </c>
      <c r="P3098" t="s">
        <v>34843</v>
      </c>
      <c r="Q3098" t="s">
        <v>4152</v>
      </c>
      <c r="R3098" t="s">
        <v>40</v>
      </c>
      <c r="S3098" t="s">
        <v>32</v>
      </c>
      <c r="T3098" t="s">
        <v>32</v>
      </c>
      <c r="U3098" t="s">
        <v>32</v>
      </c>
      <c r="V3098" t="s">
        <v>9360</v>
      </c>
      <c r="W3098" t="s">
        <v>32</v>
      </c>
      <c r="X3098" t="s">
        <v>18938</v>
      </c>
      <c r="Y3098" t="s">
        <v>32</v>
      </c>
      <c r="Z3098" t="s">
        <v>126</v>
      </c>
      <c r="AA3098" t="s">
        <v>34844</v>
      </c>
      <c r="AB3098" t="s">
        <v>110</v>
      </c>
      <c r="AC3098" t="s">
        <v>13572</v>
      </c>
      <c r="AD3098" t="s">
        <v>32</v>
      </c>
      <c r="AE3098" t="s">
        <v>32</v>
      </c>
      <c r="AF3098" t="s">
        <v>46835</v>
      </c>
    </row>
    <row r="3099" spans="1:32" x14ac:dyDescent="0.2">
      <c r="A3099">
        <v>3094</v>
      </c>
      <c r="B3099" t="s">
        <v>34845</v>
      </c>
      <c r="C3099" t="s">
        <v>34846</v>
      </c>
      <c r="D3099" t="s">
        <v>34847</v>
      </c>
      <c r="E3099" t="s">
        <v>34848</v>
      </c>
      <c r="F3099" t="s">
        <v>34849</v>
      </c>
      <c r="G3099" t="s">
        <v>34850</v>
      </c>
      <c r="H3099" t="str">
        <f>"Arhgef2"</f>
        <v>Arhgef2</v>
      </c>
      <c r="I3099" t="s">
        <v>34851</v>
      </c>
      <c r="J3099" t="s">
        <v>37</v>
      </c>
      <c r="K3099">
        <v>10090</v>
      </c>
      <c r="L3099" s="3" t="str">
        <f>HYPERLINK("http://www.uniprot.org/uniprot/Q60875", "Q60875")</f>
        <v>Q60875</v>
      </c>
      <c r="M3099" t="s">
        <v>34852</v>
      </c>
      <c r="N3099" t="str">
        <f>"Arhgef2"</f>
        <v>Arhgef2</v>
      </c>
      <c r="O3099" s="3" t="str">
        <f>HYPERLINK("http://www.informatics.jax.org/marker/MGI:103264", "MGI:103264")</f>
        <v>MGI:103264</v>
      </c>
      <c r="P3099" t="s">
        <v>34853</v>
      </c>
      <c r="Q3099" t="s">
        <v>34854</v>
      </c>
      <c r="R3099" t="s">
        <v>34855</v>
      </c>
      <c r="S3099" t="s">
        <v>41</v>
      </c>
      <c r="T3099" t="s">
        <v>32</v>
      </c>
      <c r="U3099" t="s">
        <v>4682</v>
      </c>
      <c r="V3099" t="s">
        <v>11171</v>
      </c>
      <c r="W3099" t="s">
        <v>42</v>
      </c>
      <c r="X3099" t="s">
        <v>20602</v>
      </c>
      <c r="Y3099" t="s">
        <v>157</v>
      </c>
      <c r="Z3099" t="s">
        <v>126</v>
      </c>
      <c r="AA3099" t="s">
        <v>34856</v>
      </c>
      <c r="AB3099" t="s">
        <v>34857</v>
      </c>
      <c r="AC3099" t="s">
        <v>34858</v>
      </c>
      <c r="AD3099" t="s">
        <v>32</v>
      </c>
      <c r="AE3099" t="s">
        <v>34859</v>
      </c>
      <c r="AF3099" t="s">
        <v>46835</v>
      </c>
    </row>
    <row r="3100" spans="1:32" x14ac:dyDescent="0.2">
      <c r="A3100">
        <v>3095</v>
      </c>
      <c r="B3100" t="s">
        <v>34860</v>
      </c>
      <c r="C3100" t="s">
        <v>34861</v>
      </c>
      <c r="D3100" t="s">
        <v>34862</v>
      </c>
      <c r="E3100" t="s">
        <v>34863</v>
      </c>
      <c r="F3100" t="s">
        <v>34864</v>
      </c>
      <c r="G3100" t="s">
        <v>34865</v>
      </c>
      <c r="H3100" t="str">
        <f>"Gtf2f1"</f>
        <v>Gtf2f1</v>
      </c>
      <c r="I3100" t="s">
        <v>32</v>
      </c>
      <c r="J3100" t="s">
        <v>37</v>
      </c>
      <c r="K3100">
        <v>10090</v>
      </c>
      <c r="L3100" s="3" t="str">
        <f>HYPERLINK("http://www.uniprot.org/uniprot/Q3THK3", "Q3THK3")</f>
        <v>Q3THK3</v>
      </c>
      <c r="M3100" t="s">
        <v>34866</v>
      </c>
      <c r="N3100" t="str">
        <f>"Gtf2f1"</f>
        <v>Gtf2f1</v>
      </c>
      <c r="O3100" s="3" t="str">
        <f>HYPERLINK("http://www.informatics.jax.org/marker/MGI:1923848", "MGI:1923848")</f>
        <v>MGI:1923848</v>
      </c>
      <c r="P3100" t="s">
        <v>25289</v>
      </c>
      <c r="Q3100" t="s">
        <v>4152</v>
      </c>
      <c r="R3100" t="s">
        <v>2279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247</v>
      </c>
      <c r="Y3100" t="s">
        <v>157</v>
      </c>
      <c r="Z3100" t="s">
        <v>32</v>
      </c>
      <c r="AA3100" t="s">
        <v>34867</v>
      </c>
      <c r="AB3100" t="s">
        <v>34868</v>
      </c>
      <c r="AC3100" t="s">
        <v>34869</v>
      </c>
      <c r="AD3100" t="s">
        <v>32</v>
      </c>
      <c r="AE3100" t="s">
        <v>26608</v>
      </c>
      <c r="AF3100" t="s">
        <v>46835</v>
      </c>
    </row>
    <row r="3101" spans="1:32" x14ac:dyDescent="0.2">
      <c r="A3101">
        <v>3096</v>
      </c>
      <c r="B3101" t="s">
        <v>34870</v>
      </c>
      <c r="C3101" t="s">
        <v>34871</v>
      </c>
      <c r="D3101" t="s">
        <v>34872</v>
      </c>
      <c r="E3101" t="s">
        <v>34873</v>
      </c>
      <c r="F3101" t="s">
        <v>34874</v>
      </c>
      <c r="G3101" t="s">
        <v>34875</v>
      </c>
      <c r="H3101" t="str">
        <f>"Ccdc186"</f>
        <v>Ccdc186</v>
      </c>
      <c r="I3101" t="s">
        <v>34876</v>
      </c>
      <c r="J3101" t="s">
        <v>37</v>
      </c>
      <c r="K3101">
        <v>10090</v>
      </c>
      <c r="L3101" s="3" t="str">
        <f>HYPERLINK("http://www.uniprot.org/uniprot/Q8C9S4", "Q8C9S4")</f>
        <v>Q8C9S4</v>
      </c>
      <c r="M3101" t="s">
        <v>34877</v>
      </c>
      <c r="N3101" t="str">
        <f>"Ccdc186"</f>
        <v>Ccdc186</v>
      </c>
      <c r="O3101" s="3" t="str">
        <f>HYPERLINK("http://www.informatics.jax.org/marker/MGI:2445022", "MGI:2445022")</f>
        <v>MGI:2445022</v>
      </c>
      <c r="P3101" t="s">
        <v>34878</v>
      </c>
      <c r="Q3101" t="s">
        <v>32</v>
      </c>
      <c r="R3101" t="s">
        <v>32</v>
      </c>
      <c r="S3101" t="s">
        <v>32</v>
      </c>
      <c r="T3101" t="s">
        <v>32</v>
      </c>
      <c r="U3101" t="s">
        <v>32</v>
      </c>
      <c r="V3101" t="s">
        <v>290</v>
      </c>
      <c r="W3101" t="s">
        <v>32</v>
      </c>
      <c r="X3101" t="s">
        <v>32</v>
      </c>
      <c r="Y3101" t="s">
        <v>618</v>
      </c>
      <c r="Z3101" t="s">
        <v>32</v>
      </c>
      <c r="AA3101" t="s">
        <v>34879</v>
      </c>
      <c r="AB3101" t="s">
        <v>34880</v>
      </c>
      <c r="AC3101" t="s">
        <v>10905</v>
      </c>
      <c r="AD3101" t="s">
        <v>32</v>
      </c>
      <c r="AE3101" t="s">
        <v>32</v>
      </c>
      <c r="AF3101" t="s">
        <v>46835</v>
      </c>
    </row>
    <row r="3102" spans="1:32" x14ac:dyDescent="0.2">
      <c r="A3102">
        <v>3097</v>
      </c>
      <c r="B3102" t="s">
        <v>34881</v>
      </c>
      <c r="C3102" t="s">
        <v>34882</v>
      </c>
      <c r="D3102" t="s">
        <v>34883</v>
      </c>
      <c r="E3102" t="s">
        <v>34884</v>
      </c>
      <c r="F3102" t="s">
        <v>34885</v>
      </c>
      <c r="G3102" t="s">
        <v>34886</v>
      </c>
      <c r="H3102" t="str">
        <f>"Cdc42bpa"</f>
        <v>Cdc42bpa</v>
      </c>
      <c r="I3102" t="s">
        <v>34887</v>
      </c>
      <c r="J3102" t="s">
        <v>37</v>
      </c>
      <c r="K3102">
        <v>10090</v>
      </c>
      <c r="L3102" s="3" t="str">
        <f>HYPERLINK("http://www.uniprot.org/uniprot/Q3UU96", "Q3UU96")</f>
        <v>Q3UU96</v>
      </c>
      <c r="M3102" t="s">
        <v>34888</v>
      </c>
      <c r="N3102" t="str">
        <f>"Cdc42bpa"</f>
        <v>Cdc42bpa</v>
      </c>
      <c r="O3102" s="3" t="str">
        <f>HYPERLINK("http://www.informatics.jax.org/marker/MGI:2441841", "MGI:2441841")</f>
        <v>MGI:2441841</v>
      </c>
      <c r="P3102" t="s">
        <v>34889</v>
      </c>
      <c r="Q3102" t="s">
        <v>32</v>
      </c>
      <c r="R3102" t="s">
        <v>599</v>
      </c>
      <c r="S3102" t="s">
        <v>41</v>
      </c>
      <c r="T3102" t="s">
        <v>32</v>
      </c>
      <c r="U3102" t="s">
        <v>32</v>
      </c>
      <c r="V3102" t="s">
        <v>11171</v>
      </c>
      <c r="W3102" t="s">
        <v>2325</v>
      </c>
      <c r="X3102" t="s">
        <v>5419</v>
      </c>
      <c r="Y3102" t="s">
        <v>618</v>
      </c>
      <c r="Z3102" t="s">
        <v>32</v>
      </c>
      <c r="AA3102" t="s">
        <v>34890</v>
      </c>
      <c r="AB3102" t="s">
        <v>34891</v>
      </c>
      <c r="AC3102" t="s">
        <v>34892</v>
      </c>
      <c r="AD3102" t="s">
        <v>32</v>
      </c>
      <c r="AE3102" t="s">
        <v>34893</v>
      </c>
      <c r="AF3102" t="s">
        <v>46835</v>
      </c>
    </row>
    <row r="3103" spans="1:32" x14ac:dyDescent="0.2">
      <c r="A3103">
        <v>3098</v>
      </c>
      <c r="B3103" t="s">
        <v>34894</v>
      </c>
      <c r="C3103" t="s">
        <v>34895</v>
      </c>
      <c r="D3103" t="s">
        <v>34896</v>
      </c>
      <c r="E3103" t="s">
        <v>34897</v>
      </c>
      <c r="F3103" t="s">
        <v>34898</v>
      </c>
      <c r="G3103" t="s">
        <v>34899</v>
      </c>
      <c r="H3103" t="str">
        <f>"Arfgef1"</f>
        <v>Arfgef1</v>
      </c>
      <c r="I3103" t="s">
        <v>32</v>
      </c>
      <c r="J3103" t="s">
        <v>37</v>
      </c>
      <c r="K3103">
        <v>10090</v>
      </c>
      <c r="L3103" s="3" t="str">
        <f>HYPERLINK("http://www.uniprot.org/uniprot/G3X9K3", "G3X9K3")</f>
        <v>G3X9K3</v>
      </c>
      <c r="M3103" t="s">
        <v>34900</v>
      </c>
      <c r="N3103" t="str">
        <f>"Arfgef1"</f>
        <v>Arfgef1</v>
      </c>
      <c r="O3103" s="3" t="str">
        <f>HYPERLINK("http://www.informatics.jax.org/marker/MGI:2442988", "MGI:2442988")</f>
        <v>MGI:2442988</v>
      </c>
      <c r="P3103" t="s">
        <v>34901</v>
      </c>
      <c r="Q3103" t="s">
        <v>434</v>
      </c>
      <c r="R3103" t="s">
        <v>34902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5011</v>
      </c>
      <c r="Y3103" t="s">
        <v>618</v>
      </c>
      <c r="Z3103" t="s">
        <v>32</v>
      </c>
      <c r="AA3103" t="s">
        <v>34903</v>
      </c>
      <c r="AB3103" t="s">
        <v>34904</v>
      </c>
      <c r="AC3103" t="s">
        <v>34905</v>
      </c>
      <c r="AD3103" t="s">
        <v>32</v>
      </c>
      <c r="AE3103" t="s">
        <v>32</v>
      </c>
      <c r="AF3103" t="s">
        <v>46835</v>
      </c>
    </row>
    <row r="3104" spans="1:32" x14ac:dyDescent="0.2">
      <c r="A3104">
        <v>3099</v>
      </c>
      <c r="B3104" t="s">
        <v>34906</v>
      </c>
      <c r="C3104" t="s">
        <v>34907</v>
      </c>
      <c r="D3104" t="s">
        <v>34908</v>
      </c>
      <c r="E3104" t="s">
        <v>34909</v>
      </c>
      <c r="F3104" t="s">
        <v>34910</v>
      </c>
      <c r="G3104" t="s">
        <v>34911</v>
      </c>
      <c r="H3104" t="str">
        <f>"Cdip1"</f>
        <v>Cdip1</v>
      </c>
      <c r="I3104" t="s">
        <v>32</v>
      </c>
      <c r="J3104" t="s">
        <v>37</v>
      </c>
      <c r="K3104">
        <v>10090</v>
      </c>
      <c r="L3104" s="3" t="str">
        <f>HYPERLINK("http://www.uniprot.org/uniprot/Q9DB75", "Q9DB75")</f>
        <v>Q9DB75</v>
      </c>
      <c r="M3104" t="s">
        <v>34912</v>
      </c>
      <c r="N3104" t="str">
        <f>"Cdip1"</f>
        <v>Cdip1</v>
      </c>
      <c r="O3104" s="3" t="str">
        <f>HYPERLINK("http://www.informatics.jax.org/marker/MGI:1913876", "MGI:1913876")</f>
        <v>MGI:1913876</v>
      </c>
      <c r="P3104" t="s">
        <v>34913</v>
      </c>
      <c r="Q3104" t="s">
        <v>541</v>
      </c>
      <c r="R3104" t="s">
        <v>20648</v>
      </c>
      <c r="S3104" t="s">
        <v>41</v>
      </c>
      <c r="T3104" t="s">
        <v>32</v>
      </c>
      <c r="U3104" t="s">
        <v>32</v>
      </c>
      <c r="V3104" t="s">
        <v>32</v>
      </c>
      <c r="W3104" t="s">
        <v>42</v>
      </c>
      <c r="X3104" t="s">
        <v>32</v>
      </c>
      <c r="Y3104" t="s">
        <v>32</v>
      </c>
      <c r="Z3104" t="s">
        <v>32</v>
      </c>
      <c r="AA3104" t="s">
        <v>34914</v>
      </c>
      <c r="AB3104" t="s">
        <v>34915</v>
      </c>
      <c r="AC3104" t="s">
        <v>14560</v>
      </c>
      <c r="AD3104" t="s">
        <v>32</v>
      </c>
      <c r="AE3104" t="s">
        <v>32</v>
      </c>
      <c r="AF3104" t="s">
        <v>46835</v>
      </c>
    </row>
    <row r="3105" spans="1:32" x14ac:dyDescent="0.2">
      <c r="A3105">
        <v>3100</v>
      </c>
      <c r="B3105" t="s">
        <v>34916</v>
      </c>
      <c r="C3105" t="s">
        <v>34917</v>
      </c>
      <c r="D3105" t="s">
        <v>34918</v>
      </c>
      <c r="E3105" t="s">
        <v>34919</v>
      </c>
      <c r="F3105" t="s">
        <v>34920</v>
      </c>
      <c r="G3105" t="s">
        <v>32</v>
      </c>
      <c r="H3105" t="str">
        <f>"Rfc2"</f>
        <v>Rfc2</v>
      </c>
      <c r="I3105" t="s">
        <v>32</v>
      </c>
      <c r="J3105" t="s">
        <v>37</v>
      </c>
      <c r="K3105">
        <v>10090</v>
      </c>
      <c r="L3105" s="3" t="str">
        <f>HYPERLINK("http://www.uniprot.org/uniprot/Q9WUK4", "Q9WUK4")</f>
        <v>Q9WUK4</v>
      </c>
      <c r="M3105" t="s">
        <v>34921</v>
      </c>
      <c r="N3105" t="str">
        <f>"Rfc2"</f>
        <v>Rfc2</v>
      </c>
      <c r="O3105" s="3" t="str">
        <f>HYPERLINK("http://www.informatics.jax.org/marker/MGI:1341868", "MGI:1341868")</f>
        <v>MGI:1341868</v>
      </c>
      <c r="P3105" t="s">
        <v>34922</v>
      </c>
      <c r="Q3105" t="s">
        <v>24093</v>
      </c>
      <c r="R3105" t="s">
        <v>2279</v>
      </c>
      <c r="S3105" t="s">
        <v>32</v>
      </c>
      <c r="T3105" t="s">
        <v>32</v>
      </c>
      <c r="U3105" t="s">
        <v>32</v>
      </c>
      <c r="V3105" t="s">
        <v>32</v>
      </c>
      <c r="W3105" t="s">
        <v>205</v>
      </c>
      <c r="X3105" t="s">
        <v>32</v>
      </c>
      <c r="Y3105" t="s">
        <v>78</v>
      </c>
      <c r="Z3105" t="s">
        <v>32</v>
      </c>
      <c r="AA3105" t="s">
        <v>34923</v>
      </c>
      <c r="AB3105" t="s">
        <v>34924</v>
      </c>
      <c r="AC3105" t="s">
        <v>34925</v>
      </c>
      <c r="AD3105" t="s">
        <v>32</v>
      </c>
      <c r="AE3105" t="s">
        <v>34926</v>
      </c>
      <c r="AF3105" t="s">
        <v>46835</v>
      </c>
    </row>
    <row r="3106" spans="1:32" x14ac:dyDescent="0.2">
      <c r="A3106">
        <v>3101</v>
      </c>
      <c r="B3106" t="s">
        <v>34927</v>
      </c>
      <c r="C3106" t="s">
        <v>34928</v>
      </c>
      <c r="D3106" t="s">
        <v>32</v>
      </c>
      <c r="E3106" t="s">
        <v>34929</v>
      </c>
      <c r="F3106" t="s">
        <v>34930</v>
      </c>
      <c r="G3106" t="s">
        <v>34931</v>
      </c>
      <c r="H3106" t="str">
        <f>"Pum3"</f>
        <v>Pum3</v>
      </c>
      <c r="I3106" t="s">
        <v>32</v>
      </c>
      <c r="J3106" t="s">
        <v>37</v>
      </c>
      <c r="K3106">
        <v>10090</v>
      </c>
      <c r="L3106" s="3" t="str">
        <f>HYPERLINK("http://www.uniprot.org/uniprot/Q8BKS9", "Q8BKS9")</f>
        <v>Q8BKS9</v>
      </c>
      <c r="M3106" t="s">
        <v>34932</v>
      </c>
      <c r="N3106" t="str">
        <f>"Pum3"</f>
        <v>Pum3</v>
      </c>
      <c r="O3106" s="3" t="str">
        <f>HYPERLINK("http://www.informatics.jax.org/marker/MGI:106253", "MGI:106253")</f>
        <v>MGI:106253</v>
      </c>
      <c r="P3106" t="s">
        <v>34933</v>
      </c>
      <c r="Q3106" t="s">
        <v>32</v>
      </c>
      <c r="R3106" t="s">
        <v>1939</v>
      </c>
      <c r="S3106" t="s">
        <v>32</v>
      </c>
      <c r="T3106" t="s">
        <v>32</v>
      </c>
      <c r="U3106" t="s">
        <v>32</v>
      </c>
      <c r="V3106" t="s">
        <v>55</v>
      </c>
      <c r="W3106" t="s">
        <v>32</v>
      </c>
      <c r="X3106" t="s">
        <v>956</v>
      </c>
      <c r="Y3106" t="s">
        <v>78</v>
      </c>
      <c r="Z3106" t="s">
        <v>32</v>
      </c>
      <c r="AA3106" t="s">
        <v>34934</v>
      </c>
      <c r="AB3106" t="s">
        <v>34935</v>
      </c>
      <c r="AC3106" t="s">
        <v>19772</v>
      </c>
      <c r="AD3106" t="s">
        <v>32</v>
      </c>
      <c r="AE3106" t="s">
        <v>32</v>
      </c>
      <c r="AF3106" t="s">
        <v>46835</v>
      </c>
    </row>
    <row r="3107" spans="1:32" x14ac:dyDescent="0.2">
      <c r="A3107">
        <v>3102</v>
      </c>
      <c r="B3107" t="s">
        <v>34936</v>
      </c>
      <c r="C3107" t="s">
        <v>34937</v>
      </c>
      <c r="D3107" t="s">
        <v>34938</v>
      </c>
      <c r="E3107" t="s">
        <v>34939</v>
      </c>
      <c r="F3107" t="s">
        <v>34940</v>
      </c>
      <c r="G3107" t="s">
        <v>34941</v>
      </c>
      <c r="H3107" t="str">
        <f>"Galnt7"</f>
        <v>Galnt7</v>
      </c>
      <c r="I3107" t="s">
        <v>32</v>
      </c>
      <c r="J3107" t="s">
        <v>37</v>
      </c>
      <c r="K3107">
        <v>10090</v>
      </c>
      <c r="L3107" s="3" t="str">
        <f>HYPERLINK("http://www.uniprot.org/uniprot/Q80VA0", "Q80VA0")</f>
        <v>Q80VA0</v>
      </c>
      <c r="M3107" t="s">
        <v>34942</v>
      </c>
      <c r="N3107" t="str">
        <f>"Galnt7"</f>
        <v>Galnt7</v>
      </c>
      <c r="O3107" s="3" t="str">
        <f>HYPERLINK("http://www.informatics.jax.org/marker/MGI:1349449", "MGI:1349449")</f>
        <v>MGI:1349449</v>
      </c>
      <c r="P3107" t="s">
        <v>34943</v>
      </c>
      <c r="Q3107" t="s">
        <v>32</v>
      </c>
      <c r="R3107" t="s">
        <v>13904</v>
      </c>
      <c r="S3107" t="s">
        <v>41</v>
      </c>
      <c r="T3107" t="s">
        <v>32</v>
      </c>
      <c r="U3107" t="s">
        <v>32</v>
      </c>
      <c r="V3107" t="s">
        <v>1550</v>
      </c>
      <c r="W3107" t="s">
        <v>14503</v>
      </c>
      <c r="X3107" t="s">
        <v>2362</v>
      </c>
      <c r="Y3107" t="s">
        <v>494</v>
      </c>
      <c r="Z3107" t="s">
        <v>32</v>
      </c>
      <c r="AA3107" t="s">
        <v>34944</v>
      </c>
      <c r="AB3107" t="s">
        <v>34945</v>
      </c>
      <c r="AC3107" t="s">
        <v>34946</v>
      </c>
      <c r="AD3107" t="s">
        <v>3952</v>
      </c>
      <c r="AE3107" t="s">
        <v>34947</v>
      </c>
      <c r="AF3107" t="s">
        <v>46835</v>
      </c>
    </row>
    <row r="3108" spans="1:32" x14ac:dyDescent="0.2">
      <c r="A3108">
        <v>3103</v>
      </c>
      <c r="B3108" t="s">
        <v>34948</v>
      </c>
      <c r="C3108" t="s">
        <v>34949</v>
      </c>
      <c r="D3108" t="s">
        <v>34950</v>
      </c>
      <c r="E3108" t="s">
        <v>34951</v>
      </c>
      <c r="F3108" t="s">
        <v>34952</v>
      </c>
      <c r="G3108" t="s">
        <v>32</v>
      </c>
      <c r="H3108" t="str">
        <f>"Cfb"</f>
        <v>Cfb</v>
      </c>
      <c r="I3108" t="s">
        <v>34953</v>
      </c>
      <c r="J3108" t="s">
        <v>37</v>
      </c>
      <c r="K3108">
        <v>10090</v>
      </c>
      <c r="L3108" s="3" t="str">
        <f>HYPERLINK("http://www.uniprot.org/uniprot/P04186", "P04186")</f>
        <v>P04186</v>
      </c>
      <c r="M3108" t="s">
        <v>34954</v>
      </c>
      <c r="N3108" t="str">
        <f>"Cfb"</f>
        <v>Cfb</v>
      </c>
      <c r="O3108" s="3" t="str">
        <f>HYPERLINK("http://www.informatics.jax.org/marker/MGI:105975", "MGI:105975")</f>
        <v>MGI:105975</v>
      </c>
      <c r="P3108" t="s">
        <v>34955</v>
      </c>
      <c r="Q3108" t="s">
        <v>34956</v>
      </c>
      <c r="R3108" t="s">
        <v>630</v>
      </c>
      <c r="S3108" t="s">
        <v>32</v>
      </c>
      <c r="T3108" t="s">
        <v>32</v>
      </c>
      <c r="U3108" t="s">
        <v>32</v>
      </c>
      <c r="V3108" t="s">
        <v>34504</v>
      </c>
      <c r="W3108" t="s">
        <v>32</v>
      </c>
      <c r="X3108" t="s">
        <v>4493</v>
      </c>
      <c r="Y3108" t="s">
        <v>34957</v>
      </c>
      <c r="Z3108" t="s">
        <v>32</v>
      </c>
      <c r="AA3108" t="s">
        <v>34958</v>
      </c>
      <c r="AB3108" t="s">
        <v>34959</v>
      </c>
      <c r="AC3108" t="s">
        <v>34960</v>
      </c>
      <c r="AD3108" t="s">
        <v>32</v>
      </c>
      <c r="AE3108" t="s">
        <v>34961</v>
      </c>
      <c r="AF3108" t="s">
        <v>46835</v>
      </c>
    </row>
    <row r="3109" spans="1:32" x14ac:dyDescent="0.2">
      <c r="A3109">
        <v>3104</v>
      </c>
      <c r="B3109" t="s">
        <v>34962</v>
      </c>
      <c r="C3109" t="s">
        <v>34963</v>
      </c>
      <c r="D3109" t="s">
        <v>34964</v>
      </c>
      <c r="E3109" t="s">
        <v>34965</v>
      </c>
      <c r="F3109" t="s">
        <v>34966</v>
      </c>
      <c r="G3109" t="s">
        <v>32</v>
      </c>
      <c r="H3109" t="str">
        <f>"Stx8"</f>
        <v>Stx8</v>
      </c>
      <c r="I3109" t="s">
        <v>32</v>
      </c>
      <c r="J3109" t="s">
        <v>37</v>
      </c>
      <c r="K3109">
        <v>10090</v>
      </c>
      <c r="L3109" s="3" t="str">
        <f>HYPERLINK("http://www.uniprot.org/uniprot/O88983", "O88983")</f>
        <v>O88983</v>
      </c>
      <c r="M3109" t="s">
        <v>34967</v>
      </c>
      <c r="N3109" t="str">
        <f>"Stx8"</f>
        <v>Stx8</v>
      </c>
      <c r="O3109" s="3" t="str">
        <f>HYPERLINK("http://www.informatics.jax.org/marker/MGI:1890156", "MGI:1890156")</f>
        <v>MGI:1890156</v>
      </c>
      <c r="P3109" t="s">
        <v>34968</v>
      </c>
      <c r="Q3109" t="s">
        <v>4425</v>
      </c>
      <c r="R3109" t="s">
        <v>5989</v>
      </c>
      <c r="S3109" t="s">
        <v>32</v>
      </c>
      <c r="T3109" t="s">
        <v>32</v>
      </c>
      <c r="U3109" t="s">
        <v>32</v>
      </c>
      <c r="V3109" t="s">
        <v>6500</v>
      </c>
      <c r="W3109" t="s">
        <v>32</v>
      </c>
      <c r="X3109" t="s">
        <v>32</v>
      </c>
      <c r="Y3109" t="s">
        <v>2836</v>
      </c>
      <c r="Z3109" t="s">
        <v>32</v>
      </c>
      <c r="AA3109" t="s">
        <v>34969</v>
      </c>
      <c r="AB3109" t="s">
        <v>34970</v>
      </c>
      <c r="AC3109" t="s">
        <v>34971</v>
      </c>
      <c r="AD3109" t="s">
        <v>32</v>
      </c>
      <c r="AE3109" t="s">
        <v>32</v>
      </c>
      <c r="AF3109" t="s">
        <v>46835</v>
      </c>
    </row>
    <row r="3110" spans="1:32" x14ac:dyDescent="0.2">
      <c r="A3110">
        <v>3105</v>
      </c>
      <c r="B3110" t="s">
        <v>34972</v>
      </c>
      <c r="C3110" t="s">
        <v>34973</v>
      </c>
      <c r="D3110" t="s">
        <v>34974</v>
      </c>
      <c r="E3110" t="s">
        <v>34975</v>
      </c>
      <c r="F3110" t="s">
        <v>34976</v>
      </c>
      <c r="G3110" t="s">
        <v>34977</v>
      </c>
      <c r="H3110" t="str">
        <f>"Ascc2"</f>
        <v>Ascc2</v>
      </c>
      <c r="I3110" t="s">
        <v>34978</v>
      </c>
      <c r="J3110" t="s">
        <v>37</v>
      </c>
      <c r="K3110">
        <v>10090</v>
      </c>
      <c r="L3110" s="3" t="str">
        <f>HYPERLINK("http://www.uniprot.org/uniprot/Q91WR3", "Q91WR3")</f>
        <v>Q91WR3</v>
      </c>
      <c r="M3110" t="s">
        <v>34979</v>
      </c>
      <c r="N3110" t="str">
        <f>"Ascc2"</f>
        <v>Ascc2</v>
      </c>
      <c r="O3110" s="3" t="str">
        <f>HYPERLINK("http://www.informatics.jax.org/marker/MGI:1922702", "MGI:1922702")</f>
        <v>MGI:1922702</v>
      </c>
      <c r="P3110" t="s">
        <v>34980</v>
      </c>
      <c r="Q3110" t="s">
        <v>11306</v>
      </c>
      <c r="R3110" t="s">
        <v>2279</v>
      </c>
      <c r="S3110" t="s">
        <v>41</v>
      </c>
      <c r="T3110" t="s">
        <v>32</v>
      </c>
      <c r="U3110" t="s">
        <v>32</v>
      </c>
      <c r="V3110" t="s">
        <v>32</v>
      </c>
      <c r="W3110" t="s">
        <v>32</v>
      </c>
      <c r="X3110" t="s">
        <v>32</v>
      </c>
      <c r="Y3110" t="s">
        <v>618</v>
      </c>
      <c r="Z3110" t="s">
        <v>32</v>
      </c>
      <c r="AA3110" t="s">
        <v>34981</v>
      </c>
      <c r="AB3110" t="s">
        <v>34982</v>
      </c>
      <c r="AC3110" t="s">
        <v>14891</v>
      </c>
      <c r="AD3110" t="s">
        <v>32</v>
      </c>
      <c r="AE3110" t="s">
        <v>32</v>
      </c>
      <c r="AF3110" t="s">
        <v>46835</v>
      </c>
    </row>
    <row r="3111" spans="1:32" x14ac:dyDescent="0.2">
      <c r="A3111">
        <v>3106</v>
      </c>
      <c r="B3111" t="s">
        <v>34983</v>
      </c>
      <c r="C3111" t="s">
        <v>34984</v>
      </c>
      <c r="D3111" t="s">
        <v>32</v>
      </c>
      <c r="E3111" t="s">
        <v>34985</v>
      </c>
      <c r="F3111" t="s">
        <v>34986</v>
      </c>
      <c r="G3111" t="s">
        <v>34987</v>
      </c>
      <c r="H3111" t="str">
        <f>"Wdr73"</f>
        <v>Wdr73</v>
      </c>
      <c r="I3111" t="s">
        <v>32</v>
      </c>
      <c r="J3111" t="s">
        <v>37</v>
      </c>
      <c r="K3111">
        <v>10090</v>
      </c>
      <c r="L3111" s="3" t="str">
        <f>HYPERLINK("http://www.uniprot.org/uniprot/Q9CWR1", "Q9CWR1")</f>
        <v>Q9CWR1</v>
      </c>
      <c r="M3111" t="s">
        <v>34988</v>
      </c>
      <c r="N3111" t="str">
        <f>"Wdr73"</f>
        <v>Wdr73</v>
      </c>
      <c r="O3111" s="3" t="str">
        <f>HYPERLINK("http://www.informatics.jax.org/marker/MGI:1919218", "MGI:1919218")</f>
        <v>MGI:1919218</v>
      </c>
      <c r="P3111" t="s">
        <v>34989</v>
      </c>
      <c r="Q3111" t="s">
        <v>32</v>
      </c>
      <c r="R3111" t="s">
        <v>186</v>
      </c>
      <c r="S3111" t="s">
        <v>41</v>
      </c>
      <c r="T3111" t="s">
        <v>32</v>
      </c>
      <c r="U3111" t="s">
        <v>32</v>
      </c>
      <c r="V3111" t="s">
        <v>1910</v>
      </c>
      <c r="W3111" t="s">
        <v>32</v>
      </c>
      <c r="X3111" t="s">
        <v>32</v>
      </c>
      <c r="Y3111" t="s">
        <v>32</v>
      </c>
      <c r="Z3111" t="s">
        <v>32</v>
      </c>
      <c r="AA3111" t="s">
        <v>34990</v>
      </c>
      <c r="AB3111" t="s">
        <v>34991</v>
      </c>
      <c r="AC3111" t="s">
        <v>32</v>
      </c>
      <c r="AD3111" t="s">
        <v>32</v>
      </c>
      <c r="AE3111" t="s">
        <v>32</v>
      </c>
      <c r="AF3111" t="s">
        <v>46835</v>
      </c>
    </row>
    <row r="3112" spans="1:32" x14ac:dyDescent="0.2">
      <c r="A3112">
        <v>3107</v>
      </c>
      <c r="B3112" t="s">
        <v>34992</v>
      </c>
      <c r="C3112" t="s">
        <v>34993</v>
      </c>
      <c r="D3112" t="s">
        <v>32</v>
      </c>
      <c r="E3112" t="s">
        <v>34994</v>
      </c>
      <c r="F3112" t="s">
        <v>34995</v>
      </c>
      <c r="G3112" t="s">
        <v>34996</v>
      </c>
      <c r="H3112" t="str">
        <f>"Cttnbp2"</f>
        <v>Cttnbp2</v>
      </c>
      <c r="I3112" t="s">
        <v>34997</v>
      </c>
      <c r="J3112" t="s">
        <v>37</v>
      </c>
      <c r="K3112">
        <v>10090</v>
      </c>
      <c r="L3112" s="3" t="str">
        <f>HYPERLINK("http://www.uniprot.org/uniprot/B9EJA2", "B9EJA2")</f>
        <v>B9EJA2</v>
      </c>
      <c r="M3112" t="s">
        <v>34998</v>
      </c>
      <c r="N3112" t="str">
        <f>"Cttnbp2"</f>
        <v>Cttnbp2</v>
      </c>
      <c r="O3112" s="3" t="str">
        <f>HYPERLINK("http://www.informatics.jax.org/marker/MGI:1353467", "MGI:1353467")</f>
        <v>MGI:1353467</v>
      </c>
      <c r="P3112" t="s">
        <v>34999</v>
      </c>
      <c r="Q3112" t="s">
        <v>32</v>
      </c>
      <c r="R3112" t="s">
        <v>13546</v>
      </c>
      <c r="S3112" t="s">
        <v>41</v>
      </c>
      <c r="T3112" t="s">
        <v>32</v>
      </c>
      <c r="U3112" t="s">
        <v>32</v>
      </c>
      <c r="V3112" t="s">
        <v>9693</v>
      </c>
      <c r="W3112" t="s">
        <v>32</v>
      </c>
      <c r="X3112" t="s">
        <v>32</v>
      </c>
      <c r="Y3112" t="s">
        <v>2734</v>
      </c>
      <c r="Z3112" t="s">
        <v>32</v>
      </c>
      <c r="AA3112" t="s">
        <v>35000</v>
      </c>
      <c r="AB3112" t="s">
        <v>35001</v>
      </c>
      <c r="AC3112" t="s">
        <v>23260</v>
      </c>
      <c r="AD3112" t="s">
        <v>32</v>
      </c>
      <c r="AE3112" t="s">
        <v>32</v>
      </c>
      <c r="AF3112" t="s">
        <v>46835</v>
      </c>
    </row>
    <row r="3113" spans="1:32" x14ac:dyDescent="0.2">
      <c r="A3113">
        <v>3108</v>
      </c>
      <c r="B3113" t="s">
        <v>35002</v>
      </c>
      <c r="C3113" t="s">
        <v>35003</v>
      </c>
      <c r="D3113" t="s">
        <v>35004</v>
      </c>
      <c r="E3113" t="s">
        <v>35005</v>
      </c>
      <c r="F3113" t="s">
        <v>35006</v>
      </c>
      <c r="G3113" t="s">
        <v>35007</v>
      </c>
      <c r="H3113" t="str">
        <f>"Cdk2"</f>
        <v>Cdk2</v>
      </c>
      <c r="I3113" t="s">
        <v>35008</v>
      </c>
      <c r="J3113" t="s">
        <v>37</v>
      </c>
      <c r="K3113">
        <v>10090</v>
      </c>
      <c r="L3113" s="3" t="str">
        <f>HYPERLINK("http://www.uniprot.org/uniprot/P97377", "P97377")</f>
        <v>P97377</v>
      </c>
      <c r="M3113" t="s">
        <v>35009</v>
      </c>
      <c r="N3113" t="str">
        <f>"Cdk2"</f>
        <v>Cdk2</v>
      </c>
      <c r="O3113" s="3" t="str">
        <f>HYPERLINK("http://www.informatics.jax.org/marker/MGI:104772", "MGI:104772")</f>
        <v>MGI:104772</v>
      </c>
      <c r="P3113" t="s">
        <v>35010</v>
      </c>
      <c r="Q3113" t="s">
        <v>10519</v>
      </c>
      <c r="R3113" t="s">
        <v>35011</v>
      </c>
      <c r="S3113" t="s">
        <v>41</v>
      </c>
      <c r="T3113" t="s">
        <v>32</v>
      </c>
      <c r="U3113" t="s">
        <v>32</v>
      </c>
      <c r="V3113" t="s">
        <v>32</v>
      </c>
      <c r="W3113" t="s">
        <v>1266</v>
      </c>
      <c r="X3113" t="s">
        <v>5419</v>
      </c>
      <c r="Y3113" t="s">
        <v>157</v>
      </c>
      <c r="Z3113" t="s">
        <v>32</v>
      </c>
      <c r="AA3113" t="s">
        <v>35012</v>
      </c>
      <c r="AB3113" t="s">
        <v>35013</v>
      </c>
      <c r="AC3113" t="s">
        <v>35014</v>
      </c>
      <c r="AD3113" t="s">
        <v>32</v>
      </c>
      <c r="AE3113" t="s">
        <v>35015</v>
      </c>
      <c r="AF3113" t="s">
        <v>46835</v>
      </c>
    </row>
    <row r="3114" spans="1:32" x14ac:dyDescent="0.2">
      <c r="A3114">
        <v>3109</v>
      </c>
      <c r="B3114" t="s">
        <v>35016</v>
      </c>
      <c r="C3114" t="s">
        <v>35017</v>
      </c>
      <c r="D3114" t="s">
        <v>35018</v>
      </c>
      <c r="E3114" t="s">
        <v>35019</v>
      </c>
      <c r="F3114" t="s">
        <v>35020</v>
      </c>
      <c r="G3114" t="s">
        <v>35021</v>
      </c>
      <c r="H3114" t="str">
        <f>"Eif1ax"</f>
        <v>Eif1ax</v>
      </c>
      <c r="I3114" t="s">
        <v>35022</v>
      </c>
      <c r="J3114" t="s">
        <v>37</v>
      </c>
      <c r="K3114">
        <v>10090</v>
      </c>
      <c r="L3114" s="3" t="str">
        <f>HYPERLINK("http://www.uniprot.org/uniprot/Q8BMJ3", "Q8BMJ3")</f>
        <v>Q8BMJ3</v>
      </c>
      <c r="M3114" t="s">
        <v>35023</v>
      </c>
      <c r="N3114" t="str">
        <f>"Eif1ax"</f>
        <v>Eif1ax</v>
      </c>
      <c r="O3114" s="3" t="str">
        <f>HYPERLINK("http://www.informatics.jax.org/marker/MGI:1913485", "MGI:1913485")</f>
        <v>MGI:1913485</v>
      </c>
      <c r="P3114" t="s">
        <v>15224</v>
      </c>
      <c r="Q3114" t="s">
        <v>260</v>
      </c>
      <c r="R3114" t="s">
        <v>32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2675</v>
      </c>
      <c r="Y3114" t="s">
        <v>32</v>
      </c>
      <c r="Z3114" t="s">
        <v>32</v>
      </c>
      <c r="AA3114" t="s">
        <v>35024</v>
      </c>
      <c r="AB3114" t="s">
        <v>2172</v>
      </c>
      <c r="AC3114" t="s">
        <v>4898</v>
      </c>
      <c r="AD3114" t="s">
        <v>32</v>
      </c>
      <c r="AE3114" t="s">
        <v>1570</v>
      </c>
      <c r="AF3114" t="s">
        <v>46835</v>
      </c>
    </row>
    <row r="3115" spans="1:32" x14ac:dyDescent="0.2">
      <c r="A3115">
        <v>3110</v>
      </c>
      <c r="B3115" t="s">
        <v>35025</v>
      </c>
      <c r="C3115" t="s">
        <v>35026</v>
      </c>
      <c r="D3115" t="s">
        <v>32</v>
      </c>
      <c r="E3115" t="s">
        <v>35027</v>
      </c>
      <c r="F3115" t="s">
        <v>35028</v>
      </c>
      <c r="G3115" t="s">
        <v>35029</v>
      </c>
      <c r="H3115" t="str">
        <f>"Mrps23"</f>
        <v>Mrps23</v>
      </c>
      <c r="I3115" t="s">
        <v>32</v>
      </c>
      <c r="J3115" t="s">
        <v>37</v>
      </c>
      <c r="K3115">
        <v>10090</v>
      </c>
      <c r="L3115" s="3" t="str">
        <f>HYPERLINK("http://www.uniprot.org/uniprot/Q8VE22", "Q8VE22")</f>
        <v>Q8VE22</v>
      </c>
      <c r="M3115" t="s">
        <v>35030</v>
      </c>
      <c r="N3115" t="str">
        <f>"Mrps23"</f>
        <v>Mrps23</v>
      </c>
      <c r="O3115" s="3" t="str">
        <f>HYPERLINK("http://www.informatics.jax.org/marker/MGI:1928138", "MGI:1928138")</f>
        <v>MGI:1928138</v>
      </c>
      <c r="P3115" t="s">
        <v>27221</v>
      </c>
      <c r="Q3115" t="s">
        <v>32</v>
      </c>
      <c r="R3115" t="s">
        <v>1038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447</v>
      </c>
      <c r="Y3115" t="s">
        <v>78</v>
      </c>
      <c r="Z3115" t="s">
        <v>32</v>
      </c>
      <c r="AA3115" t="s">
        <v>23519</v>
      </c>
      <c r="AB3115" t="s">
        <v>35031</v>
      </c>
      <c r="AC3115" t="s">
        <v>1010</v>
      </c>
      <c r="AD3115" t="s">
        <v>32</v>
      </c>
      <c r="AE3115" t="s">
        <v>17271</v>
      </c>
      <c r="AF3115" t="s">
        <v>46835</v>
      </c>
    </row>
    <row r="3116" spans="1:32" x14ac:dyDescent="0.2">
      <c r="A3116">
        <v>3111</v>
      </c>
      <c r="B3116" t="s">
        <v>35032</v>
      </c>
      <c r="C3116" t="s">
        <v>35033</v>
      </c>
      <c r="D3116" t="s">
        <v>35034</v>
      </c>
      <c r="E3116" t="s">
        <v>35035</v>
      </c>
      <c r="F3116" t="s">
        <v>35036</v>
      </c>
      <c r="G3116" t="s">
        <v>35037</v>
      </c>
      <c r="H3116" t="str">
        <f>"Rnf2"</f>
        <v>Rnf2</v>
      </c>
      <c r="I3116" t="s">
        <v>35038</v>
      </c>
      <c r="J3116" t="s">
        <v>37</v>
      </c>
      <c r="K3116">
        <v>10090</v>
      </c>
      <c r="L3116" s="3" t="str">
        <f>HYPERLINK("http://www.uniprot.org/uniprot/Q9CQJ4", "Q9CQJ4")</f>
        <v>Q9CQJ4</v>
      </c>
      <c r="M3116" t="s">
        <v>35039</v>
      </c>
      <c r="N3116" t="str">
        <f>"Rnf2"</f>
        <v>Rnf2</v>
      </c>
      <c r="O3116" s="3" t="str">
        <f>HYPERLINK("http://www.informatics.jax.org/marker/MGI:1101759", "MGI:1101759")</f>
        <v>MGI:1101759</v>
      </c>
      <c r="P3116" t="s">
        <v>35040</v>
      </c>
      <c r="Q3116" t="s">
        <v>2278</v>
      </c>
      <c r="R3116" t="s">
        <v>8375</v>
      </c>
      <c r="S3116" t="s">
        <v>32</v>
      </c>
      <c r="T3116" t="s">
        <v>32</v>
      </c>
      <c r="U3116" t="s">
        <v>32</v>
      </c>
      <c r="V3116" t="s">
        <v>446</v>
      </c>
      <c r="W3116" t="s">
        <v>42</v>
      </c>
      <c r="X3116" t="s">
        <v>33798</v>
      </c>
      <c r="Y3116" t="s">
        <v>516</v>
      </c>
      <c r="Z3116" t="s">
        <v>126</v>
      </c>
      <c r="AA3116" t="s">
        <v>35041</v>
      </c>
      <c r="AB3116" t="s">
        <v>35042</v>
      </c>
      <c r="AC3116" t="s">
        <v>35043</v>
      </c>
      <c r="AD3116" t="s">
        <v>35044</v>
      </c>
      <c r="AE3116" t="s">
        <v>35045</v>
      </c>
      <c r="AF3116" t="s">
        <v>46835</v>
      </c>
    </row>
    <row r="3117" spans="1:32" x14ac:dyDescent="0.2">
      <c r="A3117">
        <v>3112</v>
      </c>
      <c r="B3117" t="s">
        <v>35046</v>
      </c>
      <c r="C3117" t="s">
        <v>35047</v>
      </c>
      <c r="D3117" t="s">
        <v>32</v>
      </c>
      <c r="E3117" t="s">
        <v>35048</v>
      </c>
      <c r="F3117" t="s">
        <v>35049</v>
      </c>
      <c r="G3117" t="s">
        <v>35050</v>
      </c>
      <c r="H3117" t="str">
        <f>"Dop1b"</f>
        <v>Dop1b</v>
      </c>
      <c r="I3117" t="s">
        <v>35051</v>
      </c>
      <c r="J3117" t="s">
        <v>37</v>
      </c>
      <c r="K3117">
        <v>10090</v>
      </c>
      <c r="L3117" s="3" t="str">
        <f>HYPERLINK("http://www.uniprot.org/uniprot/Q3UHQ6", "Q3UHQ6")</f>
        <v>Q3UHQ6</v>
      </c>
      <c r="M3117" t="s">
        <v>35052</v>
      </c>
      <c r="N3117" t="str">
        <f>"Dop1b"</f>
        <v>Dop1b</v>
      </c>
      <c r="O3117" s="3" t="str">
        <f>HYPERLINK("http://www.informatics.jax.org/marker/MGI:1917278", "MGI:1917278")</f>
        <v>MGI:1917278</v>
      </c>
      <c r="P3117" t="s">
        <v>35053</v>
      </c>
      <c r="Q3117" t="s">
        <v>434</v>
      </c>
      <c r="R3117" t="s">
        <v>6982</v>
      </c>
      <c r="S3117" t="s">
        <v>41</v>
      </c>
      <c r="T3117" t="s">
        <v>32</v>
      </c>
      <c r="U3117" t="s">
        <v>32</v>
      </c>
      <c r="V3117" t="s">
        <v>32</v>
      </c>
      <c r="W3117" t="s">
        <v>32</v>
      </c>
      <c r="X3117" t="s">
        <v>32</v>
      </c>
      <c r="Y3117" t="s">
        <v>618</v>
      </c>
      <c r="Z3117" t="s">
        <v>32</v>
      </c>
      <c r="AA3117" t="s">
        <v>35054</v>
      </c>
      <c r="AB3117" t="s">
        <v>35055</v>
      </c>
      <c r="AC3117" t="s">
        <v>32</v>
      </c>
      <c r="AD3117" t="s">
        <v>32</v>
      </c>
      <c r="AE3117" t="s">
        <v>32</v>
      </c>
      <c r="AF3117" t="s">
        <v>46835</v>
      </c>
    </row>
    <row r="3118" spans="1:32" x14ac:dyDescent="0.2">
      <c r="A3118">
        <v>3113</v>
      </c>
      <c r="B3118" t="s">
        <v>35056</v>
      </c>
      <c r="C3118" t="s">
        <v>35057</v>
      </c>
      <c r="D3118" t="s">
        <v>35058</v>
      </c>
      <c r="E3118" t="s">
        <v>35059</v>
      </c>
      <c r="F3118" t="s">
        <v>35060</v>
      </c>
      <c r="G3118" t="s">
        <v>35061</v>
      </c>
      <c r="H3118" t="str">
        <f>"Ift122"</f>
        <v>Ift122</v>
      </c>
      <c r="I3118" t="s">
        <v>32</v>
      </c>
      <c r="J3118" t="s">
        <v>37</v>
      </c>
      <c r="K3118">
        <v>10090</v>
      </c>
      <c r="L3118" s="3" t="str">
        <f>HYPERLINK("http://www.uniprot.org/uniprot/Q6NWV3", "Q6NWV3")</f>
        <v>Q6NWV3</v>
      </c>
      <c r="M3118" t="s">
        <v>35062</v>
      </c>
      <c r="N3118" t="str">
        <f>"Ift122"</f>
        <v>Ift122</v>
      </c>
      <c r="O3118" s="3" t="str">
        <f>HYPERLINK("http://www.informatics.jax.org/marker/MGI:1932386", "MGI:1932386")</f>
        <v>MGI:1932386</v>
      </c>
      <c r="P3118" t="s">
        <v>35063</v>
      </c>
      <c r="Q3118" t="s">
        <v>475</v>
      </c>
      <c r="R3118" t="s">
        <v>1223</v>
      </c>
      <c r="S3118" t="s">
        <v>41</v>
      </c>
      <c r="T3118" t="s">
        <v>32</v>
      </c>
      <c r="U3118" t="s">
        <v>32</v>
      </c>
      <c r="V3118" t="s">
        <v>1910</v>
      </c>
      <c r="W3118" t="s">
        <v>32</v>
      </c>
      <c r="X3118" t="s">
        <v>2029</v>
      </c>
      <c r="Y3118" t="s">
        <v>32</v>
      </c>
      <c r="Z3118" t="s">
        <v>32</v>
      </c>
      <c r="AA3118" t="s">
        <v>35064</v>
      </c>
      <c r="AB3118" t="s">
        <v>35065</v>
      </c>
      <c r="AC3118" t="s">
        <v>32</v>
      </c>
      <c r="AD3118" t="s">
        <v>32</v>
      </c>
      <c r="AE3118" t="s">
        <v>30947</v>
      </c>
      <c r="AF3118" t="s">
        <v>46835</v>
      </c>
    </row>
    <row r="3119" spans="1:32" x14ac:dyDescent="0.2">
      <c r="A3119">
        <v>3114</v>
      </c>
      <c r="B3119" t="s">
        <v>35066</v>
      </c>
      <c r="C3119" t="s">
        <v>35067</v>
      </c>
      <c r="D3119" t="s">
        <v>35068</v>
      </c>
      <c r="E3119" t="s">
        <v>35069</v>
      </c>
      <c r="F3119" t="s">
        <v>35070</v>
      </c>
      <c r="G3119" t="s">
        <v>35071</v>
      </c>
      <c r="H3119" t="str">
        <f>"Atl2"</f>
        <v>Atl2</v>
      </c>
      <c r="I3119" t="s">
        <v>35072</v>
      </c>
      <c r="J3119" t="s">
        <v>37</v>
      </c>
      <c r="K3119">
        <v>10090</v>
      </c>
      <c r="L3119" s="3" t="str">
        <f>HYPERLINK("http://www.uniprot.org/uniprot/Q6PA06", "Q6PA06")</f>
        <v>Q6PA06</v>
      </c>
      <c r="M3119" t="s">
        <v>35073</v>
      </c>
      <c r="N3119" t="str">
        <f>"Atl2"</f>
        <v>Atl2</v>
      </c>
      <c r="O3119" s="3" t="str">
        <f>HYPERLINK("http://www.informatics.jax.org/marker/MGI:1929492", "MGI:1929492")</f>
        <v>MGI:1929492</v>
      </c>
      <c r="P3119" t="s">
        <v>35074</v>
      </c>
      <c r="Q3119" t="s">
        <v>32</v>
      </c>
      <c r="R3119" t="s">
        <v>1664</v>
      </c>
      <c r="S3119" t="s">
        <v>41</v>
      </c>
      <c r="T3119" t="s">
        <v>32</v>
      </c>
      <c r="U3119" t="s">
        <v>32</v>
      </c>
      <c r="V3119" t="s">
        <v>6500</v>
      </c>
      <c r="W3119" t="s">
        <v>261</v>
      </c>
      <c r="X3119" t="s">
        <v>343</v>
      </c>
      <c r="Y3119" t="s">
        <v>2734</v>
      </c>
      <c r="Z3119" t="s">
        <v>32</v>
      </c>
      <c r="AA3119" t="s">
        <v>35075</v>
      </c>
      <c r="AB3119" t="s">
        <v>35076</v>
      </c>
      <c r="AC3119" t="s">
        <v>26458</v>
      </c>
      <c r="AD3119" t="s">
        <v>32</v>
      </c>
      <c r="AE3119" t="s">
        <v>32</v>
      </c>
      <c r="AF3119" t="s">
        <v>46835</v>
      </c>
    </row>
    <row r="3120" spans="1:32" x14ac:dyDescent="0.2">
      <c r="A3120">
        <v>3115</v>
      </c>
      <c r="B3120" t="s">
        <v>35077</v>
      </c>
      <c r="C3120" t="s">
        <v>35078</v>
      </c>
      <c r="D3120" t="s">
        <v>35079</v>
      </c>
      <c r="E3120" t="s">
        <v>35080</v>
      </c>
      <c r="F3120" t="s">
        <v>35081</v>
      </c>
      <c r="G3120" t="s">
        <v>35082</v>
      </c>
      <c r="H3120" t="str">
        <f>"Med4"</f>
        <v>Med4</v>
      </c>
      <c r="I3120" t="s">
        <v>35083</v>
      </c>
      <c r="J3120" t="s">
        <v>37</v>
      </c>
      <c r="K3120">
        <v>10090</v>
      </c>
      <c r="L3120" s="3" t="str">
        <f>HYPERLINK("http://www.uniprot.org/uniprot/Q9CQA5", "Q9CQA5")</f>
        <v>Q9CQA5</v>
      </c>
      <c r="M3120" t="s">
        <v>35084</v>
      </c>
      <c r="N3120" t="str">
        <f>"Med4"</f>
        <v>Med4</v>
      </c>
      <c r="O3120" s="3" t="str">
        <f>HYPERLINK("http://www.informatics.jax.org/marker/MGI:1914631", "MGI:1914631")</f>
        <v>MGI:1914631</v>
      </c>
      <c r="P3120" t="s">
        <v>35085</v>
      </c>
      <c r="Q3120" t="s">
        <v>4152</v>
      </c>
      <c r="R3120" t="s">
        <v>2279</v>
      </c>
      <c r="S3120" t="s">
        <v>41</v>
      </c>
      <c r="T3120" t="s">
        <v>32</v>
      </c>
      <c r="U3120" t="s">
        <v>32</v>
      </c>
      <c r="V3120" t="s">
        <v>290</v>
      </c>
      <c r="W3120" t="s">
        <v>32</v>
      </c>
      <c r="X3120" t="s">
        <v>2602</v>
      </c>
      <c r="Y3120" t="s">
        <v>157</v>
      </c>
      <c r="Z3120" t="s">
        <v>126</v>
      </c>
      <c r="AA3120" t="s">
        <v>35086</v>
      </c>
      <c r="AB3120" t="s">
        <v>35087</v>
      </c>
      <c r="AC3120" t="s">
        <v>35088</v>
      </c>
      <c r="AD3120" t="s">
        <v>32</v>
      </c>
      <c r="AE3120" t="s">
        <v>32</v>
      </c>
      <c r="AF3120" t="s">
        <v>46835</v>
      </c>
    </row>
    <row r="3121" spans="1:33" x14ac:dyDescent="0.2">
      <c r="A3121">
        <v>3116</v>
      </c>
      <c r="B3121" t="s">
        <v>35089</v>
      </c>
      <c r="C3121" t="s">
        <v>35090</v>
      </c>
      <c r="D3121" t="s">
        <v>32</v>
      </c>
      <c r="E3121" t="s">
        <v>35091</v>
      </c>
      <c r="F3121" t="s">
        <v>35092</v>
      </c>
      <c r="G3121" t="s">
        <v>32</v>
      </c>
      <c r="H3121" t="str">
        <f>"Creb1"</f>
        <v>Creb1</v>
      </c>
      <c r="I3121" t="s">
        <v>35093</v>
      </c>
      <c r="J3121" t="s">
        <v>37</v>
      </c>
      <c r="K3121">
        <v>10090</v>
      </c>
      <c r="L3121" s="3" t="str">
        <f>HYPERLINK("http://www.uniprot.org/uniprot/Q01147", "Q01147")</f>
        <v>Q01147</v>
      </c>
      <c r="M3121" t="s">
        <v>35094</v>
      </c>
      <c r="N3121" t="str">
        <f>"Creb1"</f>
        <v>Creb1</v>
      </c>
      <c r="O3121" s="3" t="str">
        <f>HYPERLINK("http://www.informatics.jax.org/marker/MGI:88494", "MGI:88494")</f>
        <v>MGI:88494</v>
      </c>
      <c r="P3121" t="s">
        <v>35095</v>
      </c>
      <c r="Q3121" t="s">
        <v>35096</v>
      </c>
      <c r="R3121" t="s">
        <v>2279</v>
      </c>
      <c r="S3121" t="s">
        <v>41</v>
      </c>
      <c r="T3121" t="s">
        <v>32</v>
      </c>
      <c r="U3121" t="s">
        <v>32</v>
      </c>
      <c r="V3121" t="s">
        <v>32</v>
      </c>
      <c r="W3121" t="s">
        <v>32</v>
      </c>
      <c r="X3121" t="s">
        <v>2350</v>
      </c>
      <c r="Y3121" t="s">
        <v>1007</v>
      </c>
      <c r="Z3121" t="s">
        <v>126</v>
      </c>
      <c r="AA3121" t="s">
        <v>35097</v>
      </c>
      <c r="AB3121" t="s">
        <v>35098</v>
      </c>
      <c r="AC3121" t="s">
        <v>35099</v>
      </c>
      <c r="AD3121" t="s">
        <v>32</v>
      </c>
      <c r="AE3121" t="s">
        <v>35100</v>
      </c>
      <c r="AF3121" t="s">
        <v>46835</v>
      </c>
    </row>
    <row r="3122" spans="1:33" x14ac:dyDescent="0.2">
      <c r="A3122">
        <v>3117</v>
      </c>
      <c r="B3122" t="s">
        <v>35101</v>
      </c>
      <c r="C3122" t="s">
        <v>47194</v>
      </c>
      <c r="D3122" t="s">
        <v>32</v>
      </c>
      <c r="E3122" t="s">
        <v>47008</v>
      </c>
      <c r="F3122" t="s">
        <v>47007</v>
      </c>
      <c r="G3122" t="s">
        <v>32</v>
      </c>
      <c r="H3122" t="s">
        <v>47325</v>
      </c>
      <c r="I3122" t="s">
        <v>32</v>
      </c>
      <c r="J3122" t="s">
        <v>37</v>
      </c>
      <c r="K3122">
        <v>10090</v>
      </c>
      <c r="L3122" s="3" t="str">
        <f>HYPERLINK(CONCATENATE("https://www.uniprot.org/uniprotkb/", AG3122, "/entry"), AG3122)</f>
        <v>E9Q2E4</v>
      </c>
      <c r="M3122" t="s">
        <v>32</v>
      </c>
      <c r="N3122" t="s">
        <v>32</v>
      </c>
      <c r="O3122" s="3" t="s">
        <v>32</v>
      </c>
      <c r="P3122" t="s">
        <v>32</v>
      </c>
      <c r="Q3122" t="s">
        <v>32</v>
      </c>
      <c r="R3122" t="s">
        <v>32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32</v>
      </c>
      <c r="Y3122" t="s">
        <v>32</v>
      </c>
      <c r="Z3122" t="s">
        <v>32</v>
      </c>
      <c r="AA3122" t="s">
        <v>32</v>
      </c>
      <c r="AB3122" t="s">
        <v>32</v>
      </c>
      <c r="AC3122" t="s">
        <v>32</v>
      </c>
      <c r="AD3122" t="s">
        <v>32</v>
      </c>
      <c r="AE3122" t="s">
        <v>32</v>
      </c>
      <c r="AF3122" t="s">
        <v>46835</v>
      </c>
      <c r="AG3122" t="s">
        <v>47007</v>
      </c>
    </row>
    <row r="3123" spans="1:33" x14ac:dyDescent="0.2">
      <c r="A3123">
        <v>3118</v>
      </c>
      <c r="B3123" t="s">
        <v>35102</v>
      </c>
      <c r="C3123" t="s">
        <v>35103</v>
      </c>
      <c r="D3123" t="s">
        <v>35104</v>
      </c>
      <c r="E3123" t="s">
        <v>35105</v>
      </c>
      <c r="F3123" t="s">
        <v>35106</v>
      </c>
      <c r="G3123" t="s">
        <v>35107</v>
      </c>
      <c r="H3123" t="str">
        <f>"Dmtn"</f>
        <v>Dmtn</v>
      </c>
      <c r="I3123" t="s">
        <v>35108</v>
      </c>
      <c r="J3123" t="s">
        <v>37</v>
      </c>
      <c r="K3123">
        <v>10090</v>
      </c>
      <c r="L3123" s="3" t="str">
        <f>HYPERLINK("http://www.uniprot.org/uniprot/Q9WV69", "Q9WV69")</f>
        <v>Q9WV69</v>
      </c>
      <c r="M3123" t="s">
        <v>35109</v>
      </c>
      <c r="N3123" t="str">
        <f>"Dmtn"</f>
        <v>Dmtn</v>
      </c>
      <c r="O3123" s="3" t="str">
        <f>HYPERLINK("http://www.informatics.jax.org/marker/MGI:99670", "MGI:99670")</f>
        <v>MGI:99670</v>
      </c>
      <c r="P3123" t="s">
        <v>35110</v>
      </c>
      <c r="Q3123" t="s">
        <v>32</v>
      </c>
      <c r="R3123" t="s">
        <v>647</v>
      </c>
      <c r="S3123" t="s">
        <v>41</v>
      </c>
      <c r="T3123" t="s">
        <v>32</v>
      </c>
      <c r="U3123" t="s">
        <v>1636</v>
      </c>
      <c r="V3123" t="s">
        <v>55</v>
      </c>
      <c r="W3123" t="s">
        <v>32</v>
      </c>
      <c r="X3123" t="s">
        <v>479</v>
      </c>
      <c r="Y3123" t="s">
        <v>2080</v>
      </c>
      <c r="Z3123" t="s">
        <v>32</v>
      </c>
      <c r="AA3123" t="s">
        <v>35111</v>
      </c>
      <c r="AB3123" t="s">
        <v>35112</v>
      </c>
      <c r="AC3123" t="s">
        <v>35113</v>
      </c>
      <c r="AD3123" t="s">
        <v>32</v>
      </c>
      <c r="AE3123" t="s">
        <v>7597</v>
      </c>
      <c r="AF3123" t="s">
        <v>46835</v>
      </c>
    </row>
    <row r="3124" spans="1:33" x14ac:dyDescent="0.2">
      <c r="A3124">
        <v>3119</v>
      </c>
      <c r="B3124" t="s">
        <v>35114</v>
      </c>
      <c r="C3124" t="s">
        <v>35115</v>
      </c>
      <c r="D3124" t="s">
        <v>35116</v>
      </c>
      <c r="E3124" t="s">
        <v>35117</v>
      </c>
      <c r="F3124" t="s">
        <v>35118</v>
      </c>
      <c r="G3124" t="s">
        <v>35119</v>
      </c>
      <c r="H3124" t="str">
        <f>"Rap1a"</f>
        <v>Rap1a</v>
      </c>
      <c r="I3124" t="s">
        <v>35120</v>
      </c>
      <c r="J3124" t="s">
        <v>37</v>
      </c>
      <c r="K3124">
        <v>10090</v>
      </c>
      <c r="L3124" s="3" t="str">
        <f>HYPERLINK("http://www.uniprot.org/uniprot/P62835", "P62835")</f>
        <v>P62835</v>
      </c>
      <c r="M3124" t="s">
        <v>35121</v>
      </c>
      <c r="N3124" t="str">
        <f>"Rap1a"</f>
        <v>Rap1a</v>
      </c>
      <c r="O3124" s="3" t="str">
        <f>HYPERLINK("http://www.informatics.jax.org/marker/MGI:97852", "MGI:97852")</f>
        <v>MGI:97852</v>
      </c>
      <c r="P3124" t="s">
        <v>35122</v>
      </c>
      <c r="Q3124" t="s">
        <v>1429</v>
      </c>
      <c r="R3124" t="s">
        <v>35123</v>
      </c>
      <c r="S3124" t="s">
        <v>32</v>
      </c>
      <c r="T3124" t="s">
        <v>32</v>
      </c>
      <c r="U3124" t="s">
        <v>1636</v>
      </c>
      <c r="V3124" t="s">
        <v>32</v>
      </c>
      <c r="W3124" t="s">
        <v>261</v>
      </c>
      <c r="X3124" t="s">
        <v>343</v>
      </c>
      <c r="Y3124" t="s">
        <v>20477</v>
      </c>
      <c r="Z3124" t="s">
        <v>32</v>
      </c>
      <c r="AA3124" t="s">
        <v>35124</v>
      </c>
      <c r="AB3124" t="s">
        <v>35125</v>
      </c>
      <c r="AC3124" t="s">
        <v>35126</v>
      </c>
      <c r="AD3124" t="s">
        <v>32</v>
      </c>
      <c r="AE3124" t="s">
        <v>35127</v>
      </c>
      <c r="AF3124" t="s">
        <v>46835</v>
      </c>
    </row>
    <row r="3125" spans="1:33" x14ac:dyDescent="0.2">
      <c r="A3125">
        <v>3120</v>
      </c>
      <c r="B3125" t="s">
        <v>35128</v>
      </c>
      <c r="C3125" t="s">
        <v>35129</v>
      </c>
      <c r="D3125" t="s">
        <v>32</v>
      </c>
      <c r="E3125" t="s">
        <v>35130</v>
      </c>
      <c r="F3125" t="s">
        <v>35131</v>
      </c>
      <c r="G3125" t="s">
        <v>35132</v>
      </c>
      <c r="H3125" t="str">
        <f>"Mrps15"</f>
        <v>Mrps15</v>
      </c>
      <c r="I3125" t="s">
        <v>35133</v>
      </c>
      <c r="J3125" t="s">
        <v>37</v>
      </c>
      <c r="K3125">
        <v>10090</v>
      </c>
      <c r="L3125" s="3" t="str">
        <f>HYPERLINK("http://www.uniprot.org/uniprot/Q9DC71", "Q9DC71")</f>
        <v>Q9DC71</v>
      </c>
      <c r="M3125" t="s">
        <v>35134</v>
      </c>
      <c r="N3125" t="str">
        <f>"Mrps15"</f>
        <v>Mrps15</v>
      </c>
      <c r="O3125" s="3" t="str">
        <f>HYPERLINK("http://www.informatics.jax.org/marker/MGI:1913657", "MGI:1913657")</f>
        <v>MGI:1913657</v>
      </c>
      <c r="P3125" t="s">
        <v>24765</v>
      </c>
      <c r="Q3125" t="s">
        <v>32</v>
      </c>
      <c r="R3125" t="s">
        <v>1038</v>
      </c>
      <c r="S3125" t="s">
        <v>32</v>
      </c>
      <c r="T3125" t="s">
        <v>32</v>
      </c>
      <c r="U3125" t="s">
        <v>32</v>
      </c>
      <c r="V3125" t="s">
        <v>1039</v>
      </c>
      <c r="W3125" t="s">
        <v>32</v>
      </c>
      <c r="X3125" t="s">
        <v>447</v>
      </c>
      <c r="Y3125" t="s">
        <v>32</v>
      </c>
      <c r="Z3125" t="s">
        <v>32</v>
      </c>
      <c r="AA3125" t="s">
        <v>23519</v>
      </c>
      <c r="AB3125" t="s">
        <v>35135</v>
      </c>
      <c r="AC3125" t="s">
        <v>1010</v>
      </c>
      <c r="AD3125" t="s">
        <v>32</v>
      </c>
      <c r="AE3125" t="s">
        <v>17271</v>
      </c>
      <c r="AF3125" t="s">
        <v>46835</v>
      </c>
    </row>
    <row r="3126" spans="1:33" x14ac:dyDescent="0.2">
      <c r="A3126">
        <v>3121</v>
      </c>
      <c r="B3126" t="s">
        <v>35136</v>
      </c>
      <c r="C3126" t="s">
        <v>35137</v>
      </c>
      <c r="D3126" t="s">
        <v>35138</v>
      </c>
      <c r="E3126" t="s">
        <v>35139</v>
      </c>
      <c r="F3126" t="s">
        <v>35140</v>
      </c>
      <c r="G3126" t="s">
        <v>35141</v>
      </c>
      <c r="H3126" t="str">
        <f>"Pym1"</f>
        <v>Pym1</v>
      </c>
      <c r="I3126" t="s">
        <v>35142</v>
      </c>
      <c r="J3126" t="s">
        <v>37</v>
      </c>
      <c r="K3126">
        <v>10090</v>
      </c>
      <c r="L3126" s="3" t="str">
        <f>HYPERLINK("http://www.uniprot.org/uniprot/Q8CHP5", "Q8CHP5")</f>
        <v>Q8CHP5</v>
      </c>
      <c r="M3126" t="s">
        <v>35143</v>
      </c>
      <c r="N3126" t="str">
        <f>"Pym1"</f>
        <v>Pym1</v>
      </c>
      <c r="O3126" s="3" t="str">
        <f>HYPERLINK("http://www.informatics.jax.org/marker/MGI:1925678", "MGI:1925678")</f>
        <v>MGI:1925678</v>
      </c>
      <c r="P3126" t="s">
        <v>35144</v>
      </c>
      <c r="Q3126" t="s">
        <v>35145</v>
      </c>
      <c r="R3126" t="s">
        <v>40</v>
      </c>
      <c r="S3126" t="s">
        <v>41</v>
      </c>
      <c r="T3126" t="s">
        <v>32</v>
      </c>
      <c r="U3126" t="s">
        <v>32</v>
      </c>
      <c r="V3126" t="s">
        <v>290</v>
      </c>
      <c r="W3126" t="s">
        <v>32</v>
      </c>
      <c r="X3126" t="s">
        <v>32</v>
      </c>
      <c r="Y3126" t="s">
        <v>157</v>
      </c>
      <c r="Z3126" t="s">
        <v>32</v>
      </c>
      <c r="AA3126" t="s">
        <v>35146</v>
      </c>
      <c r="AB3126" t="s">
        <v>35147</v>
      </c>
      <c r="AC3126" t="s">
        <v>35148</v>
      </c>
      <c r="AD3126" t="s">
        <v>32</v>
      </c>
      <c r="AE3126" t="s">
        <v>32</v>
      </c>
      <c r="AF3126" t="s">
        <v>46835</v>
      </c>
    </row>
    <row r="3127" spans="1:33" x14ac:dyDescent="0.2">
      <c r="A3127">
        <v>3122</v>
      </c>
      <c r="B3127" t="s">
        <v>35149</v>
      </c>
      <c r="C3127" t="s">
        <v>47104</v>
      </c>
      <c r="D3127" t="s">
        <v>32</v>
      </c>
      <c r="E3127" t="s">
        <v>47010</v>
      </c>
      <c r="F3127" t="s">
        <v>47009</v>
      </c>
      <c r="G3127" t="s">
        <v>32</v>
      </c>
      <c r="H3127" t="s">
        <v>47235</v>
      </c>
      <c r="I3127" t="s">
        <v>32</v>
      </c>
      <c r="J3127" t="s">
        <v>37</v>
      </c>
      <c r="K3127">
        <v>10090</v>
      </c>
      <c r="L3127" s="3" t="str">
        <f>HYPERLINK(CONCATENATE("https://www.uniprot.org/uniprotkb/", AG3127, "/entry"), AG3127)</f>
        <v>S4R1W5</v>
      </c>
      <c r="M3127" t="s">
        <v>32</v>
      </c>
      <c r="N3127" t="s">
        <v>32</v>
      </c>
      <c r="O3127" s="3" t="s">
        <v>32</v>
      </c>
      <c r="P3127" t="s">
        <v>32</v>
      </c>
      <c r="Q3127" t="s">
        <v>32</v>
      </c>
      <c r="R3127" t="s">
        <v>32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32</v>
      </c>
      <c r="Y3127" t="s">
        <v>32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  <c r="AE3127" t="s">
        <v>32</v>
      </c>
      <c r="AF3127" t="s">
        <v>46835</v>
      </c>
      <c r="AG3127" t="s">
        <v>47009</v>
      </c>
    </row>
    <row r="3128" spans="1:33" x14ac:dyDescent="0.2">
      <c r="A3128">
        <v>3123</v>
      </c>
      <c r="B3128" t="s">
        <v>35150</v>
      </c>
      <c r="C3128" t="s">
        <v>35151</v>
      </c>
      <c r="D3128" t="s">
        <v>32</v>
      </c>
      <c r="E3128" t="s">
        <v>35152</v>
      </c>
      <c r="F3128" t="s">
        <v>35153</v>
      </c>
      <c r="G3128" t="s">
        <v>35154</v>
      </c>
      <c r="H3128" t="str">
        <f>"Tor1aip2"</f>
        <v>Tor1aip2</v>
      </c>
      <c r="I3128" t="s">
        <v>35155</v>
      </c>
      <c r="J3128" t="s">
        <v>37</v>
      </c>
      <c r="K3128">
        <v>10090</v>
      </c>
      <c r="L3128" s="3" t="str">
        <f>HYPERLINK("http://www.uniprot.org/uniprot/Q8BYU6", "Q8BYU6")</f>
        <v>Q8BYU6</v>
      </c>
      <c r="M3128" t="s">
        <v>35156</v>
      </c>
      <c r="N3128" t="str">
        <f>"Tor1aip2"</f>
        <v>Tor1aip2</v>
      </c>
      <c r="O3128" s="3" t="str">
        <f>HYPERLINK("http://www.informatics.jax.org/marker/MGI:3582695", "MGI:3582695")</f>
        <v>MGI:3582695</v>
      </c>
      <c r="P3128" t="s">
        <v>35157</v>
      </c>
      <c r="Q3128" t="s">
        <v>32</v>
      </c>
      <c r="R3128" t="s">
        <v>17568</v>
      </c>
      <c r="S3128" t="s">
        <v>41</v>
      </c>
      <c r="T3128" t="s">
        <v>32</v>
      </c>
      <c r="U3128" t="s">
        <v>32</v>
      </c>
      <c r="V3128" t="s">
        <v>493</v>
      </c>
      <c r="W3128" t="s">
        <v>32</v>
      </c>
      <c r="X3128" t="s">
        <v>32</v>
      </c>
      <c r="Y3128" t="s">
        <v>4720</v>
      </c>
      <c r="Z3128" t="s">
        <v>32</v>
      </c>
      <c r="AA3128" t="s">
        <v>35158</v>
      </c>
      <c r="AB3128" t="s">
        <v>35159</v>
      </c>
      <c r="AC3128" t="s">
        <v>35160</v>
      </c>
      <c r="AD3128" t="s">
        <v>32</v>
      </c>
      <c r="AE3128" t="s">
        <v>32</v>
      </c>
      <c r="AF3128" t="s">
        <v>46835</v>
      </c>
    </row>
    <row r="3129" spans="1:33" x14ac:dyDescent="0.2">
      <c r="A3129">
        <v>3124</v>
      </c>
      <c r="B3129" t="s">
        <v>35161</v>
      </c>
      <c r="C3129" t="s">
        <v>35162</v>
      </c>
      <c r="D3129" t="s">
        <v>32</v>
      </c>
      <c r="E3129" t="s">
        <v>35163</v>
      </c>
      <c r="F3129" t="s">
        <v>35164</v>
      </c>
      <c r="G3129" t="s">
        <v>35165</v>
      </c>
      <c r="H3129" t="str">
        <f>"Stx3"</f>
        <v>Stx3</v>
      </c>
      <c r="I3129" t="s">
        <v>35166</v>
      </c>
      <c r="J3129" t="s">
        <v>37</v>
      </c>
      <c r="K3129">
        <v>10090</v>
      </c>
      <c r="L3129" s="3" t="str">
        <f>HYPERLINK("http://www.uniprot.org/uniprot/Q64704", "Q64704")</f>
        <v>Q64704</v>
      </c>
      <c r="M3129" t="s">
        <v>35167</v>
      </c>
      <c r="N3129" t="str">
        <f>"Stx3"</f>
        <v>Stx3</v>
      </c>
      <c r="O3129" s="3" t="str">
        <f>HYPERLINK("http://www.informatics.jax.org/marker/MGI:103077", "MGI:103077")</f>
        <v>MGI:103077</v>
      </c>
      <c r="P3129" t="s">
        <v>35168</v>
      </c>
      <c r="Q3129" t="s">
        <v>35169</v>
      </c>
      <c r="R3129" t="s">
        <v>32295</v>
      </c>
      <c r="S3129" t="s">
        <v>41</v>
      </c>
      <c r="T3129" t="s">
        <v>32</v>
      </c>
      <c r="U3129" t="s">
        <v>32</v>
      </c>
      <c r="V3129" t="s">
        <v>6500</v>
      </c>
      <c r="W3129" t="s">
        <v>32</v>
      </c>
      <c r="X3129" t="s">
        <v>32</v>
      </c>
      <c r="Y3129" t="s">
        <v>32</v>
      </c>
      <c r="Z3129" t="s">
        <v>32</v>
      </c>
      <c r="AA3129" t="s">
        <v>35170</v>
      </c>
      <c r="AB3129" t="s">
        <v>35171</v>
      </c>
      <c r="AC3129" t="s">
        <v>35172</v>
      </c>
      <c r="AD3129" t="s">
        <v>32</v>
      </c>
      <c r="AE3129" t="s">
        <v>20274</v>
      </c>
      <c r="AF3129" t="s">
        <v>46835</v>
      </c>
    </row>
    <row r="3130" spans="1:33" x14ac:dyDescent="0.2">
      <c r="A3130">
        <v>3125</v>
      </c>
      <c r="B3130" t="s">
        <v>35173</v>
      </c>
      <c r="C3130" t="s">
        <v>35174</v>
      </c>
      <c r="D3130" t="s">
        <v>35175</v>
      </c>
      <c r="E3130" t="s">
        <v>35176</v>
      </c>
      <c r="F3130" t="s">
        <v>35177</v>
      </c>
      <c r="G3130" t="s">
        <v>35178</v>
      </c>
      <c r="H3130" t="str">
        <f>"Gnpda2"</f>
        <v>Gnpda2</v>
      </c>
      <c r="I3130" t="s">
        <v>35179</v>
      </c>
      <c r="J3130" t="s">
        <v>37</v>
      </c>
      <c r="K3130">
        <v>10090</v>
      </c>
      <c r="L3130" s="3" t="str">
        <f>HYPERLINK("http://www.uniprot.org/uniprot/Q9CRC9", "Q9CRC9")</f>
        <v>Q9CRC9</v>
      </c>
      <c r="M3130" t="s">
        <v>35180</v>
      </c>
      <c r="N3130" t="str">
        <f>"Gnpda2"</f>
        <v>Gnpda2</v>
      </c>
      <c r="O3130" s="3" t="str">
        <f>HYPERLINK("http://www.informatics.jax.org/marker/MGI:1915230", "MGI:1915230")</f>
        <v>MGI:1915230</v>
      </c>
      <c r="P3130" t="s">
        <v>35181</v>
      </c>
      <c r="Q3130" t="s">
        <v>2170</v>
      </c>
      <c r="R3130" t="s">
        <v>418</v>
      </c>
      <c r="S3130" t="s">
        <v>41</v>
      </c>
      <c r="T3130" t="s">
        <v>32</v>
      </c>
      <c r="U3130" t="s">
        <v>32</v>
      </c>
      <c r="V3130" t="s">
        <v>290</v>
      </c>
      <c r="W3130" t="s">
        <v>32</v>
      </c>
      <c r="X3130" t="s">
        <v>1591</v>
      </c>
      <c r="Y3130" t="s">
        <v>618</v>
      </c>
      <c r="Z3130" t="s">
        <v>32</v>
      </c>
      <c r="AA3130" t="s">
        <v>35182</v>
      </c>
      <c r="AB3130" t="s">
        <v>2172</v>
      </c>
      <c r="AC3130" t="s">
        <v>35183</v>
      </c>
      <c r="AD3130" t="s">
        <v>13834</v>
      </c>
      <c r="AE3130" t="s">
        <v>9647</v>
      </c>
      <c r="AF3130" t="s">
        <v>46835</v>
      </c>
    </row>
    <row r="3131" spans="1:33" x14ac:dyDescent="0.2">
      <c r="A3131">
        <v>3126</v>
      </c>
      <c r="B3131" t="s">
        <v>35184</v>
      </c>
      <c r="C3131" t="s">
        <v>35185</v>
      </c>
      <c r="D3131" t="s">
        <v>32</v>
      </c>
      <c r="E3131" t="s">
        <v>35186</v>
      </c>
      <c r="F3131" t="s">
        <v>35187</v>
      </c>
      <c r="G3131" t="s">
        <v>35188</v>
      </c>
      <c r="H3131" t="str">
        <f>"Mrpl49"</f>
        <v>Mrpl49</v>
      </c>
      <c r="I3131" t="s">
        <v>32</v>
      </c>
      <c r="J3131" t="s">
        <v>37</v>
      </c>
      <c r="K3131">
        <v>10090</v>
      </c>
      <c r="L3131" s="3" t="str">
        <f>HYPERLINK("http://www.uniprot.org/uniprot/Q9CQ40", "Q9CQ40")</f>
        <v>Q9CQ40</v>
      </c>
      <c r="M3131" t="s">
        <v>35189</v>
      </c>
      <c r="N3131" t="str">
        <f>"Mrpl49"</f>
        <v>Mrpl49</v>
      </c>
      <c r="O3131" s="3" t="str">
        <f>HYPERLINK("http://www.informatics.jax.org/marker/MGI:108180", "MGI:108180")</f>
        <v>MGI:108180</v>
      </c>
      <c r="P3131" t="s">
        <v>30889</v>
      </c>
      <c r="Q3131" t="s">
        <v>32</v>
      </c>
      <c r="R3131" t="s">
        <v>1038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447</v>
      </c>
      <c r="Y3131" t="s">
        <v>32</v>
      </c>
      <c r="Z3131" t="s">
        <v>32</v>
      </c>
      <c r="AA3131" t="s">
        <v>23519</v>
      </c>
      <c r="AB3131" t="s">
        <v>17270</v>
      </c>
      <c r="AC3131" t="s">
        <v>1010</v>
      </c>
      <c r="AD3131" t="s">
        <v>32</v>
      </c>
      <c r="AE3131" t="s">
        <v>17271</v>
      </c>
      <c r="AF3131" t="s">
        <v>46835</v>
      </c>
    </row>
    <row r="3132" spans="1:33" x14ac:dyDescent="0.2">
      <c r="A3132">
        <v>3127</v>
      </c>
      <c r="B3132" t="s">
        <v>35190</v>
      </c>
      <c r="C3132" t="s">
        <v>35191</v>
      </c>
      <c r="D3132" t="s">
        <v>32</v>
      </c>
      <c r="E3132" t="s">
        <v>35192</v>
      </c>
      <c r="F3132" t="s">
        <v>35193</v>
      </c>
      <c r="G3132" t="s">
        <v>35194</v>
      </c>
      <c r="H3132" t="str">
        <f>"Ncbp3"</f>
        <v>Ncbp3</v>
      </c>
      <c r="I3132" t="s">
        <v>32</v>
      </c>
      <c r="J3132" t="s">
        <v>37</v>
      </c>
      <c r="K3132">
        <v>10090</v>
      </c>
      <c r="L3132" s="3" t="str">
        <f>HYPERLINK("http://www.uniprot.org/uniprot/Q8BZR9", "Q8BZR9")</f>
        <v>Q8BZR9</v>
      </c>
      <c r="M3132" t="s">
        <v>35195</v>
      </c>
      <c r="N3132" t="str">
        <f>"Ncbp3"</f>
        <v>Ncbp3</v>
      </c>
      <c r="O3132" s="3" t="str">
        <f>HYPERLINK("http://www.informatics.jax.org/marker/MGI:1914124", "MGI:1914124")</f>
        <v>MGI:1914124</v>
      </c>
      <c r="P3132" t="s">
        <v>35196</v>
      </c>
      <c r="Q3132" t="s">
        <v>35197</v>
      </c>
      <c r="R3132" t="s">
        <v>40</v>
      </c>
      <c r="S3132" t="s">
        <v>41</v>
      </c>
      <c r="T3132" t="s">
        <v>32</v>
      </c>
      <c r="U3132" t="s">
        <v>32</v>
      </c>
      <c r="V3132" t="s">
        <v>32</v>
      </c>
      <c r="W3132" t="s">
        <v>32</v>
      </c>
      <c r="X3132" t="s">
        <v>1282</v>
      </c>
      <c r="Y3132" t="s">
        <v>1007</v>
      </c>
      <c r="Z3132" t="s">
        <v>32</v>
      </c>
      <c r="AA3132" t="s">
        <v>35198</v>
      </c>
      <c r="AB3132" t="s">
        <v>35199</v>
      </c>
      <c r="AC3132" t="s">
        <v>22265</v>
      </c>
      <c r="AD3132" t="s">
        <v>32</v>
      </c>
      <c r="AE3132" t="s">
        <v>32</v>
      </c>
      <c r="AF3132" t="s">
        <v>46835</v>
      </c>
    </row>
    <row r="3133" spans="1:33" x14ac:dyDescent="0.2">
      <c r="A3133">
        <v>3128</v>
      </c>
      <c r="B3133" t="s">
        <v>35200</v>
      </c>
      <c r="C3133" t="s">
        <v>35201</v>
      </c>
      <c r="D3133" t="s">
        <v>35202</v>
      </c>
      <c r="E3133" t="s">
        <v>35203</v>
      </c>
      <c r="F3133" t="s">
        <v>35204</v>
      </c>
      <c r="G3133" t="s">
        <v>35205</v>
      </c>
      <c r="H3133" t="str">
        <f>"Tmed3"</f>
        <v>Tmed3</v>
      </c>
      <c r="I3133" t="s">
        <v>32</v>
      </c>
      <c r="J3133" t="s">
        <v>37</v>
      </c>
      <c r="K3133">
        <v>10090</v>
      </c>
      <c r="L3133" s="3" t="str">
        <f>HYPERLINK("http://www.uniprot.org/uniprot/Q78IS1", "Q78IS1")</f>
        <v>Q78IS1</v>
      </c>
      <c r="M3133" t="s">
        <v>35206</v>
      </c>
      <c r="N3133" t="str">
        <f>"Tmed3"</f>
        <v>Tmed3</v>
      </c>
      <c r="O3133" s="3" t="str">
        <f>HYPERLINK("http://www.informatics.jax.org/marker/MGI:1913361", "MGI:1913361")</f>
        <v>MGI:1913361</v>
      </c>
      <c r="P3133" t="s">
        <v>35207</v>
      </c>
      <c r="Q3133" t="s">
        <v>434</v>
      </c>
      <c r="R3133" t="s">
        <v>18207</v>
      </c>
      <c r="S3133" t="s">
        <v>32</v>
      </c>
      <c r="T3133" t="s">
        <v>32</v>
      </c>
      <c r="U3133" t="s">
        <v>32</v>
      </c>
      <c r="V3133" t="s">
        <v>3948</v>
      </c>
      <c r="W3133" t="s">
        <v>32</v>
      </c>
      <c r="X3133" t="s">
        <v>32</v>
      </c>
      <c r="Y3133" t="s">
        <v>175</v>
      </c>
      <c r="Z3133" t="s">
        <v>32</v>
      </c>
      <c r="AA3133" t="s">
        <v>35208</v>
      </c>
      <c r="AB3133" t="s">
        <v>35209</v>
      </c>
      <c r="AC3133" t="s">
        <v>32</v>
      </c>
      <c r="AD3133" t="s">
        <v>32</v>
      </c>
      <c r="AE3133" t="s">
        <v>3171</v>
      </c>
      <c r="AF3133" t="s">
        <v>46835</v>
      </c>
    </row>
    <row r="3134" spans="1:33" x14ac:dyDescent="0.2">
      <c r="A3134">
        <v>3129</v>
      </c>
      <c r="B3134" t="s">
        <v>35210</v>
      </c>
      <c r="C3134" t="s">
        <v>35211</v>
      </c>
      <c r="D3134" t="s">
        <v>35212</v>
      </c>
      <c r="E3134" t="s">
        <v>35213</v>
      </c>
      <c r="F3134" t="s">
        <v>35214</v>
      </c>
      <c r="G3134" t="s">
        <v>32</v>
      </c>
      <c r="H3134" t="str">
        <f>"Atp1b1"</f>
        <v>Atp1b1</v>
      </c>
      <c r="I3134" t="s">
        <v>35215</v>
      </c>
      <c r="J3134" t="s">
        <v>37</v>
      </c>
      <c r="K3134">
        <v>10090</v>
      </c>
      <c r="L3134" s="3" t="str">
        <f>HYPERLINK("http://www.uniprot.org/uniprot/P14094", "P14094")</f>
        <v>P14094</v>
      </c>
      <c r="M3134" t="s">
        <v>35216</v>
      </c>
      <c r="N3134" t="str">
        <f>"Atp1b1"</f>
        <v>Atp1b1</v>
      </c>
      <c r="O3134" s="3" t="str">
        <f>HYPERLINK("http://www.informatics.jax.org/marker/MGI:88108", "MGI:88108")</f>
        <v>MGI:88108</v>
      </c>
      <c r="P3134" t="s">
        <v>35217</v>
      </c>
      <c r="Q3134" t="s">
        <v>35218</v>
      </c>
      <c r="R3134" t="s">
        <v>2474</v>
      </c>
      <c r="S3134" t="s">
        <v>32</v>
      </c>
      <c r="T3134" t="s">
        <v>32</v>
      </c>
      <c r="U3134" t="s">
        <v>32</v>
      </c>
      <c r="V3134" t="s">
        <v>1550</v>
      </c>
      <c r="W3134" t="s">
        <v>9952</v>
      </c>
      <c r="X3134" t="s">
        <v>32</v>
      </c>
      <c r="Y3134" t="s">
        <v>35219</v>
      </c>
      <c r="Z3134" t="s">
        <v>32</v>
      </c>
      <c r="AA3134" t="s">
        <v>35220</v>
      </c>
      <c r="AB3134" t="s">
        <v>35221</v>
      </c>
      <c r="AC3134" t="s">
        <v>35222</v>
      </c>
      <c r="AD3134" t="s">
        <v>32</v>
      </c>
      <c r="AE3134" t="s">
        <v>3660</v>
      </c>
      <c r="AF3134" t="s">
        <v>46835</v>
      </c>
    </row>
    <row r="3135" spans="1:33" x14ac:dyDescent="0.2">
      <c r="A3135">
        <v>3130</v>
      </c>
      <c r="B3135" t="s">
        <v>35223</v>
      </c>
      <c r="C3135" t="s">
        <v>35224</v>
      </c>
      <c r="D3135" t="s">
        <v>32</v>
      </c>
      <c r="E3135" t="s">
        <v>35225</v>
      </c>
      <c r="F3135" t="s">
        <v>35226</v>
      </c>
      <c r="G3135" t="s">
        <v>32</v>
      </c>
      <c r="H3135" t="str">
        <f>"Selenon"</f>
        <v>Selenon</v>
      </c>
      <c r="I3135" t="s">
        <v>32</v>
      </c>
      <c r="J3135" t="s">
        <v>37</v>
      </c>
      <c r="K3135">
        <v>10090</v>
      </c>
      <c r="L3135" s="3" t="str">
        <f>HYPERLINK("http://www.uniprot.org/uniprot/D3Z2R5", "D3Z2R5")</f>
        <v>D3Z2R5</v>
      </c>
      <c r="M3135" t="s">
        <v>35227</v>
      </c>
      <c r="N3135" t="str">
        <f>"Selenon"</f>
        <v>Selenon</v>
      </c>
      <c r="O3135" s="3" t="str">
        <f>HYPERLINK("http://www.informatics.jax.org/marker/MGI:2151208", "MGI:2151208")</f>
        <v>MGI:2151208</v>
      </c>
      <c r="P3135" t="s">
        <v>35228</v>
      </c>
      <c r="Q3135" t="s">
        <v>32</v>
      </c>
      <c r="R3135" t="s">
        <v>1664</v>
      </c>
      <c r="S3135" t="s">
        <v>8573</v>
      </c>
      <c r="T3135" t="s">
        <v>32</v>
      </c>
      <c r="U3135" t="s">
        <v>32</v>
      </c>
      <c r="V3135" t="s">
        <v>478</v>
      </c>
      <c r="W3135" t="s">
        <v>32</v>
      </c>
      <c r="X3135" t="s">
        <v>600</v>
      </c>
      <c r="Y3135" t="s">
        <v>3733</v>
      </c>
      <c r="Z3135" t="s">
        <v>32</v>
      </c>
      <c r="AA3135" t="s">
        <v>35229</v>
      </c>
      <c r="AB3135" t="s">
        <v>35230</v>
      </c>
      <c r="AC3135" t="s">
        <v>35231</v>
      </c>
      <c r="AD3135" t="s">
        <v>32</v>
      </c>
      <c r="AE3135" t="s">
        <v>32</v>
      </c>
      <c r="AF3135" t="s">
        <v>46835</v>
      </c>
    </row>
    <row r="3136" spans="1:33" x14ac:dyDescent="0.2">
      <c r="A3136">
        <v>3131</v>
      </c>
      <c r="B3136" t="s">
        <v>35232</v>
      </c>
      <c r="C3136" t="s">
        <v>35233</v>
      </c>
      <c r="D3136" t="s">
        <v>35234</v>
      </c>
      <c r="E3136" t="s">
        <v>35235</v>
      </c>
      <c r="F3136" t="s">
        <v>35236</v>
      </c>
      <c r="G3136" t="s">
        <v>35237</v>
      </c>
      <c r="H3136" t="str">
        <f>"Rbm5"</f>
        <v>Rbm5</v>
      </c>
      <c r="I3136" t="s">
        <v>35238</v>
      </c>
      <c r="J3136" t="s">
        <v>37</v>
      </c>
      <c r="K3136">
        <v>10090</v>
      </c>
      <c r="L3136" s="3" t="str">
        <f>HYPERLINK("http://www.uniprot.org/uniprot/Q91YE7", "Q91YE7")</f>
        <v>Q91YE7</v>
      </c>
      <c r="M3136" t="s">
        <v>35239</v>
      </c>
      <c r="N3136" t="str">
        <f>"Rbm5"</f>
        <v>Rbm5</v>
      </c>
      <c r="O3136" s="3" t="str">
        <f>HYPERLINK("http://www.informatics.jax.org/marker/MGI:1933204", "MGI:1933204")</f>
        <v>MGI:1933204</v>
      </c>
      <c r="P3136" t="s">
        <v>35240</v>
      </c>
      <c r="Q3136" t="s">
        <v>10792</v>
      </c>
      <c r="R3136" t="s">
        <v>2140</v>
      </c>
      <c r="S3136" t="s">
        <v>41</v>
      </c>
      <c r="T3136" t="s">
        <v>32</v>
      </c>
      <c r="U3136" t="s">
        <v>32</v>
      </c>
      <c r="V3136" t="s">
        <v>3791</v>
      </c>
      <c r="W3136" t="s">
        <v>42</v>
      </c>
      <c r="X3136" t="s">
        <v>1282</v>
      </c>
      <c r="Y3136" t="s">
        <v>618</v>
      </c>
      <c r="Z3136" t="s">
        <v>126</v>
      </c>
      <c r="AA3136" t="s">
        <v>35241</v>
      </c>
      <c r="AB3136" t="s">
        <v>35242</v>
      </c>
      <c r="AC3136" t="s">
        <v>35243</v>
      </c>
      <c r="AD3136" t="s">
        <v>32</v>
      </c>
      <c r="AE3136" t="s">
        <v>946</v>
      </c>
      <c r="AF3136" t="s">
        <v>46835</v>
      </c>
    </row>
    <row r="3137" spans="1:33" x14ac:dyDescent="0.2">
      <c r="A3137">
        <v>3132</v>
      </c>
      <c r="B3137" t="s">
        <v>35244</v>
      </c>
      <c r="C3137" t="s">
        <v>35245</v>
      </c>
      <c r="D3137" t="s">
        <v>35246</v>
      </c>
      <c r="E3137" t="s">
        <v>35247</v>
      </c>
      <c r="F3137" t="s">
        <v>35248</v>
      </c>
      <c r="G3137" t="s">
        <v>35249</v>
      </c>
      <c r="H3137" t="str">
        <f>"Mettl2"</f>
        <v>Mettl2</v>
      </c>
      <c r="I3137" t="s">
        <v>32</v>
      </c>
      <c r="J3137" t="s">
        <v>37</v>
      </c>
      <c r="K3137">
        <v>10090</v>
      </c>
      <c r="L3137" s="3" t="str">
        <f>HYPERLINK("http://www.uniprot.org/uniprot/Q8BMK1", "Q8BMK1")</f>
        <v>Q8BMK1</v>
      </c>
      <c r="M3137" t="s">
        <v>35250</v>
      </c>
      <c r="N3137" t="str">
        <f>"Mettl2"</f>
        <v>Mettl2</v>
      </c>
      <c r="O3137" s="3" t="str">
        <f>HYPERLINK("http://www.informatics.jax.org/marker/MGI:1289171", "MGI:1289171")</f>
        <v>MGI:1289171</v>
      </c>
      <c r="P3137" t="s">
        <v>35251</v>
      </c>
      <c r="Q3137" t="s">
        <v>4386</v>
      </c>
      <c r="R3137" t="s">
        <v>418</v>
      </c>
      <c r="S3137" t="s">
        <v>41</v>
      </c>
      <c r="T3137" t="s">
        <v>32</v>
      </c>
      <c r="U3137" t="s">
        <v>32</v>
      </c>
      <c r="V3137" t="s">
        <v>32</v>
      </c>
      <c r="W3137" t="s">
        <v>1705</v>
      </c>
      <c r="X3137" t="s">
        <v>1706</v>
      </c>
      <c r="Y3137" t="s">
        <v>32</v>
      </c>
      <c r="Z3137" t="s">
        <v>32</v>
      </c>
      <c r="AA3137" t="s">
        <v>35252</v>
      </c>
      <c r="AB3137" t="s">
        <v>2172</v>
      </c>
      <c r="AC3137" t="s">
        <v>35253</v>
      </c>
      <c r="AD3137" t="s">
        <v>32</v>
      </c>
      <c r="AE3137" t="s">
        <v>32</v>
      </c>
      <c r="AF3137" t="s">
        <v>46835</v>
      </c>
    </row>
    <row r="3138" spans="1:33" x14ac:dyDescent="0.2">
      <c r="A3138">
        <v>3133</v>
      </c>
      <c r="B3138" t="s">
        <v>35254</v>
      </c>
      <c r="C3138" t="s">
        <v>35255</v>
      </c>
      <c r="D3138" t="s">
        <v>35256</v>
      </c>
      <c r="E3138" t="s">
        <v>35257</v>
      </c>
      <c r="F3138" t="s">
        <v>35258</v>
      </c>
      <c r="G3138" t="s">
        <v>35259</v>
      </c>
      <c r="H3138" t="str">
        <f>"Hmgn1"</f>
        <v>Hmgn1</v>
      </c>
      <c r="I3138" t="s">
        <v>35260</v>
      </c>
      <c r="J3138" t="s">
        <v>37</v>
      </c>
      <c r="K3138">
        <v>10090</v>
      </c>
      <c r="L3138" s="3" t="str">
        <f>HYPERLINK("http://www.uniprot.org/uniprot/P18608", "P18608")</f>
        <v>P18608</v>
      </c>
      <c r="M3138" t="s">
        <v>35261</v>
      </c>
      <c r="N3138" t="str">
        <f>"Hmgn1"</f>
        <v>Hmgn1</v>
      </c>
      <c r="O3138" s="3" t="str">
        <f>HYPERLINK("http://www.informatics.jax.org/marker/MGI:96120", "MGI:96120")</f>
        <v>MGI:96120</v>
      </c>
      <c r="P3138" t="s">
        <v>35262</v>
      </c>
      <c r="Q3138" t="s">
        <v>32</v>
      </c>
      <c r="R3138" t="s">
        <v>40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247</v>
      </c>
      <c r="Y3138" t="s">
        <v>2092</v>
      </c>
      <c r="Z3138" t="s">
        <v>32</v>
      </c>
      <c r="AA3138" t="s">
        <v>35263</v>
      </c>
      <c r="AB3138" t="s">
        <v>35264</v>
      </c>
      <c r="AC3138" t="s">
        <v>9045</v>
      </c>
      <c r="AD3138" t="s">
        <v>32</v>
      </c>
      <c r="AE3138" t="s">
        <v>35265</v>
      </c>
      <c r="AF3138" t="s">
        <v>46835</v>
      </c>
    </row>
    <row r="3139" spans="1:33" x14ac:dyDescent="0.2">
      <c r="A3139">
        <v>3134</v>
      </c>
      <c r="B3139" t="s">
        <v>35266</v>
      </c>
      <c r="C3139" t="s">
        <v>35267</v>
      </c>
      <c r="D3139" t="s">
        <v>32</v>
      </c>
      <c r="E3139" t="s">
        <v>35268</v>
      </c>
      <c r="F3139" t="s">
        <v>35269</v>
      </c>
      <c r="G3139" t="s">
        <v>35270</v>
      </c>
      <c r="H3139" t="str">
        <f>"Rtf1"</f>
        <v>Rtf1</v>
      </c>
      <c r="I3139" t="s">
        <v>32</v>
      </c>
      <c r="J3139" t="s">
        <v>37</v>
      </c>
      <c r="K3139">
        <v>10090</v>
      </c>
      <c r="L3139" s="3" t="str">
        <f>HYPERLINK("http://www.uniprot.org/uniprot/A2AQ19", "A2AQ19")</f>
        <v>A2AQ19</v>
      </c>
      <c r="M3139" t="s">
        <v>35271</v>
      </c>
      <c r="N3139" t="str">
        <f>"Rtf1"</f>
        <v>Rtf1</v>
      </c>
      <c r="O3139" s="3" t="str">
        <f>HYPERLINK("http://www.informatics.jax.org/marker/MGI:1309480", "MGI:1309480")</f>
        <v>MGI:1309480</v>
      </c>
      <c r="P3139" t="s">
        <v>35272</v>
      </c>
      <c r="Q3139" t="s">
        <v>17650</v>
      </c>
      <c r="R3139" t="s">
        <v>2279</v>
      </c>
      <c r="S3139" t="s">
        <v>32</v>
      </c>
      <c r="T3139" t="s">
        <v>32</v>
      </c>
      <c r="U3139" t="s">
        <v>32</v>
      </c>
      <c r="V3139" t="s">
        <v>290</v>
      </c>
      <c r="W3139" t="s">
        <v>32</v>
      </c>
      <c r="X3139" t="s">
        <v>2350</v>
      </c>
      <c r="Y3139" t="s">
        <v>618</v>
      </c>
      <c r="Z3139" t="s">
        <v>32</v>
      </c>
      <c r="AA3139" t="s">
        <v>35273</v>
      </c>
      <c r="AB3139" t="s">
        <v>35274</v>
      </c>
      <c r="AC3139" t="s">
        <v>35275</v>
      </c>
      <c r="AD3139" t="s">
        <v>32</v>
      </c>
      <c r="AE3139" t="s">
        <v>32</v>
      </c>
      <c r="AF3139" t="s">
        <v>46835</v>
      </c>
    </row>
    <row r="3140" spans="1:33" x14ac:dyDescent="0.2">
      <c r="A3140">
        <v>3135</v>
      </c>
      <c r="B3140" t="s">
        <v>35276</v>
      </c>
      <c r="C3140" t="s">
        <v>35277</v>
      </c>
      <c r="D3140" t="s">
        <v>35278</v>
      </c>
      <c r="E3140" t="s">
        <v>35279</v>
      </c>
      <c r="F3140" t="s">
        <v>35280</v>
      </c>
      <c r="G3140" t="s">
        <v>32</v>
      </c>
      <c r="H3140" t="str">
        <f>"Bckdha"</f>
        <v>Bckdha</v>
      </c>
      <c r="I3140" t="s">
        <v>32</v>
      </c>
      <c r="J3140" t="s">
        <v>37</v>
      </c>
      <c r="K3140">
        <v>10090</v>
      </c>
      <c r="L3140" s="3" t="str">
        <f>HYPERLINK("http://www.uniprot.org/uniprot/P50136", "P50136")</f>
        <v>P50136</v>
      </c>
      <c r="M3140" t="s">
        <v>35281</v>
      </c>
      <c r="N3140" t="str">
        <f>"Bckdha"</f>
        <v>Bckdha</v>
      </c>
      <c r="O3140" s="3" t="str">
        <f>HYPERLINK("http://www.informatics.jax.org/marker/MGI:107701", "MGI:107701")</f>
        <v>MGI:107701</v>
      </c>
      <c r="P3140" t="s">
        <v>35282</v>
      </c>
      <c r="Q3140" t="s">
        <v>32</v>
      </c>
      <c r="R3140" t="s">
        <v>1038</v>
      </c>
      <c r="S3140" t="s">
        <v>32</v>
      </c>
      <c r="T3140" t="s">
        <v>32</v>
      </c>
      <c r="U3140" t="s">
        <v>32</v>
      </c>
      <c r="V3140" t="s">
        <v>1039</v>
      </c>
      <c r="W3140" t="s">
        <v>35283</v>
      </c>
      <c r="X3140" t="s">
        <v>600</v>
      </c>
      <c r="Y3140" t="s">
        <v>157</v>
      </c>
      <c r="Z3140" t="s">
        <v>32</v>
      </c>
      <c r="AA3140" t="s">
        <v>35284</v>
      </c>
      <c r="AB3140" t="s">
        <v>35285</v>
      </c>
      <c r="AC3140" t="s">
        <v>35286</v>
      </c>
      <c r="AD3140" t="s">
        <v>32</v>
      </c>
      <c r="AE3140" t="s">
        <v>27432</v>
      </c>
      <c r="AF3140" t="s">
        <v>46835</v>
      </c>
    </row>
    <row r="3141" spans="1:33" x14ac:dyDescent="0.2">
      <c r="A3141">
        <v>3136</v>
      </c>
      <c r="B3141" t="s">
        <v>35287</v>
      </c>
      <c r="C3141" t="s">
        <v>35288</v>
      </c>
      <c r="D3141" t="s">
        <v>35289</v>
      </c>
      <c r="E3141" t="s">
        <v>35290</v>
      </c>
      <c r="F3141" t="s">
        <v>35291</v>
      </c>
      <c r="G3141" t="s">
        <v>35292</v>
      </c>
      <c r="H3141" t="str">
        <f>"Abi1"</f>
        <v>Abi1</v>
      </c>
      <c r="I3141" t="s">
        <v>35293</v>
      </c>
      <c r="J3141" t="s">
        <v>37</v>
      </c>
      <c r="K3141">
        <v>10090</v>
      </c>
      <c r="L3141" s="3" t="str">
        <f>HYPERLINK("http://www.uniprot.org/uniprot/Q8CBW3", "Q8CBW3")</f>
        <v>Q8CBW3</v>
      </c>
      <c r="M3141" t="s">
        <v>35294</v>
      </c>
      <c r="N3141" t="str">
        <f>"Abi1"</f>
        <v>Abi1</v>
      </c>
      <c r="O3141" s="3" t="str">
        <f>HYPERLINK("http://www.informatics.jax.org/marker/MGI:104913", "MGI:104913")</f>
        <v>MGI:104913</v>
      </c>
      <c r="P3141" t="s">
        <v>35295</v>
      </c>
      <c r="Q3141" t="s">
        <v>32</v>
      </c>
      <c r="R3141" t="s">
        <v>35296</v>
      </c>
      <c r="S3141" t="s">
        <v>41</v>
      </c>
      <c r="T3141" t="s">
        <v>32</v>
      </c>
      <c r="U3141" t="s">
        <v>32</v>
      </c>
      <c r="V3141" t="s">
        <v>1606</v>
      </c>
      <c r="W3141" t="s">
        <v>32</v>
      </c>
      <c r="X3141" t="s">
        <v>32</v>
      </c>
      <c r="Y3141" t="s">
        <v>157</v>
      </c>
      <c r="Z3141" t="s">
        <v>32</v>
      </c>
      <c r="AA3141" t="s">
        <v>35297</v>
      </c>
      <c r="AB3141" t="s">
        <v>35298</v>
      </c>
      <c r="AC3141" t="s">
        <v>35299</v>
      </c>
      <c r="AD3141" t="s">
        <v>32</v>
      </c>
      <c r="AE3141" t="s">
        <v>10906</v>
      </c>
      <c r="AF3141" t="s">
        <v>46835</v>
      </c>
    </row>
    <row r="3142" spans="1:33" x14ac:dyDescent="0.2">
      <c r="A3142">
        <v>3137</v>
      </c>
      <c r="B3142" t="s">
        <v>35300</v>
      </c>
      <c r="C3142" t="s">
        <v>35301</v>
      </c>
      <c r="D3142" t="s">
        <v>35302</v>
      </c>
      <c r="E3142" t="s">
        <v>35303</v>
      </c>
      <c r="F3142" t="s">
        <v>35304</v>
      </c>
      <c r="G3142" t="s">
        <v>35305</v>
      </c>
      <c r="H3142" t="str">
        <f>"Rchy1"</f>
        <v>Rchy1</v>
      </c>
      <c r="I3142" t="s">
        <v>35306</v>
      </c>
      <c r="J3142" t="s">
        <v>37</v>
      </c>
      <c r="K3142">
        <v>10090</v>
      </c>
      <c r="L3142" s="3" t="str">
        <f>HYPERLINK("http://www.uniprot.org/uniprot/Q9CR50", "Q9CR50")</f>
        <v>Q9CR50</v>
      </c>
      <c r="M3142" t="s">
        <v>35307</v>
      </c>
      <c r="N3142" t="str">
        <f>"Rchy1"</f>
        <v>Rchy1</v>
      </c>
      <c r="O3142" s="3" t="str">
        <f>HYPERLINK("http://www.informatics.jax.org/marker/MGI:1915348", "MGI:1915348")</f>
        <v>MGI:1915348</v>
      </c>
      <c r="P3142" t="s">
        <v>35308</v>
      </c>
      <c r="Q3142" t="s">
        <v>1020</v>
      </c>
      <c r="R3142" t="s">
        <v>40</v>
      </c>
      <c r="S3142" t="s">
        <v>32</v>
      </c>
      <c r="T3142" t="s">
        <v>32</v>
      </c>
      <c r="U3142" t="s">
        <v>32</v>
      </c>
      <c r="V3142" t="s">
        <v>446</v>
      </c>
      <c r="W3142" t="s">
        <v>42</v>
      </c>
      <c r="X3142" t="s">
        <v>515</v>
      </c>
      <c r="Y3142" t="s">
        <v>5599</v>
      </c>
      <c r="Z3142" t="s">
        <v>126</v>
      </c>
      <c r="AA3142" t="s">
        <v>35309</v>
      </c>
      <c r="AB3142" t="s">
        <v>35310</v>
      </c>
      <c r="AC3142" t="s">
        <v>35311</v>
      </c>
      <c r="AD3142" t="s">
        <v>1027</v>
      </c>
      <c r="AE3142" t="s">
        <v>35312</v>
      </c>
      <c r="AF3142" t="s">
        <v>46835</v>
      </c>
    </row>
    <row r="3143" spans="1:33" x14ac:dyDescent="0.2">
      <c r="A3143">
        <v>3138</v>
      </c>
      <c r="B3143" t="s">
        <v>35313</v>
      </c>
      <c r="C3143" t="s">
        <v>35314</v>
      </c>
      <c r="D3143" t="s">
        <v>35315</v>
      </c>
      <c r="E3143" t="s">
        <v>35316</v>
      </c>
      <c r="F3143" t="s">
        <v>35317</v>
      </c>
      <c r="G3143" t="s">
        <v>35318</v>
      </c>
      <c r="H3143" t="str">
        <f>"Acsl1"</f>
        <v>Acsl1</v>
      </c>
      <c r="I3143" t="s">
        <v>35319</v>
      </c>
      <c r="J3143" t="s">
        <v>37</v>
      </c>
      <c r="K3143">
        <v>10090</v>
      </c>
      <c r="L3143" s="3" t="str">
        <f>HYPERLINK("http://www.uniprot.org/uniprot/P41216", "P41216")</f>
        <v>P41216</v>
      </c>
      <c r="M3143" t="s">
        <v>35320</v>
      </c>
      <c r="N3143" t="str">
        <f>"Acsl1"</f>
        <v>Acsl1</v>
      </c>
      <c r="O3143" s="3" t="str">
        <f>HYPERLINK("http://www.informatics.jax.org/marker/MGI:102797", "MGI:102797")</f>
        <v>MGI:102797</v>
      </c>
      <c r="P3143" t="s">
        <v>35321</v>
      </c>
      <c r="Q3143" t="s">
        <v>6214</v>
      </c>
      <c r="R3143" t="s">
        <v>25159</v>
      </c>
      <c r="S3143" t="s">
        <v>32</v>
      </c>
      <c r="T3143" t="s">
        <v>32</v>
      </c>
      <c r="U3143" t="s">
        <v>32</v>
      </c>
      <c r="V3143" t="s">
        <v>1550</v>
      </c>
      <c r="W3143" t="s">
        <v>21296</v>
      </c>
      <c r="X3143" t="s">
        <v>1022</v>
      </c>
      <c r="Y3143" t="s">
        <v>35322</v>
      </c>
      <c r="Z3143" t="s">
        <v>32</v>
      </c>
      <c r="AA3143" t="s">
        <v>35323</v>
      </c>
      <c r="AB3143" t="s">
        <v>35324</v>
      </c>
      <c r="AC3143" t="s">
        <v>35325</v>
      </c>
      <c r="AD3143" t="s">
        <v>32</v>
      </c>
      <c r="AE3143" t="s">
        <v>35326</v>
      </c>
      <c r="AF3143" t="s">
        <v>46835</v>
      </c>
    </row>
    <row r="3144" spans="1:33" x14ac:dyDescent="0.2">
      <c r="A3144">
        <v>3139</v>
      </c>
      <c r="B3144" t="s">
        <v>35327</v>
      </c>
      <c r="C3144" t="s">
        <v>47146</v>
      </c>
      <c r="D3144" t="s">
        <v>32</v>
      </c>
      <c r="E3144" t="s">
        <v>47012</v>
      </c>
      <c r="F3144" t="s">
        <v>47011</v>
      </c>
      <c r="G3144" t="s">
        <v>32</v>
      </c>
      <c r="H3144" t="s">
        <v>47277</v>
      </c>
      <c r="I3144" t="s">
        <v>32</v>
      </c>
      <c r="J3144" t="s">
        <v>37</v>
      </c>
      <c r="K3144">
        <v>10090</v>
      </c>
      <c r="L3144" s="3" t="str">
        <f>HYPERLINK(CONCATENATE("https://www.uniprot.org/uniprotkb/", AG3144, "/entry"), AG3144)</f>
        <v>Q6PHP4</v>
      </c>
      <c r="M3144" t="s">
        <v>32</v>
      </c>
      <c r="N3144" t="s">
        <v>32</v>
      </c>
      <c r="O3144" s="3" t="s">
        <v>32</v>
      </c>
      <c r="P3144" t="s">
        <v>32</v>
      </c>
      <c r="Q3144" t="s">
        <v>32</v>
      </c>
      <c r="R3144" t="s">
        <v>32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32</v>
      </c>
      <c r="Y3144" t="s">
        <v>32</v>
      </c>
      <c r="Z3144" t="s">
        <v>32</v>
      </c>
      <c r="AA3144" t="s">
        <v>32</v>
      </c>
      <c r="AB3144" t="s">
        <v>32</v>
      </c>
      <c r="AC3144" t="s">
        <v>32</v>
      </c>
      <c r="AD3144" t="s">
        <v>32</v>
      </c>
      <c r="AE3144" t="s">
        <v>32</v>
      </c>
      <c r="AF3144" t="s">
        <v>46835</v>
      </c>
      <c r="AG3144" t="s">
        <v>47011</v>
      </c>
    </row>
    <row r="3145" spans="1:33" x14ac:dyDescent="0.2">
      <c r="A3145">
        <v>3140</v>
      </c>
      <c r="B3145" t="s">
        <v>35328</v>
      </c>
      <c r="C3145" t="s">
        <v>35329</v>
      </c>
      <c r="D3145" t="s">
        <v>35330</v>
      </c>
      <c r="E3145" t="s">
        <v>35331</v>
      </c>
      <c r="F3145" t="s">
        <v>35332</v>
      </c>
      <c r="G3145" t="s">
        <v>32</v>
      </c>
      <c r="H3145" t="str">
        <f>"Cdkn2aip"</f>
        <v>Cdkn2aip</v>
      </c>
      <c r="I3145" t="s">
        <v>35333</v>
      </c>
      <c r="J3145" t="s">
        <v>37</v>
      </c>
      <c r="K3145">
        <v>10090</v>
      </c>
      <c r="L3145" s="3" t="str">
        <f>HYPERLINK("http://www.uniprot.org/uniprot/Q8BI72", "Q8BI72")</f>
        <v>Q8BI72</v>
      </c>
      <c r="M3145" t="s">
        <v>35334</v>
      </c>
      <c r="N3145" t="str">
        <f>"Cdkn2aip"</f>
        <v>Cdkn2aip</v>
      </c>
      <c r="O3145" s="3" t="str">
        <f>HYPERLINK("http://www.informatics.jax.org/marker/MGI:1918175", "MGI:1918175")</f>
        <v>MGI:1918175</v>
      </c>
      <c r="P3145" t="s">
        <v>35335</v>
      </c>
      <c r="Q3145" t="s">
        <v>32</v>
      </c>
      <c r="R3145" t="s">
        <v>2279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1282</v>
      </c>
      <c r="Y3145" t="s">
        <v>516</v>
      </c>
      <c r="Z3145" t="s">
        <v>32</v>
      </c>
      <c r="AA3145" t="s">
        <v>35336</v>
      </c>
      <c r="AB3145" t="s">
        <v>35337</v>
      </c>
      <c r="AC3145" t="s">
        <v>35338</v>
      </c>
      <c r="AD3145" t="s">
        <v>32</v>
      </c>
      <c r="AE3145" t="s">
        <v>32</v>
      </c>
      <c r="AF3145" t="s">
        <v>46835</v>
      </c>
    </row>
    <row r="3146" spans="1:33" x14ac:dyDescent="0.2">
      <c r="A3146">
        <v>3141</v>
      </c>
      <c r="B3146" t="s">
        <v>35339</v>
      </c>
      <c r="C3146" t="s">
        <v>35340</v>
      </c>
      <c r="D3146" t="s">
        <v>35341</v>
      </c>
      <c r="E3146" t="s">
        <v>35342</v>
      </c>
      <c r="F3146" t="s">
        <v>35343</v>
      </c>
      <c r="G3146" t="s">
        <v>35344</v>
      </c>
      <c r="H3146" t="str">
        <f>"Plxdc2"</f>
        <v>Plxdc2</v>
      </c>
      <c r="I3146" t="s">
        <v>35345</v>
      </c>
      <c r="J3146" t="s">
        <v>37</v>
      </c>
      <c r="K3146">
        <v>10090</v>
      </c>
      <c r="L3146" s="3" t="str">
        <f>HYPERLINK("http://www.uniprot.org/uniprot/Q9DC11", "Q9DC11")</f>
        <v>Q9DC11</v>
      </c>
      <c r="M3146" t="s">
        <v>35346</v>
      </c>
      <c r="N3146" t="str">
        <f>"Plxdc2"</f>
        <v>Plxdc2</v>
      </c>
      <c r="O3146" s="3" t="str">
        <f>HYPERLINK("http://www.informatics.jax.org/marker/MGI:1914698", "MGI:1914698")</f>
        <v>MGI:1914698</v>
      </c>
      <c r="P3146" t="s">
        <v>35347</v>
      </c>
      <c r="Q3146" t="s">
        <v>32</v>
      </c>
      <c r="R3146" t="s">
        <v>5989</v>
      </c>
      <c r="S3146" t="s">
        <v>32</v>
      </c>
      <c r="T3146" t="s">
        <v>32</v>
      </c>
      <c r="U3146" t="s">
        <v>32</v>
      </c>
      <c r="V3146" t="s">
        <v>3948</v>
      </c>
      <c r="W3146" t="s">
        <v>32</v>
      </c>
      <c r="X3146" t="s">
        <v>32</v>
      </c>
      <c r="Y3146" t="s">
        <v>4720</v>
      </c>
      <c r="Z3146" t="s">
        <v>32</v>
      </c>
      <c r="AA3146" t="s">
        <v>32</v>
      </c>
      <c r="AB3146" t="s">
        <v>35348</v>
      </c>
      <c r="AC3146" t="s">
        <v>32</v>
      </c>
      <c r="AD3146" t="s">
        <v>32</v>
      </c>
      <c r="AE3146" t="s">
        <v>32</v>
      </c>
      <c r="AF3146" t="s">
        <v>46835</v>
      </c>
    </row>
    <row r="3147" spans="1:33" x14ac:dyDescent="0.2">
      <c r="A3147">
        <v>3142</v>
      </c>
      <c r="B3147" t="s">
        <v>35349</v>
      </c>
      <c r="C3147" t="s">
        <v>35350</v>
      </c>
      <c r="D3147" t="s">
        <v>35351</v>
      </c>
      <c r="E3147" t="s">
        <v>35352</v>
      </c>
      <c r="F3147" t="s">
        <v>35353</v>
      </c>
      <c r="G3147" t="s">
        <v>32</v>
      </c>
      <c r="H3147" t="str">
        <f>"Galk2"</f>
        <v>Galk2</v>
      </c>
      <c r="I3147" t="s">
        <v>32</v>
      </c>
      <c r="J3147" t="s">
        <v>37</v>
      </c>
      <c r="K3147">
        <v>10090</v>
      </c>
      <c r="L3147" s="3" t="str">
        <f>HYPERLINK("http://www.uniprot.org/uniprot/Q68FH4", "Q68FH4")</f>
        <v>Q68FH4</v>
      </c>
      <c r="M3147" t="s">
        <v>35354</v>
      </c>
      <c r="N3147" t="str">
        <f>"Galk2"</f>
        <v>Galk2</v>
      </c>
      <c r="O3147" s="3" t="str">
        <f>HYPERLINK("http://www.informatics.jax.org/marker/MGI:1917226", "MGI:1917226")</f>
        <v>MGI:1917226</v>
      </c>
      <c r="P3147" t="s">
        <v>35355</v>
      </c>
      <c r="Q3147" t="s">
        <v>32</v>
      </c>
      <c r="R3147" t="s">
        <v>32</v>
      </c>
      <c r="S3147" t="s">
        <v>32</v>
      </c>
      <c r="T3147" t="s">
        <v>32</v>
      </c>
      <c r="U3147" t="s">
        <v>32</v>
      </c>
      <c r="V3147" t="s">
        <v>32</v>
      </c>
      <c r="W3147" t="s">
        <v>205</v>
      </c>
      <c r="X3147" t="s">
        <v>419</v>
      </c>
      <c r="Y3147" t="s">
        <v>32</v>
      </c>
      <c r="Z3147" t="s">
        <v>32</v>
      </c>
      <c r="AA3147" t="s">
        <v>35356</v>
      </c>
      <c r="AB3147" t="s">
        <v>1268</v>
      </c>
      <c r="AC3147" t="s">
        <v>35357</v>
      </c>
      <c r="AD3147" t="s">
        <v>32</v>
      </c>
      <c r="AE3147" t="s">
        <v>32</v>
      </c>
      <c r="AF3147" t="s">
        <v>46835</v>
      </c>
    </row>
    <row r="3148" spans="1:33" x14ac:dyDescent="0.2">
      <c r="A3148">
        <v>3143</v>
      </c>
      <c r="B3148" t="s">
        <v>35358</v>
      </c>
      <c r="C3148" t="s">
        <v>35359</v>
      </c>
      <c r="D3148" t="s">
        <v>35360</v>
      </c>
      <c r="E3148" t="s">
        <v>35361</v>
      </c>
      <c r="F3148" t="s">
        <v>35362</v>
      </c>
      <c r="G3148" t="s">
        <v>35363</v>
      </c>
      <c r="H3148" t="str">
        <f>"Gmppa"</f>
        <v>Gmppa</v>
      </c>
      <c r="I3148" t="s">
        <v>32</v>
      </c>
      <c r="J3148" t="s">
        <v>37</v>
      </c>
      <c r="K3148">
        <v>10090</v>
      </c>
      <c r="L3148" s="3" t="str">
        <f>HYPERLINK("http://www.uniprot.org/uniprot/Q922H4", "Q922H4")</f>
        <v>Q922H4</v>
      </c>
      <c r="M3148" t="s">
        <v>35364</v>
      </c>
      <c r="N3148" t="str">
        <f>"Gmppa"</f>
        <v>Gmppa</v>
      </c>
      <c r="O3148" s="3" t="str">
        <f>HYPERLINK("http://www.informatics.jax.org/marker/MGI:1916330", "MGI:1916330")</f>
        <v>MGI:1916330</v>
      </c>
      <c r="P3148" t="s">
        <v>418</v>
      </c>
      <c r="Q3148" t="s">
        <v>32</v>
      </c>
      <c r="R3148" t="s">
        <v>418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32</v>
      </c>
      <c r="Y3148" t="s">
        <v>32</v>
      </c>
      <c r="Z3148" t="s">
        <v>32</v>
      </c>
      <c r="AA3148" t="s">
        <v>30334</v>
      </c>
      <c r="AB3148" t="s">
        <v>2172</v>
      </c>
      <c r="AC3148" t="s">
        <v>35365</v>
      </c>
      <c r="AD3148" t="s">
        <v>32</v>
      </c>
      <c r="AE3148" t="s">
        <v>32</v>
      </c>
      <c r="AF3148" t="s">
        <v>46835</v>
      </c>
    </row>
    <row r="3149" spans="1:33" x14ac:dyDescent="0.2">
      <c r="A3149">
        <v>3144</v>
      </c>
      <c r="B3149" t="s">
        <v>35366</v>
      </c>
      <c r="C3149" t="s">
        <v>35367</v>
      </c>
      <c r="D3149" t="s">
        <v>35368</v>
      </c>
      <c r="E3149" t="s">
        <v>35369</v>
      </c>
      <c r="F3149" t="s">
        <v>35370</v>
      </c>
      <c r="G3149" t="s">
        <v>32</v>
      </c>
      <c r="H3149" t="str">
        <f>"Arl15"</f>
        <v>Arl15</v>
      </c>
      <c r="I3149" t="s">
        <v>35371</v>
      </c>
      <c r="J3149" t="s">
        <v>37</v>
      </c>
      <c r="K3149">
        <v>10090</v>
      </c>
      <c r="L3149" s="3" t="str">
        <f>HYPERLINK("http://www.uniprot.org/uniprot/Q8BGR6", "Q8BGR6")</f>
        <v>Q8BGR6</v>
      </c>
      <c r="M3149" t="s">
        <v>35372</v>
      </c>
      <c r="N3149" t="str">
        <f>"Arl15"</f>
        <v>Arl15</v>
      </c>
      <c r="O3149" s="3" t="str">
        <f>HYPERLINK("http://www.informatics.jax.org/marker/MGI:2442308", "MGI:2442308")</f>
        <v>MGI:2442308</v>
      </c>
      <c r="P3149" t="s">
        <v>261</v>
      </c>
      <c r="Q3149" t="s">
        <v>32</v>
      </c>
      <c r="R3149" t="s">
        <v>32</v>
      </c>
      <c r="S3149" t="s">
        <v>32</v>
      </c>
      <c r="T3149" t="s">
        <v>32</v>
      </c>
      <c r="U3149" t="s">
        <v>32</v>
      </c>
      <c r="V3149" t="s">
        <v>32</v>
      </c>
      <c r="W3149" t="s">
        <v>261</v>
      </c>
      <c r="X3149" t="s">
        <v>32</v>
      </c>
      <c r="Y3149" t="s">
        <v>32</v>
      </c>
      <c r="Z3149" t="s">
        <v>32</v>
      </c>
      <c r="AA3149" t="s">
        <v>32</v>
      </c>
      <c r="AB3149" t="s">
        <v>32</v>
      </c>
      <c r="AC3149" t="s">
        <v>15410</v>
      </c>
      <c r="AD3149" t="s">
        <v>32</v>
      </c>
      <c r="AE3149" t="s">
        <v>32</v>
      </c>
      <c r="AF3149" t="s">
        <v>46835</v>
      </c>
    </row>
    <row r="3150" spans="1:33" x14ac:dyDescent="0.2">
      <c r="A3150">
        <v>3145</v>
      </c>
      <c r="B3150" t="s">
        <v>35373</v>
      </c>
      <c r="C3150" t="s">
        <v>35374</v>
      </c>
      <c r="D3150" t="s">
        <v>35375</v>
      </c>
      <c r="E3150" t="s">
        <v>35376</v>
      </c>
      <c r="F3150" t="s">
        <v>35377</v>
      </c>
      <c r="G3150" t="s">
        <v>35378</v>
      </c>
      <c r="H3150" t="str">
        <f>"Fnbp1l"</f>
        <v>Fnbp1l</v>
      </c>
      <c r="I3150" t="s">
        <v>35379</v>
      </c>
      <c r="J3150" t="s">
        <v>37</v>
      </c>
      <c r="K3150">
        <v>10090</v>
      </c>
      <c r="L3150" s="3" t="str">
        <f>HYPERLINK("http://www.uniprot.org/uniprot/Q8K012", "Q8K012")</f>
        <v>Q8K012</v>
      </c>
      <c r="M3150" t="s">
        <v>35380</v>
      </c>
      <c r="N3150" t="str">
        <f>"Fnbp1l"</f>
        <v>Fnbp1l</v>
      </c>
      <c r="O3150" s="3" t="str">
        <f>HYPERLINK("http://www.informatics.jax.org/marker/MGI:1925642", "MGI:1925642")</f>
        <v>MGI:1925642</v>
      </c>
      <c r="P3150" t="s">
        <v>35381</v>
      </c>
      <c r="Q3150" t="s">
        <v>35382</v>
      </c>
      <c r="R3150" t="s">
        <v>35383</v>
      </c>
      <c r="S3150" t="s">
        <v>41</v>
      </c>
      <c r="T3150" t="s">
        <v>32</v>
      </c>
      <c r="U3150" t="s">
        <v>32</v>
      </c>
      <c r="V3150" t="s">
        <v>1606</v>
      </c>
      <c r="W3150" t="s">
        <v>584</v>
      </c>
      <c r="X3150" t="s">
        <v>32</v>
      </c>
      <c r="Y3150" t="s">
        <v>618</v>
      </c>
      <c r="Z3150" t="s">
        <v>32</v>
      </c>
      <c r="AA3150" t="s">
        <v>35384</v>
      </c>
      <c r="AB3150" t="s">
        <v>35385</v>
      </c>
      <c r="AC3150" t="s">
        <v>35386</v>
      </c>
      <c r="AD3150" t="s">
        <v>32</v>
      </c>
      <c r="AE3150" t="s">
        <v>4859</v>
      </c>
      <c r="AF3150" t="s">
        <v>46835</v>
      </c>
    </row>
    <row r="3151" spans="1:33" x14ac:dyDescent="0.2">
      <c r="A3151">
        <v>3146</v>
      </c>
      <c r="B3151" t="s">
        <v>35387</v>
      </c>
      <c r="C3151" t="s">
        <v>35388</v>
      </c>
      <c r="D3151" t="s">
        <v>35389</v>
      </c>
      <c r="E3151" t="s">
        <v>35390</v>
      </c>
      <c r="F3151" t="s">
        <v>35391</v>
      </c>
      <c r="G3151" t="s">
        <v>35392</v>
      </c>
      <c r="H3151" t="str">
        <f>"Nt5c3a"</f>
        <v>Nt5c3a</v>
      </c>
      <c r="I3151" t="s">
        <v>35393</v>
      </c>
      <c r="J3151" t="s">
        <v>37</v>
      </c>
      <c r="K3151">
        <v>10090</v>
      </c>
      <c r="L3151" s="3" t="str">
        <f>HYPERLINK("http://www.uniprot.org/uniprot/Q9D020", "Q9D020")</f>
        <v>Q9D020</v>
      </c>
      <c r="M3151" t="s">
        <v>35394</v>
      </c>
      <c r="N3151" t="str">
        <f>"Nt5c3"</f>
        <v>Nt5c3</v>
      </c>
      <c r="O3151" s="3" t="str">
        <f>HYPERLINK("http://www.informatics.jax.org/marker/MGI:1927186", "MGI:1927186")</f>
        <v>MGI:1927186</v>
      </c>
      <c r="P3151" t="s">
        <v>35395</v>
      </c>
      <c r="Q3151" t="s">
        <v>7123</v>
      </c>
      <c r="R3151" t="s">
        <v>418</v>
      </c>
      <c r="S3151" t="s">
        <v>41</v>
      </c>
      <c r="T3151" t="s">
        <v>32</v>
      </c>
      <c r="U3151" t="s">
        <v>32</v>
      </c>
      <c r="V3151" t="s">
        <v>32</v>
      </c>
      <c r="W3151" t="s">
        <v>14807</v>
      </c>
      <c r="X3151" t="s">
        <v>5222</v>
      </c>
      <c r="Y3151" t="s">
        <v>618</v>
      </c>
      <c r="Z3151" t="s">
        <v>126</v>
      </c>
      <c r="AA3151" t="s">
        <v>35396</v>
      </c>
      <c r="AB3151" t="s">
        <v>35397</v>
      </c>
      <c r="AC3151" t="s">
        <v>35398</v>
      </c>
      <c r="AD3151" t="s">
        <v>32</v>
      </c>
      <c r="AE3151" t="s">
        <v>35399</v>
      </c>
      <c r="AF3151" t="s">
        <v>46835</v>
      </c>
    </row>
    <row r="3152" spans="1:33" x14ac:dyDescent="0.2">
      <c r="A3152">
        <v>3147</v>
      </c>
      <c r="B3152" t="s">
        <v>35400</v>
      </c>
      <c r="C3152" t="s">
        <v>35401</v>
      </c>
      <c r="D3152" t="s">
        <v>35402</v>
      </c>
      <c r="E3152" t="s">
        <v>35403</v>
      </c>
      <c r="F3152" t="s">
        <v>35404</v>
      </c>
      <c r="G3152" t="s">
        <v>35405</v>
      </c>
      <c r="H3152" t="str">
        <f>"Ikbkb"</f>
        <v>Ikbkb</v>
      </c>
      <c r="I3152" t="s">
        <v>35406</v>
      </c>
      <c r="J3152" t="s">
        <v>37</v>
      </c>
      <c r="K3152">
        <v>10090</v>
      </c>
      <c r="L3152" s="3" t="str">
        <f>HYPERLINK("http://www.uniprot.org/uniprot/O88351", "O88351")</f>
        <v>O88351</v>
      </c>
      <c r="M3152" t="s">
        <v>35407</v>
      </c>
      <c r="N3152" t="str">
        <f>"Ikbkb"</f>
        <v>Ikbkb</v>
      </c>
      <c r="O3152" s="3" t="str">
        <f>HYPERLINK("http://www.informatics.jax.org/marker/MGI:1338071", "MGI:1338071")</f>
        <v>MGI:1338071</v>
      </c>
      <c r="P3152" t="s">
        <v>35408</v>
      </c>
      <c r="Q3152" t="s">
        <v>32</v>
      </c>
      <c r="R3152" t="s">
        <v>5943</v>
      </c>
      <c r="S3152" t="s">
        <v>32</v>
      </c>
      <c r="T3152" t="s">
        <v>32</v>
      </c>
      <c r="U3152" t="s">
        <v>32</v>
      </c>
      <c r="V3152" t="s">
        <v>32</v>
      </c>
      <c r="W3152" t="s">
        <v>205</v>
      </c>
      <c r="X3152" t="s">
        <v>5419</v>
      </c>
      <c r="Y3152" t="s">
        <v>35409</v>
      </c>
      <c r="Z3152" t="s">
        <v>32</v>
      </c>
      <c r="AA3152" t="s">
        <v>35410</v>
      </c>
      <c r="AB3152" t="s">
        <v>35411</v>
      </c>
      <c r="AC3152" t="s">
        <v>35412</v>
      </c>
      <c r="AD3152" t="s">
        <v>32</v>
      </c>
      <c r="AE3152" t="s">
        <v>35413</v>
      </c>
      <c r="AF3152" t="s">
        <v>46835</v>
      </c>
    </row>
    <row r="3153" spans="1:32" x14ac:dyDescent="0.2">
      <c r="A3153">
        <v>3148</v>
      </c>
      <c r="B3153" t="s">
        <v>35414</v>
      </c>
      <c r="C3153" t="s">
        <v>35415</v>
      </c>
      <c r="D3153" t="s">
        <v>32</v>
      </c>
      <c r="E3153" t="s">
        <v>35416</v>
      </c>
      <c r="F3153" t="s">
        <v>35417</v>
      </c>
      <c r="G3153" t="s">
        <v>32</v>
      </c>
      <c r="H3153" t="str">
        <f>"Psmg4"</f>
        <v>Psmg4</v>
      </c>
      <c r="I3153" t="s">
        <v>35418</v>
      </c>
      <c r="J3153" t="s">
        <v>37</v>
      </c>
      <c r="K3153">
        <v>10090</v>
      </c>
      <c r="L3153" s="3" t="str">
        <f>HYPERLINK("http://www.uniprot.org/uniprot/P0C7N9", "P0C7N9")</f>
        <v>P0C7N9</v>
      </c>
      <c r="M3153" t="s">
        <v>35419</v>
      </c>
      <c r="N3153" t="str">
        <f>"Psmg4"</f>
        <v>Psmg4</v>
      </c>
      <c r="O3153" s="3" t="str">
        <f>HYPERLINK("http://www.informatics.jax.org/marker/MGI:1916916", "MGI:1916916")</f>
        <v>MGI:1916916</v>
      </c>
      <c r="P3153" t="s">
        <v>388</v>
      </c>
      <c r="Q3153" t="s">
        <v>32</v>
      </c>
      <c r="R3153" t="s">
        <v>32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388</v>
      </c>
      <c r="Y3153" t="s">
        <v>32</v>
      </c>
      <c r="Z3153" t="s">
        <v>32</v>
      </c>
      <c r="AA3153" t="s">
        <v>35420</v>
      </c>
      <c r="AB3153" t="s">
        <v>35421</v>
      </c>
      <c r="AC3153" t="s">
        <v>9779</v>
      </c>
      <c r="AD3153" t="s">
        <v>32</v>
      </c>
      <c r="AE3153" t="s">
        <v>32</v>
      </c>
      <c r="AF3153" t="s">
        <v>46835</v>
      </c>
    </row>
    <row r="3154" spans="1:32" x14ac:dyDescent="0.2">
      <c r="A3154">
        <v>3149</v>
      </c>
      <c r="B3154" t="s">
        <v>35422</v>
      </c>
      <c r="C3154" t="s">
        <v>35423</v>
      </c>
      <c r="D3154" t="s">
        <v>35424</v>
      </c>
      <c r="E3154" t="s">
        <v>35425</v>
      </c>
      <c r="F3154" t="s">
        <v>35426</v>
      </c>
      <c r="G3154" t="s">
        <v>35427</v>
      </c>
      <c r="H3154" t="str">
        <f>"Vps37b"</f>
        <v>Vps37b</v>
      </c>
      <c r="I3154" t="s">
        <v>32</v>
      </c>
      <c r="J3154" t="s">
        <v>37</v>
      </c>
      <c r="K3154">
        <v>10090</v>
      </c>
      <c r="L3154" s="3" t="str">
        <f>HYPERLINK("http://www.uniprot.org/uniprot/Q8R0J7", "Q8R0J7")</f>
        <v>Q8R0J7</v>
      </c>
      <c r="M3154" t="s">
        <v>35428</v>
      </c>
      <c r="N3154" t="str">
        <f>"Vps37b"</f>
        <v>Vps37b</v>
      </c>
      <c r="O3154" s="3" t="str">
        <f>HYPERLINK("http://www.informatics.jax.org/marker/MGI:1916724", "MGI:1916724")</f>
        <v>MGI:1916724</v>
      </c>
      <c r="P3154" t="s">
        <v>35429</v>
      </c>
      <c r="Q3154" t="s">
        <v>434</v>
      </c>
      <c r="R3154" t="s">
        <v>24832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32</v>
      </c>
      <c r="Y3154" t="s">
        <v>32</v>
      </c>
      <c r="Z3154" t="s">
        <v>32</v>
      </c>
      <c r="AA3154" t="s">
        <v>35430</v>
      </c>
      <c r="AB3154" t="s">
        <v>35431</v>
      </c>
      <c r="AC3154" t="s">
        <v>35432</v>
      </c>
      <c r="AD3154" t="s">
        <v>32</v>
      </c>
      <c r="AE3154" t="s">
        <v>14055</v>
      </c>
      <c r="AF3154" t="s">
        <v>46835</v>
      </c>
    </row>
    <row r="3155" spans="1:32" x14ac:dyDescent="0.2">
      <c r="A3155">
        <v>3150</v>
      </c>
      <c r="B3155" t="s">
        <v>35433</v>
      </c>
      <c r="C3155" t="s">
        <v>35434</v>
      </c>
      <c r="D3155" t="s">
        <v>35435</v>
      </c>
      <c r="E3155" t="s">
        <v>35436</v>
      </c>
      <c r="F3155" t="s">
        <v>35437</v>
      </c>
      <c r="G3155" t="s">
        <v>32</v>
      </c>
      <c r="H3155" t="str">
        <f>"Dynlt3"</f>
        <v>Dynlt3</v>
      </c>
      <c r="I3155" t="s">
        <v>35438</v>
      </c>
      <c r="J3155" t="s">
        <v>37</v>
      </c>
      <c r="K3155">
        <v>10090</v>
      </c>
      <c r="L3155" s="3" t="str">
        <f>HYPERLINK("http://www.uniprot.org/uniprot/P56387", "P56387")</f>
        <v>P56387</v>
      </c>
      <c r="M3155" t="s">
        <v>35439</v>
      </c>
      <c r="N3155" t="str">
        <f>"Dynlt3"</f>
        <v>Dynlt3</v>
      </c>
      <c r="O3155" s="3" t="str">
        <f>HYPERLINK("http://www.informatics.jax.org/marker/MGI:1914367", "MGI:1914367")</f>
        <v>MGI:1914367</v>
      </c>
      <c r="P3155" t="s">
        <v>35440</v>
      </c>
      <c r="Q3155" t="s">
        <v>827</v>
      </c>
      <c r="R3155" t="s">
        <v>35441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830</v>
      </c>
      <c r="Y3155" t="s">
        <v>4216</v>
      </c>
      <c r="Z3155" t="s">
        <v>32</v>
      </c>
      <c r="AA3155" t="s">
        <v>35442</v>
      </c>
      <c r="AB3155" t="s">
        <v>35443</v>
      </c>
      <c r="AC3155" t="s">
        <v>8857</v>
      </c>
      <c r="AD3155" t="s">
        <v>32</v>
      </c>
      <c r="AE3155" t="s">
        <v>32</v>
      </c>
      <c r="AF3155" t="s">
        <v>46835</v>
      </c>
    </row>
    <row r="3156" spans="1:32" x14ac:dyDescent="0.2">
      <c r="A3156">
        <v>3151</v>
      </c>
      <c r="B3156" t="s">
        <v>35444</v>
      </c>
      <c r="C3156" t="s">
        <v>35445</v>
      </c>
      <c r="D3156" t="s">
        <v>35446</v>
      </c>
      <c r="E3156" t="s">
        <v>35447</v>
      </c>
      <c r="F3156" t="s">
        <v>35448</v>
      </c>
      <c r="G3156" t="s">
        <v>32</v>
      </c>
      <c r="H3156" t="str">
        <f>"Thbs1"</f>
        <v>Thbs1</v>
      </c>
      <c r="I3156" t="s">
        <v>35449</v>
      </c>
      <c r="J3156" t="s">
        <v>37</v>
      </c>
      <c r="K3156">
        <v>10090</v>
      </c>
      <c r="L3156" s="3" t="str">
        <f>HYPERLINK("http://www.uniprot.org/uniprot/P35441", "P35441")</f>
        <v>P35441</v>
      </c>
      <c r="M3156" t="s">
        <v>35450</v>
      </c>
      <c r="N3156" t="str">
        <f>"Thbs1"</f>
        <v>Thbs1</v>
      </c>
      <c r="O3156" s="3" t="str">
        <f>HYPERLINK("http://www.informatics.jax.org/marker/MGI:98737", "MGI:98737")</f>
        <v>MGI:98737</v>
      </c>
      <c r="P3156" t="s">
        <v>35451</v>
      </c>
      <c r="Q3156" t="s">
        <v>35452</v>
      </c>
      <c r="R3156" t="s">
        <v>35453</v>
      </c>
      <c r="S3156" t="s">
        <v>32</v>
      </c>
      <c r="T3156" t="s">
        <v>32</v>
      </c>
      <c r="U3156" t="s">
        <v>32</v>
      </c>
      <c r="V3156" t="s">
        <v>2786</v>
      </c>
      <c r="W3156" t="s">
        <v>1380</v>
      </c>
      <c r="X3156" t="s">
        <v>5246</v>
      </c>
      <c r="Y3156" t="s">
        <v>5275</v>
      </c>
      <c r="Z3156" t="s">
        <v>32</v>
      </c>
      <c r="AA3156" t="s">
        <v>35454</v>
      </c>
      <c r="AB3156" t="s">
        <v>35455</v>
      </c>
      <c r="AC3156" t="s">
        <v>35456</v>
      </c>
      <c r="AD3156" t="s">
        <v>32</v>
      </c>
      <c r="AE3156" t="s">
        <v>35457</v>
      </c>
      <c r="AF3156" t="s">
        <v>46835</v>
      </c>
    </row>
    <row r="3157" spans="1:32" x14ac:dyDescent="0.2">
      <c r="A3157">
        <v>3152</v>
      </c>
      <c r="B3157" t="s">
        <v>35458</v>
      </c>
      <c r="C3157" t="s">
        <v>35459</v>
      </c>
      <c r="D3157" t="s">
        <v>35460</v>
      </c>
      <c r="E3157" t="s">
        <v>35461</v>
      </c>
      <c r="F3157" t="s">
        <v>35462</v>
      </c>
      <c r="G3157" t="s">
        <v>32</v>
      </c>
      <c r="H3157" t="str">
        <f>"Efnb2"</f>
        <v>Efnb2</v>
      </c>
      <c r="I3157" t="s">
        <v>35463</v>
      </c>
      <c r="J3157" t="s">
        <v>37</v>
      </c>
      <c r="K3157">
        <v>10090</v>
      </c>
      <c r="L3157" s="3" t="str">
        <f>HYPERLINK("http://www.uniprot.org/uniprot/P52800", "P52800")</f>
        <v>P52800</v>
      </c>
      <c r="M3157" t="s">
        <v>35464</v>
      </c>
      <c r="N3157" t="str">
        <f>"Efnb2"</f>
        <v>Efnb2</v>
      </c>
      <c r="O3157" s="3" t="str">
        <f>HYPERLINK("http://www.informatics.jax.org/marker/MGI:105097", "MGI:105097")</f>
        <v>MGI:105097</v>
      </c>
      <c r="P3157" t="s">
        <v>35465</v>
      </c>
      <c r="Q3157" t="s">
        <v>35466</v>
      </c>
      <c r="R3157" t="s">
        <v>5512</v>
      </c>
      <c r="S3157" t="s">
        <v>32</v>
      </c>
      <c r="T3157" t="s">
        <v>32</v>
      </c>
      <c r="U3157" t="s">
        <v>32</v>
      </c>
      <c r="V3157" t="s">
        <v>3948</v>
      </c>
      <c r="W3157" t="s">
        <v>32</v>
      </c>
      <c r="X3157" t="s">
        <v>2029</v>
      </c>
      <c r="Y3157" t="s">
        <v>846</v>
      </c>
      <c r="Z3157" t="s">
        <v>126</v>
      </c>
      <c r="AA3157" t="s">
        <v>35467</v>
      </c>
      <c r="AB3157" t="s">
        <v>35468</v>
      </c>
      <c r="AC3157" t="s">
        <v>35469</v>
      </c>
      <c r="AD3157" t="s">
        <v>32</v>
      </c>
      <c r="AE3157" t="s">
        <v>35470</v>
      </c>
      <c r="AF3157" t="s">
        <v>46835</v>
      </c>
    </row>
    <row r="3158" spans="1:32" x14ac:dyDescent="0.2">
      <c r="A3158">
        <v>3153</v>
      </c>
      <c r="B3158" t="s">
        <v>35471</v>
      </c>
      <c r="C3158" t="s">
        <v>35472</v>
      </c>
      <c r="D3158" t="s">
        <v>35473</v>
      </c>
      <c r="E3158" t="s">
        <v>35474</v>
      </c>
      <c r="F3158" t="s">
        <v>35475</v>
      </c>
      <c r="G3158" t="s">
        <v>32</v>
      </c>
      <c r="H3158" t="str">
        <f>"Ndufb6"</f>
        <v>Ndufb6</v>
      </c>
      <c r="I3158" t="s">
        <v>35476</v>
      </c>
      <c r="J3158" t="s">
        <v>37</v>
      </c>
      <c r="K3158">
        <v>10090</v>
      </c>
      <c r="L3158" s="3" t="str">
        <f>HYPERLINK("http://www.uniprot.org/uniprot/Q3UIU2", "Q3UIU2")</f>
        <v>Q3UIU2</v>
      </c>
      <c r="M3158" t="s">
        <v>35477</v>
      </c>
      <c r="N3158" t="str">
        <f>"Ndufb6"</f>
        <v>Ndufb6</v>
      </c>
      <c r="O3158" s="3" t="str">
        <f>HYPERLINK("http://www.informatics.jax.org/marker/MGI:2684983", "MGI:2684983")</f>
        <v>MGI:2684983</v>
      </c>
      <c r="P3158" t="s">
        <v>35478</v>
      </c>
      <c r="Q3158" t="s">
        <v>6888</v>
      </c>
      <c r="R3158" t="s">
        <v>3858</v>
      </c>
      <c r="S3158" t="s">
        <v>32</v>
      </c>
      <c r="T3158" t="s">
        <v>32</v>
      </c>
      <c r="U3158" t="s">
        <v>32</v>
      </c>
      <c r="V3158" t="s">
        <v>493</v>
      </c>
      <c r="W3158" t="s">
        <v>32</v>
      </c>
      <c r="X3158" t="s">
        <v>32</v>
      </c>
      <c r="Y3158" t="s">
        <v>78</v>
      </c>
      <c r="Z3158" t="s">
        <v>126</v>
      </c>
      <c r="AA3158" t="s">
        <v>35479</v>
      </c>
      <c r="AB3158" t="s">
        <v>35480</v>
      </c>
      <c r="AC3158" t="s">
        <v>32</v>
      </c>
      <c r="AD3158" t="s">
        <v>32</v>
      </c>
      <c r="AE3158" t="s">
        <v>10470</v>
      </c>
      <c r="AF3158" t="s">
        <v>46835</v>
      </c>
    </row>
    <row r="3159" spans="1:32" x14ac:dyDescent="0.2">
      <c r="A3159">
        <v>3154</v>
      </c>
      <c r="B3159" t="s">
        <v>35481</v>
      </c>
      <c r="C3159" t="s">
        <v>35482</v>
      </c>
      <c r="D3159" t="s">
        <v>35483</v>
      </c>
      <c r="E3159" t="s">
        <v>35484</v>
      </c>
      <c r="F3159" t="s">
        <v>35485</v>
      </c>
      <c r="G3159" t="s">
        <v>35486</v>
      </c>
      <c r="H3159" t="str">
        <f>"Cdh1"</f>
        <v>Cdh1</v>
      </c>
      <c r="I3159" t="s">
        <v>32</v>
      </c>
      <c r="J3159" t="s">
        <v>37</v>
      </c>
      <c r="K3159">
        <v>10090</v>
      </c>
      <c r="L3159" s="3" t="str">
        <f>HYPERLINK("http://www.uniprot.org/uniprot/P09803", "P09803")</f>
        <v>P09803</v>
      </c>
      <c r="M3159" t="s">
        <v>35487</v>
      </c>
      <c r="N3159" t="str">
        <f>"Cdh1"</f>
        <v>Cdh1</v>
      </c>
      <c r="O3159" s="3" t="str">
        <f>HYPERLINK("http://www.informatics.jax.org/marker/MGI:88354", "MGI:88354")</f>
        <v>MGI:88354</v>
      </c>
      <c r="P3159" t="s">
        <v>35488</v>
      </c>
      <c r="Q3159" t="s">
        <v>2784</v>
      </c>
      <c r="R3159" t="s">
        <v>35489</v>
      </c>
      <c r="S3159" t="s">
        <v>32</v>
      </c>
      <c r="T3159" t="s">
        <v>32</v>
      </c>
      <c r="U3159" t="s">
        <v>32</v>
      </c>
      <c r="V3159" t="s">
        <v>1665</v>
      </c>
      <c r="W3159" t="s">
        <v>188</v>
      </c>
      <c r="X3159" t="s">
        <v>32</v>
      </c>
      <c r="Y3159" t="s">
        <v>35490</v>
      </c>
      <c r="Z3159" t="s">
        <v>126</v>
      </c>
      <c r="AA3159" t="s">
        <v>35491</v>
      </c>
      <c r="AB3159" t="s">
        <v>35492</v>
      </c>
      <c r="AC3159" t="s">
        <v>35493</v>
      </c>
      <c r="AD3159" t="s">
        <v>32</v>
      </c>
      <c r="AE3159" t="s">
        <v>35494</v>
      </c>
      <c r="AF3159" t="s">
        <v>46835</v>
      </c>
    </row>
    <row r="3160" spans="1:32" x14ac:dyDescent="0.2">
      <c r="A3160">
        <v>3155</v>
      </c>
      <c r="B3160" t="s">
        <v>35495</v>
      </c>
      <c r="C3160" t="s">
        <v>35496</v>
      </c>
      <c r="D3160" t="s">
        <v>35497</v>
      </c>
      <c r="E3160" t="s">
        <v>35498</v>
      </c>
      <c r="F3160" t="s">
        <v>35499</v>
      </c>
      <c r="G3160" t="s">
        <v>35500</v>
      </c>
      <c r="H3160" t="str">
        <f>"Chm"</f>
        <v>Chm</v>
      </c>
      <c r="I3160" t="s">
        <v>35501</v>
      </c>
      <c r="J3160" t="s">
        <v>37</v>
      </c>
      <c r="K3160">
        <v>10090</v>
      </c>
      <c r="L3160" s="3" t="str">
        <f>HYPERLINK("http://www.uniprot.org/uniprot/Q9QXG2", "Q9QXG2")</f>
        <v>Q9QXG2</v>
      </c>
      <c r="M3160" t="s">
        <v>35502</v>
      </c>
      <c r="N3160" t="str">
        <f>"Chm"</f>
        <v>Chm</v>
      </c>
      <c r="O3160" s="3" t="str">
        <f>HYPERLINK("http://www.informatics.jax.org/marker/MGI:892979", "MGI:892979")</f>
        <v>MGI:892979</v>
      </c>
      <c r="P3160" t="s">
        <v>35503</v>
      </c>
      <c r="Q3160" t="s">
        <v>32</v>
      </c>
      <c r="R3160" t="s">
        <v>418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715</v>
      </c>
      <c r="Y3160" t="s">
        <v>32</v>
      </c>
      <c r="Z3160" t="s">
        <v>32</v>
      </c>
      <c r="AA3160" t="s">
        <v>35504</v>
      </c>
      <c r="AB3160" t="s">
        <v>35505</v>
      </c>
      <c r="AC3160" t="s">
        <v>35506</v>
      </c>
      <c r="AD3160" t="s">
        <v>32</v>
      </c>
      <c r="AE3160" t="s">
        <v>35507</v>
      </c>
      <c r="AF3160" t="s">
        <v>46835</v>
      </c>
    </row>
    <row r="3161" spans="1:32" x14ac:dyDescent="0.2">
      <c r="A3161">
        <v>3156</v>
      </c>
      <c r="B3161" t="s">
        <v>35508</v>
      </c>
      <c r="C3161" t="s">
        <v>35509</v>
      </c>
      <c r="D3161" t="s">
        <v>35510</v>
      </c>
      <c r="E3161" t="s">
        <v>35511</v>
      </c>
      <c r="F3161" t="s">
        <v>35512</v>
      </c>
      <c r="G3161" t="s">
        <v>35513</v>
      </c>
      <c r="H3161" t="str">
        <f>"Stk16"</f>
        <v>Stk16</v>
      </c>
      <c r="I3161" t="s">
        <v>35514</v>
      </c>
      <c r="J3161" t="s">
        <v>37</v>
      </c>
      <c r="K3161">
        <v>10090</v>
      </c>
      <c r="L3161" s="3" t="str">
        <f>HYPERLINK("http://www.uniprot.org/uniprot/O88697", "O88697")</f>
        <v>O88697</v>
      </c>
      <c r="M3161" t="s">
        <v>35515</v>
      </c>
      <c r="N3161" t="str">
        <f>"Stk16"</f>
        <v>Stk16</v>
      </c>
      <c r="O3161" s="3" t="str">
        <f>HYPERLINK("http://www.informatics.jax.org/marker/MGI:1313271", "MGI:1313271")</f>
        <v>MGI:1313271</v>
      </c>
      <c r="P3161" t="s">
        <v>35516</v>
      </c>
      <c r="Q3161" t="s">
        <v>32</v>
      </c>
      <c r="R3161" t="s">
        <v>714</v>
      </c>
      <c r="S3161" t="s">
        <v>32</v>
      </c>
      <c r="T3161" t="s">
        <v>32</v>
      </c>
      <c r="U3161" t="s">
        <v>32</v>
      </c>
      <c r="V3161" t="s">
        <v>32</v>
      </c>
      <c r="W3161" t="s">
        <v>205</v>
      </c>
      <c r="X3161" t="s">
        <v>5419</v>
      </c>
      <c r="Y3161" t="s">
        <v>16046</v>
      </c>
      <c r="Z3161" t="s">
        <v>32</v>
      </c>
      <c r="AA3161" t="s">
        <v>35517</v>
      </c>
      <c r="AB3161" t="s">
        <v>35518</v>
      </c>
      <c r="AC3161" t="s">
        <v>35519</v>
      </c>
      <c r="AD3161" t="s">
        <v>32</v>
      </c>
      <c r="AE3161" t="s">
        <v>32</v>
      </c>
      <c r="AF3161" t="s">
        <v>46835</v>
      </c>
    </row>
    <row r="3162" spans="1:32" x14ac:dyDescent="0.2">
      <c r="A3162">
        <v>3157</v>
      </c>
      <c r="B3162" t="s">
        <v>35520</v>
      </c>
      <c r="C3162" t="s">
        <v>35521</v>
      </c>
      <c r="D3162" t="s">
        <v>35522</v>
      </c>
      <c r="E3162" t="s">
        <v>35523</v>
      </c>
      <c r="F3162" t="s">
        <v>35524</v>
      </c>
      <c r="G3162" t="s">
        <v>35525</v>
      </c>
      <c r="H3162" t="str">
        <f>"Rbmx"</f>
        <v>Rbmx</v>
      </c>
      <c r="I3162" t="s">
        <v>35526</v>
      </c>
      <c r="J3162" t="s">
        <v>37</v>
      </c>
      <c r="K3162">
        <v>10090</v>
      </c>
      <c r="L3162" s="3" t="str">
        <f>HYPERLINK("http://www.uniprot.org/uniprot/Q9WV02", "Q9WV02")</f>
        <v>Q9WV02</v>
      </c>
      <c r="M3162" t="s">
        <v>35527</v>
      </c>
      <c r="N3162" t="str">
        <f>"Rbmx"</f>
        <v>Rbmx</v>
      </c>
      <c r="O3162" s="3" t="str">
        <f>HYPERLINK("http://www.informatics.jax.org/marker/MGI:1343044", "MGI:1343044")</f>
        <v>MGI:1343044</v>
      </c>
      <c r="P3162" t="s">
        <v>35528</v>
      </c>
      <c r="Q3162" t="s">
        <v>35529</v>
      </c>
      <c r="R3162" t="s">
        <v>2140</v>
      </c>
      <c r="S3162" t="s">
        <v>41</v>
      </c>
      <c r="T3162" t="s">
        <v>32</v>
      </c>
      <c r="U3162" t="s">
        <v>1636</v>
      </c>
      <c r="V3162" t="s">
        <v>32</v>
      </c>
      <c r="W3162" t="s">
        <v>32</v>
      </c>
      <c r="X3162" t="s">
        <v>16022</v>
      </c>
      <c r="Y3162" t="s">
        <v>1351</v>
      </c>
      <c r="Z3162" t="s">
        <v>32</v>
      </c>
      <c r="AA3162" t="s">
        <v>35530</v>
      </c>
      <c r="AB3162" t="s">
        <v>35531</v>
      </c>
      <c r="AC3162" t="s">
        <v>35532</v>
      </c>
      <c r="AD3162" t="s">
        <v>32</v>
      </c>
      <c r="AE3162" t="s">
        <v>35533</v>
      </c>
      <c r="AF3162" t="s">
        <v>46835</v>
      </c>
    </row>
    <row r="3163" spans="1:32" x14ac:dyDescent="0.2">
      <c r="A3163">
        <v>3158</v>
      </c>
      <c r="B3163" t="s">
        <v>35534</v>
      </c>
      <c r="C3163" t="s">
        <v>35535</v>
      </c>
      <c r="D3163" t="s">
        <v>35536</v>
      </c>
      <c r="E3163" t="s">
        <v>35537</v>
      </c>
      <c r="F3163" t="s">
        <v>35538</v>
      </c>
      <c r="G3163" t="s">
        <v>35539</v>
      </c>
      <c r="H3163" t="str">
        <f>"Ttc5"</f>
        <v>Ttc5</v>
      </c>
      <c r="I3163" t="s">
        <v>32</v>
      </c>
      <c r="J3163" t="s">
        <v>37</v>
      </c>
      <c r="K3163">
        <v>10090</v>
      </c>
      <c r="L3163" s="3" t="str">
        <f>HYPERLINK("http://www.uniprot.org/uniprot/Q99LG4", "Q99LG4")</f>
        <v>Q99LG4</v>
      </c>
      <c r="M3163" t="s">
        <v>35540</v>
      </c>
      <c r="N3163" t="str">
        <f>"Ttc5"</f>
        <v>Ttc5</v>
      </c>
      <c r="O3163" s="3" t="str">
        <f>HYPERLINK("http://www.informatics.jax.org/marker/MGI:2683584", "MGI:2683584")</f>
        <v>MGI:2683584</v>
      </c>
      <c r="P3163" t="s">
        <v>35541</v>
      </c>
      <c r="Q3163" t="s">
        <v>11886</v>
      </c>
      <c r="R3163" t="s">
        <v>35542</v>
      </c>
      <c r="S3163" t="s">
        <v>32</v>
      </c>
      <c r="T3163" t="s">
        <v>32</v>
      </c>
      <c r="U3163" t="s">
        <v>32</v>
      </c>
      <c r="V3163" t="s">
        <v>995</v>
      </c>
      <c r="W3163" t="s">
        <v>32</v>
      </c>
      <c r="X3163" t="s">
        <v>32</v>
      </c>
      <c r="Y3163" t="s">
        <v>618</v>
      </c>
      <c r="Z3163" t="s">
        <v>126</v>
      </c>
      <c r="AA3163" t="s">
        <v>35543</v>
      </c>
      <c r="AB3163" t="s">
        <v>35544</v>
      </c>
      <c r="AC3163" t="s">
        <v>35545</v>
      </c>
      <c r="AD3163" t="s">
        <v>32</v>
      </c>
      <c r="AE3163" t="s">
        <v>25149</v>
      </c>
      <c r="AF3163" t="s">
        <v>46835</v>
      </c>
    </row>
    <row r="3164" spans="1:32" x14ac:dyDescent="0.2">
      <c r="A3164">
        <v>3159</v>
      </c>
      <c r="B3164" t="s">
        <v>35546</v>
      </c>
      <c r="C3164" t="s">
        <v>35547</v>
      </c>
      <c r="D3164" t="s">
        <v>35548</v>
      </c>
      <c r="E3164" t="s">
        <v>35549</v>
      </c>
      <c r="F3164" t="s">
        <v>35550</v>
      </c>
      <c r="G3164" t="s">
        <v>35551</v>
      </c>
      <c r="H3164" t="str">
        <f>"Tcf25"</f>
        <v>Tcf25</v>
      </c>
      <c r="I3164" t="s">
        <v>35552</v>
      </c>
      <c r="J3164" t="s">
        <v>37</v>
      </c>
      <c r="K3164">
        <v>10090</v>
      </c>
      <c r="L3164" s="3" t="str">
        <f>HYPERLINK("http://www.uniprot.org/uniprot/Q8R3L2", "Q8R3L2")</f>
        <v>Q8R3L2</v>
      </c>
      <c r="M3164" t="s">
        <v>35553</v>
      </c>
      <c r="N3164" t="str">
        <f>"Tcf25"</f>
        <v>Tcf25</v>
      </c>
      <c r="O3164" s="3" t="str">
        <f>HYPERLINK("http://www.informatics.jax.org/marker/MGI:1914105", "MGI:1914105")</f>
        <v>MGI:1914105</v>
      </c>
      <c r="P3164" t="s">
        <v>35554</v>
      </c>
      <c r="Q3164" t="s">
        <v>4152</v>
      </c>
      <c r="R3164" t="s">
        <v>2279</v>
      </c>
      <c r="S3164" t="s">
        <v>41</v>
      </c>
      <c r="T3164" t="s">
        <v>32</v>
      </c>
      <c r="U3164" t="s">
        <v>32</v>
      </c>
      <c r="V3164" t="s">
        <v>32</v>
      </c>
      <c r="W3164" t="s">
        <v>32</v>
      </c>
      <c r="X3164" t="s">
        <v>7046</v>
      </c>
      <c r="Y3164" t="s">
        <v>618</v>
      </c>
      <c r="Z3164" t="s">
        <v>32</v>
      </c>
      <c r="AA3164" t="s">
        <v>33808</v>
      </c>
      <c r="AB3164" t="s">
        <v>35555</v>
      </c>
      <c r="AC3164" t="s">
        <v>35556</v>
      </c>
      <c r="AD3164" t="s">
        <v>32</v>
      </c>
      <c r="AE3164" t="s">
        <v>32</v>
      </c>
      <c r="AF3164" t="s">
        <v>46835</v>
      </c>
    </row>
    <row r="3165" spans="1:32" x14ac:dyDescent="0.2">
      <c r="A3165">
        <v>3160</v>
      </c>
      <c r="B3165" t="s">
        <v>35557</v>
      </c>
      <c r="C3165" t="s">
        <v>35558</v>
      </c>
      <c r="D3165" t="s">
        <v>32</v>
      </c>
      <c r="E3165" t="s">
        <v>35559</v>
      </c>
      <c r="F3165" t="s">
        <v>35560</v>
      </c>
      <c r="G3165" t="s">
        <v>35561</v>
      </c>
      <c r="H3165" t="str">
        <f>"Bcr"</f>
        <v>Bcr</v>
      </c>
      <c r="I3165" t="s">
        <v>35562</v>
      </c>
      <c r="J3165" t="s">
        <v>37</v>
      </c>
      <c r="K3165">
        <v>10090</v>
      </c>
      <c r="L3165" s="3" t="str">
        <f>HYPERLINK("http://www.uniprot.org/uniprot/Q6PAJ1", "Q6PAJ1")</f>
        <v>Q6PAJ1</v>
      </c>
      <c r="M3165" t="s">
        <v>35563</v>
      </c>
      <c r="N3165" t="str">
        <f>"Bcr"</f>
        <v>Bcr</v>
      </c>
      <c r="O3165" s="3" t="str">
        <f>HYPERLINK("http://www.informatics.jax.org/marker/MGI:88141", "MGI:88141")</f>
        <v>MGI:88141</v>
      </c>
      <c r="P3165" t="s">
        <v>35564</v>
      </c>
      <c r="Q3165" t="s">
        <v>32</v>
      </c>
      <c r="R3165" t="s">
        <v>35565</v>
      </c>
      <c r="S3165" t="s">
        <v>32</v>
      </c>
      <c r="T3165" t="s">
        <v>32</v>
      </c>
      <c r="U3165" t="s">
        <v>4682</v>
      </c>
      <c r="V3165" t="s">
        <v>290</v>
      </c>
      <c r="W3165" t="s">
        <v>205</v>
      </c>
      <c r="X3165" t="s">
        <v>35566</v>
      </c>
      <c r="Y3165" t="s">
        <v>97</v>
      </c>
      <c r="Z3165" t="s">
        <v>32</v>
      </c>
      <c r="AA3165" t="s">
        <v>35567</v>
      </c>
      <c r="AB3165" t="s">
        <v>35568</v>
      </c>
      <c r="AC3165" t="s">
        <v>35569</v>
      </c>
      <c r="AD3165" t="s">
        <v>32</v>
      </c>
      <c r="AE3165" t="s">
        <v>35570</v>
      </c>
      <c r="AF3165" t="s">
        <v>46835</v>
      </c>
    </row>
    <row r="3166" spans="1:32" x14ac:dyDescent="0.2">
      <c r="A3166">
        <v>3161</v>
      </c>
      <c r="B3166" t="s">
        <v>35571</v>
      </c>
      <c r="C3166" t="s">
        <v>35572</v>
      </c>
      <c r="D3166" t="s">
        <v>3354</v>
      </c>
      <c r="E3166" t="s">
        <v>35573</v>
      </c>
      <c r="F3166" t="s">
        <v>35574</v>
      </c>
      <c r="G3166" t="s">
        <v>35575</v>
      </c>
      <c r="H3166" t="str">
        <f>"Yars2"</f>
        <v>Yars2</v>
      </c>
      <c r="I3166" t="s">
        <v>32</v>
      </c>
      <c r="J3166" t="s">
        <v>37</v>
      </c>
      <c r="K3166">
        <v>10090</v>
      </c>
      <c r="L3166" s="3" t="str">
        <f>HYPERLINK("http://www.uniprot.org/uniprot/Q8BYL4", "Q8BYL4")</f>
        <v>Q8BYL4</v>
      </c>
      <c r="M3166" t="s">
        <v>35576</v>
      </c>
      <c r="N3166" t="str">
        <f>"Yars2"</f>
        <v>Yars2</v>
      </c>
      <c r="O3166" s="3" t="str">
        <f>HYPERLINK("http://www.informatics.jax.org/marker/MGI:1917370", "MGI:1917370")</f>
        <v>MGI:1917370</v>
      </c>
      <c r="P3166" t="s">
        <v>22783</v>
      </c>
      <c r="Q3166" t="s">
        <v>260</v>
      </c>
      <c r="R3166" t="s">
        <v>1038</v>
      </c>
      <c r="S3166" t="s">
        <v>32</v>
      </c>
      <c r="T3166" t="s">
        <v>32</v>
      </c>
      <c r="U3166" t="s">
        <v>32</v>
      </c>
      <c r="V3166" t="s">
        <v>1039</v>
      </c>
      <c r="W3166" t="s">
        <v>205</v>
      </c>
      <c r="X3166" t="s">
        <v>2983</v>
      </c>
      <c r="Y3166" t="s">
        <v>78</v>
      </c>
      <c r="Z3166" t="s">
        <v>32</v>
      </c>
      <c r="AA3166" t="s">
        <v>35577</v>
      </c>
      <c r="AB3166" t="s">
        <v>35578</v>
      </c>
      <c r="AC3166" t="s">
        <v>35579</v>
      </c>
      <c r="AD3166" t="s">
        <v>32</v>
      </c>
      <c r="AE3166" t="s">
        <v>32</v>
      </c>
      <c r="AF3166" t="s">
        <v>46835</v>
      </c>
    </row>
    <row r="3167" spans="1:32" x14ac:dyDescent="0.2">
      <c r="A3167">
        <v>3162</v>
      </c>
      <c r="B3167" t="s">
        <v>35580</v>
      </c>
      <c r="C3167" t="s">
        <v>35581</v>
      </c>
      <c r="D3167" t="s">
        <v>35582</v>
      </c>
      <c r="E3167" t="s">
        <v>35583</v>
      </c>
      <c r="F3167" t="s">
        <v>35584</v>
      </c>
      <c r="G3167" t="s">
        <v>35585</v>
      </c>
      <c r="H3167" t="str">
        <f>"Ublcp1"</f>
        <v>Ublcp1</v>
      </c>
      <c r="I3167" t="s">
        <v>32</v>
      </c>
      <c r="J3167" t="s">
        <v>37</v>
      </c>
      <c r="K3167">
        <v>10090</v>
      </c>
      <c r="L3167" s="3" t="str">
        <f>HYPERLINK("http://www.uniprot.org/uniprot/Q8BGR9", "Q8BGR9")</f>
        <v>Q8BGR9</v>
      </c>
      <c r="M3167" t="s">
        <v>35586</v>
      </c>
      <c r="N3167" t="str">
        <f>"Ublcp1"</f>
        <v>Ublcp1</v>
      </c>
      <c r="O3167" s="3" t="str">
        <f>HYPERLINK("http://www.informatics.jax.org/marker/MGI:1933105", "MGI:1933105")</f>
        <v>MGI:1933105</v>
      </c>
      <c r="P3167" t="s">
        <v>35587</v>
      </c>
      <c r="Q3167" t="s">
        <v>32</v>
      </c>
      <c r="R3167" t="s">
        <v>2279</v>
      </c>
      <c r="S3167" t="s">
        <v>41</v>
      </c>
      <c r="T3167" t="s">
        <v>32</v>
      </c>
      <c r="U3167" t="s">
        <v>32</v>
      </c>
      <c r="V3167" t="s">
        <v>32</v>
      </c>
      <c r="W3167" t="s">
        <v>32</v>
      </c>
      <c r="X3167" t="s">
        <v>3683</v>
      </c>
      <c r="Y3167" t="s">
        <v>78</v>
      </c>
      <c r="Z3167" t="s">
        <v>126</v>
      </c>
      <c r="AA3167" t="s">
        <v>28723</v>
      </c>
      <c r="AB3167" t="s">
        <v>35588</v>
      </c>
      <c r="AC3167" t="s">
        <v>35589</v>
      </c>
      <c r="AD3167" t="s">
        <v>32</v>
      </c>
      <c r="AE3167" t="s">
        <v>32</v>
      </c>
      <c r="AF3167" t="s">
        <v>46835</v>
      </c>
    </row>
    <row r="3168" spans="1:32" x14ac:dyDescent="0.2">
      <c r="A3168">
        <v>3163</v>
      </c>
      <c r="B3168" t="s">
        <v>35590</v>
      </c>
      <c r="C3168" t="s">
        <v>35591</v>
      </c>
      <c r="D3168" t="s">
        <v>35592</v>
      </c>
      <c r="E3168" t="s">
        <v>35593</v>
      </c>
      <c r="F3168" t="s">
        <v>35594</v>
      </c>
      <c r="G3168" t="s">
        <v>35595</v>
      </c>
      <c r="H3168" t="str">
        <f>"Srpk1"</f>
        <v>Srpk1</v>
      </c>
      <c r="I3168" t="s">
        <v>32</v>
      </c>
      <c r="J3168" t="s">
        <v>37</v>
      </c>
      <c r="K3168">
        <v>10090</v>
      </c>
      <c r="L3168" s="3" t="str">
        <f>HYPERLINK("http://www.uniprot.org/uniprot/O70551", "O70551")</f>
        <v>O70551</v>
      </c>
      <c r="M3168" t="s">
        <v>35596</v>
      </c>
      <c r="N3168" t="str">
        <f>"Srpk1"</f>
        <v>Srpk1</v>
      </c>
      <c r="O3168" s="3" t="str">
        <f>HYPERLINK("http://www.informatics.jax.org/marker/MGI:106908", "MGI:106908")</f>
        <v>MGI:106908</v>
      </c>
      <c r="P3168" t="s">
        <v>35597</v>
      </c>
      <c r="Q3168" t="s">
        <v>35598</v>
      </c>
      <c r="R3168" t="s">
        <v>35599</v>
      </c>
      <c r="S3168" t="s">
        <v>32</v>
      </c>
      <c r="T3168" t="s">
        <v>32</v>
      </c>
      <c r="U3168" t="s">
        <v>32</v>
      </c>
      <c r="V3168" t="s">
        <v>32</v>
      </c>
      <c r="W3168" t="s">
        <v>205</v>
      </c>
      <c r="X3168" t="s">
        <v>5419</v>
      </c>
      <c r="Y3168" t="s">
        <v>618</v>
      </c>
      <c r="Z3168" t="s">
        <v>32</v>
      </c>
      <c r="AA3168" t="s">
        <v>35600</v>
      </c>
      <c r="AB3168" t="s">
        <v>35601</v>
      </c>
      <c r="AC3168" t="s">
        <v>35602</v>
      </c>
      <c r="AD3168" t="s">
        <v>32</v>
      </c>
      <c r="AE3168" t="s">
        <v>32</v>
      </c>
      <c r="AF3168" t="s">
        <v>46835</v>
      </c>
    </row>
    <row r="3169" spans="1:33" x14ac:dyDescent="0.2">
      <c r="A3169">
        <v>3164</v>
      </c>
      <c r="B3169" t="s">
        <v>35603</v>
      </c>
      <c r="C3169" t="s">
        <v>35604</v>
      </c>
      <c r="D3169" t="s">
        <v>35605</v>
      </c>
      <c r="E3169" t="s">
        <v>35606</v>
      </c>
      <c r="F3169" t="s">
        <v>35607</v>
      </c>
      <c r="G3169" t="s">
        <v>35608</v>
      </c>
      <c r="H3169" t="str">
        <f>"Ctdp1"</f>
        <v>Ctdp1</v>
      </c>
      <c r="I3169" t="s">
        <v>35609</v>
      </c>
      <c r="J3169" t="s">
        <v>37</v>
      </c>
      <c r="K3169">
        <v>10090</v>
      </c>
      <c r="L3169" s="3" t="str">
        <f>HYPERLINK("http://www.uniprot.org/uniprot/Q7TSG2", "Q7TSG2")</f>
        <v>Q7TSG2</v>
      </c>
      <c r="M3169" t="s">
        <v>35610</v>
      </c>
      <c r="N3169" t="str">
        <f>"Ctdp1"</f>
        <v>Ctdp1</v>
      </c>
      <c r="O3169" s="3" t="str">
        <f>HYPERLINK("http://www.informatics.jax.org/marker/MGI:1926953", "MGI:1926953")</f>
        <v>MGI:1926953</v>
      </c>
      <c r="P3169" t="s">
        <v>35611</v>
      </c>
      <c r="Q3169" t="s">
        <v>2968</v>
      </c>
      <c r="R3169" t="s">
        <v>324</v>
      </c>
      <c r="S3169" t="s">
        <v>41</v>
      </c>
      <c r="T3169" t="s">
        <v>32</v>
      </c>
      <c r="U3169" t="s">
        <v>32</v>
      </c>
      <c r="V3169" t="s">
        <v>32</v>
      </c>
      <c r="W3169" t="s">
        <v>32</v>
      </c>
      <c r="X3169" t="s">
        <v>3683</v>
      </c>
      <c r="Y3169" t="s">
        <v>157</v>
      </c>
      <c r="Z3169" t="s">
        <v>32</v>
      </c>
      <c r="AA3169" t="s">
        <v>35612</v>
      </c>
      <c r="AB3169" t="s">
        <v>35613</v>
      </c>
      <c r="AC3169" t="s">
        <v>35614</v>
      </c>
      <c r="AD3169" t="s">
        <v>32</v>
      </c>
      <c r="AE3169" t="s">
        <v>30187</v>
      </c>
      <c r="AF3169" t="s">
        <v>46835</v>
      </c>
    </row>
    <row r="3170" spans="1:33" x14ac:dyDescent="0.2">
      <c r="A3170">
        <v>3165</v>
      </c>
      <c r="B3170" t="s">
        <v>35615</v>
      </c>
      <c r="C3170" t="s">
        <v>35616</v>
      </c>
      <c r="D3170" t="s">
        <v>35617</v>
      </c>
      <c r="E3170" t="s">
        <v>35618</v>
      </c>
      <c r="F3170" t="s">
        <v>35619</v>
      </c>
      <c r="G3170" t="s">
        <v>35620</v>
      </c>
      <c r="H3170" t="str">
        <f>"Ptp4a2"</f>
        <v>Ptp4a2</v>
      </c>
      <c r="I3170" t="s">
        <v>35621</v>
      </c>
      <c r="J3170" t="s">
        <v>37</v>
      </c>
      <c r="K3170">
        <v>10090</v>
      </c>
      <c r="L3170" s="3" t="str">
        <f>HYPERLINK("http://www.uniprot.org/uniprot/O70274", "O70274")</f>
        <v>O70274</v>
      </c>
      <c r="M3170" t="s">
        <v>35622</v>
      </c>
      <c r="N3170" t="str">
        <f>"Ptp4a2"</f>
        <v>Ptp4a2</v>
      </c>
      <c r="O3170" s="3" t="str">
        <f>HYPERLINK("http://www.informatics.jax.org/marker/MGI:1277117", "MGI:1277117")</f>
        <v>MGI:1277117</v>
      </c>
      <c r="P3170" t="s">
        <v>35623</v>
      </c>
      <c r="Q3170" t="s">
        <v>32</v>
      </c>
      <c r="R3170" t="s">
        <v>11817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3683</v>
      </c>
      <c r="Y3170" t="s">
        <v>35624</v>
      </c>
      <c r="Z3170" t="s">
        <v>126</v>
      </c>
      <c r="AA3170" t="s">
        <v>28723</v>
      </c>
      <c r="AB3170" t="s">
        <v>35625</v>
      </c>
      <c r="AC3170" t="s">
        <v>35626</v>
      </c>
      <c r="AD3170" t="s">
        <v>32</v>
      </c>
      <c r="AE3170" t="s">
        <v>31451</v>
      </c>
      <c r="AF3170" t="s">
        <v>46835</v>
      </c>
    </row>
    <row r="3171" spans="1:33" x14ac:dyDescent="0.2">
      <c r="A3171">
        <v>3166</v>
      </c>
      <c r="B3171" t="s">
        <v>35627</v>
      </c>
      <c r="C3171" t="s">
        <v>35628</v>
      </c>
      <c r="D3171" t="s">
        <v>35629</v>
      </c>
      <c r="E3171" t="s">
        <v>35630</v>
      </c>
      <c r="F3171" t="s">
        <v>35631</v>
      </c>
      <c r="G3171" t="s">
        <v>35632</v>
      </c>
      <c r="H3171" t="str">
        <f>"Morf4l1"</f>
        <v>Morf4l1</v>
      </c>
      <c r="I3171" t="s">
        <v>35633</v>
      </c>
      <c r="J3171" t="s">
        <v>37</v>
      </c>
      <c r="K3171">
        <v>10090</v>
      </c>
      <c r="L3171" s="3" t="str">
        <f>HYPERLINK("http://www.uniprot.org/uniprot/P60762", "P60762")</f>
        <v>P60762</v>
      </c>
      <c r="M3171" t="s">
        <v>35634</v>
      </c>
      <c r="N3171" t="str">
        <f>"Morf4l1"</f>
        <v>Morf4l1</v>
      </c>
      <c r="O3171" s="3" t="str">
        <f>HYPERLINK("http://www.informatics.jax.org/marker/MGI:1096551", "MGI:1096551")</f>
        <v>MGI:1096551</v>
      </c>
      <c r="P3171" t="s">
        <v>35635</v>
      </c>
      <c r="Q3171" t="s">
        <v>35636</v>
      </c>
      <c r="R3171" t="s">
        <v>2279</v>
      </c>
      <c r="S3171" t="s">
        <v>41</v>
      </c>
      <c r="T3171" t="s">
        <v>32</v>
      </c>
      <c r="U3171" t="s">
        <v>32</v>
      </c>
      <c r="V3171" t="s">
        <v>32</v>
      </c>
      <c r="W3171" t="s">
        <v>32</v>
      </c>
      <c r="X3171" t="s">
        <v>9988</v>
      </c>
      <c r="Y3171" t="s">
        <v>78</v>
      </c>
      <c r="Z3171" t="s">
        <v>32</v>
      </c>
      <c r="AA3171" t="s">
        <v>35637</v>
      </c>
      <c r="AB3171" t="s">
        <v>35638</v>
      </c>
      <c r="AC3171" t="s">
        <v>35639</v>
      </c>
      <c r="AD3171" t="s">
        <v>32</v>
      </c>
      <c r="AE3171" t="s">
        <v>32</v>
      </c>
      <c r="AF3171" t="s">
        <v>46835</v>
      </c>
    </row>
    <row r="3172" spans="1:33" x14ac:dyDescent="0.2">
      <c r="A3172">
        <v>3167</v>
      </c>
      <c r="B3172" t="s">
        <v>35640</v>
      </c>
      <c r="C3172" t="s">
        <v>35641</v>
      </c>
      <c r="D3172" t="s">
        <v>32</v>
      </c>
      <c r="E3172" t="s">
        <v>35642</v>
      </c>
      <c r="F3172" t="s">
        <v>35643</v>
      </c>
      <c r="G3172" t="s">
        <v>32</v>
      </c>
      <c r="H3172" t="str">
        <f>"Stx7"</f>
        <v>Stx7</v>
      </c>
      <c r="I3172" t="s">
        <v>35644</v>
      </c>
      <c r="J3172" t="s">
        <v>37</v>
      </c>
      <c r="K3172">
        <v>10090</v>
      </c>
      <c r="L3172" s="3" t="str">
        <f>HYPERLINK("http://www.uniprot.org/uniprot/O70439", "O70439")</f>
        <v>O70439</v>
      </c>
      <c r="M3172" t="s">
        <v>35645</v>
      </c>
      <c r="N3172" t="str">
        <f>"Stx7"</f>
        <v>Stx7</v>
      </c>
      <c r="O3172" s="3" t="str">
        <f>HYPERLINK("http://www.informatics.jax.org/marker/MGI:1858210", "MGI:1858210")</f>
        <v>MGI:1858210</v>
      </c>
      <c r="P3172" t="s">
        <v>35646</v>
      </c>
      <c r="Q3172" t="s">
        <v>32</v>
      </c>
      <c r="R3172" t="s">
        <v>24832</v>
      </c>
      <c r="S3172" t="s">
        <v>32</v>
      </c>
      <c r="T3172" t="s">
        <v>32</v>
      </c>
      <c r="U3172" t="s">
        <v>32</v>
      </c>
      <c r="V3172" t="s">
        <v>6500</v>
      </c>
      <c r="W3172" t="s">
        <v>35647</v>
      </c>
      <c r="X3172" t="s">
        <v>32</v>
      </c>
      <c r="Y3172" t="s">
        <v>157</v>
      </c>
      <c r="Z3172" t="s">
        <v>126</v>
      </c>
      <c r="AA3172" t="s">
        <v>35648</v>
      </c>
      <c r="AB3172" t="s">
        <v>35649</v>
      </c>
      <c r="AC3172" t="s">
        <v>35650</v>
      </c>
      <c r="AD3172" t="s">
        <v>32</v>
      </c>
      <c r="AE3172" t="s">
        <v>32</v>
      </c>
      <c r="AF3172" t="s">
        <v>46835</v>
      </c>
    </row>
    <row r="3173" spans="1:33" x14ac:dyDescent="0.2">
      <c r="A3173">
        <v>3168</v>
      </c>
      <c r="B3173" t="s">
        <v>35651</v>
      </c>
      <c r="C3173" t="s">
        <v>35652</v>
      </c>
      <c r="D3173" t="s">
        <v>35653</v>
      </c>
      <c r="E3173" t="s">
        <v>35654</v>
      </c>
      <c r="F3173" t="s">
        <v>35655</v>
      </c>
      <c r="G3173" t="s">
        <v>32</v>
      </c>
      <c r="H3173" t="str">
        <f>"Ahcyl1"</f>
        <v>Ahcyl1</v>
      </c>
      <c r="I3173" t="s">
        <v>35656</v>
      </c>
      <c r="J3173" t="s">
        <v>37</v>
      </c>
      <c r="K3173">
        <v>10090</v>
      </c>
      <c r="L3173" s="3" t="str">
        <f>HYPERLINK("http://www.uniprot.org/uniprot/Q80SW1", "Q80SW1")</f>
        <v>Q80SW1</v>
      </c>
      <c r="M3173" t="s">
        <v>35657</v>
      </c>
      <c r="N3173" t="str">
        <f>"Ahcyl1"</f>
        <v>Ahcyl1</v>
      </c>
      <c r="O3173" s="3" t="str">
        <f>HYPERLINK("http://www.informatics.jax.org/marker/MGI:2385184", "MGI:2385184")</f>
        <v>MGI:2385184</v>
      </c>
      <c r="P3173" t="s">
        <v>35658</v>
      </c>
      <c r="Q3173" t="s">
        <v>2308</v>
      </c>
      <c r="R3173" t="s">
        <v>35659</v>
      </c>
      <c r="S3173" t="s">
        <v>32</v>
      </c>
      <c r="T3173" t="s">
        <v>32</v>
      </c>
      <c r="U3173" t="s">
        <v>32</v>
      </c>
      <c r="V3173" t="s">
        <v>32</v>
      </c>
      <c r="W3173" t="s">
        <v>325</v>
      </c>
      <c r="X3173" t="s">
        <v>1282</v>
      </c>
      <c r="Y3173" t="s">
        <v>157</v>
      </c>
      <c r="Z3173" t="s">
        <v>32</v>
      </c>
      <c r="AA3173" t="s">
        <v>35660</v>
      </c>
      <c r="AB3173" t="s">
        <v>35661</v>
      </c>
      <c r="AC3173" t="s">
        <v>24867</v>
      </c>
      <c r="AD3173" t="s">
        <v>32</v>
      </c>
      <c r="AE3173" t="s">
        <v>35662</v>
      </c>
      <c r="AF3173" t="s">
        <v>46835</v>
      </c>
    </row>
    <row r="3174" spans="1:33" x14ac:dyDescent="0.2">
      <c r="A3174">
        <v>3169</v>
      </c>
      <c r="B3174" t="s">
        <v>35663</v>
      </c>
      <c r="C3174" t="s">
        <v>35664</v>
      </c>
      <c r="D3174" t="s">
        <v>32</v>
      </c>
      <c r="E3174" t="s">
        <v>35665</v>
      </c>
      <c r="F3174" t="s">
        <v>35666</v>
      </c>
      <c r="G3174" t="s">
        <v>35667</v>
      </c>
      <c r="H3174" t="str">
        <f>"Rrs1"</f>
        <v>Rrs1</v>
      </c>
      <c r="I3174" t="s">
        <v>35668</v>
      </c>
      <c r="J3174" t="s">
        <v>37</v>
      </c>
      <c r="K3174">
        <v>10090</v>
      </c>
      <c r="L3174" s="3" t="str">
        <f>HYPERLINK("http://www.uniprot.org/uniprot/Q9CYH6", "Q9CYH6")</f>
        <v>Q9CYH6</v>
      </c>
      <c r="M3174" t="s">
        <v>35669</v>
      </c>
      <c r="N3174" t="str">
        <f>"Rrs1"</f>
        <v>Rrs1</v>
      </c>
      <c r="O3174" s="3" t="str">
        <f>HYPERLINK("http://www.informatics.jax.org/marker/MGI:1929721", "MGI:1929721")</f>
        <v>MGI:1929721</v>
      </c>
      <c r="P3174" t="s">
        <v>35670</v>
      </c>
      <c r="Q3174" t="s">
        <v>6400</v>
      </c>
      <c r="R3174" t="s">
        <v>2279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32</v>
      </c>
      <c r="Y3174" t="s">
        <v>35671</v>
      </c>
      <c r="Z3174" t="s">
        <v>32</v>
      </c>
      <c r="AA3174" t="s">
        <v>35672</v>
      </c>
      <c r="AB3174" t="s">
        <v>35673</v>
      </c>
      <c r="AC3174" t="s">
        <v>35674</v>
      </c>
      <c r="AD3174" t="s">
        <v>32</v>
      </c>
      <c r="AE3174" t="s">
        <v>32</v>
      </c>
      <c r="AF3174" t="s">
        <v>46835</v>
      </c>
    </row>
    <row r="3175" spans="1:33" x14ac:dyDescent="0.2">
      <c r="A3175">
        <v>3170</v>
      </c>
      <c r="B3175" t="s">
        <v>35675</v>
      </c>
      <c r="C3175" t="s">
        <v>47203</v>
      </c>
      <c r="D3175" t="s">
        <v>32</v>
      </c>
      <c r="E3175" t="s">
        <v>47014</v>
      </c>
      <c r="F3175" t="s">
        <v>47013</v>
      </c>
      <c r="G3175" t="s">
        <v>32</v>
      </c>
      <c r="H3175" t="s">
        <v>47335</v>
      </c>
      <c r="I3175" t="s">
        <v>32</v>
      </c>
      <c r="J3175" t="s">
        <v>37</v>
      </c>
      <c r="K3175">
        <v>10090</v>
      </c>
      <c r="L3175" s="3" t="str">
        <f>HYPERLINK(CONCATENATE("https://www.uniprot.org/uniprotkb/", AG3175, "/entry"), AG3175)</f>
        <v>E9PWG6</v>
      </c>
      <c r="M3175" t="s">
        <v>32</v>
      </c>
      <c r="N3175" t="s">
        <v>32</v>
      </c>
      <c r="O3175" s="3" t="s">
        <v>32</v>
      </c>
      <c r="P3175" t="s">
        <v>32</v>
      </c>
      <c r="Q3175" t="s">
        <v>32</v>
      </c>
      <c r="R3175" t="s">
        <v>32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32</v>
      </c>
      <c r="Y3175" t="s">
        <v>32</v>
      </c>
      <c r="Z3175" t="s">
        <v>32</v>
      </c>
      <c r="AA3175" t="s">
        <v>32</v>
      </c>
      <c r="AB3175" t="s">
        <v>32</v>
      </c>
      <c r="AC3175" t="s">
        <v>32</v>
      </c>
      <c r="AD3175" t="s">
        <v>32</v>
      </c>
      <c r="AE3175" t="s">
        <v>32</v>
      </c>
      <c r="AF3175" t="s">
        <v>46835</v>
      </c>
      <c r="AG3175" t="s">
        <v>47013</v>
      </c>
    </row>
    <row r="3176" spans="1:33" x14ac:dyDescent="0.2">
      <c r="A3176">
        <v>3171</v>
      </c>
      <c r="B3176" t="s">
        <v>35676</v>
      </c>
      <c r="C3176" t="s">
        <v>35677</v>
      </c>
      <c r="D3176" t="s">
        <v>35678</v>
      </c>
      <c r="E3176" t="s">
        <v>35679</v>
      </c>
      <c r="F3176" t="s">
        <v>35680</v>
      </c>
      <c r="G3176" t="s">
        <v>35681</v>
      </c>
      <c r="H3176" t="str">
        <f>"Oplah"</f>
        <v>Oplah</v>
      </c>
      <c r="I3176" t="s">
        <v>32</v>
      </c>
      <c r="J3176" t="s">
        <v>37</v>
      </c>
      <c r="K3176">
        <v>10090</v>
      </c>
      <c r="L3176" s="3" t="str">
        <f>HYPERLINK("http://www.uniprot.org/uniprot/Q8K010", "Q8K010")</f>
        <v>Q8K010</v>
      </c>
      <c r="M3176" t="s">
        <v>35682</v>
      </c>
      <c r="N3176" t="str">
        <f>"Oplah"</f>
        <v>Oplah</v>
      </c>
      <c r="O3176" s="3" t="str">
        <f>HYPERLINK("http://www.informatics.jax.org/marker/MGI:1922725", "MGI:1922725")</f>
        <v>MGI:1922725</v>
      </c>
      <c r="P3176" t="s">
        <v>35683</v>
      </c>
      <c r="Q3176" t="s">
        <v>32</v>
      </c>
      <c r="R3176" t="s">
        <v>32</v>
      </c>
      <c r="S3176" t="s">
        <v>32</v>
      </c>
      <c r="T3176" t="s">
        <v>32</v>
      </c>
      <c r="U3176" t="s">
        <v>32</v>
      </c>
      <c r="V3176" t="s">
        <v>32</v>
      </c>
      <c r="W3176" t="s">
        <v>205</v>
      </c>
      <c r="X3176" t="s">
        <v>343</v>
      </c>
      <c r="Y3176" t="s">
        <v>618</v>
      </c>
      <c r="Z3176" t="s">
        <v>32</v>
      </c>
      <c r="AA3176" t="s">
        <v>20824</v>
      </c>
      <c r="AB3176" t="s">
        <v>32</v>
      </c>
      <c r="AC3176" t="s">
        <v>35684</v>
      </c>
      <c r="AD3176" t="s">
        <v>32</v>
      </c>
      <c r="AE3176" t="s">
        <v>1271</v>
      </c>
      <c r="AF3176" t="s">
        <v>46835</v>
      </c>
    </row>
    <row r="3177" spans="1:33" x14ac:dyDescent="0.2">
      <c r="A3177">
        <v>3172</v>
      </c>
      <c r="B3177" t="s">
        <v>35685</v>
      </c>
      <c r="C3177" t="s">
        <v>35686</v>
      </c>
      <c r="D3177" t="s">
        <v>35687</v>
      </c>
      <c r="E3177" t="s">
        <v>35688</v>
      </c>
      <c r="F3177" t="s">
        <v>35689</v>
      </c>
      <c r="G3177" t="s">
        <v>32</v>
      </c>
      <c r="H3177" t="str">
        <f>"Dck"</f>
        <v>Dck</v>
      </c>
      <c r="I3177" t="s">
        <v>32</v>
      </c>
      <c r="J3177" t="s">
        <v>37</v>
      </c>
      <c r="K3177">
        <v>10090</v>
      </c>
      <c r="L3177" s="3" t="str">
        <f>HYPERLINK("http://www.uniprot.org/uniprot/P43346", "P43346")</f>
        <v>P43346</v>
      </c>
      <c r="M3177" t="s">
        <v>35690</v>
      </c>
      <c r="N3177" t="str">
        <f>"Dck"</f>
        <v>Dck</v>
      </c>
      <c r="O3177" s="3" t="str">
        <f>HYPERLINK("http://www.informatics.jax.org/marker/MGI:102726", "MGI:102726")</f>
        <v>MGI:102726</v>
      </c>
      <c r="P3177" t="s">
        <v>35691</v>
      </c>
      <c r="Q3177" t="s">
        <v>32</v>
      </c>
      <c r="R3177" t="s">
        <v>2279</v>
      </c>
      <c r="S3177" t="s">
        <v>32</v>
      </c>
      <c r="T3177" t="s">
        <v>32</v>
      </c>
      <c r="U3177" t="s">
        <v>32</v>
      </c>
      <c r="V3177" t="s">
        <v>32</v>
      </c>
      <c r="W3177" t="s">
        <v>205</v>
      </c>
      <c r="X3177" t="s">
        <v>419</v>
      </c>
      <c r="Y3177" t="s">
        <v>618</v>
      </c>
      <c r="Z3177" t="s">
        <v>32</v>
      </c>
      <c r="AA3177" t="s">
        <v>35692</v>
      </c>
      <c r="AB3177" t="s">
        <v>35693</v>
      </c>
      <c r="AC3177" t="s">
        <v>35694</v>
      </c>
      <c r="AD3177" t="s">
        <v>32</v>
      </c>
      <c r="AE3177" t="s">
        <v>35695</v>
      </c>
      <c r="AF3177" t="s">
        <v>46835</v>
      </c>
    </row>
    <row r="3178" spans="1:33" x14ac:dyDescent="0.2">
      <c r="A3178">
        <v>3173</v>
      </c>
      <c r="B3178" t="s">
        <v>35696</v>
      </c>
      <c r="C3178" t="s">
        <v>35697</v>
      </c>
      <c r="D3178" t="s">
        <v>35698</v>
      </c>
      <c r="E3178" t="s">
        <v>35699</v>
      </c>
      <c r="F3178" t="s">
        <v>35700</v>
      </c>
      <c r="G3178" t="s">
        <v>35701</v>
      </c>
      <c r="H3178" t="str">
        <f>"Smpd4"</f>
        <v>Smpd4</v>
      </c>
      <c r="I3178" t="s">
        <v>35702</v>
      </c>
      <c r="J3178" t="s">
        <v>37</v>
      </c>
      <c r="K3178">
        <v>10090</v>
      </c>
      <c r="L3178" s="3" t="str">
        <f>HYPERLINK("http://www.uniprot.org/uniprot/Q6ZPR5", "Q6ZPR5")</f>
        <v>Q6ZPR5</v>
      </c>
      <c r="M3178" t="s">
        <v>35703</v>
      </c>
      <c r="N3178" t="str">
        <f>"Smpd4"</f>
        <v>Smpd4</v>
      </c>
      <c r="O3178" s="3" t="str">
        <f>HYPERLINK("http://www.informatics.jax.org/marker/MGI:1924876", "MGI:1924876")</f>
        <v>MGI:1924876</v>
      </c>
      <c r="P3178" t="s">
        <v>35704</v>
      </c>
      <c r="Q3178" t="s">
        <v>598</v>
      </c>
      <c r="R3178" t="s">
        <v>35705</v>
      </c>
      <c r="S3178" t="s">
        <v>41</v>
      </c>
      <c r="T3178" t="s">
        <v>32</v>
      </c>
      <c r="U3178" t="s">
        <v>32</v>
      </c>
      <c r="V3178" t="s">
        <v>493</v>
      </c>
      <c r="W3178" t="s">
        <v>223</v>
      </c>
      <c r="X3178" t="s">
        <v>343</v>
      </c>
      <c r="Y3178" t="s">
        <v>618</v>
      </c>
      <c r="Z3178" t="s">
        <v>32</v>
      </c>
      <c r="AA3178" t="s">
        <v>35706</v>
      </c>
      <c r="AB3178" t="s">
        <v>35707</v>
      </c>
      <c r="AC3178" t="s">
        <v>35708</v>
      </c>
      <c r="AD3178" t="s">
        <v>32</v>
      </c>
      <c r="AE3178" t="s">
        <v>30003</v>
      </c>
      <c r="AF3178" t="s">
        <v>46835</v>
      </c>
    </row>
    <row r="3179" spans="1:33" x14ac:dyDescent="0.2">
      <c r="A3179">
        <v>3174</v>
      </c>
      <c r="B3179" t="s">
        <v>35709</v>
      </c>
      <c r="C3179" t="s">
        <v>35710</v>
      </c>
      <c r="D3179" t="s">
        <v>32</v>
      </c>
      <c r="E3179" t="s">
        <v>35711</v>
      </c>
      <c r="F3179" t="s">
        <v>35712</v>
      </c>
      <c r="G3179" t="s">
        <v>32</v>
      </c>
      <c r="H3179" t="str">
        <f>"Trappc6b"</f>
        <v>Trappc6b</v>
      </c>
      <c r="I3179" t="s">
        <v>32</v>
      </c>
      <c r="J3179" t="s">
        <v>37</v>
      </c>
      <c r="K3179">
        <v>10090</v>
      </c>
      <c r="L3179" s="3" t="str">
        <f>HYPERLINK("http://www.uniprot.org/uniprot/Q9D289", "Q9D289")</f>
        <v>Q9D289</v>
      </c>
      <c r="M3179" t="s">
        <v>35713</v>
      </c>
      <c r="N3179" t="str">
        <f>"Trappc6b"</f>
        <v>Trappc6b</v>
      </c>
      <c r="O3179" s="3" t="str">
        <f>HYPERLINK("http://www.informatics.jax.org/marker/MGI:1925482", "MGI:1925482")</f>
        <v>MGI:1925482</v>
      </c>
      <c r="P3179" t="s">
        <v>35714</v>
      </c>
      <c r="Q3179" t="s">
        <v>1429</v>
      </c>
      <c r="R3179" t="s">
        <v>4315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32</v>
      </c>
      <c r="Y3179" t="s">
        <v>32</v>
      </c>
      <c r="Z3179" t="s">
        <v>32</v>
      </c>
      <c r="AA3179" t="s">
        <v>35715</v>
      </c>
      <c r="AB3179" t="s">
        <v>35716</v>
      </c>
      <c r="AC3179" t="s">
        <v>32</v>
      </c>
      <c r="AD3179" t="s">
        <v>32</v>
      </c>
      <c r="AE3179" t="s">
        <v>19968</v>
      </c>
      <c r="AF3179" t="s">
        <v>46835</v>
      </c>
    </row>
    <row r="3180" spans="1:33" x14ac:dyDescent="0.2">
      <c r="A3180">
        <v>3175</v>
      </c>
      <c r="B3180" t="s">
        <v>35717</v>
      </c>
      <c r="C3180" t="s">
        <v>35718</v>
      </c>
      <c r="D3180" t="s">
        <v>35719</v>
      </c>
      <c r="E3180" t="s">
        <v>35720</v>
      </c>
      <c r="F3180" t="s">
        <v>35721</v>
      </c>
      <c r="G3180" t="s">
        <v>32</v>
      </c>
      <c r="H3180" t="str">
        <f>"Exoc2"</f>
        <v>Exoc2</v>
      </c>
      <c r="I3180" t="s">
        <v>35722</v>
      </c>
      <c r="J3180" t="s">
        <v>37</v>
      </c>
      <c r="K3180">
        <v>10090</v>
      </c>
      <c r="L3180" s="3" t="str">
        <f>HYPERLINK("http://www.uniprot.org/uniprot/Q9D4H1", "Q9D4H1")</f>
        <v>Q9D4H1</v>
      </c>
      <c r="M3180" t="s">
        <v>35723</v>
      </c>
      <c r="N3180" t="str">
        <f>"Exoc2"</f>
        <v>Exoc2</v>
      </c>
      <c r="O3180" s="3" t="str">
        <f>HYPERLINK("http://www.informatics.jax.org/marker/MGI:1913732", "MGI:1913732")</f>
        <v>MGI:1913732</v>
      </c>
      <c r="P3180" t="s">
        <v>35724</v>
      </c>
      <c r="Q3180" t="s">
        <v>24397</v>
      </c>
      <c r="R3180" t="s">
        <v>32</v>
      </c>
      <c r="S3180" t="s">
        <v>32</v>
      </c>
      <c r="T3180" t="s">
        <v>32</v>
      </c>
      <c r="U3180" t="s">
        <v>32</v>
      </c>
      <c r="V3180" t="s">
        <v>290</v>
      </c>
      <c r="W3180" t="s">
        <v>32</v>
      </c>
      <c r="X3180" t="s">
        <v>32</v>
      </c>
      <c r="Y3180" t="s">
        <v>157</v>
      </c>
      <c r="Z3180" t="s">
        <v>126</v>
      </c>
      <c r="AA3180" t="s">
        <v>35725</v>
      </c>
      <c r="AB3180" t="s">
        <v>35726</v>
      </c>
      <c r="AC3180" t="s">
        <v>35727</v>
      </c>
      <c r="AD3180" t="s">
        <v>32</v>
      </c>
      <c r="AE3180" t="s">
        <v>24401</v>
      </c>
      <c r="AF3180" t="s">
        <v>46835</v>
      </c>
    </row>
    <row r="3181" spans="1:33" x14ac:dyDescent="0.2">
      <c r="A3181">
        <v>3176</v>
      </c>
      <c r="B3181" t="s">
        <v>35728</v>
      </c>
      <c r="C3181" t="s">
        <v>35729</v>
      </c>
      <c r="D3181" t="s">
        <v>35730</v>
      </c>
      <c r="E3181" t="s">
        <v>35731</v>
      </c>
      <c r="F3181" t="s">
        <v>35732</v>
      </c>
      <c r="G3181" t="s">
        <v>35733</v>
      </c>
      <c r="H3181" t="str">
        <f>"Dnph1"</f>
        <v>Dnph1</v>
      </c>
      <c r="I3181" t="s">
        <v>35734</v>
      </c>
      <c r="J3181" t="s">
        <v>37</v>
      </c>
      <c r="K3181">
        <v>10090</v>
      </c>
      <c r="L3181" s="3" t="str">
        <f>HYPERLINK("http://www.uniprot.org/uniprot/Q80VJ3", "Q80VJ3")</f>
        <v>Q80VJ3</v>
      </c>
      <c r="M3181" t="s">
        <v>35735</v>
      </c>
      <c r="N3181" t="str">
        <f>"Dnph1"</f>
        <v>Dnph1</v>
      </c>
      <c r="O3181" s="3" t="str">
        <f>HYPERLINK("http://www.informatics.jax.org/marker/MGI:3039376", "MGI:3039376")</f>
        <v>MGI:3039376</v>
      </c>
      <c r="P3181" t="s">
        <v>35736</v>
      </c>
      <c r="Q3181" t="s">
        <v>7123</v>
      </c>
      <c r="R3181" t="s">
        <v>40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4316</v>
      </c>
      <c r="Y3181" t="s">
        <v>157</v>
      </c>
      <c r="Z3181" t="s">
        <v>32</v>
      </c>
      <c r="AA3181" t="s">
        <v>35737</v>
      </c>
      <c r="AB3181" t="s">
        <v>110</v>
      </c>
      <c r="AC3181" t="s">
        <v>35738</v>
      </c>
      <c r="AD3181" t="s">
        <v>32</v>
      </c>
      <c r="AE3181" t="s">
        <v>7128</v>
      </c>
      <c r="AF3181" t="s">
        <v>46835</v>
      </c>
    </row>
    <row r="3182" spans="1:33" x14ac:dyDescent="0.2">
      <c r="A3182">
        <v>3177</v>
      </c>
      <c r="B3182" t="s">
        <v>35739</v>
      </c>
      <c r="C3182" t="s">
        <v>35740</v>
      </c>
      <c r="D3182" t="s">
        <v>35741</v>
      </c>
      <c r="E3182" t="s">
        <v>35742</v>
      </c>
      <c r="F3182" t="s">
        <v>35743</v>
      </c>
      <c r="G3182" t="s">
        <v>35744</v>
      </c>
      <c r="H3182" t="str">
        <f>"Nynrin"</f>
        <v>Nynrin</v>
      </c>
      <c r="I3182" t="s">
        <v>35745</v>
      </c>
      <c r="J3182" t="s">
        <v>37</v>
      </c>
      <c r="K3182">
        <v>10090</v>
      </c>
      <c r="L3182" s="3" t="str">
        <f>HYPERLINK("http://www.uniprot.org/uniprot/Q5DTZ0", "Q5DTZ0")</f>
        <v>Q5DTZ0</v>
      </c>
      <c r="M3182" t="s">
        <v>35746</v>
      </c>
      <c r="N3182" t="str">
        <f>"Nynrin"</f>
        <v>Nynrin</v>
      </c>
      <c r="O3182" s="3" t="str">
        <f>HYPERLINK("http://www.informatics.jax.org/marker/MGI:2652872", "MGI:2652872")</f>
        <v>MGI:2652872</v>
      </c>
      <c r="P3182" t="s">
        <v>35747</v>
      </c>
      <c r="Q3182" t="s">
        <v>32</v>
      </c>
      <c r="R3182" t="s">
        <v>5989</v>
      </c>
      <c r="S3182" t="s">
        <v>32</v>
      </c>
      <c r="T3182" t="s">
        <v>32</v>
      </c>
      <c r="U3182" t="s">
        <v>32</v>
      </c>
      <c r="V3182" t="s">
        <v>493</v>
      </c>
      <c r="W3182" t="s">
        <v>32</v>
      </c>
      <c r="X3182" t="s">
        <v>32</v>
      </c>
      <c r="Y3182" t="s">
        <v>32</v>
      </c>
      <c r="Z3182" t="s">
        <v>32</v>
      </c>
      <c r="AA3182" t="s">
        <v>35748</v>
      </c>
      <c r="AB3182" t="s">
        <v>35749</v>
      </c>
      <c r="AC3182" t="s">
        <v>35750</v>
      </c>
      <c r="AD3182" t="s">
        <v>32</v>
      </c>
      <c r="AE3182" t="s">
        <v>32</v>
      </c>
      <c r="AF3182" t="s">
        <v>46835</v>
      </c>
    </row>
    <row r="3183" spans="1:33" x14ac:dyDescent="0.2">
      <c r="A3183">
        <v>3178</v>
      </c>
      <c r="B3183" t="s">
        <v>35751</v>
      </c>
      <c r="C3183" t="s">
        <v>35752</v>
      </c>
      <c r="D3183" t="s">
        <v>35753</v>
      </c>
      <c r="E3183" t="s">
        <v>35754</v>
      </c>
      <c r="F3183" t="s">
        <v>35755</v>
      </c>
      <c r="G3183" t="s">
        <v>35756</v>
      </c>
      <c r="H3183" t="str">
        <f>"Ston1"</f>
        <v>Ston1</v>
      </c>
      <c r="I3183" t="s">
        <v>35757</v>
      </c>
      <c r="J3183" t="s">
        <v>37</v>
      </c>
      <c r="K3183">
        <v>10090</v>
      </c>
      <c r="L3183" s="3" t="str">
        <f>HYPERLINK("http://www.uniprot.org/uniprot/Q8CDJ8", "Q8CDJ8")</f>
        <v>Q8CDJ8</v>
      </c>
      <c r="M3183" t="s">
        <v>35758</v>
      </c>
      <c r="N3183" t="str">
        <f>"Ston1"</f>
        <v>Ston1</v>
      </c>
      <c r="O3183" s="3" t="str">
        <f>HYPERLINK("http://www.informatics.jax.org/marker/MGI:1924307", "MGI:1924307")</f>
        <v>MGI:1924307</v>
      </c>
      <c r="P3183" t="s">
        <v>35759</v>
      </c>
      <c r="Q3183" t="s">
        <v>2822</v>
      </c>
      <c r="R3183" t="s">
        <v>714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32</v>
      </c>
      <c r="Y3183" t="s">
        <v>32</v>
      </c>
      <c r="Z3183" t="s">
        <v>32</v>
      </c>
      <c r="AA3183" t="s">
        <v>35760</v>
      </c>
      <c r="AB3183" t="s">
        <v>35761</v>
      </c>
      <c r="AC3183" t="s">
        <v>35762</v>
      </c>
      <c r="AD3183" t="s">
        <v>32</v>
      </c>
      <c r="AE3183" t="s">
        <v>13103</v>
      </c>
      <c r="AF3183" t="s">
        <v>46835</v>
      </c>
    </row>
    <row r="3184" spans="1:33" x14ac:dyDescent="0.2">
      <c r="A3184">
        <v>3179</v>
      </c>
      <c r="B3184" t="s">
        <v>35763</v>
      </c>
      <c r="C3184" t="s">
        <v>35764</v>
      </c>
      <c r="D3184" t="s">
        <v>32</v>
      </c>
      <c r="E3184" t="s">
        <v>35765</v>
      </c>
      <c r="F3184" t="s">
        <v>35766</v>
      </c>
      <c r="G3184" t="s">
        <v>32</v>
      </c>
      <c r="H3184" t="str">
        <f>"Abtb2"</f>
        <v>Abtb2</v>
      </c>
      <c r="I3184" t="s">
        <v>32</v>
      </c>
      <c r="J3184" t="s">
        <v>37</v>
      </c>
      <c r="K3184">
        <v>10090</v>
      </c>
      <c r="L3184" s="3" t="str">
        <f>HYPERLINK("http://www.uniprot.org/uniprot/Q7TQI7", "Q7TQI7")</f>
        <v>Q7TQI7</v>
      </c>
      <c r="M3184" t="s">
        <v>35767</v>
      </c>
      <c r="N3184" t="str">
        <f>"Abtb2"</f>
        <v>Abtb2</v>
      </c>
      <c r="O3184" s="3" t="str">
        <f>HYPERLINK("http://www.informatics.jax.org/marker/MGI:2139365", "MGI:2139365")</f>
        <v>MGI:2139365</v>
      </c>
      <c r="P3184" t="s">
        <v>912</v>
      </c>
      <c r="Q3184" t="s">
        <v>32</v>
      </c>
      <c r="R3184" t="s">
        <v>32</v>
      </c>
      <c r="S3184" t="s">
        <v>32</v>
      </c>
      <c r="T3184" t="s">
        <v>32</v>
      </c>
      <c r="U3184" t="s">
        <v>32</v>
      </c>
      <c r="V3184" t="s">
        <v>912</v>
      </c>
      <c r="W3184" t="s">
        <v>32</v>
      </c>
      <c r="X3184" t="s">
        <v>32</v>
      </c>
      <c r="Y3184" t="s">
        <v>32</v>
      </c>
      <c r="Z3184" t="s">
        <v>32</v>
      </c>
      <c r="AA3184" t="s">
        <v>35768</v>
      </c>
      <c r="AB3184" t="s">
        <v>32</v>
      </c>
      <c r="AC3184" t="s">
        <v>35769</v>
      </c>
      <c r="AD3184" t="s">
        <v>32</v>
      </c>
      <c r="AE3184" t="s">
        <v>32</v>
      </c>
      <c r="AF3184" t="s">
        <v>46835</v>
      </c>
    </row>
    <row r="3185" spans="1:32" x14ac:dyDescent="0.2">
      <c r="A3185">
        <v>3180</v>
      </c>
      <c r="B3185" t="s">
        <v>35770</v>
      </c>
      <c r="C3185" t="s">
        <v>35771</v>
      </c>
      <c r="D3185" t="s">
        <v>35772</v>
      </c>
      <c r="E3185" t="s">
        <v>35773</v>
      </c>
      <c r="F3185" t="s">
        <v>35774</v>
      </c>
      <c r="G3185" t="s">
        <v>35775</v>
      </c>
      <c r="H3185" t="str">
        <f>"Epb41l4a"</f>
        <v>Epb41l4a</v>
      </c>
      <c r="I3185" t="s">
        <v>32</v>
      </c>
      <c r="J3185" t="s">
        <v>37</v>
      </c>
      <c r="K3185">
        <v>10090</v>
      </c>
      <c r="L3185" s="3" t="str">
        <f>HYPERLINK("http://www.uniprot.org/uniprot/P52963", "P52963")</f>
        <v>P52963</v>
      </c>
      <c r="M3185" t="s">
        <v>35776</v>
      </c>
      <c r="N3185" t="str">
        <f>"Epb41l4a"</f>
        <v>Epb41l4a</v>
      </c>
      <c r="O3185" s="3" t="str">
        <f>HYPERLINK("http://www.informatics.jax.org/marker/MGI:103007", "MGI:103007")</f>
        <v>MGI:103007</v>
      </c>
      <c r="P3185" t="s">
        <v>35777</v>
      </c>
      <c r="Q3185" t="s">
        <v>32</v>
      </c>
      <c r="R3185" t="s">
        <v>186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t="s">
        <v>618</v>
      </c>
      <c r="Z3185" t="s">
        <v>32</v>
      </c>
      <c r="AA3185" t="s">
        <v>35778</v>
      </c>
      <c r="AB3185" t="s">
        <v>15344</v>
      </c>
      <c r="AC3185" t="s">
        <v>35779</v>
      </c>
      <c r="AD3185" t="s">
        <v>32</v>
      </c>
      <c r="AE3185" t="s">
        <v>32</v>
      </c>
      <c r="AF3185" t="s">
        <v>46835</v>
      </c>
    </row>
    <row r="3186" spans="1:32" x14ac:dyDescent="0.2">
      <c r="A3186">
        <v>3181</v>
      </c>
      <c r="B3186" t="s">
        <v>35780</v>
      </c>
      <c r="C3186" t="s">
        <v>35781</v>
      </c>
      <c r="D3186" t="s">
        <v>35782</v>
      </c>
      <c r="E3186" t="s">
        <v>35783</v>
      </c>
      <c r="F3186" t="s">
        <v>35784</v>
      </c>
      <c r="G3186" t="s">
        <v>32</v>
      </c>
      <c r="H3186" t="str">
        <f>"Slc1a4"</f>
        <v>Slc1a4</v>
      </c>
      <c r="I3186" t="s">
        <v>35785</v>
      </c>
      <c r="J3186" t="s">
        <v>37</v>
      </c>
      <c r="K3186">
        <v>10090</v>
      </c>
      <c r="L3186" s="3" t="str">
        <f>HYPERLINK("http://www.uniprot.org/uniprot/O35874", "O35874")</f>
        <v>O35874</v>
      </c>
      <c r="M3186" t="s">
        <v>35786</v>
      </c>
      <c r="N3186" t="str">
        <f>"Slc1a4"</f>
        <v>Slc1a4</v>
      </c>
      <c r="O3186" s="3" t="str">
        <f>HYPERLINK("http://www.informatics.jax.org/marker/MGI:2135601", "MGI:2135601")</f>
        <v>MGI:2135601</v>
      </c>
      <c r="P3186" t="s">
        <v>35787</v>
      </c>
      <c r="Q3186" t="s">
        <v>6165</v>
      </c>
      <c r="R3186" t="s">
        <v>5989</v>
      </c>
      <c r="S3186" t="s">
        <v>32</v>
      </c>
      <c r="T3186" t="s">
        <v>32</v>
      </c>
      <c r="U3186" t="s">
        <v>32</v>
      </c>
      <c r="V3186" t="s">
        <v>493</v>
      </c>
      <c r="W3186" t="s">
        <v>32</v>
      </c>
      <c r="X3186" t="s">
        <v>32</v>
      </c>
      <c r="Y3186" t="s">
        <v>372</v>
      </c>
      <c r="Z3186" t="s">
        <v>32</v>
      </c>
      <c r="AA3186" t="s">
        <v>35788</v>
      </c>
      <c r="AB3186" t="s">
        <v>35789</v>
      </c>
      <c r="AC3186" t="s">
        <v>35790</v>
      </c>
      <c r="AD3186" t="s">
        <v>32</v>
      </c>
      <c r="AE3186" t="s">
        <v>29338</v>
      </c>
      <c r="AF3186" t="s">
        <v>46835</v>
      </c>
    </row>
    <row r="3187" spans="1:32" x14ac:dyDescent="0.2">
      <c r="A3187">
        <v>3182</v>
      </c>
      <c r="B3187" t="s">
        <v>35791</v>
      </c>
      <c r="C3187" t="s">
        <v>35792</v>
      </c>
      <c r="D3187" t="s">
        <v>35793</v>
      </c>
      <c r="E3187" t="s">
        <v>35794</v>
      </c>
      <c r="F3187" t="s">
        <v>35795</v>
      </c>
      <c r="G3187" t="s">
        <v>35796</v>
      </c>
      <c r="H3187" t="str">
        <f>"Cyb5b"</f>
        <v>Cyb5b</v>
      </c>
      <c r="I3187" t="s">
        <v>35797</v>
      </c>
      <c r="J3187" t="s">
        <v>37</v>
      </c>
      <c r="K3187">
        <v>10090</v>
      </c>
      <c r="L3187" s="3" t="str">
        <f>HYPERLINK("http://www.uniprot.org/uniprot/Q9CQX2", "Q9CQX2")</f>
        <v>Q9CQX2</v>
      </c>
      <c r="M3187" t="s">
        <v>35798</v>
      </c>
      <c r="N3187" t="str">
        <f>"Cyb5b"</f>
        <v>Cyb5b</v>
      </c>
      <c r="O3187" s="3" t="str">
        <f>HYPERLINK("http://www.informatics.jax.org/marker/MGI:1913677", "MGI:1913677")</f>
        <v>MGI:1913677</v>
      </c>
      <c r="P3187" t="s">
        <v>35799</v>
      </c>
      <c r="Q3187" t="s">
        <v>4599</v>
      </c>
      <c r="R3187" t="s">
        <v>4782</v>
      </c>
      <c r="S3187" t="s">
        <v>32</v>
      </c>
      <c r="T3187" t="s">
        <v>32</v>
      </c>
      <c r="U3187" t="s">
        <v>32</v>
      </c>
      <c r="V3187" t="s">
        <v>493</v>
      </c>
      <c r="W3187" t="s">
        <v>6053</v>
      </c>
      <c r="X3187" t="s">
        <v>32</v>
      </c>
      <c r="Y3187" t="s">
        <v>157</v>
      </c>
      <c r="Z3187" t="s">
        <v>32</v>
      </c>
      <c r="AA3187" t="s">
        <v>35800</v>
      </c>
      <c r="AB3187" t="s">
        <v>35801</v>
      </c>
      <c r="AC3187" t="s">
        <v>35802</v>
      </c>
      <c r="AD3187" t="s">
        <v>32</v>
      </c>
      <c r="AE3187" t="s">
        <v>15399</v>
      </c>
      <c r="AF3187" t="s">
        <v>46835</v>
      </c>
    </row>
    <row r="3188" spans="1:32" x14ac:dyDescent="0.2">
      <c r="A3188">
        <v>3183</v>
      </c>
      <c r="B3188" t="s">
        <v>35803</v>
      </c>
      <c r="C3188" t="s">
        <v>35804</v>
      </c>
      <c r="D3188" t="s">
        <v>32</v>
      </c>
      <c r="E3188" t="s">
        <v>35805</v>
      </c>
      <c r="F3188" t="s">
        <v>35806</v>
      </c>
      <c r="G3188" t="s">
        <v>35807</v>
      </c>
      <c r="H3188" t="str">
        <f>"Vps18"</f>
        <v>Vps18</v>
      </c>
      <c r="I3188" t="s">
        <v>32</v>
      </c>
      <c r="J3188" t="s">
        <v>37</v>
      </c>
      <c r="K3188">
        <v>10090</v>
      </c>
      <c r="L3188" s="3" t="str">
        <f>HYPERLINK("http://www.uniprot.org/uniprot/Q8R307", "Q8R307")</f>
        <v>Q8R307</v>
      </c>
      <c r="M3188" t="s">
        <v>35808</v>
      </c>
      <c r="N3188" t="str">
        <f>"Vps18"</f>
        <v>Vps18</v>
      </c>
      <c r="O3188" s="3" t="str">
        <f>HYPERLINK("http://www.informatics.jax.org/marker/MGI:2443626", "MGI:2443626")</f>
        <v>MGI:2443626</v>
      </c>
      <c r="P3188" t="s">
        <v>35809</v>
      </c>
      <c r="Q3188" t="s">
        <v>23025</v>
      </c>
      <c r="R3188" t="s">
        <v>33305</v>
      </c>
      <c r="S3188" t="s">
        <v>32</v>
      </c>
      <c r="T3188" t="s">
        <v>32</v>
      </c>
      <c r="U3188" t="s">
        <v>32</v>
      </c>
      <c r="V3188" t="s">
        <v>11171</v>
      </c>
      <c r="W3188" t="s">
        <v>42</v>
      </c>
      <c r="X3188" t="s">
        <v>32</v>
      </c>
      <c r="Y3188" t="s">
        <v>157</v>
      </c>
      <c r="Z3188" t="s">
        <v>32</v>
      </c>
      <c r="AA3188" t="s">
        <v>35810</v>
      </c>
      <c r="AB3188" t="s">
        <v>35811</v>
      </c>
      <c r="AC3188" t="s">
        <v>35812</v>
      </c>
      <c r="AD3188" t="s">
        <v>32</v>
      </c>
      <c r="AE3188" t="s">
        <v>32</v>
      </c>
      <c r="AF3188" t="s">
        <v>46835</v>
      </c>
    </row>
    <row r="3189" spans="1:32" x14ac:dyDescent="0.2">
      <c r="A3189">
        <v>3184</v>
      </c>
      <c r="B3189" t="s">
        <v>35813</v>
      </c>
      <c r="C3189" t="s">
        <v>35814</v>
      </c>
      <c r="D3189" t="s">
        <v>35815</v>
      </c>
      <c r="E3189" t="s">
        <v>35816</v>
      </c>
      <c r="F3189" t="s">
        <v>35817</v>
      </c>
      <c r="G3189" t="s">
        <v>35818</v>
      </c>
      <c r="H3189" t="str">
        <f>"Xrn1"</f>
        <v>Xrn1</v>
      </c>
      <c r="I3189" t="s">
        <v>32</v>
      </c>
      <c r="J3189" t="s">
        <v>37</v>
      </c>
      <c r="K3189">
        <v>10090</v>
      </c>
      <c r="L3189" s="3" t="str">
        <f>HYPERLINK("http://www.uniprot.org/uniprot/P97789", "P97789")</f>
        <v>P97789</v>
      </c>
      <c r="M3189" t="s">
        <v>35819</v>
      </c>
      <c r="N3189" t="str">
        <f>"Xrn1"</f>
        <v>Xrn1</v>
      </c>
      <c r="O3189" s="3" t="str">
        <f>HYPERLINK("http://www.informatics.jax.org/marker/MGI:891964", "MGI:891964")</f>
        <v>MGI:891964</v>
      </c>
      <c r="P3189" t="s">
        <v>35820</v>
      </c>
      <c r="Q3189" t="s">
        <v>32</v>
      </c>
      <c r="R3189" t="s">
        <v>418</v>
      </c>
      <c r="S3189" t="s">
        <v>41</v>
      </c>
      <c r="T3189" t="s">
        <v>32</v>
      </c>
      <c r="U3189" t="s">
        <v>32</v>
      </c>
      <c r="V3189" t="s">
        <v>32</v>
      </c>
      <c r="W3189" t="s">
        <v>32</v>
      </c>
      <c r="X3189" t="s">
        <v>35821</v>
      </c>
      <c r="Y3189" t="s">
        <v>618</v>
      </c>
      <c r="Z3189" t="s">
        <v>32</v>
      </c>
      <c r="AA3189" t="s">
        <v>35822</v>
      </c>
      <c r="AB3189" t="s">
        <v>35823</v>
      </c>
      <c r="AC3189" t="s">
        <v>35824</v>
      </c>
      <c r="AD3189" t="s">
        <v>32</v>
      </c>
      <c r="AE3189" t="s">
        <v>35825</v>
      </c>
      <c r="AF3189" t="s">
        <v>46835</v>
      </c>
    </row>
    <row r="3190" spans="1:32" x14ac:dyDescent="0.2">
      <c r="A3190">
        <v>3185</v>
      </c>
      <c r="B3190" t="s">
        <v>35826</v>
      </c>
      <c r="C3190" t="s">
        <v>35827</v>
      </c>
      <c r="D3190" t="s">
        <v>35828</v>
      </c>
      <c r="E3190" t="s">
        <v>35829</v>
      </c>
      <c r="F3190" t="s">
        <v>35830</v>
      </c>
      <c r="G3190" t="s">
        <v>35831</v>
      </c>
      <c r="H3190" t="str">
        <f>"Rab8a"</f>
        <v>Rab8a</v>
      </c>
      <c r="I3190" t="s">
        <v>35832</v>
      </c>
      <c r="J3190" t="s">
        <v>37</v>
      </c>
      <c r="K3190">
        <v>10090</v>
      </c>
      <c r="L3190" s="3" t="str">
        <f>HYPERLINK("http://www.uniprot.org/uniprot/P55258", "P55258")</f>
        <v>P55258</v>
      </c>
      <c r="M3190" t="s">
        <v>35833</v>
      </c>
      <c r="N3190" t="str">
        <f>"Rab8a"</f>
        <v>Rab8a</v>
      </c>
      <c r="O3190" s="3" t="str">
        <f>HYPERLINK("http://www.informatics.jax.org/marker/MGI:96960", "MGI:96960")</f>
        <v>MGI:96960</v>
      </c>
      <c r="P3190" t="s">
        <v>35834</v>
      </c>
      <c r="Q3190" t="s">
        <v>24274</v>
      </c>
      <c r="R3190" t="s">
        <v>35835</v>
      </c>
      <c r="S3190" t="s">
        <v>32</v>
      </c>
      <c r="T3190" t="s">
        <v>32</v>
      </c>
      <c r="U3190" t="s">
        <v>4682</v>
      </c>
      <c r="V3190" t="s">
        <v>32</v>
      </c>
      <c r="W3190" t="s">
        <v>261</v>
      </c>
      <c r="X3190" t="s">
        <v>343</v>
      </c>
      <c r="Y3190" t="s">
        <v>3745</v>
      </c>
      <c r="Z3190" t="s">
        <v>126</v>
      </c>
      <c r="AA3190" t="s">
        <v>35836</v>
      </c>
      <c r="AB3190" t="s">
        <v>35837</v>
      </c>
      <c r="AC3190" t="s">
        <v>35838</v>
      </c>
      <c r="AD3190" t="s">
        <v>32</v>
      </c>
      <c r="AE3190" t="s">
        <v>35839</v>
      </c>
      <c r="AF3190" t="s">
        <v>46835</v>
      </c>
    </row>
    <row r="3191" spans="1:32" x14ac:dyDescent="0.2">
      <c r="A3191">
        <v>3186</v>
      </c>
      <c r="B3191" t="s">
        <v>35840</v>
      </c>
      <c r="C3191" t="s">
        <v>35841</v>
      </c>
      <c r="D3191" t="s">
        <v>35842</v>
      </c>
      <c r="E3191" t="s">
        <v>35843</v>
      </c>
      <c r="F3191" t="s">
        <v>35844</v>
      </c>
      <c r="G3191" t="s">
        <v>35845</v>
      </c>
      <c r="H3191" t="str">
        <f>"Dr1"</f>
        <v>Dr1</v>
      </c>
      <c r="I3191" t="s">
        <v>32</v>
      </c>
      <c r="J3191" t="s">
        <v>37</v>
      </c>
      <c r="K3191">
        <v>10090</v>
      </c>
      <c r="L3191" s="3" t="str">
        <f>HYPERLINK("http://www.uniprot.org/uniprot/Q91WV0", "Q91WV0")</f>
        <v>Q91WV0</v>
      </c>
      <c r="M3191" t="s">
        <v>35846</v>
      </c>
      <c r="N3191" t="str">
        <f>"Dr1"</f>
        <v>Dr1</v>
      </c>
      <c r="O3191" s="3" t="str">
        <f>HYPERLINK("http://www.informatics.jax.org/marker/MGI:1100515", "MGI:1100515")</f>
        <v>MGI:1100515</v>
      </c>
      <c r="P3191" t="s">
        <v>35847</v>
      </c>
      <c r="Q3191" t="s">
        <v>4152</v>
      </c>
      <c r="R3191" t="s">
        <v>2279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7046</v>
      </c>
      <c r="Y3191" t="s">
        <v>157</v>
      </c>
      <c r="Z3191" t="s">
        <v>32</v>
      </c>
      <c r="AA3191" t="s">
        <v>35848</v>
      </c>
      <c r="AB3191" t="s">
        <v>35849</v>
      </c>
      <c r="AC3191" t="s">
        <v>35850</v>
      </c>
      <c r="AD3191" t="s">
        <v>32</v>
      </c>
      <c r="AE3191" t="s">
        <v>32</v>
      </c>
      <c r="AF3191" t="s">
        <v>46835</v>
      </c>
    </row>
    <row r="3192" spans="1:32" x14ac:dyDescent="0.2">
      <c r="A3192">
        <v>3187</v>
      </c>
      <c r="B3192" t="s">
        <v>35851</v>
      </c>
      <c r="C3192" t="s">
        <v>35852</v>
      </c>
      <c r="D3192" t="s">
        <v>35853</v>
      </c>
      <c r="E3192" t="s">
        <v>35854</v>
      </c>
      <c r="F3192" t="s">
        <v>35855</v>
      </c>
      <c r="G3192" t="s">
        <v>35856</v>
      </c>
      <c r="H3192" t="str">
        <f>"Nptn"</f>
        <v>Nptn</v>
      </c>
      <c r="I3192" t="s">
        <v>35857</v>
      </c>
      <c r="J3192" t="s">
        <v>37</v>
      </c>
      <c r="K3192">
        <v>10090</v>
      </c>
      <c r="L3192" s="3" t="str">
        <f>HYPERLINK("http://www.uniprot.org/uniprot/P97300", "P97300")</f>
        <v>P97300</v>
      </c>
      <c r="M3192" t="s">
        <v>35858</v>
      </c>
      <c r="N3192" t="str">
        <f>"Nptn"</f>
        <v>Nptn</v>
      </c>
      <c r="O3192" s="3" t="str">
        <f>HYPERLINK("http://www.informatics.jax.org/marker/MGI:108077", "MGI:108077")</f>
        <v>MGI:108077</v>
      </c>
      <c r="P3192" t="s">
        <v>35859</v>
      </c>
      <c r="Q3192" t="s">
        <v>35860</v>
      </c>
      <c r="R3192" t="s">
        <v>6252</v>
      </c>
      <c r="S3192" t="s">
        <v>41</v>
      </c>
      <c r="T3192" t="s">
        <v>32</v>
      </c>
      <c r="U3192" t="s">
        <v>32</v>
      </c>
      <c r="V3192" t="s">
        <v>2864</v>
      </c>
      <c r="W3192" t="s">
        <v>32</v>
      </c>
      <c r="X3192" t="s">
        <v>32</v>
      </c>
      <c r="Y3192" t="s">
        <v>5275</v>
      </c>
      <c r="Z3192" t="s">
        <v>32</v>
      </c>
      <c r="AA3192" t="s">
        <v>35861</v>
      </c>
      <c r="AB3192" t="s">
        <v>35862</v>
      </c>
      <c r="AC3192" t="s">
        <v>35863</v>
      </c>
      <c r="AD3192" t="s">
        <v>32</v>
      </c>
      <c r="AE3192" t="s">
        <v>32</v>
      </c>
      <c r="AF3192" t="s">
        <v>46835</v>
      </c>
    </row>
    <row r="3193" spans="1:32" x14ac:dyDescent="0.2">
      <c r="A3193">
        <v>3188</v>
      </c>
      <c r="B3193" t="s">
        <v>35864</v>
      </c>
      <c r="C3193" t="s">
        <v>35865</v>
      </c>
      <c r="D3193" t="s">
        <v>32</v>
      </c>
      <c r="E3193" t="s">
        <v>35866</v>
      </c>
      <c r="F3193" t="s">
        <v>35867</v>
      </c>
      <c r="G3193" t="s">
        <v>35868</v>
      </c>
      <c r="H3193" t="str">
        <f>"Kctd5"</f>
        <v>Kctd5</v>
      </c>
      <c r="I3193" t="s">
        <v>32</v>
      </c>
      <c r="J3193" t="s">
        <v>37</v>
      </c>
      <c r="K3193">
        <v>10090</v>
      </c>
      <c r="L3193" s="3" t="str">
        <f>HYPERLINK("http://www.uniprot.org/uniprot/Q8VC57", "Q8VC57")</f>
        <v>Q8VC57</v>
      </c>
      <c r="M3193" t="s">
        <v>35869</v>
      </c>
      <c r="N3193" t="str">
        <f>"Kctd5"</f>
        <v>Kctd5</v>
      </c>
      <c r="O3193" s="3" t="str">
        <f>HYPERLINK("http://www.informatics.jax.org/marker/MGI:1916509", "MGI:1916509")</f>
        <v>MGI:1916509</v>
      </c>
      <c r="P3193" t="s">
        <v>21535</v>
      </c>
      <c r="Q3193" t="s">
        <v>32</v>
      </c>
      <c r="R3193" t="s">
        <v>40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32</v>
      </c>
      <c r="Y3193" t="s">
        <v>78</v>
      </c>
      <c r="Z3193" t="s">
        <v>32</v>
      </c>
      <c r="AA3193" t="s">
        <v>35870</v>
      </c>
      <c r="AB3193" t="s">
        <v>35871</v>
      </c>
      <c r="AC3193" t="s">
        <v>35872</v>
      </c>
      <c r="AD3193" t="s">
        <v>32</v>
      </c>
      <c r="AE3193" t="s">
        <v>32</v>
      </c>
      <c r="AF3193" t="s">
        <v>46835</v>
      </c>
    </row>
    <row r="3194" spans="1:32" x14ac:dyDescent="0.2">
      <c r="A3194">
        <v>3189</v>
      </c>
      <c r="B3194" t="s">
        <v>35873</v>
      </c>
      <c r="C3194" t="s">
        <v>35874</v>
      </c>
      <c r="D3194" t="s">
        <v>32</v>
      </c>
      <c r="E3194" t="s">
        <v>35875</v>
      </c>
      <c r="F3194" t="s">
        <v>35876</v>
      </c>
      <c r="G3194" t="s">
        <v>35877</v>
      </c>
      <c r="H3194" t="str">
        <f>"Dpcd"</f>
        <v>Dpcd</v>
      </c>
      <c r="I3194" t="s">
        <v>32</v>
      </c>
      <c r="J3194" t="s">
        <v>37</v>
      </c>
      <c r="K3194">
        <v>10090</v>
      </c>
      <c r="L3194" s="3" t="str">
        <f>HYPERLINK("http://www.uniprot.org/uniprot/Q8BPA8", "Q8BPA8")</f>
        <v>Q8BPA8</v>
      </c>
      <c r="M3194" t="s">
        <v>35878</v>
      </c>
      <c r="N3194" t="str">
        <f>"Dpcd"</f>
        <v>Dpcd</v>
      </c>
      <c r="O3194" s="3" t="str">
        <f>HYPERLINK("http://www.informatics.jax.org/marker/MGI:1924407", "MGI:1924407")</f>
        <v>MGI:1924407</v>
      </c>
      <c r="P3194" t="s">
        <v>41</v>
      </c>
      <c r="Q3194" t="s">
        <v>32</v>
      </c>
      <c r="R3194" t="s">
        <v>32</v>
      </c>
      <c r="S3194" t="s">
        <v>41</v>
      </c>
      <c r="T3194" t="s">
        <v>32</v>
      </c>
      <c r="U3194" t="s">
        <v>32</v>
      </c>
      <c r="V3194" t="s">
        <v>32</v>
      </c>
      <c r="W3194" t="s">
        <v>32</v>
      </c>
      <c r="X3194" t="s">
        <v>32</v>
      </c>
      <c r="Y3194" t="s">
        <v>32</v>
      </c>
      <c r="Z3194" t="s">
        <v>32</v>
      </c>
      <c r="AA3194" t="s">
        <v>35879</v>
      </c>
      <c r="AB3194" t="s">
        <v>21828</v>
      </c>
      <c r="AC3194" t="s">
        <v>32</v>
      </c>
      <c r="AD3194" t="s">
        <v>32</v>
      </c>
      <c r="AE3194" t="s">
        <v>32</v>
      </c>
      <c r="AF3194" t="s">
        <v>46835</v>
      </c>
    </row>
    <row r="3195" spans="1:32" x14ac:dyDescent="0.2">
      <c r="A3195">
        <v>3190</v>
      </c>
      <c r="B3195" t="s">
        <v>35880</v>
      </c>
      <c r="C3195" t="s">
        <v>35881</v>
      </c>
      <c r="D3195" t="s">
        <v>35882</v>
      </c>
      <c r="E3195" t="s">
        <v>35883</v>
      </c>
      <c r="F3195" t="s">
        <v>35884</v>
      </c>
      <c r="G3195" t="s">
        <v>35885</v>
      </c>
      <c r="H3195" t="str">
        <f>"Timm8a1"</f>
        <v>Timm8a1</v>
      </c>
      <c r="I3195" t="s">
        <v>35886</v>
      </c>
      <c r="J3195" t="s">
        <v>37</v>
      </c>
      <c r="K3195">
        <v>10090</v>
      </c>
      <c r="L3195" s="3" t="str">
        <f>HYPERLINK("http://www.uniprot.org/uniprot/Q9WVA2", "Q9WVA2")</f>
        <v>Q9WVA2</v>
      </c>
      <c r="M3195" t="s">
        <v>35887</v>
      </c>
      <c r="N3195" t="str">
        <f>"Timm8a1"</f>
        <v>Timm8a1</v>
      </c>
      <c r="O3195" s="3" t="str">
        <f>HYPERLINK("http://www.informatics.jax.org/marker/MGI:1353433", "MGI:1353433")</f>
        <v>MGI:1353433</v>
      </c>
      <c r="P3195" t="s">
        <v>35888</v>
      </c>
      <c r="Q3195" t="s">
        <v>4270</v>
      </c>
      <c r="R3195" t="s">
        <v>3858</v>
      </c>
      <c r="S3195" t="s">
        <v>32</v>
      </c>
      <c r="T3195" t="s">
        <v>32</v>
      </c>
      <c r="U3195" t="s">
        <v>32</v>
      </c>
      <c r="V3195" t="s">
        <v>32</v>
      </c>
      <c r="W3195" t="s">
        <v>42</v>
      </c>
      <c r="X3195" t="s">
        <v>388</v>
      </c>
      <c r="Y3195" t="s">
        <v>2080</v>
      </c>
      <c r="Z3195" t="s">
        <v>32</v>
      </c>
      <c r="AA3195" t="s">
        <v>13642</v>
      </c>
      <c r="AB3195" t="s">
        <v>35889</v>
      </c>
      <c r="AC3195" t="s">
        <v>35890</v>
      </c>
      <c r="AD3195" t="s">
        <v>32</v>
      </c>
      <c r="AE3195" t="s">
        <v>32</v>
      </c>
      <c r="AF3195" t="s">
        <v>46835</v>
      </c>
    </row>
    <row r="3196" spans="1:32" x14ac:dyDescent="0.2">
      <c r="A3196">
        <v>3191</v>
      </c>
      <c r="B3196" t="s">
        <v>35891</v>
      </c>
      <c r="C3196" t="s">
        <v>35892</v>
      </c>
      <c r="D3196" t="s">
        <v>35893</v>
      </c>
      <c r="E3196" t="s">
        <v>35894</v>
      </c>
      <c r="F3196" t="s">
        <v>35895</v>
      </c>
      <c r="G3196" t="s">
        <v>35896</v>
      </c>
      <c r="H3196" t="str">
        <f>"Ccdc50"</f>
        <v>Ccdc50</v>
      </c>
      <c r="I3196" t="s">
        <v>32</v>
      </c>
      <c r="J3196" t="s">
        <v>37</v>
      </c>
      <c r="K3196">
        <v>10090</v>
      </c>
      <c r="L3196" s="3" t="str">
        <f>HYPERLINK("http://www.uniprot.org/uniprot/Q810U5", "Q810U5")</f>
        <v>Q810U5</v>
      </c>
      <c r="M3196" t="s">
        <v>35897</v>
      </c>
      <c r="N3196" t="str">
        <f>"Ccdc50"</f>
        <v>Ccdc50</v>
      </c>
      <c r="O3196" s="3" t="str">
        <f>HYPERLINK("http://www.informatics.jax.org/marker/MGI:1914751", "MGI:1914751")</f>
        <v>MGI:1914751</v>
      </c>
      <c r="P3196" t="s">
        <v>35898</v>
      </c>
      <c r="Q3196" t="s">
        <v>32</v>
      </c>
      <c r="R3196" t="s">
        <v>418</v>
      </c>
      <c r="S3196" t="s">
        <v>41</v>
      </c>
      <c r="T3196" t="s">
        <v>32</v>
      </c>
      <c r="U3196" t="s">
        <v>32</v>
      </c>
      <c r="V3196" t="s">
        <v>290</v>
      </c>
      <c r="W3196" t="s">
        <v>32</v>
      </c>
      <c r="X3196" t="s">
        <v>32</v>
      </c>
      <c r="Y3196" t="s">
        <v>157</v>
      </c>
      <c r="Z3196" t="s">
        <v>32</v>
      </c>
      <c r="AA3196" t="s">
        <v>35899</v>
      </c>
      <c r="AB3196" t="s">
        <v>35900</v>
      </c>
      <c r="AC3196" t="s">
        <v>3477</v>
      </c>
      <c r="AD3196" t="s">
        <v>32</v>
      </c>
      <c r="AE3196" t="s">
        <v>32</v>
      </c>
      <c r="AF3196" t="s">
        <v>46835</v>
      </c>
    </row>
    <row r="3197" spans="1:32" x14ac:dyDescent="0.2">
      <c r="A3197">
        <v>3192</v>
      </c>
      <c r="B3197" t="s">
        <v>35901</v>
      </c>
      <c r="C3197" t="s">
        <v>35902</v>
      </c>
      <c r="D3197" t="s">
        <v>35903</v>
      </c>
      <c r="E3197" t="s">
        <v>35904</v>
      </c>
      <c r="F3197" t="s">
        <v>35905</v>
      </c>
      <c r="G3197" t="s">
        <v>35906</v>
      </c>
      <c r="H3197" t="str">
        <f>"Arpc1b"</f>
        <v>Arpc1b</v>
      </c>
      <c r="I3197" t="s">
        <v>32</v>
      </c>
      <c r="J3197" t="s">
        <v>37</v>
      </c>
      <c r="K3197">
        <v>10090</v>
      </c>
      <c r="L3197" s="3" t="str">
        <f>HYPERLINK("http://www.uniprot.org/uniprot/Q9WV32", "Q9WV32")</f>
        <v>Q9WV32</v>
      </c>
      <c r="M3197" t="s">
        <v>35907</v>
      </c>
      <c r="N3197" t="str">
        <f>"Arpc1b"</f>
        <v>Arpc1b</v>
      </c>
      <c r="O3197" s="3" t="str">
        <f>HYPERLINK("http://www.informatics.jax.org/marker/MGI:1343142", "MGI:1343142")</f>
        <v>MGI:1343142</v>
      </c>
      <c r="P3197" t="s">
        <v>35908</v>
      </c>
      <c r="Q3197" t="s">
        <v>32</v>
      </c>
      <c r="R3197" t="s">
        <v>324</v>
      </c>
      <c r="S3197" t="s">
        <v>32</v>
      </c>
      <c r="T3197" t="s">
        <v>32</v>
      </c>
      <c r="U3197" t="s">
        <v>32</v>
      </c>
      <c r="V3197" t="s">
        <v>1910</v>
      </c>
      <c r="W3197" t="s">
        <v>32</v>
      </c>
      <c r="X3197" t="s">
        <v>405</v>
      </c>
      <c r="Y3197" t="s">
        <v>32</v>
      </c>
      <c r="Z3197" t="s">
        <v>126</v>
      </c>
      <c r="AA3197" t="s">
        <v>9277</v>
      </c>
      <c r="AB3197" t="s">
        <v>35909</v>
      </c>
      <c r="AC3197" t="s">
        <v>35910</v>
      </c>
      <c r="AD3197" t="s">
        <v>32</v>
      </c>
      <c r="AE3197" t="s">
        <v>35911</v>
      </c>
      <c r="AF3197" t="s">
        <v>46835</v>
      </c>
    </row>
    <row r="3198" spans="1:32" x14ac:dyDescent="0.2">
      <c r="A3198">
        <v>3193</v>
      </c>
      <c r="B3198" t="s">
        <v>35912</v>
      </c>
      <c r="C3198" t="s">
        <v>35913</v>
      </c>
      <c r="D3198" t="s">
        <v>35914</v>
      </c>
      <c r="E3198" t="s">
        <v>35915</v>
      </c>
      <c r="F3198" t="s">
        <v>35916</v>
      </c>
      <c r="G3198" t="s">
        <v>35917</v>
      </c>
      <c r="H3198" t="str">
        <f>"Ngly1"</f>
        <v>Ngly1</v>
      </c>
      <c r="I3198" t="s">
        <v>32</v>
      </c>
      <c r="J3198" t="s">
        <v>37</v>
      </c>
      <c r="K3198">
        <v>10090</v>
      </c>
      <c r="L3198" s="3" t="str">
        <f>HYPERLINK("http://www.uniprot.org/uniprot/Q9JI78", "Q9JI78")</f>
        <v>Q9JI78</v>
      </c>
      <c r="M3198" t="s">
        <v>35918</v>
      </c>
      <c r="N3198" t="str">
        <f>"Ngly1"</f>
        <v>Ngly1</v>
      </c>
      <c r="O3198" s="3" t="str">
        <f>HYPERLINK("http://www.informatics.jax.org/marker/MGI:1913276", "MGI:1913276")</f>
        <v>MGI:1913276</v>
      </c>
      <c r="P3198" t="s">
        <v>35919</v>
      </c>
      <c r="Q3198" t="s">
        <v>32</v>
      </c>
      <c r="R3198" t="s">
        <v>418</v>
      </c>
      <c r="S3198" t="s">
        <v>32</v>
      </c>
      <c r="T3198" t="s">
        <v>32</v>
      </c>
      <c r="U3198" t="s">
        <v>32</v>
      </c>
      <c r="V3198" t="s">
        <v>32</v>
      </c>
      <c r="W3198" t="s">
        <v>42</v>
      </c>
      <c r="X3198" t="s">
        <v>343</v>
      </c>
      <c r="Y3198" t="s">
        <v>78</v>
      </c>
      <c r="Z3198" t="s">
        <v>126</v>
      </c>
      <c r="AA3198" t="s">
        <v>35920</v>
      </c>
      <c r="AB3198" t="s">
        <v>35921</v>
      </c>
      <c r="AC3198" t="s">
        <v>35922</v>
      </c>
      <c r="AD3198" t="s">
        <v>32</v>
      </c>
      <c r="AE3198" t="s">
        <v>35923</v>
      </c>
      <c r="AF3198" t="s">
        <v>46835</v>
      </c>
    </row>
    <row r="3199" spans="1:32" x14ac:dyDescent="0.2">
      <c r="A3199">
        <v>3194</v>
      </c>
      <c r="B3199" t="s">
        <v>35924</v>
      </c>
      <c r="C3199" t="s">
        <v>35925</v>
      </c>
      <c r="D3199" t="s">
        <v>35926</v>
      </c>
      <c r="E3199" t="s">
        <v>35927</v>
      </c>
      <c r="F3199" t="s">
        <v>35928</v>
      </c>
      <c r="G3199" t="s">
        <v>35929</v>
      </c>
      <c r="H3199" t="str">
        <f>"Anxa4"</f>
        <v>Anxa4</v>
      </c>
      <c r="I3199" t="s">
        <v>35930</v>
      </c>
      <c r="J3199" t="s">
        <v>37</v>
      </c>
      <c r="K3199">
        <v>10090</v>
      </c>
      <c r="L3199" s="3" t="str">
        <f>HYPERLINK("http://www.uniprot.org/uniprot/P97429", "P97429")</f>
        <v>P97429</v>
      </c>
      <c r="M3199" t="s">
        <v>35931</v>
      </c>
      <c r="N3199" t="str">
        <f>"Anxa4"</f>
        <v>Anxa4</v>
      </c>
      <c r="O3199" s="3" t="str">
        <f>HYPERLINK("http://www.informatics.jax.org/marker/MGI:88030", "MGI:88030")</f>
        <v>MGI:88030</v>
      </c>
      <c r="P3199" t="s">
        <v>35932</v>
      </c>
      <c r="Q3199" t="s">
        <v>32</v>
      </c>
      <c r="R3199" t="s">
        <v>20042</v>
      </c>
      <c r="S3199" t="s">
        <v>32</v>
      </c>
      <c r="T3199" t="s">
        <v>32</v>
      </c>
      <c r="U3199" t="s">
        <v>32</v>
      </c>
      <c r="V3199" t="s">
        <v>3029</v>
      </c>
      <c r="W3199" t="s">
        <v>3030</v>
      </c>
      <c r="X3199" t="s">
        <v>32</v>
      </c>
      <c r="Y3199" t="s">
        <v>157</v>
      </c>
      <c r="Z3199" t="s">
        <v>32</v>
      </c>
      <c r="AA3199" t="s">
        <v>35933</v>
      </c>
      <c r="AB3199" t="s">
        <v>35934</v>
      </c>
      <c r="AC3199" t="s">
        <v>35935</v>
      </c>
      <c r="AD3199" t="s">
        <v>32</v>
      </c>
      <c r="AE3199" t="s">
        <v>32</v>
      </c>
      <c r="AF3199" t="s">
        <v>46835</v>
      </c>
    </row>
    <row r="3200" spans="1:32" x14ac:dyDescent="0.2">
      <c r="A3200">
        <v>3195</v>
      </c>
      <c r="B3200" t="s">
        <v>35936</v>
      </c>
      <c r="C3200" t="s">
        <v>35937</v>
      </c>
      <c r="D3200" t="s">
        <v>35938</v>
      </c>
      <c r="E3200" t="s">
        <v>35939</v>
      </c>
      <c r="F3200" t="s">
        <v>35940</v>
      </c>
      <c r="G3200" t="s">
        <v>35941</v>
      </c>
      <c r="H3200" t="str">
        <f>"Plcg1"</f>
        <v>Plcg1</v>
      </c>
      <c r="I3200" t="s">
        <v>35942</v>
      </c>
      <c r="J3200" t="s">
        <v>37</v>
      </c>
      <c r="K3200">
        <v>10090</v>
      </c>
      <c r="L3200" s="3" t="str">
        <f>HYPERLINK("http://www.uniprot.org/uniprot/Q62077", "Q62077")</f>
        <v>Q62077</v>
      </c>
      <c r="M3200" t="s">
        <v>35943</v>
      </c>
      <c r="N3200" t="str">
        <f>"Plcg1"</f>
        <v>Plcg1</v>
      </c>
      <c r="O3200" s="3" t="str">
        <f>HYPERLINK("http://www.informatics.jax.org/marker/MGI:97615", "MGI:97615")</f>
        <v>MGI:97615</v>
      </c>
      <c r="P3200" t="s">
        <v>35944</v>
      </c>
      <c r="Q3200" t="s">
        <v>4809</v>
      </c>
      <c r="R3200" t="s">
        <v>3262</v>
      </c>
      <c r="S3200" t="s">
        <v>32</v>
      </c>
      <c r="T3200" t="s">
        <v>32</v>
      </c>
      <c r="U3200" t="s">
        <v>32</v>
      </c>
      <c r="V3200" t="s">
        <v>9656</v>
      </c>
      <c r="W3200" t="s">
        <v>188</v>
      </c>
      <c r="X3200" t="s">
        <v>33183</v>
      </c>
      <c r="Y3200" t="s">
        <v>1023</v>
      </c>
      <c r="Z3200" t="s">
        <v>32</v>
      </c>
      <c r="AA3200" t="s">
        <v>35945</v>
      </c>
      <c r="AB3200" t="s">
        <v>35946</v>
      </c>
      <c r="AC3200" t="s">
        <v>35947</v>
      </c>
      <c r="AD3200" t="s">
        <v>32</v>
      </c>
      <c r="AE3200" t="s">
        <v>35948</v>
      </c>
      <c r="AF3200" t="s">
        <v>46835</v>
      </c>
    </row>
    <row r="3201" spans="1:33" x14ac:dyDescent="0.2">
      <c r="A3201">
        <v>3196</v>
      </c>
      <c r="B3201" t="s">
        <v>35949</v>
      </c>
      <c r="C3201" t="s">
        <v>35950</v>
      </c>
      <c r="D3201" t="s">
        <v>35951</v>
      </c>
      <c r="E3201" t="s">
        <v>35952</v>
      </c>
      <c r="F3201" t="s">
        <v>35953</v>
      </c>
      <c r="G3201" t="s">
        <v>35954</v>
      </c>
      <c r="H3201" t="str">
        <f>"Mrps27"</f>
        <v>Mrps27</v>
      </c>
      <c r="I3201" t="s">
        <v>32</v>
      </c>
      <c r="J3201" t="s">
        <v>37</v>
      </c>
      <c r="K3201">
        <v>10090</v>
      </c>
      <c r="L3201" s="3" t="str">
        <f>HYPERLINK("http://www.uniprot.org/uniprot/Q8BK72", "Q8BK72")</f>
        <v>Q8BK72</v>
      </c>
      <c r="M3201" t="s">
        <v>35955</v>
      </c>
      <c r="N3201" t="str">
        <f>"Mrps27"</f>
        <v>Mrps27</v>
      </c>
      <c r="O3201" s="3" t="str">
        <f>HYPERLINK("http://www.informatics.jax.org/marker/MGI:1919064", "MGI:1919064")</f>
        <v>MGI:1919064</v>
      </c>
      <c r="P3201" t="s">
        <v>35956</v>
      </c>
      <c r="Q3201" t="s">
        <v>1680</v>
      </c>
      <c r="R3201" t="s">
        <v>1842</v>
      </c>
      <c r="S3201" t="s">
        <v>32</v>
      </c>
      <c r="T3201" t="s">
        <v>32</v>
      </c>
      <c r="U3201" t="s">
        <v>32</v>
      </c>
      <c r="V3201" t="s">
        <v>35957</v>
      </c>
      <c r="W3201" t="s">
        <v>32</v>
      </c>
      <c r="X3201" t="s">
        <v>35958</v>
      </c>
      <c r="Y3201" t="s">
        <v>32</v>
      </c>
      <c r="Z3201" t="s">
        <v>32</v>
      </c>
      <c r="AA3201" t="s">
        <v>35959</v>
      </c>
      <c r="AB3201" t="s">
        <v>35960</v>
      </c>
      <c r="AC3201" t="s">
        <v>35961</v>
      </c>
      <c r="AD3201" t="s">
        <v>32</v>
      </c>
      <c r="AE3201" t="s">
        <v>17271</v>
      </c>
      <c r="AF3201" t="s">
        <v>46835</v>
      </c>
    </row>
    <row r="3202" spans="1:33" x14ac:dyDescent="0.2">
      <c r="A3202">
        <v>3197</v>
      </c>
      <c r="B3202" t="s">
        <v>35962</v>
      </c>
      <c r="C3202" t="s">
        <v>35963</v>
      </c>
      <c r="D3202" t="s">
        <v>32</v>
      </c>
      <c r="E3202" t="s">
        <v>35964</v>
      </c>
      <c r="F3202" t="s">
        <v>35965</v>
      </c>
      <c r="G3202" t="s">
        <v>35966</v>
      </c>
      <c r="H3202" t="str">
        <f>"Arl1"</f>
        <v>Arl1</v>
      </c>
      <c r="I3202" t="s">
        <v>32</v>
      </c>
      <c r="J3202" t="s">
        <v>37</v>
      </c>
      <c r="K3202">
        <v>10090</v>
      </c>
      <c r="L3202" s="3" t="str">
        <f>HYPERLINK("http://www.uniprot.org/uniprot/P61211", "P61211")</f>
        <v>P61211</v>
      </c>
      <c r="M3202" t="s">
        <v>35967</v>
      </c>
      <c r="N3202" t="str">
        <f>"Arl1"</f>
        <v>Arl1</v>
      </c>
      <c r="O3202" s="3" t="str">
        <f>HYPERLINK("http://www.informatics.jax.org/marker/MGI:99436", "MGI:99436")</f>
        <v>MGI:99436</v>
      </c>
      <c r="P3202" t="s">
        <v>35968</v>
      </c>
      <c r="Q3202" t="s">
        <v>32</v>
      </c>
      <c r="R3202" t="s">
        <v>13904</v>
      </c>
      <c r="S3202" t="s">
        <v>32</v>
      </c>
      <c r="T3202" t="s">
        <v>32</v>
      </c>
      <c r="U3202" t="s">
        <v>32</v>
      </c>
      <c r="V3202" t="s">
        <v>32</v>
      </c>
      <c r="W3202" t="s">
        <v>342</v>
      </c>
      <c r="X3202" t="s">
        <v>32</v>
      </c>
      <c r="Y3202" t="s">
        <v>15432</v>
      </c>
      <c r="Z3202" t="s">
        <v>32</v>
      </c>
      <c r="AA3202" t="s">
        <v>35969</v>
      </c>
      <c r="AB3202" t="s">
        <v>35970</v>
      </c>
      <c r="AC3202" t="s">
        <v>35971</v>
      </c>
      <c r="AD3202" t="s">
        <v>32</v>
      </c>
      <c r="AE3202" t="s">
        <v>10808</v>
      </c>
      <c r="AF3202" t="s">
        <v>46835</v>
      </c>
    </row>
    <row r="3203" spans="1:33" x14ac:dyDescent="0.2">
      <c r="A3203">
        <v>3198</v>
      </c>
      <c r="B3203" t="s">
        <v>35972</v>
      </c>
      <c r="C3203" t="s">
        <v>35973</v>
      </c>
      <c r="D3203" t="s">
        <v>32</v>
      </c>
      <c r="E3203" t="s">
        <v>35974</v>
      </c>
      <c r="F3203" t="s">
        <v>35975</v>
      </c>
      <c r="G3203" t="s">
        <v>35976</v>
      </c>
      <c r="H3203" t="str">
        <f>"Dbr1"</f>
        <v>Dbr1</v>
      </c>
      <c r="I3203" t="s">
        <v>32</v>
      </c>
      <c r="J3203" t="s">
        <v>37</v>
      </c>
      <c r="K3203">
        <v>10090</v>
      </c>
      <c r="L3203" s="3" t="str">
        <f>HYPERLINK("http://www.uniprot.org/uniprot/Q923B1", "Q923B1")</f>
        <v>Q923B1</v>
      </c>
      <c r="M3203" t="s">
        <v>35977</v>
      </c>
      <c r="N3203" t="str">
        <f>"Dbr1"</f>
        <v>Dbr1</v>
      </c>
      <c r="O3203" s="3" t="str">
        <f>HYPERLINK("http://www.informatics.jax.org/marker/MGI:1931520", "MGI:1931520")</f>
        <v>MGI:1931520</v>
      </c>
      <c r="P3203" t="s">
        <v>35978</v>
      </c>
      <c r="Q3203" t="s">
        <v>16601</v>
      </c>
      <c r="R3203" t="s">
        <v>2279</v>
      </c>
      <c r="S3203" t="s">
        <v>32</v>
      </c>
      <c r="T3203" t="s">
        <v>32</v>
      </c>
      <c r="U3203" t="s">
        <v>32</v>
      </c>
      <c r="V3203" t="s">
        <v>32</v>
      </c>
      <c r="W3203" t="s">
        <v>8683</v>
      </c>
      <c r="X3203" t="s">
        <v>343</v>
      </c>
      <c r="Y3203" t="s">
        <v>157</v>
      </c>
      <c r="Z3203" t="s">
        <v>32</v>
      </c>
      <c r="AA3203" t="s">
        <v>35979</v>
      </c>
      <c r="AB3203" t="s">
        <v>7318</v>
      </c>
      <c r="AC3203" t="s">
        <v>35980</v>
      </c>
      <c r="AD3203" t="s">
        <v>32</v>
      </c>
      <c r="AE3203" t="s">
        <v>32</v>
      </c>
      <c r="AF3203" t="s">
        <v>46835</v>
      </c>
    </row>
    <row r="3204" spans="1:33" x14ac:dyDescent="0.2">
      <c r="A3204">
        <v>3199</v>
      </c>
      <c r="B3204" t="s">
        <v>35981</v>
      </c>
      <c r="C3204" t="s">
        <v>35982</v>
      </c>
      <c r="D3204" t="s">
        <v>35983</v>
      </c>
      <c r="E3204" t="s">
        <v>35984</v>
      </c>
      <c r="F3204" t="s">
        <v>35985</v>
      </c>
      <c r="G3204" t="s">
        <v>32</v>
      </c>
      <c r="H3204" t="str">
        <f>"Isca2"</f>
        <v>Isca2</v>
      </c>
      <c r="I3204" t="s">
        <v>35986</v>
      </c>
      <c r="J3204" t="s">
        <v>37</v>
      </c>
      <c r="K3204">
        <v>10090</v>
      </c>
      <c r="L3204" s="3" t="str">
        <f>HYPERLINK("http://www.uniprot.org/uniprot/Q9DCB8", "Q9DCB8")</f>
        <v>Q9DCB8</v>
      </c>
      <c r="M3204" t="s">
        <v>35987</v>
      </c>
      <c r="N3204" t="str">
        <f>"Isca2"</f>
        <v>Isca2</v>
      </c>
      <c r="O3204" s="3" t="str">
        <f>HYPERLINK("http://www.informatics.jax.org/marker/MGI:1921566", "MGI:1921566")</f>
        <v>MGI:1921566</v>
      </c>
      <c r="P3204" t="s">
        <v>35988</v>
      </c>
      <c r="Q3204" t="s">
        <v>32</v>
      </c>
      <c r="R3204" t="s">
        <v>1038</v>
      </c>
      <c r="S3204" t="s">
        <v>32</v>
      </c>
      <c r="T3204" t="s">
        <v>32</v>
      </c>
      <c r="U3204" t="s">
        <v>32</v>
      </c>
      <c r="V3204" t="s">
        <v>1039</v>
      </c>
      <c r="W3204" t="s">
        <v>4414</v>
      </c>
      <c r="X3204" t="s">
        <v>32</v>
      </c>
      <c r="Y3204" t="s">
        <v>32</v>
      </c>
      <c r="Z3204" t="s">
        <v>32</v>
      </c>
      <c r="AA3204" t="s">
        <v>35989</v>
      </c>
      <c r="AB3204" t="s">
        <v>3721</v>
      </c>
      <c r="AC3204" t="s">
        <v>35990</v>
      </c>
      <c r="AD3204" t="s">
        <v>32</v>
      </c>
      <c r="AE3204" t="s">
        <v>19190</v>
      </c>
      <c r="AF3204" t="s">
        <v>46835</v>
      </c>
    </row>
    <row r="3205" spans="1:33" x14ac:dyDescent="0.2">
      <c r="A3205">
        <v>3200</v>
      </c>
      <c r="B3205" t="s">
        <v>35991</v>
      </c>
      <c r="C3205" t="s">
        <v>35992</v>
      </c>
      <c r="D3205" t="s">
        <v>35993</v>
      </c>
      <c r="E3205" t="s">
        <v>35994</v>
      </c>
      <c r="F3205" t="s">
        <v>35995</v>
      </c>
      <c r="G3205" t="s">
        <v>35996</v>
      </c>
      <c r="H3205" t="str">
        <f>"Erlin1"</f>
        <v>Erlin1</v>
      </c>
      <c r="I3205" t="s">
        <v>32</v>
      </c>
      <c r="J3205" t="s">
        <v>37</v>
      </c>
      <c r="K3205">
        <v>10090</v>
      </c>
      <c r="L3205" s="3" t="str">
        <f>HYPERLINK("http://www.uniprot.org/uniprot/Q91X78", "Q91X78")</f>
        <v>Q91X78</v>
      </c>
      <c r="M3205" t="s">
        <v>35997</v>
      </c>
      <c r="N3205" t="str">
        <f>"Erlin1"</f>
        <v>Erlin1</v>
      </c>
      <c r="O3205" s="3" t="str">
        <f>HYPERLINK("http://www.informatics.jax.org/marker/MGI:2387613", "MGI:2387613")</f>
        <v>MGI:2387613</v>
      </c>
      <c r="P3205" t="s">
        <v>35998</v>
      </c>
      <c r="Q3205" t="s">
        <v>10505</v>
      </c>
      <c r="R3205" t="s">
        <v>1664</v>
      </c>
      <c r="S3205" t="s">
        <v>32</v>
      </c>
      <c r="T3205" t="s">
        <v>32</v>
      </c>
      <c r="U3205" t="s">
        <v>32</v>
      </c>
      <c r="V3205" t="s">
        <v>1550</v>
      </c>
      <c r="W3205" t="s">
        <v>584</v>
      </c>
      <c r="X3205" t="s">
        <v>32</v>
      </c>
      <c r="Y3205" t="s">
        <v>10506</v>
      </c>
      <c r="Z3205" t="s">
        <v>32</v>
      </c>
      <c r="AA3205" t="s">
        <v>10507</v>
      </c>
      <c r="AB3205" t="s">
        <v>35999</v>
      </c>
      <c r="AC3205" t="s">
        <v>10509</v>
      </c>
      <c r="AD3205" t="s">
        <v>32</v>
      </c>
      <c r="AE3205" t="s">
        <v>9063</v>
      </c>
      <c r="AF3205" t="s">
        <v>46835</v>
      </c>
    </row>
    <row r="3206" spans="1:33" x14ac:dyDescent="0.2">
      <c r="A3206">
        <v>3201</v>
      </c>
      <c r="B3206" t="s">
        <v>36000</v>
      </c>
      <c r="C3206" t="s">
        <v>36001</v>
      </c>
      <c r="D3206" t="s">
        <v>32</v>
      </c>
      <c r="E3206" t="s">
        <v>36002</v>
      </c>
      <c r="F3206" t="s">
        <v>36003</v>
      </c>
      <c r="G3206" t="s">
        <v>32</v>
      </c>
      <c r="H3206" t="str">
        <f>"Pde6d"</f>
        <v>Pde6d</v>
      </c>
      <c r="I3206" t="s">
        <v>32</v>
      </c>
      <c r="J3206" t="s">
        <v>37</v>
      </c>
      <c r="K3206">
        <v>10090</v>
      </c>
      <c r="L3206" s="3" t="str">
        <f>HYPERLINK("http://www.uniprot.org/uniprot/O55057", "O55057")</f>
        <v>O55057</v>
      </c>
      <c r="M3206" t="s">
        <v>36004</v>
      </c>
      <c r="N3206" t="str">
        <f>"Pde6d"</f>
        <v>Pde6d</v>
      </c>
      <c r="O3206" s="3" t="str">
        <f>HYPERLINK("http://www.informatics.jax.org/marker/MGI:1270843", "MGI:1270843")</f>
        <v>MGI:1270843</v>
      </c>
      <c r="P3206" t="s">
        <v>36005</v>
      </c>
      <c r="Q3206" t="s">
        <v>156</v>
      </c>
      <c r="R3206" t="s">
        <v>36006</v>
      </c>
      <c r="S3206" t="s">
        <v>32</v>
      </c>
      <c r="T3206" t="s">
        <v>32</v>
      </c>
      <c r="U3206" t="s">
        <v>32</v>
      </c>
      <c r="V3206" t="s">
        <v>32</v>
      </c>
      <c r="W3206" t="s">
        <v>36007</v>
      </c>
      <c r="X3206" t="s">
        <v>32</v>
      </c>
      <c r="Y3206" t="s">
        <v>32</v>
      </c>
      <c r="Z3206" t="s">
        <v>126</v>
      </c>
      <c r="AA3206" t="s">
        <v>36008</v>
      </c>
      <c r="AB3206" t="s">
        <v>36009</v>
      </c>
      <c r="AC3206" t="s">
        <v>36010</v>
      </c>
      <c r="AD3206" t="s">
        <v>32</v>
      </c>
      <c r="AE3206" t="s">
        <v>36011</v>
      </c>
      <c r="AF3206" t="s">
        <v>46835</v>
      </c>
    </row>
    <row r="3207" spans="1:33" x14ac:dyDescent="0.2">
      <c r="A3207">
        <v>3202</v>
      </c>
      <c r="B3207" t="s">
        <v>36012</v>
      </c>
      <c r="C3207" t="s">
        <v>36013</v>
      </c>
      <c r="D3207" t="s">
        <v>36014</v>
      </c>
      <c r="E3207" t="s">
        <v>36015</v>
      </c>
      <c r="F3207" t="s">
        <v>36016</v>
      </c>
      <c r="G3207" t="s">
        <v>36017</v>
      </c>
      <c r="H3207" t="str">
        <f>"Hmg20a"</f>
        <v>Hmg20a</v>
      </c>
      <c r="I3207" t="s">
        <v>36018</v>
      </c>
      <c r="J3207" t="s">
        <v>37</v>
      </c>
      <c r="K3207">
        <v>10090</v>
      </c>
      <c r="L3207" s="3" t="str">
        <f>HYPERLINK("http://www.uniprot.org/uniprot/Q9DC33", "Q9DC33")</f>
        <v>Q9DC33</v>
      </c>
      <c r="M3207" t="s">
        <v>36019</v>
      </c>
      <c r="N3207" t="str">
        <f>"Hmg20a"</f>
        <v>Hmg20a</v>
      </c>
      <c r="O3207" s="3" t="str">
        <f>HYPERLINK("http://www.informatics.jax.org/marker/MGI:1914117", "MGI:1914117")</f>
        <v>MGI:1914117</v>
      </c>
      <c r="P3207" t="s">
        <v>36020</v>
      </c>
      <c r="Q3207" t="s">
        <v>4152</v>
      </c>
      <c r="R3207" t="s">
        <v>2279</v>
      </c>
      <c r="S3207" t="s">
        <v>41</v>
      </c>
      <c r="T3207" t="s">
        <v>32</v>
      </c>
      <c r="U3207" t="s">
        <v>32</v>
      </c>
      <c r="V3207" t="s">
        <v>290</v>
      </c>
      <c r="W3207" t="s">
        <v>32</v>
      </c>
      <c r="X3207" t="s">
        <v>5712</v>
      </c>
      <c r="Y3207" t="s">
        <v>618</v>
      </c>
      <c r="Z3207" t="s">
        <v>32</v>
      </c>
      <c r="AA3207" t="s">
        <v>36021</v>
      </c>
      <c r="AB3207" t="s">
        <v>3606</v>
      </c>
      <c r="AC3207" t="s">
        <v>16904</v>
      </c>
      <c r="AD3207" t="s">
        <v>32</v>
      </c>
      <c r="AE3207" t="s">
        <v>32</v>
      </c>
      <c r="AF3207" t="s">
        <v>46835</v>
      </c>
    </row>
    <row r="3208" spans="1:33" x14ac:dyDescent="0.2">
      <c r="A3208">
        <v>3203</v>
      </c>
      <c r="B3208" t="s">
        <v>36022</v>
      </c>
      <c r="C3208" t="s">
        <v>36023</v>
      </c>
      <c r="D3208" t="s">
        <v>36024</v>
      </c>
      <c r="E3208" t="s">
        <v>36025</v>
      </c>
      <c r="F3208" t="s">
        <v>36026</v>
      </c>
      <c r="G3208" t="s">
        <v>36027</v>
      </c>
      <c r="H3208" t="str">
        <f>"Dipk2a"</f>
        <v>Dipk2a</v>
      </c>
      <c r="I3208" t="s">
        <v>32</v>
      </c>
      <c r="J3208" t="s">
        <v>37</v>
      </c>
      <c r="K3208">
        <v>10090</v>
      </c>
      <c r="L3208" s="3" t="str">
        <f>HYPERLINK("http://www.uniprot.org/uniprot/Q3USZ8", "Q3USZ8")</f>
        <v>Q3USZ8</v>
      </c>
      <c r="M3208" t="s">
        <v>36028</v>
      </c>
      <c r="N3208" t="str">
        <f>"Dipk2a"</f>
        <v>Dipk2a</v>
      </c>
      <c r="O3208" s="3" t="str">
        <f>HYPERLINK("http://www.informatics.jax.org/marker/MGI:1916111", "MGI:1916111")</f>
        <v>MGI:1916111</v>
      </c>
      <c r="P3208" t="s">
        <v>36029</v>
      </c>
      <c r="Q3208" t="s">
        <v>32</v>
      </c>
      <c r="R3208" t="s">
        <v>36030</v>
      </c>
      <c r="S3208" t="s">
        <v>32</v>
      </c>
      <c r="T3208" t="s">
        <v>32</v>
      </c>
      <c r="U3208" t="s">
        <v>32</v>
      </c>
      <c r="V3208" t="s">
        <v>811</v>
      </c>
      <c r="W3208" t="s">
        <v>32</v>
      </c>
      <c r="X3208" t="s">
        <v>32</v>
      </c>
      <c r="Y3208" t="s">
        <v>32</v>
      </c>
      <c r="Z3208" t="s">
        <v>32</v>
      </c>
      <c r="AA3208" t="s">
        <v>36031</v>
      </c>
      <c r="AB3208" t="s">
        <v>36032</v>
      </c>
      <c r="AC3208" t="s">
        <v>32</v>
      </c>
      <c r="AD3208" t="s">
        <v>32</v>
      </c>
      <c r="AE3208" t="s">
        <v>32</v>
      </c>
      <c r="AF3208" t="s">
        <v>46835</v>
      </c>
    </row>
    <row r="3209" spans="1:33" x14ac:dyDescent="0.2">
      <c r="A3209">
        <v>3204</v>
      </c>
      <c r="B3209" t="s">
        <v>36033</v>
      </c>
      <c r="C3209" t="s">
        <v>36034</v>
      </c>
      <c r="D3209" t="s">
        <v>36035</v>
      </c>
      <c r="E3209" t="s">
        <v>36036</v>
      </c>
      <c r="F3209" t="s">
        <v>36037</v>
      </c>
      <c r="G3209" t="s">
        <v>36038</v>
      </c>
      <c r="H3209" t="str">
        <f>"Cog2"</f>
        <v>Cog2</v>
      </c>
      <c r="I3209" t="s">
        <v>36039</v>
      </c>
      <c r="J3209" t="s">
        <v>37</v>
      </c>
      <c r="K3209">
        <v>10090</v>
      </c>
      <c r="L3209" s="3" t="str">
        <f>HYPERLINK("http://www.uniprot.org/uniprot/Q921L5", "Q921L5")</f>
        <v>Q921L5</v>
      </c>
      <c r="M3209" t="s">
        <v>36040</v>
      </c>
      <c r="N3209" t="str">
        <f>"Cog2"</f>
        <v>Cog2</v>
      </c>
      <c r="O3209" s="3" t="str">
        <f>HYPERLINK("http://www.informatics.jax.org/marker/MGI:1923582", "MGI:1923582")</f>
        <v>MGI:1923582</v>
      </c>
      <c r="P3209" t="s">
        <v>24937</v>
      </c>
      <c r="Q3209" t="s">
        <v>434</v>
      </c>
      <c r="R3209" t="s">
        <v>13904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32</v>
      </c>
      <c r="Y3209" t="s">
        <v>32</v>
      </c>
      <c r="Z3209" t="s">
        <v>32</v>
      </c>
      <c r="AA3209" t="s">
        <v>24938</v>
      </c>
      <c r="AB3209" t="s">
        <v>36041</v>
      </c>
      <c r="AC3209" t="s">
        <v>9779</v>
      </c>
      <c r="AD3209" t="s">
        <v>32</v>
      </c>
      <c r="AE3209" t="s">
        <v>24940</v>
      </c>
      <c r="AF3209" t="s">
        <v>46835</v>
      </c>
    </row>
    <row r="3210" spans="1:33" x14ac:dyDescent="0.2">
      <c r="A3210">
        <v>3205</v>
      </c>
      <c r="B3210" t="s">
        <v>36042</v>
      </c>
      <c r="C3210" t="s">
        <v>36043</v>
      </c>
      <c r="D3210" t="s">
        <v>36044</v>
      </c>
      <c r="E3210" t="s">
        <v>36045</v>
      </c>
      <c r="F3210" t="s">
        <v>36046</v>
      </c>
      <c r="G3210" t="s">
        <v>32</v>
      </c>
      <c r="H3210" t="str">
        <f>"Ankrd28"</f>
        <v>Ankrd28</v>
      </c>
      <c r="I3210" t="s">
        <v>32</v>
      </c>
      <c r="J3210" t="s">
        <v>37</v>
      </c>
      <c r="K3210">
        <v>10090</v>
      </c>
      <c r="L3210" s="3" t="str">
        <f>HYPERLINK("http://www.uniprot.org/uniprot/Q505D1", "Q505D1")</f>
        <v>Q505D1</v>
      </c>
      <c r="M3210" t="s">
        <v>36047</v>
      </c>
      <c r="N3210" t="str">
        <f>"Ankrd28"</f>
        <v>Ankrd28</v>
      </c>
      <c r="O3210" s="3" t="str">
        <f>HYPERLINK("http://www.informatics.jax.org/marker/MGI:2145661", "MGI:2145661")</f>
        <v>MGI:2145661</v>
      </c>
      <c r="P3210" t="s">
        <v>36048</v>
      </c>
      <c r="Q3210" t="s">
        <v>32</v>
      </c>
      <c r="R3210" t="s">
        <v>2279</v>
      </c>
      <c r="S3210" t="s">
        <v>32</v>
      </c>
      <c r="T3210" t="s">
        <v>32</v>
      </c>
      <c r="U3210" t="s">
        <v>32</v>
      </c>
      <c r="V3210" t="s">
        <v>912</v>
      </c>
      <c r="W3210" t="s">
        <v>32</v>
      </c>
      <c r="X3210" t="s">
        <v>32</v>
      </c>
      <c r="Y3210" t="s">
        <v>618</v>
      </c>
      <c r="Z3210" t="s">
        <v>32</v>
      </c>
      <c r="AA3210" t="s">
        <v>32</v>
      </c>
      <c r="AB3210" t="s">
        <v>17865</v>
      </c>
      <c r="AC3210" t="s">
        <v>32</v>
      </c>
      <c r="AD3210" t="s">
        <v>32</v>
      </c>
      <c r="AE3210" t="s">
        <v>12581</v>
      </c>
      <c r="AF3210" t="s">
        <v>46835</v>
      </c>
    </row>
    <row r="3211" spans="1:33" x14ac:dyDescent="0.2">
      <c r="A3211">
        <v>3206</v>
      </c>
      <c r="B3211" t="s">
        <v>36049</v>
      </c>
      <c r="C3211" t="s">
        <v>36050</v>
      </c>
      <c r="D3211" t="s">
        <v>36051</v>
      </c>
      <c r="E3211" t="s">
        <v>36052</v>
      </c>
      <c r="F3211" t="s">
        <v>36053</v>
      </c>
      <c r="G3211" t="s">
        <v>36054</v>
      </c>
      <c r="H3211" t="str">
        <f>"Rbsn"</f>
        <v>Rbsn</v>
      </c>
      <c r="I3211" t="s">
        <v>32</v>
      </c>
      <c r="J3211" t="s">
        <v>37</v>
      </c>
      <c r="K3211">
        <v>10090</v>
      </c>
      <c r="L3211" s="3" t="str">
        <f>HYPERLINK("http://www.uniprot.org/uniprot/Q80Y56", "Q80Y56")</f>
        <v>Q80Y56</v>
      </c>
      <c r="M3211" t="s">
        <v>36055</v>
      </c>
      <c r="N3211" t="str">
        <f>"Rbsn"</f>
        <v>Rbsn</v>
      </c>
      <c r="O3211" s="3" t="str">
        <f>HYPERLINK("http://www.informatics.jax.org/marker/MGI:1925537", "MGI:1925537")</f>
        <v>MGI:1925537</v>
      </c>
      <c r="P3211" t="s">
        <v>36056</v>
      </c>
      <c r="Q3211" t="s">
        <v>434</v>
      </c>
      <c r="R3211" t="s">
        <v>11564</v>
      </c>
      <c r="S3211" t="s">
        <v>32</v>
      </c>
      <c r="T3211" t="s">
        <v>32</v>
      </c>
      <c r="U3211" t="s">
        <v>32</v>
      </c>
      <c r="V3211" t="s">
        <v>11171</v>
      </c>
      <c r="W3211" t="s">
        <v>42</v>
      </c>
      <c r="X3211" t="s">
        <v>32</v>
      </c>
      <c r="Y3211" t="s">
        <v>14296</v>
      </c>
      <c r="Z3211" t="s">
        <v>32</v>
      </c>
      <c r="AA3211" t="s">
        <v>36057</v>
      </c>
      <c r="AB3211" t="s">
        <v>36058</v>
      </c>
      <c r="AC3211" t="s">
        <v>36059</v>
      </c>
      <c r="AD3211" t="s">
        <v>32</v>
      </c>
      <c r="AE3211" t="s">
        <v>36060</v>
      </c>
      <c r="AF3211" t="s">
        <v>46835</v>
      </c>
    </row>
    <row r="3212" spans="1:33" x14ac:dyDescent="0.2">
      <c r="A3212">
        <v>3207</v>
      </c>
      <c r="B3212" t="s">
        <v>36061</v>
      </c>
      <c r="C3212" t="s">
        <v>36062</v>
      </c>
      <c r="D3212" t="s">
        <v>36063</v>
      </c>
      <c r="E3212" t="s">
        <v>36064</v>
      </c>
      <c r="F3212" t="s">
        <v>36065</v>
      </c>
      <c r="G3212" t="s">
        <v>36066</v>
      </c>
      <c r="H3212" t="str">
        <f>"Arhgap18"</f>
        <v>Arhgap18</v>
      </c>
      <c r="I3212" t="s">
        <v>32</v>
      </c>
      <c r="J3212" t="s">
        <v>37</v>
      </c>
      <c r="K3212">
        <v>10090</v>
      </c>
      <c r="L3212" s="3" t="str">
        <f>HYPERLINK("http://www.uniprot.org/uniprot/Q8K0Q5", "Q8K0Q5")</f>
        <v>Q8K0Q5</v>
      </c>
      <c r="M3212" t="s">
        <v>36067</v>
      </c>
      <c r="N3212" t="str">
        <f>"Arhgap18"</f>
        <v>Arhgap18</v>
      </c>
      <c r="O3212" s="3" t="str">
        <f>HYPERLINK("http://www.informatics.jax.org/marker/MGI:1921160", "MGI:1921160")</f>
        <v>MGI:1921160</v>
      </c>
      <c r="P3212" t="s">
        <v>27739</v>
      </c>
      <c r="Q3212" t="s">
        <v>32</v>
      </c>
      <c r="R3212" t="s">
        <v>418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715</v>
      </c>
      <c r="Y3212" t="s">
        <v>618</v>
      </c>
      <c r="Z3212" t="s">
        <v>32</v>
      </c>
      <c r="AA3212" t="s">
        <v>36068</v>
      </c>
      <c r="AB3212" t="s">
        <v>36069</v>
      </c>
      <c r="AC3212" t="s">
        <v>14857</v>
      </c>
      <c r="AD3212" t="s">
        <v>32</v>
      </c>
      <c r="AE3212" t="s">
        <v>36070</v>
      </c>
      <c r="AF3212" t="s">
        <v>46835</v>
      </c>
    </row>
    <row r="3213" spans="1:33" x14ac:dyDescent="0.2">
      <c r="A3213">
        <v>3208</v>
      </c>
      <c r="B3213" t="s">
        <v>36071</v>
      </c>
      <c r="C3213" t="s">
        <v>47201</v>
      </c>
      <c r="D3213" t="s">
        <v>32</v>
      </c>
      <c r="E3213" t="s">
        <v>47016</v>
      </c>
      <c r="F3213" t="s">
        <v>47015</v>
      </c>
      <c r="G3213" t="s">
        <v>32</v>
      </c>
      <c r="H3213" t="s">
        <v>47332</v>
      </c>
      <c r="I3213" t="s">
        <v>32</v>
      </c>
      <c r="J3213" t="s">
        <v>37</v>
      </c>
      <c r="K3213">
        <v>10090</v>
      </c>
      <c r="L3213" s="3" t="str">
        <f>HYPERLINK(CONCATENATE("https://www.uniprot.org/uniprotkb/", AG3213, "/entry"), AG3213)</f>
        <v>E9PX68</v>
      </c>
      <c r="M3213" t="s">
        <v>32</v>
      </c>
      <c r="N3213" t="s">
        <v>32</v>
      </c>
      <c r="O3213" s="3" t="s">
        <v>32</v>
      </c>
      <c r="P3213" t="s">
        <v>32</v>
      </c>
      <c r="Q3213" t="s">
        <v>32</v>
      </c>
      <c r="R3213" t="s">
        <v>32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32</v>
      </c>
      <c r="Y3213" t="s">
        <v>32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  <c r="AE3213" t="s">
        <v>32</v>
      </c>
      <c r="AF3213" t="s">
        <v>46835</v>
      </c>
      <c r="AG3213" t="s">
        <v>47015</v>
      </c>
    </row>
    <row r="3214" spans="1:33" x14ac:dyDescent="0.2">
      <c r="A3214">
        <v>3209</v>
      </c>
      <c r="B3214" t="s">
        <v>36072</v>
      </c>
      <c r="C3214" t="s">
        <v>36073</v>
      </c>
      <c r="D3214" t="s">
        <v>32</v>
      </c>
      <c r="E3214" t="s">
        <v>36074</v>
      </c>
      <c r="F3214" t="s">
        <v>36075</v>
      </c>
      <c r="G3214" t="s">
        <v>32</v>
      </c>
      <c r="H3214" t="str">
        <f>"Hdhd3"</f>
        <v>Hdhd3</v>
      </c>
      <c r="I3214" t="s">
        <v>32</v>
      </c>
      <c r="J3214" t="s">
        <v>37</v>
      </c>
      <c r="K3214">
        <v>10090</v>
      </c>
      <c r="L3214" s="3" t="str">
        <f>HYPERLINK("http://www.uniprot.org/uniprot/Q9CYW4", "Q9CYW4")</f>
        <v>Q9CYW4</v>
      </c>
      <c r="M3214" t="s">
        <v>36076</v>
      </c>
      <c r="N3214" t="str">
        <f>"Hdhd3"</f>
        <v>Hdhd3</v>
      </c>
      <c r="O3214" s="3" t="str">
        <f>HYPERLINK("http://www.informatics.jax.org/marker/MGI:1919998", "MGI:1919998")</f>
        <v>MGI:1919998</v>
      </c>
      <c r="P3214" t="s">
        <v>78</v>
      </c>
      <c r="Q3214" t="s">
        <v>32</v>
      </c>
      <c r="R3214" t="s">
        <v>32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32</v>
      </c>
      <c r="Y3214" t="s">
        <v>78</v>
      </c>
      <c r="Z3214" t="s">
        <v>32</v>
      </c>
      <c r="AA3214" t="s">
        <v>32</v>
      </c>
      <c r="AB3214" t="s">
        <v>36077</v>
      </c>
      <c r="AC3214" t="s">
        <v>32</v>
      </c>
      <c r="AD3214" t="s">
        <v>32</v>
      </c>
      <c r="AE3214" t="s">
        <v>32</v>
      </c>
      <c r="AF3214" t="s">
        <v>46835</v>
      </c>
    </row>
    <row r="3215" spans="1:33" x14ac:dyDescent="0.2">
      <c r="A3215">
        <v>3210</v>
      </c>
      <c r="B3215" t="s">
        <v>36078</v>
      </c>
      <c r="C3215" t="s">
        <v>36079</v>
      </c>
      <c r="D3215" t="s">
        <v>32</v>
      </c>
      <c r="E3215" t="s">
        <v>36080</v>
      </c>
      <c r="F3215" t="s">
        <v>36081</v>
      </c>
      <c r="G3215" t="s">
        <v>36082</v>
      </c>
      <c r="H3215" t="str">
        <f>"Cdc37l1"</f>
        <v>Cdc37l1</v>
      </c>
      <c r="I3215" t="s">
        <v>32</v>
      </c>
      <c r="J3215" t="s">
        <v>37</v>
      </c>
      <c r="K3215">
        <v>10090</v>
      </c>
      <c r="L3215" s="3" t="str">
        <f>HYPERLINK("http://www.uniprot.org/uniprot/Q9CZP7", "Q9CZP7")</f>
        <v>Q9CZP7</v>
      </c>
      <c r="M3215" t="s">
        <v>36083</v>
      </c>
      <c r="N3215" t="str">
        <f>"Cdc37l1"</f>
        <v>Cdc37l1</v>
      </c>
      <c r="O3215" s="3" t="str">
        <f>HYPERLINK("http://www.informatics.jax.org/marker/MGI:1914322", "MGI:1914322")</f>
        <v>MGI:1914322</v>
      </c>
      <c r="P3215" t="s">
        <v>36084</v>
      </c>
      <c r="Q3215" t="s">
        <v>32</v>
      </c>
      <c r="R3215" t="s">
        <v>418</v>
      </c>
      <c r="S3215" t="s">
        <v>41</v>
      </c>
      <c r="T3215" t="s">
        <v>32</v>
      </c>
      <c r="U3215" t="s">
        <v>32</v>
      </c>
      <c r="V3215" t="s">
        <v>290</v>
      </c>
      <c r="W3215" t="s">
        <v>32</v>
      </c>
      <c r="X3215" t="s">
        <v>388</v>
      </c>
      <c r="Y3215" t="s">
        <v>618</v>
      </c>
      <c r="Z3215" t="s">
        <v>32</v>
      </c>
      <c r="AA3215" t="s">
        <v>36085</v>
      </c>
      <c r="AB3215" t="s">
        <v>2206</v>
      </c>
      <c r="AC3215" t="s">
        <v>36086</v>
      </c>
      <c r="AD3215" t="s">
        <v>32</v>
      </c>
      <c r="AE3215" t="s">
        <v>2235</v>
      </c>
      <c r="AF3215" t="s">
        <v>46835</v>
      </c>
    </row>
    <row r="3216" spans="1:33" x14ac:dyDescent="0.2">
      <c r="A3216">
        <v>3211</v>
      </c>
      <c r="B3216" t="s">
        <v>36087</v>
      </c>
      <c r="C3216" t="s">
        <v>36088</v>
      </c>
      <c r="D3216" t="s">
        <v>36089</v>
      </c>
      <c r="E3216" t="s">
        <v>36090</v>
      </c>
      <c r="F3216" t="s">
        <v>36091</v>
      </c>
      <c r="G3216" t="s">
        <v>32</v>
      </c>
      <c r="H3216" t="str">
        <f>"Stk4"</f>
        <v>Stk4</v>
      </c>
      <c r="I3216" t="s">
        <v>36092</v>
      </c>
      <c r="J3216" t="s">
        <v>37</v>
      </c>
      <c r="K3216">
        <v>10090</v>
      </c>
      <c r="L3216" s="3" t="str">
        <f>HYPERLINK("http://www.uniprot.org/uniprot/Q9JI11", "Q9JI11")</f>
        <v>Q9JI11</v>
      </c>
      <c r="M3216" t="s">
        <v>36093</v>
      </c>
      <c r="N3216" t="str">
        <f>"Stk4"</f>
        <v>Stk4</v>
      </c>
      <c r="O3216" s="3" t="str">
        <f>HYPERLINK("http://www.informatics.jax.org/marker/MGI:1929004", "MGI:1929004")</f>
        <v>MGI:1929004</v>
      </c>
      <c r="P3216" t="s">
        <v>36094</v>
      </c>
      <c r="Q3216" t="s">
        <v>541</v>
      </c>
      <c r="R3216" t="s">
        <v>40</v>
      </c>
      <c r="S3216" t="s">
        <v>32</v>
      </c>
      <c r="T3216" t="s">
        <v>32</v>
      </c>
      <c r="U3216" t="s">
        <v>32</v>
      </c>
      <c r="V3216" t="s">
        <v>290</v>
      </c>
      <c r="W3216" t="s">
        <v>1266</v>
      </c>
      <c r="X3216" t="s">
        <v>5419</v>
      </c>
      <c r="Y3216" t="s">
        <v>157</v>
      </c>
      <c r="Z3216" t="s">
        <v>32</v>
      </c>
      <c r="AA3216" t="s">
        <v>36095</v>
      </c>
      <c r="AB3216" t="s">
        <v>36096</v>
      </c>
      <c r="AC3216" t="s">
        <v>36097</v>
      </c>
      <c r="AD3216" t="s">
        <v>32</v>
      </c>
      <c r="AE3216" t="s">
        <v>20263</v>
      </c>
      <c r="AF3216" t="s">
        <v>46835</v>
      </c>
    </row>
    <row r="3217" spans="1:33" x14ac:dyDescent="0.2">
      <c r="A3217">
        <v>3212</v>
      </c>
      <c r="B3217" t="s">
        <v>36098</v>
      </c>
      <c r="C3217" t="s">
        <v>36099</v>
      </c>
      <c r="D3217" t="s">
        <v>32</v>
      </c>
      <c r="E3217" t="s">
        <v>36100</v>
      </c>
      <c r="F3217" t="s">
        <v>36101</v>
      </c>
      <c r="G3217" t="s">
        <v>36102</v>
      </c>
      <c r="H3217" t="str">
        <f>"Vps16"</f>
        <v>Vps16</v>
      </c>
      <c r="I3217" t="s">
        <v>32</v>
      </c>
      <c r="J3217" t="s">
        <v>37</v>
      </c>
      <c r="K3217">
        <v>10090</v>
      </c>
      <c r="L3217" s="3" t="str">
        <f>HYPERLINK("http://www.uniprot.org/uniprot/Q920Q4", "Q920Q4")</f>
        <v>Q920Q4</v>
      </c>
      <c r="M3217" t="s">
        <v>36103</v>
      </c>
      <c r="N3217" t="str">
        <f>"Vps16"</f>
        <v>Vps16</v>
      </c>
      <c r="O3217" s="3" t="str">
        <f>HYPERLINK("http://www.informatics.jax.org/marker/MGI:2136772", "MGI:2136772")</f>
        <v>MGI:2136772</v>
      </c>
      <c r="P3217" t="s">
        <v>36104</v>
      </c>
      <c r="Q3217" t="s">
        <v>23025</v>
      </c>
      <c r="R3217" t="s">
        <v>33305</v>
      </c>
      <c r="S3217" t="s">
        <v>41</v>
      </c>
      <c r="T3217" t="s">
        <v>32</v>
      </c>
      <c r="U3217" t="s">
        <v>32</v>
      </c>
      <c r="V3217" t="s">
        <v>32</v>
      </c>
      <c r="W3217" t="s">
        <v>32</v>
      </c>
      <c r="X3217" t="s">
        <v>32</v>
      </c>
      <c r="Y3217" t="s">
        <v>4216</v>
      </c>
      <c r="Z3217" t="s">
        <v>32</v>
      </c>
      <c r="AA3217" t="s">
        <v>36105</v>
      </c>
      <c r="AB3217" t="s">
        <v>36106</v>
      </c>
      <c r="AC3217" t="s">
        <v>2234</v>
      </c>
      <c r="AD3217" t="s">
        <v>32</v>
      </c>
      <c r="AE3217" t="s">
        <v>32</v>
      </c>
      <c r="AF3217" t="s">
        <v>46835</v>
      </c>
    </row>
    <row r="3218" spans="1:33" x14ac:dyDescent="0.2">
      <c r="A3218">
        <v>3213</v>
      </c>
      <c r="B3218" t="s">
        <v>36107</v>
      </c>
      <c r="C3218" t="s">
        <v>36108</v>
      </c>
      <c r="D3218" t="s">
        <v>36109</v>
      </c>
      <c r="E3218" t="s">
        <v>36110</v>
      </c>
      <c r="F3218" t="s">
        <v>36111</v>
      </c>
      <c r="G3218" t="s">
        <v>36112</v>
      </c>
      <c r="H3218" t="str">
        <f>"Nudt9"</f>
        <v>Nudt9</v>
      </c>
      <c r="I3218" t="s">
        <v>32</v>
      </c>
      <c r="J3218" t="s">
        <v>37</v>
      </c>
      <c r="K3218">
        <v>10090</v>
      </c>
      <c r="L3218" s="3" t="str">
        <f>HYPERLINK("http://www.uniprot.org/uniprot/Q8BVU5", "Q8BVU5")</f>
        <v>Q8BVU5</v>
      </c>
      <c r="M3218" t="s">
        <v>36113</v>
      </c>
      <c r="N3218" t="str">
        <f>"Nudt9"</f>
        <v>Nudt9</v>
      </c>
      <c r="O3218" s="3" t="str">
        <f>HYPERLINK("http://www.informatics.jax.org/marker/MGI:1921417", "MGI:1921417")</f>
        <v>MGI:1921417</v>
      </c>
      <c r="P3218" t="s">
        <v>36114</v>
      </c>
      <c r="Q3218" t="s">
        <v>32</v>
      </c>
      <c r="R3218" t="s">
        <v>1038</v>
      </c>
      <c r="S3218" t="s">
        <v>32</v>
      </c>
      <c r="T3218" t="s">
        <v>32</v>
      </c>
      <c r="U3218" t="s">
        <v>32</v>
      </c>
      <c r="V3218" t="s">
        <v>1039</v>
      </c>
      <c r="W3218" t="s">
        <v>36115</v>
      </c>
      <c r="X3218" t="s">
        <v>343</v>
      </c>
      <c r="Y3218" t="s">
        <v>618</v>
      </c>
      <c r="Z3218" t="s">
        <v>32</v>
      </c>
      <c r="AA3218" t="s">
        <v>36116</v>
      </c>
      <c r="AB3218" t="s">
        <v>36117</v>
      </c>
      <c r="AC3218" t="s">
        <v>36118</v>
      </c>
      <c r="AD3218" t="s">
        <v>32</v>
      </c>
      <c r="AE3218" t="s">
        <v>17128</v>
      </c>
      <c r="AF3218" t="s">
        <v>46835</v>
      </c>
    </row>
    <row r="3219" spans="1:33" x14ac:dyDescent="0.2">
      <c r="A3219">
        <v>3214</v>
      </c>
      <c r="B3219" t="s">
        <v>36119</v>
      </c>
      <c r="C3219" t="s">
        <v>36120</v>
      </c>
      <c r="D3219" t="s">
        <v>36121</v>
      </c>
      <c r="E3219" t="s">
        <v>36122</v>
      </c>
      <c r="F3219" t="s">
        <v>36123</v>
      </c>
      <c r="G3219" t="s">
        <v>36124</v>
      </c>
      <c r="H3219" t="str">
        <f>"Ptcd3"</f>
        <v>Ptcd3</v>
      </c>
      <c r="I3219" t="s">
        <v>36125</v>
      </c>
      <c r="J3219" t="s">
        <v>37</v>
      </c>
      <c r="K3219">
        <v>10090</v>
      </c>
      <c r="L3219" s="3" t="str">
        <f>HYPERLINK("http://www.uniprot.org/uniprot/Q14C51", "Q14C51")</f>
        <v>Q14C51</v>
      </c>
      <c r="M3219" t="s">
        <v>36126</v>
      </c>
      <c r="N3219" t="str">
        <f>"Ptcd3"</f>
        <v>Ptcd3</v>
      </c>
      <c r="O3219" s="3" t="str">
        <f>HYPERLINK("http://www.informatics.jax.org/marker/MGI:1917206", "MGI:1917206")</f>
        <v>MGI:1917206</v>
      </c>
      <c r="P3219" t="s">
        <v>36127</v>
      </c>
      <c r="Q3219" t="s">
        <v>1680</v>
      </c>
      <c r="R3219" t="s">
        <v>1038</v>
      </c>
      <c r="S3219" t="s">
        <v>32</v>
      </c>
      <c r="T3219" t="s">
        <v>32</v>
      </c>
      <c r="U3219" t="s">
        <v>32</v>
      </c>
      <c r="V3219" t="s">
        <v>6597</v>
      </c>
      <c r="W3219" t="s">
        <v>32</v>
      </c>
      <c r="X3219" t="s">
        <v>887</v>
      </c>
      <c r="Y3219" t="s">
        <v>78</v>
      </c>
      <c r="Z3219" t="s">
        <v>32</v>
      </c>
      <c r="AA3219" t="s">
        <v>36128</v>
      </c>
      <c r="AB3219" t="s">
        <v>36129</v>
      </c>
      <c r="AC3219" t="s">
        <v>36130</v>
      </c>
      <c r="AD3219" t="s">
        <v>32</v>
      </c>
      <c r="AE3219" t="s">
        <v>17271</v>
      </c>
      <c r="AF3219" t="s">
        <v>46835</v>
      </c>
    </row>
    <row r="3220" spans="1:33" x14ac:dyDescent="0.2">
      <c r="A3220">
        <v>3215</v>
      </c>
      <c r="B3220" t="s">
        <v>36131</v>
      </c>
      <c r="C3220" t="s">
        <v>36132</v>
      </c>
      <c r="D3220" t="s">
        <v>32</v>
      </c>
      <c r="E3220" t="s">
        <v>36133</v>
      </c>
      <c r="F3220" t="s">
        <v>36134</v>
      </c>
      <c r="G3220" t="s">
        <v>36135</v>
      </c>
      <c r="H3220" t="str">
        <f>"Nova2"</f>
        <v>Nova2</v>
      </c>
      <c r="I3220" t="s">
        <v>32</v>
      </c>
      <c r="J3220" t="s">
        <v>37</v>
      </c>
      <c r="K3220">
        <v>10090</v>
      </c>
      <c r="L3220" s="3" t="str">
        <f>HYPERLINK("http://www.uniprot.org/uniprot/A0A1W2P872", "A0A1W2P872")</f>
        <v>A0A1W2P872</v>
      </c>
      <c r="M3220" t="s">
        <v>36136</v>
      </c>
      <c r="N3220" t="str">
        <f>"Nova2"</f>
        <v>Nova2</v>
      </c>
      <c r="O3220" s="3" t="str">
        <f>HYPERLINK("http://www.informatics.jax.org/marker/MGI:104296", "MGI:104296")</f>
        <v>MGI:104296</v>
      </c>
      <c r="P3220" t="s">
        <v>36137</v>
      </c>
      <c r="Q3220" t="s">
        <v>36138</v>
      </c>
      <c r="R3220" t="s">
        <v>2279</v>
      </c>
      <c r="S3220" t="s">
        <v>41</v>
      </c>
      <c r="T3220" t="s">
        <v>32</v>
      </c>
      <c r="U3220" t="s">
        <v>32</v>
      </c>
      <c r="V3220" t="s">
        <v>55</v>
      </c>
      <c r="W3220" t="s">
        <v>32</v>
      </c>
      <c r="X3220" t="s">
        <v>1282</v>
      </c>
      <c r="Y3220" t="s">
        <v>7792</v>
      </c>
      <c r="Z3220" t="s">
        <v>32</v>
      </c>
      <c r="AA3220" t="s">
        <v>36139</v>
      </c>
      <c r="AB3220" t="s">
        <v>3606</v>
      </c>
      <c r="AC3220" t="s">
        <v>25550</v>
      </c>
      <c r="AD3220" t="s">
        <v>32</v>
      </c>
      <c r="AE3220" t="s">
        <v>32</v>
      </c>
      <c r="AF3220" t="s">
        <v>46835</v>
      </c>
    </row>
    <row r="3221" spans="1:33" x14ac:dyDescent="0.2">
      <c r="A3221">
        <v>3216</v>
      </c>
      <c r="B3221" t="s">
        <v>36140</v>
      </c>
      <c r="C3221" t="s">
        <v>36141</v>
      </c>
      <c r="D3221" t="s">
        <v>32</v>
      </c>
      <c r="E3221" t="s">
        <v>36142</v>
      </c>
      <c r="F3221" t="s">
        <v>36143</v>
      </c>
      <c r="G3221" t="s">
        <v>32</v>
      </c>
      <c r="H3221" t="str">
        <f>"Pgrmc2"</f>
        <v>Pgrmc2</v>
      </c>
      <c r="I3221" t="s">
        <v>32</v>
      </c>
      <c r="J3221" t="s">
        <v>37</v>
      </c>
      <c r="K3221">
        <v>10090</v>
      </c>
      <c r="L3221" s="3" t="str">
        <f>HYPERLINK("http://www.uniprot.org/uniprot/Q80UU9", "Q80UU9")</f>
        <v>Q80UU9</v>
      </c>
      <c r="M3221" t="s">
        <v>36144</v>
      </c>
      <c r="N3221" t="str">
        <f>"Pgrmc2"</f>
        <v>Pgrmc2</v>
      </c>
      <c r="O3221" s="3" t="str">
        <f>HYPERLINK("http://www.informatics.jax.org/marker/MGI:1918054", "MGI:1918054")</f>
        <v>MGI:1918054</v>
      </c>
      <c r="P3221" t="s">
        <v>36145</v>
      </c>
      <c r="Q3221" t="s">
        <v>32</v>
      </c>
      <c r="R3221" t="s">
        <v>17568</v>
      </c>
      <c r="S3221" t="s">
        <v>32</v>
      </c>
      <c r="T3221" t="s">
        <v>32</v>
      </c>
      <c r="U3221" t="s">
        <v>32</v>
      </c>
      <c r="V3221" t="s">
        <v>493</v>
      </c>
      <c r="W3221" t="s">
        <v>9347</v>
      </c>
      <c r="X3221" t="s">
        <v>6983</v>
      </c>
      <c r="Y3221" t="s">
        <v>618</v>
      </c>
      <c r="Z3221" t="s">
        <v>32</v>
      </c>
      <c r="AA3221" t="s">
        <v>36146</v>
      </c>
      <c r="AB3221" t="s">
        <v>36147</v>
      </c>
      <c r="AC3221" t="s">
        <v>36148</v>
      </c>
      <c r="AD3221" t="s">
        <v>32</v>
      </c>
      <c r="AE3221" t="s">
        <v>36149</v>
      </c>
      <c r="AF3221" t="s">
        <v>46835</v>
      </c>
    </row>
    <row r="3222" spans="1:33" x14ac:dyDescent="0.2">
      <c r="A3222">
        <v>3217</v>
      </c>
      <c r="B3222" t="s">
        <v>36150</v>
      </c>
      <c r="C3222" t="s">
        <v>47186</v>
      </c>
      <c r="D3222" t="s">
        <v>32</v>
      </c>
      <c r="E3222" t="s">
        <v>47018</v>
      </c>
      <c r="F3222" t="s">
        <v>47017</v>
      </c>
      <c r="G3222" t="s">
        <v>32</v>
      </c>
      <c r="H3222" t="s">
        <v>47317</v>
      </c>
      <c r="I3222" t="s">
        <v>32</v>
      </c>
      <c r="J3222" t="s">
        <v>37</v>
      </c>
      <c r="K3222">
        <v>10090</v>
      </c>
      <c r="L3222" s="3" t="str">
        <f>HYPERLINK(CONCATENATE("https://www.uniprot.org/uniprotkb/", AG3222, "/entry"), AG3222)</f>
        <v>E9Q6R7</v>
      </c>
      <c r="M3222" t="s">
        <v>32</v>
      </c>
      <c r="N3222" t="s">
        <v>32</v>
      </c>
      <c r="O3222" s="3" t="s">
        <v>32</v>
      </c>
      <c r="P3222" t="s">
        <v>32</v>
      </c>
      <c r="Q3222" t="s">
        <v>32</v>
      </c>
      <c r="R3222" t="s">
        <v>32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32</v>
      </c>
      <c r="Y3222" t="s">
        <v>32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  <c r="AE3222" t="s">
        <v>32</v>
      </c>
      <c r="AF3222" t="s">
        <v>46835</v>
      </c>
      <c r="AG3222" t="s">
        <v>47017</v>
      </c>
    </row>
    <row r="3223" spans="1:33" x14ac:dyDescent="0.2">
      <c r="A3223">
        <v>3218</v>
      </c>
      <c r="B3223" t="s">
        <v>36151</v>
      </c>
      <c r="C3223" t="s">
        <v>36152</v>
      </c>
      <c r="D3223" t="s">
        <v>32</v>
      </c>
      <c r="E3223" t="s">
        <v>36153</v>
      </c>
      <c r="F3223" t="s">
        <v>36154</v>
      </c>
      <c r="G3223" t="s">
        <v>36155</v>
      </c>
      <c r="H3223" t="str">
        <f>"Kifap3"</f>
        <v>Kifap3</v>
      </c>
      <c r="I3223" t="s">
        <v>32</v>
      </c>
      <c r="J3223" t="s">
        <v>37</v>
      </c>
      <c r="K3223">
        <v>10090</v>
      </c>
      <c r="L3223" s="3" t="str">
        <f>HYPERLINK("http://www.uniprot.org/uniprot/P70188", "P70188")</f>
        <v>P70188</v>
      </c>
      <c r="M3223" t="s">
        <v>36156</v>
      </c>
      <c r="N3223" t="str">
        <f>"Kifap3"</f>
        <v>Kifap3</v>
      </c>
      <c r="O3223" s="3" t="str">
        <f>HYPERLINK("http://www.informatics.jax.org/marker/MGI:107566", "MGI:107566")</f>
        <v>MGI:107566</v>
      </c>
      <c r="P3223" t="s">
        <v>24972</v>
      </c>
      <c r="Q3223" t="s">
        <v>32</v>
      </c>
      <c r="R3223" t="s">
        <v>32</v>
      </c>
      <c r="S3223" t="s">
        <v>41</v>
      </c>
      <c r="T3223" t="s">
        <v>32</v>
      </c>
      <c r="U3223" t="s">
        <v>32</v>
      </c>
      <c r="V3223" t="s">
        <v>55</v>
      </c>
      <c r="W3223" t="s">
        <v>32</v>
      </c>
      <c r="X3223" t="s">
        <v>32</v>
      </c>
      <c r="Y3223" t="s">
        <v>618</v>
      </c>
      <c r="Z3223" t="s">
        <v>32</v>
      </c>
      <c r="AA3223" t="s">
        <v>36157</v>
      </c>
      <c r="AB3223" t="s">
        <v>36158</v>
      </c>
      <c r="AC3223" t="s">
        <v>36159</v>
      </c>
      <c r="AD3223" t="s">
        <v>32</v>
      </c>
      <c r="AE3223" t="s">
        <v>31210</v>
      </c>
      <c r="AF3223" t="s">
        <v>46835</v>
      </c>
    </row>
    <row r="3224" spans="1:33" x14ac:dyDescent="0.2">
      <c r="A3224">
        <v>3219</v>
      </c>
      <c r="B3224" t="s">
        <v>36160</v>
      </c>
      <c r="C3224" t="s">
        <v>36161</v>
      </c>
      <c r="D3224" t="s">
        <v>36162</v>
      </c>
      <c r="E3224" t="s">
        <v>36163</v>
      </c>
      <c r="F3224" t="s">
        <v>36164</v>
      </c>
      <c r="G3224" t="s">
        <v>36165</v>
      </c>
      <c r="H3224" t="str">
        <f>"Pitpnc1"</f>
        <v>Pitpnc1</v>
      </c>
      <c r="I3224" t="s">
        <v>32</v>
      </c>
      <c r="J3224" t="s">
        <v>37</v>
      </c>
      <c r="K3224">
        <v>10090</v>
      </c>
      <c r="L3224" s="3" t="str">
        <f>HYPERLINK("http://www.uniprot.org/uniprot/Q8K4R4", "Q8K4R4")</f>
        <v>Q8K4R4</v>
      </c>
      <c r="M3224" t="s">
        <v>36166</v>
      </c>
      <c r="N3224" t="str">
        <f>"Pitpnc1"</f>
        <v>Pitpnc1</v>
      </c>
      <c r="O3224" s="3" t="str">
        <f>HYPERLINK("http://www.informatics.jax.org/marker/MGI:1919045", "MGI:1919045")</f>
        <v>MGI:1919045</v>
      </c>
      <c r="P3224" t="s">
        <v>36167</v>
      </c>
      <c r="Q3224" t="s">
        <v>582</v>
      </c>
      <c r="R3224" t="s">
        <v>40</v>
      </c>
      <c r="S3224" t="s">
        <v>41</v>
      </c>
      <c r="T3224" t="s">
        <v>32</v>
      </c>
      <c r="U3224" t="s">
        <v>32</v>
      </c>
      <c r="V3224" t="s">
        <v>32</v>
      </c>
      <c r="W3224" t="s">
        <v>584</v>
      </c>
      <c r="X3224" t="s">
        <v>32</v>
      </c>
      <c r="Y3224" t="s">
        <v>618</v>
      </c>
      <c r="Z3224" t="s">
        <v>32</v>
      </c>
      <c r="AA3224" t="s">
        <v>36168</v>
      </c>
      <c r="AB3224" t="s">
        <v>4884</v>
      </c>
      <c r="AC3224" t="s">
        <v>36169</v>
      </c>
      <c r="AD3224" t="s">
        <v>32</v>
      </c>
      <c r="AE3224" t="s">
        <v>32</v>
      </c>
      <c r="AF3224" t="s">
        <v>46835</v>
      </c>
    </row>
    <row r="3225" spans="1:33" x14ac:dyDescent="0.2">
      <c r="A3225">
        <v>3220</v>
      </c>
      <c r="B3225" t="s">
        <v>36170</v>
      </c>
      <c r="C3225" t="s">
        <v>36171</v>
      </c>
      <c r="D3225" t="s">
        <v>36172</v>
      </c>
      <c r="E3225" t="s">
        <v>36173</v>
      </c>
      <c r="F3225" t="s">
        <v>36174</v>
      </c>
      <c r="G3225" t="s">
        <v>36175</v>
      </c>
      <c r="H3225" t="str">
        <f>"Utp14a"</f>
        <v>Utp14a</v>
      </c>
      <c r="I3225" t="s">
        <v>36176</v>
      </c>
      <c r="J3225" t="s">
        <v>37</v>
      </c>
      <c r="K3225">
        <v>10090</v>
      </c>
      <c r="L3225" s="3" t="str">
        <f>HYPERLINK("http://www.uniprot.org/uniprot/Q640M1", "Q640M1")</f>
        <v>Q640M1</v>
      </c>
      <c r="M3225" t="s">
        <v>36177</v>
      </c>
      <c r="N3225" t="str">
        <f>"Utp14a"</f>
        <v>Utp14a</v>
      </c>
      <c r="O3225" s="3" t="str">
        <f>HYPERLINK("http://www.informatics.jax.org/marker/MGI:1919804", "MGI:1919804")</f>
        <v>MGI:1919804</v>
      </c>
      <c r="P3225" t="s">
        <v>36178</v>
      </c>
      <c r="Q3225" t="s">
        <v>6400</v>
      </c>
      <c r="R3225" t="s">
        <v>2279</v>
      </c>
      <c r="S3225" t="s">
        <v>41</v>
      </c>
      <c r="T3225" t="s">
        <v>32</v>
      </c>
      <c r="U3225" t="s">
        <v>32</v>
      </c>
      <c r="V3225" t="s">
        <v>290</v>
      </c>
      <c r="W3225" t="s">
        <v>32</v>
      </c>
      <c r="X3225" t="s">
        <v>32</v>
      </c>
      <c r="Y3225" t="s">
        <v>3509</v>
      </c>
      <c r="Z3225" t="s">
        <v>32</v>
      </c>
      <c r="AA3225" t="s">
        <v>25279</v>
      </c>
      <c r="AB3225" t="s">
        <v>36179</v>
      </c>
      <c r="AC3225" t="s">
        <v>32</v>
      </c>
      <c r="AD3225" t="s">
        <v>32</v>
      </c>
      <c r="AE3225" t="s">
        <v>960</v>
      </c>
      <c r="AF3225" t="s">
        <v>46835</v>
      </c>
    </row>
    <row r="3226" spans="1:33" x14ac:dyDescent="0.2">
      <c r="A3226">
        <v>3221</v>
      </c>
      <c r="B3226" t="s">
        <v>36180</v>
      </c>
      <c r="C3226" t="s">
        <v>36181</v>
      </c>
      <c r="D3226" t="s">
        <v>36182</v>
      </c>
      <c r="E3226" t="s">
        <v>36183</v>
      </c>
      <c r="F3226" t="s">
        <v>36184</v>
      </c>
      <c r="G3226" t="s">
        <v>36185</v>
      </c>
      <c r="H3226" t="str">
        <f>"Magi1"</f>
        <v>Magi1</v>
      </c>
      <c r="I3226" t="s">
        <v>36186</v>
      </c>
      <c r="J3226" t="s">
        <v>37</v>
      </c>
      <c r="K3226">
        <v>10090</v>
      </c>
      <c r="L3226" s="3" t="str">
        <f>HYPERLINK("http://www.uniprot.org/uniprot/Q6RHR9", "Q6RHR9")</f>
        <v>Q6RHR9</v>
      </c>
      <c r="M3226" t="s">
        <v>36187</v>
      </c>
      <c r="N3226" t="str">
        <f>"Magi1"</f>
        <v>Magi1</v>
      </c>
      <c r="O3226" s="3" t="str">
        <f>HYPERLINK("http://www.informatics.jax.org/marker/MGI:1203522", "MGI:1203522")</f>
        <v>MGI:1203522</v>
      </c>
      <c r="P3226" t="s">
        <v>36188</v>
      </c>
      <c r="Q3226" t="s">
        <v>32</v>
      </c>
      <c r="R3226" t="s">
        <v>36189</v>
      </c>
      <c r="S3226" t="s">
        <v>41</v>
      </c>
      <c r="T3226" t="s">
        <v>32</v>
      </c>
      <c r="U3226" t="s">
        <v>32</v>
      </c>
      <c r="V3226" t="s">
        <v>55</v>
      </c>
      <c r="W3226" t="s">
        <v>205</v>
      </c>
      <c r="X3226" t="s">
        <v>32</v>
      </c>
      <c r="Y3226" t="s">
        <v>618</v>
      </c>
      <c r="Z3226" t="s">
        <v>126</v>
      </c>
      <c r="AA3226" t="s">
        <v>36190</v>
      </c>
      <c r="AB3226" t="s">
        <v>36191</v>
      </c>
      <c r="AC3226" t="s">
        <v>36192</v>
      </c>
      <c r="AD3226" t="s">
        <v>32</v>
      </c>
      <c r="AE3226" t="s">
        <v>32</v>
      </c>
      <c r="AF3226" t="s">
        <v>46835</v>
      </c>
    </row>
    <row r="3227" spans="1:33" x14ac:dyDescent="0.2">
      <c r="A3227">
        <v>3222</v>
      </c>
      <c r="B3227" t="s">
        <v>36193</v>
      </c>
      <c r="C3227" t="s">
        <v>36194</v>
      </c>
      <c r="D3227" t="s">
        <v>36195</v>
      </c>
      <c r="E3227" t="s">
        <v>36196</v>
      </c>
      <c r="F3227" t="s">
        <v>36197</v>
      </c>
      <c r="G3227" t="s">
        <v>36198</v>
      </c>
      <c r="H3227" t="str">
        <f>"Xrcc1"</f>
        <v>Xrcc1</v>
      </c>
      <c r="I3227" t="s">
        <v>36199</v>
      </c>
      <c r="J3227" t="s">
        <v>37</v>
      </c>
      <c r="K3227">
        <v>10090</v>
      </c>
      <c r="L3227" s="3" t="str">
        <f>HYPERLINK("http://www.uniprot.org/uniprot/Q60596", "Q60596")</f>
        <v>Q60596</v>
      </c>
      <c r="M3227" t="s">
        <v>36200</v>
      </c>
      <c r="N3227" t="str">
        <f>"Xrcc1"</f>
        <v>Xrcc1</v>
      </c>
      <c r="O3227" s="3" t="str">
        <f>HYPERLINK("http://www.informatics.jax.org/marker/MGI:99137", "MGI:99137")</f>
        <v>MGI:99137</v>
      </c>
      <c r="P3227" t="s">
        <v>36201</v>
      </c>
      <c r="Q3227" t="s">
        <v>11886</v>
      </c>
      <c r="R3227" t="s">
        <v>1939</v>
      </c>
      <c r="S3227" t="s">
        <v>32</v>
      </c>
      <c r="T3227" t="s">
        <v>32</v>
      </c>
      <c r="U3227" t="s">
        <v>32</v>
      </c>
      <c r="V3227" t="s">
        <v>55</v>
      </c>
      <c r="W3227" t="s">
        <v>32</v>
      </c>
      <c r="X3227" t="s">
        <v>32</v>
      </c>
      <c r="Y3227" t="s">
        <v>1007</v>
      </c>
      <c r="Z3227" t="s">
        <v>126</v>
      </c>
      <c r="AA3227" t="s">
        <v>36202</v>
      </c>
      <c r="AB3227" t="s">
        <v>36203</v>
      </c>
      <c r="AC3227" t="s">
        <v>36204</v>
      </c>
      <c r="AD3227" t="s">
        <v>32</v>
      </c>
      <c r="AE3227" t="s">
        <v>21333</v>
      </c>
      <c r="AF3227" t="s">
        <v>46835</v>
      </c>
    </row>
    <row r="3228" spans="1:33" x14ac:dyDescent="0.2">
      <c r="A3228">
        <v>3223</v>
      </c>
      <c r="B3228" t="s">
        <v>36205</v>
      </c>
      <c r="C3228" t="s">
        <v>36206</v>
      </c>
      <c r="D3228" t="s">
        <v>32</v>
      </c>
      <c r="E3228" t="s">
        <v>36207</v>
      </c>
      <c r="F3228" t="s">
        <v>36208</v>
      </c>
      <c r="G3228" t="s">
        <v>36209</v>
      </c>
      <c r="H3228" t="str">
        <f>"Mrpl45"</f>
        <v>Mrpl45</v>
      </c>
      <c r="I3228" t="s">
        <v>32</v>
      </c>
      <c r="J3228" t="s">
        <v>37</v>
      </c>
      <c r="K3228">
        <v>10090</v>
      </c>
      <c r="L3228" s="3" t="str">
        <f>HYPERLINK("http://www.uniprot.org/uniprot/Q9D0Q7", "Q9D0Q7")</f>
        <v>Q9D0Q7</v>
      </c>
      <c r="M3228" t="s">
        <v>36210</v>
      </c>
      <c r="N3228" t="str">
        <f>"Mrpl45"</f>
        <v>Mrpl45</v>
      </c>
      <c r="O3228" s="3" t="str">
        <f>HYPERLINK("http://www.informatics.jax.org/marker/MGI:1914286", "MGI:1914286")</f>
        <v>MGI:1914286</v>
      </c>
      <c r="P3228" t="s">
        <v>24765</v>
      </c>
      <c r="Q3228" t="s">
        <v>32</v>
      </c>
      <c r="R3228" t="s">
        <v>1038</v>
      </c>
      <c r="S3228" t="s">
        <v>32</v>
      </c>
      <c r="T3228" t="s">
        <v>32</v>
      </c>
      <c r="U3228" t="s">
        <v>32</v>
      </c>
      <c r="V3228" t="s">
        <v>1039</v>
      </c>
      <c r="W3228" t="s">
        <v>32</v>
      </c>
      <c r="X3228" t="s">
        <v>447</v>
      </c>
      <c r="Y3228" t="s">
        <v>32</v>
      </c>
      <c r="Z3228" t="s">
        <v>32</v>
      </c>
      <c r="AA3228" t="s">
        <v>23519</v>
      </c>
      <c r="AB3228" t="s">
        <v>27223</v>
      </c>
      <c r="AC3228" t="s">
        <v>32</v>
      </c>
      <c r="AD3228" t="s">
        <v>32</v>
      </c>
      <c r="AE3228" t="s">
        <v>17271</v>
      </c>
      <c r="AF3228" t="s">
        <v>46835</v>
      </c>
    </row>
    <row r="3229" spans="1:33" x14ac:dyDescent="0.2">
      <c r="A3229">
        <v>3224</v>
      </c>
      <c r="B3229" t="s">
        <v>36211</v>
      </c>
      <c r="C3229" t="s">
        <v>36212</v>
      </c>
      <c r="D3229" t="s">
        <v>32</v>
      </c>
      <c r="E3229" t="s">
        <v>36213</v>
      </c>
      <c r="F3229" t="s">
        <v>36214</v>
      </c>
      <c r="G3229" t="s">
        <v>36215</v>
      </c>
      <c r="H3229" t="str">
        <f>"Otud4"</f>
        <v>Otud4</v>
      </c>
      <c r="I3229" t="s">
        <v>32</v>
      </c>
      <c r="J3229" t="s">
        <v>37</v>
      </c>
      <c r="K3229">
        <v>10090</v>
      </c>
      <c r="L3229" s="3" t="str">
        <f>HYPERLINK("http://www.uniprot.org/uniprot/B2RRE7", "B2RRE7")</f>
        <v>B2RRE7</v>
      </c>
      <c r="M3229" t="s">
        <v>36216</v>
      </c>
      <c r="N3229" t="str">
        <f>"Otud4"</f>
        <v>Otud4</v>
      </c>
      <c r="O3229" s="3" t="str">
        <f>HYPERLINK("http://www.informatics.jax.org/marker/MGI:1098801", "MGI:1098801")</f>
        <v>MGI:1098801</v>
      </c>
      <c r="P3229" t="s">
        <v>36217</v>
      </c>
      <c r="Q3229" t="s">
        <v>12796</v>
      </c>
      <c r="R3229" t="s">
        <v>40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557</v>
      </c>
      <c r="Y3229" t="s">
        <v>157</v>
      </c>
      <c r="Z3229" t="s">
        <v>32</v>
      </c>
      <c r="AA3229" t="s">
        <v>36218</v>
      </c>
      <c r="AB3229" t="s">
        <v>928</v>
      </c>
      <c r="AC3229" t="s">
        <v>36219</v>
      </c>
      <c r="AD3229" t="s">
        <v>32</v>
      </c>
      <c r="AE3229" t="s">
        <v>32</v>
      </c>
      <c r="AF3229" t="s">
        <v>46835</v>
      </c>
    </row>
    <row r="3230" spans="1:33" x14ac:dyDescent="0.2">
      <c r="A3230">
        <v>3225</v>
      </c>
      <c r="B3230" t="s">
        <v>36220</v>
      </c>
      <c r="C3230" t="s">
        <v>36221</v>
      </c>
      <c r="D3230" t="s">
        <v>36222</v>
      </c>
      <c r="E3230" t="s">
        <v>36223</v>
      </c>
      <c r="F3230" t="s">
        <v>36224</v>
      </c>
      <c r="G3230" t="s">
        <v>36225</v>
      </c>
      <c r="H3230" t="str">
        <f>"Sdcbp"</f>
        <v>Sdcbp</v>
      </c>
      <c r="I3230" t="s">
        <v>32</v>
      </c>
      <c r="J3230" t="s">
        <v>37</v>
      </c>
      <c r="K3230">
        <v>10090</v>
      </c>
      <c r="L3230" s="3" t="str">
        <f>HYPERLINK("http://www.uniprot.org/uniprot/O08992", "O08992")</f>
        <v>O08992</v>
      </c>
      <c r="M3230" t="s">
        <v>36226</v>
      </c>
      <c r="N3230" t="str">
        <f>"Sdcbp"</f>
        <v>Sdcbp</v>
      </c>
      <c r="O3230" s="3" t="str">
        <f>HYPERLINK("http://www.informatics.jax.org/marker/MGI:1337026", "MGI:1337026")</f>
        <v>MGI:1337026</v>
      </c>
      <c r="P3230" t="s">
        <v>36227</v>
      </c>
      <c r="Q3230" t="s">
        <v>32</v>
      </c>
      <c r="R3230" t="s">
        <v>36228</v>
      </c>
      <c r="S3230" t="s">
        <v>32</v>
      </c>
      <c r="T3230" t="s">
        <v>32</v>
      </c>
      <c r="U3230" t="s">
        <v>32</v>
      </c>
      <c r="V3230" t="s">
        <v>55</v>
      </c>
      <c r="W3230" t="s">
        <v>584</v>
      </c>
      <c r="X3230" t="s">
        <v>32</v>
      </c>
      <c r="Y3230" t="s">
        <v>157</v>
      </c>
      <c r="Z3230" t="s">
        <v>32</v>
      </c>
      <c r="AA3230" t="s">
        <v>36229</v>
      </c>
      <c r="AB3230" t="s">
        <v>36230</v>
      </c>
      <c r="AC3230" t="s">
        <v>36231</v>
      </c>
      <c r="AD3230" t="s">
        <v>32</v>
      </c>
      <c r="AE3230" t="s">
        <v>36232</v>
      </c>
      <c r="AF3230" t="s">
        <v>46835</v>
      </c>
    </row>
    <row r="3231" spans="1:33" x14ac:dyDescent="0.2">
      <c r="A3231">
        <v>3226</v>
      </c>
      <c r="B3231" t="s">
        <v>36233</v>
      </c>
      <c r="C3231" t="s">
        <v>36234</v>
      </c>
      <c r="D3231" t="s">
        <v>36235</v>
      </c>
      <c r="E3231" t="s">
        <v>36236</v>
      </c>
      <c r="F3231" t="s">
        <v>36237</v>
      </c>
      <c r="G3231" t="s">
        <v>36238</v>
      </c>
      <c r="H3231" t="str">
        <f>"Hsf4"</f>
        <v>Hsf4</v>
      </c>
      <c r="I3231" t="s">
        <v>32</v>
      </c>
      <c r="J3231" t="s">
        <v>37</v>
      </c>
      <c r="K3231">
        <v>10090</v>
      </c>
      <c r="L3231" s="3" t="str">
        <f>HYPERLINK("http://www.uniprot.org/uniprot/Q9R0L1", "Q9R0L1")</f>
        <v>Q9R0L1</v>
      </c>
      <c r="M3231" t="s">
        <v>36239</v>
      </c>
      <c r="N3231" t="str">
        <f>"Hsf4"</f>
        <v>Hsf4</v>
      </c>
      <c r="O3231" s="3" t="str">
        <f>HYPERLINK("http://www.informatics.jax.org/marker/MGI:1347058", "MGI:1347058")</f>
        <v>MGI:1347058</v>
      </c>
      <c r="P3231" t="s">
        <v>36240</v>
      </c>
      <c r="Q3231" t="s">
        <v>36241</v>
      </c>
      <c r="R3231" t="s">
        <v>2279</v>
      </c>
      <c r="S3231" t="s">
        <v>41</v>
      </c>
      <c r="T3231" t="s">
        <v>32</v>
      </c>
      <c r="U3231" t="s">
        <v>32</v>
      </c>
      <c r="V3231" t="s">
        <v>32</v>
      </c>
      <c r="W3231" t="s">
        <v>32</v>
      </c>
      <c r="X3231" t="s">
        <v>17531</v>
      </c>
      <c r="Y3231" t="s">
        <v>1007</v>
      </c>
      <c r="Z3231" t="s">
        <v>32</v>
      </c>
      <c r="AA3231" t="s">
        <v>36242</v>
      </c>
      <c r="AB3231" t="s">
        <v>36243</v>
      </c>
      <c r="AC3231" t="s">
        <v>36244</v>
      </c>
      <c r="AD3231" t="s">
        <v>32</v>
      </c>
      <c r="AE3231" t="s">
        <v>32</v>
      </c>
      <c r="AF3231" t="s">
        <v>46835</v>
      </c>
    </row>
    <row r="3232" spans="1:33" x14ac:dyDescent="0.2">
      <c r="A3232">
        <v>3227</v>
      </c>
      <c r="B3232" t="s">
        <v>36245</v>
      </c>
      <c r="C3232" t="s">
        <v>36246</v>
      </c>
      <c r="D3232" t="s">
        <v>36247</v>
      </c>
      <c r="E3232" t="s">
        <v>36248</v>
      </c>
      <c r="F3232" t="s">
        <v>36249</v>
      </c>
      <c r="G3232" t="s">
        <v>32</v>
      </c>
      <c r="H3232" t="str">
        <f>"Atg5"</f>
        <v>Atg5</v>
      </c>
      <c r="I3232" t="s">
        <v>36250</v>
      </c>
      <c r="J3232" t="s">
        <v>37</v>
      </c>
      <c r="K3232">
        <v>10090</v>
      </c>
      <c r="L3232" s="3" t="str">
        <f>HYPERLINK("http://www.uniprot.org/uniprot/Q99J83", "Q99J83")</f>
        <v>Q99J83</v>
      </c>
      <c r="M3232" t="s">
        <v>36251</v>
      </c>
      <c r="N3232" t="str">
        <f>"Atg5"</f>
        <v>Atg5</v>
      </c>
      <c r="O3232" s="3" t="str">
        <f>HYPERLINK("http://www.informatics.jax.org/marker/MGI:1277186", "MGI:1277186")</f>
        <v>MGI:1277186</v>
      </c>
      <c r="P3232" t="s">
        <v>36252</v>
      </c>
      <c r="Q3232" t="s">
        <v>36253</v>
      </c>
      <c r="R3232" t="s">
        <v>714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32</v>
      </c>
      <c r="Y3232" t="s">
        <v>461</v>
      </c>
      <c r="Z3232" t="s">
        <v>32</v>
      </c>
      <c r="AA3232" t="s">
        <v>36254</v>
      </c>
      <c r="AB3232" t="s">
        <v>36255</v>
      </c>
      <c r="AC3232" t="s">
        <v>32</v>
      </c>
      <c r="AD3232" t="s">
        <v>32</v>
      </c>
      <c r="AE3232" t="s">
        <v>21732</v>
      </c>
      <c r="AF3232" t="s">
        <v>46835</v>
      </c>
    </row>
    <row r="3233" spans="1:33" x14ac:dyDescent="0.2">
      <c r="A3233">
        <v>3228</v>
      </c>
      <c r="B3233" t="s">
        <v>36256</v>
      </c>
      <c r="C3233" t="s">
        <v>36257</v>
      </c>
      <c r="D3233" t="s">
        <v>36258</v>
      </c>
      <c r="E3233" t="s">
        <v>36259</v>
      </c>
      <c r="F3233" t="s">
        <v>36260</v>
      </c>
      <c r="G3233" t="s">
        <v>36261</v>
      </c>
      <c r="H3233" t="str">
        <f>"Smndc1"</f>
        <v>Smndc1</v>
      </c>
      <c r="I3233" t="s">
        <v>36262</v>
      </c>
      <c r="J3233" t="s">
        <v>37</v>
      </c>
      <c r="K3233">
        <v>10090</v>
      </c>
      <c r="L3233" s="3" t="str">
        <f>HYPERLINK("http://www.uniprot.org/uniprot/Q8BGT7", "Q8BGT7")</f>
        <v>Q8BGT7</v>
      </c>
      <c r="M3233" t="s">
        <v>36263</v>
      </c>
      <c r="N3233" t="str">
        <f>"Smndc1"</f>
        <v>Smndc1</v>
      </c>
      <c r="O3233" s="3" t="str">
        <f>HYPERLINK("http://www.informatics.jax.org/marker/MGI:1923729", "MGI:1923729")</f>
        <v>MGI:1923729</v>
      </c>
      <c r="P3233" t="s">
        <v>36264</v>
      </c>
      <c r="Q3233" t="s">
        <v>10792</v>
      </c>
      <c r="R3233" t="s">
        <v>2140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32</v>
      </c>
      <c r="Y3233" t="s">
        <v>157</v>
      </c>
      <c r="Z3233" t="s">
        <v>32</v>
      </c>
      <c r="AA3233" t="s">
        <v>36265</v>
      </c>
      <c r="AB3233" t="s">
        <v>36266</v>
      </c>
      <c r="AC3233" t="s">
        <v>4711</v>
      </c>
      <c r="AD3233" t="s">
        <v>32</v>
      </c>
      <c r="AE3233" t="s">
        <v>946</v>
      </c>
      <c r="AF3233" t="s">
        <v>46835</v>
      </c>
    </row>
    <row r="3234" spans="1:33" x14ac:dyDescent="0.2">
      <c r="A3234">
        <v>3229</v>
      </c>
      <c r="B3234" t="s">
        <v>36267</v>
      </c>
      <c r="C3234" t="s">
        <v>36268</v>
      </c>
      <c r="D3234" t="s">
        <v>36269</v>
      </c>
      <c r="E3234" t="s">
        <v>36270</v>
      </c>
      <c r="F3234" t="s">
        <v>36271</v>
      </c>
      <c r="G3234" t="s">
        <v>36272</v>
      </c>
      <c r="H3234" t="str">
        <f>"Utp3"</f>
        <v>Utp3</v>
      </c>
      <c r="I3234" t="s">
        <v>36273</v>
      </c>
      <c r="J3234" t="s">
        <v>37</v>
      </c>
      <c r="K3234">
        <v>10090</v>
      </c>
      <c r="L3234" s="3" t="str">
        <f>HYPERLINK("http://www.uniprot.org/uniprot/Q9JI13", "Q9JI13")</f>
        <v>Q9JI13</v>
      </c>
      <c r="M3234" t="s">
        <v>36274</v>
      </c>
      <c r="N3234" t="str">
        <f>"Utp3"</f>
        <v>Utp3</v>
      </c>
      <c r="O3234" s="3" t="str">
        <f>HYPERLINK("http://www.informatics.jax.org/marker/MGI:1919230", "MGI:1919230")</f>
        <v>MGI:1919230</v>
      </c>
      <c r="P3234" t="s">
        <v>36275</v>
      </c>
      <c r="Q3234" t="s">
        <v>32</v>
      </c>
      <c r="R3234" t="s">
        <v>2279</v>
      </c>
      <c r="S3234" t="s">
        <v>41</v>
      </c>
      <c r="T3234" t="s">
        <v>32</v>
      </c>
      <c r="U3234" t="s">
        <v>32</v>
      </c>
      <c r="V3234" t="s">
        <v>32</v>
      </c>
      <c r="W3234" t="s">
        <v>32</v>
      </c>
      <c r="X3234" t="s">
        <v>36276</v>
      </c>
      <c r="Y3234" t="s">
        <v>761</v>
      </c>
      <c r="Z3234" t="s">
        <v>32</v>
      </c>
      <c r="AA3234" t="s">
        <v>36277</v>
      </c>
      <c r="AB3234" t="s">
        <v>36278</v>
      </c>
      <c r="AC3234" t="s">
        <v>32</v>
      </c>
      <c r="AD3234" t="s">
        <v>32</v>
      </c>
      <c r="AE3234" t="s">
        <v>960</v>
      </c>
      <c r="AF3234" t="s">
        <v>46835</v>
      </c>
    </row>
    <row r="3235" spans="1:33" x14ac:dyDescent="0.2">
      <c r="A3235">
        <v>3230</v>
      </c>
      <c r="B3235" t="s">
        <v>36279</v>
      </c>
      <c r="C3235" t="s">
        <v>36280</v>
      </c>
      <c r="D3235" t="s">
        <v>36281</v>
      </c>
      <c r="E3235" t="s">
        <v>36282</v>
      </c>
      <c r="F3235" t="s">
        <v>36283</v>
      </c>
      <c r="G3235" t="s">
        <v>36284</v>
      </c>
      <c r="H3235" t="str">
        <f>"Prps2"</f>
        <v>Prps2</v>
      </c>
      <c r="I3235" t="s">
        <v>32</v>
      </c>
      <c r="J3235" t="s">
        <v>37</v>
      </c>
      <c r="K3235">
        <v>10090</v>
      </c>
      <c r="L3235" s="3" t="str">
        <f>HYPERLINK("http://www.uniprot.org/uniprot/Q9CS42", "Q9CS42")</f>
        <v>Q9CS42</v>
      </c>
      <c r="M3235" t="s">
        <v>36285</v>
      </c>
      <c r="N3235" t="str">
        <f>"Prps2"</f>
        <v>Prps2</v>
      </c>
      <c r="O3235" s="3" t="str">
        <f>HYPERLINK("http://www.informatics.jax.org/marker/MGI:97776", "MGI:97776")</f>
        <v>MGI:97776</v>
      </c>
      <c r="P3235" t="s">
        <v>21799</v>
      </c>
      <c r="Q3235" t="s">
        <v>16817</v>
      </c>
      <c r="R3235" t="s">
        <v>32</v>
      </c>
      <c r="S3235" t="s">
        <v>32</v>
      </c>
      <c r="T3235" t="s">
        <v>32</v>
      </c>
      <c r="U3235" t="s">
        <v>32</v>
      </c>
      <c r="V3235" t="s">
        <v>32</v>
      </c>
      <c r="W3235" t="s">
        <v>1266</v>
      </c>
      <c r="X3235" t="s">
        <v>419</v>
      </c>
      <c r="Y3235" t="s">
        <v>32</v>
      </c>
      <c r="Z3235" t="s">
        <v>32</v>
      </c>
      <c r="AA3235" t="s">
        <v>36286</v>
      </c>
      <c r="AB3235" t="s">
        <v>21801</v>
      </c>
      <c r="AC3235" t="s">
        <v>21802</v>
      </c>
      <c r="AD3235" t="s">
        <v>21803</v>
      </c>
      <c r="AE3235" t="s">
        <v>21804</v>
      </c>
      <c r="AF3235" t="s">
        <v>46835</v>
      </c>
    </row>
    <row r="3236" spans="1:33" x14ac:dyDescent="0.2">
      <c r="A3236">
        <v>3231</v>
      </c>
      <c r="B3236" t="s">
        <v>36287</v>
      </c>
      <c r="C3236" t="s">
        <v>36288</v>
      </c>
      <c r="D3236" t="s">
        <v>36289</v>
      </c>
      <c r="E3236" t="s">
        <v>36290</v>
      </c>
      <c r="F3236" t="s">
        <v>36291</v>
      </c>
      <c r="G3236" t="s">
        <v>36292</v>
      </c>
      <c r="H3236" t="str">
        <f>"Tex9"</f>
        <v>Tex9</v>
      </c>
      <c r="I3236" t="s">
        <v>32</v>
      </c>
      <c r="J3236" t="s">
        <v>37</v>
      </c>
      <c r="K3236">
        <v>10090</v>
      </c>
      <c r="L3236" s="3" t="str">
        <f>HYPERLINK("http://www.uniprot.org/uniprot/Q9D845", "Q9D845")</f>
        <v>Q9D845</v>
      </c>
      <c r="M3236" t="s">
        <v>36293</v>
      </c>
      <c r="N3236" t="str">
        <f>"Tex9"</f>
        <v>Tex9</v>
      </c>
      <c r="O3236" s="3" t="str">
        <f>HYPERLINK("http://www.informatics.jax.org/marker/MGI:1201610", "MGI:1201610")</f>
        <v>MGI:1201610</v>
      </c>
      <c r="P3236" t="s">
        <v>29379</v>
      </c>
      <c r="Q3236" t="s">
        <v>32</v>
      </c>
      <c r="R3236" t="s">
        <v>32</v>
      </c>
      <c r="S3236" t="s">
        <v>41</v>
      </c>
      <c r="T3236" t="s">
        <v>32</v>
      </c>
      <c r="U3236" t="s">
        <v>32</v>
      </c>
      <c r="V3236" t="s">
        <v>290</v>
      </c>
      <c r="W3236" t="s">
        <v>32</v>
      </c>
      <c r="X3236" t="s">
        <v>32</v>
      </c>
      <c r="Y3236" t="s">
        <v>32</v>
      </c>
      <c r="Z3236" t="s">
        <v>32</v>
      </c>
      <c r="AA3236" t="s">
        <v>32</v>
      </c>
      <c r="AB3236" t="s">
        <v>32</v>
      </c>
      <c r="AC3236" t="s">
        <v>32</v>
      </c>
      <c r="AD3236" t="s">
        <v>32</v>
      </c>
      <c r="AE3236" t="s">
        <v>32</v>
      </c>
      <c r="AF3236" t="s">
        <v>46835</v>
      </c>
    </row>
    <row r="3237" spans="1:33" x14ac:dyDescent="0.2">
      <c r="A3237">
        <v>3232</v>
      </c>
      <c r="B3237" t="s">
        <v>36294</v>
      </c>
      <c r="C3237" t="s">
        <v>36295</v>
      </c>
      <c r="D3237" t="s">
        <v>36296</v>
      </c>
      <c r="E3237" t="s">
        <v>36297</v>
      </c>
      <c r="F3237" t="s">
        <v>36298</v>
      </c>
      <c r="G3237" t="s">
        <v>36299</v>
      </c>
      <c r="H3237" t="str">
        <f>"Lamb2"</f>
        <v>Lamb2</v>
      </c>
      <c r="I3237" t="s">
        <v>36300</v>
      </c>
      <c r="J3237" t="s">
        <v>37</v>
      </c>
      <c r="K3237">
        <v>10090</v>
      </c>
      <c r="L3237" s="3" t="str">
        <f>HYPERLINK("http://www.uniprot.org/uniprot/Q61292", "Q61292")</f>
        <v>Q61292</v>
      </c>
      <c r="M3237" t="s">
        <v>36301</v>
      </c>
      <c r="N3237" t="str">
        <f>"Lamb2"</f>
        <v>Lamb2</v>
      </c>
      <c r="O3237" s="3" t="str">
        <f>HYPERLINK("http://www.informatics.jax.org/marker/MGI:99916", "MGI:99916")</f>
        <v>MGI:99916</v>
      </c>
      <c r="P3237" t="s">
        <v>36302</v>
      </c>
      <c r="Q3237" t="s">
        <v>2784</v>
      </c>
      <c r="R3237" t="s">
        <v>2785</v>
      </c>
      <c r="S3237" t="s">
        <v>32</v>
      </c>
      <c r="T3237" t="s">
        <v>32</v>
      </c>
      <c r="U3237" t="s">
        <v>32</v>
      </c>
      <c r="V3237" t="s">
        <v>3228</v>
      </c>
      <c r="W3237" t="s">
        <v>32</v>
      </c>
      <c r="X3237" t="s">
        <v>32</v>
      </c>
      <c r="Y3237" t="s">
        <v>2865</v>
      </c>
      <c r="Z3237" t="s">
        <v>32</v>
      </c>
      <c r="AA3237" t="s">
        <v>36303</v>
      </c>
      <c r="AB3237" t="s">
        <v>36304</v>
      </c>
      <c r="AC3237" t="s">
        <v>18397</v>
      </c>
      <c r="AD3237" t="s">
        <v>32</v>
      </c>
      <c r="AE3237" t="s">
        <v>32</v>
      </c>
      <c r="AF3237" t="s">
        <v>46835</v>
      </c>
    </row>
    <row r="3238" spans="1:33" x14ac:dyDescent="0.2">
      <c r="A3238">
        <v>3233</v>
      </c>
      <c r="B3238" t="s">
        <v>36305</v>
      </c>
      <c r="C3238" t="s">
        <v>36306</v>
      </c>
      <c r="D3238" t="s">
        <v>32</v>
      </c>
      <c r="E3238" t="s">
        <v>36307</v>
      </c>
      <c r="F3238" t="s">
        <v>36308</v>
      </c>
      <c r="G3238" t="s">
        <v>36309</v>
      </c>
      <c r="H3238" t="str">
        <f>"Pithd1"</f>
        <v>Pithd1</v>
      </c>
      <c r="I3238" t="s">
        <v>36310</v>
      </c>
      <c r="J3238" t="s">
        <v>37</v>
      </c>
      <c r="K3238">
        <v>10090</v>
      </c>
      <c r="L3238" s="3" t="str">
        <f>HYPERLINK("http://www.uniprot.org/uniprot/Q8BWR2", "Q8BWR2")</f>
        <v>Q8BWR2</v>
      </c>
      <c r="M3238" t="s">
        <v>36311</v>
      </c>
      <c r="N3238" t="str">
        <f>"Pithd1"</f>
        <v>Pithd1</v>
      </c>
      <c r="O3238" s="3" t="str">
        <f>HYPERLINK("http://www.informatics.jax.org/marker/MGI:1913443", "MGI:1913443")</f>
        <v>MGI:1913443</v>
      </c>
      <c r="P3238" t="s">
        <v>36312</v>
      </c>
      <c r="Q3238" t="s">
        <v>4152</v>
      </c>
      <c r="R3238" t="s">
        <v>418</v>
      </c>
      <c r="S3238" t="s">
        <v>41</v>
      </c>
      <c r="T3238" t="s">
        <v>32</v>
      </c>
      <c r="U3238" t="s">
        <v>32</v>
      </c>
      <c r="V3238" t="s">
        <v>32</v>
      </c>
      <c r="W3238" t="s">
        <v>32</v>
      </c>
      <c r="X3238" t="s">
        <v>2602</v>
      </c>
      <c r="Y3238" t="s">
        <v>618</v>
      </c>
      <c r="Z3238" t="s">
        <v>32</v>
      </c>
      <c r="AA3238" t="s">
        <v>36313</v>
      </c>
      <c r="AB3238" t="s">
        <v>36314</v>
      </c>
      <c r="AC3238" t="s">
        <v>32</v>
      </c>
      <c r="AD3238" t="s">
        <v>32</v>
      </c>
      <c r="AE3238" t="s">
        <v>32</v>
      </c>
      <c r="AF3238" t="s">
        <v>46835</v>
      </c>
    </row>
    <row r="3239" spans="1:33" x14ac:dyDescent="0.2">
      <c r="A3239">
        <v>3234</v>
      </c>
      <c r="B3239" t="s">
        <v>36315</v>
      </c>
      <c r="C3239" t="s">
        <v>36316</v>
      </c>
      <c r="D3239" t="s">
        <v>36317</v>
      </c>
      <c r="E3239" t="s">
        <v>36318</v>
      </c>
      <c r="F3239" t="s">
        <v>36319</v>
      </c>
      <c r="G3239" t="s">
        <v>36320</v>
      </c>
      <c r="H3239" t="str">
        <f>"Ncbp2"</f>
        <v>Ncbp2</v>
      </c>
      <c r="I3239" t="s">
        <v>36321</v>
      </c>
      <c r="J3239" t="s">
        <v>37</v>
      </c>
      <c r="K3239">
        <v>10090</v>
      </c>
      <c r="L3239" s="3" t="str">
        <f>HYPERLINK("http://www.uniprot.org/uniprot/Q9CQ49", "Q9CQ49")</f>
        <v>Q9CQ49</v>
      </c>
      <c r="M3239" t="s">
        <v>36322</v>
      </c>
      <c r="N3239" t="str">
        <f>"Ncbp2"</f>
        <v>Ncbp2</v>
      </c>
      <c r="O3239" s="3" t="str">
        <f>HYPERLINK("http://www.informatics.jax.org/marker/MGI:1915342", "MGI:1915342")</f>
        <v>MGI:1915342</v>
      </c>
      <c r="P3239" t="s">
        <v>36323</v>
      </c>
      <c r="Q3239" t="s">
        <v>36324</v>
      </c>
      <c r="R3239" t="s">
        <v>40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1282</v>
      </c>
      <c r="Y3239" t="s">
        <v>97</v>
      </c>
      <c r="Z3239" t="s">
        <v>32</v>
      </c>
      <c r="AA3239" t="s">
        <v>36325</v>
      </c>
      <c r="AB3239" t="s">
        <v>36326</v>
      </c>
      <c r="AC3239" t="s">
        <v>36327</v>
      </c>
      <c r="AD3239" t="s">
        <v>32</v>
      </c>
      <c r="AE3239" t="s">
        <v>22266</v>
      </c>
      <c r="AF3239" t="s">
        <v>46835</v>
      </c>
    </row>
    <row r="3240" spans="1:33" x14ac:dyDescent="0.2">
      <c r="A3240">
        <v>3235</v>
      </c>
      <c r="B3240" t="s">
        <v>36328</v>
      </c>
      <c r="C3240" t="s">
        <v>36329</v>
      </c>
      <c r="D3240" t="s">
        <v>32</v>
      </c>
      <c r="E3240" t="s">
        <v>36330</v>
      </c>
      <c r="F3240" t="s">
        <v>36331</v>
      </c>
      <c r="G3240" t="s">
        <v>36332</v>
      </c>
      <c r="H3240" t="str">
        <f>"Iqsec1"</f>
        <v>Iqsec1</v>
      </c>
      <c r="I3240" t="s">
        <v>36333</v>
      </c>
      <c r="J3240" t="s">
        <v>37</v>
      </c>
      <c r="K3240">
        <v>10090</v>
      </c>
      <c r="L3240" s="3" t="str">
        <f>HYPERLINK("http://www.uniprot.org/uniprot/Q8R0S2", "Q8R0S2")</f>
        <v>Q8R0S2</v>
      </c>
      <c r="M3240" t="s">
        <v>36334</v>
      </c>
      <c r="N3240" t="str">
        <f>"Iqsec1"</f>
        <v>Iqsec1</v>
      </c>
      <c r="O3240" s="3" t="str">
        <f>HYPERLINK("http://www.informatics.jax.org/marker/MGI:1196356", "MGI:1196356")</f>
        <v>MGI:1196356</v>
      </c>
      <c r="P3240" t="s">
        <v>36335</v>
      </c>
      <c r="Q3240" t="s">
        <v>32</v>
      </c>
      <c r="R3240" t="s">
        <v>36336</v>
      </c>
      <c r="S3240" t="s">
        <v>41</v>
      </c>
      <c r="T3240" t="s">
        <v>32</v>
      </c>
      <c r="U3240" t="s">
        <v>32</v>
      </c>
      <c r="V3240" t="s">
        <v>290</v>
      </c>
      <c r="W3240" t="s">
        <v>584</v>
      </c>
      <c r="X3240" t="s">
        <v>5011</v>
      </c>
      <c r="Y3240" t="s">
        <v>618</v>
      </c>
      <c r="Z3240" t="s">
        <v>32</v>
      </c>
      <c r="AA3240" t="s">
        <v>36337</v>
      </c>
      <c r="AB3240" t="s">
        <v>36338</v>
      </c>
      <c r="AC3240" t="s">
        <v>36339</v>
      </c>
      <c r="AD3240" t="s">
        <v>32</v>
      </c>
      <c r="AE3240" t="s">
        <v>32</v>
      </c>
      <c r="AF3240" t="s">
        <v>46835</v>
      </c>
    </row>
    <row r="3241" spans="1:33" x14ac:dyDescent="0.2">
      <c r="A3241">
        <v>3236</v>
      </c>
      <c r="B3241" t="s">
        <v>36340</v>
      </c>
      <c r="C3241" t="s">
        <v>36341</v>
      </c>
      <c r="D3241" t="s">
        <v>36342</v>
      </c>
      <c r="E3241" t="s">
        <v>36343</v>
      </c>
      <c r="F3241" t="s">
        <v>36344</v>
      </c>
      <c r="G3241" t="s">
        <v>36345</v>
      </c>
      <c r="H3241" t="str">
        <f>"Rmdn1"</f>
        <v>Rmdn1</v>
      </c>
      <c r="I3241" t="s">
        <v>36346</v>
      </c>
      <c r="J3241" t="s">
        <v>37</v>
      </c>
      <c r="K3241">
        <v>10090</v>
      </c>
      <c r="L3241" s="3" t="str">
        <f>HYPERLINK("http://www.uniprot.org/uniprot/Q9DCV4", "Q9DCV4")</f>
        <v>Q9DCV4</v>
      </c>
      <c r="M3241" t="s">
        <v>36347</v>
      </c>
      <c r="N3241" t="str">
        <f>"Rmdn1"</f>
        <v>Rmdn1</v>
      </c>
      <c r="O3241" s="3" t="str">
        <f>HYPERLINK("http://www.informatics.jax.org/marker/MGI:1913552", "MGI:1913552")</f>
        <v>MGI:1913552</v>
      </c>
      <c r="P3241" t="s">
        <v>36348</v>
      </c>
      <c r="Q3241" t="s">
        <v>32</v>
      </c>
      <c r="R3241" t="s">
        <v>341</v>
      </c>
      <c r="S3241" t="s">
        <v>32</v>
      </c>
      <c r="T3241" t="s">
        <v>32</v>
      </c>
      <c r="U3241" t="s">
        <v>32</v>
      </c>
      <c r="V3241" t="s">
        <v>995</v>
      </c>
      <c r="W3241" t="s">
        <v>32</v>
      </c>
      <c r="X3241" t="s">
        <v>32</v>
      </c>
      <c r="Y3241" t="s">
        <v>32</v>
      </c>
      <c r="Z3241" t="s">
        <v>32</v>
      </c>
      <c r="AA3241" t="s">
        <v>32</v>
      </c>
      <c r="AB3241" t="s">
        <v>36349</v>
      </c>
      <c r="AC3241" t="s">
        <v>3132</v>
      </c>
      <c r="AD3241" t="s">
        <v>32</v>
      </c>
      <c r="AE3241" t="s">
        <v>32</v>
      </c>
      <c r="AF3241" t="s">
        <v>46835</v>
      </c>
    </row>
    <row r="3242" spans="1:33" x14ac:dyDescent="0.2">
      <c r="A3242">
        <v>3237</v>
      </c>
      <c r="B3242" t="s">
        <v>36350</v>
      </c>
      <c r="C3242" t="s">
        <v>36351</v>
      </c>
      <c r="D3242" t="s">
        <v>36352</v>
      </c>
      <c r="E3242" t="s">
        <v>36353</v>
      </c>
      <c r="F3242" t="s">
        <v>36354</v>
      </c>
      <c r="G3242" t="s">
        <v>32</v>
      </c>
      <c r="H3242" t="str">
        <f>"Dctpp1"</f>
        <v>Dctpp1</v>
      </c>
      <c r="I3242" t="s">
        <v>32</v>
      </c>
      <c r="J3242" t="s">
        <v>37</v>
      </c>
      <c r="K3242">
        <v>10090</v>
      </c>
      <c r="L3242" s="3" t="str">
        <f>HYPERLINK("http://www.uniprot.org/uniprot/Q9QY93", "Q9QY93")</f>
        <v>Q9QY93</v>
      </c>
      <c r="M3242" t="s">
        <v>36355</v>
      </c>
      <c r="N3242" t="str">
        <f>"Dctpp1"</f>
        <v>Dctpp1</v>
      </c>
      <c r="O3242" s="3" t="str">
        <f>HYPERLINK("http://www.informatics.jax.org/marker/MGI:1913672", "MGI:1913672")</f>
        <v>MGI:1913672</v>
      </c>
      <c r="P3242" t="s">
        <v>36356</v>
      </c>
      <c r="Q3242" t="s">
        <v>32</v>
      </c>
      <c r="R3242" t="s">
        <v>418</v>
      </c>
      <c r="S3242" t="s">
        <v>32</v>
      </c>
      <c r="T3242" t="s">
        <v>32</v>
      </c>
      <c r="U3242" t="s">
        <v>32</v>
      </c>
      <c r="V3242" t="s">
        <v>32</v>
      </c>
      <c r="W3242" t="s">
        <v>14807</v>
      </c>
      <c r="X3242" t="s">
        <v>343</v>
      </c>
      <c r="Y3242" t="s">
        <v>157</v>
      </c>
      <c r="Z3242" t="s">
        <v>126</v>
      </c>
      <c r="AA3242" t="s">
        <v>36357</v>
      </c>
      <c r="AB3242" t="s">
        <v>4202</v>
      </c>
      <c r="AC3242" t="s">
        <v>36358</v>
      </c>
      <c r="AD3242" t="s">
        <v>32</v>
      </c>
      <c r="AE3242" t="s">
        <v>32</v>
      </c>
      <c r="AF3242" t="s">
        <v>46835</v>
      </c>
    </row>
    <row r="3243" spans="1:33" x14ac:dyDescent="0.2">
      <c r="A3243">
        <v>3238</v>
      </c>
      <c r="B3243" t="s">
        <v>36359</v>
      </c>
      <c r="C3243" t="s">
        <v>36360</v>
      </c>
      <c r="D3243" t="s">
        <v>32</v>
      </c>
      <c r="E3243" t="s">
        <v>36361</v>
      </c>
      <c r="F3243" t="s">
        <v>36362</v>
      </c>
      <c r="G3243" t="s">
        <v>32</v>
      </c>
      <c r="H3243" t="str">
        <f>"Pcmtd1"</f>
        <v>Pcmtd1</v>
      </c>
      <c r="I3243" t="s">
        <v>32</v>
      </c>
      <c r="J3243" t="s">
        <v>37</v>
      </c>
      <c r="K3243">
        <v>10090</v>
      </c>
      <c r="L3243" s="3" t="str">
        <f>HYPERLINK("http://www.uniprot.org/uniprot/P59913", "P59913")</f>
        <v>P59913</v>
      </c>
      <c r="M3243" t="s">
        <v>36363</v>
      </c>
      <c r="N3243" t="str">
        <f>"Pcmtd1"</f>
        <v>Pcmtd1</v>
      </c>
      <c r="O3243" s="3" t="str">
        <f>HYPERLINK("http://www.informatics.jax.org/marker/MGI:2441773", "MGI:2441773")</f>
        <v>MGI:2441773</v>
      </c>
      <c r="P3243" t="s">
        <v>36364</v>
      </c>
      <c r="Q3243" t="s">
        <v>32</v>
      </c>
      <c r="R3243" t="s">
        <v>714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32</v>
      </c>
      <c r="Y3243" t="s">
        <v>15432</v>
      </c>
      <c r="Z3243" t="s">
        <v>32</v>
      </c>
      <c r="AA3243" t="s">
        <v>32</v>
      </c>
      <c r="AB3243" t="s">
        <v>26020</v>
      </c>
      <c r="AC3243" t="s">
        <v>36365</v>
      </c>
      <c r="AD3243" t="s">
        <v>32</v>
      </c>
      <c r="AE3243" t="s">
        <v>32</v>
      </c>
      <c r="AF3243" t="s">
        <v>46835</v>
      </c>
    </row>
    <row r="3244" spans="1:33" x14ac:dyDescent="0.2">
      <c r="A3244">
        <v>3239</v>
      </c>
      <c r="B3244" t="s">
        <v>36366</v>
      </c>
      <c r="C3244" t="s">
        <v>36367</v>
      </c>
      <c r="D3244" t="s">
        <v>36368</v>
      </c>
      <c r="E3244" t="s">
        <v>36369</v>
      </c>
      <c r="F3244" t="s">
        <v>36370</v>
      </c>
      <c r="G3244" t="s">
        <v>36371</v>
      </c>
      <c r="H3244" t="str">
        <f>"Gprc5b"</f>
        <v>Gprc5b</v>
      </c>
      <c r="I3244" t="s">
        <v>36372</v>
      </c>
      <c r="J3244" t="s">
        <v>37</v>
      </c>
      <c r="K3244">
        <v>10090</v>
      </c>
      <c r="L3244" s="3" t="str">
        <f>HYPERLINK("http://www.uniprot.org/uniprot/Q923Z0", "Q923Z0")</f>
        <v>Q923Z0</v>
      </c>
      <c r="M3244" t="s">
        <v>36373</v>
      </c>
      <c r="N3244" t="str">
        <f>"Gprc5b"</f>
        <v>Gprc5b</v>
      </c>
      <c r="O3244" s="3" t="str">
        <f>HYPERLINK("http://www.informatics.jax.org/marker/MGI:1927596", "MGI:1927596")</f>
        <v>MGI:1927596</v>
      </c>
      <c r="P3244" t="s">
        <v>36374</v>
      </c>
      <c r="Q3244" t="s">
        <v>32</v>
      </c>
      <c r="R3244" t="s">
        <v>2474</v>
      </c>
      <c r="S3244" t="s">
        <v>32</v>
      </c>
      <c r="T3244" t="s">
        <v>32</v>
      </c>
      <c r="U3244" t="s">
        <v>32</v>
      </c>
      <c r="V3244" t="s">
        <v>3948</v>
      </c>
      <c r="W3244" t="s">
        <v>32</v>
      </c>
      <c r="X3244" t="s">
        <v>36375</v>
      </c>
      <c r="Y3244" t="s">
        <v>4720</v>
      </c>
      <c r="Z3244" t="s">
        <v>32</v>
      </c>
      <c r="AA3244" t="s">
        <v>36376</v>
      </c>
      <c r="AB3244" t="s">
        <v>36377</v>
      </c>
      <c r="AC3244" t="s">
        <v>36378</v>
      </c>
      <c r="AD3244" t="s">
        <v>32</v>
      </c>
      <c r="AE3244" t="s">
        <v>32</v>
      </c>
      <c r="AF3244" t="s">
        <v>46835</v>
      </c>
    </row>
    <row r="3245" spans="1:33" x14ac:dyDescent="0.2">
      <c r="A3245">
        <v>3240</v>
      </c>
      <c r="B3245" t="s">
        <v>36379</v>
      </c>
      <c r="C3245" t="s">
        <v>36380</v>
      </c>
      <c r="D3245" t="s">
        <v>36381</v>
      </c>
      <c r="E3245" t="s">
        <v>36382</v>
      </c>
      <c r="F3245" t="s">
        <v>36383</v>
      </c>
      <c r="G3245" t="s">
        <v>36384</v>
      </c>
      <c r="H3245" t="str">
        <f>"Man2b1"</f>
        <v>Man2b1</v>
      </c>
      <c r="I3245" t="s">
        <v>36385</v>
      </c>
      <c r="J3245" t="s">
        <v>37</v>
      </c>
      <c r="K3245">
        <v>10090</v>
      </c>
      <c r="L3245" s="3" t="str">
        <f>HYPERLINK("http://www.uniprot.org/uniprot/O09159", "O09159")</f>
        <v>O09159</v>
      </c>
      <c r="M3245" t="s">
        <v>36386</v>
      </c>
      <c r="N3245" t="str">
        <f>"Man2b1"</f>
        <v>Man2b1</v>
      </c>
      <c r="O3245" s="3" t="str">
        <f>HYPERLINK("http://www.informatics.jax.org/marker/MGI:107286", "MGI:107286")</f>
        <v>MGI:107286</v>
      </c>
      <c r="P3245" t="s">
        <v>36387</v>
      </c>
      <c r="Q3245" t="s">
        <v>32</v>
      </c>
      <c r="R3245" t="s">
        <v>13962</v>
      </c>
      <c r="S3245" t="s">
        <v>32</v>
      </c>
      <c r="T3245" t="s">
        <v>32</v>
      </c>
      <c r="U3245" t="s">
        <v>32</v>
      </c>
      <c r="V3245" t="s">
        <v>811</v>
      </c>
      <c r="W3245" t="s">
        <v>42</v>
      </c>
      <c r="X3245" t="s">
        <v>4316</v>
      </c>
      <c r="Y3245" t="s">
        <v>5275</v>
      </c>
      <c r="Z3245" t="s">
        <v>32</v>
      </c>
      <c r="AA3245" t="s">
        <v>36388</v>
      </c>
      <c r="AB3245" t="s">
        <v>36389</v>
      </c>
      <c r="AC3245" t="s">
        <v>36390</v>
      </c>
      <c r="AD3245" t="s">
        <v>32</v>
      </c>
      <c r="AE3245" t="s">
        <v>36391</v>
      </c>
      <c r="AF3245" t="s">
        <v>46835</v>
      </c>
    </row>
    <row r="3246" spans="1:33" x14ac:dyDescent="0.2">
      <c r="A3246">
        <v>3241</v>
      </c>
      <c r="B3246" t="s">
        <v>36392</v>
      </c>
      <c r="C3246" t="s">
        <v>36393</v>
      </c>
      <c r="D3246" t="s">
        <v>36394</v>
      </c>
      <c r="E3246" t="s">
        <v>36395</v>
      </c>
      <c r="F3246" t="s">
        <v>36396</v>
      </c>
      <c r="G3246" t="s">
        <v>32</v>
      </c>
      <c r="H3246" t="str">
        <f>"Atxn3"</f>
        <v>Atxn3</v>
      </c>
      <c r="I3246" t="s">
        <v>36397</v>
      </c>
      <c r="J3246" t="s">
        <v>37</v>
      </c>
      <c r="K3246">
        <v>10090</v>
      </c>
      <c r="L3246" s="3" t="str">
        <f>HYPERLINK("http://www.uniprot.org/uniprot/Q9CVD2", "Q9CVD2")</f>
        <v>Q9CVD2</v>
      </c>
      <c r="M3246" t="s">
        <v>36398</v>
      </c>
      <c r="N3246" t="str">
        <f>"Atxn3"</f>
        <v>Atxn3</v>
      </c>
      <c r="O3246" s="3" t="str">
        <f>HYPERLINK("http://www.informatics.jax.org/marker/MGI:1099442", "MGI:1099442")</f>
        <v>MGI:1099442</v>
      </c>
      <c r="P3246" t="s">
        <v>36399</v>
      </c>
      <c r="Q3246" t="s">
        <v>2278</v>
      </c>
      <c r="R3246" t="s">
        <v>2279</v>
      </c>
      <c r="S3246" t="s">
        <v>32</v>
      </c>
      <c r="T3246" t="s">
        <v>32</v>
      </c>
      <c r="U3246" t="s">
        <v>32</v>
      </c>
      <c r="V3246" t="s">
        <v>55</v>
      </c>
      <c r="W3246" t="s">
        <v>32</v>
      </c>
      <c r="X3246" t="s">
        <v>557</v>
      </c>
      <c r="Y3246" t="s">
        <v>1007</v>
      </c>
      <c r="Z3246" t="s">
        <v>32</v>
      </c>
      <c r="AA3246" t="s">
        <v>36400</v>
      </c>
      <c r="AB3246" t="s">
        <v>36401</v>
      </c>
      <c r="AC3246" t="s">
        <v>36402</v>
      </c>
      <c r="AD3246" t="s">
        <v>32</v>
      </c>
      <c r="AE3246" t="s">
        <v>36403</v>
      </c>
      <c r="AF3246" t="s">
        <v>46835</v>
      </c>
    </row>
    <row r="3247" spans="1:33" x14ac:dyDescent="0.2">
      <c r="A3247">
        <v>3242</v>
      </c>
      <c r="B3247" t="s">
        <v>36404</v>
      </c>
      <c r="C3247" t="s">
        <v>47130</v>
      </c>
      <c r="D3247" t="s">
        <v>32</v>
      </c>
      <c r="E3247" t="s">
        <v>47020</v>
      </c>
      <c r="F3247" t="s">
        <v>47019</v>
      </c>
      <c r="G3247" t="s">
        <v>32</v>
      </c>
      <c r="H3247" t="s">
        <v>47261</v>
      </c>
      <c r="I3247" t="s">
        <v>32</v>
      </c>
      <c r="J3247" t="s">
        <v>37</v>
      </c>
      <c r="K3247">
        <v>10090</v>
      </c>
      <c r="L3247" s="3" t="str">
        <f>HYPERLINK(CONCATENATE("https://www.uniprot.org/uniprotkb/", AG3247, "/entry"), AG3247)</f>
        <v>Q8K409</v>
      </c>
      <c r="M3247" t="s">
        <v>32</v>
      </c>
      <c r="N3247" t="s">
        <v>32</v>
      </c>
      <c r="O3247" s="3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t="s">
        <v>32</v>
      </c>
      <c r="Z3247" t="s">
        <v>32</v>
      </c>
      <c r="AA3247" t="s">
        <v>32</v>
      </c>
      <c r="AB3247" t="s">
        <v>32</v>
      </c>
      <c r="AC3247" t="s">
        <v>32</v>
      </c>
      <c r="AD3247" t="s">
        <v>32</v>
      </c>
      <c r="AE3247" t="s">
        <v>32</v>
      </c>
      <c r="AF3247" t="s">
        <v>46835</v>
      </c>
      <c r="AG3247" t="s">
        <v>47019</v>
      </c>
    </row>
    <row r="3248" spans="1:33" x14ac:dyDescent="0.2">
      <c r="A3248">
        <v>3243</v>
      </c>
      <c r="B3248" t="s">
        <v>36405</v>
      </c>
      <c r="C3248" t="s">
        <v>36406</v>
      </c>
      <c r="D3248" t="s">
        <v>36407</v>
      </c>
      <c r="E3248" t="s">
        <v>36408</v>
      </c>
      <c r="F3248" t="s">
        <v>36409</v>
      </c>
      <c r="G3248" t="s">
        <v>36410</v>
      </c>
      <c r="H3248" t="str">
        <f>"Stag2"</f>
        <v>Stag2</v>
      </c>
      <c r="I3248" t="s">
        <v>36411</v>
      </c>
      <c r="J3248" t="s">
        <v>37</v>
      </c>
      <c r="K3248">
        <v>10090</v>
      </c>
      <c r="L3248" s="3" t="str">
        <f>HYPERLINK("http://www.uniprot.org/uniprot/O35638", "O35638")</f>
        <v>O35638</v>
      </c>
      <c r="M3248" t="s">
        <v>36412</v>
      </c>
      <c r="N3248" t="str">
        <f>"Stag2"</f>
        <v>Stag2</v>
      </c>
      <c r="O3248" s="3" t="str">
        <f>HYPERLINK("http://www.informatics.jax.org/marker/MGI:1098583", "MGI:1098583")</f>
        <v>MGI:1098583</v>
      </c>
      <c r="P3248" t="s">
        <v>36413</v>
      </c>
      <c r="Q3248" t="s">
        <v>14888</v>
      </c>
      <c r="R3248" t="s">
        <v>7397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t="s">
        <v>157</v>
      </c>
      <c r="Z3248" t="s">
        <v>32</v>
      </c>
      <c r="AA3248" t="s">
        <v>36414</v>
      </c>
      <c r="AB3248" t="s">
        <v>36415</v>
      </c>
      <c r="AC3248" t="s">
        <v>16404</v>
      </c>
      <c r="AD3248" t="s">
        <v>32</v>
      </c>
      <c r="AE3248" t="s">
        <v>10523</v>
      </c>
      <c r="AF3248" t="s">
        <v>46835</v>
      </c>
    </row>
    <row r="3249" spans="1:32" x14ac:dyDescent="0.2">
      <c r="A3249">
        <v>3244</v>
      </c>
      <c r="B3249" t="s">
        <v>36416</v>
      </c>
      <c r="C3249" t="s">
        <v>36417</v>
      </c>
      <c r="D3249" t="s">
        <v>36418</v>
      </c>
      <c r="E3249" t="s">
        <v>36419</v>
      </c>
      <c r="F3249" t="s">
        <v>36420</v>
      </c>
      <c r="G3249" t="s">
        <v>36421</v>
      </c>
      <c r="H3249" t="str">
        <f>"Trip13"</f>
        <v>Trip13</v>
      </c>
      <c r="I3249" t="s">
        <v>36422</v>
      </c>
      <c r="J3249" t="s">
        <v>37</v>
      </c>
      <c r="K3249">
        <v>10090</v>
      </c>
      <c r="L3249" s="3" t="str">
        <f>HYPERLINK("http://www.uniprot.org/uniprot/Q3UA06", "Q3UA06")</f>
        <v>Q3UA06</v>
      </c>
      <c r="M3249" t="s">
        <v>36423</v>
      </c>
      <c r="N3249" t="str">
        <f>"Trip13"</f>
        <v>Trip13</v>
      </c>
      <c r="O3249" s="3" t="str">
        <f>HYPERLINK("http://www.informatics.jax.org/marker/MGI:1916966", "MGI:1916966")</f>
        <v>MGI:1916966</v>
      </c>
      <c r="P3249" t="s">
        <v>36424</v>
      </c>
      <c r="Q3249" t="s">
        <v>36425</v>
      </c>
      <c r="R3249" t="s">
        <v>32</v>
      </c>
      <c r="S3249" t="s">
        <v>41</v>
      </c>
      <c r="T3249" t="s">
        <v>32</v>
      </c>
      <c r="U3249" t="s">
        <v>32</v>
      </c>
      <c r="V3249" t="s">
        <v>32</v>
      </c>
      <c r="W3249" t="s">
        <v>205</v>
      </c>
      <c r="X3249" t="s">
        <v>32</v>
      </c>
      <c r="Y3249" t="s">
        <v>78</v>
      </c>
      <c r="Z3249" t="s">
        <v>32</v>
      </c>
      <c r="AA3249" t="s">
        <v>36426</v>
      </c>
      <c r="AB3249" t="s">
        <v>36427</v>
      </c>
      <c r="AC3249" t="s">
        <v>22196</v>
      </c>
      <c r="AD3249" t="s">
        <v>32</v>
      </c>
      <c r="AE3249" t="s">
        <v>32</v>
      </c>
      <c r="AF3249" t="s">
        <v>46835</v>
      </c>
    </row>
    <row r="3250" spans="1:32" x14ac:dyDescent="0.2">
      <c r="A3250">
        <v>3245</v>
      </c>
      <c r="B3250" t="s">
        <v>36428</v>
      </c>
      <c r="C3250" t="s">
        <v>36429</v>
      </c>
      <c r="D3250" t="s">
        <v>36430</v>
      </c>
      <c r="E3250" t="s">
        <v>36431</v>
      </c>
      <c r="F3250" t="s">
        <v>36432</v>
      </c>
      <c r="G3250" t="s">
        <v>36433</v>
      </c>
      <c r="H3250" t="str">
        <f>"Mrrf"</f>
        <v>Mrrf</v>
      </c>
      <c r="I3250" t="s">
        <v>32</v>
      </c>
      <c r="J3250" t="s">
        <v>37</v>
      </c>
      <c r="K3250">
        <v>10090</v>
      </c>
      <c r="L3250" s="3" t="str">
        <f>HYPERLINK("http://www.uniprot.org/uniprot/Q9D6S7", "Q9D6S7")</f>
        <v>Q9D6S7</v>
      </c>
      <c r="M3250" t="s">
        <v>36434</v>
      </c>
      <c r="N3250" t="str">
        <f>"Mrrf"</f>
        <v>Mrrf</v>
      </c>
      <c r="O3250" s="3" t="str">
        <f>HYPERLINK("http://www.informatics.jax.org/marker/MGI:1915121", "MGI:1915121")</f>
        <v>MGI:1915121</v>
      </c>
      <c r="P3250" t="s">
        <v>36435</v>
      </c>
      <c r="Q3250" t="s">
        <v>260</v>
      </c>
      <c r="R3250" t="s">
        <v>1038</v>
      </c>
      <c r="S3250" t="s">
        <v>32</v>
      </c>
      <c r="T3250" t="s">
        <v>32</v>
      </c>
      <c r="U3250" t="s">
        <v>32</v>
      </c>
      <c r="V3250" t="s">
        <v>1039</v>
      </c>
      <c r="W3250" t="s">
        <v>32</v>
      </c>
      <c r="X3250" t="s">
        <v>32</v>
      </c>
      <c r="Y3250" t="s">
        <v>32</v>
      </c>
      <c r="Z3250" t="s">
        <v>126</v>
      </c>
      <c r="AA3250" t="s">
        <v>36436</v>
      </c>
      <c r="AB3250" t="s">
        <v>3721</v>
      </c>
      <c r="AC3250" t="s">
        <v>36437</v>
      </c>
      <c r="AD3250" t="s">
        <v>32</v>
      </c>
      <c r="AE3250" t="s">
        <v>36438</v>
      </c>
      <c r="AF3250" t="s">
        <v>46835</v>
      </c>
    </row>
    <row r="3251" spans="1:32" x14ac:dyDescent="0.2">
      <c r="A3251">
        <v>3246</v>
      </c>
      <c r="B3251" t="s">
        <v>36439</v>
      </c>
      <c r="C3251" t="s">
        <v>36440</v>
      </c>
      <c r="D3251" t="s">
        <v>36441</v>
      </c>
      <c r="E3251" t="s">
        <v>36442</v>
      </c>
      <c r="F3251" t="s">
        <v>36443</v>
      </c>
      <c r="G3251" t="s">
        <v>36444</v>
      </c>
      <c r="H3251" t="str">
        <f>"Rmdn3"</f>
        <v>Rmdn3</v>
      </c>
      <c r="I3251" t="s">
        <v>36445</v>
      </c>
      <c r="J3251" t="s">
        <v>37</v>
      </c>
      <c r="K3251">
        <v>10090</v>
      </c>
      <c r="L3251" s="3" t="str">
        <f>HYPERLINK("http://www.uniprot.org/uniprot/Q3UJU9", "Q3UJU9")</f>
        <v>Q3UJU9</v>
      </c>
      <c r="M3251" t="s">
        <v>36446</v>
      </c>
      <c r="N3251" t="str">
        <f>"Rmdn3"</f>
        <v>Rmdn3</v>
      </c>
      <c r="O3251" s="3" t="str">
        <f>HYPERLINK("http://www.informatics.jax.org/marker/MGI:1915059", "MGI:1915059")</f>
        <v>MGI:1915059</v>
      </c>
      <c r="P3251" t="s">
        <v>36447</v>
      </c>
      <c r="Q3251" t="s">
        <v>36448</v>
      </c>
      <c r="R3251" t="s">
        <v>36449</v>
      </c>
      <c r="S3251" t="s">
        <v>32</v>
      </c>
      <c r="T3251" t="s">
        <v>32</v>
      </c>
      <c r="U3251" t="s">
        <v>32</v>
      </c>
      <c r="V3251" t="s">
        <v>6500</v>
      </c>
      <c r="W3251" t="s">
        <v>32</v>
      </c>
      <c r="X3251" t="s">
        <v>32</v>
      </c>
      <c r="Y3251" t="s">
        <v>618</v>
      </c>
      <c r="Z3251" t="s">
        <v>32</v>
      </c>
      <c r="AA3251" t="s">
        <v>36450</v>
      </c>
      <c r="AB3251" t="s">
        <v>36451</v>
      </c>
      <c r="AC3251" t="s">
        <v>3132</v>
      </c>
      <c r="AD3251" t="s">
        <v>32</v>
      </c>
      <c r="AE3251" t="s">
        <v>32</v>
      </c>
      <c r="AF3251" t="s">
        <v>46835</v>
      </c>
    </row>
    <row r="3252" spans="1:32" x14ac:dyDescent="0.2">
      <c r="A3252">
        <v>3247</v>
      </c>
      <c r="B3252" t="s">
        <v>36452</v>
      </c>
      <c r="C3252" t="s">
        <v>36453</v>
      </c>
      <c r="D3252" t="s">
        <v>36454</v>
      </c>
      <c r="E3252" t="s">
        <v>36455</v>
      </c>
      <c r="F3252" t="s">
        <v>36456</v>
      </c>
      <c r="G3252" t="s">
        <v>36457</v>
      </c>
      <c r="H3252" t="str">
        <f>"Strada"</f>
        <v>Strada</v>
      </c>
      <c r="I3252" t="s">
        <v>36458</v>
      </c>
      <c r="J3252" t="s">
        <v>37</v>
      </c>
      <c r="K3252">
        <v>10090</v>
      </c>
      <c r="L3252" s="3" t="str">
        <f>HYPERLINK("http://www.uniprot.org/uniprot/Q3UUJ4", "Q3UUJ4")</f>
        <v>Q3UUJ4</v>
      </c>
      <c r="M3252" t="s">
        <v>36459</v>
      </c>
      <c r="N3252" t="str">
        <f>"Strada"</f>
        <v>Strada</v>
      </c>
      <c r="O3252" s="3" t="str">
        <f>HYPERLINK("http://www.informatics.jax.org/marker/MGI:1919399", "MGI:1919399")</f>
        <v>MGI:1919399</v>
      </c>
      <c r="P3252" t="s">
        <v>36460</v>
      </c>
      <c r="Q3252" t="s">
        <v>9824</v>
      </c>
      <c r="R3252" t="s">
        <v>40</v>
      </c>
      <c r="S3252" t="s">
        <v>41</v>
      </c>
      <c r="T3252" t="s">
        <v>32</v>
      </c>
      <c r="U3252" t="s">
        <v>32</v>
      </c>
      <c r="V3252" t="s">
        <v>32</v>
      </c>
      <c r="W3252" t="s">
        <v>32</v>
      </c>
      <c r="X3252" t="s">
        <v>32</v>
      </c>
      <c r="Y3252" t="s">
        <v>618</v>
      </c>
      <c r="Z3252" t="s">
        <v>32</v>
      </c>
      <c r="AA3252" t="s">
        <v>36461</v>
      </c>
      <c r="AB3252" t="s">
        <v>36462</v>
      </c>
      <c r="AC3252" t="s">
        <v>36463</v>
      </c>
      <c r="AD3252" t="s">
        <v>32</v>
      </c>
      <c r="AE3252" t="s">
        <v>36464</v>
      </c>
      <c r="AF3252" t="s">
        <v>46835</v>
      </c>
    </row>
    <row r="3253" spans="1:32" x14ac:dyDescent="0.2">
      <c r="A3253">
        <v>3248</v>
      </c>
      <c r="B3253" t="s">
        <v>36465</v>
      </c>
      <c r="C3253" t="s">
        <v>36466</v>
      </c>
      <c r="D3253" t="s">
        <v>36467</v>
      </c>
      <c r="E3253" t="s">
        <v>36468</v>
      </c>
      <c r="F3253" t="s">
        <v>36469</v>
      </c>
      <c r="G3253" t="s">
        <v>36470</v>
      </c>
      <c r="H3253" t="str">
        <f>"Mfn2"</f>
        <v>Mfn2</v>
      </c>
      <c r="I3253" t="s">
        <v>36471</v>
      </c>
      <c r="J3253" t="s">
        <v>37</v>
      </c>
      <c r="K3253">
        <v>10090</v>
      </c>
      <c r="L3253" s="3" t="str">
        <f>HYPERLINK("http://www.uniprot.org/uniprot/Q80U63", "Q80U63")</f>
        <v>Q80U63</v>
      </c>
      <c r="M3253" t="s">
        <v>36472</v>
      </c>
      <c r="N3253" t="str">
        <f>"Mfn2"</f>
        <v>Mfn2</v>
      </c>
      <c r="O3253" s="3" t="str">
        <f>HYPERLINK("http://www.informatics.jax.org/marker/MGI:2442230", "MGI:2442230")</f>
        <v>MGI:2442230</v>
      </c>
      <c r="P3253" t="s">
        <v>36473</v>
      </c>
      <c r="Q3253" t="s">
        <v>36474</v>
      </c>
      <c r="R3253" t="s">
        <v>4782</v>
      </c>
      <c r="S3253" t="s">
        <v>41</v>
      </c>
      <c r="T3253" t="s">
        <v>32</v>
      </c>
      <c r="U3253" t="s">
        <v>32</v>
      </c>
      <c r="V3253" t="s">
        <v>6500</v>
      </c>
      <c r="W3253" t="s">
        <v>261</v>
      </c>
      <c r="X3253" t="s">
        <v>36475</v>
      </c>
      <c r="Y3253" t="s">
        <v>2836</v>
      </c>
      <c r="Z3253" t="s">
        <v>32</v>
      </c>
      <c r="AA3253" t="s">
        <v>36476</v>
      </c>
      <c r="AB3253" t="s">
        <v>36477</v>
      </c>
      <c r="AC3253" t="s">
        <v>36478</v>
      </c>
      <c r="AD3253" t="s">
        <v>32</v>
      </c>
      <c r="AE3253" t="s">
        <v>36479</v>
      </c>
      <c r="AF3253" t="s">
        <v>46835</v>
      </c>
    </row>
    <row r="3254" spans="1:32" x14ac:dyDescent="0.2">
      <c r="A3254">
        <v>3249</v>
      </c>
      <c r="B3254" t="s">
        <v>36480</v>
      </c>
      <c r="C3254" t="s">
        <v>36481</v>
      </c>
      <c r="D3254" t="s">
        <v>36482</v>
      </c>
      <c r="E3254" t="s">
        <v>36483</v>
      </c>
      <c r="F3254" t="s">
        <v>36484</v>
      </c>
      <c r="G3254" t="s">
        <v>36485</v>
      </c>
      <c r="H3254" t="str">
        <f>"Mest"</f>
        <v>Mest</v>
      </c>
      <c r="I3254" t="s">
        <v>36486</v>
      </c>
      <c r="J3254" t="s">
        <v>37</v>
      </c>
      <c r="K3254">
        <v>10090</v>
      </c>
      <c r="L3254" s="3" t="str">
        <f>HYPERLINK("http://www.uniprot.org/uniprot/Q07646", "Q07646")</f>
        <v>Q07646</v>
      </c>
      <c r="M3254" t="s">
        <v>36487</v>
      </c>
      <c r="N3254" t="str">
        <f>"Mest"</f>
        <v>Mest</v>
      </c>
      <c r="O3254" s="3" t="str">
        <f>HYPERLINK("http://www.informatics.jax.org/marker/MGI:96968", "MGI:96968")</f>
        <v>MGI:96968</v>
      </c>
      <c r="P3254" t="s">
        <v>36488</v>
      </c>
      <c r="Q3254" t="s">
        <v>32</v>
      </c>
      <c r="R3254" t="s">
        <v>1664</v>
      </c>
      <c r="S3254" t="s">
        <v>41</v>
      </c>
      <c r="T3254" t="s">
        <v>32</v>
      </c>
      <c r="U3254" t="s">
        <v>32</v>
      </c>
      <c r="V3254" t="s">
        <v>493</v>
      </c>
      <c r="W3254" t="s">
        <v>32</v>
      </c>
      <c r="X3254" t="s">
        <v>343</v>
      </c>
      <c r="Y3254" t="s">
        <v>3733</v>
      </c>
      <c r="Z3254" t="s">
        <v>32</v>
      </c>
      <c r="AA3254" t="s">
        <v>36489</v>
      </c>
      <c r="AB3254" t="s">
        <v>16952</v>
      </c>
      <c r="AC3254" t="s">
        <v>17866</v>
      </c>
      <c r="AD3254" t="s">
        <v>32</v>
      </c>
      <c r="AE3254" t="s">
        <v>32</v>
      </c>
      <c r="AF3254" t="s">
        <v>46835</v>
      </c>
    </row>
    <row r="3255" spans="1:32" x14ac:dyDescent="0.2">
      <c r="A3255">
        <v>3250</v>
      </c>
      <c r="B3255" t="s">
        <v>36490</v>
      </c>
      <c r="C3255" t="s">
        <v>36491</v>
      </c>
      <c r="D3255" t="s">
        <v>36492</v>
      </c>
      <c r="E3255" t="s">
        <v>36493</v>
      </c>
      <c r="F3255" t="s">
        <v>36494</v>
      </c>
      <c r="G3255" t="s">
        <v>32</v>
      </c>
      <c r="H3255" t="str">
        <f>"Akt3"</f>
        <v>Akt3</v>
      </c>
      <c r="I3255" t="s">
        <v>32</v>
      </c>
      <c r="J3255" t="s">
        <v>37</v>
      </c>
      <c r="K3255">
        <v>10090</v>
      </c>
      <c r="L3255" s="3" t="str">
        <f>HYPERLINK("http://www.uniprot.org/uniprot/Q9WUA6", "Q9WUA6")</f>
        <v>Q9WUA6</v>
      </c>
      <c r="M3255" t="s">
        <v>36495</v>
      </c>
      <c r="N3255" t="str">
        <f>"Akt3"</f>
        <v>Akt3</v>
      </c>
      <c r="O3255" s="3" t="str">
        <f>HYPERLINK("http://www.informatics.jax.org/marker/MGI:1345147", "MGI:1345147")</f>
        <v>MGI:1345147</v>
      </c>
      <c r="P3255" t="s">
        <v>36496</v>
      </c>
      <c r="Q3255" t="s">
        <v>32</v>
      </c>
      <c r="R3255" t="s">
        <v>5943</v>
      </c>
      <c r="S3255" t="s">
        <v>41</v>
      </c>
      <c r="T3255" t="s">
        <v>32</v>
      </c>
      <c r="U3255" t="s">
        <v>32</v>
      </c>
      <c r="V3255" t="s">
        <v>32</v>
      </c>
      <c r="W3255" t="s">
        <v>205</v>
      </c>
      <c r="X3255" t="s">
        <v>5419</v>
      </c>
      <c r="Y3255" t="s">
        <v>31313</v>
      </c>
      <c r="Z3255" t="s">
        <v>32</v>
      </c>
      <c r="AA3255" t="s">
        <v>36497</v>
      </c>
      <c r="AB3255" t="s">
        <v>12871</v>
      </c>
      <c r="AC3255" t="s">
        <v>36498</v>
      </c>
      <c r="AD3255" t="s">
        <v>32</v>
      </c>
      <c r="AE3255" t="s">
        <v>36499</v>
      </c>
      <c r="AF3255" t="s">
        <v>46835</v>
      </c>
    </row>
    <row r="3256" spans="1:32" x14ac:dyDescent="0.2">
      <c r="A3256">
        <v>3251</v>
      </c>
      <c r="B3256" t="s">
        <v>36500</v>
      </c>
      <c r="C3256" t="s">
        <v>36501</v>
      </c>
      <c r="D3256" t="s">
        <v>32</v>
      </c>
      <c r="E3256" t="s">
        <v>36502</v>
      </c>
      <c r="F3256" t="s">
        <v>36503</v>
      </c>
      <c r="G3256" t="s">
        <v>36504</v>
      </c>
      <c r="H3256" t="str">
        <f>"Mrpl44"</f>
        <v>Mrpl44</v>
      </c>
      <c r="I3256" t="s">
        <v>32</v>
      </c>
      <c r="J3256" t="s">
        <v>37</v>
      </c>
      <c r="K3256">
        <v>10090</v>
      </c>
      <c r="L3256" s="3" t="str">
        <f>HYPERLINK("http://www.uniprot.org/uniprot/Q9CY73", "Q9CY73")</f>
        <v>Q9CY73</v>
      </c>
      <c r="M3256" t="s">
        <v>36505</v>
      </c>
      <c r="N3256" t="str">
        <f>"Mrpl44"</f>
        <v>Mrpl44</v>
      </c>
      <c r="O3256" s="3" t="str">
        <f>HYPERLINK("http://www.informatics.jax.org/marker/MGI:1916413", "MGI:1916413")</f>
        <v>MGI:1916413</v>
      </c>
      <c r="P3256" t="s">
        <v>36506</v>
      </c>
      <c r="Q3256" t="s">
        <v>32</v>
      </c>
      <c r="R3256" t="s">
        <v>1038</v>
      </c>
      <c r="S3256" t="s">
        <v>41</v>
      </c>
      <c r="T3256" t="s">
        <v>32</v>
      </c>
      <c r="U3256" t="s">
        <v>32</v>
      </c>
      <c r="V3256" t="s">
        <v>1039</v>
      </c>
      <c r="W3256" t="s">
        <v>32</v>
      </c>
      <c r="X3256" t="s">
        <v>36507</v>
      </c>
      <c r="Y3256" t="s">
        <v>32</v>
      </c>
      <c r="Z3256" t="s">
        <v>32</v>
      </c>
      <c r="AA3256" t="s">
        <v>36508</v>
      </c>
      <c r="AB3256" t="s">
        <v>36509</v>
      </c>
      <c r="AC3256" t="s">
        <v>36510</v>
      </c>
      <c r="AD3256" t="s">
        <v>32</v>
      </c>
      <c r="AE3256" t="s">
        <v>17271</v>
      </c>
      <c r="AF3256" t="s">
        <v>46835</v>
      </c>
    </row>
    <row r="3257" spans="1:32" x14ac:dyDescent="0.2">
      <c r="A3257">
        <v>3252</v>
      </c>
      <c r="B3257" t="s">
        <v>36511</v>
      </c>
      <c r="C3257" t="s">
        <v>36512</v>
      </c>
      <c r="D3257" t="s">
        <v>36513</v>
      </c>
      <c r="E3257" t="s">
        <v>36514</v>
      </c>
      <c r="F3257" t="s">
        <v>36515</v>
      </c>
      <c r="G3257" t="s">
        <v>36516</v>
      </c>
      <c r="H3257" t="str">
        <f>"Zmym2"</f>
        <v>Zmym2</v>
      </c>
      <c r="I3257" t="s">
        <v>36517</v>
      </c>
      <c r="J3257" t="s">
        <v>37</v>
      </c>
      <c r="K3257">
        <v>10090</v>
      </c>
      <c r="L3257" s="3" t="str">
        <f>HYPERLINK("http://www.uniprot.org/uniprot/Q9CU65", "Q9CU65")</f>
        <v>Q9CU65</v>
      </c>
      <c r="M3257" t="s">
        <v>36518</v>
      </c>
      <c r="N3257" t="str">
        <f>"Zmym2"</f>
        <v>Zmym2</v>
      </c>
      <c r="O3257" s="3" t="str">
        <f>HYPERLINK("http://www.informatics.jax.org/marker/MGI:1923257", "MGI:1923257")</f>
        <v>MGI:1923257</v>
      </c>
      <c r="P3257" t="s">
        <v>36519</v>
      </c>
      <c r="Q3257" t="s">
        <v>4152</v>
      </c>
      <c r="R3257" t="s">
        <v>2279</v>
      </c>
      <c r="S3257" t="s">
        <v>32</v>
      </c>
      <c r="T3257" t="s">
        <v>32</v>
      </c>
      <c r="U3257" t="s">
        <v>32</v>
      </c>
      <c r="V3257" t="s">
        <v>3791</v>
      </c>
      <c r="W3257" t="s">
        <v>42</v>
      </c>
      <c r="X3257" t="s">
        <v>32</v>
      </c>
      <c r="Y3257" t="s">
        <v>1007</v>
      </c>
      <c r="Z3257" t="s">
        <v>32</v>
      </c>
      <c r="AA3257" t="s">
        <v>36520</v>
      </c>
      <c r="AB3257" t="s">
        <v>36521</v>
      </c>
      <c r="AC3257" t="s">
        <v>36522</v>
      </c>
      <c r="AD3257" t="s">
        <v>32</v>
      </c>
      <c r="AE3257" t="s">
        <v>32</v>
      </c>
      <c r="AF3257" t="s">
        <v>46835</v>
      </c>
    </row>
    <row r="3258" spans="1:32" x14ac:dyDescent="0.2">
      <c r="A3258">
        <v>3253</v>
      </c>
      <c r="B3258" t="s">
        <v>36523</v>
      </c>
      <c r="C3258" t="s">
        <v>36524</v>
      </c>
      <c r="D3258" t="s">
        <v>32</v>
      </c>
      <c r="E3258" t="s">
        <v>36525</v>
      </c>
      <c r="F3258" t="s">
        <v>36526</v>
      </c>
      <c r="G3258" t="s">
        <v>36527</v>
      </c>
      <c r="H3258" t="s">
        <v>32</v>
      </c>
      <c r="I3258" t="s">
        <v>32</v>
      </c>
      <c r="J3258" t="s">
        <v>37</v>
      </c>
      <c r="K3258">
        <v>10090</v>
      </c>
      <c r="L3258" s="3" t="str">
        <f>HYPERLINK("http://www.uniprot.org/uniprot/Q91WE4", "Q91WE4")</f>
        <v>Q91WE4</v>
      </c>
      <c r="M3258" t="s">
        <v>36528</v>
      </c>
      <c r="N3258" t="str">
        <f>"BC031181"</f>
        <v>BC031181</v>
      </c>
      <c r="O3258" s="3" t="str">
        <f>HYPERLINK("http://www.informatics.jax.org/marker/MGI:3039614", "MGI:3039614")</f>
        <v>MGI:3039614</v>
      </c>
      <c r="P3258" t="s">
        <v>20698</v>
      </c>
      <c r="Q3258" t="s">
        <v>32</v>
      </c>
      <c r="R3258" t="s">
        <v>20698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32</v>
      </c>
      <c r="Y3258" t="s">
        <v>32</v>
      </c>
      <c r="Z3258" t="s">
        <v>32</v>
      </c>
      <c r="AA3258" t="s">
        <v>32</v>
      </c>
      <c r="AB3258" t="s">
        <v>20700</v>
      </c>
      <c r="AC3258" t="s">
        <v>32</v>
      </c>
      <c r="AD3258" t="s">
        <v>32</v>
      </c>
      <c r="AE3258" t="s">
        <v>32</v>
      </c>
      <c r="AF3258" t="s">
        <v>46835</v>
      </c>
    </row>
    <row r="3259" spans="1:32" x14ac:dyDescent="0.2">
      <c r="A3259">
        <v>3254</v>
      </c>
      <c r="B3259" t="s">
        <v>36529</v>
      </c>
      <c r="C3259" t="s">
        <v>36530</v>
      </c>
      <c r="D3259" t="s">
        <v>36531</v>
      </c>
      <c r="E3259" t="s">
        <v>36532</v>
      </c>
      <c r="F3259" t="s">
        <v>36533</v>
      </c>
      <c r="G3259" t="s">
        <v>36534</v>
      </c>
      <c r="H3259" t="str">
        <f>"Chd7"</f>
        <v>Chd7</v>
      </c>
      <c r="I3259" t="s">
        <v>32</v>
      </c>
      <c r="J3259" t="s">
        <v>37</v>
      </c>
      <c r="K3259">
        <v>10090</v>
      </c>
      <c r="L3259" s="3" t="str">
        <f>HYPERLINK("http://www.uniprot.org/uniprot/A2AJK6", "A2AJK6")</f>
        <v>A2AJK6</v>
      </c>
      <c r="M3259" t="s">
        <v>36535</v>
      </c>
      <c r="N3259" t="str">
        <f>"Chd7"</f>
        <v>Chd7</v>
      </c>
      <c r="O3259" s="3" t="str">
        <f>HYPERLINK("http://www.informatics.jax.org/marker/MGI:2444748", "MGI:2444748")</f>
        <v>MGI:2444748</v>
      </c>
      <c r="P3259" t="s">
        <v>36536</v>
      </c>
      <c r="Q3259" t="s">
        <v>36537</v>
      </c>
      <c r="R3259" t="s">
        <v>2279</v>
      </c>
      <c r="S3259" t="s">
        <v>41</v>
      </c>
      <c r="T3259" t="s">
        <v>32</v>
      </c>
      <c r="U3259" t="s">
        <v>32</v>
      </c>
      <c r="V3259" t="s">
        <v>137</v>
      </c>
      <c r="W3259" t="s">
        <v>205</v>
      </c>
      <c r="X3259" t="s">
        <v>9499</v>
      </c>
      <c r="Y3259" t="s">
        <v>2734</v>
      </c>
      <c r="Z3259" t="s">
        <v>32</v>
      </c>
      <c r="AA3259" t="s">
        <v>36538</v>
      </c>
      <c r="AB3259" t="s">
        <v>36539</v>
      </c>
      <c r="AC3259" t="s">
        <v>36540</v>
      </c>
      <c r="AD3259" t="s">
        <v>32</v>
      </c>
      <c r="AE3259" t="s">
        <v>32</v>
      </c>
      <c r="AF3259" t="s">
        <v>46835</v>
      </c>
    </row>
    <row r="3260" spans="1:32" x14ac:dyDescent="0.2">
      <c r="A3260">
        <v>3255</v>
      </c>
      <c r="B3260" t="s">
        <v>36541</v>
      </c>
      <c r="C3260" t="s">
        <v>36542</v>
      </c>
      <c r="D3260" t="s">
        <v>36543</v>
      </c>
      <c r="E3260" t="s">
        <v>36544</v>
      </c>
      <c r="F3260" t="s">
        <v>36545</v>
      </c>
      <c r="G3260" t="s">
        <v>36546</v>
      </c>
      <c r="H3260" t="str">
        <f>"Unc13b"</f>
        <v>Unc13b</v>
      </c>
      <c r="I3260" t="s">
        <v>36547</v>
      </c>
      <c r="J3260" t="s">
        <v>37</v>
      </c>
      <c r="K3260">
        <v>10090</v>
      </c>
      <c r="L3260" s="3" t="str">
        <f>HYPERLINK("http://www.uniprot.org/uniprot/Q9Z1N9", "Q9Z1N9")</f>
        <v>Q9Z1N9</v>
      </c>
      <c r="M3260" t="s">
        <v>36548</v>
      </c>
      <c r="N3260" t="str">
        <f>"Unc13b"</f>
        <v>Unc13b</v>
      </c>
      <c r="O3260" s="3" t="str">
        <f>HYPERLINK("http://www.informatics.jax.org/marker/MGI:1342278", "MGI:1342278")</f>
        <v>MGI:1342278</v>
      </c>
      <c r="P3260" t="s">
        <v>36549</v>
      </c>
      <c r="Q3260" t="s">
        <v>7874</v>
      </c>
      <c r="R3260" t="s">
        <v>36550</v>
      </c>
      <c r="S3260" t="s">
        <v>41</v>
      </c>
      <c r="T3260" t="s">
        <v>32</v>
      </c>
      <c r="U3260" t="s">
        <v>32</v>
      </c>
      <c r="V3260" t="s">
        <v>12028</v>
      </c>
      <c r="W3260" t="s">
        <v>30196</v>
      </c>
      <c r="X3260" t="s">
        <v>32</v>
      </c>
      <c r="Y3260" t="s">
        <v>618</v>
      </c>
      <c r="Z3260" t="s">
        <v>32</v>
      </c>
      <c r="AA3260" t="s">
        <v>36551</v>
      </c>
      <c r="AB3260" t="s">
        <v>36552</v>
      </c>
      <c r="AC3260" t="s">
        <v>36553</v>
      </c>
      <c r="AD3260" t="s">
        <v>32</v>
      </c>
      <c r="AE3260" t="s">
        <v>36554</v>
      </c>
      <c r="AF3260" t="s">
        <v>46835</v>
      </c>
    </row>
    <row r="3261" spans="1:32" x14ac:dyDescent="0.2">
      <c r="A3261">
        <v>3256</v>
      </c>
      <c r="B3261" t="s">
        <v>36555</v>
      </c>
      <c r="C3261" t="s">
        <v>36556</v>
      </c>
      <c r="D3261" t="s">
        <v>36557</v>
      </c>
      <c r="E3261" t="s">
        <v>36558</v>
      </c>
      <c r="F3261" t="s">
        <v>36559</v>
      </c>
      <c r="G3261" t="s">
        <v>36560</v>
      </c>
      <c r="H3261" t="str">
        <f>"Ctc1"</f>
        <v>Ctc1</v>
      </c>
      <c r="I3261" t="s">
        <v>32</v>
      </c>
      <c r="J3261" t="s">
        <v>37</v>
      </c>
      <c r="K3261">
        <v>10090</v>
      </c>
      <c r="L3261" s="3" t="str">
        <f>HYPERLINK("http://www.uniprot.org/uniprot/Q5SUQ9", "Q5SUQ9")</f>
        <v>Q5SUQ9</v>
      </c>
      <c r="M3261" t="s">
        <v>36561</v>
      </c>
      <c r="N3261" t="str">
        <f>"Ctc1"</f>
        <v>Ctc1</v>
      </c>
      <c r="O3261" s="3" t="str">
        <f>HYPERLINK("http://www.informatics.jax.org/marker/MGI:1916214", "MGI:1916214")</f>
        <v>MGI:1916214</v>
      </c>
      <c r="P3261" t="s">
        <v>36562</v>
      </c>
      <c r="Q3261" t="s">
        <v>32</v>
      </c>
      <c r="R3261" t="s">
        <v>9085</v>
      </c>
      <c r="S3261" t="s">
        <v>41</v>
      </c>
      <c r="T3261" t="s">
        <v>32</v>
      </c>
      <c r="U3261" t="s">
        <v>32</v>
      </c>
      <c r="V3261" t="s">
        <v>32</v>
      </c>
      <c r="W3261" t="s">
        <v>32</v>
      </c>
      <c r="X3261" t="s">
        <v>247</v>
      </c>
      <c r="Y3261" t="s">
        <v>32</v>
      </c>
      <c r="Z3261" t="s">
        <v>32</v>
      </c>
      <c r="AA3261" t="s">
        <v>36563</v>
      </c>
      <c r="AB3261" t="s">
        <v>36564</v>
      </c>
      <c r="AC3261" t="s">
        <v>36565</v>
      </c>
      <c r="AD3261" t="s">
        <v>32</v>
      </c>
      <c r="AE3261" t="s">
        <v>27988</v>
      </c>
      <c r="AF3261" t="s">
        <v>46835</v>
      </c>
    </row>
    <row r="3262" spans="1:32" x14ac:dyDescent="0.2">
      <c r="A3262">
        <v>3257</v>
      </c>
      <c r="B3262" t="s">
        <v>36566</v>
      </c>
      <c r="C3262" t="s">
        <v>36567</v>
      </c>
      <c r="D3262" t="s">
        <v>36568</v>
      </c>
      <c r="E3262" t="s">
        <v>36569</v>
      </c>
      <c r="F3262" t="s">
        <v>36570</v>
      </c>
      <c r="G3262" t="s">
        <v>36571</v>
      </c>
      <c r="H3262" t="str">
        <f>"Mrc1"</f>
        <v>Mrc1</v>
      </c>
      <c r="I3262" t="s">
        <v>32</v>
      </c>
      <c r="J3262" t="s">
        <v>37</v>
      </c>
      <c r="K3262">
        <v>10090</v>
      </c>
      <c r="L3262" s="3" t="str">
        <f>HYPERLINK("http://www.uniprot.org/uniprot/Q61830", "Q61830")</f>
        <v>Q61830</v>
      </c>
      <c r="M3262" t="s">
        <v>36572</v>
      </c>
      <c r="N3262" t="str">
        <f>"Mrc1"</f>
        <v>Mrc1</v>
      </c>
      <c r="O3262" s="3" t="str">
        <f>HYPERLINK("http://www.informatics.jax.org/marker/MGI:97142", "MGI:97142")</f>
        <v>MGI:97142</v>
      </c>
      <c r="P3262" t="s">
        <v>36573</v>
      </c>
      <c r="Q3262" t="s">
        <v>2822</v>
      </c>
      <c r="R3262" t="s">
        <v>11564</v>
      </c>
      <c r="S3262" t="s">
        <v>32</v>
      </c>
      <c r="T3262" t="s">
        <v>32</v>
      </c>
      <c r="U3262" t="s">
        <v>32</v>
      </c>
      <c r="V3262" t="s">
        <v>1665</v>
      </c>
      <c r="W3262" t="s">
        <v>36574</v>
      </c>
      <c r="X3262" t="s">
        <v>6983</v>
      </c>
      <c r="Y3262" t="s">
        <v>5275</v>
      </c>
      <c r="Z3262" t="s">
        <v>126</v>
      </c>
      <c r="AA3262" t="s">
        <v>36575</v>
      </c>
      <c r="AB3262" t="s">
        <v>36576</v>
      </c>
      <c r="AC3262" t="s">
        <v>36577</v>
      </c>
      <c r="AD3262" t="s">
        <v>32</v>
      </c>
      <c r="AE3262" t="s">
        <v>36578</v>
      </c>
      <c r="AF3262" t="s">
        <v>46835</v>
      </c>
    </row>
    <row r="3263" spans="1:32" x14ac:dyDescent="0.2">
      <c r="A3263">
        <v>3258</v>
      </c>
      <c r="B3263" t="s">
        <v>36579</v>
      </c>
      <c r="C3263" t="s">
        <v>36580</v>
      </c>
      <c r="D3263" t="s">
        <v>36581</v>
      </c>
      <c r="E3263" t="s">
        <v>36582</v>
      </c>
      <c r="F3263" t="s">
        <v>36583</v>
      </c>
      <c r="G3263" t="s">
        <v>36584</v>
      </c>
      <c r="H3263" t="str">
        <f>"Hspa1l"</f>
        <v>Hspa1l</v>
      </c>
      <c r="I3263" t="s">
        <v>36585</v>
      </c>
      <c r="J3263" t="s">
        <v>37</v>
      </c>
      <c r="K3263">
        <v>10090</v>
      </c>
      <c r="L3263" s="3" t="str">
        <f>HYPERLINK("http://www.uniprot.org/uniprot/P16627", "P16627")</f>
        <v>P16627</v>
      </c>
      <c r="M3263" t="s">
        <v>36586</v>
      </c>
      <c r="N3263" t="str">
        <f>"Hspa1l"</f>
        <v>Hspa1l</v>
      </c>
      <c r="O3263" s="3" t="str">
        <f>HYPERLINK("http://www.informatics.jax.org/marker/MGI:96231", "MGI:96231")</f>
        <v>MGI:96231</v>
      </c>
      <c r="P3263" t="s">
        <v>36587</v>
      </c>
      <c r="Q3263" t="s">
        <v>26073</v>
      </c>
      <c r="R3263" t="s">
        <v>32</v>
      </c>
      <c r="S3263" t="s">
        <v>32</v>
      </c>
      <c r="T3263" t="s">
        <v>32</v>
      </c>
      <c r="U3263" t="s">
        <v>32</v>
      </c>
      <c r="V3263" t="s">
        <v>32</v>
      </c>
      <c r="W3263" t="s">
        <v>205</v>
      </c>
      <c r="X3263" t="s">
        <v>2029</v>
      </c>
      <c r="Y3263" t="s">
        <v>32</v>
      </c>
      <c r="Z3263" t="s">
        <v>32</v>
      </c>
      <c r="AA3263" t="s">
        <v>36588</v>
      </c>
      <c r="AB3263" t="s">
        <v>36589</v>
      </c>
      <c r="AC3263" t="s">
        <v>36590</v>
      </c>
      <c r="AD3263" t="s">
        <v>32</v>
      </c>
      <c r="AE3263" t="s">
        <v>36591</v>
      </c>
      <c r="AF3263" t="s">
        <v>46835</v>
      </c>
    </row>
    <row r="3264" spans="1:32" x14ac:dyDescent="0.2">
      <c r="A3264">
        <v>3259</v>
      </c>
      <c r="B3264" t="s">
        <v>36592</v>
      </c>
      <c r="C3264" t="s">
        <v>36593</v>
      </c>
      <c r="D3264" t="s">
        <v>36594</v>
      </c>
      <c r="E3264" t="s">
        <v>36595</v>
      </c>
      <c r="F3264" t="s">
        <v>36596</v>
      </c>
      <c r="G3264" t="s">
        <v>36597</v>
      </c>
      <c r="H3264" t="str">
        <f>"Pld3"</f>
        <v>Pld3</v>
      </c>
      <c r="I3264" t="s">
        <v>36598</v>
      </c>
      <c r="J3264" t="s">
        <v>37</v>
      </c>
      <c r="K3264">
        <v>10090</v>
      </c>
      <c r="L3264" s="3" t="str">
        <f>HYPERLINK("http://www.uniprot.org/uniprot/O35405", "O35405")</f>
        <v>O35405</v>
      </c>
      <c r="M3264" t="s">
        <v>36599</v>
      </c>
      <c r="N3264" t="str">
        <f>"Pld3"</f>
        <v>Pld3</v>
      </c>
      <c r="O3264" s="3" t="str">
        <f>HYPERLINK("http://www.informatics.jax.org/marker/MGI:1333782", "MGI:1333782")</f>
        <v>MGI:1333782</v>
      </c>
      <c r="P3264" t="s">
        <v>36600</v>
      </c>
      <c r="Q3264" t="s">
        <v>3442</v>
      </c>
      <c r="R3264" t="s">
        <v>36601</v>
      </c>
      <c r="S3264" t="s">
        <v>32</v>
      </c>
      <c r="T3264" t="s">
        <v>32</v>
      </c>
      <c r="U3264" t="s">
        <v>32</v>
      </c>
      <c r="V3264" t="s">
        <v>19368</v>
      </c>
      <c r="W3264" t="s">
        <v>32</v>
      </c>
      <c r="X3264" t="s">
        <v>9313</v>
      </c>
      <c r="Y3264" t="s">
        <v>36602</v>
      </c>
      <c r="Z3264" t="s">
        <v>32</v>
      </c>
      <c r="AA3264" t="s">
        <v>36603</v>
      </c>
      <c r="AB3264" t="s">
        <v>36604</v>
      </c>
      <c r="AC3264" t="s">
        <v>36605</v>
      </c>
      <c r="AD3264" t="s">
        <v>32</v>
      </c>
      <c r="AE3264" t="s">
        <v>36606</v>
      </c>
      <c r="AF3264" t="s">
        <v>46835</v>
      </c>
    </row>
    <row r="3265" spans="1:32" x14ac:dyDescent="0.2">
      <c r="A3265">
        <v>3260</v>
      </c>
      <c r="B3265" t="s">
        <v>36607</v>
      </c>
      <c r="C3265" t="s">
        <v>36608</v>
      </c>
      <c r="D3265" t="s">
        <v>32</v>
      </c>
      <c r="E3265" t="s">
        <v>36609</v>
      </c>
      <c r="F3265" t="s">
        <v>36610</v>
      </c>
      <c r="G3265" t="s">
        <v>36611</v>
      </c>
      <c r="H3265" t="str">
        <f>"Prkacb"</f>
        <v>Prkacb</v>
      </c>
      <c r="I3265" t="s">
        <v>36612</v>
      </c>
      <c r="J3265" t="s">
        <v>37</v>
      </c>
      <c r="K3265">
        <v>10090</v>
      </c>
      <c r="L3265" s="3" t="str">
        <f>HYPERLINK("http://www.uniprot.org/uniprot/P68181", "P68181")</f>
        <v>P68181</v>
      </c>
      <c r="M3265" t="s">
        <v>36613</v>
      </c>
      <c r="N3265" t="str">
        <f>"Prkacb"</f>
        <v>Prkacb</v>
      </c>
      <c r="O3265" s="3" t="str">
        <f>HYPERLINK("http://www.informatics.jax.org/marker/MGI:97594", "MGI:97594")</f>
        <v>MGI:97594</v>
      </c>
      <c r="P3265" t="s">
        <v>36614</v>
      </c>
      <c r="Q3265" t="s">
        <v>32</v>
      </c>
      <c r="R3265" t="s">
        <v>276</v>
      </c>
      <c r="S3265" t="s">
        <v>41</v>
      </c>
      <c r="T3265" t="s">
        <v>32</v>
      </c>
      <c r="U3265" t="s">
        <v>32</v>
      </c>
      <c r="V3265" t="s">
        <v>32</v>
      </c>
      <c r="W3265" t="s">
        <v>16325</v>
      </c>
      <c r="X3265" t="s">
        <v>5419</v>
      </c>
      <c r="Y3265" t="s">
        <v>5562</v>
      </c>
      <c r="Z3265" t="s">
        <v>32</v>
      </c>
      <c r="AA3265" t="s">
        <v>36615</v>
      </c>
      <c r="AB3265" t="s">
        <v>36616</v>
      </c>
      <c r="AC3265" t="s">
        <v>36617</v>
      </c>
      <c r="AD3265" t="s">
        <v>32</v>
      </c>
      <c r="AE3265" t="s">
        <v>36618</v>
      </c>
      <c r="AF3265" t="s">
        <v>46835</v>
      </c>
    </row>
    <row r="3266" spans="1:32" x14ac:dyDescent="0.2">
      <c r="A3266">
        <v>3261</v>
      </c>
      <c r="B3266" t="s">
        <v>36619</v>
      </c>
      <c r="C3266" t="s">
        <v>36620</v>
      </c>
      <c r="D3266" t="s">
        <v>32</v>
      </c>
      <c r="E3266" t="s">
        <v>36621</v>
      </c>
      <c r="F3266" t="s">
        <v>36622</v>
      </c>
      <c r="G3266" t="s">
        <v>36623</v>
      </c>
      <c r="H3266" t="str">
        <f>"Bicd2"</f>
        <v>Bicd2</v>
      </c>
      <c r="I3266" t="s">
        <v>36624</v>
      </c>
      <c r="J3266" t="s">
        <v>37</v>
      </c>
      <c r="K3266">
        <v>10090</v>
      </c>
      <c r="L3266" s="3" t="str">
        <f>HYPERLINK("http://www.uniprot.org/uniprot/Q921C5", "Q921C5")</f>
        <v>Q921C5</v>
      </c>
      <c r="M3266" t="s">
        <v>36625</v>
      </c>
      <c r="N3266" t="str">
        <f>"Bicd2"</f>
        <v>Bicd2</v>
      </c>
      <c r="O3266" s="3" t="str">
        <f>HYPERLINK("http://www.informatics.jax.org/marker/MGI:1924145", "MGI:1924145")</f>
        <v>MGI:1924145</v>
      </c>
      <c r="P3266" t="s">
        <v>36626</v>
      </c>
      <c r="Q3266" t="s">
        <v>6423</v>
      </c>
      <c r="R3266" t="s">
        <v>36627</v>
      </c>
      <c r="S3266" t="s">
        <v>41</v>
      </c>
      <c r="T3266" t="s">
        <v>32</v>
      </c>
      <c r="U3266" t="s">
        <v>32</v>
      </c>
      <c r="V3266" t="s">
        <v>290</v>
      </c>
      <c r="W3266" t="s">
        <v>32</v>
      </c>
      <c r="X3266" t="s">
        <v>32</v>
      </c>
      <c r="Y3266" t="s">
        <v>157</v>
      </c>
      <c r="Z3266" t="s">
        <v>32</v>
      </c>
      <c r="AA3266" t="s">
        <v>36628</v>
      </c>
      <c r="AB3266" t="s">
        <v>36629</v>
      </c>
      <c r="AC3266" t="s">
        <v>36630</v>
      </c>
      <c r="AD3266" t="s">
        <v>32</v>
      </c>
      <c r="AE3266" t="s">
        <v>5146</v>
      </c>
      <c r="AF3266" t="s">
        <v>46835</v>
      </c>
    </row>
    <row r="3267" spans="1:32" x14ac:dyDescent="0.2">
      <c r="A3267">
        <v>3262</v>
      </c>
      <c r="B3267" t="s">
        <v>36631</v>
      </c>
      <c r="C3267" t="s">
        <v>36632</v>
      </c>
      <c r="D3267" t="s">
        <v>36633</v>
      </c>
      <c r="E3267" t="s">
        <v>36634</v>
      </c>
      <c r="F3267" t="s">
        <v>36635</v>
      </c>
      <c r="G3267" t="s">
        <v>36636</v>
      </c>
      <c r="H3267" t="str">
        <f>"Setd6"</f>
        <v>Setd6</v>
      </c>
      <c r="I3267" t="s">
        <v>32</v>
      </c>
      <c r="J3267" t="s">
        <v>37</v>
      </c>
      <c r="K3267">
        <v>10090</v>
      </c>
      <c r="L3267" s="3" t="str">
        <f>HYPERLINK("http://www.uniprot.org/uniprot/Q9CWY3", "Q9CWY3")</f>
        <v>Q9CWY3</v>
      </c>
      <c r="M3267" t="s">
        <v>36637</v>
      </c>
      <c r="N3267" t="str">
        <f>"Setd6"</f>
        <v>Setd6</v>
      </c>
      <c r="O3267" s="3" t="str">
        <f>HYPERLINK("http://www.informatics.jax.org/marker/MGI:1913333", "MGI:1913333")</f>
        <v>MGI:1913333</v>
      </c>
      <c r="P3267" t="s">
        <v>36638</v>
      </c>
      <c r="Q3267" t="s">
        <v>32</v>
      </c>
      <c r="R3267" t="s">
        <v>2279</v>
      </c>
      <c r="S3267" t="s">
        <v>32</v>
      </c>
      <c r="T3267" t="s">
        <v>32</v>
      </c>
      <c r="U3267" t="s">
        <v>32</v>
      </c>
      <c r="V3267" t="s">
        <v>32</v>
      </c>
      <c r="W3267" t="s">
        <v>1705</v>
      </c>
      <c r="X3267" t="s">
        <v>1706</v>
      </c>
      <c r="Y3267" t="s">
        <v>2734</v>
      </c>
      <c r="Z3267" t="s">
        <v>32</v>
      </c>
      <c r="AA3267" t="s">
        <v>36639</v>
      </c>
      <c r="AB3267" t="s">
        <v>8281</v>
      </c>
      <c r="AC3267" t="s">
        <v>36640</v>
      </c>
      <c r="AD3267" t="s">
        <v>32</v>
      </c>
      <c r="AE3267" t="s">
        <v>19097</v>
      </c>
      <c r="AF3267" t="s">
        <v>46835</v>
      </c>
    </row>
    <row r="3268" spans="1:32" x14ac:dyDescent="0.2">
      <c r="A3268">
        <v>3263</v>
      </c>
      <c r="B3268" t="s">
        <v>36641</v>
      </c>
      <c r="C3268" t="s">
        <v>36642</v>
      </c>
      <c r="D3268" t="s">
        <v>36643</v>
      </c>
      <c r="E3268" t="s">
        <v>36644</v>
      </c>
      <c r="F3268" t="s">
        <v>36645</v>
      </c>
      <c r="G3268" t="s">
        <v>36646</v>
      </c>
      <c r="H3268" t="str">
        <f>"Nsd2"</f>
        <v>Nsd2</v>
      </c>
      <c r="I3268" t="s">
        <v>36647</v>
      </c>
      <c r="J3268" t="s">
        <v>37</v>
      </c>
      <c r="K3268">
        <v>10090</v>
      </c>
      <c r="L3268" s="3" t="str">
        <f>HYPERLINK("http://www.uniprot.org/uniprot/Q8BVE8", "Q8BVE8")</f>
        <v>Q8BVE8</v>
      </c>
      <c r="M3268" t="s">
        <v>36648</v>
      </c>
      <c r="N3268" t="str">
        <f>"Nsd2"</f>
        <v>Nsd2</v>
      </c>
      <c r="O3268" s="3" t="str">
        <f>HYPERLINK("http://www.informatics.jax.org/marker/MGI:1276574", "MGI:1276574")</f>
        <v>MGI:1276574</v>
      </c>
      <c r="P3268" t="s">
        <v>36649</v>
      </c>
      <c r="Q3268" t="s">
        <v>4152</v>
      </c>
      <c r="R3268" t="s">
        <v>1939</v>
      </c>
      <c r="S3268" t="s">
        <v>41</v>
      </c>
      <c r="T3268" t="s">
        <v>32</v>
      </c>
      <c r="U3268" t="s">
        <v>32</v>
      </c>
      <c r="V3268" t="s">
        <v>3791</v>
      </c>
      <c r="W3268" t="s">
        <v>15120</v>
      </c>
      <c r="X3268" t="s">
        <v>36650</v>
      </c>
      <c r="Y3268" t="s">
        <v>618</v>
      </c>
      <c r="Z3268" t="s">
        <v>32</v>
      </c>
      <c r="AA3268" t="s">
        <v>36651</v>
      </c>
      <c r="AB3268" t="s">
        <v>22042</v>
      </c>
      <c r="AC3268" t="s">
        <v>36652</v>
      </c>
      <c r="AD3268" t="s">
        <v>32</v>
      </c>
      <c r="AE3268" t="s">
        <v>36653</v>
      </c>
      <c r="AF3268" t="s">
        <v>46835</v>
      </c>
    </row>
    <row r="3269" spans="1:32" x14ac:dyDescent="0.2">
      <c r="A3269">
        <v>3264</v>
      </c>
      <c r="B3269" t="s">
        <v>36654</v>
      </c>
      <c r="C3269" t="s">
        <v>36655</v>
      </c>
      <c r="D3269" t="s">
        <v>36656</v>
      </c>
      <c r="E3269" t="s">
        <v>36657</v>
      </c>
      <c r="F3269" t="s">
        <v>36658</v>
      </c>
      <c r="G3269" t="s">
        <v>32</v>
      </c>
      <c r="H3269" t="str">
        <f>"Alkbh3"</f>
        <v>Alkbh3</v>
      </c>
      <c r="I3269" t="s">
        <v>32</v>
      </c>
      <c r="J3269" t="s">
        <v>37</v>
      </c>
      <c r="K3269">
        <v>10090</v>
      </c>
      <c r="L3269" s="3" t="str">
        <f>HYPERLINK("http://www.uniprot.org/uniprot/Q8K1E6", "Q8K1E6")</f>
        <v>Q8K1E6</v>
      </c>
      <c r="M3269" t="s">
        <v>36659</v>
      </c>
      <c r="N3269" t="str">
        <f>"Alkbh3"</f>
        <v>Alkbh3</v>
      </c>
      <c r="O3269" s="3" t="str">
        <f>HYPERLINK("http://www.informatics.jax.org/marker/MGI:1916363", "MGI:1916363")</f>
        <v>MGI:1916363</v>
      </c>
      <c r="P3269" t="s">
        <v>36660</v>
      </c>
      <c r="Q3269" t="s">
        <v>11886</v>
      </c>
      <c r="R3269" t="s">
        <v>40</v>
      </c>
      <c r="S3269" t="s">
        <v>32</v>
      </c>
      <c r="T3269" t="s">
        <v>32</v>
      </c>
      <c r="U3269" t="s">
        <v>32</v>
      </c>
      <c r="V3269" t="s">
        <v>32</v>
      </c>
      <c r="W3269" t="s">
        <v>845</v>
      </c>
      <c r="X3269" t="s">
        <v>3732</v>
      </c>
      <c r="Y3269" t="s">
        <v>36661</v>
      </c>
      <c r="Z3269" t="s">
        <v>32</v>
      </c>
      <c r="AA3269" t="s">
        <v>36662</v>
      </c>
      <c r="AB3269" t="s">
        <v>31978</v>
      </c>
      <c r="AC3269" t="s">
        <v>36663</v>
      </c>
      <c r="AD3269" t="s">
        <v>32</v>
      </c>
      <c r="AE3269" t="s">
        <v>32</v>
      </c>
      <c r="AF3269" t="s">
        <v>46835</v>
      </c>
    </row>
    <row r="3270" spans="1:32" x14ac:dyDescent="0.2">
      <c r="A3270">
        <v>3265</v>
      </c>
      <c r="B3270" t="s">
        <v>36664</v>
      </c>
      <c r="C3270" t="s">
        <v>36665</v>
      </c>
      <c r="D3270" t="s">
        <v>36666</v>
      </c>
      <c r="E3270" t="s">
        <v>36667</v>
      </c>
      <c r="F3270" t="s">
        <v>36668</v>
      </c>
      <c r="G3270" t="s">
        <v>36669</v>
      </c>
      <c r="H3270" t="str">
        <f>"Gripap1"</f>
        <v>Gripap1</v>
      </c>
      <c r="I3270" t="s">
        <v>36670</v>
      </c>
      <c r="J3270" t="s">
        <v>37</v>
      </c>
      <c r="K3270">
        <v>10090</v>
      </c>
      <c r="L3270" s="3" t="str">
        <f>HYPERLINK("http://www.uniprot.org/uniprot/Q8VD04", "Q8VD04")</f>
        <v>Q8VD04</v>
      </c>
      <c r="M3270" t="s">
        <v>36671</v>
      </c>
      <c r="N3270" t="str">
        <f>"Gripap1"</f>
        <v>Gripap1</v>
      </c>
      <c r="O3270" s="3" t="str">
        <f>HYPERLINK("http://www.informatics.jax.org/marker/MGI:1859616", "MGI:1859616")</f>
        <v>MGI:1859616</v>
      </c>
      <c r="P3270" t="s">
        <v>36672</v>
      </c>
      <c r="Q3270" t="s">
        <v>434</v>
      </c>
      <c r="R3270" t="s">
        <v>36673</v>
      </c>
      <c r="S3270" t="s">
        <v>32</v>
      </c>
      <c r="T3270" t="s">
        <v>32</v>
      </c>
      <c r="U3270" t="s">
        <v>32</v>
      </c>
      <c r="V3270" t="s">
        <v>290</v>
      </c>
      <c r="W3270" t="s">
        <v>32</v>
      </c>
      <c r="X3270" t="s">
        <v>32</v>
      </c>
      <c r="Y3270" t="s">
        <v>157</v>
      </c>
      <c r="Z3270" t="s">
        <v>32</v>
      </c>
      <c r="AA3270" t="s">
        <v>36674</v>
      </c>
      <c r="AB3270" t="s">
        <v>36675</v>
      </c>
      <c r="AC3270" t="s">
        <v>4516</v>
      </c>
      <c r="AD3270" t="s">
        <v>32</v>
      </c>
      <c r="AE3270" t="s">
        <v>32</v>
      </c>
      <c r="AF3270" t="s">
        <v>46835</v>
      </c>
    </row>
    <row r="3271" spans="1:32" x14ac:dyDescent="0.2">
      <c r="A3271">
        <v>3266</v>
      </c>
      <c r="B3271" t="s">
        <v>36676</v>
      </c>
      <c r="C3271" t="s">
        <v>36677</v>
      </c>
      <c r="D3271" t="s">
        <v>36678</v>
      </c>
      <c r="E3271" t="s">
        <v>36679</v>
      </c>
      <c r="F3271" t="s">
        <v>36680</v>
      </c>
      <c r="G3271" t="s">
        <v>36681</v>
      </c>
      <c r="H3271" t="str">
        <f>"Rabgef1"</f>
        <v>Rabgef1</v>
      </c>
      <c r="I3271" t="s">
        <v>36682</v>
      </c>
      <c r="J3271" t="s">
        <v>37</v>
      </c>
      <c r="K3271">
        <v>10090</v>
      </c>
      <c r="L3271" s="3" t="str">
        <f>HYPERLINK("http://www.uniprot.org/uniprot/Q9JM13", "Q9JM13")</f>
        <v>Q9JM13</v>
      </c>
      <c r="M3271" t="s">
        <v>36683</v>
      </c>
      <c r="N3271" t="str">
        <f>"Rabgef1"</f>
        <v>Rabgef1</v>
      </c>
      <c r="O3271" s="3" t="str">
        <f>HYPERLINK("http://www.informatics.jax.org/marker/MGI:1929459", "MGI:1929459")</f>
        <v>MGI:1929459</v>
      </c>
      <c r="P3271" t="s">
        <v>36684</v>
      </c>
      <c r="Q3271" t="s">
        <v>36685</v>
      </c>
      <c r="R3271" t="s">
        <v>23613</v>
      </c>
      <c r="S3271" t="s">
        <v>32</v>
      </c>
      <c r="T3271" t="s">
        <v>32</v>
      </c>
      <c r="U3271" t="s">
        <v>32</v>
      </c>
      <c r="V3271" t="s">
        <v>11171</v>
      </c>
      <c r="W3271" t="s">
        <v>42</v>
      </c>
      <c r="X3271" t="s">
        <v>32</v>
      </c>
      <c r="Y3271" t="s">
        <v>1023</v>
      </c>
      <c r="Z3271" t="s">
        <v>32</v>
      </c>
      <c r="AA3271" t="s">
        <v>36686</v>
      </c>
      <c r="AB3271" t="s">
        <v>36687</v>
      </c>
      <c r="AC3271" t="s">
        <v>36688</v>
      </c>
      <c r="AD3271" t="s">
        <v>32</v>
      </c>
      <c r="AE3271" t="s">
        <v>8182</v>
      </c>
      <c r="AF3271" t="s">
        <v>46835</v>
      </c>
    </row>
    <row r="3272" spans="1:32" x14ac:dyDescent="0.2">
      <c r="A3272">
        <v>3267</v>
      </c>
      <c r="B3272" t="s">
        <v>36689</v>
      </c>
      <c r="C3272" t="s">
        <v>36690</v>
      </c>
      <c r="D3272" t="s">
        <v>32</v>
      </c>
      <c r="E3272" t="s">
        <v>36691</v>
      </c>
      <c r="F3272" t="s">
        <v>36692</v>
      </c>
      <c r="G3272" t="s">
        <v>36693</v>
      </c>
      <c r="H3272" t="str">
        <f>"Lhpp"</f>
        <v>Lhpp</v>
      </c>
      <c r="I3272" t="s">
        <v>32</v>
      </c>
      <c r="J3272" t="s">
        <v>37</v>
      </c>
      <c r="K3272">
        <v>10090</v>
      </c>
      <c r="L3272" s="3" t="str">
        <f>HYPERLINK("http://www.uniprot.org/uniprot/Q9D7I5", "Q9D7I5")</f>
        <v>Q9D7I5</v>
      </c>
      <c r="M3272" t="s">
        <v>36694</v>
      </c>
      <c r="N3272" t="str">
        <f>"Lhpp"</f>
        <v>Lhpp</v>
      </c>
      <c r="O3272" s="3" t="str">
        <f>HYPERLINK("http://www.informatics.jax.org/marker/MGI:1923679", "MGI:1923679")</f>
        <v>MGI:1923679</v>
      </c>
      <c r="P3272" t="s">
        <v>36695</v>
      </c>
      <c r="Q3272" t="s">
        <v>32</v>
      </c>
      <c r="R3272" t="s">
        <v>40</v>
      </c>
      <c r="S3272" t="s">
        <v>41</v>
      </c>
      <c r="T3272" t="s">
        <v>32</v>
      </c>
      <c r="U3272" t="s">
        <v>32</v>
      </c>
      <c r="V3272" t="s">
        <v>32</v>
      </c>
      <c r="W3272" t="s">
        <v>223</v>
      </c>
      <c r="X3272" t="s">
        <v>343</v>
      </c>
      <c r="Y3272" t="s">
        <v>32</v>
      </c>
      <c r="Z3272" t="s">
        <v>32</v>
      </c>
      <c r="AA3272" t="s">
        <v>36696</v>
      </c>
      <c r="AB3272" t="s">
        <v>36697</v>
      </c>
      <c r="AC3272" t="s">
        <v>36698</v>
      </c>
      <c r="AD3272" t="s">
        <v>32</v>
      </c>
      <c r="AE3272" t="s">
        <v>36699</v>
      </c>
      <c r="AF3272" t="s">
        <v>46835</v>
      </c>
    </row>
    <row r="3273" spans="1:32" x14ac:dyDescent="0.2">
      <c r="A3273">
        <v>3268</v>
      </c>
      <c r="B3273" t="s">
        <v>36700</v>
      </c>
      <c r="C3273" t="s">
        <v>36701</v>
      </c>
      <c r="D3273" t="s">
        <v>36702</v>
      </c>
      <c r="E3273" t="s">
        <v>36703</v>
      </c>
      <c r="F3273" t="s">
        <v>36704</v>
      </c>
      <c r="G3273" t="s">
        <v>36705</v>
      </c>
      <c r="H3273" t="str">
        <f>"Pde12"</f>
        <v>Pde12</v>
      </c>
      <c r="I3273" t="s">
        <v>32</v>
      </c>
      <c r="J3273" t="s">
        <v>37</v>
      </c>
      <c r="K3273">
        <v>10090</v>
      </c>
      <c r="L3273" s="3" t="str">
        <f>HYPERLINK("http://www.uniprot.org/uniprot/Q3TIU4", "Q3TIU4")</f>
        <v>Q3TIU4</v>
      </c>
      <c r="M3273" t="s">
        <v>36706</v>
      </c>
      <c r="N3273" t="str">
        <f>"Pde12"</f>
        <v>Pde12</v>
      </c>
      <c r="O3273" s="3" t="str">
        <f>HYPERLINK("http://www.informatics.jax.org/marker/MGI:2443226", "MGI:2443226")</f>
        <v>MGI:2443226</v>
      </c>
      <c r="P3273" t="s">
        <v>36707</v>
      </c>
      <c r="Q3273" t="s">
        <v>16601</v>
      </c>
      <c r="R3273" t="s">
        <v>1038</v>
      </c>
      <c r="S3273" t="s">
        <v>32</v>
      </c>
      <c r="T3273" t="s">
        <v>32</v>
      </c>
      <c r="U3273" t="s">
        <v>32</v>
      </c>
      <c r="V3273" t="s">
        <v>1039</v>
      </c>
      <c r="W3273" t="s">
        <v>223</v>
      </c>
      <c r="X3273" t="s">
        <v>9313</v>
      </c>
      <c r="Y3273" t="s">
        <v>618</v>
      </c>
      <c r="Z3273" t="s">
        <v>32</v>
      </c>
      <c r="AA3273" t="s">
        <v>36708</v>
      </c>
      <c r="AB3273" t="s">
        <v>2128</v>
      </c>
      <c r="AC3273" t="s">
        <v>36709</v>
      </c>
      <c r="AD3273" t="s">
        <v>32</v>
      </c>
      <c r="AE3273" t="s">
        <v>36710</v>
      </c>
      <c r="AF3273" t="s">
        <v>46835</v>
      </c>
    </row>
    <row r="3274" spans="1:32" x14ac:dyDescent="0.2">
      <c r="A3274">
        <v>3269</v>
      </c>
      <c r="B3274" t="s">
        <v>36711</v>
      </c>
      <c r="C3274" t="s">
        <v>36712</v>
      </c>
      <c r="D3274" t="s">
        <v>36713</v>
      </c>
      <c r="E3274" t="s">
        <v>36714</v>
      </c>
      <c r="F3274" t="s">
        <v>36715</v>
      </c>
      <c r="G3274" t="s">
        <v>32</v>
      </c>
      <c r="H3274" t="str">
        <f>"Exoc8"</f>
        <v>Exoc8</v>
      </c>
      <c r="I3274" t="s">
        <v>32</v>
      </c>
      <c r="J3274" t="s">
        <v>37</v>
      </c>
      <c r="K3274">
        <v>10090</v>
      </c>
      <c r="L3274" s="3" t="str">
        <f>HYPERLINK("http://www.uniprot.org/uniprot/Q6PGF7", "Q6PGF7")</f>
        <v>Q6PGF7</v>
      </c>
      <c r="M3274" t="s">
        <v>36716</v>
      </c>
      <c r="N3274" t="str">
        <f>"Exoc8"</f>
        <v>Exoc8</v>
      </c>
      <c r="O3274" s="3" t="str">
        <f>HYPERLINK("http://www.informatics.jax.org/marker/MGI:2142527", "MGI:2142527")</f>
        <v>MGI:2142527</v>
      </c>
      <c r="P3274" t="s">
        <v>36717</v>
      </c>
      <c r="Q3274" t="s">
        <v>24397</v>
      </c>
      <c r="R3274" t="s">
        <v>599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32</v>
      </c>
      <c r="Y3274" t="s">
        <v>618</v>
      </c>
      <c r="Z3274" t="s">
        <v>32</v>
      </c>
      <c r="AA3274" t="s">
        <v>36718</v>
      </c>
      <c r="AB3274" t="s">
        <v>36719</v>
      </c>
      <c r="AC3274" t="s">
        <v>36720</v>
      </c>
      <c r="AD3274" t="s">
        <v>32</v>
      </c>
      <c r="AE3274" t="s">
        <v>24401</v>
      </c>
      <c r="AF3274" t="s">
        <v>46835</v>
      </c>
    </row>
    <row r="3275" spans="1:32" x14ac:dyDescent="0.2">
      <c r="A3275">
        <v>3270</v>
      </c>
      <c r="B3275" t="s">
        <v>36721</v>
      </c>
      <c r="C3275" t="s">
        <v>36722</v>
      </c>
      <c r="D3275" t="s">
        <v>36723</v>
      </c>
      <c r="E3275" t="s">
        <v>36724</v>
      </c>
      <c r="F3275" t="s">
        <v>36725</v>
      </c>
      <c r="G3275" t="s">
        <v>36726</v>
      </c>
      <c r="H3275" t="str">
        <f>"Aldh3a2"</f>
        <v>Aldh3a2</v>
      </c>
      <c r="I3275" t="s">
        <v>36727</v>
      </c>
      <c r="J3275" t="s">
        <v>37</v>
      </c>
      <c r="K3275">
        <v>10090</v>
      </c>
      <c r="L3275" s="3" t="str">
        <f>HYPERLINK("http://www.uniprot.org/uniprot/P47740", "P47740")</f>
        <v>P47740</v>
      </c>
      <c r="M3275" t="s">
        <v>36728</v>
      </c>
      <c r="N3275" t="str">
        <f>"Aldh3a2"</f>
        <v>Aldh3a2</v>
      </c>
      <c r="O3275" s="3" t="str">
        <f>HYPERLINK("http://www.informatics.jax.org/marker/MGI:1353452", "MGI:1353452")</f>
        <v>MGI:1353452</v>
      </c>
      <c r="P3275" t="s">
        <v>36729</v>
      </c>
      <c r="Q3275" t="s">
        <v>6214</v>
      </c>
      <c r="R3275" t="s">
        <v>15998</v>
      </c>
      <c r="S3275" t="s">
        <v>32</v>
      </c>
      <c r="T3275" t="s">
        <v>32</v>
      </c>
      <c r="U3275" t="s">
        <v>32</v>
      </c>
      <c r="V3275" t="s">
        <v>493</v>
      </c>
      <c r="W3275" t="s">
        <v>325</v>
      </c>
      <c r="X3275" t="s">
        <v>600</v>
      </c>
      <c r="Y3275" t="s">
        <v>618</v>
      </c>
      <c r="Z3275" t="s">
        <v>32</v>
      </c>
      <c r="AA3275" t="s">
        <v>36730</v>
      </c>
      <c r="AB3275" t="s">
        <v>36731</v>
      </c>
      <c r="AC3275" t="s">
        <v>36732</v>
      </c>
      <c r="AD3275" t="s">
        <v>32</v>
      </c>
      <c r="AE3275" t="s">
        <v>36733</v>
      </c>
      <c r="AF3275" t="s">
        <v>46835</v>
      </c>
    </row>
    <row r="3276" spans="1:32" x14ac:dyDescent="0.2">
      <c r="A3276">
        <v>3271</v>
      </c>
      <c r="B3276" t="s">
        <v>36734</v>
      </c>
      <c r="C3276" t="s">
        <v>36735</v>
      </c>
      <c r="D3276" t="s">
        <v>32</v>
      </c>
      <c r="E3276" t="s">
        <v>36736</v>
      </c>
      <c r="F3276" t="s">
        <v>36737</v>
      </c>
      <c r="G3276" t="s">
        <v>36738</v>
      </c>
      <c r="H3276" t="str">
        <f>"Vps52"</f>
        <v>Vps52</v>
      </c>
      <c r="I3276" t="s">
        <v>32</v>
      </c>
      <c r="J3276" t="s">
        <v>37</v>
      </c>
      <c r="K3276">
        <v>10090</v>
      </c>
      <c r="L3276" s="3" t="str">
        <f>HYPERLINK("http://www.uniprot.org/uniprot/Q8C754", "Q8C754")</f>
        <v>Q8C754</v>
      </c>
      <c r="M3276" t="s">
        <v>36739</v>
      </c>
      <c r="N3276" t="str">
        <f>"Vps52"</f>
        <v>Vps52</v>
      </c>
      <c r="O3276" s="3" t="str">
        <f>HYPERLINK("http://www.informatics.jax.org/marker/MGI:1330304", "MGI:1330304")</f>
        <v>MGI:1330304</v>
      </c>
      <c r="P3276" t="s">
        <v>32096</v>
      </c>
      <c r="Q3276" t="s">
        <v>434</v>
      </c>
      <c r="R3276" t="s">
        <v>6982</v>
      </c>
      <c r="S3276" t="s">
        <v>41</v>
      </c>
      <c r="T3276" t="s">
        <v>32</v>
      </c>
      <c r="U3276" t="s">
        <v>32</v>
      </c>
      <c r="V3276" t="s">
        <v>290</v>
      </c>
      <c r="W3276" t="s">
        <v>32</v>
      </c>
      <c r="X3276" t="s">
        <v>32</v>
      </c>
      <c r="Y3276" t="s">
        <v>157</v>
      </c>
      <c r="Z3276" t="s">
        <v>32</v>
      </c>
      <c r="AA3276" t="s">
        <v>36740</v>
      </c>
      <c r="AB3276" t="s">
        <v>36741</v>
      </c>
      <c r="AC3276" t="s">
        <v>20273</v>
      </c>
      <c r="AD3276" t="s">
        <v>32</v>
      </c>
      <c r="AE3276" t="s">
        <v>10808</v>
      </c>
      <c r="AF3276" t="s">
        <v>46835</v>
      </c>
    </row>
    <row r="3277" spans="1:32" x14ac:dyDescent="0.2">
      <c r="A3277">
        <v>3272</v>
      </c>
      <c r="B3277" t="s">
        <v>36742</v>
      </c>
      <c r="C3277" t="s">
        <v>36743</v>
      </c>
      <c r="D3277" t="s">
        <v>32</v>
      </c>
      <c r="E3277" t="s">
        <v>36744</v>
      </c>
      <c r="F3277" t="s">
        <v>36745</v>
      </c>
      <c r="G3277" t="s">
        <v>36746</v>
      </c>
      <c r="H3277" t="str">
        <f>"Pus7"</f>
        <v>Pus7</v>
      </c>
      <c r="I3277" t="s">
        <v>32</v>
      </c>
      <c r="J3277" t="s">
        <v>37</v>
      </c>
      <c r="K3277">
        <v>10090</v>
      </c>
      <c r="L3277" s="3" t="str">
        <f>HYPERLINK("http://www.uniprot.org/uniprot/Q91VU7", "Q91VU7")</f>
        <v>Q91VU7</v>
      </c>
      <c r="M3277" t="s">
        <v>36747</v>
      </c>
      <c r="N3277" t="str">
        <f>"Pus7"</f>
        <v>Pus7</v>
      </c>
      <c r="O3277" s="3" t="str">
        <f>HYPERLINK("http://www.informatics.jax.org/marker/MGI:1925947", "MGI:1925947")</f>
        <v>MGI:1925947</v>
      </c>
      <c r="P3277" t="s">
        <v>36748</v>
      </c>
      <c r="Q3277" t="s">
        <v>36749</v>
      </c>
      <c r="R3277" t="s">
        <v>2279</v>
      </c>
      <c r="S3277" t="s">
        <v>41</v>
      </c>
      <c r="T3277" t="s">
        <v>32</v>
      </c>
      <c r="U3277" t="s">
        <v>32</v>
      </c>
      <c r="V3277" t="s">
        <v>32</v>
      </c>
      <c r="W3277" t="s">
        <v>32</v>
      </c>
      <c r="X3277" t="s">
        <v>673</v>
      </c>
      <c r="Y3277" t="s">
        <v>618</v>
      </c>
      <c r="Z3277" t="s">
        <v>32</v>
      </c>
      <c r="AA3277" t="s">
        <v>36750</v>
      </c>
      <c r="AB3277" t="s">
        <v>3606</v>
      </c>
      <c r="AC3277" t="s">
        <v>36751</v>
      </c>
      <c r="AD3277" t="s">
        <v>32</v>
      </c>
      <c r="AE3277" t="s">
        <v>32</v>
      </c>
      <c r="AF3277" t="s">
        <v>46835</v>
      </c>
    </row>
    <row r="3278" spans="1:32" x14ac:dyDescent="0.2">
      <c r="A3278">
        <v>3273</v>
      </c>
      <c r="B3278" t="s">
        <v>36752</v>
      </c>
      <c r="C3278" t="s">
        <v>36753</v>
      </c>
      <c r="D3278" t="s">
        <v>36754</v>
      </c>
      <c r="E3278" t="s">
        <v>36755</v>
      </c>
      <c r="F3278" t="s">
        <v>36756</v>
      </c>
      <c r="G3278" t="s">
        <v>36757</v>
      </c>
      <c r="H3278" t="str">
        <f>"IntS13"</f>
        <v>IntS13</v>
      </c>
      <c r="I3278" t="s">
        <v>36758</v>
      </c>
      <c r="J3278" t="s">
        <v>37</v>
      </c>
      <c r="K3278">
        <v>10090</v>
      </c>
      <c r="L3278" s="3" t="str">
        <f>HYPERLINK("http://www.uniprot.org/uniprot/Q8QZV7", "Q8QZV7")</f>
        <v>Q8QZV7</v>
      </c>
      <c r="M3278" t="s">
        <v>36759</v>
      </c>
      <c r="N3278" t="str">
        <f>"Ints13"</f>
        <v>Ints13</v>
      </c>
      <c r="O3278" s="3" t="str">
        <f>HYPERLINK("http://www.informatics.jax.org/marker/MGI:1918427", "MGI:1918427")</f>
        <v>MGI:1918427</v>
      </c>
      <c r="P3278" t="s">
        <v>36760</v>
      </c>
      <c r="Q3278" t="s">
        <v>2968</v>
      </c>
      <c r="R3278" t="s">
        <v>40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32</v>
      </c>
      <c r="Y3278" t="s">
        <v>1007</v>
      </c>
      <c r="Z3278" t="s">
        <v>32</v>
      </c>
      <c r="AA3278" t="s">
        <v>36761</v>
      </c>
      <c r="AB3278" t="s">
        <v>36762</v>
      </c>
      <c r="AC3278" t="s">
        <v>32</v>
      </c>
      <c r="AD3278" t="s">
        <v>32</v>
      </c>
      <c r="AE3278" t="s">
        <v>22679</v>
      </c>
      <c r="AF3278" t="s">
        <v>46835</v>
      </c>
    </row>
    <row r="3279" spans="1:32" x14ac:dyDescent="0.2">
      <c r="A3279">
        <v>3274</v>
      </c>
      <c r="B3279" t="s">
        <v>36763</v>
      </c>
      <c r="C3279" t="s">
        <v>36764</v>
      </c>
      <c r="D3279" t="s">
        <v>32</v>
      </c>
      <c r="E3279" t="s">
        <v>36765</v>
      </c>
      <c r="F3279" t="s">
        <v>36766</v>
      </c>
      <c r="G3279" t="s">
        <v>32</v>
      </c>
      <c r="H3279" t="str">
        <f>"Antkmt"</f>
        <v>Antkmt</v>
      </c>
      <c r="I3279" t="s">
        <v>32</v>
      </c>
      <c r="J3279" t="s">
        <v>37</v>
      </c>
      <c r="K3279">
        <v>10090</v>
      </c>
      <c r="L3279" s="3" t="str">
        <f>HYPERLINK("http://www.uniprot.org/uniprot/Q501J2", "Q501J2")</f>
        <v>Q501J2</v>
      </c>
      <c r="M3279" t="s">
        <v>36767</v>
      </c>
      <c r="N3279" t="str">
        <f>"Antkmt"</f>
        <v>Antkmt</v>
      </c>
      <c r="O3279" s="3" t="str">
        <f>HYPERLINK("http://www.informatics.jax.org/marker/MGI:2384888", "MGI:2384888")</f>
        <v>MGI:2384888</v>
      </c>
      <c r="P3279" t="s">
        <v>36768</v>
      </c>
      <c r="Q3279" t="s">
        <v>32</v>
      </c>
      <c r="R3279" t="s">
        <v>6354</v>
      </c>
      <c r="S3279" t="s">
        <v>32</v>
      </c>
      <c r="T3279" t="s">
        <v>32</v>
      </c>
      <c r="U3279" t="s">
        <v>32</v>
      </c>
      <c r="V3279" t="s">
        <v>493</v>
      </c>
      <c r="W3279" t="s">
        <v>1705</v>
      </c>
      <c r="X3279" t="s">
        <v>1706</v>
      </c>
      <c r="Y3279" t="s">
        <v>32</v>
      </c>
      <c r="Z3279" t="s">
        <v>32</v>
      </c>
      <c r="AA3279" t="s">
        <v>36769</v>
      </c>
      <c r="AB3279" t="s">
        <v>9128</v>
      </c>
      <c r="AC3279" t="s">
        <v>36770</v>
      </c>
      <c r="AD3279" t="s">
        <v>32</v>
      </c>
      <c r="AE3279" t="s">
        <v>32</v>
      </c>
      <c r="AF3279" t="s">
        <v>46835</v>
      </c>
    </row>
    <row r="3280" spans="1:32" x14ac:dyDescent="0.2">
      <c r="A3280">
        <v>3275</v>
      </c>
      <c r="B3280" t="s">
        <v>36771</v>
      </c>
      <c r="C3280" t="s">
        <v>36772</v>
      </c>
      <c r="D3280" t="s">
        <v>32</v>
      </c>
      <c r="E3280" t="s">
        <v>36773</v>
      </c>
      <c r="F3280" t="s">
        <v>36774</v>
      </c>
      <c r="G3280" t="s">
        <v>36775</v>
      </c>
      <c r="H3280" t="str">
        <f>"Abr"</f>
        <v>Abr</v>
      </c>
      <c r="I3280" t="s">
        <v>32</v>
      </c>
      <c r="J3280" t="s">
        <v>37</v>
      </c>
      <c r="K3280">
        <v>10090</v>
      </c>
      <c r="L3280" s="3" t="str">
        <f>HYPERLINK("http://www.uniprot.org/uniprot/Q5SSL4", "Q5SSL4")</f>
        <v>Q5SSL4</v>
      </c>
      <c r="M3280" t="s">
        <v>36776</v>
      </c>
      <c r="N3280" t="str">
        <f>"Abr"</f>
        <v>Abr</v>
      </c>
      <c r="O3280" s="3" t="str">
        <f>HYPERLINK("http://www.informatics.jax.org/marker/MGI:107771", "MGI:107771")</f>
        <v>MGI:107771</v>
      </c>
      <c r="P3280" t="s">
        <v>36777</v>
      </c>
      <c r="Q3280" t="s">
        <v>32</v>
      </c>
      <c r="R3280" t="s">
        <v>35565</v>
      </c>
      <c r="S3280" t="s">
        <v>41</v>
      </c>
      <c r="T3280" t="s">
        <v>32</v>
      </c>
      <c r="U3280" t="s">
        <v>32</v>
      </c>
      <c r="V3280" t="s">
        <v>32</v>
      </c>
      <c r="W3280" t="s">
        <v>32</v>
      </c>
      <c r="X3280" t="s">
        <v>26018</v>
      </c>
      <c r="Y3280" t="s">
        <v>618</v>
      </c>
      <c r="Z3280" t="s">
        <v>32</v>
      </c>
      <c r="AA3280" t="s">
        <v>36778</v>
      </c>
      <c r="AB3280" t="s">
        <v>36779</v>
      </c>
      <c r="AC3280" t="s">
        <v>36780</v>
      </c>
      <c r="AD3280" t="s">
        <v>32</v>
      </c>
      <c r="AE3280" t="s">
        <v>36781</v>
      </c>
      <c r="AF3280" t="s">
        <v>46835</v>
      </c>
    </row>
    <row r="3281" spans="1:32" x14ac:dyDescent="0.2">
      <c r="A3281">
        <v>3276</v>
      </c>
      <c r="B3281" t="s">
        <v>36782</v>
      </c>
      <c r="C3281" t="s">
        <v>36783</v>
      </c>
      <c r="D3281" t="s">
        <v>36784</v>
      </c>
      <c r="E3281" t="s">
        <v>36785</v>
      </c>
      <c r="F3281" t="s">
        <v>36786</v>
      </c>
      <c r="G3281" t="s">
        <v>36787</v>
      </c>
      <c r="H3281" t="str">
        <f>"Wdr75"</f>
        <v>Wdr75</v>
      </c>
      <c r="I3281" t="s">
        <v>36788</v>
      </c>
      <c r="J3281" t="s">
        <v>37</v>
      </c>
      <c r="K3281">
        <v>10090</v>
      </c>
      <c r="L3281" s="3" t="str">
        <f>HYPERLINK("http://www.uniprot.org/uniprot/Q3U821", "Q3U821")</f>
        <v>Q3U821</v>
      </c>
      <c r="M3281" t="s">
        <v>36789</v>
      </c>
      <c r="N3281" t="str">
        <f>"Wdr75"</f>
        <v>Wdr75</v>
      </c>
      <c r="O3281" s="3" t="str">
        <f>HYPERLINK("http://www.informatics.jax.org/marker/MGI:1920924", "MGI:1920924")</f>
        <v>MGI:1920924</v>
      </c>
      <c r="P3281" t="s">
        <v>36790</v>
      </c>
      <c r="Q3281" t="s">
        <v>36791</v>
      </c>
      <c r="R3281" t="s">
        <v>2279</v>
      </c>
      <c r="S3281" t="s">
        <v>32</v>
      </c>
      <c r="T3281" t="s">
        <v>32</v>
      </c>
      <c r="U3281" t="s">
        <v>32</v>
      </c>
      <c r="V3281" t="s">
        <v>1910</v>
      </c>
      <c r="W3281" t="s">
        <v>32</v>
      </c>
      <c r="X3281" t="s">
        <v>32</v>
      </c>
      <c r="Y3281" t="s">
        <v>1007</v>
      </c>
      <c r="Z3281" t="s">
        <v>32</v>
      </c>
      <c r="AA3281" t="s">
        <v>36792</v>
      </c>
      <c r="AB3281" t="s">
        <v>6402</v>
      </c>
      <c r="AC3281" t="s">
        <v>4711</v>
      </c>
      <c r="AD3281" t="s">
        <v>32</v>
      </c>
      <c r="AE3281" t="s">
        <v>960</v>
      </c>
      <c r="AF3281" t="s">
        <v>46835</v>
      </c>
    </row>
    <row r="3282" spans="1:32" x14ac:dyDescent="0.2">
      <c r="A3282">
        <v>3277</v>
      </c>
      <c r="B3282" t="s">
        <v>36793</v>
      </c>
      <c r="C3282" t="s">
        <v>36794</v>
      </c>
      <c r="D3282" t="s">
        <v>36795</v>
      </c>
      <c r="E3282" t="s">
        <v>36796</v>
      </c>
      <c r="F3282" t="s">
        <v>36797</v>
      </c>
      <c r="G3282" t="s">
        <v>36798</v>
      </c>
      <c r="H3282" t="str">
        <f>"Rufy1"</f>
        <v>Rufy1</v>
      </c>
      <c r="I3282" t="s">
        <v>36799</v>
      </c>
      <c r="J3282" t="s">
        <v>37</v>
      </c>
      <c r="K3282">
        <v>10090</v>
      </c>
      <c r="L3282" s="3" t="str">
        <f>HYPERLINK("http://www.uniprot.org/uniprot/Q8BIJ7", "Q8BIJ7")</f>
        <v>Q8BIJ7</v>
      </c>
      <c r="M3282" t="s">
        <v>36800</v>
      </c>
      <c r="N3282" t="str">
        <f>"Rufy1"</f>
        <v>Rufy1</v>
      </c>
      <c r="O3282" s="3" t="str">
        <f>HYPERLINK("http://www.informatics.jax.org/marker/MGI:2429762", "MGI:2429762")</f>
        <v>MGI:2429762</v>
      </c>
      <c r="P3282" t="s">
        <v>36801</v>
      </c>
      <c r="Q3282" t="s">
        <v>910</v>
      </c>
      <c r="R3282" t="s">
        <v>6558</v>
      </c>
      <c r="S3282" t="s">
        <v>32</v>
      </c>
      <c r="T3282" t="s">
        <v>32</v>
      </c>
      <c r="U3282" t="s">
        <v>32</v>
      </c>
      <c r="V3282" t="s">
        <v>11171</v>
      </c>
      <c r="W3282" t="s">
        <v>36802</v>
      </c>
      <c r="X3282" t="s">
        <v>32</v>
      </c>
      <c r="Y3282" t="s">
        <v>618</v>
      </c>
      <c r="Z3282" t="s">
        <v>32</v>
      </c>
      <c r="AA3282" t="s">
        <v>36803</v>
      </c>
      <c r="AB3282" t="s">
        <v>36804</v>
      </c>
      <c r="AC3282" t="s">
        <v>36805</v>
      </c>
      <c r="AD3282" t="s">
        <v>32</v>
      </c>
      <c r="AE3282" t="s">
        <v>25046</v>
      </c>
      <c r="AF3282" t="s">
        <v>46835</v>
      </c>
    </row>
    <row r="3283" spans="1:32" x14ac:dyDescent="0.2">
      <c r="A3283">
        <v>3278</v>
      </c>
      <c r="B3283" t="s">
        <v>36806</v>
      </c>
      <c r="C3283" t="s">
        <v>36807</v>
      </c>
      <c r="D3283" t="s">
        <v>32</v>
      </c>
      <c r="E3283" t="s">
        <v>36808</v>
      </c>
      <c r="F3283" t="s">
        <v>36809</v>
      </c>
      <c r="G3283" t="s">
        <v>36810</v>
      </c>
      <c r="H3283" t="str">
        <f>"Tbl2"</f>
        <v>Tbl2</v>
      </c>
      <c r="I3283" t="s">
        <v>32</v>
      </c>
      <c r="J3283" t="s">
        <v>37</v>
      </c>
      <c r="K3283">
        <v>10090</v>
      </c>
      <c r="L3283" s="3" t="str">
        <f>HYPERLINK("http://www.uniprot.org/uniprot/Q9R099", "Q9R099")</f>
        <v>Q9R099</v>
      </c>
      <c r="M3283" t="s">
        <v>36811</v>
      </c>
      <c r="N3283" t="str">
        <f>"Tbl2"</f>
        <v>Tbl2</v>
      </c>
      <c r="O3283" s="3" t="str">
        <f>HYPERLINK("http://www.informatics.jax.org/marker/MGI:1351652", "MGI:1351652")</f>
        <v>MGI:1351652</v>
      </c>
      <c r="P3283" t="s">
        <v>36812</v>
      </c>
      <c r="Q3283" t="s">
        <v>32</v>
      </c>
      <c r="R3283" t="s">
        <v>32</v>
      </c>
      <c r="S3283" t="s">
        <v>32</v>
      </c>
      <c r="T3283" t="s">
        <v>32</v>
      </c>
      <c r="U3283" t="s">
        <v>32</v>
      </c>
      <c r="V3283" t="s">
        <v>1910</v>
      </c>
      <c r="W3283" t="s">
        <v>32</v>
      </c>
      <c r="X3283" t="s">
        <v>32</v>
      </c>
      <c r="Y3283" t="s">
        <v>1007</v>
      </c>
      <c r="Z3283" t="s">
        <v>32</v>
      </c>
      <c r="AA3283" t="s">
        <v>36813</v>
      </c>
      <c r="AB3283" t="s">
        <v>16036</v>
      </c>
      <c r="AC3283" t="s">
        <v>36814</v>
      </c>
      <c r="AD3283" t="s">
        <v>32</v>
      </c>
      <c r="AE3283" t="s">
        <v>32</v>
      </c>
      <c r="AF3283" t="s">
        <v>46835</v>
      </c>
    </row>
    <row r="3284" spans="1:32" x14ac:dyDescent="0.2">
      <c r="A3284">
        <v>3279</v>
      </c>
      <c r="B3284" t="s">
        <v>36815</v>
      </c>
      <c r="C3284" t="s">
        <v>36816</v>
      </c>
      <c r="D3284" t="s">
        <v>32</v>
      </c>
      <c r="E3284" t="s">
        <v>36817</v>
      </c>
      <c r="F3284" t="s">
        <v>36818</v>
      </c>
      <c r="G3284" t="s">
        <v>32</v>
      </c>
      <c r="H3284" t="str">
        <f>"Tmem223"</f>
        <v>Tmem223</v>
      </c>
      <c r="I3284" t="s">
        <v>32</v>
      </c>
      <c r="J3284" t="s">
        <v>37</v>
      </c>
      <c r="K3284">
        <v>10090</v>
      </c>
      <c r="L3284" s="3" t="str">
        <f>HYPERLINK("http://www.uniprot.org/uniprot/Q9CQE2", "Q9CQE2")</f>
        <v>Q9CQE2</v>
      </c>
      <c r="M3284" t="s">
        <v>36819</v>
      </c>
      <c r="N3284" t="str">
        <f>"Tmem223"</f>
        <v>Tmem223</v>
      </c>
      <c r="O3284" s="3" t="str">
        <f>HYPERLINK("http://www.informatics.jax.org/marker/MGI:1914086", "MGI:1914086")</f>
        <v>MGI:1914086</v>
      </c>
      <c r="P3284" t="s">
        <v>24874</v>
      </c>
      <c r="Q3284" t="s">
        <v>32</v>
      </c>
      <c r="R3284" t="s">
        <v>3858</v>
      </c>
      <c r="S3284" t="s">
        <v>32</v>
      </c>
      <c r="T3284" t="s">
        <v>32</v>
      </c>
      <c r="U3284" t="s">
        <v>32</v>
      </c>
      <c r="V3284" t="s">
        <v>493</v>
      </c>
      <c r="W3284" t="s">
        <v>32</v>
      </c>
      <c r="X3284" t="s">
        <v>32</v>
      </c>
      <c r="Y3284" t="s">
        <v>32</v>
      </c>
      <c r="Z3284" t="s">
        <v>32</v>
      </c>
      <c r="AA3284" t="s">
        <v>36820</v>
      </c>
      <c r="AB3284" t="s">
        <v>36821</v>
      </c>
      <c r="AC3284" t="s">
        <v>36822</v>
      </c>
      <c r="AD3284" t="s">
        <v>32</v>
      </c>
      <c r="AE3284" t="s">
        <v>32</v>
      </c>
      <c r="AF3284" t="s">
        <v>46835</v>
      </c>
    </row>
    <row r="3285" spans="1:32" x14ac:dyDescent="0.2">
      <c r="A3285">
        <v>3280</v>
      </c>
      <c r="B3285" t="s">
        <v>36823</v>
      </c>
      <c r="C3285" t="s">
        <v>36824</v>
      </c>
      <c r="D3285" t="s">
        <v>36825</v>
      </c>
      <c r="E3285" t="s">
        <v>36826</v>
      </c>
      <c r="F3285" t="s">
        <v>36827</v>
      </c>
      <c r="G3285" t="s">
        <v>36828</v>
      </c>
      <c r="H3285" t="str">
        <f>"Anks1a"</f>
        <v>Anks1a</v>
      </c>
      <c r="I3285" t="s">
        <v>36829</v>
      </c>
      <c r="J3285" t="s">
        <v>37</v>
      </c>
      <c r="K3285">
        <v>10090</v>
      </c>
      <c r="L3285" s="3" t="str">
        <f>HYPERLINK("http://www.uniprot.org/uniprot/P59672", "P59672")</f>
        <v>P59672</v>
      </c>
      <c r="M3285" t="s">
        <v>36830</v>
      </c>
      <c r="N3285" t="str">
        <f>"Anks1"</f>
        <v>Anks1</v>
      </c>
      <c r="O3285" s="3" t="str">
        <f>HYPERLINK("http://www.informatics.jax.org/marker/MGI:2446180", "MGI:2446180")</f>
        <v>MGI:2446180</v>
      </c>
      <c r="P3285" t="s">
        <v>36831</v>
      </c>
      <c r="Q3285" t="s">
        <v>32</v>
      </c>
      <c r="R3285" t="s">
        <v>599</v>
      </c>
      <c r="S3285" t="s">
        <v>41</v>
      </c>
      <c r="T3285" t="s">
        <v>32</v>
      </c>
      <c r="U3285" t="s">
        <v>32</v>
      </c>
      <c r="V3285" t="s">
        <v>912</v>
      </c>
      <c r="W3285" t="s">
        <v>32</v>
      </c>
      <c r="X3285" t="s">
        <v>32</v>
      </c>
      <c r="Y3285" t="s">
        <v>157</v>
      </c>
      <c r="Z3285" t="s">
        <v>126</v>
      </c>
      <c r="AA3285" t="s">
        <v>36832</v>
      </c>
      <c r="AB3285" t="s">
        <v>36833</v>
      </c>
      <c r="AC3285" t="s">
        <v>36834</v>
      </c>
      <c r="AD3285" t="s">
        <v>32</v>
      </c>
      <c r="AE3285" t="s">
        <v>32</v>
      </c>
      <c r="AF3285" t="s">
        <v>46835</v>
      </c>
    </row>
    <row r="3286" spans="1:32" x14ac:dyDescent="0.2">
      <c r="A3286">
        <v>3281</v>
      </c>
      <c r="B3286" t="s">
        <v>36835</v>
      </c>
      <c r="C3286" t="s">
        <v>36836</v>
      </c>
      <c r="D3286" t="s">
        <v>32</v>
      </c>
      <c r="E3286" t="s">
        <v>36837</v>
      </c>
      <c r="F3286" t="s">
        <v>36838</v>
      </c>
      <c r="G3286" t="s">
        <v>36839</v>
      </c>
      <c r="H3286" t="str">
        <f>"Gnl2"</f>
        <v>Gnl2</v>
      </c>
      <c r="I3286" t="s">
        <v>32</v>
      </c>
      <c r="J3286" t="s">
        <v>37</v>
      </c>
      <c r="K3286">
        <v>10090</v>
      </c>
      <c r="L3286" s="3" t="str">
        <f>HYPERLINK("http://www.uniprot.org/uniprot/Q99LH1", "Q99LH1")</f>
        <v>Q99LH1</v>
      </c>
      <c r="M3286" t="s">
        <v>36840</v>
      </c>
      <c r="N3286" t="str">
        <f>"Gnl2"</f>
        <v>Gnl2</v>
      </c>
      <c r="O3286" s="3" t="str">
        <f>HYPERLINK("http://www.informatics.jax.org/marker/MGI:2385207", "MGI:2385207")</f>
        <v>MGI:2385207</v>
      </c>
      <c r="P3286" t="s">
        <v>36841</v>
      </c>
      <c r="Q3286" t="s">
        <v>6400</v>
      </c>
      <c r="R3286" t="s">
        <v>2279</v>
      </c>
      <c r="S3286" t="s">
        <v>32</v>
      </c>
      <c r="T3286" t="s">
        <v>32</v>
      </c>
      <c r="U3286" t="s">
        <v>32</v>
      </c>
      <c r="V3286" t="s">
        <v>32</v>
      </c>
      <c r="W3286" t="s">
        <v>261</v>
      </c>
      <c r="X3286" t="s">
        <v>32</v>
      </c>
      <c r="Y3286" t="s">
        <v>157</v>
      </c>
      <c r="Z3286" t="s">
        <v>32</v>
      </c>
      <c r="AA3286" t="s">
        <v>7647</v>
      </c>
      <c r="AB3286" t="s">
        <v>6402</v>
      </c>
      <c r="AC3286" t="s">
        <v>28844</v>
      </c>
      <c r="AD3286" t="s">
        <v>32</v>
      </c>
      <c r="AE3286" t="s">
        <v>32</v>
      </c>
      <c r="AF3286" t="s">
        <v>46835</v>
      </c>
    </row>
    <row r="3287" spans="1:32" x14ac:dyDescent="0.2">
      <c r="A3287">
        <v>3282</v>
      </c>
      <c r="B3287" t="s">
        <v>36842</v>
      </c>
      <c r="C3287" t="s">
        <v>36843</v>
      </c>
      <c r="D3287" t="s">
        <v>36844</v>
      </c>
      <c r="E3287" t="s">
        <v>36845</v>
      </c>
      <c r="F3287" t="s">
        <v>36846</v>
      </c>
      <c r="G3287" t="s">
        <v>36847</v>
      </c>
      <c r="H3287" t="str">
        <f>"Fads1"</f>
        <v>Fads1</v>
      </c>
      <c r="I3287" t="s">
        <v>32</v>
      </c>
      <c r="J3287" t="s">
        <v>37</v>
      </c>
      <c r="K3287">
        <v>10090</v>
      </c>
      <c r="L3287" s="3" t="str">
        <f>HYPERLINK("http://www.uniprot.org/uniprot/Q920L1", "Q920L1")</f>
        <v>Q920L1</v>
      </c>
      <c r="M3287" t="s">
        <v>36848</v>
      </c>
      <c r="N3287" t="str">
        <f>"Fads1"</f>
        <v>Fads1</v>
      </c>
      <c r="O3287" s="3" t="str">
        <f>HYPERLINK("http://www.informatics.jax.org/marker/MGI:1923517", "MGI:1923517")</f>
        <v>MGI:1923517</v>
      </c>
      <c r="P3287" t="s">
        <v>36849</v>
      </c>
      <c r="Q3287" t="s">
        <v>36850</v>
      </c>
      <c r="R3287" t="s">
        <v>22638</v>
      </c>
      <c r="S3287" t="s">
        <v>32</v>
      </c>
      <c r="T3287" t="s">
        <v>32</v>
      </c>
      <c r="U3287" t="s">
        <v>32</v>
      </c>
      <c r="V3287" t="s">
        <v>493</v>
      </c>
      <c r="W3287" t="s">
        <v>32</v>
      </c>
      <c r="X3287" t="s">
        <v>600</v>
      </c>
      <c r="Y3287" t="s">
        <v>78</v>
      </c>
      <c r="Z3287" t="s">
        <v>32</v>
      </c>
      <c r="AA3287" t="s">
        <v>36851</v>
      </c>
      <c r="AB3287" t="s">
        <v>36852</v>
      </c>
      <c r="AC3287" t="s">
        <v>36853</v>
      </c>
      <c r="AD3287" t="s">
        <v>36854</v>
      </c>
      <c r="AE3287" t="s">
        <v>36855</v>
      </c>
      <c r="AF3287" t="s">
        <v>46835</v>
      </c>
    </row>
    <row r="3288" spans="1:32" x14ac:dyDescent="0.2">
      <c r="A3288">
        <v>3283</v>
      </c>
      <c r="B3288" t="s">
        <v>36856</v>
      </c>
      <c r="C3288" t="s">
        <v>36857</v>
      </c>
      <c r="D3288" t="s">
        <v>36858</v>
      </c>
      <c r="E3288" t="s">
        <v>36859</v>
      </c>
      <c r="F3288" t="s">
        <v>36860</v>
      </c>
      <c r="G3288" t="s">
        <v>36861</v>
      </c>
      <c r="H3288" t="str">
        <f>"Necap2"</f>
        <v>Necap2</v>
      </c>
      <c r="I3288" t="s">
        <v>32</v>
      </c>
      <c r="J3288" t="s">
        <v>37</v>
      </c>
      <c r="K3288">
        <v>10090</v>
      </c>
      <c r="L3288" s="3" t="str">
        <f>HYPERLINK("http://www.uniprot.org/uniprot/Q9D1J1", "Q9D1J1")</f>
        <v>Q9D1J1</v>
      </c>
      <c r="M3288" t="s">
        <v>36862</v>
      </c>
      <c r="N3288" t="str">
        <f>"Necap2"</f>
        <v>Necap2</v>
      </c>
      <c r="O3288" s="3" t="str">
        <f>HYPERLINK("http://www.informatics.jax.org/marker/MGI:1913397", "MGI:1913397")</f>
        <v>MGI:1913397</v>
      </c>
      <c r="P3288" t="s">
        <v>22973</v>
      </c>
      <c r="Q3288" t="s">
        <v>910</v>
      </c>
      <c r="R3288" t="s">
        <v>22974</v>
      </c>
      <c r="S3288" t="s">
        <v>32</v>
      </c>
      <c r="T3288" t="s">
        <v>32</v>
      </c>
      <c r="U3288" t="s">
        <v>32</v>
      </c>
      <c r="V3288" t="s">
        <v>55</v>
      </c>
      <c r="W3288" t="s">
        <v>32</v>
      </c>
      <c r="X3288" t="s">
        <v>32</v>
      </c>
      <c r="Y3288" t="s">
        <v>618</v>
      </c>
      <c r="Z3288" t="s">
        <v>126</v>
      </c>
      <c r="AA3288" t="s">
        <v>22975</v>
      </c>
      <c r="AB3288" t="s">
        <v>36863</v>
      </c>
      <c r="AC3288" t="s">
        <v>32</v>
      </c>
      <c r="AD3288" t="s">
        <v>32</v>
      </c>
      <c r="AE3288" t="s">
        <v>13103</v>
      </c>
      <c r="AF3288" t="s">
        <v>46835</v>
      </c>
    </row>
    <row r="3289" spans="1:32" x14ac:dyDescent="0.2">
      <c r="A3289">
        <v>3284</v>
      </c>
      <c r="B3289" t="s">
        <v>36864</v>
      </c>
      <c r="C3289" t="s">
        <v>36865</v>
      </c>
      <c r="D3289" t="s">
        <v>36866</v>
      </c>
      <c r="E3289" t="s">
        <v>36867</v>
      </c>
      <c r="F3289" t="s">
        <v>36868</v>
      </c>
      <c r="G3289" t="s">
        <v>36869</v>
      </c>
      <c r="H3289" t="str">
        <f>"Cybc1"</f>
        <v>Cybc1</v>
      </c>
      <c r="I3289" t="s">
        <v>32</v>
      </c>
      <c r="J3289" t="s">
        <v>37</v>
      </c>
      <c r="K3289">
        <v>10090</v>
      </c>
      <c r="L3289" s="3" t="str">
        <f>HYPERLINK("http://www.uniprot.org/uniprot/Q3TYS2", "Q3TYS2")</f>
        <v>Q3TYS2</v>
      </c>
      <c r="M3289" t="s">
        <v>36870</v>
      </c>
      <c r="N3289" t="str">
        <f>"Cybc1"</f>
        <v>Cybc1</v>
      </c>
      <c r="O3289" s="3" t="str">
        <f>HYPERLINK("http://www.informatics.jax.org/marker/MGI:2384959", "MGI:2384959")</f>
        <v>MGI:2384959</v>
      </c>
      <c r="P3289" t="s">
        <v>36871</v>
      </c>
      <c r="Q3289" t="s">
        <v>5475</v>
      </c>
      <c r="R3289" t="s">
        <v>1664</v>
      </c>
      <c r="S3289" t="s">
        <v>32</v>
      </c>
      <c r="T3289" t="s">
        <v>32</v>
      </c>
      <c r="U3289" t="s">
        <v>32</v>
      </c>
      <c r="V3289" t="s">
        <v>493</v>
      </c>
      <c r="W3289" t="s">
        <v>32</v>
      </c>
      <c r="X3289" t="s">
        <v>388</v>
      </c>
      <c r="Y3289" t="s">
        <v>618</v>
      </c>
      <c r="Z3289" t="s">
        <v>32</v>
      </c>
      <c r="AA3289" t="s">
        <v>36872</v>
      </c>
      <c r="AB3289" t="s">
        <v>16952</v>
      </c>
      <c r="AC3289" t="s">
        <v>32</v>
      </c>
      <c r="AD3289" t="s">
        <v>32</v>
      </c>
      <c r="AE3289" t="s">
        <v>32</v>
      </c>
      <c r="AF3289" t="s">
        <v>46835</v>
      </c>
    </row>
    <row r="3290" spans="1:32" x14ac:dyDescent="0.2">
      <c r="A3290">
        <v>3285</v>
      </c>
      <c r="B3290" t="s">
        <v>36873</v>
      </c>
      <c r="C3290" t="s">
        <v>36874</v>
      </c>
      <c r="D3290" t="s">
        <v>36875</v>
      </c>
      <c r="E3290" t="s">
        <v>36876</v>
      </c>
      <c r="F3290" t="s">
        <v>36877</v>
      </c>
      <c r="G3290" t="s">
        <v>36878</v>
      </c>
      <c r="H3290" t="str">
        <f>"Slc39a7"</f>
        <v>Slc39a7</v>
      </c>
      <c r="I3290" t="s">
        <v>36879</v>
      </c>
      <c r="J3290" t="s">
        <v>37</v>
      </c>
      <c r="K3290">
        <v>10090</v>
      </c>
      <c r="L3290" s="3" t="str">
        <f>HYPERLINK("http://www.uniprot.org/uniprot/Q31125", "Q31125")</f>
        <v>Q31125</v>
      </c>
      <c r="M3290" t="s">
        <v>36880</v>
      </c>
      <c r="N3290" t="str">
        <f>"Slc39a7"</f>
        <v>Slc39a7</v>
      </c>
      <c r="O3290" s="3" t="str">
        <f>HYPERLINK("http://www.informatics.jax.org/marker/MGI:95909", "MGI:95909")</f>
        <v>MGI:95909</v>
      </c>
      <c r="P3290" t="s">
        <v>36881</v>
      </c>
      <c r="Q3290" t="s">
        <v>32281</v>
      </c>
      <c r="R3290" t="s">
        <v>11259</v>
      </c>
      <c r="S3290" t="s">
        <v>32</v>
      </c>
      <c r="T3290" t="s">
        <v>32</v>
      </c>
      <c r="U3290" t="s">
        <v>32</v>
      </c>
      <c r="V3290" t="s">
        <v>493</v>
      </c>
      <c r="W3290" t="s">
        <v>32282</v>
      </c>
      <c r="X3290" t="s">
        <v>32</v>
      </c>
      <c r="Y3290" t="s">
        <v>2734</v>
      </c>
      <c r="Z3290" t="s">
        <v>32</v>
      </c>
      <c r="AA3290" t="s">
        <v>36882</v>
      </c>
      <c r="AB3290" t="s">
        <v>36883</v>
      </c>
      <c r="AC3290" t="s">
        <v>32285</v>
      </c>
      <c r="AD3290" t="s">
        <v>32</v>
      </c>
      <c r="AE3290" t="s">
        <v>36884</v>
      </c>
      <c r="AF3290" t="s">
        <v>46835</v>
      </c>
    </row>
    <row r="3291" spans="1:32" x14ac:dyDescent="0.2">
      <c r="A3291">
        <v>3286</v>
      </c>
      <c r="B3291" t="s">
        <v>36885</v>
      </c>
      <c r="C3291" t="s">
        <v>36886</v>
      </c>
      <c r="D3291" t="s">
        <v>32</v>
      </c>
      <c r="E3291" t="s">
        <v>36887</v>
      </c>
      <c r="F3291" t="s">
        <v>36888</v>
      </c>
      <c r="G3291" t="s">
        <v>36889</v>
      </c>
      <c r="H3291" t="str">
        <f>"Cox20"</f>
        <v>Cox20</v>
      </c>
      <c r="I3291" t="s">
        <v>36890</v>
      </c>
      <c r="J3291" t="s">
        <v>37</v>
      </c>
      <c r="K3291">
        <v>10090</v>
      </c>
      <c r="L3291" s="3" t="str">
        <f>HYPERLINK("http://www.uniprot.org/uniprot/Q9D7J4", "Q9D7J4")</f>
        <v>Q9D7J4</v>
      </c>
      <c r="M3291" t="s">
        <v>36891</v>
      </c>
      <c r="N3291" t="str">
        <f>"Cox20"</f>
        <v>Cox20</v>
      </c>
      <c r="O3291" s="3" t="str">
        <f>HYPERLINK("http://www.informatics.jax.org/marker/MGI:1913609", "MGI:1913609")</f>
        <v>MGI:1913609</v>
      </c>
      <c r="P3291" t="s">
        <v>36892</v>
      </c>
      <c r="Q3291" t="s">
        <v>32</v>
      </c>
      <c r="R3291" t="s">
        <v>3858</v>
      </c>
      <c r="S3291" t="s">
        <v>32</v>
      </c>
      <c r="T3291" t="s">
        <v>32</v>
      </c>
      <c r="U3291" t="s">
        <v>32</v>
      </c>
      <c r="V3291" t="s">
        <v>493</v>
      </c>
      <c r="W3291" t="s">
        <v>32</v>
      </c>
      <c r="X3291" t="s">
        <v>32</v>
      </c>
      <c r="Y3291" t="s">
        <v>78</v>
      </c>
      <c r="Z3291" t="s">
        <v>32</v>
      </c>
      <c r="AA3291" t="s">
        <v>36893</v>
      </c>
      <c r="AB3291" t="s">
        <v>21070</v>
      </c>
      <c r="AC3291" t="s">
        <v>32</v>
      </c>
      <c r="AD3291" t="s">
        <v>32</v>
      </c>
      <c r="AE3291" t="s">
        <v>3863</v>
      </c>
      <c r="AF3291" t="s">
        <v>46835</v>
      </c>
    </row>
    <row r="3292" spans="1:32" x14ac:dyDescent="0.2">
      <c r="A3292">
        <v>3287</v>
      </c>
      <c r="B3292" t="s">
        <v>36894</v>
      </c>
      <c r="C3292" t="s">
        <v>36895</v>
      </c>
      <c r="D3292" t="s">
        <v>36896</v>
      </c>
      <c r="E3292" t="s">
        <v>36897</v>
      </c>
      <c r="F3292" t="s">
        <v>36898</v>
      </c>
      <c r="G3292" t="s">
        <v>36899</v>
      </c>
      <c r="H3292" t="str">
        <f>"Commd1"</f>
        <v>Commd1</v>
      </c>
      <c r="I3292" t="s">
        <v>36900</v>
      </c>
      <c r="J3292" t="s">
        <v>37</v>
      </c>
      <c r="K3292">
        <v>10090</v>
      </c>
      <c r="L3292" s="3" t="str">
        <f>HYPERLINK("http://www.uniprot.org/uniprot/Q8K4M5", "Q8K4M5")</f>
        <v>Q8K4M5</v>
      </c>
      <c r="M3292" t="s">
        <v>36901</v>
      </c>
      <c r="N3292" t="str">
        <f>"Commd1"</f>
        <v>Commd1</v>
      </c>
      <c r="O3292" s="3" t="str">
        <f>HYPERLINK("http://www.informatics.jax.org/marker/MGI:109474", "MGI:109474")</f>
        <v>MGI:109474</v>
      </c>
      <c r="P3292" t="s">
        <v>36902</v>
      </c>
      <c r="Q3292" t="s">
        <v>36903</v>
      </c>
      <c r="R3292" t="s">
        <v>6302</v>
      </c>
      <c r="S3292" t="s">
        <v>32</v>
      </c>
      <c r="T3292" t="s">
        <v>32</v>
      </c>
      <c r="U3292" t="s">
        <v>32</v>
      </c>
      <c r="V3292" t="s">
        <v>32</v>
      </c>
      <c r="W3292" t="s">
        <v>11627</v>
      </c>
      <c r="X3292" t="s">
        <v>32</v>
      </c>
      <c r="Y3292" t="s">
        <v>5599</v>
      </c>
      <c r="Z3292" t="s">
        <v>32</v>
      </c>
      <c r="AA3292" t="s">
        <v>36904</v>
      </c>
      <c r="AB3292" t="s">
        <v>36905</v>
      </c>
      <c r="AC3292" t="s">
        <v>36906</v>
      </c>
      <c r="AD3292" t="s">
        <v>32</v>
      </c>
      <c r="AE3292" t="s">
        <v>14635</v>
      </c>
      <c r="AF3292" t="s">
        <v>46835</v>
      </c>
    </row>
    <row r="3293" spans="1:32" x14ac:dyDescent="0.2">
      <c r="A3293">
        <v>3288</v>
      </c>
      <c r="B3293" t="s">
        <v>36907</v>
      </c>
      <c r="C3293" t="s">
        <v>36908</v>
      </c>
      <c r="D3293" t="s">
        <v>36909</v>
      </c>
      <c r="E3293" t="s">
        <v>36910</v>
      </c>
      <c r="F3293" t="s">
        <v>36911</v>
      </c>
      <c r="G3293" t="s">
        <v>36912</v>
      </c>
      <c r="H3293" t="str">
        <f>"Ankrd46"</f>
        <v>Ankrd46</v>
      </c>
      <c r="I3293" t="s">
        <v>32</v>
      </c>
      <c r="J3293" t="s">
        <v>37</v>
      </c>
      <c r="K3293">
        <v>10090</v>
      </c>
      <c r="L3293" s="3" t="str">
        <f>HYPERLINK("http://www.uniprot.org/uniprot/Q8BTZ5", "Q8BTZ5")</f>
        <v>Q8BTZ5</v>
      </c>
      <c r="M3293" t="s">
        <v>36913</v>
      </c>
      <c r="N3293" t="str">
        <f>"Ankrd46"</f>
        <v>Ankrd46</v>
      </c>
      <c r="O3293" s="3" t="str">
        <f>HYPERLINK("http://www.informatics.jax.org/marker/MGI:1916089", "MGI:1916089")</f>
        <v>MGI:1916089</v>
      </c>
      <c r="P3293" t="s">
        <v>36914</v>
      </c>
      <c r="Q3293" t="s">
        <v>32</v>
      </c>
      <c r="R3293" t="s">
        <v>5989</v>
      </c>
      <c r="S3293" t="s">
        <v>32</v>
      </c>
      <c r="T3293" t="s">
        <v>32</v>
      </c>
      <c r="U3293" t="s">
        <v>32</v>
      </c>
      <c r="V3293" t="s">
        <v>36915</v>
      </c>
      <c r="W3293" t="s">
        <v>32</v>
      </c>
      <c r="X3293" t="s">
        <v>32</v>
      </c>
      <c r="Y3293" t="s">
        <v>32</v>
      </c>
      <c r="Z3293" t="s">
        <v>32</v>
      </c>
      <c r="AA3293" t="s">
        <v>32</v>
      </c>
      <c r="AB3293" t="s">
        <v>14923</v>
      </c>
      <c r="AC3293" t="s">
        <v>32</v>
      </c>
      <c r="AD3293" t="s">
        <v>32</v>
      </c>
      <c r="AE3293" t="s">
        <v>32</v>
      </c>
      <c r="AF3293" t="s">
        <v>46835</v>
      </c>
    </row>
    <row r="3294" spans="1:32" x14ac:dyDescent="0.2">
      <c r="A3294">
        <v>3289</v>
      </c>
      <c r="B3294" t="s">
        <v>36916</v>
      </c>
      <c r="C3294" t="s">
        <v>36917</v>
      </c>
      <c r="D3294" t="s">
        <v>36918</v>
      </c>
      <c r="E3294" t="s">
        <v>36919</v>
      </c>
      <c r="F3294" t="s">
        <v>36920</v>
      </c>
      <c r="G3294" t="s">
        <v>36921</v>
      </c>
      <c r="H3294" t="str">
        <f>"Atg4b"</f>
        <v>Atg4b</v>
      </c>
      <c r="I3294" t="s">
        <v>32</v>
      </c>
      <c r="J3294" t="s">
        <v>37</v>
      </c>
      <c r="K3294">
        <v>10090</v>
      </c>
      <c r="L3294" s="3" t="str">
        <f>HYPERLINK("http://www.uniprot.org/uniprot/Q8BGE6", "Q8BGE6")</f>
        <v>Q8BGE6</v>
      </c>
      <c r="M3294" t="s">
        <v>36922</v>
      </c>
      <c r="N3294" t="str">
        <f>"Atg4b"</f>
        <v>Atg4b</v>
      </c>
      <c r="O3294" s="3" t="str">
        <f>HYPERLINK("http://www.informatics.jax.org/marker/MGI:1913865", "MGI:1913865")</f>
        <v>MGI:1913865</v>
      </c>
      <c r="P3294" t="s">
        <v>36923</v>
      </c>
      <c r="Q3294" t="s">
        <v>24447</v>
      </c>
      <c r="R3294" t="s">
        <v>36924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557</v>
      </c>
      <c r="Y3294" t="s">
        <v>36925</v>
      </c>
      <c r="Z3294" t="s">
        <v>32</v>
      </c>
      <c r="AA3294" t="s">
        <v>36926</v>
      </c>
      <c r="AB3294" t="s">
        <v>36927</v>
      </c>
      <c r="AC3294" t="s">
        <v>36928</v>
      </c>
      <c r="AD3294" t="s">
        <v>32</v>
      </c>
      <c r="AE3294" t="s">
        <v>11665</v>
      </c>
      <c r="AF3294" t="s">
        <v>46835</v>
      </c>
    </row>
    <row r="3295" spans="1:32" x14ac:dyDescent="0.2">
      <c r="A3295">
        <v>3290</v>
      </c>
      <c r="B3295" t="s">
        <v>36929</v>
      </c>
      <c r="C3295" t="s">
        <v>36930</v>
      </c>
      <c r="D3295" t="s">
        <v>32</v>
      </c>
      <c r="E3295" t="s">
        <v>36931</v>
      </c>
      <c r="F3295" t="s">
        <v>36932</v>
      </c>
      <c r="G3295" t="s">
        <v>36933</v>
      </c>
      <c r="H3295" t="str">
        <f>"Dnal1"</f>
        <v>Dnal1</v>
      </c>
      <c r="I3295" t="s">
        <v>36934</v>
      </c>
      <c r="J3295" t="s">
        <v>37</v>
      </c>
      <c r="K3295">
        <v>10090</v>
      </c>
      <c r="L3295" s="3" t="str">
        <f>HYPERLINK("http://www.uniprot.org/uniprot/Q05A62", "Q05A62")</f>
        <v>Q05A62</v>
      </c>
      <c r="M3295" t="s">
        <v>36935</v>
      </c>
      <c r="N3295" t="str">
        <f>"Dnal1"</f>
        <v>Dnal1</v>
      </c>
      <c r="O3295" s="3" t="str">
        <f>HYPERLINK("http://www.informatics.jax.org/marker/MGI:1921462", "MGI:1921462")</f>
        <v>MGI:1921462</v>
      </c>
      <c r="P3295" t="s">
        <v>36936</v>
      </c>
      <c r="Q3295" t="s">
        <v>32</v>
      </c>
      <c r="R3295" t="s">
        <v>36937</v>
      </c>
      <c r="S3295" t="s">
        <v>41</v>
      </c>
      <c r="T3295" t="s">
        <v>32</v>
      </c>
      <c r="U3295" t="s">
        <v>32</v>
      </c>
      <c r="V3295" t="s">
        <v>2701</v>
      </c>
      <c r="W3295" t="s">
        <v>32</v>
      </c>
      <c r="X3295" t="s">
        <v>830</v>
      </c>
      <c r="Y3295" t="s">
        <v>157</v>
      </c>
      <c r="Z3295" t="s">
        <v>32</v>
      </c>
      <c r="AA3295" t="s">
        <v>36938</v>
      </c>
      <c r="AB3295" t="s">
        <v>36939</v>
      </c>
      <c r="AC3295" t="s">
        <v>36940</v>
      </c>
      <c r="AD3295" t="s">
        <v>32</v>
      </c>
      <c r="AE3295" t="s">
        <v>32</v>
      </c>
      <c r="AF3295" t="s">
        <v>46835</v>
      </c>
    </row>
    <row r="3296" spans="1:32" x14ac:dyDescent="0.2">
      <c r="A3296">
        <v>3291</v>
      </c>
      <c r="B3296" t="s">
        <v>36941</v>
      </c>
      <c r="C3296" t="s">
        <v>36942</v>
      </c>
      <c r="D3296" t="s">
        <v>36943</v>
      </c>
      <c r="E3296" t="s">
        <v>36944</v>
      </c>
      <c r="F3296" t="s">
        <v>36945</v>
      </c>
      <c r="G3296" t="s">
        <v>32</v>
      </c>
      <c r="H3296" t="str">
        <f>"Pklr"</f>
        <v>Pklr</v>
      </c>
      <c r="I3296" t="s">
        <v>32</v>
      </c>
      <c r="J3296" t="s">
        <v>37</v>
      </c>
      <c r="K3296">
        <v>10090</v>
      </c>
      <c r="L3296" s="3" t="str">
        <f>HYPERLINK("http://www.uniprot.org/uniprot/P53657", "P53657")</f>
        <v>P53657</v>
      </c>
      <c r="M3296" t="s">
        <v>36946</v>
      </c>
      <c r="N3296" t="str">
        <f>"Pklr"</f>
        <v>Pklr</v>
      </c>
      <c r="O3296" s="3" t="str">
        <f>HYPERLINK("http://www.informatics.jax.org/marker/MGI:97604", "MGI:97604")</f>
        <v>MGI:97604</v>
      </c>
      <c r="P3296" t="s">
        <v>36947</v>
      </c>
      <c r="Q3296" t="s">
        <v>221</v>
      </c>
      <c r="R3296" t="s">
        <v>32</v>
      </c>
      <c r="S3296" t="s">
        <v>41</v>
      </c>
      <c r="T3296" t="s">
        <v>32</v>
      </c>
      <c r="U3296" t="s">
        <v>32</v>
      </c>
      <c r="V3296" t="s">
        <v>32</v>
      </c>
      <c r="W3296" t="s">
        <v>36948</v>
      </c>
      <c r="X3296" t="s">
        <v>307</v>
      </c>
      <c r="Y3296" t="s">
        <v>618</v>
      </c>
      <c r="Z3296" t="s">
        <v>32</v>
      </c>
      <c r="AA3296" t="s">
        <v>36949</v>
      </c>
      <c r="AB3296" t="s">
        <v>4024</v>
      </c>
      <c r="AC3296" t="s">
        <v>36950</v>
      </c>
      <c r="AD3296" t="s">
        <v>312</v>
      </c>
      <c r="AE3296" t="s">
        <v>36951</v>
      </c>
      <c r="AF3296" t="s">
        <v>46835</v>
      </c>
    </row>
    <row r="3297" spans="1:32" x14ac:dyDescent="0.2">
      <c r="A3297">
        <v>3292</v>
      </c>
      <c r="B3297" t="s">
        <v>36952</v>
      </c>
      <c r="C3297" t="s">
        <v>36953</v>
      </c>
      <c r="D3297" t="s">
        <v>36954</v>
      </c>
      <c r="E3297" t="s">
        <v>36955</v>
      </c>
      <c r="F3297" t="s">
        <v>36956</v>
      </c>
      <c r="G3297" t="s">
        <v>36957</v>
      </c>
      <c r="H3297" t="str">
        <f>"Cavin2"</f>
        <v>Cavin2</v>
      </c>
      <c r="I3297" t="s">
        <v>32</v>
      </c>
      <c r="J3297" t="s">
        <v>37</v>
      </c>
      <c r="K3297">
        <v>10090</v>
      </c>
      <c r="L3297" s="3" t="str">
        <f>HYPERLINK("http://www.uniprot.org/uniprot/Q63918", "Q63918")</f>
        <v>Q63918</v>
      </c>
      <c r="M3297" t="s">
        <v>36958</v>
      </c>
      <c r="N3297" t="str">
        <f>"Cavin2"</f>
        <v>Cavin2</v>
      </c>
      <c r="O3297" s="3" t="str">
        <f>HYPERLINK("http://www.informatics.jax.org/marker/MGI:99513", "MGI:99513")</f>
        <v>MGI:99513</v>
      </c>
      <c r="P3297" t="s">
        <v>36959</v>
      </c>
      <c r="Q3297" t="s">
        <v>32</v>
      </c>
      <c r="R3297" t="s">
        <v>714</v>
      </c>
      <c r="S3297" t="s">
        <v>32</v>
      </c>
      <c r="T3297" t="s">
        <v>32</v>
      </c>
      <c r="U3297" t="s">
        <v>32</v>
      </c>
      <c r="V3297" t="s">
        <v>290</v>
      </c>
      <c r="W3297" t="s">
        <v>584</v>
      </c>
      <c r="X3297" t="s">
        <v>32</v>
      </c>
      <c r="Y3297" t="s">
        <v>157</v>
      </c>
      <c r="Z3297" t="s">
        <v>32</v>
      </c>
      <c r="AA3297" t="s">
        <v>36960</v>
      </c>
      <c r="AB3297" t="s">
        <v>36961</v>
      </c>
      <c r="AC3297" t="s">
        <v>36962</v>
      </c>
      <c r="AD3297" t="s">
        <v>32</v>
      </c>
      <c r="AE3297" t="s">
        <v>32</v>
      </c>
      <c r="AF3297" t="s">
        <v>46835</v>
      </c>
    </row>
    <row r="3298" spans="1:32" x14ac:dyDescent="0.2">
      <c r="A3298">
        <v>3293</v>
      </c>
      <c r="B3298" t="s">
        <v>36963</v>
      </c>
      <c r="C3298" t="s">
        <v>36964</v>
      </c>
      <c r="D3298" t="s">
        <v>32</v>
      </c>
      <c r="E3298" t="s">
        <v>36965</v>
      </c>
      <c r="F3298" t="s">
        <v>36966</v>
      </c>
      <c r="G3298" t="s">
        <v>36967</v>
      </c>
      <c r="H3298" t="str">
        <f>"Slu7"</f>
        <v>Slu7</v>
      </c>
      <c r="I3298" t="s">
        <v>36968</v>
      </c>
      <c r="J3298" t="s">
        <v>37</v>
      </c>
      <c r="K3298">
        <v>10090</v>
      </c>
      <c r="L3298" s="3" t="str">
        <f>HYPERLINK("http://www.uniprot.org/uniprot/Q8BHJ9", "Q8BHJ9")</f>
        <v>Q8BHJ9</v>
      </c>
      <c r="M3298" t="s">
        <v>36969</v>
      </c>
      <c r="N3298" t="str">
        <f>"Slu7"</f>
        <v>Slu7</v>
      </c>
      <c r="O3298" s="3" t="str">
        <f>HYPERLINK("http://www.informatics.jax.org/marker/MGI:2385598", "MGI:2385598")</f>
        <v>MGI:2385598</v>
      </c>
      <c r="P3298" t="s">
        <v>36970</v>
      </c>
      <c r="Q3298" t="s">
        <v>2139</v>
      </c>
      <c r="R3298" t="s">
        <v>2219</v>
      </c>
      <c r="S3298" t="s">
        <v>32</v>
      </c>
      <c r="T3298" t="s">
        <v>32</v>
      </c>
      <c r="U3298" t="s">
        <v>32</v>
      </c>
      <c r="V3298" t="s">
        <v>446</v>
      </c>
      <c r="W3298" t="s">
        <v>42</v>
      </c>
      <c r="X3298" t="s">
        <v>32</v>
      </c>
      <c r="Y3298" t="s">
        <v>516</v>
      </c>
      <c r="Z3298" t="s">
        <v>32</v>
      </c>
      <c r="AA3298" t="s">
        <v>36971</v>
      </c>
      <c r="AB3298" t="s">
        <v>36972</v>
      </c>
      <c r="AC3298" t="s">
        <v>36973</v>
      </c>
      <c r="AD3298" t="s">
        <v>32</v>
      </c>
      <c r="AE3298" t="s">
        <v>16560</v>
      </c>
      <c r="AF3298" t="s">
        <v>46835</v>
      </c>
    </row>
    <row r="3299" spans="1:32" x14ac:dyDescent="0.2">
      <c r="A3299">
        <v>3294</v>
      </c>
      <c r="B3299" t="s">
        <v>36974</v>
      </c>
      <c r="C3299" t="s">
        <v>36975</v>
      </c>
      <c r="D3299" t="s">
        <v>32</v>
      </c>
      <c r="E3299" t="s">
        <v>36976</v>
      </c>
      <c r="F3299" t="s">
        <v>36977</v>
      </c>
      <c r="G3299" t="s">
        <v>36978</v>
      </c>
      <c r="H3299" t="str">
        <f>"Ythdc1"</f>
        <v>Ythdc1</v>
      </c>
      <c r="I3299" t="s">
        <v>32</v>
      </c>
      <c r="J3299" t="s">
        <v>37</v>
      </c>
      <c r="K3299">
        <v>10090</v>
      </c>
      <c r="L3299" s="3" t="str">
        <f>HYPERLINK("http://www.uniprot.org/uniprot/E9Q5K9", "E9Q5K9")</f>
        <v>E9Q5K9</v>
      </c>
      <c r="M3299" t="s">
        <v>36979</v>
      </c>
      <c r="N3299" t="str">
        <f>"Ythdc1"</f>
        <v>Ythdc1</v>
      </c>
      <c r="O3299" s="3" t="str">
        <f>HYPERLINK("http://www.informatics.jax.org/marker/MGI:2443713", "MGI:2443713")</f>
        <v>MGI:2443713</v>
      </c>
      <c r="P3299" t="s">
        <v>36980</v>
      </c>
      <c r="Q3299" t="s">
        <v>2139</v>
      </c>
      <c r="R3299" t="s">
        <v>2279</v>
      </c>
      <c r="S3299" t="s">
        <v>41</v>
      </c>
      <c r="T3299" t="s">
        <v>32</v>
      </c>
      <c r="U3299" t="s">
        <v>32</v>
      </c>
      <c r="V3299" t="s">
        <v>32</v>
      </c>
      <c r="W3299" t="s">
        <v>32</v>
      </c>
      <c r="X3299" t="s">
        <v>1282</v>
      </c>
      <c r="Y3299" t="s">
        <v>1007</v>
      </c>
      <c r="Z3299" t="s">
        <v>32</v>
      </c>
      <c r="AA3299" t="s">
        <v>36981</v>
      </c>
      <c r="AB3299" t="s">
        <v>36982</v>
      </c>
      <c r="AC3299" t="s">
        <v>36983</v>
      </c>
      <c r="AD3299" t="s">
        <v>32</v>
      </c>
      <c r="AE3299" t="s">
        <v>32</v>
      </c>
      <c r="AF3299" t="s">
        <v>46835</v>
      </c>
    </row>
    <row r="3300" spans="1:32" x14ac:dyDescent="0.2">
      <c r="A3300">
        <v>3295</v>
      </c>
      <c r="B3300" t="s">
        <v>36984</v>
      </c>
      <c r="C3300" t="s">
        <v>36985</v>
      </c>
      <c r="D3300" t="s">
        <v>36986</v>
      </c>
      <c r="E3300" t="s">
        <v>36987</v>
      </c>
      <c r="F3300" t="s">
        <v>36988</v>
      </c>
      <c r="G3300" t="s">
        <v>36989</v>
      </c>
      <c r="H3300" t="str">
        <f>"Nipbl"</f>
        <v>Nipbl</v>
      </c>
      <c r="I3300" t="s">
        <v>36990</v>
      </c>
      <c r="J3300" t="s">
        <v>37</v>
      </c>
      <c r="K3300">
        <v>10090</v>
      </c>
      <c r="L3300" s="3" t="str">
        <f>HYPERLINK("http://www.uniprot.org/uniprot/Q6KCD5", "Q6KCD5")</f>
        <v>Q6KCD5</v>
      </c>
      <c r="M3300" t="s">
        <v>36991</v>
      </c>
      <c r="N3300" t="str">
        <f>"Nipbl"</f>
        <v>Nipbl</v>
      </c>
      <c r="O3300" s="3" t="str">
        <f>HYPERLINK("http://www.informatics.jax.org/marker/MGI:1913976", "MGI:1913976")</f>
        <v>MGI:1913976</v>
      </c>
      <c r="P3300" t="s">
        <v>36992</v>
      </c>
      <c r="Q3300" t="s">
        <v>36993</v>
      </c>
      <c r="R3300" t="s">
        <v>1939</v>
      </c>
      <c r="S3300" t="s">
        <v>41</v>
      </c>
      <c r="T3300" t="s">
        <v>32</v>
      </c>
      <c r="U3300" t="s">
        <v>32</v>
      </c>
      <c r="V3300" t="s">
        <v>55</v>
      </c>
      <c r="W3300" t="s">
        <v>32</v>
      </c>
      <c r="X3300" t="s">
        <v>36994</v>
      </c>
      <c r="Y3300" t="s">
        <v>157</v>
      </c>
      <c r="Z3300" t="s">
        <v>32</v>
      </c>
      <c r="AA3300" t="s">
        <v>36995</v>
      </c>
      <c r="AB3300" t="s">
        <v>36996</v>
      </c>
      <c r="AC3300" t="s">
        <v>36997</v>
      </c>
      <c r="AD3300" t="s">
        <v>32</v>
      </c>
      <c r="AE3300" t="s">
        <v>36998</v>
      </c>
      <c r="AF3300" t="s">
        <v>46835</v>
      </c>
    </row>
    <row r="3301" spans="1:32" x14ac:dyDescent="0.2">
      <c r="A3301">
        <v>3296</v>
      </c>
      <c r="B3301" t="s">
        <v>36999</v>
      </c>
      <c r="C3301" t="s">
        <v>37000</v>
      </c>
      <c r="D3301" t="s">
        <v>37001</v>
      </c>
      <c r="E3301" t="s">
        <v>37002</v>
      </c>
      <c r="F3301" t="s">
        <v>37003</v>
      </c>
      <c r="G3301" t="s">
        <v>32</v>
      </c>
      <c r="H3301" t="str">
        <f>"Synj1"</f>
        <v>Synj1</v>
      </c>
      <c r="I3301" t="s">
        <v>37004</v>
      </c>
      <c r="J3301" t="s">
        <v>37</v>
      </c>
      <c r="K3301">
        <v>10090</v>
      </c>
      <c r="L3301" s="3" t="str">
        <f>HYPERLINK("http://www.uniprot.org/uniprot/Q8CHC4", "Q8CHC4")</f>
        <v>Q8CHC4</v>
      </c>
      <c r="M3301" t="s">
        <v>37005</v>
      </c>
      <c r="N3301" t="str">
        <f>"Synj1"</f>
        <v>Synj1</v>
      </c>
      <c r="O3301" s="3" t="str">
        <f>HYPERLINK("http://www.informatics.jax.org/marker/MGI:1354961", "MGI:1354961")</f>
        <v>MGI:1354961</v>
      </c>
      <c r="P3301" t="s">
        <v>37006</v>
      </c>
      <c r="Q3301" t="s">
        <v>37007</v>
      </c>
      <c r="R3301" t="s">
        <v>418</v>
      </c>
      <c r="S3301" t="s">
        <v>32</v>
      </c>
      <c r="T3301" t="s">
        <v>32</v>
      </c>
      <c r="U3301" t="s">
        <v>32</v>
      </c>
      <c r="V3301" t="s">
        <v>55</v>
      </c>
      <c r="W3301" t="s">
        <v>32</v>
      </c>
      <c r="X3301" t="s">
        <v>16311</v>
      </c>
      <c r="Y3301" t="s">
        <v>2734</v>
      </c>
      <c r="Z3301" t="s">
        <v>32</v>
      </c>
      <c r="AA3301" t="s">
        <v>37008</v>
      </c>
      <c r="AB3301" t="s">
        <v>37009</v>
      </c>
      <c r="AC3301" t="s">
        <v>37010</v>
      </c>
      <c r="AD3301" t="s">
        <v>32</v>
      </c>
      <c r="AE3301" t="s">
        <v>37011</v>
      </c>
      <c r="AF3301" t="s">
        <v>46835</v>
      </c>
    </row>
    <row r="3302" spans="1:32" x14ac:dyDescent="0.2">
      <c r="A3302">
        <v>3297</v>
      </c>
      <c r="B3302" t="s">
        <v>37012</v>
      </c>
      <c r="C3302" t="s">
        <v>37013</v>
      </c>
      <c r="D3302" t="s">
        <v>37014</v>
      </c>
      <c r="E3302" t="s">
        <v>37015</v>
      </c>
      <c r="F3302" t="s">
        <v>37016</v>
      </c>
      <c r="G3302" t="s">
        <v>37017</v>
      </c>
      <c r="H3302" t="str">
        <f>"Rhog"</f>
        <v>Rhog</v>
      </c>
      <c r="I3302" t="s">
        <v>37018</v>
      </c>
      <c r="J3302" t="s">
        <v>37</v>
      </c>
      <c r="K3302">
        <v>10090</v>
      </c>
      <c r="L3302" s="3" t="str">
        <f>HYPERLINK("http://www.uniprot.org/uniprot/P84096", "P84096")</f>
        <v>P84096</v>
      </c>
      <c r="M3302" t="s">
        <v>37019</v>
      </c>
      <c r="N3302" t="str">
        <f>"Rhog"</f>
        <v>Rhog</v>
      </c>
      <c r="O3302" s="3" t="str">
        <f>HYPERLINK("http://www.informatics.jax.org/marker/MGI:1928370", "MGI:1928370")</f>
        <v>MGI:1928370</v>
      </c>
      <c r="P3302" t="s">
        <v>37020</v>
      </c>
      <c r="Q3302" t="s">
        <v>32</v>
      </c>
      <c r="R3302" t="s">
        <v>2474</v>
      </c>
      <c r="S3302" t="s">
        <v>32</v>
      </c>
      <c r="T3302" t="s">
        <v>32</v>
      </c>
      <c r="U3302" t="s">
        <v>32</v>
      </c>
      <c r="V3302" t="s">
        <v>32</v>
      </c>
      <c r="W3302" t="s">
        <v>261</v>
      </c>
      <c r="X3302" t="s">
        <v>32</v>
      </c>
      <c r="Y3302" t="s">
        <v>3745</v>
      </c>
      <c r="Z3302" t="s">
        <v>32</v>
      </c>
      <c r="AA3302" t="s">
        <v>37021</v>
      </c>
      <c r="AB3302" t="s">
        <v>37022</v>
      </c>
      <c r="AC3302" t="s">
        <v>37023</v>
      </c>
      <c r="AD3302" t="s">
        <v>32</v>
      </c>
      <c r="AE3302" t="s">
        <v>37024</v>
      </c>
      <c r="AF3302" t="s">
        <v>46835</v>
      </c>
    </row>
    <row r="3303" spans="1:32" x14ac:dyDescent="0.2">
      <c r="A3303">
        <v>3298</v>
      </c>
      <c r="B3303" t="s">
        <v>37025</v>
      </c>
      <c r="C3303" t="s">
        <v>37026</v>
      </c>
      <c r="D3303" t="s">
        <v>32</v>
      </c>
      <c r="E3303" t="s">
        <v>37027</v>
      </c>
      <c r="F3303" t="s">
        <v>37028</v>
      </c>
      <c r="G3303" t="s">
        <v>37029</v>
      </c>
      <c r="H3303" t="str">
        <f>"Pcnt"</f>
        <v>Pcnt</v>
      </c>
      <c r="I3303" t="s">
        <v>37030</v>
      </c>
      <c r="J3303" t="s">
        <v>37</v>
      </c>
      <c r="K3303">
        <v>10090</v>
      </c>
      <c r="L3303" s="3" t="str">
        <f>HYPERLINK("http://www.uniprot.org/uniprot/P48725", "P48725")</f>
        <v>P48725</v>
      </c>
      <c r="M3303" t="s">
        <v>37031</v>
      </c>
      <c r="N3303" t="str">
        <f>"Pcnt"</f>
        <v>Pcnt</v>
      </c>
      <c r="O3303" s="3" t="str">
        <f>HYPERLINK("http://www.informatics.jax.org/marker/MGI:102722", "MGI:102722")</f>
        <v>MGI:102722</v>
      </c>
      <c r="P3303" t="s">
        <v>37032</v>
      </c>
      <c r="Q3303" t="s">
        <v>32</v>
      </c>
      <c r="R3303" t="s">
        <v>341</v>
      </c>
      <c r="S3303" t="s">
        <v>41</v>
      </c>
      <c r="T3303" t="s">
        <v>32</v>
      </c>
      <c r="U3303" t="s">
        <v>32</v>
      </c>
      <c r="V3303" t="s">
        <v>290</v>
      </c>
      <c r="W3303" t="s">
        <v>32</v>
      </c>
      <c r="X3303" t="s">
        <v>1926</v>
      </c>
      <c r="Y3303" t="s">
        <v>618</v>
      </c>
      <c r="Z3303" t="s">
        <v>32</v>
      </c>
      <c r="AA3303" t="s">
        <v>37033</v>
      </c>
      <c r="AB3303" t="s">
        <v>37034</v>
      </c>
      <c r="AC3303" t="s">
        <v>37035</v>
      </c>
      <c r="AD3303" t="s">
        <v>32</v>
      </c>
      <c r="AE3303" t="s">
        <v>37036</v>
      </c>
      <c r="AF3303" t="s">
        <v>46835</v>
      </c>
    </row>
    <row r="3304" spans="1:32" x14ac:dyDescent="0.2">
      <c r="A3304">
        <v>3299</v>
      </c>
      <c r="B3304" t="s">
        <v>37037</v>
      </c>
      <c r="C3304" t="s">
        <v>37038</v>
      </c>
      <c r="D3304" t="s">
        <v>37039</v>
      </c>
      <c r="E3304" t="s">
        <v>37040</v>
      </c>
      <c r="F3304" t="s">
        <v>37041</v>
      </c>
      <c r="G3304" t="s">
        <v>37042</v>
      </c>
      <c r="H3304" t="str">
        <f>"Pgghg"</f>
        <v>Pgghg</v>
      </c>
      <c r="I3304" t="s">
        <v>32</v>
      </c>
      <c r="J3304" t="s">
        <v>37</v>
      </c>
      <c r="K3304">
        <v>10090</v>
      </c>
      <c r="L3304" s="3" t="str">
        <f>HYPERLINK("http://www.uniprot.org/uniprot/Q8BP56", "Q8BP56")</f>
        <v>Q8BP56</v>
      </c>
      <c r="M3304" t="s">
        <v>37043</v>
      </c>
      <c r="N3304" t="str">
        <f>"Pgghg"</f>
        <v>Pgghg</v>
      </c>
      <c r="O3304" s="3" t="str">
        <f>HYPERLINK("http://www.informatics.jax.org/marker/MGI:2444047", "MGI:2444047")</f>
        <v>MGI:2444047</v>
      </c>
      <c r="P3304" t="s">
        <v>37044</v>
      </c>
      <c r="Q3304" t="s">
        <v>32</v>
      </c>
      <c r="R3304" t="s">
        <v>32</v>
      </c>
      <c r="S3304" t="s">
        <v>41</v>
      </c>
      <c r="T3304" t="s">
        <v>32</v>
      </c>
      <c r="U3304" t="s">
        <v>32</v>
      </c>
      <c r="V3304" t="s">
        <v>32</v>
      </c>
      <c r="W3304" t="s">
        <v>32</v>
      </c>
      <c r="X3304" t="s">
        <v>4316</v>
      </c>
      <c r="Y3304" t="s">
        <v>32</v>
      </c>
      <c r="Z3304" t="s">
        <v>32</v>
      </c>
      <c r="AA3304" t="s">
        <v>37045</v>
      </c>
      <c r="AB3304" t="s">
        <v>1268</v>
      </c>
      <c r="AC3304" t="s">
        <v>37046</v>
      </c>
      <c r="AD3304" t="s">
        <v>32</v>
      </c>
      <c r="AE3304" t="s">
        <v>32</v>
      </c>
      <c r="AF3304" t="s">
        <v>46835</v>
      </c>
    </row>
    <row r="3305" spans="1:32" x14ac:dyDescent="0.2">
      <c r="A3305">
        <v>3300</v>
      </c>
      <c r="B3305" t="s">
        <v>37047</v>
      </c>
      <c r="C3305" t="s">
        <v>37048</v>
      </c>
      <c r="D3305" t="s">
        <v>32</v>
      </c>
      <c r="E3305" t="s">
        <v>37049</v>
      </c>
      <c r="F3305" t="s">
        <v>37050</v>
      </c>
      <c r="G3305" t="s">
        <v>37051</v>
      </c>
      <c r="H3305" t="str">
        <f>"Cep170"</f>
        <v>Cep170</v>
      </c>
      <c r="I3305" t="s">
        <v>37052</v>
      </c>
      <c r="J3305" t="s">
        <v>37</v>
      </c>
      <c r="K3305">
        <v>10090</v>
      </c>
      <c r="L3305" s="3" t="str">
        <f>HYPERLINK("http://www.uniprot.org/uniprot/Q6A065", "Q6A065")</f>
        <v>Q6A065</v>
      </c>
      <c r="M3305" t="s">
        <v>37053</v>
      </c>
      <c r="N3305" t="str">
        <f>"Cep170"</f>
        <v>Cep170</v>
      </c>
      <c r="O3305" s="3" t="str">
        <f>HYPERLINK("http://www.informatics.jax.org/marker/MGI:1918348", "MGI:1918348")</f>
        <v>MGI:1918348</v>
      </c>
      <c r="P3305" t="s">
        <v>37054</v>
      </c>
      <c r="Q3305" t="s">
        <v>32</v>
      </c>
      <c r="R3305" t="s">
        <v>341</v>
      </c>
      <c r="S3305" t="s">
        <v>41</v>
      </c>
      <c r="T3305" t="s">
        <v>32</v>
      </c>
      <c r="U3305" t="s">
        <v>32</v>
      </c>
      <c r="V3305" t="s">
        <v>290</v>
      </c>
      <c r="W3305" t="s">
        <v>32</v>
      </c>
      <c r="X3305" t="s">
        <v>32</v>
      </c>
      <c r="Y3305" t="s">
        <v>618</v>
      </c>
      <c r="Z3305" t="s">
        <v>32</v>
      </c>
      <c r="AA3305" t="s">
        <v>32</v>
      </c>
      <c r="AB3305" t="s">
        <v>37055</v>
      </c>
      <c r="AC3305" t="s">
        <v>32</v>
      </c>
      <c r="AD3305" t="s">
        <v>32</v>
      </c>
      <c r="AE3305" t="s">
        <v>32</v>
      </c>
      <c r="AF3305" t="s">
        <v>46835</v>
      </c>
    </row>
    <row r="3306" spans="1:32" x14ac:dyDescent="0.2">
      <c r="A3306">
        <v>3301</v>
      </c>
      <c r="B3306" t="s">
        <v>37056</v>
      </c>
      <c r="C3306" t="s">
        <v>37057</v>
      </c>
      <c r="D3306" t="s">
        <v>37058</v>
      </c>
      <c r="E3306" t="s">
        <v>37059</v>
      </c>
      <c r="F3306" t="s">
        <v>37060</v>
      </c>
      <c r="G3306" t="s">
        <v>37061</v>
      </c>
      <c r="H3306" t="str">
        <f>"Trim26"</f>
        <v>Trim26</v>
      </c>
      <c r="I3306" t="s">
        <v>37062</v>
      </c>
      <c r="J3306" t="s">
        <v>37</v>
      </c>
      <c r="K3306">
        <v>10090</v>
      </c>
      <c r="L3306" s="3" t="str">
        <f>HYPERLINK("http://www.uniprot.org/uniprot/Q99PN3", "Q99PN3")</f>
        <v>Q99PN3</v>
      </c>
      <c r="M3306" t="s">
        <v>37063</v>
      </c>
      <c r="N3306" t="str">
        <f>"Trim26"</f>
        <v>Trim26</v>
      </c>
      <c r="O3306" s="3" t="str">
        <f>HYPERLINK("http://www.informatics.jax.org/marker/MGI:1337056", "MGI:1337056")</f>
        <v>MGI:1337056</v>
      </c>
      <c r="P3306" t="s">
        <v>37064</v>
      </c>
      <c r="Q3306" t="s">
        <v>5475</v>
      </c>
      <c r="R3306" t="s">
        <v>40</v>
      </c>
      <c r="S3306" t="s">
        <v>41</v>
      </c>
      <c r="T3306" t="s">
        <v>32</v>
      </c>
      <c r="U3306" t="s">
        <v>32</v>
      </c>
      <c r="V3306" t="s">
        <v>11171</v>
      </c>
      <c r="W3306" t="s">
        <v>42</v>
      </c>
      <c r="X3306" t="s">
        <v>515</v>
      </c>
      <c r="Y3306" t="s">
        <v>5599</v>
      </c>
      <c r="Z3306" t="s">
        <v>32</v>
      </c>
      <c r="AA3306" t="s">
        <v>37065</v>
      </c>
      <c r="AB3306" t="s">
        <v>110</v>
      </c>
      <c r="AC3306" t="s">
        <v>30023</v>
      </c>
      <c r="AD3306" t="s">
        <v>32</v>
      </c>
      <c r="AE3306" t="s">
        <v>32</v>
      </c>
      <c r="AF3306" t="s">
        <v>46835</v>
      </c>
    </row>
    <row r="3307" spans="1:32" x14ac:dyDescent="0.2">
      <c r="A3307">
        <v>3302</v>
      </c>
      <c r="B3307" t="s">
        <v>37066</v>
      </c>
      <c r="C3307" t="s">
        <v>37067</v>
      </c>
      <c r="D3307" t="s">
        <v>37068</v>
      </c>
      <c r="E3307" t="s">
        <v>37069</v>
      </c>
      <c r="F3307" t="s">
        <v>37070</v>
      </c>
      <c r="G3307" t="s">
        <v>37071</v>
      </c>
      <c r="H3307" t="str">
        <f>"Lemd3"</f>
        <v>Lemd3</v>
      </c>
      <c r="I3307" t="s">
        <v>37072</v>
      </c>
      <c r="J3307" t="s">
        <v>37</v>
      </c>
      <c r="K3307">
        <v>10090</v>
      </c>
      <c r="L3307" s="3" t="str">
        <f>HYPERLINK("http://www.uniprot.org/uniprot/Q9WU40", "Q9WU40")</f>
        <v>Q9WU40</v>
      </c>
      <c r="M3307" t="s">
        <v>37073</v>
      </c>
      <c r="N3307" t="str">
        <f>"Lemd3"</f>
        <v>Lemd3</v>
      </c>
      <c r="O3307" s="3" t="str">
        <f>HYPERLINK("http://www.informatics.jax.org/marker/MGI:3580376", "MGI:3580376")</f>
        <v>MGI:3580376</v>
      </c>
      <c r="P3307" t="s">
        <v>37074</v>
      </c>
      <c r="Q3307" t="s">
        <v>32</v>
      </c>
      <c r="R3307" t="s">
        <v>13520</v>
      </c>
      <c r="S3307" t="s">
        <v>41</v>
      </c>
      <c r="T3307" t="s">
        <v>32</v>
      </c>
      <c r="U3307" t="s">
        <v>32</v>
      </c>
      <c r="V3307" t="s">
        <v>493</v>
      </c>
      <c r="W3307" t="s">
        <v>32</v>
      </c>
      <c r="X3307" t="s">
        <v>247</v>
      </c>
      <c r="Y3307" t="s">
        <v>618</v>
      </c>
      <c r="Z3307" t="s">
        <v>32</v>
      </c>
      <c r="AA3307" t="s">
        <v>37075</v>
      </c>
      <c r="AB3307" t="s">
        <v>37076</v>
      </c>
      <c r="AC3307" t="s">
        <v>32139</v>
      </c>
      <c r="AD3307" t="s">
        <v>32</v>
      </c>
      <c r="AE3307" t="s">
        <v>32</v>
      </c>
      <c r="AF3307" t="s">
        <v>46835</v>
      </c>
    </row>
    <row r="3308" spans="1:32" x14ac:dyDescent="0.2">
      <c r="A3308">
        <v>3303</v>
      </c>
      <c r="B3308" t="s">
        <v>37077</v>
      </c>
      <c r="C3308" t="s">
        <v>37078</v>
      </c>
      <c r="D3308" t="s">
        <v>32</v>
      </c>
      <c r="E3308" t="s">
        <v>37079</v>
      </c>
      <c r="F3308" t="s">
        <v>37080</v>
      </c>
      <c r="G3308" t="s">
        <v>37081</v>
      </c>
      <c r="H3308" t="str">
        <f>"Tsr2"</f>
        <v>Tsr2</v>
      </c>
      <c r="I3308" t="s">
        <v>32</v>
      </c>
      <c r="J3308" t="s">
        <v>37</v>
      </c>
      <c r="K3308">
        <v>10090</v>
      </c>
      <c r="L3308" s="3" t="str">
        <f>HYPERLINK("http://www.uniprot.org/uniprot/Q8C8T8", "Q8C8T8")</f>
        <v>Q8C8T8</v>
      </c>
      <c r="M3308" t="s">
        <v>37082</v>
      </c>
      <c r="N3308" t="str">
        <f>"Tsr2"</f>
        <v>Tsr2</v>
      </c>
      <c r="O3308" s="3" t="str">
        <f>HYPERLINK("http://www.informatics.jax.org/marker/MGI:1916749", "MGI:1916749")</f>
        <v>MGI:1916749</v>
      </c>
      <c r="P3308" t="s">
        <v>15770</v>
      </c>
      <c r="Q3308" t="s">
        <v>15770</v>
      </c>
      <c r="R3308" t="s">
        <v>32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32</v>
      </c>
      <c r="Y3308" t="s">
        <v>32</v>
      </c>
      <c r="Z3308" t="s">
        <v>32</v>
      </c>
      <c r="AA3308" t="s">
        <v>37083</v>
      </c>
      <c r="AB3308" t="s">
        <v>3606</v>
      </c>
      <c r="AC3308" t="s">
        <v>32</v>
      </c>
      <c r="AD3308" t="s">
        <v>32</v>
      </c>
      <c r="AE3308" t="s">
        <v>32</v>
      </c>
      <c r="AF3308" t="s">
        <v>46835</v>
      </c>
    </row>
    <row r="3309" spans="1:32" x14ac:dyDescent="0.2">
      <c r="A3309">
        <v>3304</v>
      </c>
      <c r="B3309" t="s">
        <v>37084</v>
      </c>
      <c r="C3309" t="s">
        <v>37085</v>
      </c>
      <c r="D3309" t="s">
        <v>37086</v>
      </c>
      <c r="E3309" t="s">
        <v>37087</v>
      </c>
      <c r="F3309" t="s">
        <v>37088</v>
      </c>
      <c r="G3309" t="s">
        <v>37089</v>
      </c>
      <c r="H3309" t="str">
        <f>"Ncor2"</f>
        <v>Ncor2</v>
      </c>
      <c r="I3309" t="s">
        <v>37090</v>
      </c>
      <c r="J3309" t="s">
        <v>37</v>
      </c>
      <c r="K3309">
        <v>10090</v>
      </c>
      <c r="L3309" s="3" t="str">
        <f>HYPERLINK("http://www.uniprot.org/uniprot/Q9WU42", "Q9WU42")</f>
        <v>Q9WU42</v>
      </c>
      <c r="M3309" t="s">
        <v>37091</v>
      </c>
      <c r="N3309" t="str">
        <f>"Ncor2"</f>
        <v>Ncor2</v>
      </c>
      <c r="O3309" s="3" t="str">
        <f>HYPERLINK("http://www.informatics.jax.org/marker/MGI:1337080", "MGI:1337080")</f>
        <v>MGI:1337080</v>
      </c>
      <c r="P3309" t="s">
        <v>37092</v>
      </c>
      <c r="Q3309" t="s">
        <v>4152</v>
      </c>
      <c r="R3309" t="s">
        <v>2279</v>
      </c>
      <c r="S3309" t="s">
        <v>41</v>
      </c>
      <c r="T3309" t="s">
        <v>32</v>
      </c>
      <c r="U3309" t="s">
        <v>32</v>
      </c>
      <c r="V3309" t="s">
        <v>137</v>
      </c>
      <c r="W3309" t="s">
        <v>32</v>
      </c>
      <c r="X3309" t="s">
        <v>7046</v>
      </c>
      <c r="Y3309" t="s">
        <v>97</v>
      </c>
      <c r="Z3309" t="s">
        <v>32</v>
      </c>
      <c r="AA3309" t="s">
        <v>37093</v>
      </c>
      <c r="AB3309" t="s">
        <v>37094</v>
      </c>
      <c r="AC3309" t="s">
        <v>37095</v>
      </c>
      <c r="AD3309" t="s">
        <v>32</v>
      </c>
      <c r="AE3309" t="s">
        <v>33644</v>
      </c>
      <c r="AF3309" t="s">
        <v>46835</v>
      </c>
    </row>
    <row r="3310" spans="1:32" x14ac:dyDescent="0.2">
      <c r="A3310">
        <v>3305</v>
      </c>
      <c r="B3310" t="s">
        <v>37096</v>
      </c>
      <c r="C3310" t="s">
        <v>37097</v>
      </c>
      <c r="D3310" t="s">
        <v>32</v>
      </c>
      <c r="E3310" t="s">
        <v>37098</v>
      </c>
      <c r="F3310" t="s">
        <v>37099</v>
      </c>
      <c r="G3310" t="s">
        <v>37100</v>
      </c>
      <c r="H3310" t="str">
        <f>"Sesn1"</f>
        <v>Sesn1</v>
      </c>
      <c r="I3310" t="s">
        <v>32</v>
      </c>
      <c r="J3310" t="s">
        <v>37</v>
      </c>
      <c r="K3310">
        <v>10090</v>
      </c>
      <c r="L3310" s="3" t="str">
        <f>HYPERLINK("http://www.uniprot.org/uniprot/P58006", "P58006")</f>
        <v>P58006</v>
      </c>
      <c r="M3310" t="s">
        <v>37101</v>
      </c>
      <c r="N3310" t="str">
        <f>"Sesn1"</f>
        <v>Sesn1</v>
      </c>
      <c r="O3310" s="3" t="str">
        <f>HYPERLINK("http://www.informatics.jax.org/marker/MGI:2155278", "MGI:2155278")</f>
        <v>MGI:2155278</v>
      </c>
      <c r="P3310" t="s">
        <v>37102</v>
      </c>
      <c r="Q3310" t="s">
        <v>32</v>
      </c>
      <c r="R3310" t="s">
        <v>40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600</v>
      </c>
      <c r="Y3310" t="s">
        <v>618</v>
      </c>
      <c r="Z3310" t="s">
        <v>32</v>
      </c>
      <c r="AA3310" t="s">
        <v>37103</v>
      </c>
      <c r="AB3310" t="s">
        <v>37104</v>
      </c>
      <c r="AC3310" t="s">
        <v>28768</v>
      </c>
      <c r="AD3310" t="s">
        <v>32</v>
      </c>
      <c r="AE3310" t="s">
        <v>37105</v>
      </c>
      <c r="AF3310" t="s">
        <v>46835</v>
      </c>
    </row>
    <row r="3311" spans="1:32" x14ac:dyDescent="0.2">
      <c r="A3311">
        <v>3306</v>
      </c>
      <c r="B3311" t="s">
        <v>37106</v>
      </c>
      <c r="C3311" t="s">
        <v>37107</v>
      </c>
      <c r="D3311" t="s">
        <v>37108</v>
      </c>
      <c r="E3311" t="s">
        <v>37109</v>
      </c>
      <c r="F3311" t="s">
        <v>37110</v>
      </c>
      <c r="G3311" t="s">
        <v>32</v>
      </c>
      <c r="H3311" t="str">
        <f>"Eif4ebp2"</f>
        <v>Eif4ebp2</v>
      </c>
      <c r="I3311" t="s">
        <v>32</v>
      </c>
      <c r="J3311" t="s">
        <v>37</v>
      </c>
      <c r="K3311">
        <v>10090</v>
      </c>
      <c r="L3311" s="3" t="str">
        <f>HYPERLINK("http://www.uniprot.org/uniprot/P70445", "P70445")</f>
        <v>P70445</v>
      </c>
      <c r="M3311" t="s">
        <v>37111</v>
      </c>
      <c r="N3311" t="str">
        <f>"Eif4ebp2"</f>
        <v>Eif4ebp2</v>
      </c>
      <c r="O3311" s="3" t="str">
        <f>HYPERLINK("http://www.informatics.jax.org/marker/MGI:109198", "MGI:109198")</f>
        <v>MGI:109198</v>
      </c>
      <c r="P3311" t="s">
        <v>37112</v>
      </c>
      <c r="Q3311" t="s">
        <v>1680</v>
      </c>
      <c r="R3311" t="s">
        <v>32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37113</v>
      </c>
      <c r="Y3311" t="s">
        <v>618</v>
      </c>
      <c r="Z3311" t="s">
        <v>32</v>
      </c>
      <c r="AA3311" t="s">
        <v>37114</v>
      </c>
      <c r="AB3311" t="s">
        <v>37115</v>
      </c>
      <c r="AC3311" t="s">
        <v>37116</v>
      </c>
      <c r="AD3311" t="s">
        <v>32</v>
      </c>
      <c r="AE3311" t="s">
        <v>32</v>
      </c>
      <c r="AF3311" t="s">
        <v>46835</v>
      </c>
    </row>
    <row r="3312" spans="1:32" x14ac:dyDescent="0.2">
      <c r="A3312">
        <v>3307</v>
      </c>
      <c r="B3312" t="s">
        <v>37117</v>
      </c>
      <c r="C3312" t="s">
        <v>37118</v>
      </c>
      <c r="D3312" t="s">
        <v>37119</v>
      </c>
      <c r="E3312" t="s">
        <v>37120</v>
      </c>
      <c r="F3312" t="s">
        <v>37121</v>
      </c>
      <c r="G3312" t="s">
        <v>37122</v>
      </c>
      <c r="H3312" t="str">
        <f>"Ube2q1"</f>
        <v>Ube2q1</v>
      </c>
      <c r="I3312" t="s">
        <v>37123</v>
      </c>
      <c r="J3312" t="s">
        <v>37</v>
      </c>
      <c r="K3312">
        <v>10090</v>
      </c>
      <c r="L3312" s="3" t="str">
        <f>HYPERLINK("http://www.uniprot.org/uniprot/Q7TSS2", "Q7TSS2")</f>
        <v>Q7TSS2</v>
      </c>
      <c r="M3312" t="s">
        <v>37124</v>
      </c>
      <c r="N3312" t="str">
        <f>"Ube2q1"</f>
        <v>Ube2q1</v>
      </c>
      <c r="O3312" s="3" t="str">
        <f>HYPERLINK("http://www.informatics.jax.org/marker/MGI:1917343", "MGI:1917343")</f>
        <v>MGI:1917343</v>
      </c>
      <c r="P3312" t="s">
        <v>37125</v>
      </c>
      <c r="Q3312" t="s">
        <v>1020</v>
      </c>
      <c r="R3312" t="s">
        <v>1952</v>
      </c>
      <c r="S3312" t="s">
        <v>41</v>
      </c>
      <c r="T3312" t="s">
        <v>32</v>
      </c>
      <c r="U3312" t="s">
        <v>32</v>
      </c>
      <c r="V3312" t="s">
        <v>32</v>
      </c>
      <c r="W3312" t="s">
        <v>205</v>
      </c>
      <c r="X3312" t="s">
        <v>515</v>
      </c>
      <c r="Y3312" t="s">
        <v>4102</v>
      </c>
      <c r="Z3312" t="s">
        <v>32</v>
      </c>
      <c r="AA3312" t="s">
        <v>37126</v>
      </c>
      <c r="AB3312" t="s">
        <v>37127</v>
      </c>
      <c r="AC3312" t="s">
        <v>37128</v>
      </c>
      <c r="AD3312" t="s">
        <v>1027</v>
      </c>
      <c r="AE3312" t="s">
        <v>4220</v>
      </c>
      <c r="AF3312" t="s">
        <v>46835</v>
      </c>
    </row>
    <row r="3313" spans="1:32" x14ac:dyDescent="0.2">
      <c r="A3313">
        <v>3308</v>
      </c>
      <c r="B3313" t="s">
        <v>37129</v>
      </c>
      <c r="C3313" t="s">
        <v>37130</v>
      </c>
      <c r="D3313" t="s">
        <v>37131</v>
      </c>
      <c r="E3313" t="s">
        <v>37132</v>
      </c>
      <c r="F3313" t="s">
        <v>37133</v>
      </c>
      <c r="G3313" t="s">
        <v>37134</v>
      </c>
      <c r="H3313" t="str">
        <f>"Capn7"</f>
        <v>Capn7</v>
      </c>
      <c r="I3313" t="s">
        <v>37135</v>
      </c>
      <c r="J3313" t="s">
        <v>37</v>
      </c>
      <c r="K3313">
        <v>10090</v>
      </c>
      <c r="L3313" s="3" t="str">
        <f>HYPERLINK("http://www.uniprot.org/uniprot/Q9R1S8", "Q9R1S8")</f>
        <v>Q9R1S8</v>
      </c>
      <c r="M3313" t="s">
        <v>37136</v>
      </c>
      <c r="N3313" t="str">
        <f>"Capn7"</f>
        <v>Capn7</v>
      </c>
      <c r="O3313" s="3" t="str">
        <f>HYPERLINK("http://www.informatics.jax.org/marker/MGI:1338030", "MGI:1338030")</f>
        <v>MGI:1338030</v>
      </c>
      <c r="P3313" t="s">
        <v>37137</v>
      </c>
      <c r="Q3313" t="s">
        <v>32</v>
      </c>
      <c r="R3313" t="s">
        <v>2279</v>
      </c>
      <c r="S3313" t="s">
        <v>32</v>
      </c>
      <c r="T3313" t="s">
        <v>32</v>
      </c>
      <c r="U3313" t="s">
        <v>32</v>
      </c>
      <c r="V3313" t="s">
        <v>55</v>
      </c>
      <c r="W3313" t="s">
        <v>32</v>
      </c>
      <c r="X3313" t="s">
        <v>557</v>
      </c>
      <c r="Y3313" t="s">
        <v>157</v>
      </c>
      <c r="Z3313" t="s">
        <v>32</v>
      </c>
      <c r="AA3313" t="s">
        <v>37138</v>
      </c>
      <c r="AB3313" t="s">
        <v>37139</v>
      </c>
      <c r="AC3313" t="s">
        <v>37140</v>
      </c>
      <c r="AD3313" t="s">
        <v>32</v>
      </c>
      <c r="AE3313" t="s">
        <v>561</v>
      </c>
      <c r="AF3313" t="s">
        <v>46835</v>
      </c>
    </row>
    <row r="3314" spans="1:32" x14ac:dyDescent="0.2">
      <c r="A3314">
        <v>3309</v>
      </c>
      <c r="B3314" t="s">
        <v>37141</v>
      </c>
      <c r="C3314" t="s">
        <v>37142</v>
      </c>
      <c r="D3314" t="s">
        <v>32</v>
      </c>
      <c r="E3314" t="s">
        <v>37143</v>
      </c>
      <c r="F3314" t="s">
        <v>37144</v>
      </c>
      <c r="G3314" t="s">
        <v>37145</v>
      </c>
      <c r="H3314" t="str">
        <f>"Ccdc167"</f>
        <v>Ccdc167</v>
      </c>
      <c r="I3314" t="s">
        <v>32</v>
      </c>
      <c r="J3314" t="s">
        <v>37</v>
      </c>
      <c r="K3314">
        <v>10090</v>
      </c>
      <c r="L3314" s="3" t="str">
        <f>HYPERLINK("http://www.uniprot.org/uniprot/Q9D162", "Q9D162")</f>
        <v>Q9D162</v>
      </c>
      <c r="M3314" t="s">
        <v>37146</v>
      </c>
      <c r="N3314" t="str">
        <f>"Ccdc167"</f>
        <v>Ccdc167</v>
      </c>
      <c r="O3314" s="3" t="str">
        <f>HYPERLINK("http://www.informatics.jax.org/marker/MGI:1915847", "MGI:1915847")</f>
        <v>MGI:1915847</v>
      </c>
      <c r="P3314" t="s">
        <v>37147</v>
      </c>
      <c r="Q3314" t="s">
        <v>32</v>
      </c>
      <c r="R3314" t="s">
        <v>5989</v>
      </c>
      <c r="S3314" t="s">
        <v>41</v>
      </c>
      <c r="T3314" t="s">
        <v>32</v>
      </c>
      <c r="U3314" t="s">
        <v>32</v>
      </c>
      <c r="V3314" t="s">
        <v>6500</v>
      </c>
      <c r="W3314" t="s">
        <v>32</v>
      </c>
      <c r="X3314" t="s">
        <v>32</v>
      </c>
      <c r="Y3314" t="s">
        <v>32</v>
      </c>
      <c r="Z3314" t="s">
        <v>32</v>
      </c>
      <c r="AA3314" t="s">
        <v>32</v>
      </c>
      <c r="AB3314" t="s">
        <v>14923</v>
      </c>
      <c r="AC3314" t="s">
        <v>32</v>
      </c>
      <c r="AD3314" t="s">
        <v>32</v>
      </c>
      <c r="AE3314" t="s">
        <v>32</v>
      </c>
      <c r="AF3314" t="s">
        <v>46835</v>
      </c>
    </row>
    <row r="3315" spans="1:32" x14ac:dyDescent="0.2">
      <c r="A3315">
        <v>3310</v>
      </c>
      <c r="B3315" t="s">
        <v>37148</v>
      </c>
      <c r="C3315" t="s">
        <v>37149</v>
      </c>
      <c r="D3315" t="s">
        <v>37150</v>
      </c>
      <c r="E3315" t="s">
        <v>37151</v>
      </c>
      <c r="F3315" t="s">
        <v>37152</v>
      </c>
      <c r="G3315" t="s">
        <v>37153</v>
      </c>
      <c r="H3315" t="str">
        <f>"Atp2c1"</f>
        <v>Atp2c1</v>
      </c>
      <c r="I3315" t="s">
        <v>32</v>
      </c>
      <c r="J3315" t="s">
        <v>37</v>
      </c>
      <c r="K3315">
        <v>10090</v>
      </c>
      <c r="L3315" s="3" t="str">
        <f>HYPERLINK("http://www.uniprot.org/uniprot/Q80XR2", "Q80XR2")</f>
        <v>Q80XR2</v>
      </c>
      <c r="M3315" t="s">
        <v>37154</v>
      </c>
      <c r="N3315" t="str">
        <f>"Atp2c1"</f>
        <v>Atp2c1</v>
      </c>
      <c r="O3315" s="3" t="str">
        <f>HYPERLINK("http://www.informatics.jax.org/marker/MGI:1889008", "MGI:1889008")</f>
        <v>MGI:1889008</v>
      </c>
      <c r="P3315" t="s">
        <v>37155</v>
      </c>
      <c r="Q3315" t="s">
        <v>4052</v>
      </c>
      <c r="R3315" t="s">
        <v>13904</v>
      </c>
      <c r="S3315" t="s">
        <v>32</v>
      </c>
      <c r="T3315" t="s">
        <v>32</v>
      </c>
      <c r="U3315" t="s">
        <v>32</v>
      </c>
      <c r="V3315" t="s">
        <v>493</v>
      </c>
      <c r="W3315" t="s">
        <v>4054</v>
      </c>
      <c r="X3315" t="s">
        <v>1506</v>
      </c>
      <c r="Y3315" t="s">
        <v>32</v>
      </c>
      <c r="Z3315" t="s">
        <v>32</v>
      </c>
      <c r="AA3315" t="s">
        <v>37156</v>
      </c>
      <c r="AB3315" t="s">
        <v>37157</v>
      </c>
      <c r="AC3315" t="s">
        <v>37158</v>
      </c>
      <c r="AD3315" t="s">
        <v>32</v>
      </c>
      <c r="AE3315" t="s">
        <v>21096</v>
      </c>
      <c r="AF3315" t="s">
        <v>46835</v>
      </c>
    </row>
    <row r="3316" spans="1:32" x14ac:dyDescent="0.2">
      <c r="A3316">
        <v>3311</v>
      </c>
      <c r="B3316" t="s">
        <v>37159</v>
      </c>
      <c r="C3316" t="s">
        <v>37160</v>
      </c>
      <c r="D3316" t="s">
        <v>37161</v>
      </c>
      <c r="E3316" t="s">
        <v>37162</v>
      </c>
      <c r="F3316" t="s">
        <v>37163</v>
      </c>
      <c r="G3316" t="s">
        <v>37164</v>
      </c>
      <c r="H3316" t="str">
        <f>"Frem2"</f>
        <v>Frem2</v>
      </c>
      <c r="I3316" t="s">
        <v>37165</v>
      </c>
      <c r="J3316" t="s">
        <v>37</v>
      </c>
      <c r="K3316">
        <v>10090</v>
      </c>
      <c r="L3316" s="3" t="str">
        <f>HYPERLINK("http://www.uniprot.org/uniprot/Q6NVD0", "Q6NVD0")</f>
        <v>Q6NVD0</v>
      </c>
      <c r="M3316" t="s">
        <v>37166</v>
      </c>
      <c r="N3316" t="str">
        <f>"Frem2"</f>
        <v>Frem2</v>
      </c>
      <c r="O3316" s="3" t="str">
        <f>HYPERLINK("http://www.informatics.jax.org/marker/MGI:2444465", "MGI:2444465")</f>
        <v>MGI:2444465</v>
      </c>
      <c r="P3316" t="s">
        <v>37167</v>
      </c>
      <c r="Q3316" t="s">
        <v>2784</v>
      </c>
      <c r="R3316" t="s">
        <v>2474</v>
      </c>
      <c r="S3316" t="s">
        <v>41</v>
      </c>
      <c r="T3316" t="s">
        <v>32</v>
      </c>
      <c r="U3316" t="s">
        <v>32</v>
      </c>
      <c r="V3316" t="s">
        <v>1665</v>
      </c>
      <c r="W3316" t="s">
        <v>188</v>
      </c>
      <c r="X3316" t="s">
        <v>2029</v>
      </c>
      <c r="Y3316" t="s">
        <v>3733</v>
      </c>
      <c r="Z3316" t="s">
        <v>32</v>
      </c>
      <c r="AA3316" t="s">
        <v>37168</v>
      </c>
      <c r="AB3316" t="s">
        <v>37169</v>
      </c>
      <c r="AC3316" t="s">
        <v>4525</v>
      </c>
      <c r="AD3316" t="s">
        <v>32</v>
      </c>
      <c r="AE3316" t="s">
        <v>32</v>
      </c>
      <c r="AF3316" t="s">
        <v>46835</v>
      </c>
    </row>
    <row r="3317" spans="1:32" x14ac:dyDescent="0.2">
      <c r="A3317">
        <v>3312</v>
      </c>
      <c r="B3317" t="s">
        <v>37170</v>
      </c>
      <c r="C3317" t="s">
        <v>37171</v>
      </c>
      <c r="D3317" t="s">
        <v>32</v>
      </c>
      <c r="E3317" t="s">
        <v>37172</v>
      </c>
      <c r="F3317" t="s">
        <v>37173</v>
      </c>
      <c r="G3317" t="s">
        <v>37174</v>
      </c>
      <c r="H3317" t="str">
        <f>"Commd9"</f>
        <v>Commd9</v>
      </c>
      <c r="I3317" t="s">
        <v>32</v>
      </c>
      <c r="J3317" t="s">
        <v>37</v>
      </c>
      <c r="K3317">
        <v>10090</v>
      </c>
      <c r="L3317" s="3" t="str">
        <f>HYPERLINK("http://www.uniprot.org/uniprot/Q8K2Q0", "Q8K2Q0")</f>
        <v>Q8K2Q0</v>
      </c>
      <c r="M3317" t="s">
        <v>37175</v>
      </c>
      <c r="N3317" t="str">
        <f>"Commd9"</f>
        <v>Commd9</v>
      </c>
      <c r="O3317" s="3" t="str">
        <f>HYPERLINK("http://www.informatics.jax.org/marker/MGI:1923751", "MGI:1923751")</f>
        <v>MGI:1923751</v>
      </c>
      <c r="P3317" t="s">
        <v>37176</v>
      </c>
      <c r="Q3317" t="s">
        <v>18284</v>
      </c>
      <c r="R3317" t="s">
        <v>15383</v>
      </c>
      <c r="S3317" t="s">
        <v>32</v>
      </c>
      <c r="T3317" t="s">
        <v>32</v>
      </c>
      <c r="U3317" t="s">
        <v>32</v>
      </c>
      <c r="V3317" t="s">
        <v>32</v>
      </c>
      <c r="W3317" t="s">
        <v>18285</v>
      </c>
      <c r="X3317" t="s">
        <v>32</v>
      </c>
      <c r="Y3317" t="s">
        <v>78</v>
      </c>
      <c r="Z3317" t="s">
        <v>32</v>
      </c>
      <c r="AA3317" t="s">
        <v>37177</v>
      </c>
      <c r="AB3317" t="s">
        <v>37178</v>
      </c>
      <c r="AC3317" t="s">
        <v>32</v>
      </c>
      <c r="AD3317" t="s">
        <v>32</v>
      </c>
      <c r="AE3317" t="s">
        <v>18287</v>
      </c>
      <c r="AF3317" t="s">
        <v>46835</v>
      </c>
    </row>
    <row r="3318" spans="1:32" x14ac:dyDescent="0.2">
      <c r="A3318">
        <v>3313</v>
      </c>
      <c r="B3318" t="s">
        <v>37179</v>
      </c>
      <c r="C3318" t="s">
        <v>37180</v>
      </c>
      <c r="D3318" t="s">
        <v>37181</v>
      </c>
      <c r="E3318" t="s">
        <v>37182</v>
      </c>
      <c r="F3318" t="s">
        <v>37183</v>
      </c>
      <c r="G3318" t="s">
        <v>32</v>
      </c>
      <c r="H3318" t="str">
        <f>"Cnot7"</f>
        <v>Cnot7</v>
      </c>
      <c r="I3318" t="s">
        <v>37184</v>
      </c>
      <c r="J3318" t="s">
        <v>37</v>
      </c>
      <c r="K3318">
        <v>10090</v>
      </c>
      <c r="L3318" s="3" t="str">
        <f>HYPERLINK("http://www.uniprot.org/uniprot/Q60809", "Q60809")</f>
        <v>Q60809</v>
      </c>
      <c r="M3318" t="s">
        <v>37185</v>
      </c>
      <c r="N3318" t="str">
        <f>"Cnot7"</f>
        <v>Cnot7</v>
      </c>
      <c r="O3318" s="3" t="str">
        <f>HYPERLINK("http://www.informatics.jax.org/marker/MGI:1298230", "MGI:1298230")</f>
        <v>MGI:1298230</v>
      </c>
      <c r="P3318" t="s">
        <v>37186</v>
      </c>
      <c r="Q3318" t="s">
        <v>18937</v>
      </c>
      <c r="R3318" t="s">
        <v>40</v>
      </c>
      <c r="S3318" t="s">
        <v>32</v>
      </c>
      <c r="T3318" t="s">
        <v>32</v>
      </c>
      <c r="U3318" t="s">
        <v>32</v>
      </c>
      <c r="V3318" t="s">
        <v>32</v>
      </c>
      <c r="W3318" t="s">
        <v>223</v>
      </c>
      <c r="X3318" t="s">
        <v>37187</v>
      </c>
      <c r="Y3318" t="s">
        <v>32</v>
      </c>
      <c r="Z3318" t="s">
        <v>32</v>
      </c>
      <c r="AA3318" t="s">
        <v>37188</v>
      </c>
      <c r="AB3318" t="s">
        <v>37189</v>
      </c>
      <c r="AC3318" t="s">
        <v>37190</v>
      </c>
      <c r="AD3318" t="s">
        <v>32</v>
      </c>
      <c r="AE3318" t="s">
        <v>18942</v>
      </c>
      <c r="AF3318" t="s">
        <v>46835</v>
      </c>
    </row>
    <row r="3319" spans="1:32" x14ac:dyDescent="0.2">
      <c r="A3319">
        <v>3314</v>
      </c>
      <c r="B3319" t="s">
        <v>37191</v>
      </c>
      <c r="C3319" t="s">
        <v>37192</v>
      </c>
      <c r="D3319" t="s">
        <v>32</v>
      </c>
      <c r="E3319" t="s">
        <v>37193</v>
      </c>
      <c r="F3319" t="s">
        <v>37194</v>
      </c>
      <c r="G3319" t="s">
        <v>37195</v>
      </c>
      <c r="H3319" t="str">
        <f>"Ltv1"</f>
        <v>Ltv1</v>
      </c>
      <c r="I3319" t="s">
        <v>32</v>
      </c>
      <c r="J3319" t="s">
        <v>37</v>
      </c>
      <c r="K3319">
        <v>10090</v>
      </c>
      <c r="L3319" s="3" t="str">
        <f>HYPERLINK("http://www.uniprot.org/uniprot/Q6NSQ7", "Q6NSQ7")</f>
        <v>Q6NSQ7</v>
      </c>
      <c r="M3319" t="s">
        <v>37196</v>
      </c>
      <c r="N3319" t="str">
        <f>"Ltv1"</f>
        <v>Ltv1</v>
      </c>
      <c r="O3319" s="3" t="str">
        <f>HYPERLINK("http://www.informatics.jax.org/marker/MGI:2447810", "MGI:2447810")</f>
        <v>MGI:2447810</v>
      </c>
      <c r="P3319" t="s">
        <v>34878</v>
      </c>
      <c r="Q3319" t="s">
        <v>32</v>
      </c>
      <c r="R3319" t="s">
        <v>32</v>
      </c>
      <c r="S3319" t="s">
        <v>32</v>
      </c>
      <c r="T3319" t="s">
        <v>32</v>
      </c>
      <c r="U3319" t="s">
        <v>32</v>
      </c>
      <c r="V3319" t="s">
        <v>290</v>
      </c>
      <c r="W3319" t="s">
        <v>32</v>
      </c>
      <c r="X3319" t="s">
        <v>32</v>
      </c>
      <c r="Y3319" t="s">
        <v>618</v>
      </c>
      <c r="Z3319" t="s">
        <v>32</v>
      </c>
      <c r="AA3319" t="s">
        <v>37197</v>
      </c>
      <c r="AB3319" t="s">
        <v>37198</v>
      </c>
      <c r="AC3319" t="s">
        <v>32</v>
      </c>
      <c r="AD3319" t="s">
        <v>32</v>
      </c>
      <c r="AE3319" t="s">
        <v>960</v>
      </c>
      <c r="AF3319" t="s">
        <v>46835</v>
      </c>
    </row>
    <row r="3320" spans="1:32" x14ac:dyDescent="0.2">
      <c r="A3320">
        <v>3315</v>
      </c>
      <c r="B3320" t="s">
        <v>37199</v>
      </c>
      <c r="C3320" t="s">
        <v>37200</v>
      </c>
      <c r="D3320" t="s">
        <v>37201</v>
      </c>
      <c r="E3320" t="s">
        <v>37202</v>
      </c>
      <c r="F3320" t="s">
        <v>37203</v>
      </c>
      <c r="G3320" t="s">
        <v>37204</v>
      </c>
      <c r="H3320" t="str">
        <f>"Trmt6"</f>
        <v>Trmt6</v>
      </c>
      <c r="I3320" t="s">
        <v>37205</v>
      </c>
      <c r="J3320" t="s">
        <v>37</v>
      </c>
      <c r="K3320">
        <v>10090</v>
      </c>
      <c r="L3320" s="3" t="str">
        <f>HYPERLINK("http://www.uniprot.org/uniprot/Q8CE96", "Q8CE96")</f>
        <v>Q8CE96</v>
      </c>
      <c r="M3320" t="s">
        <v>37206</v>
      </c>
      <c r="N3320" t="str">
        <f>"Trmt6"</f>
        <v>Trmt6</v>
      </c>
      <c r="O3320" s="3" t="str">
        <f>HYPERLINK("http://www.informatics.jax.org/marker/MGI:1914176", "MGI:1914176")</f>
        <v>MGI:1914176</v>
      </c>
      <c r="P3320" t="s">
        <v>37207</v>
      </c>
      <c r="Q3320" t="s">
        <v>4386</v>
      </c>
      <c r="R3320" t="s">
        <v>2279</v>
      </c>
      <c r="S3320" t="s">
        <v>41</v>
      </c>
      <c r="T3320" t="s">
        <v>32</v>
      </c>
      <c r="U3320" t="s">
        <v>32</v>
      </c>
      <c r="V3320" t="s">
        <v>32</v>
      </c>
      <c r="W3320" t="s">
        <v>32</v>
      </c>
      <c r="X3320" t="s">
        <v>32</v>
      </c>
      <c r="Y3320" t="s">
        <v>618</v>
      </c>
      <c r="Z3320" t="s">
        <v>32</v>
      </c>
      <c r="AA3320" t="s">
        <v>37208</v>
      </c>
      <c r="AB3320" t="s">
        <v>37209</v>
      </c>
      <c r="AC3320" t="s">
        <v>32</v>
      </c>
      <c r="AD3320" t="s">
        <v>32</v>
      </c>
      <c r="AE3320" t="s">
        <v>32</v>
      </c>
      <c r="AF3320" t="s">
        <v>46835</v>
      </c>
    </row>
    <row r="3321" spans="1:32" x14ac:dyDescent="0.2">
      <c r="A3321">
        <v>3316</v>
      </c>
      <c r="B3321" t="s">
        <v>37210</v>
      </c>
      <c r="C3321" t="s">
        <v>37211</v>
      </c>
      <c r="D3321" t="s">
        <v>37212</v>
      </c>
      <c r="E3321" t="s">
        <v>37213</v>
      </c>
      <c r="F3321" t="s">
        <v>37214</v>
      </c>
      <c r="G3321" t="s">
        <v>37215</v>
      </c>
      <c r="H3321" t="str">
        <f>"Cog7"</f>
        <v>Cog7</v>
      </c>
      <c r="I3321" t="s">
        <v>32</v>
      </c>
      <c r="J3321" t="s">
        <v>37</v>
      </c>
      <c r="K3321">
        <v>10090</v>
      </c>
      <c r="L3321" s="3" t="str">
        <f>HYPERLINK("http://www.uniprot.org/uniprot/Q3UM29", "Q3UM29")</f>
        <v>Q3UM29</v>
      </c>
      <c r="M3321" t="s">
        <v>37216</v>
      </c>
      <c r="N3321" t="str">
        <f>"Cog7"</f>
        <v>Cog7</v>
      </c>
      <c r="O3321" s="3" t="str">
        <f>HYPERLINK("http://www.informatics.jax.org/marker/MGI:2685013", "MGI:2685013")</f>
        <v>MGI:2685013</v>
      </c>
      <c r="P3321" t="s">
        <v>24937</v>
      </c>
      <c r="Q3321" t="s">
        <v>434</v>
      </c>
      <c r="R3321" t="s">
        <v>13904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32</v>
      </c>
      <c r="Y3321" t="s">
        <v>32</v>
      </c>
      <c r="Z3321" t="s">
        <v>32</v>
      </c>
      <c r="AA3321" t="s">
        <v>37217</v>
      </c>
      <c r="AB3321" t="s">
        <v>37218</v>
      </c>
      <c r="AC3321" t="s">
        <v>32</v>
      </c>
      <c r="AD3321" t="s">
        <v>32</v>
      </c>
      <c r="AE3321" t="s">
        <v>24940</v>
      </c>
      <c r="AF3321" t="s">
        <v>46835</v>
      </c>
    </row>
    <row r="3322" spans="1:32" x14ac:dyDescent="0.2">
      <c r="A3322">
        <v>3317</v>
      </c>
      <c r="B3322" t="s">
        <v>37219</v>
      </c>
      <c r="C3322" t="s">
        <v>37220</v>
      </c>
      <c r="D3322" t="s">
        <v>37221</v>
      </c>
      <c r="E3322" t="s">
        <v>37222</v>
      </c>
      <c r="F3322" t="s">
        <v>37223</v>
      </c>
      <c r="G3322" t="s">
        <v>37224</v>
      </c>
      <c r="H3322" t="str">
        <f>"Chtop"</f>
        <v>Chtop</v>
      </c>
      <c r="I3322" t="s">
        <v>37225</v>
      </c>
      <c r="J3322" t="s">
        <v>37</v>
      </c>
      <c r="K3322">
        <v>10090</v>
      </c>
      <c r="L3322" s="3" t="str">
        <f>HYPERLINK("http://www.uniprot.org/uniprot/Q9CY57", "Q9CY57")</f>
        <v>Q9CY57</v>
      </c>
      <c r="M3322" t="s">
        <v>37226</v>
      </c>
      <c r="N3322" t="str">
        <f>"Chtop"</f>
        <v>Chtop</v>
      </c>
      <c r="O3322" s="3" t="str">
        <f>HYPERLINK("http://www.informatics.jax.org/marker/MGI:1913761", "MGI:1913761")</f>
        <v>MGI:1913761</v>
      </c>
      <c r="P3322" t="s">
        <v>37227</v>
      </c>
      <c r="Q3322" t="s">
        <v>4152</v>
      </c>
      <c r="R3322" t="s">
        <v>2279</v>
      </c>
      <c r="S3322" t="s">
        <v>41</v>
      </c>
      <c r="T3322" t="s">
        <v>32</v>
      </c>
      <c r="U3322" t="s">
        <v>32</v>
      </c>
      <c r="V3322" t="s">
        <v>32</v>
      </c>
      <c r="W3322" t="s">
        <v>32</v>
      </c>
      <c r="X3322" t="s">
        <v>1282</v>
      </c>
      <c r="Y3322" t="s">
        <v>207</v>
      </c>
      <c r="Z3322" t="s">
        <v>32</v>
      </c>
      <c r="AA3322" t="s">
        <v>37228</v>
      </c>
      <c r="AB3322" t="s">
        <v>37229</v>
      </c>
      <c r="AC3322" t="s">
        <v>37230</v>
      </c>
      <c r="AD3322" t="s">
        <v>32</v>
      </c>
      <c r="AE3322" t="s">
        <v>16560</v>
      </c>
      <c r="AF3322" t="s">
        <v>46835</v>
      </c>
    </row>
    <row r="3323" spans="1:32" x14ac:dyDescent="0.2">
      <c r="A3323">
        <v>3318</v>
      </c>
      <c r="B3323" t="s">
        <v>37231</v>
      </c>
      <c r="C3323" t="s">
        <v>37232</v>
      </c>
      <c r="D3323" t="s">
        <v>37233</v>
      </c>
      <c r="E3323" t="s">
        <v>37234</v>
      </c>
      <c r="F3323" t="s">
        <v>37235</v>
      </c>
      <c r="G3323" t="s">
        <v>37236</v>
      </c>
      <c r="H3323" t="str">
        <f>"Tenm3"</f>
        <v>Tenm3</v>
      </c>
      <c r="I3323" t="s">
        <v>32</v>
      </c>
      <c r="J3323" t="s">
        <v>37</v>
      </c>
      <c r="K3323">
        <v>10090</v>
      </c>
      <c r="L3323" s="3" t="str">
        <f>HYPERLINK("http://www.uniprot.org/uniprot/Q9WTS6", "Q9WTS6")</f>
        <v>Q9WTS6</v>
      </c>
      <c r="M3323" t="s">
        <v>37237</v>
      </c>
      <c r="N3323" t="str">
        <f>"Tenm3"</f>
        <v>Tenm3</v>
      </c>
      <c r="O3323" s="3" t="str">
        <f>HYPERLINK("http://www.informatics.jax.org/marker/MGI:1345183", "MGI:1345183")</f>
        <v>MGI:1345183</v>
      </c>
      <c r="P3323" t="s">
        <v>37238</v>
      </c>
      <c r="Q3323" t="s">
        <v>8934</v>
      </c>
      <c r="R3323" t="s">
        <v>2943</v>
      </c>
      <c r="S3323" t="s">
        <v>41</v>
      </c>
      <c r="T3323" t="s">
        <v>32</v>
      </c>
      <c r="U3323" t="s">
        <v>32</v>
      </c>
      <c r="V3323" t="s">
        <v>37239</v>
      </c>
      <c r="W3323" t="s">
        <v>32</v>
      </c>
      <c r="X3323" t="s">
        <v>32</v>
      </c>
      <c r="Y3323" t="s">
        <v>5275</v>
      </c>
      <c r="Z3323" t="s">
        <v>126</v>
      </c>
      <c r="AA3323" t="s">
        <v>37240</v>
      </c>
      <c r="AB3323" t="s">
        <v>37241</v>
      </c>
      <c r="AC3323" t="s">
        <v>37242</v>
      </c>
      <c r="AD3323" t="s">
        <v>32</v>
      </c>
      <c r="AE3323" t="s">
        <v>32</v>
      </c>
      <c r="AF3323" t="s">
        <v>46835</v>
      </c>
    </row>
    <row r="3324" spans="1:32" x14ac:dyDescent="0.2">
      <c r="A3324">
        <v>3319</v>
      </c>
      <c r="B3324" t="s">
        <v>37243</v>
      </c>
      <c r="C3324" t="s">
        <v>37244</v>
      </c>
      <c r="D3324" t="s">
        <v>37245</v>
      </c>
      <c r="E3324" t="s">
        <v>37246</v>
      </c>
      <c r="F3324" t="s">
        <v>37247</v>
      </c>
      <c r="G3324" t="s">
        <v>37248</v>
      </c>
      <c r="H3324" t="str">
        <f>"Msmo1"</f>
        <v>Msmo1</v>
      </c>
      <c r="I3324" t="s">
        <v>37249</v>
      </c>
      <c r="J3324" t="s">
        <v>37</v>
      </c>
      <c r="K3324">
        <v>10090</v>
      </c>
      <c r="L3324" s="3" t="str">
        <f>HYPERLINK("http://www.uniprot.org/uniprot/Q9CRA4", "Q9CRA4")</f>
        <v>Q9CRA4</v>
      </c>
      <c r="M3324" t="s">
        <v>37250</v>
      </c>
      <c r="N3324" t="str">
        <f>"Msmo1"</f>
        <v>Msmo1</v>
      </c>
      <c r="O3324" s="3" t="str">
        <f>HYPERLINK("http://www.informatics.jax.org/marker/MGI:1913484", "MGI:1913484")</f>
        <v>MGI:1913484</v>
      </c>
      <c r="P3324" t="s">
        <v>37251</v>
      </c>
      <c r="Q3324" t="s">
        <v>10614</v>
      </c>
      <c r="R3324" t="s">
        <v>1664</v>
      </c>
      <c r="S3324" t="s">
        <v>32</v>
      </c>
      <c r="T3324" t="s">
        <v>32</v>
      </c>
      <c r="U3324" t="s">
        <v>32</v>
      </c>
      <c r="V3324" t="s">
        <v>493</v>
      </c>
      <c r="W3324" t="s">
        <v>37252</v>
      </c>
      <c r="X3324" t="s">
        <v>600</v>
      </c>
      <c r="Y3324" t="s">
        <v>32</v>
      </c>
      <c r="Z3324" t="s">
        <v>32</v>
      </c>
      <c r="AA3324" t="s">
        <v>37253</v>
      </c>
      <c r="AB3324" t="s">
        <v>22665</v>
      </c>
      <c r="AC3324" t="s">
        <v>37254</v>
      </c>
      <c r="AD3324" t="s">
        <v>24240</v>
      </c>
      <c r="AE3324" t="s">
        <v>5365</v>
      </c>
      <c r="AF3324" t="s">
        <v>46835</v>
      </c>
    </row>
    <row r="3325" spans="1:32" x14ac:dyDescent="0.2">
      <c r="A3325">
        <v>3320</v>
      </c>
      <c r="B3325" t="s">
        <v>37255</v>
      </c>
      <c r="C3325" t="s">
        <v>37256</v>
      </c>
      <c r="D3325" t="s">
        <v>37257</v>
      </c>
      <c r="E3325" t="s">
        <v>37258</v>
      </c>
      <c r="F3325" t="s">
        <v>37259</v>
      </c>
      <c r="G3325" t="s">
        <v>32</v>
      </c>
      <c r="H3325" t="str">
        <f>"Rhot2"</f>
        <v>Rhot2</v>
      </c>
      <c r="I3325" t="s">
        <v>37260</v>
      </c>
      <c r="J3325" t="s">
        <v>37</v>
      </c>
      <c r="K3325">
        <v>10090</v>
      </c>
      <c r="L3325" s="3" t="str">
        <f>HYPERLINK("http://www.uniprot.org/uniprot/Q8JZN7", "Q8JZN7")</f>
        <v>Q8JZN7</v>
      </c>
      <c r="M3325" t="s">
        <v>37261</v>
      </c>
      <c r="N3325" t="str">
        <f>"Rhot2"</f>
        <v>Rhot2</v>
      </c>
      <c r="O3325" s="3" t="str">
        <f>HYPERLINK("http://www.informatics.jax.org/marker/MGI:2384892", "MGI:2384892")</f>
        <v>MGI:2384892</v>
      </c>
      <c r="P3325" t="s">
        <v>37262</v>
      </c>
      <c r="Q3325" t="s">
        <v>32</v>
      </c>
      <c r="R3325" t="s">
        <v>4782</v>
      </c>
      <c r="S3325" t="s">
        <v>32</v>
      </c>
      <c r="T3325" t="s">
        <v>32</v>
      </c>
      <c r="U3325" t="s">
        <v>32</v>
      </c>
      <c r="V3325" t="s">
        <v>1620</v>
      </c>
      <c r="W3325" t="s">
        <v>34601</v>
      </c>
      <c r="X3325" t="s">
        <v>343</v>
      </c>
      <c r="Y3325" t="s">
        <v>5599</v>
      </c>
      <c r="Z3325" t="s">
        <v>32</v>
      </c>
      <c r="AA3325" t="s">
        <v>37263</v>
      </c>
      <c r="AB3325" t="s">
        <v>37264</v>
      </c>
      <c r="AC3325" t="s">
        <v>34604</v>
      </c>
      <c r="AD3325" t="s">
        <v>32</v>
      </c>
      <c r="AE3325" t="s">
        <v>37265</v>
      </c>
      <c r="AF3325" t="s">
        <v>46835</v>
      </c>
    </row>
    <row r="3326" spans="1:32" x14ac:dyDescent="0.2">
      <c r="A3326">
        <v>3321</v>
      </c>
      <c r="B3326" t="s">
        <v>37266</v>
      </c>
      <c r="C3326" t="s">
        <v>37267</v>
      </c>
      <c r="D3326" t="s">
        <v>37268</v>
      </c>
      <c r="E3326" t="s">
        <v>37269</v>
      </c>
      <c r="F3326" t="s">
        <v>37270</v>
      </c>
      <c r="G3326" t="s">
        <v>37271</v>
      </c>
      <c r="H3326" t="str">
        <f>"Scaf8"</f>
        <v>Scaf8</v>
      </c>
      <c r="I3326" t="s">
        <v>32</v>
      </c>
      <c r="J3326" t="s">
        <v>37</v>
      </c>
      <c r="K3326">
        <v>10090</v>
      </c>
      <c r="L3326" s="3" t="str">
        <f>HYPERLINK("http://www.uniprot.org/uniprot/Q6DID3", "Q6DID3")</f>
        <v>Q6DID3</v>
      </c>
      <c r="M3326" t="s">
        <v>37272</v>
      </c>
      <c r="N3326" t="str">
        <f>"Scaf8"</f>
        <v>Scaf8</v>
      </c>
      <c r="O3326" s="3" t="str">
        <f>HYPERLINK("http://www.informatics.jax.org/marker/MGI:1925212", "MGI:1925212")</f>
        <v>MGI:1925212</v>
      </c>
      <c r="P3326" t="s">
        <v>37273</v>
      </c>
      <c r="Q3326" t="s">
        <v>4152</v>
      </c>
      <c r="R3326" t="s">
        <v>2279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1282</v>
      </c>
      <c r="Y3326" t="s">
        <v>2192</v>
      </c>
      <c r="Z3326" t="s">
        <v>32</v>
      </c>
      <c r="AA3326" t="s">
        <v>37274</v>
      </c>
      <c r="AB3326" t="s">
        <v>37275</v>
      </c>
      <c r="AC3326" t="s">
        <v>37276</v>
      </c>
      <c r="AD3326" t="s">
        <v>32</v>
      </c>
      <c r="AE3326" t="s">
        <v>32</v>
      </c>
      <c r="AF3326" t="s">
        <v>46835</v>
      </c>
    </row>
    <row r="3327" spans="1:32" x14ac:dyDescent="0.2">
      <c r="A3327">
        <v>3322</v>
      </c>
      <c r="B3327" t="s">
        <v>37277</v>
      </c>
      <c r="C3327" t="s">
        <v>37278</v>
      </c>
      <c r="D3327" t="s">
        <v>37279</v>
      </c>
      <c r="E3327" t="s">
        <v>37280</v>
      </c>
      <c r="F3327" t="s">
        <v>37281</v>
      </c>
      <c r="G3327" t="s">
        <v>37282</v>
      </c>
      <c r="H3327" t="str">
        <f>"Stk3"</f>
        <v>Stk3</v>
      </c>
      <c r="I3327" t="s">
        <v>37283</v>
      </c>
      <c r="J3327" t="s">
        <v>37</v>
      </c>
      <c r="K3327">
        <v>10090</v>
      </c>
      <c r="L3327" s="3" t="str">
        <f>HYPERLINK("http://www.uniprot.org/uniprot/Q9JI10", "Q9JI10")</f>
        <v>Q9JI10</v>
      </c>
      <c r="M3327" t="s">
        <v>37284</v>
      </c>
      <c r="N3327" t="str">
        <f>"Stk3"</f>
        <v>Stk3</v>
      </c>
      <c r="O3327" s="3" t="str">
        <f>HYPERLINK("http://www.informatics.jax.org/marker/MGI:1928487", "MGI:1928487")</f>
        <v>MGI:1928487</v>
      </c>
      <c r="P3327" t="s">
        <v>37285</v>
      </c>
      <c r="Q3327" t="s">
        <v>541</v>
      </c>
      <c r="R3327" t="s">
        <v>40</v>
      </c>
      <c r="S3327" t="s">
        <v>41</v>
      </c>
      <c r="T3327" t="s">
        <v>32</v>
      </c>
      <c r="U3327" t="s">
        <v>32</v>
      </c>
      <c r="V3327" t="s">
        <v>290</v>
      </c>
      <c r="W3327" t="s">
        <v>1266</v>
      </c>
      <c r="X3327" t="s">
        <v>5419</v>
      </c>
      <c r="Y3327" t="s">
        <v>157</v>
      </c>
      <c r="Z3327" t="s">
        <v>32</v>
      </c>
      <c r="AA3327" t="s">
        <v>37286</v>
      </c>
      <c r="AB3327" t="s">
        <v>5312</v>
      </c>
      <c r="AC3327" t="s">
        <v>37287</v>
      </c>
      <c r="AD3327" t="s">
        <v>32</v>
      </c>
      <c r="AE3327" t="s">
        <v>20263</v>
      </c>
      <c r="AF3327" t="s">
        <v>46835</v>
      </c>
    </row>
    <row r="3328" spans="1:32" x14ac:dyDescent="0.2">
      <c r="A3328">
        <v>3323</v>
      </c>
      <c r="B3328" t="s">
        <v>37288</v>
      </c>
      <c r="C3328" t="s">
        <v>37289</v>
      </c>
      <c r="D3328" t="s">
        <v>37290</v>
      </c>
      <c r="E3328" t="s">
        <v>37291</v>
      </c>
      <c r="F3328" t="s">
        <v>37292</v>
      </c>
      <c r="G3328" t="s">
        <v>37293</v>
      </c>
      <c r="H3328" t="str">
        <f>"Kat8"</f>
        <v>Kat8</v>
      </c>
      <c r="I3328" t="s">
        <v>37294</v>
      </c>
      <c r="J3328" t="s">
        <v>37</v>
      </c>
      <c r="K3328">
        <v>10090</v>
      </c>
      <c r="L3328" s="3" t="str">
        <f>HYPERLINK("http://www.uniprot.org/uniprot/Q9D1P2", "Q9D1P2")</f>
        <v>Q9D1P2</v>
      </c>
      <c r="M3328" t="s">
        <v>37295</v>
      </c>
      <c r="N3328" t="str">
        <f>"Kat8"</f>
        <v>Kat8</v>
      </c>
      <c r="O3328" s="3" t="str">
        <f>HYPERLINK("http://www.informatics.jax.org/marker/MGI:1915023", "MGI:1915023")</f>
        <v>MGI:1915023</v>
      </c>
      <c r="P3328" t="s">
        <v>37296</v>
      </c>
      <c r="Q3328" t="s">
        <v>4152</v>
      </c>
      <c r="R3328" t="s">
        <v>1939</v>
      </c>
      <c r="S3328" t="s">
        <v>41</v>
      </c>
      <c r="T3328" t="s">
        <v>32</v>
      </c>
      <c r="U3328" t="s">
        <v>32</v>
      </c>
      <c r="V3328" t="s">
        <v>446</v>
      </c>
      <c r="W3328" t="s">
        <v>42</v>
      </c>
      <c r="X3328" t="s">
        <v>37297</v>
      </c>
      <c r="Y3328" t="s">
        <v>157</v>
      </c>
      <c r="Z3328" t="s">
        <v>126</v>
      </c>
      <c r="AA3328" t="s">
        <v>37298</v>
      </c>
      <c r="AB3328" t="s">
        <v>37299</v>
      </c>
      <c r="AC3328" t="s">
        <v>37300</v>
      </c>
      <c r="AD3328" t="s">
        <v>32</v>
      </c>
      <c r="AE3328" t="s">
        <v>252</v>
      </c>
      <c r="AF3328" t="s">
        <v>46835</v>
      </c>
    </row>
    <row r="3329" spans="1:32" x14ac:dyDescent="0.2">
      <c r="A3329">
        <v>3324</v>
      </c>
      <c r="B3329" t="s">
        <v>37301</v>
      </c>
      <c r="C3329" t="s">
        <v>37302</v>
      </c>
      <c r="D3329" t="s">
        <v>37303</v>
      </c>
      <c r="E3329" t="s">
        <v>37304</v>
      </c>
      <c r="F3329" t="s">
        <v>37305</v>
      </c>
      <c r="G3329" t="s">
        <v>37306</v>
      </c>
      <c r="H3329" t="str">
        <f>"Agk"</f>
        <v>Agk</v>
      </c>
      <c r="I3329" t="s">
        <v>32</v>
      </c>
      <c r="J3329" t="s">
        <v>37</v>
      </c>
      <c r="K3329">
        <v>10090</v>
      </c>
      <c r="L3329" s="3" t="str">
        <f>HYPERLINK("http://www.uniprot.org/uniprot/Q9ESW4", "Q9ESW4")</f>
        <v>Q9ESW4</v>
      </c>
      <c r="M3329" t="s">
        <v>37307</v>
      </c>
      <c r="N3329" t="str">
        <f>"Agk"</f>
        <v>Agk</v>
      </c>
      <c r="O3329" s="3" t="str">
        <f>HYPERLINK("http://www.informatics.jax.org/marker/MGI:1917173", "MGI:1917173")</f>
        <v>MGI:1917173</v>
      </c>
      <c r="P3329" t="s">
        <v>37308</v>
      </c>
      <c r="Q3329" t="s">
        <v>598</v>
      </c>
      <c r="R3329" t="s">
        <v>3858</v>
      </c>
      <c r="S3329" t="s">
        <v>41</v>
      </c>
      <c r="T3329" t="s">
        <v>32</v>
      </c>
      <c r="U3329" t="s">
        <v>32</v>
      </c>
      <c r="V3329" t="s">
        <v>32</v>
      </c>
      <c r="W3329" t="s">
        <v>205</v>
      </c>
      <c r="X3329" t="s">
        <v>419</v>
      </c>
      <c r="Y3329" t="s">
        <v>78</v>
      </c>
      <c r="Z3329" t="s">
        <v>32</v>
      </c>
      <c r="AA3329" t="s">
        <v>37309</v>
      </c>
      <c r="AB3329" t="s">
        <v>37310</v>
      </c>
      <c r="AC3329" t="s">
        <v>37311</v>
      </c>
      <c r="AD3329" t="s">
        <v>37312</v>
      </c>
      <c r="AE3329" t="s">
        <v>37313</v>
      </c>
      <c r="AF3329" t="s">
        <v>46835</v>
      </c>
    </row>
    <row r="3330" spans="1:32" x14ac:dyDescent="0.2">
      <c r="A3330">
        <v>3325</v>
      </c>
      <c r="B3330" t="s">
        <v>37314</v>
      </c>
      <c r="C3330" t="s">
        <v>37315</v>
      </c>
      <c r="D3330" t="s">
        <v>37316</v>
      </c>
      <c r="E3330" t="s">
        <v>37317</v>
      </c>
      <c r="F3330" t="s">
        <v>37318</v>
      </c>
      <c r="G3330" t="s">
        <v>37319</v>
      </c>
      <c r="H3330" t="str">
        <f>"Rrm2"</f>
        <v>Rrm2</v>
      </c>
      <c r="I3330" t="s">
        <v>32</v>
      </c>
      <c r="J3330" t="s">
        <v>37</v>
      </c>
      <c r="K3330">
        <v>10090</v>
      </c>
      <c r="L3330" s="3" t="str">
        <f>HYPERLINK("http://www.uniprot.org/uniprot/P11157", "P11157")</f>
        <v>P11157</v>
      </c>
      <c r="M3330" t="s">
        <v>37320</v>
      </c>
      <c r="N3330" t="str">
        <f>"Rrm2"</f>
        <v>Rrm2</v>
      </c>
      <c r="O3330" s="3" t="str">
        <f>HYPERLINK("http://www.informatics.jax.org/marker/MGI:98181", "MGI:98181")</f>
        <v>MGI:98181</v>
      </c>
      <c r="P3330" t="s">
        <v>37321</v>
      </c>
      <c r="Q3330" t="s">
        <v>13947</v>
      </c>
      <c r="R3330" t="s">
        <v>40</v>
      </c>
      <c r="S3330" t="s">
        <v>32</v>
      </c>
      <c r="T3330" t="s">
        <v>32</v>
      </c>
      <c r="U3330" t="s">
        <v>32</v>
      </c>
      <c r="V3330" t="s">
        <v>32</v>
      </c>
      <c r="W3330" t="s">
        <v>845</v>
      </c>
      <c r="X3330" t="s">
        <v>600</v>
      </c>
      <c r="Y3330" t="s">
        <v>2836</v>
      </c>
      <c r="Z3330" t="s">
        <v>126</v>
      </c>
      <c r="AA3330" t="s">
        <v>37322</v>
      </c>
      <c r="AB3330" t="s">
        <v>37323</v>
      </c>
      <c r="AC3330" t="s">
        <v>37324</v>
      </c>
      <c r="AD3330" t="s">
        <v>13952</v>
      </c>
      <c r="AE3330" t="s">
        <v>6139</v>
      </c>
      <c r="AF3330" t="s">
        <v>46835</v>
      </c>
    </row>
    <row r="3331" spans="1:32" x14ac:dyDescent="0.2">
      <c r="A3331">
        <v>3326</v>
      </c>
      <c r="B3331" t="s">
        <v>37325</v>
      </c>
      <c r="C3331" t="s">
        <v>37326</v>
      </c>
      <c r="D3331" t="s">
        <v>37327</v>
      </c>
      <c r="E3331" t="s">
        <v>37328</v>
      </c>
      <c r="F3331" t="s">
        <v>37329</v>
      </c>
      <c r="G3331" t="s">
        <v>37330</v>
      </c>
      <c r="H3331" t="str">
        <f>"Sc5d"</f>
        <v>Sc5d</v>
      </c>
      <c r="I3331" t="s">
        <v>37331</v>
      </c>
      <c r="J3331" t="s">
        <v>37</v>
      </c>
      <c r="K3331">
        <v>10090</v>
      </c>
      <c r="L3331" s="3" t="str">
        <f>HYPERLINK("http://www.uniprot.org/uniprot/O88822", "O88822")</f>
        <v>O88822</v>
      </c>
      <c r="M3331" t="s">
        <v>37332</v>
      </c>
      <c r="N3331" t="str">
        <f>"Sc5d"</f>
        <v>Sc5d</v>
      </c>
      <c r="O3331" s="3" t="str">
        <f>HYPERLINK("http://www.informatics.jax.org/marker/MGI:1353611", "MGI:1353611")</f>
        <v>MGI:1353611</v>
      </c>
      <c r="P3331" t="s">
        <v>37333</v>
      </c>
      <c r="Q3331" t="s">
        <v>28540</v>
      </c>
      <c r="R3331" t="s">
        <v>1664</v>
      </c>
      <c r="S3331" t="s">
        <v>32</v>
      </c>
      <c r="T3331" t="s">
        <v>32</v>
      </c>
      <c r="U3331" t="s">
        <v>32</v>
      </c>
      <c r="V3331" t="s">
        <v>493</v>
      </c>
      <c r="W3331" t="s">
        <v>35647</v>
      </c>
      <c r="X3331" t="s">
        <v>600</v>
      </c>
      <c r="Y3331" t="s">
        <v>618</v>
      </c>
      <c r="Z3331" t="s">
        <v>32</v>
      </c>
      <c r="AA3331" t="s">
        <v>37334</v>
      </c>
      <c r="AB3331" t="s">
        <v>37335</v>
      </c>
      <c r="AC3331" t="s">
        <v>37336</v>
      </c>
      <c r="AD3331" t="s">
        <v>32</v>
      </c>
      <c r="AE3331" t="s">
        <v>37337</v>
      </c>
      <c r="AF3331" t="s">
        <v>46835</v>
      </c>
    </row>
    <row r="3332" spans="1:32" x14ac:dyDescent="0.2">
      <c r="A3332">
        <v>3327</v>
      </c>
      <c r="B3332" t="s">
        <v>37338</v>
      </c>
      <c r="C3332" t="s">
        <v>37339</v>
      </c>
      <c r="D3332" t="s">
        <v>32</v>
      </c>
      <c r="E3332" t="s">
        <v>37340</v>
      </c>
      <c r="F3332" t="s">
        <v>37341</v>
      </c>
      <c r="G3332" t="s">
        <v>37342</v>
      </c>
      <c r="H3332" t="str">
        <f>"Dnm3"</f>
        <v>Dnm3</v>
      </c>
      <c r="I3332" t="s">
        <v>37343</v>
      </c>
      <c r="J3332" t="s">
        <v>37</v>
      </c>
      <c r="K3332">
        <v>10090</v>
      </c>
      <c r="L3332" s="3" t="str">
        <f>HYPERLINK("http://www.uniprot.org/uniprot/Q8BZ98", "Q8BZ98")</f>
        <v>Q8BZ98</v>
      </c>
      <c r="M3332" t="s">
        <v>37344</v>
      </c>
      <c r="N3332" t="str">
        <f>"Dnm3"</f>
        <v>Dnm3</v>
      </c>
      <c r="O3332" s="3" t="str">
        <f>HYPERLINK("http://www.informatics.jax.org/marker/MGI:1341299", "MGI:1341299")</f>
        <v>MGI:1341299</v>
      </c>
      <c r="P3332" t="s">
        <v>37345</v>
      </c>
      <c r="Q3332" t="s">
        <v>2822</v>
      </c>
      <c r="R3332" t="s">
        <v>341</v>
      </c>
      <c r="S3332" t="s">
        <v>41</v>
      </c>
      <c r="T3332" t="s">
        <v>32</v>
      </c>
      <c r="U3332" t="s">
        <v>32</v>
      </c>
      <c r="V3332" t="s">
        <v>32</v>
      </c>
      <c r="W3332" t="s">
        <v>261</v>
      </c>
      <c r="X3332" t="s">
        <v>13004</v>
      </c>
      <c r="Y3332" t="s">
        <v>157</v>
      </c>
      <c r="Z3332" t="s">
        <v>32</v>
      </c>
      <c r="AA3332" t="s">
        <v>37346</v>
      </c>
      <c r="AB3332" t="s">
        <v>37347</v>
      </c>
      <c r="AC3332" t="s">
        <v>37348</v>
      </c>
      <c r="AD3332" t="s">
        <v>32</v>
      </c>
      <c r="AE3332" t="s">
        <v>37349</v>
      </c>
      <c r="AF3332" t="s">
        <v>46835</v>
      </c>
    </row>
    <row r="3333" spans="1:32" x14ac:dyDescent="0.2">
      <c r="A3333">
        <v>3328</v>
      </c>
      <c r="B3333" t="s">
        <v>37350</v>
      </c>
      <c r="C3333" t="s">
        <v>37351</v>
      </c>
      <c r="D3333" t="s">
        <v>32</v>
      </c>
      <c r="E3333" t="s">
        <v>37352</v>
      </c>
      <c r="F3333" t="s">
        <v>37353</v>
      </c>
      <c r="G3333" t="s">
        <v>32</v>
      </c>
      <c r="H3333" t="str">
        <f>"Ccdc85c"</f>
        <v>Ccdc85c</v>
      </c>
      <c r="I3333" t="s">
        <v>32</v>
      </c>
      <c r="J3333" t="s">
        <v>37</v>
      </c>
      <c r="K3333">
        <v>10090</v>
      </c>
      <c r="L3333" s="3" t="str">
        <f>HYPERLINK("http://www.uniprot.org/uniprot/E9Q6B2", "E9Q6B2")</f>
        <v>E9Q6B2</v>
      </c>
      <c r="M3333" t="s">
        <v>37354</v>
      </c>
      <c r="N3333" t="str">
        <f>"Ccdc85c"</f>
        <v>Ccdc85c</v>
      </c>
      <c r="O3333" s="3" t="str">
        <f>HYPERLINK("http://www.informatics.jax.org/marker/MGI:3644008", "MGI:3644008")</f>
        <v>MGI:3644008</v>
      </c>
      <c r="P3333" t="s">
        <v>37355</v>
      </c>
      <c r="Q3333" t="s">
        <v>32</v>
      </c>
      <c r="R3333" t="s">
        <v>27519</v>
      </c>
      <c r="S3333" t="s">
        <v>32</v>
      </c>
      <c r="T3333" t="s">
        <v>32</v>
      </c>
      <c r="U3333" t="s">
        <v>32</v>
      </c>
      <c r="V3333" t="s">
        <v>290</v>
      </c>
      <c r="W3333" t="s">
        <v>32</v>
      </c>
      <c r="X3333" t="s">
        <v>2029</v>
      </c>
      <c r="Y3333" t="s">
        <v>157</v>
      </c>
      <c r="Z3333" t="s">
        <v>32</v>
      </c>
      <c r="AA3333" t="s">
        <v>37356</v>
      </c>
      <c r="AB3333" t="s">
        <v>37357</v>
      </c>
      <c r="AC3333" t="s">
        <v>32</v>
      </c>
      <c r="AD3333" t="s">
        <v>32</v>
      </c>
      <c r="AE3333" t="s">
        <v>32</v>
      </c>
      <c r="AF3333" t="s">
        <v>46835</v>
      </c>
    </row>
    <row r="3334" spans="1:32" x14ac:dyDescent="0.2">
      <c r="A3334">
        <v>3329</v>
      </c>
      <c r="B3334" t="s">
        <v>37358</v>
      </c>
      <c r="C3334" t="s">
        <v>37359</v>
      </c>
      <c r="D3334" t="s">
        <v>37360</v>
      </c>
      <c r="E3334" t="s">
        <v>37361</v>
      </c>
      <c r="F3334" t="s">
        <v>37362</v>
      </c>
      <c r="G3334" t="s">
        <v>37363</v>
      </c>
      <c r="H3334" t="str">
        <f>"Cdc40"</f>
        <v>Cdc40</v>
      </c>
      <c r="I3334" t="s">
        <v>37364</v>
      </c>
      <c r="J3334" t="s">
        <v>37</v>
      </c>
      <c r="K3334">
        <v>10090</v>
      </c>
      <c r="L3334" s="3" t="str">
        <f>HYPERLINK("http://www.uniprot.org/uniprot/Q9DC48", "Q9DC48")</f>
        <v>Q9DC48</v>
      </c>
      <c r="M3334" t="s">
        <v>37365</v>
      </c>
      <c r="N3334" t="str">
        <f>"Cdc40"</f>
        <v>Cdc40</v>
      </c>
      <c r="O3334" s="3" t="str">
        <f>HYPERLINK("http://www.informatics.jax.org/marker/MGI:1918963", "MGI:1918963")</f>
        <v>MGI:1918963</v>
      </c>
      <c r="P3334" t="s">
        <v>37366</v>
      </c>
      <c r="Q3334" t="s">
        <v>2139</v>
      </c>
      <c r="R3334" t="s">
        <v>2140</v>
      </c>
      <c r="S3334" t="s">
        <v>32</v>
      </c>
      <c r="T3334" t="s">
        <v>32</v>
      </c>
      <c r="U3334" t="s">
        <v>32</v>
      </c>
      <c r="V3334" t="s">
        <v>1910</v>
      </c>
      <c r="W3334" t="s">
        <v>32</v>
      </c>
      <c r="X3334" t="s">
        <v>32</v>
      </c>
      <c r="Y3334" t="s">
        <v>32</v>
      </c>
      <c r="Z3334" t="s">
        <v>32</v>
      </c>
      <c r="AA3334" t="s">
        <v>37367</v>
      </c>
      <c r="AB3334" t="s">
        <v>37368</v>
      </c>
      <c r="AC3334" t="s">
        <v>4168</v>
      </c>
      <c r="AD3334" t="s">
        <v>32</v>
      </c>
      <c r="AE3334" t="s">
        <v>9525</v>
      </c>
      <c r="AF3334" t="s">
        <v>46835</v>
      </c>
    </row>
    <row r="3335" spans="1:32" x14ac:dyDescent="0.2">
      <c r="A3335">
        <v>3330</v>
      </c>
      <c r="B3335" t="s">
        <v>37369</v>
      </c>
      <c r="C3335" t="s">
        <v>37370</v>
      </c>
      <c r="D3335" t="s">
        <v>37371</v>
      </c>
      <c r="E3335" t="s">
        <v>37372</v>
      </c>
      <c r="F3335" t="s">
        <v>37373</v>
      </c>
      <c r="G3335" t="s">
        <v>37374</v>
      </c>
      <c r="H3335" t="str">
        <f>"Alox15"</f>
        <v>Alox15</v>
      </c>
      <c r="I3335" t="s">
        <v>37375</v>
      </c>
      <c r="J3335" t="s">
        <v>37</v>
      </c>
      <c r="K3335">
        <v>10090</v>
      </c>
      <c r="L3335" s="3" t="str">
        <f>HYPERLINK("http://www.uniprot.org/uniprot/P39654", "P39654")</f>
        <v>P39654</v>
      </c>
      <c r="M3335" t="s">
        <v>37376</v>
      </c>
      <c r="N3335" t="str">
        <f>"Alox15"</f>
        <v>Alox15</v>
      </c>
      <c r="O3335" s="3" t="str">
        <f>HYPERLINK("http://www.informatics.jax.org/marker/MGI:87997", "MGI:87997")</f>
        <v>MGI:87997</v>
      </c>
      <c r="P3335" t="s">
        <v>37377</v>
      </c>
      <c r="Q3335" t="s">
        <v>6214</v>
      </c>
      <c r="R3335" t="s">
        <v>37378</v>
      </c>
      <c r="S3335" t="s">
        <v>32</v>
      </c>
      <c r="T3335" t="s">
        <v>32</v>
      </c>
      <c r="U3335" t="s">
        <v>32</v>
      </c>
      <c r="V3335" t="s">
        <v>32</v>
      </c>
      <c r="W3335" t="s">
        <v>37379</v>
      </c>
      <c r="X3335" t="s">
        <v>3732</v>
      </c>
      <c r="Y3335" t="s">
        <v>32</v>
      </c>
      <c r="Z3335" t="s">
        <v>32</v>
      </c>
      <c r="AA3335" t="s">
        <v>37380</v>
      </c>
      <c r="AB3335" t="s">
        <v>37381</v>
      </c>
      <c r="AC3335" t="s">
        <v>37382</v>
      </c>
      <c r="AD3335" t="s">
        <v>37383</v>
      </c>
      <c r="AE3335" t="s">
        <v>37384</v>
      </c>
      <c r="AF3335" t="s">
        <v>46835</v>
      </c>
    </row>
    <row r="3336" spans="1:32" x14ac:dyDescent="0.2">
      <c r="A3336">
        <v>3331</v>
      </c>
      <c r="B3336" t="s">
        <v>37385</v>
      </c>
      <c r="C3336" t="s">
        <v>37386</v>
      </c>
      <c r="D3336" t="s">
        <v>37387</v>
      </c>
      <c r="E3336" t="s">
        <v>37388</v>
      </c>
      <c r="F3336" t="s">
        <v>37389</v>
      </c>
      <c r="G3336" t="s">
        <v>37390</v>
      </c>
      <c r="H3336" t="str">
        <f>"Micu2"</f>
        <v>Micu2</v>
      </c>
      <c r="I3336" t="s">
        <v>37391</v>
      </c>
      <c r="J3336" t="s">
        <v>37</v>
      </c>
      <c r="K3336">
        <v>10090</v>
      </c>
      <c r="L3336" s="3" t="str">
        <f>HYPERLINK("http://www.uniprot.org/uniprot/Q8CD10", "Q8CD10")</f>
        <v>Q8CD10</v>
      </c>
      <c r="M3336" t="s">
        <v>37392</v>
      </c>
      <c r="N3336" t="str">
        <f>"Micu2"</f>
        <v>Micu2</v>
      </c>
      <c r="O3336" s="3" t="str">
        <f>HYPERLINK("http://www.informatics.jax.org/marker/MGI:1915764", "MGI:1915764")</f>
        <v>MGI:1915764</v>
      </c>
      <c r="P3336" t="s">
        <v>37393</v>
      </c>
      <c r="Q3336" t="s">
        <v>32</v>
      </c>
      <c r="R3336" t="s">
        <v>1038</v>
      </c>
      <c r="S3336" t="s">
        <v>32</v>
      </c>
      <c r="T3336" t="s">
        <v>32</v>
      </c>
      <c r="U3336" t="s">
        <v>32</v>
      </c>
      <c r="V3336" t="s">
        <v>6597</v>
      </c>
      <c r="W3336" t="s">
        <v>32</v>
      </c>
      <c r="X3336" t="s">
        <v>32</v>
      </c>
      <c r="Y3336" t="s">
        <v>2080</v>
      </c>
      <c r="Z3336" t="s">
        <v>126</v>
      </c>
      <c r="AA3336" t="s">
        <v>37394</v>
      </c>
      <c r="AB3336" t="s">
        <v>37395</v>
      </c>
      <c r="AC3336" t="s">
        <v>37396</v>
      </c>
      <c r="AD3336" t="s">
        <v>32</v>
      </c>
      <c r="AE3336" t="s">
        <v>29850</v>
      </c>
      <c r="AF3336" t="s">
        <v>46835</v>
      </c>
    </row>
    <row r="3337" spans="1:32" x14ac:dyDescent="0.2">
      <c r="A3337">
        <v>3332</v>
      </c>
      <c r="B3337" t="s">
        <v>37397</v>
      </c>
      <c r="C3337" t="s">
        <v>37398</v>
      </c>
      <c r="D3337" t="s">
        <v>32</v>
      </c>
      <c r="E3337" t="s">
        <v>37399</v>
      </c>
      <c r="F3337" t="s">
        <v>37400</v>
      </c>
      <c r="G3337" t="s">
        <v>32</v>
      </c>
      <c r="H3337" t="str">
        <f>"Thoc2"</f>
        <v>Thoc2</v>
      </c>
      <c r="I3337" t="s">
        <v>32</v>
      </c>
      <c r="J3337" t="s">
        <v>37</v>
      </c>
      <c r="K3337">
        <v>10090</v>
      </c>
      <c r="L3337" s="3" t="str">
        <f>HYPERLINK("http://www.uniprot.org/uniprot/B1AZI6", "B1AZI6")</f>
        <v>B1AZI6</v>
      </c>
      <c r="M3337" t="s">
        <v>37401</v>
      </c>
      <c r="N3337" t="str">
        <f>"Thoc2"</f>
        <v>Thoc2</v>
      </c>
      <c r="O3337" s="3" t="str">
        <f>HYPERLINK("http://www.informatics.jax.org/marker/MGI:2442413", "MGI:2442413")</f>
        <v>MGI:2442413</v>
      </c>
      <c r="P3337" t="s">
        <v>37402</v>
      </c>
      <c r="Q3337" t="s">
        <v>1127</v>
      </c>
      <c r="R3337" t="s">
        <v>2279</v>
      </c>
      <c r="S3337" t="s">
        <v>32</v>
      </c>
      <c r="T3337" t="s">
        <v>32</v>
      </c>
      <c r="U3337" t="s">
        <v>32</v>
      </c>
      <c r="V3337" t="s">
        <v>290</v>
      </c>
      <c r="W3337" t="s">
        <v>32</v>
      </c>
      <c r="X3337" t="s">
        <v>1282</v>
      </c>
      <c r="Y3337" t="s">
        <v>618</v>
      </c>
      <c r="Z3337" t="s">
        <v>32</v>
      </c>
      <c r="AA3337" t="s">
        <v>37403</v>
      </c>
      <c r="AB3337" t="s">
        <v>37404</v>
      </c>
      <c r="AC3337" t="s">
        <v>4168</v>
      </c>
      <c r="AD3337" t="s">
        <v>32</v>
      </c>
      <c r="AE3337" t="s">
        <v>16560</v>
      </c>
      <c r="AF3337" t="s">
        <v>46835</v>
      </c>
    </row>
    <row r="3338" spans="1:32" x14ac:dyDescent="0.2">
      <c r="A3338">
        <v>3333</v>
      </c>
      <c r="B3338" t="s">
        <v>37405</v>
      </c>
      <c r="C3338" t="s">
        <v>37406</v>
      </c>
      <c r="D3338" t="s">
        <v>37407</v>
      </c>
      <c r="E3338" t="s">
        <v>37408</v>
      </c>
      <c r="F3338" t="s">
        <v>37409</v>
      </c>
      <c r="G3338" t="s">
        <v>32</v>
      </c>
      <c r="H3338" t="str">
        <f>"Thoc6"</f>
        <v>Thoc6</v>
      </c>
      <c r="I3338" t="s">
        <v>37410</v>
      </c>
      <c r="J3338" t="s">
        <v>37</v>
      </c>
      <c r="K3338">
        <v>10090</v>
      </c>
      <c r="L3338" s="3" t="str">
        <f>HYPERLINK("http://www.uniprot.org/uniprot/Q5U4D9", "Q5U4D9")</f>
        <v>Q5U4D9</v>
      </c>
      <c r="M3338" t="s">
        <v>37411</v>
      </c>
      <c r="N3338" t="str">
        <f>"Thoc6"</f>
        <v>Thoc6</v>
      </c>
      <c r="O3338" s="3" t="str">
        <f>HYPERLINK("http://www.informatics.jax.org/marker/MGI:2677480", "MGI:2677480")</f>
        <v>MGI:2677480</v>
      </c>
      <c r="P3338" t="s">
        <v>37412</v>
      </c>
      <c r="Q3338" t="s">
        <v>37413</v>
      </c>
      <c r="R3338" t="s">
        <v>2279</v>
      </c>
      <c r="S3338" t="s">
        <v>32</v>
      </c>
      <c r="T3338" t="s">
        <v>32</v>
      </c>
      <c r="U3338" t="s">
        <v>32</v>
      </c>
      <c r="V3338" t="s">
        <v>1910</v>
      </c>
      <c r="W3338" t="s">
        <v>32</v>
      </c>
      <c r="X3338" t="s">
        <v>617</v>
      </c>
      <c r="Y3338" t="s">
        <v>618</v>
      </c>
      <c r="Z3338" t="s">
        <v>32</v>
      </c>
      <c r="AA3338" t="s">
        <v>37414</v>
      </c>
      <c r="AB3338" t="s">
        <v>37415</v>
      </c>
      <c r="AC3338" t="s">
        <v>4711</v>
      </c>
      <c r="AD3338" t="s">
        <v>32</v>
      </c>
      <c r="AE3338" t="s">
        <v>16560</v>
      </c>
      <c r="AF3338" t="s">
        <v>46835</v>
      </c>
    </row>
    <row r="3339" spans="1:32" x14ac:dyDescent="0.2">
      <c r="A3339">
        <v>3334</v>
      </c>
      <c r="B3339" t="s">
        <v>37416</v>
      </c>
      <c r="C3339" t="s">
        <v>37417</v>
      </c>
      <c r="D3339" t="s">
        <v>37418</v>
      </c>
      <c r="E3339" t="s">
        <v>37419</v>
      </c>
      <c r="F3339" t="s">
        <v>37420</v>
      </c>
      <c r="G3339" t="s">
        <v>37421</v>
      </c>
      <c r="H3339" t="str">
        <f>"Dph5"</f>
        <v>Dph5</v>
      </c>
      <c r="I3339" t="s">
        <v>32</v>
      </c>
      <c r="J3339" t="s">
        <v>37</v>
      </c>
      <c r="K3339">
        <v>10090</v>
      </c>
      <c r="L3339" s="3" t="str">
        <f>HYPERLINK("http://www.uniprot.org/uniprot/Q9CWQ0", "Q9CWQ0")</f>
        <v>Q9CWQ0</v>
      </c>
      <c r="M3339" t="s">
        <v>37422</v>
      </c>
      <c r="N3339" t="str">
        <f>"Dph5"</f>
        <v>Dph5</v>
      </c>
      <c r="O3339" s="3" t="str">
        <f>HYPERLINK("http://www.informatics.jax.org/marker/MGI:1916990", "MGI:1916990")</f>
        <v>MGI:1916990</v>
      </c>
      <c r="P3339" t="s">
        <v>37423</v>
      </c>
      <c r="Q3339" t="s">
        <v>32</v>
      </c>
      <c r="R3339" t="s">
        <v>32</v>
      </c>
      <c r="S3339" t="s">
        <v>32</v>
      </c>
      <c r="T3339" t="s">
        <v>32</v>
      </c>
      <c r="U3339" t="s">
        <v>32</v>
      </c>
      <c r="V3339" t="s">
        <v>32</v>
      </c>
      <c r="W3339" t="s">
        <v>1705</v>
      </c>
      <c r="X3339" t="s">
        <v>1706</v>
      </c>
      <c r="Y3339" t="s">
        <v>618</v>
      </c>
      <c r="Z3339" t="s">
        <v>32</v>
      </c>
      <c r="AA3339" t="s">
        <v>37424</v>
      </c>
      <c r="AB3339" t="s">
        <v>32</v>
      </c>
      <c r="AC3339" t="s">
        <v>37425</v>
      </c>
      <c r="AD3339" t="s">
        <v>37426</v>
      </c>
      <c r="AE3339" t="s">
        <v>37427</v>
      </c>
      <c r="AF3339" t="s">
        <v>46835</v>
      </c>
    </row>
    <row r="3340" spans="1:32" x14ac:dyDescent="0.2">
      <c r="A3340">
        <v>3335</v>
      </c>
      <c r="B3340" t="s">
        <v>37428</v>
      </c>
      <c r="C3340" t="s">
        <v>37429</v>
      </c>
      <c r="D3340" t="s">
        <v>32</v>
      </c>
      <c r="E3340" t="s">
        <v>37430</v>
      </c>
      <c r="F3340" t="s">
        <v>37431</v>
      </c>
      <c r="G3340" t="s">
        <v>37432</v>
      </c>
      <c r="H3340" t="str">
        <f>"Mff"</f>
        <v>Mff</v>
      </c>
      <c r="I3340" t="s">
        <v>32</v>
      </c>
      <c r="J3340" t="s">
        <v>37</v>
      </c>
      <c r="K3340">
        <v>10090</v>
      </c>
      <c r="L3340" s="3" t="str">
        <f>HYPERLINK("http://www.uniprot.org/uniprot/Q6PCP5", "Q6PCP5")</f>
        <v>Q6PCP5</v>
      </c>
      <c r="M3340" t="s">
        <v>37433</v>
      </c>
      <c r="N3340" t="str">
        <f>"Mff"</f>
        <v>Mff</v>
      </c>
      <c r="O3340" s="3" t="str">
        <f>HYPERLINK("http://www.informatics.jax.org/marker/MGI:1922984", "MGI:1922984")</f>
        <v>MGI:1922984</v>
      </c>
      <c r="P3340" t="s">
        <v>37434</v>
      </c>
      <c r="Q3340" t="s">
        <v>32</v>
      </c>
      <c r="R3340" t="s">
        <v>37435</v>
      </c>
      <c r="S3340" t="s">
        <v>41</v>
      </c>
      <c r="T3340" t="s">
        <v>32</v>
      </c>
      <c r="U3340" t="s">
        <v>32</v>
      </c>
      <c r="V3340" t="s">
        <v>6500</v>
      </c>
      <c r="W3340" t="s">
        <v>32</v>
      </c>
      <c r="X3340" t="s">
        <v>32</v>
      </c>
      <c r="Y3340" t="s">
        <v>618</v>
      </c>
      <c r="Z3340" t="s">
        <v>32</v>
      </c>
      <c r="AA3340" t="s">
        <v>37436</v>
      </c>
      <c r="AB3340" t="s">
        <v>37437</v>
      </c>
      <c r="AC3340" t="s">
        <v>37438</v>
      </c>
      <c r="AD3340" t="s">
        <v>32</v>
      </c>
      <c r="AE3340" t="s">
        <v>32</v>
      </c>
      <c r="AF3340" t="s">
        <v>46835</v>
      </c>
    </row>
    <row r="3341" spans="1:32" x14ac:dyDescent="0.2">
      <c r="A3341">
        <v>3336</v>
      </c>
      <c r="B3341" t="s">
        <v>37439</v>
      </c>
      <c r="C3341" t="s">
        <v>37440</v>
      </c>
      <c r="D3341" t="s">
        <v>37441</v>
      </c>
      <c r="E3341" t="s">
        <v>37442</v>
      </c>
      <c r="F3341" t="s">
        <v>37443</v>
      </c>
      <c r="G3341" t="s">
        <v>37444</v>
      </c>
      <c r="H3341" t="str">
        <f>"Tmem35a"</f>
        <v>Tmem35a</v>
      </c>
      <c r="I3341" t="s">
        <v>32</v>
      </c>
      <c r="J3341" t="s">
        <v>37</v>
      </c>
      <c r="K3341">
        <v>10090</v>
      </c>
      <c r="L3341" s="3" t="str">
        <f>HYPERLINK("http://www.uniprot.org/uniprot/Q9D328", "Q9D328")</f>
        <v>Q9D328</v>
      </c>
      <c r="M3341" t="s">
        <v>37445</v>
      </c>
      <c r="N3341" t="str">
        <f>"Tmem35a"</f>
        <v>Tmem35a</v>
      </c>
      <c r="O3341" s="3" t="str">
        <f>HYPERLINK("http://www.informatics.jax.org/marker/MGI:1914814", "MGI:1914814")</f>
        <v>MGI:1914814</v>
      </c>
      <c r="P3341" t="s">
        <v>37446</v>
      </c>
      <c r="Q3341" t="s">
        <v>32</v>
      </c>
      <c r="R3341" t="s">
        <v>37447</v>
      </c>
      <c r="S3341" t="s">
        <v>32</v>
      </c>
      <c r="T3341" t="s">
        <v>32</v>
      </c>
      <c r="U3341" t="s">
        <v>32</v>
      </c>
      <c r="V3341" t="s">
        <v>493</v>
      </c>
      <c r="W3341" t="s">
        <v>32</v>
      </c>
      <c r="X3341" t="s">
        <v>388</v>
      </c>
      <c r="Y3341" t="s">
        <v>32</v>
      </c>
      <c r="Z3341" t="s">
        <v>32</v>
      </c>
      <c r="AA3341" t="s">
        <v>37448</v>
      </c>
      <c r="AB3341" t="s">
        <v>37449</v>
      </c>
      <c r="AC3341" t="s">
        <v>37450</v>
      </c>
      <c r="AD3341" t="s">
        <v>32</v>
      </c>
      <c r="AE3341" t="s">
        <v>32</v>
      </c>
      <c r="AF3341" t="s">
        <v>46835</v>
      </c>
    </row>
    <row r="3342" spans="1:32" x14ac:dyDescent="0.2">
      <c r="A3342">
        <v>3337</v>
      </c>
      <c r="B3342" t="s">
        <v>37451</v>
      </c>
      <c r="C3342" t="s">
        <v>37452</v>
      </c>
      <c r="D3342" t="s">
        <v>37453</v>
      </c>
      <c r="E3342" t="s">
        <v>37454</v>
      </c>
      <c r="F3342" t="s">
        <v>37455</v>
      </c>
      <c r="G3342" t="s">
        <v>32</v>
      </c>
      <c r="H3342" t="str">
        <f>"Gnb3"</f>
        <v>Gnb3</v>
      </c>
      <c r="I3342" t="s">
        <v>32</v>
      </c>
      <c r="J3342" t="s">
        <v>37</v>
      </c>
      <c r="K3342">
        <v>10090</v>
      </c>
      <c r="L3342" s="3" t="str">
        <f>HYPERLINK("http://www.uniprot.org/uniprot/Q61011", "Q61011")</f>
        <v>Q61011</v>
      </c>
      <c r="M3342" t="s">
        <v>37456</v>
      </c>
      <c r="N3342" t="str">
        <f>"Gnb3"</f>
        <v>Gnb3</v>
      </c>
      <c r="O3342" s="3" t="str">
        <f>HYPERLINK("http://www.informatics.jax.org/marker/MGI:95785", "MGI:95785")</f>
        <v>MGI:95785</v>
      </c>
      <c r="P3342" t="s">
        <v>37457</v>
      </c>
      <c r="Q3342" t="s">
        <v>32</v>
      </c>
      <c r="R3342" t="s">
        <v>32</v>
      </c>
      <c r="S3342" t="s">
        <v>32</v>
      </c>
      <c r="T3342" t="s">
        <v>32</v>
      </c>
      <c r="U3342" t="s">
        <v>32</v>
      </c>
      <c r="V3342" t="s">
        <v>1910</v>
      </c>
      <c r="W3342" t="s">
        <v>32</v>
      </c>
      <c r="X3342" t="s">
        <v>10391</v>
      </c>
      <c r="Y3342" t="s">
        <v>32</v>
      </c>
      <c r="Z3342" t="s">
        <v>32</v>
      </c>
      <c r="AA3342" t="s">
        <v>37458</v>
      </c>
      <c r="AB3342" t="s">
        <v>37459</v>
      </c>
      <c r="AC3342" t="s">
        <v>37460</v>
      </c>
      <c r="AD3342" t="s">
        <v>32</v>
      </c>
      <c r="AE3342" t="s">
        <v>37461</v>
      </c>
      <c r="AF3342" t="s">
        <v>46835</v>
      </c>
    </row>
    <row r="3343" spans="1:32" x14ac:dyDescent="0.2">
      <c r="A3343">
        <v>3338</v>
      </c>
      <c r="B3343" t="s">
        <v>37462</v>
      </c>
      <c r="C3343" t="s">
        <v>37463</v>
      </c>
      <c r="D3343" t="s">
        <v>37464</v>
      </c>
      <c r="E3343" t="s">
        <v>37465</v>
      </c>
      <c r="F3343" t="s">
        <v>37466</v>
      </c>
      <c r="G3343" t="s">
        <v>37467</v>
      </c>
      <c r="H3343" t="str">
        <f>"Exosc5"</f>
        <v>Exosc5</v>
      </c>
      <c r="I3343" t="s">
        <v>37468</v>
      </c>
      <c r="J3343" t="s">
        <v>37</v>
      </c>
      <c r="K3343">
        <v>10090</v>
      </c>
      <c r="L3343" s="3" t="str">
        <f>HYPERLINK("http://www.uniprot.org/uniprot/Q9CRA8", "Q9CRA8")</f>
        <v>Q9CRA8</v>
      </c>
      <c r="M3343" t="s">
        <v>37469</v>
      </c>
      <c r="N3343" t="str">
        <f>"Exosc5"</f>
        <v>Exosc5</v>
      </c>
      <c r="O3343" s="3" t="str">
        <f>HYPERLINK("http://www.informatics.jax.org/marker/MGI:107889", "MGI:107889")</f>
        <v>MGI:107889</v>
      </c>
      <c r="P3343" t="s">
        <v>37470</v>
      </c>
      <c r="Q3343" t="s">
        <v>15770</v>
      </c>
      <c r="R3343" t="s">
        <v>28476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1282</v>
      </c>
      <c r="Y3343" t="s">
        <v>618</v>
      </c>
      <c r="Z3343" t="s">
        <v>32</v>
      </c>
      <c r="AA3343" t="s">
        <v>37471</v>
      </c>
      <c r="AB3343" t="s">
        <v>37472</v>
      </c>
      <c r="AC3343" t="s">
        <v>4711</v>
      </c>
      <c r="AD3343" t="s">
        <v>32</v>
      </c>
      <c r="AE3343" t="s">
        <v>28479</v>
      </c>
      <c r="AF3343" t="s">
        <v>46835</v>
      </c>
    </row>
    <row r="3344" spans="1:32" x14ac:dyDescent="0.2">
      <c r="A3344">
        <v>3339</v>
      </c>
      <c r="B3344" t="s">
        <v>37473</v>
      </c>
      <c r="C3344" t="s">
        <v>37474</v>
      </c>
      <c r="D3344" t="s">
        <v>32</v>
      </c>
      <c r="E3344" t="s">
        <v>37475</v>
      </c>
      <c r="F3344" t="s">
        <v>37476</v>
      </c>
      <c r="G3344" t="s">
        <v>37477</v>
      </c>
      <c r="H3344" t="str">
        <f>"Phf14"</f>
        <v>Phf14</v>
      </c>
      <c r="I3344" t="s">
        <v>32</v>
      </c>
      <c r="J3344" t="s">
        <v>37</v>
      </c>
      <c r="K3344">
        <v>10090</v>
      </c>
      <c r="L3344" s="3" t="str">
        <f>HYPERLINK("http://www.uniprot.org/uniprot/Q9D4H9", "Q9D4H9")</f>
        <v>Q9D4H9</v>
      </c>
      <c r="M3344" t="s">
        <v>37478</v>
      </c>
      <c r="N3344" t="str">
        <f>"Phf14"</f>
        <v>Phf14</v>
      </c>
      <c r="O3344" s="3" t="str">
        <f>HYPERLINK("http://www.informatics.jax.org/marker/MGI:1923539", "MGI:1923539")</f>
        <v>MGI:1923539</v>
      </c>
      <c r="P3344" t="s">
        <v>37479</v>
      </c>
      <c r="Q3344" t="s">
        <v>4152</v>
      </c>
      <c r="R3344" t="s">
        <v>8375</v>
      </c>
      <c r="S3344" t="s">
        <v>41</v>
      </c>
      <c r="T3344" t="s">
        <v>32</v>
      </c>
      <c r="U3344" t="s">
        <v>32</v>
      </c>
      <c r="V3344" t="s">
        <v>12028</v>
      </c>
      <c r="W3344" t="s">
        <v>42</v>
      </c>
      <c r="X3344" t="s">
        <v>5195</v>
      </c>
      <c r="Y3344" t="s">
        <v>618</v>
      </c>
      <c r="Z3344" t="s">
        <v>32</v>
      </c>
      <c r="AA3344" t="s">
        <v>37480</v>
      </c>
      <c r="AB3344" t="s">
        <v>37481</v>
      </c>
      <c r="AC3344" t="s">
        <v>37482</v>
      </c>
      <c r="AD3344" t="s">
        <v>32</v>
      </c>
      <c r="AE3344" t="s">
        <v>32</v>
      </c>
      <c r="AF3344" t="s">
        <v>46835</v>
      </c>
    </row>
    <row r="3345" spans="1:33" x14ac:dyDescent="0.2">
      <c r="A3345">
        <v>3340</v>
      </c>
      <c r="B3345" t="s">
        <v>37483</v>
      </c>
      <c r="C3345" t="s">
        <v>37484</v>
      </c>
      <c r="D3345" t="s">
        <v>37485</v>
      </c>
      <c r="E3345" t="s">
        <v>37486</v>
      </c>
      <c r="F3345" t="s">
        <v>37487</v>
      </c>
      <c r="G3345" t="s">
        <v>37488</v>
      </c>
      <c r="H3345" t="str">
        <f>"Mrto4"</f>
        <v>Mrto4</v>
      </c>
      <c r="I3345" t="s">
        <v>37489</v>
      </c>
      <c r="J3345" t="s">
        <v>37</v>
      </c>
      <c r="K3345">
        <v>10090</v>
      </c>
      <c r="L3345" s="3" t="str">
        <f>HYPERLINK("http://www.uniprot.org/uniprot/Q9D0I8", "Q9D0I8")</f>
        <v>Q9D0I8</v>
      </c>
      <c r="M3345" t="s">
        <v>37490</v>
      </c>
      <c r="N3345" t="str">
        <f>"Mrto4"</f>
        <v>Mrto4</v>
      </c>
      <c r="O3345" s="3" t="str">
        <f>HYPERLINK("http://www.informatics.jax.org/marker/MGI:1917152", "MGI:1917152")</f>
        <v>MGI:1917152</v>
      </c>
      <c r="P3345" t="s">
        <v>37491</v>
      </c>
      <c r="Q3345" t="s">
        <v>6400</v>
      </c>
      <c r="R3345" t="s">
        <v>40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32</v>
      </c>
      <c r="Y3345" t="s">
        <v>618</v>
      </c>
      <c r="Z3345" t="s">
        <v>32</v>
      </c>
      <c r="AA3345" t="s">
        <v>37492</v>
      </c>
      <c r="AB3345" t="s">
        <v>37493</v>
      </c>
      <c r="AC3345" t="s">
        <v>32</v>
      </c>
      <c r="AD3345" t="s">
        <v>32</v>
      </c>
      <c r="AE3345" t="s">
        <v>32</v>
      </c>
      <c r="AF3345" t="s">
        <v>46835</v>
      </c>
    </row>
    <row r="3346" spans="1:33" x14ac:dyDescent="0.2">
      <c r="A3346">
        <v>3341</v>
      </c>
      <c r="B3346" t="s">
        <v>37494</v>
      </c>
      <c r="C3346" t="s">
        <v>37495</v>
      </c>
      <c r="D3346" t="s">
        <v>32</v>
      </c>
      <c r="E3346" t="s">
        <v>37496</v>
      </c>
      <c r="F3346" t="s">
        <v>37497</v>
      </c>
      <c r="G3346" t="s">
        <v>37498</v>
      </c>
      <c r="H3346" t="str">
        <f>"Cgn"</f>
        <v>Cgn</v>
      </c>
      <c r="I3346" t="s">
        <v>37499</v>
      </c>
      <c r="J3346" t="s">
        <v>37</v>
      </c>
      <c r="K3346">
        <v>10090</v>
      </c>
      <c r="L3346" s="3" t="str">
        <f>HYPERLINK("http://www.uniprot.org/uniprot/P59242", "P59242")</f>
        <v>P59242</v>
      </c>
      <c r="M3346" t="s">
        <v>37500</v>
      </c>
      <c r="N3346" t="str">
        <f>"Cgn"</f>
        <v>Cgn</v>
      </c>
      <c r="O3346" s="3" t="str">
        <f>HYPERLINK("http://www.informatics.jax.org/marker/MGI:1927237", "MGI:1927237")</f>
        <v>MGI:1927237</v>
      </c>
      <c r="P3346" t="s">
        <v>37501</v>
      </c>
      <c r="Q3346" t="s">
        <v>32</v>
      </c>
      <c r="R3346" t="s">
        <v>27519</v>
      </c>
      <c r="S3346" t="s">
        <v>41</v>
      </c>
      <c r="T3346" t="s">
        <v>32</v>
      </c>
      <c r="U3346" t="s">
        <v>32</v>
      </c>
      <c r="V3346" t="s">
        <v>290</v>
      </c>
      <c r="W3346" t="s">
        <v>32</v>
      </c>
      <c r="X3346" t="s">
        <v>32</v>
      </c>
      <c r="Y3346" t="s">
        <v>157</v>
      </c>
      <c r="Z3346" t="s">
        <v>32</v>
      </c>
      <c r="AA3346" t="s">
        <v>37502</v>
      </c>
      <c r="AB3346" t="s">
        <v>37503</v>
      </c>
      <c r="AC3346" t="s">
        <v>37504</v>
      </c>
      <c r="AD3346" t="s">
        <v>32</v>
      </c>
      <c r="AE3346" t="s">
        <v>37505</v>
      </c>
      <c r="AF3346" t="s">
        <v>46835</v>
      </c>
    </row>
    <row r="3347" spans="1:33" x14ac:dyDescent="0.2">
      <c r="A3347">
        <v>3342</v>
      </c>
      <c r="B3347" t="s">
        <v>37506</v>
      </c>
      <c r="C3347" t="s">
        <v>37507</v>
      </c>
      <c r="D3347" t="s">
        <v>37508</v>
      </c>
      <c r="E3347" t="s">
        <v>37509</v>
      </c>
      <c r="F3347" t="s">
        <v>37510</v>
      </c>
      <c r="G3347" t="s">
        <v>37511</v>
      </c>
      <c r="H3347" t="str">
        <f>"Cux1"</f>
        <v>Cux1</v>
      </c>
      <c r="I3347" t="s">
        <v>37512</v>
      </c>
      <c r="J3347" t="s">
        <v>37</v>
      </c>
      <c r="K3347">
        <v>10090</v>
      </c>
      <c r="L3347" s="3" t="str">
        <f>HYPERLINK("http://www.uniprot.org/uniprot/P53564", "P53564")</f>
        <v>P53564</v>
      </c>
      <c r="M3347" t="s">
        <v>37513</v>
      </c>
      <c r="N3347" t="str">
        <f>"Cux1"</f>
        <v>Cux1</v>
      </c>
      <c r="O3347" s="3" t="str">
        <f>HYPERLINK("http://www.informatics.jax.org/marker/MGI:88568", "MGI:88568")</f>
        <v>MGI:88568</v>
      </c>
      <c r="P3347" t="s">
        <v>37514</v>
      </c>
      <c r="Q3347" t="s">
        <v>4152</v>
      </c>
      <c r="R3347" t="s">
        <v>2279</v>
      </c>
      <c r="S3347" t="s">
        <v>41</v>
      </c>
      <c r="T3347" t="s">
        <v>32</v>
      </c>
      <c r="U3347" t="s">
        <v>32</v>
      </c>
      <c r="V3347" t="s">
        <v>37515</v>
      </c>
      <c r="W3347" t="s">
        <v>32</v>
      </c>
      <c r="X3347" t="s">
        <v>9361</v>
      </c>
      <c r="Y3347" t="s">
        <v>1007</v>
      </c>
      <c r="Z3347" t="s">
        <v>32</v>
      </c>
      <c r="AA3347" t="s">
        <v>37516</v>
      </c>
      <c r="AB3347" t="s">
        <v>37517</v>
      </c>
      <c r="AC3347" t="s">
        <v>37518</v>
      </c>
      <c r="AD3347" t="s">
        <v>32</v>
      </c>
      <c r="AE3347" t="s">
        <v>32</v>
      </c>
      <c r="AF3347" t="s">
        <v>46835</v>
      </c>
    </row>
    <row r="3348" spans="1:33" x14ac:dyDescent="0.2">
      <c r="A3348">
        <v>3343</v>
      </c>
      <c r="B3348" t="s">
        <v>37519</v>
      </c>
      <c r="C3348" t="s">
        <v>37520</v>
      </c>
      <c r="D3348" t="s">
        <v>37521</v>
      </c>
      <c r="E3348" t="s">
        <v>37522</v>
      </c>
      <c r="F3348" t="s">
        <v>37523</v>
      </c>
      <c r="G3348" t="s">
        <v>32</v>
      </c>
      <c r="H3348" t="str">
        <f>"Nme4"</f>
        <v>Nme4</v>
      </c>
      <c r="I3348" t="s">
        <v>32</v>
      </c>
      <c r="J3348" t="s">
        <v>37</v>
      </c>
      <c r="K3348">
        <v>10090</v>
      </c>
      <c r="L3348" s="3" t="str">
        <f>HYPERLINK("http://www.uniprot.org/uniprot/Q9WV84", "Q9WV84")</f>
        <v>Q9WV84</v>
      </c>
      <c r="M3348" t="s">
        <v>37524</v>
      </c>
      <c r="N3348" t="str">
        <f>"Nme4"</f>
        <v>Nme4</v>
      </c>
      <c r="O3348" s="3" t="str">
        <f>HYPERLINK("http://www.informatics.jax.org/marker/MGI:1931148", "MGI:1931148")</f>
        <v>MGI:1931148</v>
      </c>
      <c r="P3348" t="s">
        <v>37525</v>
      </c>
      <c r="Q3348" t="s">
        <v>7123</v>
      </c>
      <c r="R3348" t="s">
        <v>6354</v>
      </c>
      <c r="S3348" t="s">
        <v>32</v>
      </c>
      <c r="T3348" t="s">
        <v>32</v>
      </c>
      <c r="U3348" t="s">
        <v>32</v>
      </c>
      <c r="V3348" t="s">
        <v>1039</v>
      </c>
      <c r="W3348" t="s">
        <v>37526</v>
      </c>
      <c r="X3348" t="s">
        <v>419</v>
      </c>
      <c r="Y3348" t="s">
        <v>32</v>
      </c>
      <c r="Z3348" t="s">
        <v>32</v>
      </c>
      <c r="AA3348" t="s">
        <v>37527</v>
      </c>
      <c r="AB3348" t="s">
        <v>37528</v>
      </c>
      <c r="AC3348" t="s">
        <v>37529</v>
      </c>
      <c r="AD3348" t="s">
        <v>32</v>
      </c>
      <c r="AE3348" t="s">
        <v>6139</v>
      </c>
      <c r="AF3348" t="s">
        <v>46835</v>
      </c>
    </row>
    <row r="3349" spans="1:33" x14ac:dyDescent="0.2">
      <c r="A3349">
        <v>3344</v>
      </c>
      <c r="B3349" t="s">
        <v>37530</v>
      </c>
      <c r="C3349" t="s">
        <v>37531</v>
      </c>
      <c r="D3349" t="s">
        <v>32</v>
      </c>
      <c r="E3349" t="s">
        <v>37532</v>
      </c>
      <c r="F3349" t="s">
        <v>37533</v>
      </c>
      <c r="G3349" t="s">
        <v>37534</v>
      </c>
      <c r="H3349" t="str">
        <f>"Selenoh"</f>
        <v>Selenoh</v>
      </c>
      <c r="I3349" t="s">
        <v>32</v>
      </c>
      <c r="J3349" t="s">
        <v>37</v>
      </c>
      <c r="K3349">
        <v>10090</v>
      </c>
      <c r="L3349" s="3" t="str">
        <f>HYPERLINK("http://www.uniprot.org/uniprot/Q3UQA7", "Q3UQA7")</f>
        <v>Q3UQA7</v>
      </c>
      <c r="M3349" t="s">
        <v>37535</v>
      </c>
      <c r="N3349" t="str">
        <f>"Selenoh"</f>
        <v>Selenoh</v>
      </c>
      <c r="O3349" s="3" t="str">
        <f>HYPERLINK("http://www.informatics.jax.org/marker/MGI:1919907", "MGI:1919907")</f>
        <v>MGI:1919907</v>
      </c>
      <c r="P3349" t="s">
        <v>37536</v>
      </c>
      <c r="Q3349" t="s">
        <v>32</v>
      </c>
      <c r="R3349" t="s">
        <v>32</v>
      </c>
      <c r="S3349" t="s">
        <v>8573</v>
      </c>
      <c r="T3349" t="s">
        <v>32</v>
      </c>
      <c r="U3349" t="s">
        <v>32</v>
      </c>
      <c r="V3349" t="s">
        <v>1090</v>
      </c>
      <c r="W3349" t="s">
        <v>32</v>
      </c>
      <c r="X3349" t="s">
        <v>32</v>
      </c>
      <c r="Y3349" t="s">
        <v>78</v>
      </c>
      <c r="Z3349" t="s">
        <v>32</v>
      </c>
      <c r="AA3349" t="s">
        <v>32</v>
      </c>
      <c r="AB3349" t="s">
        <v>32875</v>
      </c>
      <c r="AC3349" t="s">
        <v>32</v>
      </c>
      <c r="AD3349" t="s">
        <v>32</v>
      </c>
      <c r="AE3349" t="s">
        <v>32</v>
      </c>
      <c r="AF3349" t="s">
        <v>46835</v>
      </c>
    </row>
    <row r="3350" spans="1:33" x14ac:dyDescent="0.2">
      <c r="A3350">
        <v>3345</v>
      </c>
      <c r="B3350" t="s">
        <v>37537</v>
      </c>
      <c r="C3350" t="s">
        <v>47217</v>
      </c>
      <c r="D3350" t="s">
        <v>32</v>
      </c>
      <c r="E3350" t="s">
        <v>47022</v>
      </c>
      <c r="F3350" t="s">
        <v>47021</v>
      </c>
      <c r="G3350" t="s">
        <v>32</v>
      </c>
      <c r="H3350" t="s">
        <v>47350</v>
      </c>
      <c r="I3350" t="s">
        <v>32</v>
      </c>
      <c r="J3350" t="s">
        <v>37</v>
      </c>
      <c r="K3350">
        <v>10090</v>
      </c>
      <c r="L3350" s="3" t="str">
        <f>HYPERLINK(CONCATENATE("https://www.uniprot.org/uniprotkb/", AG3350, "/entry"), AG3350)</f>
        <v>B2RXQ2</v>
      </c>
      <c r="M3350" t="s">
        <v>32</v>
      </c>
      <c r="N3350" t="s">
        <v>32</v>
      </c>
      <c r="O3350" s="3" t="s">
        <v>32</v>
      </c>
      <c r="P3350" t="s">
        <v>32</v>
      </c>
      <c r="Q3350" t="s">
        <v>32</v>
      </c>
      <c r="R3350" t="s">
        <v>32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32</v>
      </c>
      <c r="Y3350" t="s">
        <v>32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t="s">
        <v>46835</v>
      </c>
      <c r="AG3350" t="s">
        <v>47021</v>
      </c>
    </row>
    <row r="3351" spans="1:33" x14ac:dyDescent="0.2">
      <c r="A3351">
        <v>3346</v>
      </c>
      <c r="B3351" t="s">
        <v>37538</v>
      </c>
      <c r="C3351" t="s">
        <v>37539</v>
      </c>
      <c r="D3351" t="s">
        <v>37540</v>
      </c>
      <c r="E3351" t="s">
        <v>37541</v>
      </c>
      <c r="F3351" t="s">
        <v>37542</v>
      </c>
      <c r="G3351" t="s">
        <v>37543</v>
      </c>
      <c r="H3351" t="str">
        <f>"Abcb7"</f>
        <v>Abcb7</v>
      </c>
      <c r="I3351" t="s">
        <v>37544</v>
      </c>
      <c r="J3351" t="s">
        <v>37</v>
      </c>
      <c r="K3351">
        <v>10090</v>
      </c>
      <c r="L3351" s="3" t="str">
        <f>HYPERLINK("http://www.uniprot.org/uniprot/Q61102", "Q61102")</f>
        <v>Q61102</v>
      </c>
      <c r="M3351" t="s">
        <v>37545</v>
      </c>
      <c r="N3351" t="str">
        <f>"Abcb7"</f>
        <v>Abcb7</v>
      </c>
      <c r="O3351" s="3" t="str">
        <f>HYPERLINK("http://www.informatics.jax.org/marker/MGI:109533", "MGI:109533")</f>
        <v>MGI:109533</v>
      </c>
      <c r="P3351" t="s">
        <v>37546</v>
      </c>
      <c r="Q3351" t="s">
        <v>4425</v>
      </c>
      <c r="R3351" t="s">
        <v>3858</v>
      </c>
      <c r="S3351" t="s">
        <v>32</v>
      </c>
      <c r="T3351" t="s">
        <v>32</v>
      </c>
      <c r="U3351" t="s">
        <v>32</v>
      </c>
      <c r="V3351" t="s">
        <v>3859</v>
      </c>
      <c r="W3351" t="s">
        <v>205</v>
      </c>
      <c r="X3351" t="s">
        <v>32</v>
      </c>
      <c r="Y3351" t="s">
        <v>157</v>
      </c>
      <c r="Z3351" t="s">
        <v>32</v>
      </c>
      <c r="AA3351" t="s">
        <v>37547</v>
      </c>
      <c r="AB3351" t="s">
        <v>21070</v>
      </c>
      <c r="AC3351" t="s">
        <v>37548</v>
      </c>
      <c r="AD3351" t="s">
        <v>32</v>
      </c>
      <c r="AE3351" t="s">
        <v>37549</v>
      </c>
      <c r="AF3351" t="s">
        <v>46835</v>
      </c>
    </row>
    <row r="3352" spans="1:33" x14ac:dyDescent="0.2">
      <c r="A3352">
        <v>3347</v>
      </c>
      <c r="B3352" t="s">
        <v>37550</v>
      </c>
      <c r="C3352" t="s">
        <v>37551</v>
      </c>
      <c r="D3352" t="s">
        <v>37552</v>
      </c>
      <c r="E3352" t="s">
        <v>37553</v>
      </c>
      <c r="F3352" t="s">
        <v>37554</v>
      </c>
      <c r="G3352" t="s">
        <v>37555</v>
      </c>
      <c r="H3352" t="str">
        <f>"Washc3"</f>
        <v>Washc3</v>
      </c>
      <c r="I3352" t="s">
        <v>37556</v>
      </c>
      <c r="J3352" t="s">
        <v>37</v>
      </c>
      <c r="K3352">
        <v>10090</v>
      </c>
      <c r="L3352" s="3" t="str">
        <f>HYPERLINK("http://www.uniprot.org/uniprot/Q9CR27", "Q9CR27")</f>
        <v>Q9CR27</v>
      </c>
      <c r="M3352" t="s">
        <v>37557</v>
      </c>
      <c r="N3352" t="str">
        <f>"Washc3"</f>
        <v>Washc3</v>
      </c>
      <c r="O3352" s="3" t="str">
        <f>HYPERLINK("http://www.informatics.jax.org/marker/MGI:1914532", "MGI:1914532")</f>
        <v>MGI:1914532</v>
      </c>
      <c r="P3352" t="s">
        <v>37558</v>
      </c>
      <c r="Q3352" t="s">
        <v>434</v>
      </c>
      <c r="R3352" t="s">
        <v>11451</v>
      </c>
      <c r="S3352" t="s">
        <v>32</v>
      </c>
      <c r="T3352" t="s">
        <v>32</v>
      </c>
      <c r="U3352" t="s">
        <v>32</v>
      </c>
      <c r="V3352" t="s">
        <v>290</v>
      </c>
      <c r="W3352" t="s">
        <v>32</v>
      </c>
      <c r="X3352" t="s">
        <v>32</v>
      </c>
      <c r="Y3352" t="s">
        <v>78</v>
      </c>
      <c r="Z3352" t="s">
        <v>32</v>
      </c>
      <c r="AA3352" t="s">
        <v>37559</v>
      </c>
      <c r="AB3352" t="s">
        <v>37560</v>
      </c>
      <c r="AC3352" t="s">
        <v>32</v>
      </c>
      <c r="AD3352" t="s">
        <v>32</v>
      </c>
      <c r="AE3352" t="s">
        <v>32</v>
      </c>
      <c r="AF3352" t="s">
        <v>46835</v>
      </c>
    </row>
    <row r="3353" spans="1:33" x14ac:dyDescent="0.2">
      <c r="A3353">
        <v>3348</v>
      </c>
      <c r="B3353" t="s">
        <v>37561</v>
      </c>
      <c r="C3353" t="s">
        <v>37562</v>
      </c>
      <c r="D3353" t="s">
        <v>32</v>
      </c>
      <c r="E3353" t="s">
        <v>37563</v>
      </c>
      <c r="F3353" t="s">
        <v>37564</v>
      </c>
      <c r="G3353" t="s">
        <v>37565</v>
      </c>
      <c r="H3353" t="str">
        <f>"Mcu"</f>
        <v>Mcu</v>
      </c>
      <c r="I3353" t="s">
        <v>32</v>
      </c>
      <c r="J3353" t="s">
        <v>37</v>
      </c>
      <c r="K3353">
        <v>10090</v>
      </c>
      <c r="L3353" s="3" t="str">
        <f>HYPERLINK("http://www.uniprot.org/uniprot/Q3UMR5", "Q3UMR5")</f>
        <v>Q3UMR5</v>
      </c>
      <c r="M3353" t="s">
        <v>37566</v>
      </c>
      <c r="N3353" t="str">
        <f>"Mcu"</f>
        <v>Mcu</v>
      </c>
      <c r="O3353" s="3" t="str">
        <f>HYPERLINK("http://www.informatics.jax.org/marker/MGI:3026965", "MGI:3026965")</f>
        <v>MGI:3026965</v>
      </c>
      <c r="P3353" t="s">
        <v>37567</v>
      </c>
      <c r="Q3353" t="s">
        <v>4052</v>
      </c>
      <c r="R3353" t="s">
        <v>3858</v>
      </c>
      <c r="S3353" t="s">
        <v>41</v>
      </c>
      <c r="T3353" t="s">
        <v>32</v>
      </c>
      <c r="U3353" t="s">
        <v>32</v>
      </c>
      <c r="V3353" t="s">
        <v>5433</v>
      </c>
      <c r="W3353" t="s">
        <v>1380</v>
      </c>
      <c r="X3353" t="s">
        <v>37568</v>
      </c>
      <c r="Y3353" t="s">
        <v>157</v>
      </c>
      <c r="Z3353" t="s">
        <v>32</v>
      </c>
      <c r="AA3353" t="s">
        <v>37569</v>
      </c>
      <c r="AB3353" t="s">
        <v>37570</v>
      </c>
      <c r="AC3353" t="s">
        <v>37571</v>
      </c>
      <c r="AD3353" t="s">
        <v>32</v>
      </c>
      <c r="AE3353" t="s">
        <v>29850</v>
      </c>
      <c r="AF3353" t="s">
        <v>46835</v>
      </c>
    </row>
    <row r="3354" spans="1:33" x14ac:dyDescent="0.2">
      <c r="A3354">
        <v>3349</v>
      </c>
      <c r="B3354" t="s">
        <v>37572</v>
      </c>
      <c r="C3354" t="s">
        <v>37573</v>
      </c>
      <c r="D3354" t="s">
        <v>37574</v>
      </c>
      <c r="E3354" t="s">
        <v>37575</v>
      </c>
      <c r="F3354" t="s">
        <v>37576</v>
      </c>
      <c r="G3354" t="s">
        <v>37577</v>
      </c>
      <c r="H3354" t="str">
        <f>"Gapvd1"</f>
        <v>Gapvd1</v>
      </c>
      <c r="I3354" t="s">
        <v>37578</v>
      </c>
      <c r="J3354" t="s">
        <v>37</v>
      </c>
      <c r="K3354">
        <v>10090</v>
      </c>
      <c r="L3354" s="3" t="str">
        <f>HYPERLINK("http://www.uniprot.org/uniprot/Q6PAR5", "Q6PAR5")</f>
        <v>Q6PAR5</v>
      </c>
      <c r="M3354" t="s">
        <v>37579</v>
      </c>
      <c r="N3354" t="str">
        <f>"Gapvd1"</f>
        <v>Gapvd1</v>
      </c>
      <c r="O3354" s="3" t="str">
        <f>HYPERLINK("http://www.informatics.jax.org/marker/MGI:1913941", "MGI:1913941")</f>
        <v>MGI:1913941</v>
      </c>
      <c r="P3354" t="s">
        <v>37580</v>
      </c>
      <c r="Q3354" t="s">
        <v>2822</v>
      </c>
      <c r="R3354" t="s">
        <v>24832</v>
      </c>
      <c r="S3354" t="s">
        <v>41</v>
      </c>
      <c r="T3354" t="s">
        <v>32</v>
      </c>
      <c r="U3354" t="s">
        <v>32</v>
      </c>
      <c r="V3354" t="s">
        <v>32</v>
      </c>
      <c r="W3354" t="s">
        <v>32</v>
      </c>
      <c r="X3354" t="s">
        <v>26018</v>
      </c>
      <c r="Y3354" t="s">
        <v>618</v>
      </c>
      <c r="Z3354" t="s">
        <v>32</v>
      </c>
      <c r="AA3354" t="s">
        <v>37581</v>
      </c>
      <c r="AB3354" t="s">
        <v>37582</v>
      </c>
      <c r="AC3354" t="s">
        <v>37583</v>
      </c>
      <c r="AD3354" t="s">
        <v>32</v>
      </c>
      <c r="AE3354" t="s">
        <v>37584</v>
      </c>
      <c r="AF3354" t="s">
        <v>46835</v>
      </c>
    </row>
    <row r="3355" spans="1:33" x14ac:dyDescent="0.2">
      <c r="A3355">
        <v>3350</v>
      </c>
      <c r="B3355" t="s">
        <v>37585</v>
      </c>
      <c r="C3355" t="s">
        <v>37586</v>
      </c>
      <c r="D3355" t="s">
        <v>37587</v>
      </c>
      <c r="E3355" t="s">
        <v>37588</v>
      </c>
      <c r="F3355" t="s">
        <v>37589</v>
      </c>
      <c r="G3355" t="s">
        <v>37590</v>
      </c>
      <c r="H3355" t="str">
        <f>"Ahctf1"</f>
        <v>Ahctf1</v>
      </c>
      <c r="I3355" t="s">
        <v>37591</v>
      </c>
      <c r="J3355" t="s">
        <v>37</v>
      </c>
      <c r="K3355">
        <v>10090</v>
      </c>
      <c r="L3355" s="3" t="str">
        <f>HYPERLINK("http://www.uniprot.org/uniprot/Q8CJF7", "Q8CJF7")</f>
        <v>Q8CJF7</v>
      </c>
      <c r="M3355" t="s">
        <v>37592</v>
      </c>
      <c r="N3355" t="str">
        <f>"Ahctf1"</f>
        <v>Ahctf1</v>
      </c>
      <c r="O3355" s="3" t="str">
        <f>HYPERLINK("http://www.informatics.jax.org/marker/MGI:1915033", "MGI:1915033")</f>
        <v>MGI:1915033</v>
      </c>
      <c r="P3355" t="s">
        <v>37593</v>
      </c>
      <c r="Q3355" t="s">
        <v>37594</v>
      </c>
      <c r="R3355" t="s">
        <v>37595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3912</v>
      </c>
      <c r="Y3355" t="s">
        <v>157</v>
      </c>
      <c r="Z3355" t="s">
        <v>126</v>
      </c>
      <c r="AA3355" t="s">
        <v>37596</v>
      </c>
      <c r="AB3355" t="s">
        <v>37597</v>
      </c>
      <c r="AC3355" t="s">
        <v>13572</v>
      </c>
      <c r="AD3355" t="s">
        <v>32</v>
      </c>
      <c r="AE3355" t="s">
        <v>37598</v>
      </c>
      <c r="AF3355" t="s">
        <v>46835</v>
      </c>
    </row>
    <row r="3356" spans="1:33" x14ac:dyDescent="0.2">
      <c r="A3356">
        <v>3351</v>
      </c>
      <c r="B3356" t="s">
        <v>37599</v>
      </c>
      <c r="C3356" t="s">
        <v>37600</v>
      </c>
      <c r="D3356" t="s">
        <v>37601</v>
      </c>
      <c r="E3356" t="s">
        <v>37602</v>
      </c>
      <c r="F3356" t="s">
        <v>37603</v>
      </c>
      <c r="G3356" t="s">
        <v>37604</v>
      </c>
      <c r="H3356" t="str">
        <f>"Abraxas2"</f>
        <v>Abraxas2</v>
      </c>
      <c r="I3356" t="s">
        <v>32</v>
      </c>
      <c r="J3356" t="s">
        <v>37</v>
      </c>
      <c r="K3356">
        <v>10090</v>
      </c>
      <c r="L3356" s="3" t="str">
        <f>HYPERLINK("http://www.uniprot.org/uniprot/Q3TCJ1", "Q3TCJ1")</f>
        <v>Q3TCJ1</v>
      </c>
      <c r="M3356" t="s">
        <v>37605</v>
      </c>
      <c r="N3356" t="str">
        <f>"Abraxas2"</f>
        <v>Abraxas2</v>
      </c>
      <c r="O3356" s="3" t="str">
        <f>HYPERLINK("http://www.informatics.jax.org/marker/MGI:1926116", "MGI:1926116")</f>
        <v>MGI:1926116</v>
      </c>
      <c r="P3356" t="s">
        <v>37606</v>
      </c>
      <c r="Q3356" t="s">
        <v>19695</v>
      </c>
      <c r="R3356" t="s">
        <v>2969</v>
      </c>
      <c r="S3356" t="s">
        <v>32</v>
      </c>
      <c r="T3356" t="s">
        <v>32</v>
      </c>
      <c r="U3356" t="s">
        <v>32</v>
      </c>
      <c r="V3356" t="s">
        <v>290</v>
      </c>
      <c r="W3356" t="s">
        <v>32</v>
      </c>
      <c r="X3356" t="s">
        <v>32</v>
      </c>
      <c r="Y3356" t="s">
        <v>618</v>
      </c>
      <c r="Z3356" t="s">
        <v>32</v>
      </c>
      <c r="AA3356" t="s">
        <v>37607</v>
      </c>
      <c r="AB3356" t="s">
        <v>37608</v>
      </c>
      <c r="AC3356" t="s">
        <v>37609</v>
      </c>
      <c r="AD3356" t="s">
        <v>32</v>
      </c>
      <c r="AE3356" t="s">
        <v>37610</v>
      </c>
      <c r="AF3356" t="s">
        <v>46835</v>
      </c>
    </row>
    <row r="3357" spans="1:33" x14ac:dyDescent="0.2">
      <c r="A3357">
        <v>3352</v>
      </c>
      <c r="B3357" t="s">
        <v>37611</v>
      </c>
      <c r="C3357" t="s">
        <v>37612</v>
      </c>
      <c r="D3357" t="s">
        <v>32</v>
      </c>
      <c r="E3357" t="s">
        <v>37613</v>
      </c>
      <c r="F3357" t="s">
        <v>37614</v>
      </c>
      <c r="G3357" t="s">
        <v>37615</v>
      </c>
      <c r="H3357" t="str">
        <f>"Mrps9"</f>
        <v>Mrps9</v>
      </c>
      <c r="I3357" t="s">
        <v>32</v>
      </c>
      <c r="J3357" t="s">
        <v>37</v>
      </c>
      <c r="K3357">
        <v>10090</v>
      </c>
      <c r="L3357" s="3" t="str">
        <f>HYPERLINK("http://www.uniprot.org/uniprot/Q9D7N3", "Q9D7N3")</f>
        <v>Q9D7N3</v>
      </c>
      <c r="M3357" t="s">
        <v>37616</v>
      </c>
      <c r="N3357" t="str">
        <f>"Mrps9"</f>
        <v>Mrps9</v>
      </c>
      <c r="O3357" s="3" t="str">
        <f>HYPERLINK("http://www.informatics.jax.org/marker/MGI:1916777", "MGI:1916777")</f>
        <v>MGI:1916777</v>
      </c>
      <c r="P3357" t="s">
        <v>24765</v>
      </c>
      <c r="Q3357" t="s">
        <v>32</v>
      </c>
      <c r="R3357" t="s">
        <v>1038</v>
      </c>
      <c r="S3357" t="s">
        <v>32</v>
      </c>
      <c r="T3357" t="s">
        <v>32</v>
      </c>
      <c r="U3357" t="s">
        <v>32</v>
      </c>
      <c r="V3357" t="s">
        <v>1039</v>
      </c>
      <c r="W3357" t="s">
        <v>32</v>
      </c>
      <c r="X3357" t="s">
        <v>447</v>
      </c>
      <c r="Y3357" t="s">
        <v>32</v>
      </c>
      <c r="Z3357" t="s">
        <v>32</v>
      </c>
      <c r="AA3357" t="s">
        <v>23519</v>
      </c>
      <c r="AB3357" t="s">
        <v>37617</v>
      </c>
      <c r="AC3357" t="s">
        <v>1056</v>
      </c>
      <c r="AD3357" t="s">
        <v>32</v>
      </c>
      <c r="AE3357" t="s">
        <v>17271</v>
      </c>
      <c r="AF3357" t="s">
        <v>46835</v>
      </c>
    </row>
    <row r="3358" spans="1:33" x14ac:dyDescent="0.2">
      <c r="A3358">
        <v>3353</v>
      </c>
      <c r="B3358" t="s">
        <v>37618</v>
      </c>
      <c r="C3358" t="s">
        <v>37619</v>
      </c>
      <c r="D3358" t="s">
        <v>37620</v>
      </c>
      <c r="E3358" t="s">
        <v>37621</v>
      </c>
      <c r="F3358" t="s">
        <v>37622</v>
      </c>
      <c r="G3358" t="s">
        <v>37623</v>
      </c>
      <c r="H3358" t="str">
        <f>"Mical1"</f>
        <v>Mical1</v>
      </c>
      <c r="I3358" t="s">
        <v>37624</v>
      </c>
      <c r="J3358" t="s">
        <v>37</v>
      </c>
      <c r="K3358">
        <v>10090</v>
      </c>
      <c r="L3358" s="3" t="str">
        <f>HYPERLINK("http://www.uniprot.org/uniprot/Q8VDP3", "Q8VDP3")</f>
        <v>Q8VDP3</v>
      </c>
      <c r="M3358" t="s">
        <v>37625</v>
      </c>
      <c r="N3358" t="str">
        <f>"Mical1"</f>
        <v>Mical1</v>
      </c>
      <c r="O3358" s="3" t="str">
        <f>HYPERLINK("http://www.informatics.jax.org/marker/MGI:2385847", "MGI:2385847")</f>
        <v>MGI:2385847</v>
      </c>
      <c r="P3358" t="s">
        <v>37626</v>
      </c>
      <c r="Q3358" t="s">
        <v>32</v>
      </c>
      <c r="R3358" t="s">
        <v>186</v>
      </c>
      <c r="S3358" t="s">
        <v>41</v>
      </c>
      <c r="T3358" t="s">
        <v>32</v>
      </c>
      <c r="U3358" t="s">
        <v>32</v>
      </c>
      <c r="V3358" t="s">
        <v>37627</v>
      </c>
      <c r="W3358" t="s">
        <v>37628</v>
      </c>
      <c r="X3358" t="s">
        <v>37629</v>
      </c>
      <c r="Y3358" t="s">
        <v>618</v>
      </c>
      <c r="Z3358" t="s">
        <v>126</v>
      </c>
      <c r="AA3358" t="s">
        <v>37630</v>
      </c>
      <c r="AB3358" t="s">
        <v>37631</v>
      </c>
      <c r="AC3358" t="s">
        <v>37632</v>
      </c>
      <c r="AD3358" t="s">
        <v>32</v>
      </c>
      <c r="AE3358" t="s">
        <v>32</v>
      </c>
      <c r="AF3358" t="s">
        <v>46835</v>
      </c>
    </row>
    <row r="3359" spans="1:33" x14ac:dyDescent="0.2">
      <c r="A3359">
        <v>3354</v>
      </c>
      <c r="B3359" t="s">
        <v>37633</v>
      </c>
      <c r="C3359" t="s">
        <v>37634</v>
      </c>
      <c r="D3359" t="s">
        <v>37635</v>
      </c>
      <c r="E3359" t="s">
        <v>37636</v>
      </c>
      <c r="F3359" t="s">
        <v>37637</v>
      </c>
      <c r="G3359" t="s">
        <v>37638</v>
      </c>
      <c r="H3359" t="str">
        <f>"Dcaf5"</f>
        <v>Dcaf5</v>
      </c>
      <c r="I3359" t="s">
        <v>37639</v>
      </c>
      <c r="J3359" t="s">
        <v>37</v>
      </c>
      <c r="K3359">
        <v>10090</v>
      </c>
      <c r="L3359" s="3" t="str">
        <f>HYPERLINK("http://www.uniprot.org/uniprot/Q80T85", "Q80T85")</f>
        <v>Q80T85</v>
      </c>
      <c r="M3359" t="s">
        <v>37640</v>
      </c>
      <c r="N3359" t="str">
        <f>"Dcaf5"</f>
        <v>Dcaf5</v>
      </c>
      <c r="O3359" s="3" t="str">
        <f>HYPERLINK("http://www.informatics.jax.org/marker/MGI:2444785", "MGI:2444785")</f>
        <v>MGI:2444785</v>
      </c>
      <c r="P3359" t="s">
        <v>37641</v>
      </c>
      <c r="Q3359" t="s">
        <v>1020</v>
      </c>
      <c r="R3359" t="s">
        <v>32</v>
      </c>
      <c r="S3359" t="s">
        <v>32</v>
      </c>
      <c r="T3359" t="s">
        <v>32</v>
      </c>
      <c r="U3359" t="s">
        <v>32</v>
      </c>
      <c r="V3359" t="s">
        <v>1910</v>
      </c>
      <c r="W3359" t="s">
        <v>32</v>
      </c>
      <c r="X3359" t="s">
        <v>32</v>
      </c>
      <c r="Y3359" t="s">
        <v>618</v>
      </c>
      <c r="Z3359" t="s">
        <v>32</v>
      </c>
      <c r="AA3359" t="s">
        <v>24460</v>
      </c>
      <c r="AB3359" t="s">
        <v>37642</v>
      </c>
      <c r="AC3359" t="s">
        <v>32</v>
      </c>
      <c r="AD3359" t="s">
        <v>1027</v>
      </c>
      <c r="AE3359" t="s">
        <v>14635</v>
      </c>
      <c r="AF3359" t="s">
        <v>46835</v>
      </c>
    </row>
    <row r="3360" spans="1:33" x14ac:dyDescent="0.2">
      <c r="A3360">
        <v>3355</v>
      </c>
      <c r="B3360" t="s">
        <v>37643</v>
      </c>
      <c r="C3360" t="s">
        <v>37644</v>
      </c>
      <c r="D3360" t="s">
        <v>37645</v>
      </c>
      <c r="E3360" t="s">
        <v>37646</v>
      </c>
      <c r="F3360" t="s">
        <v>37647</v>
      </c>
      <c r="G3360" t="s">
        <v>37648</v>
      </c>
      <c r="H3360" t="str">
        <f>"Rab3il1"</f>
        <v>Rab3il1</v>
      </c>
      <c r="I3360" t="s">
        <v>32</v>
      </c>
      <c r="J3360" t="s">
        <v>37</v>
      </c>
      <c r="K3360">
        <v>10090</v>
      </c>
      <c r="L3360" s="3" t="str">
        <f>HYPERLINK("http://www.uniprot.org/uniprot/Q8VDV3", "Q8VDV3")</f>
        <v>Q8VDV3</v>
      </c>
      <c r="M3360" t="s">
        <v>37649</v>
      </c>
      <c r="N3360" t="str">
        <f>"Rab3il1"</f>
        <v>Rab3il1</v>
      </c>
      <c r="O3360" s="3" t="str">
        <f>HYPERLINK("http://www.informatics.jax.org/marker/MGI:1922010", "MGI:1922010")</f>
        <v>MGI:1922010</v>
      </c>
      <c r="P3360" t="s">
        <v>37650</v>
      </c>
      <c r="Q3360" t="s">
        <v>434</v>
      </c>
      <c r="R3360" t="s">
        <v>32</v>
      </c>
      <c r="S3360" t="s">
        <v>41</v>
      </c>
      <c r="T3360" t="s">
        <v>32</v>
      </c>
      <c r="U3360" t="s">
        <v>32</v>
      </c>
      <c r="V3360" t="s">
        <v>290</v>
      </c>
      <c r="W3360" t="s">
        <v>32</v>
      </c>
      <c r="X3360" t="s">
        <v>5011</v>
      </c>
      <c r="Y3360" t="s">
        <v>618</v>
      </c>
      <c r="Z3360" t="s">
        <v>32</v>
      </c>
      <c r="AA3360" t="s">
        <v>37651</v>
      </c>
      <c r="AB3360" t="s">
        <v>37652</v>
      </c>
      <c r="AC3360" t="s">
        <v>37653</v>
      </c>
      <c r="AD3360" t="s">
        <v>32</v>
      </c>
      <c r="AE3360" t="s">
        <v>8182</v>
      </c>
      <c r="AF3360" t="s">
        <v>46835</v>
      </c>
    </row>
    <row r="3361" spans="1:32" x14ac:dyDescent="0.2">
      <c r="A3361">
        <v>3356</v>
      </c>
      <c r="B3361" t="s">
        <v>37654</v>
      </c>
      <c r="C3361" t="s">
        <v>37655</v>
      </c>
      <c r="D3361" t="s">
        <v>37656</v>
      </c>
      <c r="E3361" t="s">
        <v>37657</v>
      </c>
      <c r="F3361" t="s">
        <v>37658</v>
      </c>
      <c r="G3361" t="s">
        <v>37659</v>
      </c>
      <c r="H3361" t="str">
        <f>"Scarb2"</f>
        <v>Scarb2</v>
      </c>
      <c r="I3361" t="s">
        <v>32</v>
      </c>
      <c r="J3361" t="s">
        <v>37</v>
      </c>
      <c r="K3361">
        <v>10090</v>
      </c>
      <c r="L3361" s="3" t="str">
        <f>HYPERLINK("http://www.uniprot.org/uniprot/O35114", "O35114")</f>
        <v>O35114</v>
      </c>
      <c r="M3361" t="s">
        <v>37660</v>
      </c>
      <c r="N3361" t="str">
        <f>"Scarb2"</f>
        <v>Scarb2</v>
      </c>
      <c r="O3361" s="3" t="str">
        <f>HYPERLINK("http://www.informatics.jax.org/marker/MGI:1196458", "MGI:1196458")</f>
        <v>MGI:1196458</v>
      </c>
      <c r="P3361" t="s">
        <v>37661</v>
      </c>
      <c r="Q3361" t="s">
        <v>32</v>
      </c>
      <c r="R3361" t="s">
        <v>19635</v>
      </c>
      <c r="S3361" t="s">
        <v>32</v>
      </c>
      <c r="T3361" t="s">
        <v>32</v>
      </c>
      <c r="U3361" t="s">
        <v>32</v>
      </c>
      <c r="V3361" t="s">
        <v>493</v>
      </c>
      <c r="W3361" t="s">
        <v>32</v>
      </c>
      <c r="X3361" t="s">
        <v>6983</v>
      </c>
      <c r="Y3361" t="s">
        <v>13708</v>
      </c>
      <c r="Z3361" t="s">
        <v>32</v>
      </c>
      <c r="AA3361" t="s">
        <v>37662</v>
      </c>
      <c r="AB3361" t="s">
        <v>37663</v>
      </c>
      <c r="AC3361" t="s">
        <v>37664</v>
      </c>
      <c r="AD3361" t="s">
        <v>32</v>
      </c>
      <c r="AE3361" t="s">
        <v>13103</v>
      </c>
      <c r="AF3361" t="s">
        <v>46835</v>
      </c>
    </row>
    <row r="3362" spans="1:32" x14ac:dyDescent="0.2">
      <c r="A3362">
        <v>3357</v>
      </c>
      <c r="B3362" t="s">
        <v>37665</v>
      </c>
      <c r="C3362" t="s">
        <v>37666</v>
      </c>
      <c r="D3362" t="s">
        <v>37667</v>
      </c>
      <c r="E3362" t="s">
        <v>37668</v>
      </c>
      <c r="F3362" t="s">
        <v>37669</v>
      </c>
      <c r="G3362" t="s">
        <v>37670</v>
      </c>
      <c r="H3362" t="str">
        <f>"Tom1l2"</f>
        <v>Tom1l2</v>
      </c>
      <c r="I3362" t="s">
        <v>32</v>
      </c>
      <c r="J3362" t="s">
        <v>37</v>
      </c>
      <c r="K3362">
        <v>10090</v>
      </c>
      <c r="L3362" s="3" t="str">
        <f>HYPERLINK("http://www.uniprot.org/uniprot/Q5SRX1", "Q5SRX1")</f>
        <v>Q5SRX1</v>
      </c>
      <c r="M3362" t="s">
        <v>37671</v>
      </c>
      <c r="N3362" t="str">
        <f>"Tom1l2"</f>
        <v>Tom1l2</v>
      </c>
      <c r="O3362" s="3" t="str">
        <f>HYPERLINK("http://www.informatics.jax.org/marker/MGI:2443306", "MGI:2443306")</f>
        <v>MGI:2443306</v>
      </c>
      <c r="P3362" t="s">
        <v>37672</v>
      </c>
      <c r="Q3362" t="s">
        <v>434</v>
      </c>
      <c r="R3362" t="s">
        <v>32</v>
      </c>
      <c r="S3362" t="s">
        <v>41</v>
      </c>
      <c r="T3362" t="s">
        <v>32</v>
      </c>
      <c r="U3362" t="s">
        <v>32</v>
      </c>
      <c r="V3362" t="s">
        <v>32</v>
      </c>
      <c r="W3362" t="s">
        <v>32</v>
      </c>
      <c r="X3362" t="s">
        <v>32</v>
      </c>
      <c r="Y3362" t="s">
        <v>618</v>
      </c>
      <c r="Z3362" t="s">
        <v>32</v>
      </c>
      <c r="AA3362" t="s">
        <v>37673</v>
      </c>
      <c r="AB3362" t="s">
        <v>37674</v>
      </c>
      <c r="AC3362" t="s">
        <v>37675</v>
      </c>
      <c r="AD3362" t="s">
        <v>32</v>
      </c>
      <c r="AE3362" t="s">
        <v>32</v>
      </c>
      <c r="AF3362" t="s">
        <v>46835</v>
      </c>
    </row>
    <row r="3363" spans="1:32" x14ac:dyDescent="0.2">
      <c r="A3363">
        <v>3358</v>
      </c>
      <c r="B3363" t="s">
        <v>37676</v>
      </c>
      <c r="C3363" t="s">
        <v>37677</v>
      </c>
      <c r="D3363" t="s">
        <v>37678</v>
      </c>
      <c r="E3363" t="s">
        <v>37679</v>
      </c>
      <c r="F3363" t="s">
        <v>37680</v>
      </c>
      <c r="G3363" t="s">
        <v>37681</v>
      </c>
      <c r="H3363" t="str">
        <f>"Aaas"</f>
        <v>Aaas</v>
      </c>
      <c r="I3363" t="s">
        <v>32</v>
      </c>
      <c r="J3363" t="s">
        <v>37</v>
      </c>
      <c r="K3363">
        <v>10090</v>
      </c>
      <c r="L3363" s="3" t="str">
        <f>HYPERLINK("http://www.uniprot.org/uniprot/P58742", "P58742")</f>
        <v>P58742</v>
      </c>
      <c r="M3363" t="s">
        <v>37682</v>
      </c>
      <c r="N3363" t="str">
        <f>"Aaas"</f>
        <v>Aaas</v>
      </c>
      <c r="O3363" s="3" t="str">
        <f>HYPERLINK("http://www.informatics.jax.org/marker/MGI:2443767", "MGI:2443767")</f>
        <v>MGI:2443767</v>
      </c>
      <c r="P3363" t="s">
        <v>37683</v>
      </c>
      <c r="Q3363" t="s">
        <v>6423</v>
      </c>
      <c r="R3363" t="s">
        <v>7258</v>
      </c>
      <c r="S3363" t="s">
        <v>32</v>
      </c>
      <c r="T3363" t="s">
        <v>32</v>
      </c>
      <c r="U3363" t="s">
        <v>32</v>
      </c>
      <c r="V3363" t="s">
        <v>1910</v>
      </c>
      <c r="W3363" t="s">
        <v>32</v>
      </c>
      <c r="X3363" t="s">
        <v>32</v>
      </c>
      <c r="Y3363" t="s">
        <v>157</v>
      </c>
      <c r="Z3363" t="s">
        <v>32</v>
      </c>
      <c r="AA3363" t="s">
        <v>37684</v>
      </c>
      <c r="AB3363" t="s">
        <v>37685</v>
      </c>
      <c r="AC3363" t="s">
        <v>32</v>
      </c>
      <c r="AD3363" t="s">
        <v>32</v>
      </c>
      <c r="AE3363" t="s">
        <v>37686</v>
      </c>
      <c r="AF3363" t="s">
        <v>46835</v>
      </c>
    </row>
    <row r="3364" spans="1:32" x14ac:dyDescent="0.2">
      <c r="A3364">
        <v>3359</v>
      </c>
      <c r="B3364" t="s">
        <v>37687</v>
      </c>
      <c r="C3364" t="s">
        <v>37688</v>
      </c>
      <c r="D3364" t="s">
        <v>37689</v>
      </c>
      <c r="E3364" t="s">
        <v>37690</v>
      </c>
      <c r="F3364" t="s">
        <v>37691</v>
      </c>
      <c r="G3364" t="s">
        <v>37692</v>
      </c>
      <c r="H3364" t="str">
        <f>"Pcyt1a"</f>
        <v>Pcyt1a</v>
      </c>
      <c r="I3364" t="s">
        <v>37693</v>
      </c>
      <c r="J3364" t="s">
        <v>37</v>
      </c>
      <c r="K3364">
        <v>10090</v>
      </c>
      <c r="L3364" s="3" t="str">
        <f>HYPERLINK("http://www.uniprot.org/uniprot/P49586", "P49586")</f>
        <v>P49586</v>
      </c>
      <c r="M3364" t="s">
        <v>37694</v>
      </c>
      <c r="N3364" t="str">
        <f>"Pcyt1a"</f>
        <v>Pcyt1a</v>
      </c>
      <c r="O3364" s="3" t="str">
        <f>HYPERLINK("http://www.informatics.jax.org/marker/MGI:88557", "MGI:88557")</f>
        <v>MGI:88557</v>
      </c>
      <c r="P3364" t="s">
        <v>37695</v>
      </c>
      <c r="Q3364" t="s">
        <v>22663</v>
      </c>
      <c r="R3364" t="s">
        <v>3151</v>
      </c>
      <c r="S3364" t="s">
        <v>32</v>
      </c>
      <c r="T3364" t="s">
        <v>32</v>
      </c>
      <c r="U3364" t="s">
        <v>32</v>
      </c>
      <c r="V3364" t="s">
        <v>55</v>
      </c>
      <c r="W3364" t="s">
        <v>32</v>
      </c>
      <c r="X3364" t="s">
        <v>7489</v>
      </c>
      <c r="Y3364" t="s">
        <v>1023</v>
      </c>
      <c r="Z3364" t="s">
        <v>32</v>
      </c>
      <c r="AA3364" t="s">
        <v>37696</v>
      </c>
      <c r="AB3364" t="s">
        <v>37697</v>
      </c>
      <c r="AC3364" t="s">
        <v>37698</v>
      </c>
      <c r="AD3364" t="s">
        <v>37699</v>
      </c>
      <c r="AE3364" t="s">
        <v>37700</v>
      </c>
      <c r="AF3364" t="s">
        <v>46835</v>
      </c>
    </row>
    <row r="3365" spans="1:32" x14ac:dyDescent="0.2">
      <c r="A3365">
        <v>3360</v>
      </c>
      <c r="B3365" t="s">
        <v>37701</v>
      </c>
      <c r="C3365" t="s">
        <v>37702</v>
      </c>
      <c r="D3365" t="s">
        <v>37703</v>
      </c>
      <c r="E3365" t="s">
        <v>37704</v>
      </c>
      <c r="F3365" t="s">
        <v>37705</v>
      </c>
      <c r="G3365" t="s">
        <v>37706</v>
      </c>
      <c r="H3365" t="str">
        <f>"Git2"</f>
        <v>Git2</v>
      </c>
      <c r="I3365" t="s">
        <v>32</v>
      </c>
      <c r="J3365" t="s">
        <v>37</v>
      </c>
      <c r="K3365">
        <v>10090</v>
      </c>
      <c r="L3365" s="3" t="str">
        <f>HYPERLINK("http://www.uniprot.org/uniprot/Q9JLQ2", "Q9JLQ2")</f>
        <v>Q9JLQ2</v>
      </c>
      <c r="M3365" t="s">
        <v>37707</v>
      </c>
      <c r="N3365" t="str">
        <f>"Git2"</f>
        <v>Git2</v>
      </c>
      <c r="O3365" s="3" t="str">
        <f>HYPERLINK("http://www.informatics.jax.org/marker/MGI:1347053", "MGI:1347053")</f>
        <v>MGI:1347053</v>
      </c>
      <c r="P3365" t="s">
        <v>37708</v>
      </c>
      <c r="Q3365" t="s">
        <v>32</v>
      </c>
      <c r="R3365" t="s">
        <v>32</v>
      </c>
      <c r="S3365" t="s">
        <v>32</v>
      </c>
      <c r="T3365" t="s">
        <v>32</v>
      </c>
      <c r="U3365" t="s">
        <v>32</v>
      </c>
      <c r="V3365" t="s">
        <v>24776</v>
      </c>
      <c r="W3365" t="s">
        <v>42</v>
      </c>
      <c r="X3365" t="s">
        <v>715</v>
      </c>
      <c r="Y3365" t="s">
        <v>618</v>
      </c>
      <c r="Z3365" t="s">
        <v>126</v>
      </c>
      <c r="AA3365" t="s">
        <v>37709</v>
      </c>
      <c r="AB3365" t="s">
        <v>37710</v>
      </c>
      <c r="AC3365" t="s">
        <v>37711</v>
      </c>
      <c r="AD3365" t="s">
        <v>32</v>
      </c>
      <c r="AE3365" t="s">
        <v>37712</v>
      </c>
      <c r="AF3365" t="s">
        <v>46835</v>
      </c>
    </row>
    <row r="3366" spans="1:32" x14ac:dyDescent="0.2">
      <c r="A3366">
        <v>3361</v>
      </c>
      <c r="B3366" t="s">
        <v>37713</v>
      </c>
      <c r="C3366" t="s">
        <v>37714</v>
      </c>
      <c r="D3366" t="s">
        <v>32</v>
      </c>
      <c r="E3366" t="s">
        <v>37715</v>
      </c>
      <c r="F3366" t="s">
        <v>37716</v>
      </c>
      <c r="G3366" t="s">
        <v>37717</v>
      </c>
      <c r="H3366" t="str">
        <f>"Tbc1d23"</f>
        <v>Tbc1d23</v>
      </c>
      <c r="I3366" t="s">
        <v>32</v>
      </c>
      <c r="J3366" t="s">
        <v>37</v>
      </c>
      <c r="K3366">
        <v>10090</v>
      </c>
      <c r="L3366" s="3" t="str">
        <f>HYPERLINK("http://www.uniprot.org/uniprot/Q8K0F1", "Q8K0F1")</f>
        <v>Q8K0F1</v>
      </c>
      <c r="M3366" t="s">
        <v>37718</v>
      </c>
      <c r="N3366" t="str">
        <f>"Tbc1d23"</f>
        <v>Tbc1d23</v>
      </c>
      <c r="O3366" s="3" t="str">
        <f>HYPERLINK("http://www.informatics.jax.org/marker/MGI:1914831", "MGI:1914831")</f>
        <v>MGI:1914831</v>
      </c>
      <c r="P3366" t="s">
        <v>37719</v>
      </c>
      <c r="Q3366" t="s">
        <v>32</v>
      </c>
      <c r="R3366" t="s">
        <v>32703</v>
      </c>
      <c r="S3366" t="s">
        <v>41</v>
      </c>
      <c r="T3366" t="s">
        <v>32</v>
      </c>
      <c r="U3366" t="s">
        <v>32</v>
      </c>
      <c r="V3366" t="s">
        <v>32</v>
      </c>
      <c r="W3366" t="s">
        <v>32</v>
      </c>
      <c r="X3366" t="s">
        <v>2029</v>
      </c>
      <c r="Y3366" t="s">
        <v>618</v>
      </c>
      <c r="Z3366" t="s">
        <v>32</v>
      </c>
      <c r="AA3366" t="s">
        <v>37720</v>
      </c>
      <c r="AB3366" t="s">
        <v>37721</v>
      </c>
      <c r="AC3366" t="s">
        <v>32</v>
      </c>
      <c r="AD3366" t="s">
        <v>32</v>
      </c>
      <c r="AE3366" t="s">
        <v>32</v>
      </c>
      <c r="AF3366" t="s">
        <v>46835</v>
      </c>
    </row>
    <row r="3367" spans="1:32" x14ac:dyDescent="0.2">
      <c r="A3367">
        <v>3362</v>
      </c>
      <c r="B3367" t="s">
        <v>37722</v>
      </c>
      <c r="C3367" t="s">
        <v>37723</v>
      </c>
      <c r="D3367" t="s">
        <v>37724</v>
      </c>
      <c r="E3367" t="s">
        <v>37725</v>
      </c>
      <c r="F3367" t="s">
        <v>37726</v>
      </c>
      <c r="G3367" t="s">
        <v>37727</v>
      </c>
      <c r="H3367" t="str">
        <f>"Aamdc"</f>
        <v>Aamdc</v>
      </c>
      <c r="I3367" t="s">
        <v>32</v>
      </c>
      <c r="J3367" t="s">
        <v>37</v>
      </c>
      <c r="K3367">
        <v>10090</v>
      </c>
      <c r="L3367" s="3" t="str">
        <f>HYPERLINK("http://www.uniprot.org/uniprot/Q8R0P4", "Q8R0P4")</f>
        <v>Q8R0P4</v>
      </c>
      <c r="M3367" t="s">
        <v>37728</v>
      </c>
      <c r="N3367" t="str">
        <f>"Aamdc"</f>
        <v>Aamdc</v>
      </c>
      <c r="O3367" s="3" t="str">
        <f>HYPERLINK("http://www.informatics.jax.org/marker/MGI:1913523", "MGI:1913523")</f>
        <v>MGI:1913523</v>
      </c>
      <c r="P3367" t="s">
        <v>37729</v>
      </c>
      <c r="Q3367" t="s">
        <v>32</v>
      </c>
      <c r="R3367" t="s">
        <v>418</v>
      </c>
      <c r="S3367" t="s">
        <v>41</v>
      </c>
      <c r="T3367" t="s">
        <v>32</v>
      </c>
      <c r="U3367" t="s">
        <v>32</v>
      </c>
      <c r="V3367" t="s">
        <v>32</v>
      </c>
      <c r="W3367" t="s">
        <v>32</v>
      </c>
      <c r="X3367" t="s">
        <v>32</v>
      </c>
      <c r="Y3367" t="s">
        <v>32</v>
      </c>
      <c r="Z3367" t="s">
        <v>32</v>
      </c>
      <c r="AA3367" t="s">
        <v>37730</v>
      </c>
      <c r="AB3367" t="s">
        <v>2172</v>
      </c>
      <c r="AC3367" t="s">
        <v>32</v>
      </c>
      <c r="AD3367" t="s">
        <v>32</v>
      </c>
      <c r="AE3367" t="s">
        <v>32</v>
      </c>
      <c r="AF3367" t="s">
        <v>46835</v>
      </c>
    </row>
    <row r="3368" spans="1:32" x14ac:dyDescent="0.2">
      <c r="A3368">
        <v>3363</v>
      </c>
      <c r="B3368" t="s">
        <v>37731</v>
      </c>
      <c r="C3368" t="s">
        <v>37732</v>
      </c>
      <c r="D3368" t="s">
        <v>37733</v>
      </c>
      <c r="E3368" t="s">
        <v>37734</v>
      </c>
      <c r="F3368" t="s">
        <v>37735</v>
      </c>
      <c r="G3368" t="s">
        <v>32</v>
      </c>
      <c r="H3368" t="str">
        <f>"Pggt1b"</f>
        <v>Pggt1b</v>
      </c>
      <c r="I3368" t="s">
        <v>32</v>
      </c>
      <c r="J3368" t="s">
        <v>37</v>
      </c>
      <c r="K3368">
        <v>10090</v>
      </c>
      <c r="L3368" s="3" t="str">
        <f>HYPERLINK("http://www.uniprot.org/uniprot/Q8BUY9", "Q8BUY9")</f>
        <v>Q8BUY9</v>
      </c>
      <c r="M3368" t="s">
        <v>37736</v>
      </c>
      <c r="N3368" t="str">
        <f>"Pggt1b"</f>
        <v>Pggt1b</v>
      </c>
      <c r="O3368" s="3" t="str">
        <f>HYPERLINK("http://www.informatics.jax.org/marker/MGI:1917514", "MGI:1917514")</f>
        <v>MGI:1917514</v>
      </c>
      <c r="P3368" t="s">
        <v>37737</v>
      </c>
      <c r="Q3368" t="s">
        <v>32</v>
      </c>
      <c r="R3368" t="s">
        <v>32</v>
      </c>
      <c r="S3368" t="s">
        <v>32</v>
      </c>
      <c r="T3368" t="s">
        <v>32</v>
      </c>
      <c r="U3368" t="s">
        <v>32</v>
      </c>
      <c r="V3368" t="s">
        <v>55</v>
      </c>
      <c r="W3368" t="s">
        <v>16417</v>
      </c>
      <c r="X3368" t="s">
        <v>16432</v>
      </c>
      <c r="Y3368" t="s">
        <v>32</v>
      </c>
      <c r="Z3368" t="s">
        <v>32</v>
      </c>
      <c r="AA3368" t="s">
        <v>37738</v>
      </c>
      <c r="AB3368" t="s">
        <v>37739</v>
      </c>
      <c r="AC3368" t="s">
        <v>37740</v>
      </c>
      <c r="AD3368" t="s">
        <v>32</v>
      </c>
      <c r="AE3368" t="s">
        <v>32</v>
      </c>
      <c r="AF3368" t="s">
        <v>46835</v>
      </c>
    </row>
    <row r="3369" spans="1:32" x14ac:dyDescent="0.2">
      <c r="A3369">
        <v>3364</v>
      </c>
      <c r="B3369" t="s">
        <v>37741</v>
      </c>
      <c r="C3369" t="s">
        <v>37742</v>
      </c>
      <c r="D3369" t="s">
        <v>37743</v>
      </c>
      <c r="E3369" t="s">
        <v>37744</v>
      </c>
      <c r="F3369" t="s">
        <v>37745</v>
      </c>
      <c r="G3369" t="s">
        <v>37746</v>
      </c>
      <c r="H3369" t="str">
        <f>"Ppp1cc"</f>
        <v>Ppp1cc</v>
      </c>
      <c r="I3369" t="s">
        <v>32</v>
      </c>
      <c r="J3369" t="s">
        <v>37</v>
      </c>
      <c r="K3369">
        <v>10090</v>
      </c>
      <c r="L3369" s="3" t="str">
        <f>HYPERLINK("http://www.uniprot.org/uniprot/P63087", "P63087")</f>
        <v>P63087</v>
      </c>
      <c r="M3369" t="s">
        <v>37747</v>
      </c>
      <c r="N3369" t="str">
        <f>"Ppp1cc"</f>
        <v>Ppp1cc</v>
      </c>
      <c r="O3369" s="3" t="str">
        <f>HYPERLINK("http://www.informatics.jax.org/marker/MGI:104872", "MGI:104872")</f>
        <v>MGI:104872</v>
      </c>
      <c r="P3369" t="s">
        <v>37748</v>
      </c>
      <c r="Q3369" t="s">
        <v>25222</v>
      </c>
      <c r="R3369" t="s">
        <v>37749</v>
      </c>
      <c r="S3369" t="s">
        <v>41</v>
      </c>
      <c r="T3369" t="s">
        <v>32</v>
      </c>
      <c r="U3369" t="s">
        <v>32</v>
      </c>
      <c r="V3369" t="s">
        <v>32</v>
      </c>
      <c r="W3369" t="s">
        <v>5883</v>
      </c>
      <c r="X3369" t="s">
        <v>3683</v>
      </c>
      <c r="Y3369" t="s">
        <v>157</v>
      </c>
      <c r="Z3369" t="s">
        <v>126</v>
      </c>
      <c r="AA3369" t="s">
        <v>37750</v>
      </c>
      <c r="AB3369" t="s">
        <v>37751</v>
      </c>
      <c r="AC3369" t="s">
        <v>37752</v>
      </c>
      <c r="AD3369" t="s">
        <v>32</v>
      </c>
      <c r="AE3369" t="s">
        <v>37753</v>
      </c>
      <c r="AF3369" t="s">
        <v>46835</v>
      </c>
    </row>
    <row r="3370" spans="1:32" x14ac:dyDescent="0.2">
      <c r="A3370">
        <v>3365</v>
      </c>
      <c r="B3370" t="s">
        <v>37754</v>
      </c>
      <c r="C3370" t="s">
        <v>37755</v>
      </c>
      <c r="D3370" t="s">
        <v>37756</v>
      </c>
      <c r="E3370" t="s">
        <v>37757</v>
      </c>
      <c r="F3370" t="s">
        <v>37758</v>
      </c>
      <c r="G3370" t="s">
        <v>37759</v>
      </c>
      <c r="H3370" t="str">
        <f>"P3h2"</f>
        <v>P3h2</v>
      </c>
      <c r="I3370" t="s">
        <v>32</v>
      </c>
      <c r="J3370" t="s">
        <v>37</v>
      </c>
      <c r="K3370">
        <v>10090</v>
      </c>
      <c r="L3370" s="3" t="str">
        <f>HYPERLINK("http://www.uniprot.org/uniprot/Q8CG71", "Q8CG71")</f>
        <v>Q8CG71</v>
      </c>
      <c r="M3370" t="s">
        <v>37760</v>
      </c>
      <c r="N3370" t="str">
        <f>"P3h2"</f>
        <v>P3h2</v>
      </c>
      <c r="O3370" s="3" t="str">
        <f>HYPERLINK("http://www.informatics.jax.org/marker/MGI:2146663", "MGI:2146663")</f>
        <v>MGI:2146663</v>
      </c>
      <c r="P3370" t="s">
        <v>37761</v>
      </c>
      <c r="Q3370" t="s">
        <v>32</v>
      </c>
      <c r="R3370" t="s">
        <v>37762</v>
      </c>
      <c r="S3370" t="s">
        <v>32</v>
      </c>
      <c r="T3370" t="s">
        <v>32</v>
      </c>
      <c r="U3370" t="s">
        <v>32</v>
      </c>
      <c r="V3370" t="s">
        <v>22988</v>
      </c>
      <c r="W3370" t="s">
        <v>3731</v>
      </c>
      <c r="X3370" t="s">
        <v>3732</v>
      </c>
      <c r="Y3370" t="s">
        <v>3733</v>
      </c>
      <c r="Z3370" t="s">
        <v>32</v>
      </c>
      <c r="AA3370" t="s">
        <v>37763</v>
      </c>
      <c r="AB3370" t="s">
        <v>37764</v>
      </c>
      <c r="AC3370" t="s">
        <v>30692</v>
      </c>
      <c r="AD3370" t="s">
        <v>32</v>
      </c>
      <c r="AE3370" t="s">
        <v>2061</v>
      </c>
      <c r="AF3370" t="s">
        <v>46835</v>
      </c>
    </row>
    <row r="3371" spans="1:32" x14ac:dyDescent="0.2">
      <c r="A3371">
        <v>3366</v>
      </c>
      <c r="B3371" t="s">
        <v>37765</v>
      </c>
      <c r="C3371" t="s">
        <v>37766</v>
      </c>
      <c r="D3371" t="s">
        <v>37767</v>
      </c>
      <c r="E3371" t="s">
        <v>37768</v>
      </c>
      <c r="F3371" t="s">
        <v>37769</v>
      </c>
      <c r="G3371" t="s">
        <v>37770</v>
      </c>
      <c r="H3371" t="str">
        <f>"Col1a2"</f>
        <v>Col1a2</v>
      </c>
      <c r="I3371" t="s">
        <v>37771</v>
      </c>
      <c r="J3371" t="s">
        <v>37</v>
      </c>
      <c r="K3371">
        <v>10090</v>
      </c>
      <c r="L3371" s="3" t="str">
        <f>HYPERLINK("http://www.uniprot.org/uniprot/Q01149", "Q01149")</f>
        <v>Q01149</v>
      </c>
      <c r="M3371" t="s">
        <v>37772</v>
      </c>
      <c r="N3371" t="str">
        <f>"Col1a2"</f>
        <v>Col1a2</v>
      </c>
      <c r="O3371" s="3" t="str">
        <f>HYPERLINK("http://www.informatics.jax.org/marker/MGI:88468", "MGI:88468")</f>
        <v>MGI:88468</v>
      </c>
      <c r="P3371" t="s">
        <v>37773</v>
      </c>
      <c r="Q3371" t="s">
        <v>32</v>
      </c>
      <c r="R3371" t="s">
        <v>5586</v>
      </c>
      <c r="S3371" t="s">
        <v>32</v>
      </c>
      <c r="T3371" t="s">
        <v>32</v>
      </c>
      <c r="U3371" t="s">
        <v>32</v>
      </c>
      <c r="V3371" t="s">
        <v>8152</v>
      </c>
      <c r="W3371" t="s">
        <v>188</v>
      </c>
      <c r="X3371" t="s">
        <v>32</v>
      </c>
      <c r="Y3371" t="s">
        <v>37774</v>
      </c>
      <c r="Z3371" t="s">
        <v>32</v>
      </c>
      <c r="AA3371" t="s">
        <v>37775</v>
      </c>
      <c r="AB3371" t="s">
        <v>37776</v>
      </c>
      <c r="AC3371" t="s">
        <v>37777</v>
      </c>
      <c r="AD3371" t="s">
        <v>32</v>
      </c>
      <c r="AE3371" t="s">
        <v>37778</v>
      </c>
      <c r="AF3371" t="s">
        <v>46835</v>
      </c>
    </row>
    <row r="3372" spans="1:32" x14ac:dyDescent="0.2">
      <c r="A3372">
        <v>3367</v>
      </c>
      <c r="B3372" t="s">
        <v>37779</v>
      </c>
      <c r="C3372" t="s">
        <v>37780</v>
      </c>
      <c r="D3372" t="s">
        <v>37781</v>
      </c>
      <c r="E3372" t="s">
        <v>37782</v>
      </c>
      <c r="F3372" t="s">
        <v>37783</v>
      </c>
      <c r="G3372" t="s">
        <v>37784</v>
      </c>
      <c r="H3372" t="str">
        <f>"Elac2"</f>
        <v>Elac2</v>
      </c>
      <c r="I3372" t="s">
        <v>32</v>
      </c>
      <c r="J3372" t="s">
        <v>37</v>
      </c>
      <c r="K3372">
        <v>10090</v>
      </c>
      <c r="L3372" s="3" t="str">
        <f>HYPERLINK("http://www.uniprot.org/uniprot/Q80Y81", "Q80Y81")</f>
        <v>Q80Y81</v>
      </c>
      <c r="M3372" t="s">
        <v>37785</v>
      </c>
      <c r="N3372" t="str">
        <f>"Elac2"</f>
        <v>Elac2</v>
      </c>
      <c r="O3372" s="3" t="str">
        <f>HYPERLINK("http://www.informatics.jax.org/marker/MGI:1890496", "MGI:1890496")</f>
        <v>MGI:1890496</v>
      </c>
      <c r="P3372" t="s">
        <v>37786</v>
      </c>
      <c r="Q3372" t="s">
        <v>4386</v>
      </c>
      <c r="R3372" t="s">
        <v>18467</v>
      </c>
      <c r="S3372" t="s">
        <v>41</v>
      </c>
      <c r="T3372" t="s">
        <v>32</v>
      </c>
      <c r="U3372" t="s">
        <v>32</v>
      </c>
      <c r="V3372" t="s">
        <v>1039</v>
      </c>
      <c r="W3372" t="s">
        <v>42</v>
      </c>
      <c r="X3372" t="s">
        <v>4153</v>
      </c>
      <c r="Y3372" t="s">
        <v>618</v>
      </c>
      <c r="Z3372" t="s">
        <v>32</v>
      </c>
      <c r="AA3372" t="s">
        <v>37787</v>
      </c>
      <c r="AB3372" t="s">
        <v>37788</v>
      </c>
      <c r="AC3372" t="s">
        <v>37789</v>
      </c>
      <c r="AD3372" t="s">
        <v>32</v>
      </c>
      <c r="AE3372" t="s">
        <v>32</v>
      </c>
      <c r="AF3372" t="s">
        <v>46835</v>
      </c>
    </row>
    <row r="3373" spans="1:32" x14ac:dyDescent="0.2">
      <c r="A3373">
        <v>3368</v>
      </c>
      <c r="B3373" t="s">
        <v>37790</v>
      </c>
      <c r="C3373" t="s">
        <v>37791</v>
      </c>
      <c r="D3373" t="s">
        <v>32</v>
      </c>
      <c r="E3373" t="s">
        <v>37792</v>
      </c>
      <c r="F3373" t="s">
        <v>37793</v>
      </c>
      <c r="G3373" t="s">
        <v>37794</v>
      </c>
      <c r="H3373" t="str">
        <f>"Mrpl24"</f>
        <v>Mrpl24</v>
      </c>
      <c r="I3373" t="s">
        <v>32</v>
      </c>
      <c r="J3373" t="s">
        <v>37</v>
      </c>
      <c r="K3373">
        <v>10090</v>
      </c>
      <c r="L3373" s="3" t="str">
        <f>HYPERLINK("http://www.uniprot.org/uniprot/Q9CQ06", "Q9CQ06")</f>
        <v>Q9CQ06</v>
      </c>
      <c r="M3373" t="s">
        <v>37795</v>
      </c>
      <c r="N3373" t="str">
        <f>"Mrpl24"</f>
        <v>Mrpl24</v>
      </c>
      <c r="O3373" s="3" t="str">
        <f>HYPERLINK("http://www.informatics.jax.org/marker/MGI:1914957", "MGI:1914957")</f>
        <v>MGI:1914957</v>
      </c>
      <c r="P3373" t="s">
        <v>27153</v>
      </c>
      <c r="Q3373" t="s">
        <v>32</v>
      </c>
      <c r="R3373" t="s">
        <v>1038</v>
      </c>
      <c r="S3373" t="s">
        <v>32</v>
      </c>
      <c r="T3373" t="s">
        <v>32</v>
      </c>
      <c r="U3373" t="s">
        <v>32</v>
      </c>
      <c r="V3373" t="s">
        <v>1039</v>
      </c>
      <c r="W3373" t="s">
        <v>32</v>
      </c>
      <c r="X3373" t="s">
        <v>447</v>
      </c>
      <c r="Y3373" t="s">
        <v>618</v>
      </c>
      <c r="Z3373" t="s">
        <v>32</v>
      </c>
      <c r="AA3373" t="s">
        <v>37796</v>
      </c>
      <c r="AB3373" t="s">
        <v>27223</v>
      </c>
      <c r="AC3373" t="s">
        <v>1056</v>
      </c>
      <c r="AD3373" t="s">
        <v>32</v>
      </c>
      <c r="AE3373" t="s">
        <v>17271</v>
      </c>
      <c r="AF3373" t="s">
        <v>46835</v>
      </c>
    </row>
    <row r="3374" spans="1:32" x14ac:dyDescent="0.2">
      <c r="A3374">
        <v>3369</v>
      </c>
      <c r="B3374" t="s">
        <v>37797</v>
      </c>
      <c r="C3374" t="s">
        <v>37798</v>
      </c>
      <c r="D3374" t="s">
        <v>37799</v>
      </c>
      <c r="E3374" t="s">
        <v>37800</v>
      </c>
      <c r="F3374" t="s">
        <v>37801</v>
      </c>
      <c r="G3374" t="s">
        <v>32</v>
      </c>
      <c r="H3374" t="str">
        <f>"Ythdc2"</f>
        <v>Ythdc2</v>
      </c>
      <c r="I3374" t="s">
        <v>32</v>
      </c>
      <c r="J3374" t="s">
        <v>37</v>
      </c>
      <c r="K3374">
        <v>10090</v>
      </c>
      <c r="L3374" s="3" t="str">
        <f>HYPERLINK("http://www.uniprot.org/uniprot/B2RR83", "B2RR83")</f>
        <v>B2RR83</v>
      </c>
      <c r="M3374" t="s">
        <v>37802</v>
      </c>
      <c r="N3374" t="str">
        <f>"Ythdc2"</f>
        <v>Ythdc2</v>
      </c>
      <c r="O3374" s="3" t="str">
        <f>HYPERLINK("http://www.informatics.jax.org/marker/MGI:2448561", "MGI:2448561")</f>
        <v>MGI:2448561</v>
      </c>
      <c r="P3374" t="s">
        <v>37803</v>
      </c>
      <c r="Q3374" t="s">
        <v>36425</v>
      </c>
      <c r="R3374" t="s">
        <v>418</v>
      </c>
      <c r="S3374" t="s">
        <v>32</v>
      </c>
      <c r="T3374" t="s">
        <v>32</v>
      </c>
      <c r="U3374" t="s">
        <v>32</v>
      </c>
      <c r="V3374" t="s">
        <v>912</v>
      </c>
      <c r="W3374" t="s">
        <v>205</v>
      </c>
      <c r="X3374" t="s">
        <v>5050</v>
      </c>
      <c r="Y3374" t="s">
        <v>618</v>
      </c>
      <c r="Z3374" t="s">
        <v>32</v>
      </c>
      <c r="AA3374" t="s">
        <v>37804</v>
      </c>
      <c r="AB3374" t="s">
        <v>37805</v>
      </c>
      <c r="AC3374" t="s">
        <v>37806</v>
      </c>
      <c r="AD3374" t="s">
        <v>32</v>
      </c>
      <c r="AE3374" t="s">
        <v>32</v>
      </c>
      <c r="AF3374" t="s">
        <v>46835</v>
      </c>
    </row>
    <row r="3375" spans="1:32" x14ac:dyDescent="0.2">
      <c r="A3375">
        <v>3370</v>
      </c>
      <c r="B3375" t="s">
        <v>37807</v>
      </c>
      <c r="C3375" t="s">
        <v>37808</v>
      </c>
      <c r="D3375" t="s">
        <v>37809</v>
      </c>
      <c r="E3375" t="s">
        <v>37810</v>
      </c>
      <c r="F3375" t="s">
        <v>37811</v>
      </c>
      <c r="G3375" t="s">
        <v>37812</v>
      </c>
      <c r="H3375" t="str">
        <f>"Rad21"</f>
        <v>Rad21</v>
      </c>
      <c r="I3375" t="s">
        <v>32</v>
      </c>
      <c r="J3375" t="s">
        <v>37</v>
      </c>
      <c r="K3375">
        <v>10090</v>
      </c>
      <c r="L3375" s="3" t="str">
        <f>HYPERLINK("http://www.uniprot.org/uniprot/Q61550", "Q61550")</f>
        <v>Q61550</v>
      </c>
      <c r="M3375" t="s">
        <v>37813</v>
      </c>
      <c r="N3375" t="str">
        <f>"Rad21"</f>
        <v>Rad21</v>
      </c>
      <c r="O3375" s="3" t="str">
        <f>HYPERLINK("http://www.informatics.jax.org/marker/MGI:108016", "MGI:108016")</f>
        <v>MGI:108016</v>
      </c>
      <c r="P3375" t="s">
        <v>37814</v>
      </c>
      <c r="Q3375" t="s">
        <v>37815</v>
      </c>
      <c r="R3375" t="s">
        <v>37816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36994</v>
      </c>
      <c r="Y3375" t="s">
        <v>1007</v>
      </c>
      <c r="Z3375" t="s">
        <v>32</v>
      </c>
      <c r="AA3375" t="s">
        <v>37817</v>
      </c>
      <c r="AB3375" t="s">
        <v>37818</v>
      </c>
      <c r="AC3375" t="s">
        <v>16404</v>
      </c>
      <c r="AD3375" t="s">
        <v>32</v>
      </c>
      <c r="AE3375" t="s">
        <v>10523</v>
      </c>
      <c r="AF3375" t="s">
        <v>46835</v>
      </c>
    </row>
    <row r="3376" spans="1:32" x14ac:dyDescent="0.2">
      <c r="A3376">
        <v>3371</v>
      </c>
      <c r="B3376" t="s">
        <v>37819</v>
      </c>
      <c r="C3376" t="s">
        <v>37820</v>
      </c>
      <c r="D3376" t="s">
        <v>37821</v>
      </c>
      <c r="E3376" t="s">
        <v>37822</v>
      </c>
      <c r="F3376" t="s">
        <v>37823</v>
      </c>
      <c r="G3376" t="s">
        <v>37824</v>
      </c>
      <c r="H3376" t="str">
        <f>"Oxa1l"</f>
        <v>Oxa1l</v>
      </c>
      <c r="I3376" t="s">
        <v>32</v>
      </c>
      <c r="J3376" t="s">
        <v>37</v>
      </c>
      <c r="K3376">
        <v>10090</v>
      </c>
      <c r="L3376" s="3" t="str">
        <f>HYPERLINK("http://www.uniprot.org/uniprot/Q8BGA9", "Q8BGA9")</f>
        <v>Q8BGA9</v>
      </c>
      <c r="M3376" t="s">
        <v>37825</v>
      </c>
      <c r="N3376" t="str">
        <f>"Oxa1l"</f>
        <v>Oxa1l</v>
      </c>
      <c r="O3376" s="3" t="str">
        <f>HYPERLINK("http://www.informatics.jax.org/marker/MGI:1916339", "MGI:1916339")</f>
        <v>MGI:1916339</v>
      </c>
      <c r="P3376" t="s">
        <v>18075</v>
      </c>
      <c r="Q3376" t="s">
        <v>32</v>
      </c>
      <c r="R3376" t="s">
        <v>3858</v>
      </c>
      <c r="S3376" t="s">
        <v>32</v>
      </c>
      <c r="T3376" t="s">
        <v>32</v>
      </c>
      <c r="U3376" t="s">
        <v>32</v>
      </c>
      <c r="V3376" t="s">
        <v>3859</v>
      </c>
      <c r="W3376" t="s">
        <v>32</v>
      </c>
      <c r="X3376" t="s">
        <v>32</v>
      </c>
      <c r="Y3376" t="s">
        <v>618</v>
      </c>
      <c r="Z3376" t="s">
        <v>32</v>
      </c>
      <c r="AA3376" t="s">
        <v>37826</v>
      </c>
      <c r="AB3376" t="s">
        <v>37827</v>
      </c>
      <c r="AC3376" t="s">
        <v>37828</v>
      </c>
      <c r="AD3376" t="s">
        <v>32</v>
      </c>
      <c r="AE3376" t="s">
        <v>17271</v>
      </c>
      <c r="AF3376" t="s">
        <v>46835</v>
      </c>
    </row>
    <row r="3377" spans="1:32" x14ac:dyDescent="0.2">
      <c r="A3377">
        <v>3372</v>
      </c>
      <c r="B3377" t="s">
        <v>37829</v>
      </c>
      <c r="C3377" t="s">
        <v>37830</v>
      </c>
      <c r="D3377" t="s">
        <v>37831</v>
      </c>
      <c r="E3377" t="s">
        <v>37832</v>
      </c>
      <c r="F3377" t="s">
        <v>37833</v>
      </c>
      <c r="G3377" t="s">
        <v>32</v>
      </c>
      <c r="H3377" t="str">
        <f>"Slc16a1"</f>
        <v>Slc16a1</v>
      </c>
      <c r="I3377" t="s">
        <v>37834</v>
      </c>
      <c r="J3377" t="s">
        <v>37</v>
      </c>
      <c r="K3377">
        <v>10090</v>
      </c>
      <c r="L3377" s="3" t="str">
        <f>HYPERLINK("http://www.uniprot.org/uniprot/P53986", "P53986")</f>
        <v>P53986</v>
      </c>
      <c r="M3377" t="s">
        <v>37835</v>
      </c>
      <c r="N3377" t="str">
        <f>"Slc16a1"</f>
        <v>Slc16a1</v>
      </c>
      <c r="O3377" s="3" t="str">
        <f>HYPERLINK("http://www.informatics.jax.org/marker/MGI:106013", "MGI:106013")</f>
        <v>MGI:106013</v>
      </c>
      <c r="P3377" t="s">
        <v>22301</v>
      </c>
      <c r="Q3377" t="s">
        <v>6165</v>
      </c>
      <c r="R3377" t="s">
        <v>2474</v>
      </c>
      <c r="S3377" t="s">
        <v>32</v>
      </c>
      <c r="T3377" t="s">
        <v>32</v>
      </c>
      <c r="U3377" t="s">
        <v>32</v>
      </c>
      <c r="V3377" t="s">
        <v>493</v>
      </c>
      <c r="W3377" t="s">
        <v>32</v>
      </c>
      <c r="X3377" t="s">
        <v>32</v>
      </c>
      <c r="Y3377" t="s">
        <v>618</v>
      </c>
      <c r="Z3377" t="s">
        <v>32</v>
      </c>
      <c r="AA3377" t="s">
        <v>37836</v>
      </c>
      <c r="AB3377" t="s">
        <v>37837</v>
      </c>
      <c r="AC3377" t="s">
        <v>37838</v>
      </c>
      <c r="AD3377" t="s">
        <v>32</v>
      </c>
      <c r="AE3377" t="s">
        <v>32</v>
      </c>
      <c r="AF3377" t="s">
        <v>46835</v>
      </c>
    </row>
    <row r="3378" spans="1:32" x14ac:dyDescent="0.2">
      <c r="A3378">
        <v>3373</v>
      </c>
      <c r="B3378" t="s">
        <v>37839</v>
      </c>
      <c r="C3378" t="s">
        <v>37840</v>
      </c>
      <c r="D3378" t="s">
        <v>37841</v>
      </c>
      <c r="E3378" t="s">
        <v>37842</v>
      </c>
      <c r="F3378" t="s">
        <v>37843</v>
      </c>
      <c r="G3378" t="s">
        <v>37844</v>
      </c>
      <c r="H3378" t="str">
        <f>"Setdb1"</f>
        <v>Setdb1</v>
      </c>
      <c r="I3378" t="s">
        <v>32</v>
      </c>
      <c r="J3378" t="s">
        <v>37</v>
      </c>
      <c r="K3378">
        <v>10090</v>
      </c>
      <c r="L3378" s="3" t="str">
        <f>HYPERLINK("http://www.uniprot.org/uniprot/O88974", "O88974")</f>
        <v>O88974</v>
      </c>
      <c r="M3378" t="s">
        <v>37845</v>
      </c>
      <c r="N3378" t="str">
        <f>"Setdb1"</f>
        <v>Setdb1</v>
      </c>
      <c r="O3378" s="3" t="str">
        <f>HYPERLINK("http://www.informatics.jax.org/marker/MGI:1934229", "MGI:1934229")</f>
        <v>MGI:1934229</v>
      </c>
      <c r="P3378" t="s">
        <v>37846</v>
      </c>
      <c r="Q3378" t="s">
        <v>4152</v>
      </c>
      <c r="R3378" t="s">
        <v>1939</v>
      </c>
      <c r="S3378" t="s">
        <v>41</v>
      </c>
      <c r="T3378" t="s">
        <v>32</v>
      </c>
      <c r="U3378" t="s">
        <v>32</v>
      </c>
      <c r="V3378" t="s">
        <v>137</v>
      </c>
      <c r="W3378" t="s">
        <v>15120</v>
      </c>
      <c r="X3378" t="s">
        <v>9393</v>
      </c>
      <c r="Y3378" t="s">
        <v>2192</v>
      </c>
      <c r="Z3378" t="s">
        <v>32</v>
      </c>
      <c r="AA3378" t="s">
        <v>37847</v>
      </c>
      <c r="AB3378" t="s">
        <v>37848</v>
      </c>
      <c r="AC3378" t="s">
        <v>37849</v>
      </c>
      <c r="AD3378" t="s">
        <v>32</v>
      </c>
      <c r="AE3378" t="s">
        <v>19097</v>
      </c>
      <c r="AF3378" t="s">
        <v>46835</v>
      </c>
    </row>
    <row r="3379" spans="1:32" x14ac:dyDescent="0.2">
      <c r="A3379">
        <v>3374</v>
      </c>
      <c r="B3379" t="s">
        <v>37850</v>
      </c>
      <c r="C3379" t="s">
        <v>37851</v>
      </c>
      <c r="D3379" t="s">
        <v>37852</v>
      </c>
      <c r="E3379" t="s">
        <v>37853</v>
      </c>
      <c r="F3379" t="s">
        <v>37854</v>
      </c>
      <c r="G3379" t="s">
        <v>32</v>
      </c>
      <c r="H3379" t="str">
        <f>"Chchd4"</f>
        <v>Chchd4</v>
      </c>
      <c r="I3379" t="s">
        <v>37855</v>
      </c>
      <c r="J3379" t="s">
        <v>37</v>
      </c>
      <c r="K3379">
        <v>10090</v>
      </c>
      <c r="L3379" s="3" t="str">
        <f>HYPERLINK("http://www.uniprot.org/uniprot/Q8VEA4", "Q8VEA4")</f>
        <v>Q8VEA4</v>
      </c>
      <c r="M3379" t="s">
        <v>37856</v>
      </c>
      <c r="N3379" t="str">
        <f>"Chchd4"</f>
        <v>Chchd4</v>
      </c>
      <c r="O3379" s="3" t="str">
        <f>HYPERLINK("http://www.informatics.jax.org/marker/MGI:1919420", "MGI:1919420")</f>
        <v>MGI:1919420</v>
      </c>
      <c r="P3379" t="s">
        <v>37857</v>
      </c>
      <c r="Q3379" t="s">
        <v>4270</v>
      </c>
      <c r="R3379" t="s">
        <v>1038</v>
      </c>
      <c r="S3379" t="s">
        <v>32</v>
      </c>
      <c r="T3379" t="s">
        <v>32</v>
      </c>
      <c r="U3379" t="s">
        <v>32</v>
      </c>
      <c r="V3379" t="s">
        <v>1090</v>
      </c>
      <c r="W3379" t="s">
        <v>32</v>
      </c>
      <c r="X3379" t="s">
        <v>600</v>
      </c>
      <c r="Y3379" t="s">
        <v>494</v>
      </c>
      <c r="Z3379" t="s">
        <v>32</v>
      </c>
      <c r="AA3379" t="s">
        <v>37858</v>
      </c>
      <c r="AB3379" t="s">
        <v>26152</v>
      </c>
      <c r="AC3379" t="s">
        <v>37859</v>
      </c>
      <c r="AD3379" t="s">
        <v>32</v>
      </c>
      <c r="AE3379" t="s">
        <v>32</v>
      </c>
      <c r="AF3379" t="s">
        <v>46835</v>
      </c>
    </row>
    <row r="3380" spans="1:32" x14ac:dyDescent="0.2">
      <c r="A3380">
        <v>3375</v>
      </c>
      <c r="B3380" t="s">
        <v>37860</v>
      </c>
      <c r="C3380" t="s">
        <v>37861</v>
      </c>
      <c r="D3380" t="s">
        <v>37862</v>
      </c>
      <c r="E3380" t="s">
        <v>37863</v>
      </c>
      <c r="F3380" t="s">
        <v>37864</v>
      </c>
      <c r="G3380" t="s">
        <v>37865</v>
      </c>
      <c r="H3380" t="str">
        <f>"Frg1"</f>
        <v>Frg1</v>
      </c>
      <c r="I3380" t="s">
        <v>32</v>
      </c>
      <c r="J3380" t="s">
        <v>37</v>
      </c>
      <c r="K3380">
        <v>10090</v>
      </c>
      <c r="L3380" s="3" t="str">
        <f>HYPERLINK("http://www.uniprot.org/uniprot/P97376", "P97376")</f>
        <v>P97376</v>
      </c>
      <c r="M3380" t="s">
        <v>37866</v>
      </c>
      <c r="N3380" t="str">
        <f>"Frg1"</f>
        <v>Frg1</v>
      </c>
      <c r="O3380" s="3" t="str">
        <f>HYPERLINK("http://www.informatics.jax.org/marker/MGI:893597", "MGI:893597")</f>
        <v>MGI:893597</v>
      </c>
      <c r="P3380" t="s">
        <v>37867</v>
      </c>
      <c r="Q3380" t="s">
        <v>37868</v>
      </c>
      <c r="R3380" t="s">
        <v>2219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37869</v>
      </c>
      <c r="Y3380" t="s">
        <v>32</v>
      </c>
      <c r="Z3380" t="s">
        <v>126</v>
      </c>
      <c r="AA3380" t="s">
        <v>37870</v>
      </c>
      <c r="AB3380" t="s">
        <v>37871</v>
      </c>
      <c r="AC3380" t="s">
        <v>37872</v>
      </c>
      <c r="AD3380" t="s">
        <v>32</v>
      </c>
      <c r="AE3380" t="s">
        <v>32</v>
      </c>
      <c r="AF3380" t="s">
        <v>46835</v>
      </c>
    </row>
    <row r="3381" spans="1:32" x14ac:dyDescent="0.2">
      <c r="A3381">
        <v>3376</v>
      </c>
      <c r="B3381" t="s">
        <v>37873</v>
      </c>
      <c r="C3381" t="s">
        <v>37874</v>
      </c>
      <c r="D3381" t="s">
        <v>37875</v>
      </c>
      <c r="E3381" t="s">
        <v>37876</v>
      </c>
      <c r="F3381" t="s">
        <v>37877</v>
      </c>
      <c r="G3381" t="s">
        <v>37878</v>
      </c>
      <c r="H3381" t="str">
        <f>"Sbf1"</f>
        <v>Sbf1</v>
      </c>
      <c r="I3381" t="s">
        <v>37879</v>
      </c>
      <c r="J3381" t="s">
        <v>37</v>
      </c>
      <c r="K3381">
        <v>10090</v>
      </c>
      <c r="L3381" s="3" t="str">
        <f>HYPERLINK("http://www.uniprot.org/uniprot/Q6ZPE2", "Q6ZPE2")</f>
        <v>Q6ZPE2</v>
      </c>
      <c r="M3381" t="s">
        <v>37880</v>
      </c>
      <c r="N3381" t="str">
        <f>"Sbf1"</f>
        <v>Sbf1</v>
      </c>
      <c r="O3381" s="3" t="str">
        <f>HYPERLINK("http://www.informatics.jax.org/marker/MGI:1925230", "MGI:1925230")</f>
        <v>MGI:1925230</v>
      </c>
      <c r="P3381" t="s">
        <v>37881</v>
      </c>
      <c r="Q3381" t="s">
        <v>32</v>
      </c>
      <c r="R3381" t="s">
        <v>418</v>
      </c>
      <c r="S3381" t="s">
        <v>41</v>
      </c>
      <c r="T3381" t="s">
        <v>32</v>
      </c>
      <c r="U3381" t="s">
        <v>32</v>
      </c>
      <c r="V3381" t="s">
        <v>32</v>
      </c>
      <c r="W3381" t="s">
        <v>32</v>
      </c>
      <c r="X3381" t="s">
        <v>5011</v>
      </c>
      <c r="Y3381" t="s">
        <v>2734</v>
      </c>
      <c r="Z3381" t="s">
        <v>126</v>
      </c>
      <c r="AA3381" t="s">
        <v>37882</v>
      </c>
      <c r="AB3381" t="s">
        <v>37883</v>
      </c>
      <c r="AC3381" t="s">
        <v>37884</v>
      </c>
      <c r="AD3381" t="s">
        <v>32</v>
      </c>
      <c r="AE3381" t="s">
        <v>37885</v>
      </c>
      <c r="AF3381" t="s">
        <v>46835</v>
      </c>
    </row>
    <row r="3382" spans="1:32" x14ac:dyDescent="0.2">
      <c r="A3382">
        <v>3377</v>
      </c>
      <c r="B3382" t="s">
        <v>37886</v>
      </c>
      <c r="C3382" t="s">
        <v>37887</v>
      </c>
      <c r="D3382" t="s">
        <v>32</v>
      </c>
      <c r="E3382" t="s">
        <v>37888</v>
      </c>
      <c r="F3382" t="s">
        <v>37889</v>
      </c>
      <c r="G3382" t="s">
        <v>37890</v>
      </c>
      <c r="H3382" t="str">
        <f>"Pdcd2l"</f>
        <v>Pdcd2l</v>
      </c>
      <c r="I3382" t="s">
        <v>32</v>
      </c>
      <c r="J3382" t="s">
        <v>37</v>
      </c>
      <c r="K3382">
        <v>10090</v>
      </c>
      <c r="L3382" s="3" t="str">
        <f>HYPERLINK("http://www.uniprot.org/uniprot/Q8C5N5", "Q8C5N5")</f>
        <v>Q8C5N5</v>
      </c>
      <c r="M3382" t="s">
        <v>37891</v>
      </c>
      <c r="N3382" t="str">
        <f>"Pdcd2l"</f>
        <v>Pdcd2l</v>
      </c>
      <c r="O3382" s="3" t="str">
        <f>HYPERLINK("http://www.informatics.jax.org/marker/MGI:1915329", "MGI:1915329")</f>
        <v>MGI:1915329</v>
      </c>
      <c r="P3382" t="s">
        <v>37892</v>
      </c>
      <c r="Q3382" t="s">
        <v>9824</v>
      </c>
      <c r="R3382" t="s">
        <v>32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32</v>
      </c>
      <c r="Y3382" t="s">
        <v>78</v>
      </c>
      <c r="Z3382" t="s">
        <v>32</v>
      </c>
      <c r="AA3382" t="s">
        <v>37893</v>
      </c>
      <c r="AB3382" t="s">
        <v>2172</v>
      </c>
      <c r="AC3382" t="s">
        <v>32</v>
      </c>
      <c r="AD3382" t="s">
        <v>32</v>
      </c>
      <c r="AE3382" t="s">
        <v>32</v>
      </c>
      <c r="AF3382" t="s">
        <v>46835</v>
      </c>
    </row>
    <row r="3383" spans="1:32" x14ac:dyDescent="0.2">
      <c r="A3383">
        <v>3378</v>
      </c>
      <c r="B3383" t="s">
        <v>37894</v>
      </c>
      <c r="C3383" t="s">
        <v>37895</v>
      </c>
      <c r="D3383" t="s">
        <v>37896</v>
      </c>
      <c r="E3383" t="s">
        <v>37897</v>
      </c>
      <c r="F3383" t="s">
        <v>37898</v>
      </c>
      <c r="G3383" t="s">
        <v>37899</v>
      </c>
      <c r="H3383" t="str">
        <f>"Stk25"</f>
        <v>Stk25</v>
      </c>
      <c r="I3383" t="s">
        <v>37900</v>
      </c>
      <c r="J3383" t="s">
        <v>37</v>
      </c>
      <c r="K3383">
        <v>10090</v>
      </c>
      <c r="L3383" s="3" t="str">
        <f>HYPERLINK("http://www.uniprot.org/uniprot/Q9Z2W1", "Q9Z2W1")</f>
        <v>Q9Z2W1</v>
      </c>
      <c r="M3383" t="s">
        <v>37901</v>
      </c>
      <c r="N3383" t="str">
        <f>"Stk25"</f>
        <v>Stk25</v>
      </c>
      <c r="O3383" s="3" t="str">
        <f>HYPERLINK("http://www.informatics.jax.org/marker/MGI:1891699", "MGI:1891699")</f>
        <v>MGI:1891699</v>
      </c>
      <c r="P3383" t="s">
        <v>37902</v>
      </c>
      <c r="Q3383" t="s">
        <v>32</v>
      </c>
      <c r="R3383" t="s">
        <v>8179</v>
      </c>
      <c r="S3383" t="s">
        <v>32</v>
      </c>
      <c r="T3383" t="s">
        <v>32</v>
      </c>
      <c r="U3383" t="s">
        <v>32</v>
      </c>
      <c r="V3383" t="s">
        <v>32</v>
      </c>
      <c r="W3383" t="s">
        <v>1266</v>
      </c>
      <c r="X3383" t="s">
        <v>5419</v>
      </c>
      <c r="Y3383" t="s">
        <v>618</v>
      </c>
      <c r="Z3383" t="s">
        <v>32</v>
      </c>
      <c r="AA3383" t="s">
        <v>37903</v>
      </c>
      <c r="AB3383" t="s">
        <v>37904</v>
      </c>
      <c r="AC3383" t="s">
        <v>37905</v>
      </c>
      <c r="AD3383" t="s">
        <v>32</v>
      </c>
      <c r="AE3383" t="s">
        <v>32</v>
      </c>
      <c r="AF3383" t="s">
        <v>46835</v>
      </c>
    </row>
    <row r="3384" spans="1:32" x14ac:dyDescent="0.2">
      <c r="A3384">
        <v>3379</v>
      </c>
      <c r="B3384" t="s">
        <v>37906</v>
      </c>
      <c r="C3384" t="s">
        <v>37907</v>
      </c>
      <c r="D3384" t="s">
        <v>32</v>
      </c>
      <c r="E3384" t="s">
        <v>37908</v>
      </c>
      <c r="F3384" t="s">
        <v>37909</v>
      </c>
      <c r="G3384" t="s">
        <v>32</v>
      </c>
      <c r="H3384" t="str">
        <f>"Timm29"</f>
        <v>Timm29</v>
      </c>
      <c r="I3384" t="s">
        <v>32</v>
      </c>
      <c r="J3384" t="s">
        <v>37</v>
      </c>
      <c r="K3384">
        <v>10090</v>
      </c>
      <c r="L3384" s="3" t="str">
        <f>HYPERLINK("http://www.uniprot.org/uniprot/Q8BGX2", "Q8BGX2")</f>
        <v>Q8BGX2</v>
      </c>
      <c r="M3384" t="s">
        <v>37910</v>
      </c>
      <c r="N3384" t="str">
        <f>"Timm29"</f>
        <v>Timm29</v>
      </c>
      <c r="O3384" s="3" t="str">
        <f>HYPERLINK("http://www.informatics.jax.org/marker/MGI:1917023", "MGI:1917023")</f>
        <v>MGI:1917023</v>
      </c>
      <c r="P3384" t="s">
        <v>37911</v>
      </c>
      <c r="Q3384" t="s">
        <v>4270</v>
      </c>
      <c r="R3384" t="s">
        <v>3858</v>
      </c>
      <c r="S3384" t="s">
        <v>32</v>
      </c>
      <c r="T3384" t="s">
        <v>32</v>
      </c>
      <c r="U3384" t="s">
        <v>32</v>
      </c>
      <c r="V3384" t="s">
        <v>3859</v>
      </c>
      <c r="W3384" t="s">
        <v>32</v>
      </c>
      <c r="X3384" t="s">
        <v>32</v>
      </c>
      <c r="Y3384" t="s">
        <v>32</v>
      </c>
      <c r="Z3384" t="s">
        <v>32</v>
      </c>
      <c r="AA3384" t="s">
        <v>19019</v>
      </c>
      <c r="AB3384" t="s">
        <v>37912</v>
      </c>
      <c r="AC3384" t="s">
        <v>37913</v>
      </c>
      <c r="AD3384" t="s">
        <v>32</v>
      </c>
      <c r="AE3384" t="s">
        <v>32</v>
      </c>
      <c r="AF3384" t="s">
        <v>46835</v>
      </c>
    </row>
    <row r="3385" spans="1:32" x14ac:dyDescent="0.2">
      <c r="A3385">
        <v>3380</v>
      </c>
      <c r="B3385" t="s">
        <v>37914</v>
      </c>
      <c r="C3385" t="s">
        <v>37915</v>
      </c>
      <c r="D3385" t="s">
        <v>32</v>
      </c>
      <c r="E3385" t="s">
        <v>37916</v>
      </c>
      <c r="F3385" t="s">
        <v>37917</v>
      </c>
      <c r="G3385" t="s">
        <v>37918</v>
      </c>
      <c r="H3385" t="str">
        <f>"Tex2"</f>
        <v>Tex2</v>
      </c>
      <c r="I3385" t="s">
        <v>37919</v>
      </c>
      <c r="J3385" t="s">
        <v>37</v>
      </c>
      <c r="K3385">
        <v>10090</v>
      </c>
      <c r="L3385" s="3" t="str">
        <f>HYPERLINK("http://www.uniprot.org/uniprot/Q6ZPJ0", "Q6ZPJ0")</f>
        <v>Q6ZPJ0</v>
      </c>
      <c r="M3385" t="s">
        <v>37920</v>
      </c>
      <c r="N3385" t="str">
        <f>"Tex2"</f>
        <v>Tex2</v>
      </c>
      <c r="O3385" s="3" t="str">
        <f>HYPERLINK("http://www.informatics.jax.org/marker/MGI:102465", "MGI:102465")</f>
        <v>MGI:102465</v>
      </c>
      <c r="P3385" t="s">
        <v>37921</v>
      </c>
      <c r="Q3385" t="s">
        <v>582</v>
      </c>
      <c r="R3385" t="s">
        <v>17568</v>
      </c>
      <c r="S3385" t="s">
        <v>32</v>
      </c>
      <c r="T3385" t="s">
        <v>32</v>
      </c>
      <c r="U3385" t="s">
        <v>32</v>
      </c>
      <c r="V3385" t="s">
        <v>493</v>
      </c>
      <c r="W3385" t="s">
        <v>584</v>
      </c>
      <c r="X3385" t="s">
        <v>32</v>
      </c>
      <c r="Y3385" t="s">
        <v>4720</v>
      </c>
      <c r="Z3385" t="s">
        <v>32</v>
      </c>
      <c r="AA3385" t="s">
        <v>37922</v>
      </c>
      <c r="AB3385" t="s">
        <v>37923</v>
      </c>
      <c r="AC3385" t="s">
        <v>37924</v>
      </c>
      <c r="AD3385" t="s">
        <v>32</v>
      </c>
      <c r="AE3385" t="s">
        <v>29726</v>
      </c>
      <c r="AF3385" t="s">
        <v>46835</v>
      </c>
    </row>
    <row r="3386" spans="1:32" x14ac:dyDescent="0.2">
      <c r="A3386">
        <v>3381</v>
      </c>
      <c r="B3386" t="s">
        <v>37925</v>
      </c>
      <c r="C3386" t="s">
        <v>37926</v>
      </c>
      <c r="D3386" t="s">
        <v>32</v>
      </c>
      <c r="E3386" t="s">
        <v>37927</v>
      </c>
      <c r="F3386" t="s">
        <v>37928</v>
      </c>
      <c r="G3386" t="s">
        <v>37929</v>
      </c>
      <c r="H3386" t="str">
        <f>"Rpap1"</f>
        <v>Rpap1</v>
      </c>
      <c r="I3386" t="s">
        <v>37930</v>
      </c>
      <c r="J3386" t="s">
        <v>37</v>
      </c>
      <c r="K3386">
        <v>10090</v>
      </c>
      <c r="L3386" s="3" t="str">
        <f>HYPERLINK("http://www.uniprot.org/uniprot/Q80TE0", "Q80TE0")</f>
        <v>Q80TE0</v>
      </c>
      <c r="M3386" t="s">
        <v>37931</v>
      </c>
      <c r="N3386" t="str">
        <f>"Rpap1"</f>
        <v>Rpap1</v>
      </c>
      <c r="O3386" s="3" t="str">
        <f>HYPERLINK("http://www.informatics.jax.org/marker/MGI:1916175", "MGI:1916175")</f>
        <v>MGI:1916175</v>
      </c>
      <c r="P3386" t="s">
        <v>37932</v>
      </c>
      <c r="Q3386" t="s">
        <v>16415</v>
      </c>
      <c r="R3386" t="s">
        <v>19800</v>
      </c>
      <c r="S3386" t="s">
        <v>41</v>
      </c>
      <c r="T3386" t="s">
        <v>32</v>
      </c>
      <c r="U3386" t="s">
        <v>32</v>
      </c>
      <c r="V3386" t="s">
        <v>32</v>
      </c>
      <c r="W3386" t="s">
        <v>32</v>
      </c>
      <c r="X3386" t="s">
        <v>16418</v>
      </c>
      <c r="Y3386" t="s">
        <v>618</v>
      </c>
      <c r="Z3386" t="s">
        <v>32</v>
      </c>
      <c r="AA3386" t="s">
        <v>20776</v>
      </c>
      <c r="AB3386" t="s">
        <v>37933</v>
      </c>
      <c r="AC3386" t="s">
        <v>37934</v>
      </c>
      <c r="AD3386" t="s">
        <v>32</v>
      </c>
      <c r="AE3386" t="s">
        <v>32</v>
      </c>
      <c r="AF3386" t="s">
        <v>46835</v>
      </c>
    </row>
    <row r="3387" spans="1:32" x14ac:dyDescent="0.2">
      <c r="A3387">
        <v>3382</v>
      </c>
      <c r="B3387" t="s">
        <v>37935</v>
      </c>
      <c r="C3387" t="s">
        <v>37936</v>
      </c>
      <c r="D3387" t="s">
        <v>32</v>
      </c>
      <c r="E3387" t="s">
        <v>37937</v>
      </c>
      <c r="F3387" t="s">
        <v>37938</v>
      </c>
      <c r="G3387" t="s">
        <v>37939</v>
      </c>
      <c r="H3387" t="str">
        <f>"N4bp1"</f>
        <v>N4bp1</v>
      </c>
      <c r="I3387" t="s">
        <v>32</v>
      </c>
      <c r="J3387" t="s">
        <v>37</v>
      </c>
      <c r="K3387">
        <v>10090</v>
      </c>
      <c r="L3387" s="3" t="str">
        <f>HYPERLINK("http://www.uniprot.org/uniprot/Q6A037", "Q6A037")</f>
        <v>Q6A037</v>
      </c>
      <c r="M3387" t="s">
        <v>37940</v>
      </c>
      <c r="N3387" t="str">
        <f>"N4bp1"</f>
        <v>N4bp1</v>
      </c>
      <c r="O3387" s="3" t="str">
        <f>HYPERLINK("http://www.informatics.jax.org/marker/MGI:2136825", "MGI:2136825")</f>
        <v>MGI:2136825</v>
      </c>
      <c r="P3387" t="s">
        <v>37941</v>
      </c>
      <c r="Q3387" t="s">
        <v>5475</v>
      </c>
      <c r="R3387" t="s">
        <v>40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37942</v>
      </c>
      <c r="Y3387" t="s">
        <v>2836</v>
      </c>
      <c r="Z3387" t="s">
        <v>32</v>
      </c>
      <c r="AA3387" t="s">
        <v>37943</v>
      </c>
      <c r="AB3387" t="s">
        <v>37944</v>
      </c>
      <c r="AC3387" t="s">
        <v>37945</v>
      </c>
      <c r="AD3387" t="s">
        <v>32</v>
      </c>
      <c r="AE3387" t="s">
        <v>37946</v>
      </c>
      <c r="AF3387" t="s">
        <v>46835</v>
      </c>
    </row>
    <row r="3388" spans="1:32" x14ac:dyDescent="0.2">
      <c r="A3388">
        <v>3383</v>
      </c>
      <c r="B3388" t="s">
        <v>37947</v>
      </c>
      <c r="C3388" t="s">
        <v>37948</v>
      </c>
      <c r="D3388" t="s">
        <v>32</v>
      </c>
      <c r="E3388" t="s">
        <v>37949</v>
      </c>
      <c r="F3388" t="s">
        <v>37950</v>
      </c>
      <c r="G3388" t="s">
        <v>37951</v>
      </c>
      <c r="H3388" t="str">
        <f>"Gng12"</f>
        <v>Gng12</v>
      </c>
      <c r="I3388" t="s">
        <v>32</v>
      </c>
      <c r="J3388" t="s">
        <v>37</v>
      </c>
      <c r="K3388">
        <v>10090</v>
      </c>
      <c r="L3388" s="3" t="str">
        <f>HYPERLINK("http://www.uniprot.org/uniprot/Q9DAS9", "Q9DAS9")</f>
        <v>Q9DAS9</v>
      </c>
      <c r="M3388" t="s">
        <v>37952</v>
      </c>
      <c r="N3388" t="str">
        <f>"Gng12"</f>
        <v>Gng12</v>
      </c>
      <c r="O3388" s="3" t="str">
        <f>HYPERLINK("http://www.informatics.jax.org/marker/MGI:1336171", "MGI:1336171")</f>
        <v>MGI:1336171</v>
      </c>
      <c r="P3388" t="s">
        <v>11968</v>
      </c>
      <c r="Q3388" t="s">
        <v>32</v>
      </c>
      <c r="R3388" t="s">
        <v>2474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10391</v>
      </c>
      <c r="Y3388" t="s">
        <v>7985</v>
      </c>
      <c r="Z3388" t="s">
        <v>32</v>
      </c>
      <c r="AA3388" t="s">
        <v>37953</v>
      </c>
      <c r="AB3388" t="s">
        <v>37954</v>
      </c>
      <c r="AC3388" t="s">
        <v>37955</v>
      </c>
      <c r="AD3388" t="s">
        <v>32</v>
      </c>
      <c r="AE3388" t="s">
        <v>11972</v>
      </c>
      <c r="AF3388" t="s">
        <v>46835</v>
      </c>
    </row>
    <row r="3389" spans="1:32" x14ac:dyDescent="0.2">
      <c r="A3389">
        <v>3384</v>
      </c>
      <c r="B3389" t="s">
        <v>37956</v>
      </c>
      <c r="C3389" t="s">
        <v>37957</v>
      </c>
      <c r="D3389" t="s">
        <v>37958</v>
      </c>
      <c r="E3389" t="s">
        <v>37959</v>
      </c>
      <c r="F3389" t="s">
        <v>37960</v>
      </c>
      <c r="G3389" t="s">
        <v>37961</v>
      </c>
      <c r="H3389" t="str">
        <f>"Ampd2"</f>
        <v>Ampd2</v>
      </c>
      <c r="I3389" t="s">
        <v>32</v>
      </c>
      <c r="J3389" t="s">
        <v>37</v>
      </c>
      <c r="K3389">
        <v>10090</v>
      </c>
      <c r="L3389" s="3" t="str">
        <f>HYPERLINK("http://www.uniprot.org/uniprot/Q9DBT5", "Q9DBT5")</f>
        <v>Q9DBT5</v>
      </c>
      <c r="M3389" t="s">
        <v>37962</v>
      </c>
      <c r="N3389" t="str">
        <f>"Ampd2"</f>
        <v>Ampd2</v>
      </c>
      <c r="O3389" s="3" t="str">
        <f>HYPERLINK("http://www.informatics.jax.org/marker/MGI:88016", "MGI:88016")</f>
        <v>MGI:88016</v>
      </c>
      <c r="P3389" t="s">
        <v>37963</v>
      </c>
      <c r="Q3389" t="s">
        <v>7123</v>
      </c>
      <c r="R3389" t="s">
        <v>32</v>
      </c>
      <c r="S3389" t="s">
        <v>32</v>
      </c>
      <c r="T3389" t="s">
        <v>32</v>
      </c>
      <c r="U3389" t="s">
        <v>32</v>
      </c>
      <c r="V3389" t="s">
        <v>32</v>
      </c>
      <c r="W3389" t="s">
        <v>42</v>
      </c>
      <c r="X3389" t="s">
        <v>343</v>
      </c>
      <c r="Y3389" t="s">
        <v>2734</v>
      </c>
      <c r="Z3389" t="s">
        <v>32</v>
      </c>
      <c r="AA3389" t="s">
        <v>37964</v>
      </c>
      <c r="AB3389" t="s">
        <v>1268</v>
      </c>
      <c r="AC3389" t="s">
        <v>37965</v>
      </c>
      <c r="AD3389" t="s">
        <v>37966</v>
      </c>
      <c r="AE3389" t="s">
        <v>10568</v>
      </c>
      <c r="AF3389" t="s">
        <v>46835</v>
      </c>
    </row>
    <row r="3390" spans="1:32" x14ac:dyDescent="0.2">
      <c r="A3390">
        <v>3385</v>
      </c>
      <c r="B3390" t="s">
        <v>37967</v>
      </c>
      <c r="C3390" t="s">
        <v>37968</v>
      </c>
      <c r="D3390" t="s">
        <v>32</v>
      </c>
      <c r="E3390" t="s">
        <v>37969</v>
      </c>
      <c r="F3390" t="s">
        <v>37970</v>
      </c>
      <c r="G3390" t="s">
        <v>37971</v>
      </c>
      <c r="H3390" t="str">
        <f>"Pi4ka"</f>
        <v>Pi4ka</v>
      </c>
      <c r="I3390" t="s">
        <v>37972</v>
      </c>
      <c r="J3390" t="s">
        <v>37</v>
      </c>
      <c r="K3390">
        <v>10090</v>
      </c>
      <c r="L3390" s="3" t="str">
        <f>HYPERLINK("http://www.uniprot.org/uniprot/E9Q3L2", "E9Q3L2")</f>
        <v>E9Q3L2</v>
      </c>
      <c r="M3390" t="s">
        <v>37973</v>
      </c>
      <c r="N3390" t="str">
        <f>"Pi4ka"</f>
        <v>Pi4ka</v>
      </c>
      <c r="O3390" s="3" t="str">
        <f>HYPERLINK("http://www.informatics.jax.org/marker/MGI:2448506", "MGI:2448506")</f>
        <v>MGI:2448506</v>
      </c>
      <c r="P3390" t="s">
        <v>37974</v>
      </c>
      <c r="Q3390" t="s">
        <v>598</v>
      </c>
      <c r="R3390" t="s">
        <v>222</v>
      </c>
      <c r="S3390" t="s">
        <v>32</v>
      </c>
      <c r="T3390" t="s">
        <v>32</v>
      </c>
      <c r="U3390" t="s">
        <v>32</v>
      </c>
      <c r="V3390" t="s">
        <v>32</v>
      </c>
      <c r="W3390" t="s">
        <v>205</v>
      </c>
      <c r="X3390" t="s">
        <v>419</v>
      </c>
      <c r="Y3390" t="s">
        <v>618</v>
      </c>
      <c r="Z3390" t="s">
        <v>32</v>
      </c>
      <c r="AA3390" t="s">
        <v>37975</v>
      </c>
      <c r="AB3390" t="s">
        <v>37976</v>
      </c>
      <c r="AC3390" t="s">
        <v>37977</v>
      </c>
      <c r="AD3390" t="s">
        <v>32</v>
      </c>
      <c r="AE3390" t="s">
        <v>17952</v>
      </c>
      <c r="AF3390" t="s">
        <v>46835</v>
      </c>
    </row>
    <row r="3391" spans="1:32" x14ac:dyDescent="0.2">
      <c r="A3391">
        <v>3386</v>
      </c>
      <c r="B3391" t="s">
        <v>37978</v>
      </c>
      <c r="C3391" t="s">
        <v>37979</v>
      </c>
      <c r="D3391" t="s">
        <v>37980</v>
      </c>
      <c r="E3391" t="s">
        <v>37981</v>
      </c>
      <c r="F3391" t="s">
        <v>37982</v>
      </c>
      <c r="G3391" t="s">
        <v>37983</v>
      </c>
      <c r="H3391" t="str">
        <f>"C2cd2l"</f>
        <v>C2cd2l</v>
      </c>
      <c r="I3391" t="s">
        <v>32</v>
      </c>
      <c r="J3391" t="s">
        <v>37</v>
      </c>
      <c r="K3391">
        <v>10090</v>
      </c>
      <c r="L3391" s="3" t="str">
        <f>HYPERLINK("http://www.uniprot.org/uniprot/Q80X80", "Q80X80")</f>
        <v>Q80X80</v>
      </c>
      <c r="M3391" t="s">
        <v>37984</v>
      </c>
      <c r="N3391" t="str">
        <f>"C2cd2l"</f>
        <v>C2cd2l</v>
      </c>
      <c r="O3391" s="3" t="str">
        <f>HYPERLINK("http://www.informatics.jax.org/marker/MGI:1919014", "MGI:1919014")</f>
        <v>MGI:1919014</v>
      </c>
      <c r="P3391" t="s">
        <v>37985</v>
      </c>
      <c r="Q3391" t="s">
        <v>582</v>
      </c>
      <c r="R3391" t="s">
        <v>1308</v>
      </c>
      <c r="S3391" t="s">
        <v>32</v>
      </c>
      <c r="T3391" t="s">
        <v>32</v>
      </c>
      <c r="U3391" t="s">
        <v>32</v>
      </c>
      <c r="V3391" t="s">
        <v>493</v>
      </c>
      <c r="W3391" t="s">
        <v>584</v>
      </c>
      <c r="X3391" t="s">
        <v>32</v>
      </c>
      <c r="Y3391" t="s">
        <v>618</v>
      </c>
      <c r="Z3391" t="s">
        <v>32</v>
      </c>
      <c r="AA3391" t="s">
        <v>37986</v>
      </c>
      <c r="AB3391" t="s">
        <v>37987</v>
      </c>
      <c r="AC3391" t="s">
        <v>37988</v>
      </c>
      <c r="AD3391" t="s">
        <v>32</v>
      </c>
      <c r="AE3391" t="s">
        <v>32</v>
      </c>
      <c r="AF3391" t="s">
        <v>46835</v>
      </c>
    </row>
    <row r="3392" spans="1:32" x14ac:dyDescent="0.2">
      <c r="A3392">
        <v>3387</v>
      </c>
      <c r="B3392" t="s">
        <v>37989</v>
      </c>
      <c r="C3392" t="s">
        <v>37990</v>
      </c>
      <c r="D3392" t="s">
        <v>37991</v>
      </c>
      <c r="E3392" t="s">
        <v>37992</v>
      </c>
      <c r="F3392" t="s">
        <v>37993</v>
      </c>
      <c r="G3392" t="s">
        <v>37994</v>
      </c>
      <c r="H3392" t="str">
        <f>"Smarcd1"</f>
        <v>Smarcd1</v>
      </c>
      <c r="I3392" t="s">
        <v>37995</v>
      </c>
      <c r="J3392" t="s">
        <v>37</v>
      </c>
      <c r="K3392">
        <v>10090</v>
      </c>
      <c r="L3392" s="3" t="str">
        <f>HYPERLINK("http://www.uniprot.org/uniprot/Q61466", "Q61466")</f>
        <v>Q61466</v>
      </c>
      <c r="M3392" t="s">
        <v>37996</v>
      </c>
      <c r="N3392" t="str">
        <f>"Smarcd1"</f>
        <v>Smarcd1</v>
      </c>
      <c r="O3392" s="3" t="str">
        <f>HYPERLINK("http://www.informatics.jax.org/marker/MGI:1933623", "MGI:1933623")</f>
        <v>MGI:1933623</v>
      </c>
      <c r="P3392" t="s">
        <v>37997</v>
      </c>
      <c r="Q3392" t="s">
        <v>1429</v>
      </c>
      <c r="R3392" t="s">
        <v>2279</v>
      </c>
      <c r="S3392" t="s">
        <v>32</v>
      </c>
      <c r="T3392" t="s">
        <v>32</v>
      </c>
      <c r="U3392" t="s">
        <v>32</v>
      </c>
      <c r="V3392" t="s">
        <v>290</v>
      </c>
      <c r="W3392" t="s">
        <v>32</v>
      </c>
      <c r="X3392" t="s">
        <v>9988</v>
      </c>
      <c r="Y3392" t="s">
        <v>207</v>
      </c>
      <c r="Z3392" t="s">
        <v>126</v>
      </c>
      <c r="AA3392" t="s">
        <v>37998</v>
      </c>
      <c r="AB3392" t="s">
        <v>37999</v>
      </c>
      <c r="AC3392" t="s">
        <v>38000</v>
      </c>
      <c r="AD3392" t="s">
        <v>32</v>
      </c>
      <c r="AE3392" t="s">
        <v>9992</v>
      </c>
      <c r="AF3392" t="s">
        <v>46835</v>
      </c>
    </row>
    <row r="3393" spans="1:33" x14ac:dyDescent="0.2">
      <c r="A3393">
        <v>3388</v>
      </c>
      <c r="B3393" t="s">
        <v>38001</v>
      </c>
      <c r="C3393" t="s">
        <v>47167</v>
      </c>
      <c r="D3393" t="s">
        <v>32</v>
      </c>
      <c r="E3393" t="s">
        <v>47024</v>
      </c>
      <c r="F3393" t="s">
        <v>47023</v>
      </c>
      <c r="G3393" t="s">
        <v>32</v>
      </c>
      <c r="H3393" t="s">
        <v>47298</v>
      </c>
      <c r="I3393" t="s">
        <v>32</v>
      </c>
      <c r="J3393" t="s">
        <v>37</v>
      </c>
      <c r="K3393">
        <v>10090</v>
      </c>
      <c r="L3393" s="3" t="str">
        <f>HYPERLINK(CONCATENATE("https://www.uniprot.org/uniprotkb/", AG3393, "/entry"), AG3393)</f>
        <v>J3QMC5</v>
      </c>
      <c r="M3393" t="s">
        <v>32</v>
      </c>
      <c r="N3393" t="s">
        <v>32</v>
      </c>
      <c r="O3393" s="3" t="s">
        <v>32</v>
      </c>
      <c r="P3393" t="s">
        <v>32</v>
      </c>
      <c r="Q3393" t="s">
        <v>32</v>
      </c>
      <c r="R3393" t="s">
        <v>32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32</v>
      </c>
      <c r="Y3393" t="s">
        <v>32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  <c r="AE3393" t="s">
        <v>32</v>
      </c>
      <c r="AF3393" t="s">
        <v>46835</v>
      </c>
      <c r="AG3393" t="s">
        <v>47023</v>
      </c>
    </row>
    <row r="3394" spans="1:33" x14ac:dyDescent="0.2">
      <c r="A3394">
        <v>3389</v>
      </c>
      <c r="B3394" t="s">
        <v>38002</v>
      </c>
      <c r="C3394" t="s">
        <v>38003</v>
      </c>
      <c r="D3394" t="s">
        <v>38004</v>
      </c>
      <c r="E3394" t="s">
        <v>38005</v>
      </c>
      <c r="F3394" t="s">
        <v>38006</v>
      </c>
      <c r="G3394" t="s">
        <v>38007</v>
      </c>
      <c r="H3394" t="str">
        <f>"Nbr1"</f>
        <v>Nbr1</v>
      </c>
      <c r="I3394" t="s">
        <v>38008</v>
      </c>
      <c r="J3394" t="s">
        <v>37</v>
      </c>
      <c r="K3394">
        <v>10090</v>
      </c>
      <c r="L3394" s="3" t="str">
        <f>HYPERLINK("http://www.uniprot.org/uniprot/P97432", "P97432")</f>
        <v>P97432</v>
      </c>
      <c r="M3394" t="s">
        <v>38009</v>
      </c>
      <c r="N3394" t="str">
        <f>"Nbr1"</f>
        <v>Nbr1</v>
      </c>
      <c r="O3394" s="3" t="str">
        <f>HYPERLINK("http://www.informatics.jax.org/marker/MGI:108498", "MGI:108498")</f>
        <v>MGI:108498</v>
      </c>
      <c r="P3394" t="s">
        <v>38010</v>
      </c>
      <c r="Q3394" t="s">
        <v>32</v>
      </c>
      <c r="R3394" t="s">
        <v>38011</v>
      </c>
      <c r="S3394" t="s">
        <v>32</v>
      </c>
      <c r="T3394" t="s">
        <v>32</v>
      </c>
      <c r="U3394" t="s">
        <v>32</v>
      </c>
      <c r="V3394" t="s">
        <v>446</v>
      </c>
      <c r="W3394" t="s">
        <v>42</v>
      </c>
      <c r="X3394" t="s">
        <v>32</v>
      </c>
      <c r="Y3394" t="s">
        <v>618</v>
      </c>
      <c r="Z3394" t="s">
        <v>32</v>
      </c>
      <c r="AA3394" t="s">
        <v>38012</v>
      </c>
      <c r="AB3394" t="s">
        <v>38013</v>
      </c>
      <c r="AC3394" t="s">
        <v>38014</v>
      </c>
      <c r="AD3394" t="s">
        <v>32</v>
      </c>
      <c r="AE3394" t="s">
        <v>38015</v>
      </c>
      <c r="AF3394" t="s">
        <v>46835</v>
      </c>
    </row>
    <row r="3395" spans="1:33" x14ac:dyDescent="0.2">
      <c r="A3395">
        <v>3390</v>
      </c>
      <c r="B3395" t="s">
        <v>38016</v>
      </c>
      <c r="C3395" t="s">
        <v>38017</v>
      </c>
      <c r="D3395" t="s">
        <v>38018</v>
      </c>
      <c r="E3395" t="s">
        <v>38019</v>
      </c>
      <c r="F3395" t="s">
        <v>38020</v>
      </c>
      <c r="G3395" t="s">
        <v>38021</v>
      </c>
      <c r="H3395" t="str">
        <f>"Dmxl2"</f>
        <v>Dmxl2</v>
      </c>
      <c r="I3395" t="s">
        <v>38022</v>
      </c>
      <c r="J3395" t="s">
        <v>37</v>
      </c>
      <c r="K3395">
        <v>10090</v>
      </c>
      <c r="L3395" s="3" t="str">
        <f>HYPERLINK("http://www.uniprot.org/uniprot/Q8BPN8", "Q8BPN8")</f>
        <v>Q8BPN8</v>
      </c>
      <c r="M3395" t="s">
        <v>38023</v>
      </c>
      <c r="N3395" t="str">
        <f>"Dmxl2"</f>
        <v>Dmxl2</v>
      </c>
      <c r="O3395" s="3" t="str">
        <f>HYPERLINK("http://www.informatics.jax.org/marker/MGI:2444630", "MGI:2444630")</f>
        <v>MGI:2444630</v>
      </c>
      <c r="P3395" t="s">
        <v>38024</v>
      </c>
      <c r="Q3395" t="s">
        <v>32</v>
      </c>
      <c r="R3395" t="s">
        <v>10250</v>
      </c>
      <c r="S3395" t="s">
        <v>41</v>
      </c>
      <c r="T3395" t="s">
        <v>32</v>
      </c>
      <c r="U3395" t="s">
        <v>32</v>
      </c>
      <c r="V3395" t="s">
        <v>3167</v>
      </c>
      <c r="W3395" t="s">
        <v>32</v>
      </c>
      <c r="X3395" t="s">
        <v>32</v>
      </c>
      <c r="Y3395" t="s">
        <v>618</v>
      </c>
      <c r="Z3395" t="s">
        <v>32</v>
      </c>
      <c r="AA3395" t="s">
        <v>38025</v>
      </c>
      <c r="AB3395" t="s">
        <v>38026</v>
      </c>
      <c r="AC3395" t="s">
        <v>10905</v>
      </c>
      <c r="AD3395" t="s">
        <v>32</v>
      </c>
      <c r="AE3395" t="s">
        <v>32</v>
      </c>
      <c r="AF3395" t="s">
        <v>46835</v>
      </c>
    </row>
    <row r="3396" spans="1:33" x14ac:dyDescent="0.2">
      <c r="A3396">
        <v>3391</v>
      </c>
      <c r="B3396" t="s">
        <v>38027</v>
      </c>
      <c r="C3396" t="s">
        <v>38028</v>
      </c>
      <c r="D3396" t="s">
        <v>38029</v>
      </c>
      <c r="E3396" t="s">
        <v>38030</v>
      </c>
      <c r="F3396" t="s">
        <v>38031</v>
      </c>
      <c r="G3396" t="s">
        <v>38032</v>
      </c>
      <c r="H3396" t="str">
        <f>"Gorasp1"</f>
        <v>Gorasp1</v>
      </c>
      <c r="I3396" t="s">
        <v>32</v>
      </c>
      <c r="J3396" t="s">
        <v>37</v>
      </c>
      <c r="K3396">
        <v>10090</v>
      </c>
      <c r="L3396" s="3" t="str">
        <f>HYPERLINK("http://www.uniprot.org/uniprot/Q91X51", "Q91X51")</f>
        <v>Q91X51</v>
      </c>
      <c r="M3396" t="s">
        <v>38033</v>
      </c>
      <c r="N3396" t="str">
        <f>"Gorasp1"</f>
        <v>Gorasp1</v>
      </c>
      <c r="O3396" s="3" t="str">
        <f>HYPERLINK("http://www.informatics.jax.org/marker/MGI:1921748", "MGI:1921748")</f>
        <v>MGI:1921748</v>
      </c>
      <c r="P3396" t="s">
        <v>38034</v>
      </c>
      <c r="Q3396" t="s">
        <v>434</v>
      </c>
      <c r="R3396" t="s">
        <v>13904</v>
      </c>
      <c r="S3396" t="s">
        <v>32</v>
      </c>
      <c r="T3396" t="s">
        <v>32</v>
      </c>
      <c r="U3396" t="s">
        <v>32</v>
      </c>
      <c r="V3396" t="s">
        <v>55</v>
      </c>
      <c r="W3396" t="s">
        <v>42</v>
      </c>
      <c r="X3396" t="s">
        <v>32</v>
      </c>
      <c r="Y3396" t="s">
        <v>5562</v>
      </c>
      <c r="Z3396" t="s">
        <v>32</v>
      </c>
      <c r="AA3396" t="s">
        <v>38035</v>
      </c>
      <c r="AB3396" t="s">
        <v>38036</v>
      </c>
      <c r="AC3396" t="s">
        <v>4525</v>
      </c>
      <c r="AD3396" t="s">
        <v>32</v>
      </c>
      <c r="AE3396" t="s">
        <v>38037</v>
      </c>
      <c r="AF3396" t="s">
        <v>46835</v>
      </c>
    </row>
    <row r="3397" spans="1:33" x14ac:dyDescent="0.2">
      <c r="A3397">
        <v>3392</v>
      </c>
      <c r="B3397" t="s">
        <v>38038</v>
      </c>
      <c r="C3397" t="s">
        <v>38039</v>
      </c>
      <c r="D3397" t="s">
        <v>32</v>
      </c>
      <c r="E3397" t="s">
        <v>38040</v>
      </c>
      <c r="F3397" t="s">
        <v>38041</v>
      </c>
      <c r="G3397" t="s">
        <v>38042</v>
      </c>
      <c r="H3397" t="str">
        <f>"Dmxl1"</f>
        <v>Dmxl1</v>
      </c>
      <c r="I3397" t="s">
        <v>32</v>
      </c>
      <c r="J3397" t="s">
        <v>37</v>
      </c>
      <c r="K3397">
        <v>10090</v>
      </c>
      <c r="L3397" s="3" t="str">
        <f>HYPERLINK("http://www.uniprot.org/uniprot/Q6PNC0", "Q6PNC0")</f>
        <v>Q6PNC0</v>
      </c>
      <c r="M3397" t="s">
        <v>38043</v>
      </c>
      <c r="N3397" t="str">
        <f>"Dmxl1"</f>
        <v>Dmxl1</v>
      </c>
      <c r="O3397" s="3" t="str">
        <f>HYPERLINK("http://www.informatics.jax.org/marker/MGI:2443926", "MGI:2443926")</f>
        <v>MGI:2443926</v>
      </c>
      <c r="P3397" t="s">
        <v>30481</v>
      </c>
      <c r="Q3397" t="s">
        <v>32</v>
      </c>
      <c r="R3397" t="s">
        <v>32</v>
      </c>
      <c r="S3397" t="s">
        <v>32</v>
      </c>
      <c r="T3397" t="s">
        <v>32</v>
      </c>
      <c r="U3397" t="s">
        <v>32</v>
      </c>
      <c r="V3397" t="s">
        <v>1910</v>
      </c>
      <c r="W3397" t="s">
        <v>32</v>
      </c>
      <c r="X3397" t="s">
        <v>32</v>
      </c>
      <c r="Y3397" t="s">
        <v>618</v>
      </c>
      <c r="Z3397" t="s">
        <v>32</v>
      </c>
      <c r="AA3397" t="s">
        <v>38044</v>
      </c>
      <c r="AB3397" t="s">
        <v>38045</v>
      </c>
      <c r="AC3397" t="s">
        <v>32</v>
      </c>
      <c r="AD3397" t="s">
        <v>32</v>
      </c>
      <c r="AE3397" t="s">
        <v>32</v>
      </c>
      <c r="AF3397" t="s">
        <v>46835</v>
      </c>
    </row>
    <row r="3398" spans="1:33" x14ac:dyDescent="0.2">
      <c r="A3398">
        <v>3393</v>
      </c>
      <c r="B3398" t="s">
        <v>38046</v>
      </c>
      <c r="C3398" t="s">
        <v>38047</v>
      </c>
      <c r="D3398" t="s">
        <v>38048</v>
      </c>
      <c r="E3398" t="s">
        <v>38049</v>
      </c>
      <c r="F3398" t="s">
        <v>38050</v>
      </c>
      <c r="G3398" t="s">
        <v>38051</v>
      </c>
      <c r="H3398" t="str">
        <f>"Polr1c"</f>
        <v>Polr1c</v>
      </c>
      <c r="I3398" t="s">
        <v>38052</v>
      </c>
      <c r="J3398" t="s">
        <v>37</v>
      </c>
      <c r="K3398">
        <v>10090</v>
      </c>
      <c r="L3398" s="3" t="str">
        <f>HYPERLINK("http://www.uniprot.org/uniprot/P52432", "P52432")</f>
        <v>P52432</v>
      </c>
      <c r="M3398" t="s">
        <v>38053</v>
      </c>
      <c r="N3398" t="str">
        <f>"Polr1c"</f>
        <v>Polr1c</v>
      </c>
      <c r="O3398" s="3" t="str">
        <f>HYPERLINK("http://www.informatics.jax.org/marker/MGI:103288", "MGI:103288")</f>
        <v>MGI:103288</v>
      </c>
      <c r="P3398" t="s">
        <v>19799</v>
      </c>
      <c r="Q3398" t="s">
        <v>16415</v>
      </c>
      <c r="R3398" t="s">
        <v>19800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32</v>
      </c>
      <c r="Y3398" t="s">
        <v>78</v>
      </c>
      <c r="Z3398" t="s">
        <v>32</v>
      </c>
      <c r="AA3398" t="s">
        <v>32</v>
      </c>
      <c r="AB3398" t="s">
        <v>38054</v>
      </c>
      <c r="AC3398" t="s">
        <v>38055</v>
      </c>
      <c r="AD3398" t="s">
        <v>32</v>
      </c>
      <c r="AE3398" t="s">
        <v>38056</v>
      </c>
      <c r="AF3398" t="s">
        <v>46835</v>
      </c>
    </row>
    <row r="3399" spans="1:33" x14ac:dyDescent="0.2">
      <c r="A3399">
        <v>3394</v>
      </c>
      <c r="B3399" t="s">
        <v>38057</v>
      </c>
      <c r="C3399" t="s">
        <v>38058</v>
      </c>
      <c r="D3399" t="s">
        <v>38059</v>
      </c>
      <c r="E3399" t="s">
        <v>38060</v>
      </c>
      <c r="F3399" t="s">
        <v>38061</v>
      </c>
      <c r="G3399" t="s">
        <v>38062</v>
      </c>
      <c r="H3399" t="str">
        <f>"Hikeshi"</f>
        <v>Hikeshi</v>
      </c>
      <c r="I3399" t="s">
        <v>32</v>
      </c>
      <c r="J3399" t="s">
        <v>37</v>
      </c>
      <c r="K3399">
        <v>10090</v>
      </c>
      <c r="L3399" s="3" t="str">
        <f>HYPERLINK("http://www.uniprot.org/uniprot/Q9DD02", "Q9DD02")</f>
        <v>Q9DD02</v>
      </c>
      <c r="M3399" t="s">
        <v>38063</v>
      </c>
      <c r="N3399" t="str">
        <f>"Hikeshi"</f>
        <v>Hikeshi</v>
      </c>
      <c r="O3399" s="3" t="str">
        <f>HYPERLINK("http://www.informatics.jax.org/marker/MGI:96738", "MGI:96738")</f>
        <v>MGI:96738</v>
      </c>
      <c r="P3399" t="s">
        <v>38064</v>
      </c>
      <c r="Q3399" t="s">
        <v>434</v>
      </c>
      <c r="R3399" t="s">
        <v>40</v>
      </c>
      <c r="S3399" t="s">
        <v>41</v>
      </c>
      <c r="T3399" t="s">
        <v>32</v>
      </c>
      <c r="U3399" t="s">
        <v>32</v>
      </c>
      <c r="V3399" t="s">
        <v>32</v>
      </c>
      <c r="W3399" t="s">
        <v>32</v>
      </c>
      <c r="X3399" t="s">
        <v>32</v>
      </c>
      <c r="Y3399" t="s">
        <v>32</v>
      </c>
      <c r="Z3399" t="s">
        <v>32</v>
      </c>
      <c r="AA3399" t="s">
        <v>38065</v>
      </c>
      <c r="AB3399" t="s">
        <v>38066</v>
      </c>
      <c r="AC3399" t="s">
        <v>38067</v>
      </c>
      <c r="AD3399" t="s">
        <v>32</v>
      </c>
      <c r="AE3399" t="s">
        <v>1445</v>
      </c>
      <c r="AF3399" t="s">
        <v>46835</v>
      </c>
    </row>
    <row r="3400" spans="1:33" x14ac:dyDescent="0.2">
      <c r="A3400">
        <v>3395</v>
      </c>
      <c r="B3400" t="s">
        <v>38068</v>
      </c>
      <c r="C3400" t="s">
        <v>47229</v>
      </c>
      <c r="D3400" t="s">
        <v>32</v>
      </c>
      <c r="E3400" t="s">
        <v>47026</v>
      </c>
      <c r="F3400" t="s">
        <v>47025</v>
      </c>
      <c r="G3400" t="s">
        <v>32</v>
      </c>
      <c r="H3400" t="s">
        <v>47362</v>
      </c>
      <c r="I3400" t="s">
        <v>32</v>
      </c>
      <c r="J3400" t="s">
        <v>37</v>
      </c>
      <c r="K3400">
        <v>10090</v>
      </c>
      <c r="L3400" s="3" t="str">
        <f>HYPERLINK(CONCATENATE("https://www.uniprot.org/uniprotkb/", AG3400, "/entry"), AG3400)</f>
        <v>A0A494B9V8</v>
      </c>
      <c r="M3400" t="s">
        <v>32</v>
      </c>
      <c r="N3400" t="s">
        <v>32</v>
      </c>
      <c r="O3400" s="3" t="s">
        <v>32</v>
      </c>
      <c r="P3400" t="s">
        <v>32</v>
      </c>
      <c r="Q3400" t="s">
        <v>32</v>
      </c>
      <c r="R3400" t="s">
        <v>32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32</v>
      </c>
      <c r="Y3400" t="s">
        <v>32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t="s">
        <v>46835</v>
      </c>
      <c r="AG3400" t="s">
        <v>47025</v>
      </c>
    </row>
    <row r="3401" spans="1:33" x14ac:dyDescent="0.2">
      <c r="A3401">
        <v>3396</v>
      </c>
      <c r="B3401" t="s">
        <v>38069</v>
      </c>
      <c r="C3401" t="s">
        <v>38070</v>
      </c>
      <c r="D3401" t="s">
        <v>32</v>
      </c>
      <c r="E3401" t="s">
        <v>38071</v>
      </c>
      <c r="F3401" t="s">
        <v>38072</v>
      </c>
      <c r="G3401" t="s">
        <v>38073</v>
      </c>
      <c r="H3401" t="str">
        <f>"Irgq"</f>
        <v>Irgq</v>
      </c>
      <c r="I3401" t="s">
        <v>38074</v>
      </c>
      <c r="J3401" t="s">
        <v>37</v>
      </c>
      <c r="K3401">
        <v>10090</v>
      </c>
      <c r="L3401" s="3" t="str">
        <f>HYPERLINK("http://www.uniprot.org/uniprot/Q8VIM9", "Q8VIM9")</f>
        <v>Q8VIM9</v>
      </c>
      <c r="M3401" t="s">
        <v>38075</v>
      </c>
      <c r="N3401" t="str">
        <f>"Irgq"</f>
        <v>Irgq</v>
      </c>
      <c r="O3401" s="3" t="str">
        <f>HYPERLINK("http://www.informatics.jax.org/marker/MGI:2667176", "MGI:2667176")</f>
        <v>MGI:2667176</v>
      </c>
      <c r="P3401" t="s">
        <v>34878</v>
      </c>
      <c r="Q3401" t="s">
        <v>32</v>
      </c>
      <c r="R3401" t="s">
        <v>32</v>
      </c>
      <c r="S3401" t="s">
        <v>32</v>
      </c>
      <c r="T3401" t="s">
        <v>32</v>
      </c>
      <c r="U3401" t="s">
        <v>32</v>
      </c>
      <c r="V3401" t="s">
        <v>290</v>
      </c>
      <c r="W3401" t="s">
        <v>32</v>
      </c>
      <c r="X3401" t="s">
        <v>32</v>
      </c>
      <c r="Y3401" t="s">
        <v>618</v>
      </c>
      <c r="Z3401" t="s">
        <v>32</v>
      </c>
      <c r="AA3401" t="s">
        <v>32</v>
      </c>
      <c r="AB3401" t="s">
        <v>32</v>
      </c>
      <c r="AC3401" t="s">
        <v>28844</v>
      </c>
      <c r="AD3401" t="s">
        <v>32</v>
      </c>
      <c r="AE3401" t="s">
        <v>32</v>
      </c>
      <c r="AF3401" t="s">
        <v>46835</v>
      </c>
    </row>
    <row r="3402" spans="1:33" x14ac:dyDescent="0.2">
      <c r="A3402">
        <v>3397</v>
      </c>
      <c r="B3402" t="s">
        <v>38076</v>
      </c>
      <c r="C3402" t="s">
        <v>47223</v>
      </c>
      <c r="D3402" t="s">
        <v>32</v>
      </c>
      <c r="E3402" t="s">
        <v>47028</v>
      </c>
      <c r="F3402" t="s">
        <v>47027</v>
      </c>
      <c r="G3402" t="s">
        <v>32</v>
      </c>
      <c r="H3402" t="s">
        <v>47356</v>
      </c>
      <c r="I3402" t="s">
        <v>32</v>
      </c>
      <c r="J3402" t="s">
        <v>37</v>
      </c>
      <c r="K3402">
        <v>10090</v>
      </c>
      <c r="L3402" s="3" t="str">
        <f>HYPERLINK(CONCATENATE("https://www.uniprot.org/uniprotkb/", AG3402, "/entry"), AG3402)</f>
        <v>A2A654</v>
      </c>
      <c r="M3402" t="s">
        <v>32</v>
      </c>
      <c r="N3402" t="s">
        <v>32</v>
      </c>
      <c r="O3402" s="3" t="s">
        <v>32</v>
      </c>
      <c r="P3402" t="s">
        <v>32</v>
      </c>
      <c r="Q3402" t="s">
        <v>32</v>
      </c>
      <c r="R3402" t="s">
        <v>32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32</v>
      </c>
      <c r="Y3402" t="s">
        <v>32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  <c r="AE3402" t="s">
        <v>32</v>
      </c>
      <c r="AF3402" t="s">
        <v>46835</v>
      </c>
      <c r="AG3402" t="s">
        <v>47027</v>
      </c>
    </row>
    <row r="3403" spans="1:33" x14ac:dyDescent="0.2">
      <c r="A3403">
        <v>3398</v>
      </c>
      <c r="B3403" t="s">
        <v>38077</v>
      </c>
      <c r="C3403" t="s">
        <v>38078</v>
      </c>
      <c r="D3403" t="s">
        <v>38079</v>
      </c>
      <c r="E3403" t="s">
        <v>38080</v>
      </c>
      <c r="F3403" t="s">
        <v>38081</v>
      </c>
      <c r="G3403" t="s">
        <v>38082</v>
      </c>
      <c r="H3403" t="str">
        <f>"Coa3"</f>
        <v>Coa3</v>
      </c>
      <c r="I3403" t="s">
        <v>38083</v>
      </c>
      <c r="J3403" t="s">
        <v>37</v>
      </c>
      <c r="K3403">
        <v>10090</v>
      </c>
      <c r="L3403" s="3" t="str">
        <f>HYPERLINK("http://www.uniprot.org/uniprot/Q9D2R6", "Q9D2R6")</f>
        <v>Q9D2R6</v>
      </c>
      <c r="M3403" t="s">
        <v>38084</v>
      </c>
      <c r="N3403" t="str">
        <f>"Coa3"</f>
        <v>Coa3</v>
      </c>
      <c r="O3403" s="3" t="str">
        <f>HYPERLINK("http://www.informatics.jax.org/marker/MGI:1098757", "MGI:1098757")</f>
        <v>MGI:1098757</v>
      </c>
      <c r="P3403" t="s">
        <v>38085</v>
      </c>
      <c r="Q3403" t="s">
        <v>32</v>
      </c>
      <c r="R3403" t="s">
        <v>3858</v>
      </c>
      <c r="S3403" t="s">
        <v>32</v>
      </c>
      <c r="T3403" t="s">
        <v>32</v>
      </c>
      <c r="U3403" t="s">
        <v>32</v>
      </c>
      <c r="V3403" t="s">
        <v>6500</v>
      </c>
      <c r="W3403" t="s">
        <v>32</v>
      </c>
      <c r="X3403" t="s">
        <v>32</v>
      </c>
      <c r="Y3403" t="s">
        <v>78</v>
      </c>
      <c r="Z3403" t="s">
        <v>32</v>
      </c>
      <c r="AA3403" t="s">
        <v>38086</v>
      </c>
      <c r="AB3403" t="s">
        <v>36821</v>
      </c>
      <c r="AC3403" t="s">
        <v>32</v>
      </c>
      <c r="AD3403" t="s">
        <v>32</v>
      </c>
      <c r="AE3403" t="s">
        <v>32</v>
      </c>
      <c r="AF3403" t="s">
        <v>46835</v>
      </c>
    </row>
    <row r="3404" spans="1:33" x14ac:dyDescent="0.2">
      <c r="A3404">
        <v>3399</v>
      </c>
      <c r="B3404" t="s">
        <v>38087</v>
      </c>
      <c r="C3404" t="s">
        <v>38088</v>
      </c>
      <c r="D3404" t="s">
        <v>38089</v>
      </c>
      <c r="E3404" t="s">
        <v>38090</v>
      </c>
      <c r="F3404" t="s">
        <v>38091</v>
      </c>
      <c r="G3404" t="s">
        <v>38092</v>
      </c>
      <c r="H3404" t="str">
        <f>"Fbxw8"</f>
        <v>Fbxw8</v>
      </c>
      <c r="I3404" t="s">
        <v>32</v>
      </c>
      <c r="J3404" t="s">
        <v>37</v>
      </c>
      <c r="K3404">
        <v>10090</v>
      </c>
      <c r="L3404" s="3" t="str">
        <f>HYPERLINK("http://www.uniprot.org/uniprot/Q8BIA4", "Q8BIA4")</f>
        <v>Q8BIA4</v>
      </c>
      <c r="M3404" t="s">
        <v>38093</v>
      </c>
      <c r="N3404" t="str">
        <f>"Fbxw8"</f>
        <v>Fbxw8</v>
      </c>
      <c r="O3404" s="3" t="str">
        <f>HYPERLINK("http://www.informatics.jax.org/marker/MGI:1923041", "MGI:1923041")</f>
        <v>MGI:1923041</v>
      </c>
      <c r="P3404" t="s">
        <v>38094</v>
      </c>
      <c r="Q3404" t="s">
        <v>1020</v>
      </c>
      <c r="R3404" t="s">
        <v>8179</v>
      </c>
      <c r="S3404" t="s">
        <v>41</v>
      </c>
      <c r="T3404" t="s">
        <v>32</v>
      </c>
      <c r="U3404" t="s">
        <v>32</v>
      </c>
      <c r="V3404" t="s">
        <v>1910</v>
      </c>
      <c r="W3404" t="s">
        <v>32</v>
      </c>
      <c r="X3404" t="s">
        <v>32</v>
      </c>
      <c r="Y3404" t="s">
        <v>157</v>
      </c>
      <c r="Z3404" t="s">
        <v>32</v>
      </c>
      <c r="AA3404" t="s">
        <v>38095</v>
      </c>
      <c r="AB3404" t="s">
        <v>38096</v>
      </c>
      <c r="AC3404" t="s">
        <v>30482</v>
      </c>
      <c r="AD3404" t="s">
        <v>1027</v>
      </c>
      <c r="AE3404" t="s">
        <v>23932</v>
      </c>
      <c r="AF3404" t="s">
        <v>46835</v>
      </c>
    </row>
    <row r="3405" spans="1:33" x14ac:dyDescent="0.2">
      <c r="A3405">
        <v>3400</v>
      </c>
      <c r="B3405" t="s">
        <v>38097</v>
      </c>
      <c r="C3405" t="s">
        <v>38098</v>
      </c>
      <c r="D3405" t="s">
        <v>38099</v>
      </c>
      <c r="E3405" t="s">
        <v>38100</v>
      </c>
      <c r="F3405" t="s">
        <v>38101</v>
      </c>
      <c r="G3405" t="s">
        <v>32</v>
      </c>
      <c r="H3405" t="str">
        <f>"Rnf126"</f>
        <v>Rnf126</v>
      </c>
      <c r="I3405" t="s">
        <v>32</v>
      </c>
      <c r="J3405" t="s">
        <v>37</v>
      </c>
      <c r="K3405">
        <v>10090</v>
      </c>
      <c r="L3405" s="3" t="str">
        <f>HYPERLINK("http://www.uniprot.org/uniprot/Q91YL2", "Q91YL2")</f>
        <v>Q91YL2</v>
      </c>
      <c r="M3405" t="s">
        <v>38102</v>
      </c>
      <c r="N3405" t="str">
        <f>"Rnf126"</f>
        <v>Rnf126</v>
      </c>
      <c r="O3405" s="3" t="str">
        <f>HYPERLINK("http://www.informatics.jax.org/marker/MGI:1917544", "MGI:1917544")</f>
        <v>MGI:1917544</v>
      </c>
      <c r="P3405" t="s">
        <v>38103</v>
      </c>
      <c r="Q3405" t="s">
        <v>1020</v>
      </c>
      <c r="R3405" t="s">
        <v>40</v>
      </c>
      <c r="S3405" t="s">
        <v>32</v>
      </c>
      <c r="T3405" t="s">
        <v>32</v>
      </c>
      <c r="U3405" t="s">
        <v>32</v>
      </c>
      <c r="V3405" t="s">
        <v>446</v>
      </c>
      <c r="W3405" t="s">
        <v>42</v>
      </c>
      <c r="X3405" t="s">
        <v>515</v>
      </c>
      <c r="Y3405" t="s">
        <v>1023</v>
      </c>
      <c r="Z3405" t="s">
        <v>126</v>
      </c>
      <c r="AA3405" t="s">
        <v>38104</v>
      </c>
      <c r="AB3405" t="s">
        <v>4884</v>
      </c>
      <c r="AC3405" t="s">
        <v>38105</v>
      </c>
      <c r="AD3405" t="s">
        <v>1027</v>
      </c>
      <c r="AE3405" t="s">
        <v>4220</v>
      </c>
      <c r="AF3405" t="s">
        <v>46835</v>
      </c>
    </row>
    <row r="3406" spans="1:33" x14ac:dyDescent="0.2">
      <c r="A3406">
        <v>3401</v>
      </c>
      <c r="B3406" t="s">
        <v>38106</v>
      </c>
      <c r="C3406" t="s">
        <v>38107</v>
      </c>
      <c r="D3406" t="s">
        <v>38108</v>
      </c>
      <c r="E3406" t="s">
        <v>38109</v>
      </c>
      <c r="F3406" t="s">
        <v>38110</v>
      </c>
      <c r="G3406" t="s">
        <v>38111</v>
      </c>
      <c r="H3406" t="str">
        <f>"Degs1"</f>
        <v>Degs1</v>
      </c>
      <c r="I3406" t="s">
        <v>38112</v>
      </c>
      <c r="J3406" t="s">
        <v>37</v>
      </c>
      <c r="K3406">
        <v>10090</v>
      </c>
      <c r="L3406" s="3" t="str">
        <f>HYPERLINK("http://www.uniprot.org/uniprot/O09005", "O09005")</f>
        <v>O09005</v>
      </c>
      <c r="M3406" t="s">
        <v>38113</v>
      </c>
      <c r="N3406" t="str">
        <f>"Degs1"</f>
        <v>Degs1</v>
      </c>
      <c r="O3406" s="3" t="str">
        <f>HYPERLINK("http://www.informatics.jax.org/marker/MGI:1097711", "MGI:1097711")</f>
        <v>MGI:1097711</v>
      </c>
      <c r="P3406" t="s">
        <v>38114</v>
      </c>
      <c r="Q3406" t="s">
        <v>1249</v>
      </c>
      <c r="R3406" t="s">
        <v>22638</v>
      </c>
      <c r="S3406" t="s">
        <v>32</v>
      </c>
      <c r="T3406" t="s">
        <v>32</v>
      </c>
      <c r="U3406" t="s">
        <v>32</v>
      </c>
      <c r="V3406" t="s">
        <v>493</v>
      </c>
      <c r="W3406" t="s">
        <v>32</v>
      </c>
      <c r="X3406" t="s">
        <v>6723</v>
      </c>
      <c r="Y3406" t="s">
        <v>5562</v>
      </c>
      <c r="Z3406" t="s">
        <v>32</v>
      </c>
      <c r="AA3406" t="s">
        <v>38115</v>
      </c>
      <c r="AB3406" t="s">
        <v>38116</v>
      </c>
      <c r="AC3406" t="s">
        <v>38117</v>
      </c>
      <c r="AD3406" t="s">
        <v>32</v>
      </c>
      <c r="AE3406" t="s">
        <v>38118</v>
      </c>
      <c r="AF3406" t="s">
        <v>46835</v>
      </c>
    </row>
    <row r="3407" spans="1:33" x14ac:dyDescent="0.2">
      <c r="A3407">
        <v>3402</v>
      </c>
      <c r="B3407" t="s">
        <v>38119</v>
      </c>
      <c r="C3407" t="s">
        <v>38120</v>
      </c>
      <c r="D3407" t="s">
        <v>38121</v>
      </c>
      <c r="E3407" t="s">
        <v>38122</v>
      </c>
      <c r="F3407" t="s">
        <v>38123</v>
      </c>
      <c r="G3407" t="s">
        <v>38124</v>
      </c>
      <c r="H3407" t="str">
        <f>"Sin3a"</f>
        <v>Sin3a</v>
      </c>
      <c r="I3407" t="s">
        <v>38125</v>
      </c>
      <c r="J3407" t="s">
        <v>37</v>
      </c>
      <c r="K3407">
        <v>10090</v>
      </c>
      <c r="L3407" s="3" t="str">
        <f>HYPERLINK("http://www.uniprot.org/uniprot/Q60520", "Q60520")</f>
        <v>Q60520</v>
      </c>
      <c r="M3407" t="s">
        <v>38126</v>
      </c>
      <c r="N3407" t="str">
        <f>"Sin3a"</f>
        <v>Sin3a</v>
      </c>
      <c r="O3407" s="3" t="str">
        <f>HYPERLINK("http://www.informatics.jax.org/marker/MGI:107157", "MGI:107157")</f>
        <v>MGI:107157</v>
      </c>
      <c r="P3407" t="s">
        <v>38127</v>
      </c>
      <c r="Q3407" t="s">
        <v>1992</v>
      </c>
      <c r="R3407" t="s">
        <v>2279</v>
      </c>
      <c r="S3407" t="s">
        <v>41</v>
      </c>
      <c r="T3407" t="s">
        <v>32</v>
      </c>
      <c r="U3407" t="s">
        <v>32</v>
      </c>
      <c r="V3407" t="s">
        <v>137</v>
      </c>
      <c r="W3407" t="s">
        <v>32</v>
      </c>
      <c r="X3407" t="s">
        <v>5195</v>
      </c>
      <c r="Y3407" t="s">
        <v>516</v>
      </c>
      <c r="Z3407" t="s">
        <v>126</v>
      </c>
      <c r="AA3407" t="s">
        <v>38128</v>
      </c>
      <c r="AB3407" t="s">
        <v>38129</v>
      </c>
      <c r="AC3407" t="s">
        <v>38130</v>
      </c>
      <c r="AD3407" t="s">
        <v>32</v>
      </c>
      <c r="AE3407" t="s">
        <v>38131</v>
      </c>
      <c r="AF3407" t="s">
        <v>46835</v>
      </c>
    </row>
    <row r="3408" spans="1:33" x14ac:dyDescent="0.2">
      <c r="A3408">
        <v>3403</v>
      </c>
      <c r="B3408" t="s">
        <v>38132</v>
      </c>
      <c r="C3408" t="s">
        <v>38133</v>
      </c>
      <c r="D3408" t="s">
        <v>38134</v>
      </c>
      <c r="E3408" t="s">
        <v>38135</v>
      </c>
      <c r="F3408" t="s">
        <v>38136</v>
      </c>
      <c r="G3408" t="s">
        <v>32</v>
      </c>
      <c r="H3408" t="str">
        <f>"Gpn1"</f>
        <v>Gpn1</v>
      </c>
      <c r="I3408" t="s">
        <v>32</v>
      </c>
      <c r="J3408" t="s">
        <v>37</v>
      </c>
      <c r="K3408">
        <v>10090</v>
      </c>
      <c r="L3408" s="3" t="str">
        <f>HYPERLINK("http://www.uniprot.org/uniprot/Q8VCE2", "Q8VCE2")</f>
        <v>Q8VCE2</v>
      </c>
      <c r="M3408" t="s">
        <v>38137</v>
      </c>
      <c r="N3408" t="str">
        <f>"Gpn1"</f>
        <v>Gpn1</v>
      </c>
      <c r="O3408" s="3" t="str">
        <f>HYPERLINK("http://www.informatics.jax.org/marker/MGI:1921504", "MGI:1921504")</f>
        <v>MGI:1921504</v>
      </c>
      <c r="P3408" t="s">
        <v>38138</v>
      </c>
      <c r="Q3408" t="s">
        <v>32</v>
      </c>
      <c r="R3408" t="s">
        <v>40</v>
      </c>
      <c r="S3408" t="s">
        <v>32</v>
      </c>
      <c r="T3408" t="s">
        <v>32</v>
      </c>
      <c r="U3408" t="s">
        <v>32</v>
      </c>
      <c r="V3408" t="s">
        <v>32</v>
      </c>
      <c r="W3408" t="s">
        <v>261</v>
      </c>
      <c r="X3408" t="s">
        <v>343</v>
      </c>
      <c r="Y3408" t="s">
        <v>157</v>
      </c>
      <c r="Z3408" t="s">
        <v>32</v>
      </c>
      <c r="AA3408" t="s">
        <v>32</v>
      </c>
      <c r="AB3408" t="s">
        <v>5336</v>
      </c>
      <c r="AC3408" t="s">
        <v>15410</v>
      </c>
      <c r="AD3408" t="s">
        <v>32</v>
      </c>
      <c r="AE3408" t="s">
        <v>32</v>
      </c>
      <c r="AF3408" t="s">
        <v>46835</v>
      </c>
    </row>
    <row r="3409" spans="1:32" x14ac:dyDescent="0.2">
      <c r="A3409">
        <v>3404</v>
      </c>
      <c r="B3409" t="s">
        <v>38139</v>
      </c>
      <c r="C3409" t="s">
        <v>38140</v>
      </c>
      <c r="D3409" t="s">
        <v>32</v>
      </c>
      <c r="E3409" t="s">
        <v>38141</v>
      </c>
      <c r="F3409" t="s">
        <v>38142</v>
      </c>
      <c r="G3409" t="s">
        <v>38143</v>
      </c>
      <c r="H3409" t="str">
        <f>"Phf6"</f>
        <v>Phf6</v>
      </c>
      <c r="I3409" t="s">
        <v>38144</v>
      </c>
      <c r="J3409" t="s">
        <v>37</v>
      </c>
      <c r="K3409">
        <v>10090</v>
      </c>
      <c r="L3409" s="3" t="str">
        <f>HYPERLINK("http://www.uniprot.org/uniprot/Q9D4J7", "Q9D4J7")</f>
        <v>Q9D4J7</v>
      </c>
      <c r="M3409" t="s">
        <v>38145</v>
      </c>
      <c r="N3409" t="str">
        <f>"Phf6"</f>
        <v>Phf6</v>
      </c>
      <c r="O3409" s="3" t="str">
        <f>HYPERLINK("http://www.informatics.jax.org/marker/MGI:1918248", "MGI:1918248")</f>
        <v>MGI:1918248</v>
      </c>
      <c r="P3409" t="s">
        <v>38146</v>
      </c>
      <c r="Q3409" t="s">
        <v>4152</v>
      </c>
      <c r="R3409" t="s">
        <v>11307</v>
      </c>
      <c r="S3409" t="s">
        <v>41</v>
      </c>
      <c r="T3409" t="s">
        <v>32</v>
      </c>
      <c r="U3409" t="s">
        <v>32</v>
      </c>
      <c r="V3409" t="s">
        <v>3791</v>
      </c>
      <c r="W3409" t="s">
        <v>42</v>
      </c>
      <c r="X3409" t="s">
        <v>247</v>
      </c>
      <c r="Y3409" t="s">
        <v>516</v>
      </c>
      <c r="Z3409" t="s">
        <v>32</v>
      </c>
      <c r="AA3409" t="s">
        <v>38147</v>
      </c>
      <c r="AB3409" t="s">
        <v>38148</v>
      </c>
      <c r="AC3409" t="s">
        <v>38149</v>
      </c>
      <c r="AD3409" t="s">
        <v>32</v>
      </c>
      <c r="AE3409" t="s">
        <v>32</v>
      </c>
      <c r="AF3409" t="s">
        <v>46835</v>
      </c>
    </row>
    <row r="3410" spans="1:32" x14ac:dyDescent="0.2">
      <c r="A3410">
        <v>3405</v>
      </c>
      <c r="B3410" t="s">
        <v>38150</v>
      </c>
      <c r="C3410" t="s">
        <v>38151</v>
      </c>
      <c r="D3410" t="s">
        <v>38152</v>
      </c>
      <c r="E3410" t="s">
        <v>38153</v>
      </c>
      <c r="F3410" t="s">
        <v>38154</v>
      </c>
      <c r="G3410" t="s">
        <v>32</v>
      </c>
      <c r="H3410" t="str">
        <f>"Wdr46"</f>
        <v>Wdr46</v>
      </c>
      <c r="I3410" t="s">
        <v>38155</v>
      </c>
      <c r="J3410" t="s">
        <v>37</v>
      </c>
      <c r="K3410">
        <v>10090</v>
      </c>
      <c r="L3410" s="3" t="str">
        <f>HYPERLINK("http://www.uniprot.org/uniprot/Q9Z0H1", "Q9Z0H1")</f>
        <v>Q9Z0H1</v>
      </c>
      <c r="M3410" t="s">
        <v>38156</v>
      </c>
      <c r="N3410" t="str">
        <f>"Wdr46"</f>
        <v>Wdr46</v>
      </c>
      <c r="O3410" s="3" t="str">
        <f>HYPERLINK("http://www.informatics.jax.org/marker/MGI:1931871", "MGI:1931871")</f>
        <v>MGI:1931871</v>
      </c>
      <c r="P3410" t="s">
        <v>38157</v>
      </c>
      <c r="Q3410" t="s">
        <v>32</v>
      </c>
      <c r="R3410" t="s">
        <v>2279</v>
      </c>
      <c r="S3410" t="s">
        <v>32</v>
      </c>
      <c r="T3410" t="s">
        <v>32</v>
      </c>
      <c r="U3410" t="s">
        <v>32</v>
      </c>
      <c r="V3410" t="s">
        <v>1910</v>
      </c>
      <c r="W3410" t="s">
        <v>32</v>
      </c>
      <c r="X3410" t="s">
        <v>32</v>
      </c>
      <c r="Y3410" t="s">
        <v>618</v>
      </c>
      <c r="Z3410" t="s">
        <v>32</v>
      </c>
      <c r="AA3410" t="s">
        <v>37083</v>
      </c>
      <c r="AB3410" t="s">
        <v>38158</v>
      </c>
      <c r="AC3410" t="s">
        <v>32</v>
      </c>
      <c r="AD3410" t="s">
        <v>32</v>
      </c>
      <c r="AE3410" t="s">
        <v>960</v>
      </c>
      <c r="AF3410" t="s">
        <v>46835</v>
      </c>
    </row>
    <row r="3411" spans="1:32" x14ac:dyDescent="0.2">
      <c r="A3411">
        <v>3406</v>
      </c>
      <c r="B3411" t="s">
        <v>38159</v>
      </c>
      <c r="C3411" t="s">
        <v>38160</v>
      </c>
      <c r="D3411" t="s">
        <v>32</v>
      </c>
      <c r="E3411" t="s">
        <v>38161</v>
      </c>
      <c r="F3411" t="s">
        <v>38162</v>
      </c>
      <c r="G3411" t="s">
        <v>38163</v>
      </c>
      <c r="H3411" t="str">
        <f>"Tgfb2"</f>
        <v>Tgfb2</v>
      </c>
      <c r="I3411" t="s">
        <v>32</v>
      </c>
      <c r="J3411" t="s">
        <v>37</v>
      </c>
      <c r="K3411">
        <v>10090</v>
      </c>
      <c r="L3411" s="3" t="str">
        <f>HYPERLINK("http://www.uniprot.org/uniprot/P27090", "P27090")</f>
        <v>P27090</v>
      </c>
      <c r="M3411" t="s">
        <v>38164</v>
      </c>
      <c r="N3411" t="str">
        <f>"Tgfb2"</f>
        <v>Tgfb2</v>
      </c>
      <c r="O3411" s="3" t="str">
        <f>HYPERLINK("http://www.informatics.jax.org/marker/MGI:98726", "MGI:98726")</f>
        <v>MGI:98726</v>
      </c>
      <c r="P3411" t="s">
        <v>38165</v>
      </c>
      <c r="Q3411" t="s">
        <v>32</v>
      </c>
      <c r="R3411" t="s">
        <v>5586</v>
      </c>
      <c r="S3411" t="s">
        <v>32</v>
      </c>
      <c r="T3411" t="s">
        <v>32</v>
      </c>
      <c r="U3411" t="s">
        <v>32</v>
      </c>
      <c r="V3411" t="s">
        <v>811</v>
      </c>
      <c r="W3411" t="s">
        <v>32</v>
      </c>
      <c r="X3411" t="s">
        <v>38166</v>
      </c>
      <c r="Y3411" t="s">
        <v>17510</v>
      </c>
      <c r="Z3411" t="s">
        <v>126</v>
      </c>
      <c r="AA3411" t="s">
        <v>38167</v>
      </c>
      <c r="AB3411" t="s">
        <v>38168</v>
      </c>
      <c r="AC3411" t="s">
        <v>38169</v>
      </c>
      <c r="AD3411" t="s">
        <v>32</v>
      </c>
      <c r="AE3411" t="s">
        <v>38170</v>
      </c>
      <c r="AF3411" t="s">
        <v>46835</v>
      </c>
    </row>
    <row r="3412" spans="1:32" x14ac:dyDescent="0.2">
      <c r="A3412">
        <v>3407</v>
      </c>
      <c r="B3412" t="s">
        <v>38171</v>
      </c>
      <c r="C3412" t="s">
        <v>38172</v>
      </c>
      <c r="D3412" t="s">
        <v>38173</v>
      </c>
      <c r="E3412" t="s">
        <v>38174</v>
      </c>
      <c r="F3412" t="s">
        <v>38175</v>
      </c>
      <c r="G3412" t="s">
        <v>38176</v>
      </c>
      <c r="H3412" t="str">
        <f>"Kcmf1"</f>
        <v>Kcmf1</v>
      </c>
      <c r="I3412" t="s">
        <v>38177</v>
      </c>
      <c r="J3412" t="s">
        <v>37</v>
      </c>
      <c r="K3412">
        <v>10090</v>
      </c>
      <c r="L3412" s="3" t="str">
        <f>HYPERLINK("http://www.uniprot.org/uniprot/Q80UY2", "Q80UY2")</f>
        <v>Q80UY2</v>
      </c>
      <c r="M3412" t="s">
        <v>38178</v>
      </c>
      <c r="N3412" t="str">
        <f>"Kcmf1"</f>
        <v>Kcmf1</v>
      </c>
      <c r="O3412" s="3" t="str">
        <f>HYPERLINK("http://www.informatics.jax.org/marker/MGI:1921537", "MGI:1921537")</f>
        <v>MGI:1921537</v>
      </c>
      <c r="P3412" t="s">
        <v>38179</v>
      </c>
      <c r="Q3412" t="s">
        <v>1020</v>
      </c>
      <c r="R3412" t="s">
        <v>32</v>
      </c>
      <c r="S3412" t="s">
        <v>41</v>
      </c>
      <c r="T3412" t="s">
        <v>32</v>
      </c>
      <c r="U3412" t="s">
        <v>32</v>
      </c>
      <c r="V3412" t="s">
        <v>11171</v>
      </c>
      <c r="W3412" t="s">
        <v>42</v>
      </c>
      <c r="X3412" t="s">
        <v>515</v>
      </c>
      <c r="Y3412" t="s">
        <v>157</v>
      </c>
      <c r="Z3412" t="s">
        <v>32</v>
      </c>
      <c r="AA3412" t="s">
        <v>38180</v>
      </c>
      <c r="AB3412" t="s">
        <v>38181</v>
      </c>
      <c r="AC3412" t="s">
        <v>30023</v>
      </c>
      <c r="AD3412" t="s">
        <v>32</v>
      </c>
      <c r="AE3412" t="s">
        <v>548</v>
      </c>
      <c r="AF3412" t="s">
        <v>46835</v>
      </c>
    </row>
    <row r="3413" spans="1:32" x14ac:dyDescent="0.2">
      <c r="A3413">
        <v>3408</v>
      </c>
      <c r="B3413" t="s">
        <v>38182</v>
      </c>
      <c r="C3413" t="s">
        <v>38183</v>
      </c>
      <c r="D3413" t="s">
        <v>32</v>
      </c>
      <c r="E3413" t="s">
        <v>38184</v>
      </c>
      <c r="F3413" t="s">
        <v>38185</v>
      </c>
      <c r="G3413" t="s">
        <v>38186</v>
      </c>
      <c r="H3413" t="str">
        <f>"Gabpa"</f>
        <v>Gabpa</v>
      </c>
      <c r="I3413" t="s">
        <v>38187</v>
      </c>
      <c r="J3413" t="s">
        <v>37</v>
      </c>
      <c r="K3413">
        <v>10090</v>
      </c>
      <c r="L3413" s="3" t="str">
        <f>HYPERLINK("http://www.uniprot.org/uniprot/Q00422", "Q00422")</f>
        <v>Q00422</v>
      </c>
      <c r="M3413" t="s">
        <v>38188</v>
      </c>
      <c r="N3413" t="str">
        <f>"Gabpa"</f>
        <v>Gabpa</v>
      </c>
      <c r="O3413" s="3" t="str">
        <f>HYPERLINK("http://www.informatics.jax.org/marker/MGI:95610", "MGI:95610")</f>
        <v>MGI:95610</v>
      </c>
      <c r="P3413" t="s">
        <v>38189</v>
      </c>
      <c r="Q3413" t="s">
        <v>4152</v>
      </c>
      <c r="R3413" t="s">
        <v>2279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247</v>
      </c>
      <c r="Y3413" t="s">
        <v>618</v>
      </c>
      <c r="Z3413" t="s">
        <v>126</v>
      </c>
      <c r="AA3413" t="s">
        <v>38190</v>
      </c>
      <c r="AB3413" t="s">
        <v>22042</v>
      </c>
      <c r="AC3413" t="s">
        <v>38191</v>
      </c>
      <c r="AD3413" t="s">
        <v>32</v>
      </c>
      <c r="AE3413" t="s">
        <v>38192</v>
      </c>
      <c r="AF3413" t="s">
        <v>46835</v>
      </c>
    </row>
    <row r="3414" spans="1:32" x14ac:dyDescent="0.2">
      <c r="A3414">
        <v>3409</v>
      </c>
      <c r="B3414" t="s">
        <v>38193</v>
      </c>
      <c r="C3414" t="s">
        <v>38194</v>
      </c>
      <c r="D3414" t="s">
        <v>38195</v>
      </c>
      <c r="E3414" t="s">
        <v>38196</v>
      </c>
      <c r="F3414" t="s">
        <v>38197</v>
      </c>
      <c r="G3414" t="s">
        <v>38198</v>
      </c>
      <c r="H3414" t="str">
        <f>"Tars2"</f>
        <v>Tars2</v>
      </c>
      <c r="I3414" t="s">
        <v>38199</v>
      </c>
      <c r="J3414" t="s">
        <v>37</v>
      </c>
      <c r="K3414">
        <v>10090</v>
      </c>
      <c r="L3414" s="3" t="str">
        <f>HYPERLINK("http://www.uniprot.org/uniprot/Q3UQ84", "Q3UQ84")</f>
        <v>Q3UQ84</v>
      </c>
      <c r="M3414" t="s">
        <v>38200</v>
      </c>
      <c r="N3414" t="str">
        <f>"Tars2"</f>
        <v>Tars2</v>
      </c>
      <c r="O3414" s="3" t="str">
        <f>HYPERLINK("http://www.informatics.jax.org/marker/MGI:1919057", "MGI:1919057")</f>
        <v>MGI:1919057</v>
      </c>
      <c r="P3414" t="s">
        <v>38201</v>
      </c>
      <c r="Q3414" t="s">
        <v>260</v>
      </c>
      <c r="R3414" t="s">
        <v>1038</v>
      </c>
      <c r="S3414" t="s">
        <v>32</v>
      </c>
      <c r="T3414" t="s">
        <v>32</v>
      </c>
      <c r="U3414" t="s">
        <v>32</v>
      </c>
      <c r="V3414" t="s">
        <v>1039</v>
      </c>
      <c r="W3414" t="s">
        <v>205</v>
      </c>
      <c r="X3414" t="s">
        <v>2983</v>
      </c>
      <c r="Y3414" t="s">
        <v>618</v>
      </c>
      <c r="Z3414" t="s">
        <v>32</v>
      </c>
      <c r="AA3414" t="s">
        <v>8421</v>
      </c>
      <c r="AB3414" t="s">
        <v>2128</v>
      </c>
      <c r="AC3414" t="s">
        <v>38202</v>
      </c>
      <c r="AD3414" t="s">
        <v>32</v>
      </c>
      <c r="AE3414" t="s">
        <v>32</v>
      </c>
      <c r="AF3414" t="s">
        <v>46835</v>
      </c>
    </row>
    <row r="3415" spans="1:32" x14ac:dyDescent="0.2">
      <c r="A3415">
        <v>3410</v>
      </c>
      <c r="B3415" t="s">
        <v>38203</v>
      </c>
      <c r="C3415" t="s">
        <v>38204</v>
      </c>
      <c r="D3415" t="s">
        <v>38205</v>
      </c>
      <c r="E3415" t="s">
        <v>38206</v>
      </c>
      <c r="F3415" t="s">
        <v>38207</v>
      </c>
      <c r="G3415" t="s">
        <v>38208</v>
      </c>
      <c r="H3415" t="str">
        <f>"Asap2"</f>
        <v>Asap2</v>
      </c>
      <c r="I3415" t="s">
        <v>38209</v>
      </c>
      <c r="J3415" t="s">
        <v>37</v>
      </c>
      <c r="K3415">
        <v>10090</v>
      </c>
      <c r="L3415" s="3" t="str">
        <f>HYPERLINK("http://www.uniprot.org/uniprot/Q7SIG6", "Q7SIG6")</f>
        <v>Q7SIG6</v>
      </c>
      <c r="M3415" t="s">
        <v>38210</v>
      </c>
      <c r="N3415" t="str">
        <f>"Asap2"</f>
        <v>Asap2</v>
      </c>
      <c r="O3415" s="3" t="str">
        <f>HYPERLINK("http://www.informatics.jax.org/marker/MGI:2685438", "MGI:2685438")</f>
        <v>MGI:2685438</v>
      </c>
      <c r="P3415" t="s">
        <v>38211</v>
      </c>
      <c r="Q3415" t="s">
        <v>32</v>
      </c>
      <c r="R3415" t="s">
        <v>23002</v>
      </c>
      <c r="S3415" t="s">
        <v>41</v>
      </c>
      <c r="T3415" t="s">
        <v>32</v>
      </c>
      <c r="U3415" t="s">
        <v>32</v>
      </c>
      <c r="V3415" t="s">
        <v>38212</v>
      </c>
      <c r="W3415" t="s">
        <v>42</v>
      </c>
      <c r="X3415" t="s">
        <v>715</v>
      </c>
      <c r="Y3415" t="s">
        <v>618</v>
      </c>
      <c r="Z3415" t="s">
        <v>126</v>
      </c>
      <c r="AA3415" t="s">
        <v>38213</v>
      </c>
      <c r="AB3415" t="s">
        <v>38214</v>
      </c>
      <c r="AC3415" t="s">
        <v>20628</v>
      </c>
      <c r="AD3415" t="s">
        <v>32</v>
      </c>
      <c r="AE3415" t="s">
        <v>32</v>
      </c>
      <c r="AF3415" t="s">
        <v>46835</v>
      </c>
    </row>
    <row r="3416" spans="1:32" x14ac:dyDescent="0.2">
      <c r="A3416">
        <v>3411</v>
      </c>
      <c r="B3416" t="s">
        <v>38215</v>
      </c>
      <c r="C3416" t="s">
        <v>38216</v>
      </c>
      <c r="D3416" t="s">
        <v>38217</v>
      </c>
      <c r="E3416" t="s">
        <v>38218</v>
      </c>
      <c r="F3416" t="s">
        <v>38219</v>
      </c>
      <c r="G3416" t="s">
        <v>32</v>
      </c>
      <c r="H3416" t="str">
        <f>"Commd10"</f>
        <v>Commd10</v>
      </c>
      <c r="I3416" t="s">
        <v>32</v>
      </c>
      <c r="J3416" t="s">
        <v>37</v>
      </c>
      <c r="K3416">
        <v>10090</v>
      </c>
      <c r="L3416" s="3" t="str">
        <f>HYPERLINK("http://www.uniprot.org/uniprot/Q8JZY2", "Q8JZY2")</f>
        <v>Q8JZY2</v>
      </c>
      <c r="M3416" t="s">
        <v>38220</v>
      </c>
      <c r="N3416" t="str">
        <f>"Commd10"</f>
        <v>Commd10</v>
      </c>
      <c r="O3416" s="3" t="str">
        <f>HYPERLINK("http://www.informatics.jax.org/marker/MGI:1916706", "MGI:1916706")</f>
        <v>MGI:1916706</v>
      </c>
      <c r="P3416" t="s">
        <v>38221</v>
      </c>
      <c r="Q3416" t="s">
        <v>2278</v>
      </c>
      <c r="R3416" t="s">
        <v>40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32</v>
      </c>
      <c r="Y3416" t="s">
        <v>157</v>
      </c>
      <c r="Z3416" t="s">
        <v>32</v>
      </c>
      <c r="AA3416" t="s">
        <v>32</v>
      </c>
      <c r="AB3416" t="s">
        <v>14281</v>
      </c>
      <c r="AC3416" t="s">
        <v>32</v>
      </c>
      <c r="AD3416" t="s">
        <v>32</v>
      </c>
      <c r="AE3416" t="s">
        <v>14635</v>
      </c>
      <c r="AF3416" t="s">
        <v>46835</v>
      </c>
    </row>
    <row r="3417" spans="1:32" x14ac:dyDescent="0.2">
      <c r="A3417">
        <v>3412</v>
      </c>
      <c r="B3417" t="s">
        <v>38222</v>
      </c>
      <c r="C3417" t="s">
        <v>38223</v>
      </c>
      <c r="D3417" t="s">
        <v>38224</v>
      </c>
      <c r="E3417" t="s">
        <v>38225</v>
      </c>
      <c r="F3417" t="s">
        <v>38226</v>
      </c>
      <c r="G3417" t="s">
        <v>38227</v>
      </c>
      <c r="H3417" t="str">
        <f>"Arhgap35"</f>
        <v>Arhgap35</v>
      </c>
      <c r="I3417" t="s">
        <v>32</v>
      </c>
      <c r="J3417" t="s">
        <v>37</v>
      </c>
      <c r="K3417">
        <v>10090</v>
      </c>
      <c r="L3417" s="3" t="str">
        <f>HYPERLINK("http://www.uniprot.org/uniprot/Q91YM2", "Q91YM2")</f>
        <v>Q91YM2</v>
      </c>
      <c r="M3417" t="s">
        <v>38228</v>
      </c>
      <c r="N3417" t="str">
        <f>"Arhgap35"</f>
        <v>Arhgap35</v>
      </c>
      <c r="O3417" s="3" t="str">
        <f>HYPERLINK("http://www.informatics.jax.org/marker/MGI:1929494", "MGI:1929494")</f>
        <v>MGI:1929494</v>
      </c>
      <c r="P3417" t="s">
        <v>38229</v>
      </c>
      <c r="Q3417" t="s">
        <v>4152</v>
      </c>
      <c r="R3417" t="s">
        <v>2265</v>
      </c>
      <c r="S3417" t="s">
        <v>32</v>
      </c>
      <c r="T3417" t="s">
        <v>32</v>
      </c>
      <c r="U3417" t="s">
        <v>32</v>
      </c>
      <c r="V3417" t="s">
        <v>55</v>
      </c>
      <c r="W3417" t="s">
        <v>4629</v>
      </c>
      <c r="X3417" t="s">
        <v>38230</v>
      </c>
      <c r="Y3417" t="s">
        <v>618</v>
      </c>
      <c r="Z3417" t="s">
        <v>32</v>
      </c>
      <c r="AA3417" t="s">
        <v>38231</v>
      </c>
      <c r="AB3417" t="s">
        <v>38232</v>
      </c>
      <c r="AC3417" t="s">
        <v>38233</v>
      </c>
      <c r="AD3417" t="s">
        <v>32</v>
      </c>
      <c r="AE3417" t="s">
        <v>38234</v>
      </c>
      <c r="AF3417" t="s">
        <v>46835</v>
      </c>
    </row>
    <row r="3418" spans="1:32" x14ac:dyDescent="0.2">
      <c r="A3418">
        <v>3413</v>
      </c>
      <c r="B3418" t="s">
        <v>38235</v>
      </c>
      <c r="C3418" t="s">
        <v>38236</v>
      </c>
      <c r="D3418" t="s">
        <v>32</v>
      </c>
      <c r="E3418" t="s">
        <v>38237</v>
      </c>
      <c r="F3418" t="s">
        <v>38238</v>
      </c>
      <c r="G3418" t="s">
        <v>38239</v>
      </c>
      <c r="H3418" t="s">
        <v>32</v>
      </c>
      <c r="I3418" t="s">
        <v>32</v>
      </c>
      <c r="J3418" t="s">
        <v>37</v>
      </c>
      <c r="K3418">
        <v>10090</v>
      </c>
      <c r="L3418" s="3" t="str">
        <f>HYPERLINK("http://www.uniprot.org/uniprot/Q9CXL3", "Q9CXL3")</f>
        <v>Q9CXL3</v>
      </c>
      <c r="M3418" t="s">
        <v>38240</v>
      </c>
      <c r="N3418" t="str">
        <f>"3110082I17Rik"</f>
        <v>3110082I17Rik</v>
      </c>
      <c r="O3418" s="3" t="str">
        <f>HYPERLINK("http://www.informatics.jax.org/marker/MGI:1920462", "MGI:1920462")</f>
        <v>MGI:1920462</v>
      </c>
      <c r="P3418" t="s">
        <v>618</v>
      </c>
      <c r="Q3418" t="s">
        <v>32</v>
      </c>
      <c r="R3418" t="s">
        <v>32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32</v>
      </c>
      <c r="Y3418" t="s">
        <v>618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  <c r="AE3418" t="s">
        <v>32</v>
      </c>
      <c r="AF3418" t="s">
        <v>46835</v>
      </c>
    </row>
    <row r="3419" spans="1:32" x14ac:dyDescent="0.2">
      <c r="A3419">
        <v>3414</v>
      </c>
      <c r="B3419" t="s">
        <v>38241</v>
      </c>
      <c r="C3419" t="s">
        <v>38242</v>
      </c>
      <c r="D3419" t="s">
        <v>32</v>
      </c>
      <c r="E3419" t="s">
        <v>38243</v>
      </c>
      <c r="F3419" t="s">
        <v>38244</v>
      </c>
      <c r="G3419" t="s">
        <v>38245</v>
      </c>
      <c r="H3419" t="str">
        <f>"Ccdc12"</f>
        <v>Ccdc12</v>
      </c>
      <c r="I3419" t="s">
        <v>32</v>
      </c>
      <c r="J3419" t="s">
        <v>37</v>
      </c>
      <c r="K3419">
        <v>10090</v>
      </c>
      <c r="L3419" s="3" t="str">
        <f>HYPERLINK("http://www.uniprot.org/uniprot/Q8R344", "Q8R344")</f>
        <v>Q8R344</v>
      </c>
      <c r="M3419" t="s">
        <v>38246</v>
      </c>
      <c r="N3419" t="str">
        <f>"Ccdc12"</f>
        <v>Ccdc12</v>
      </c>
      <c r="O3419" s="3" t="str">
        <f>HYPERLINK("http://www.informatics.jax.org/marker/MGI:1919904", "MGI:1919904")</f>
        <v>MGI:1919904</v>
      </c>
      <c r="P3419" t="s">
        <v>38247</v>
      </c>
      <c r="Q3419" t="s">
        <v>32</v>
      </c>
      <c r="R3419" t="s">
        <v>32</v>
      </c>
      <c r="S3419" t="s">
        <v>32</v>
      </c>
      <c r="T3419" t="s">
        <v>32</v>
      </c>
      <c r="U3419" t="s">
        <v>32</v>
      </c>
      <c r="V3419" t="s">
        <v>290</v>
      </c>
      <c r="W3419" t="s">
        <v>32</v>
      </c>
      <c r="X3419" t="s">
        <v>32</v>
      </c>
      <c r="Y3419" t="s">
        <v>516</v>
      </c>
      <c r="Z3419" t="s">
        <v>32</v>
      </c>
      <c r="AA3419" t="s">
        <v>32</v>
      </c>
      <c r="AB3419" t="s">
        <v>38248</v>
      </c>
      <c r="AC3419" t="s">
        <v>32</v>
      </c>
      <c r="AD3419" t="s">
        <v>32</v>
      </c>
      <c r="AE3419" t="s">
        <v>32</v>
      </c>
      <c r="AF3419" t="s">
        <v>46835</v>
      </c>
    </row>
    <row r="3420" spans="1:32" x14ac:dyDescent="0.2">
      <c r="A3420">
        <v>3415</v>
      </c>
      <c r="B3420" t="s">
        <v>38249</v>
      </c>
      <c r="C3420" t="s">
        <v>38250</v>
      </c>
      <c r="D3420" t="s">
        <v>32</v>
      </c>
      <c r="E3420" t="s">
        <v>38251</v>
      </c>
      <c r="F3420" t="s">
        <v>38252</v>
      </c>
      <c r="G3420" t="s">
        <v>38253</v>
      </c>
      <c r="H3420" t="str">
        <f>"Pdcl"</f>
        <v>Pdcl</v>
      </c>
      <c r="I3420" t="s">
        <v>38254</v>
      </c>
      <c r="J3420" t="s">
        <v>37</v>
      </c>
      <c r="K3420">
        <v>10090</v>
      </c>
      <c r="L3420" s="3" t="str">
        <f>HYPERLINK("http://www.uniprot.org/uniprot/Q9DBX2", "Q9DBX2")</f>
        <v>Q9DBX2</v>
      </c>
      <c r="M3420" t="s">
        <v>38255</v>
      </c>
      <c r="N3420" t="str">
        <f>"Pdcl"</f>
        <v>Pdcl</v>
      </c>
      <c r="O3420" s="3" t="str">
        <f>HYPERLINK("http://www.informatics.jax.org/marker/MGI:1914716", "MGI:1914716")</f>
        <v>MGI:1914716</v>
      </c>
      <c r="P3420" t="s">
        <v>38256</v>
      </c>
      <c r="Q3420" t="s">
        <v>38257</v>
      </c>
      <c r="R3420" t="s">
        <v>3262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388</v>
      </c>
      <c r="Y3420" t="s">
        <v>157</v>
      </c>
      <c r="Z3420" t="s">
        <v>32</v>
      </c>
      <c r="AA3420" t="s">
        <v>38258</v>
      </c>
      <c r="AB3420" t="s">
        <v>38259</v>
      </c>
      <c r="AC3420" t="s">
        <v>9779</v>
      </c>
      <c r="AD3420" t="s">
        <v>32</v>
      </c>
      <c r="AE3420" t="s">
        <v>38260</v>
      </c>
      <c r="AF3420" t="s">
        <v>46835</v>
      </c>
    </row>
    <row r="3421" spans="1:32" x14ac:dyDescent="0.2">
      <c r="A3421">
        <v>3416</v>
      </c>
      <c r="B3421" t="s">
        <v>38261</v>
      </c>
      <c r="C3421" t="s">
        <v>38262</v>
      </c>
      <c r="D3421" t="s">
        <v>38263</v>
      </c>
      <c r="E3421" t="s">
        <v>38264</v>
      </c>
      <c r="F3421" t="s">
        <v>38265</v>
      </c>
      <c r="G3421" t="s">
        <v>38266</v>
      </c>
      <c r="H3421" t="str">
        <f>"Pdcd11"</f>
        <v>Pdcd11</v>
      </c>
      <c r="I3421" t="s">
        <v>38267</v>
      </c>
      <c r="J3421" t="s">
        <v>37</v>
      </c>
      <c r="K3421">
        <v>10090</v>
      </c>
      <c r="L3421" s="3" t="str">
        <f>HYPERLINK("http://www.uniprot.org/uniprot/Q6NS46", "Q6NS46")</f>
        <v>Q6NS46</v>
      </c>
      <c r="M3421" t="s">
        <v>38268</v>
      </c>
      <c r="N3421" t="str">
        <f>"Pdcd11"</f>
        <v>Pdcd11</v>
      </c>
      <c r="O3421" s="3" t="str">
        <f>HYPERLINK("http://www.informatics.jax.org/marker/MGI:1341788", "MGI:1341788")</f>
        <v>MGI:1341788</v>
      </c>
      <c r="P3421" t="s">
        <v>38269</v>
      </c>
      <c r="Q3421" t="s">
        <v>15770</v>
      </c>
      <c r="R3421" t="s">
        <v>2279</v>
      </c>
      <c r="S3421" t="s">
        <v>32</v>
      </c>
      <c r="T3421" t="s">
        <v>32</v>
      </c>
      <c r="U3421" t="s">
        <v>32</v>
      </c>
      <c r="V3421" t="s">
        <v>55</v>
      </c>
      <c r="W3421" t="s">
        <v>32</v>
      </c>
      <c r="X3421" t="s">
        <v>32</v>
      </c>
      <c r="Y3421" t="s">
        <v>516</v>
      </c>
      <c r="Z3421" t="s">
        <v>32</v>
      </c>
      <c r="AA3421" t="s">
        <v>25279</v>
      </c>
      <c r="AB3421" t="s">
        <v>38270</v>
      </c>
      <c r="AC3421" t="s">
        <v>5909</v>
      </c>
      <c r="AD3421" t="s">
        <v>32</v>
      </c>
      <c r="AE3421" t="s">
        <v>960</v>
      </c>
      <c r="AF3421" t="s">
        <v>46835</v>
      </c>
    </row>
    <row r="3422" spans="1:32" x14ac:dyDescent="0.2">
      <c r="A3422">
        <v>3417</v>
      </c>
      <c r="B3422" t="s">
        <v>38271</v>
      </c>
      <c r="C3422" t="s">
        <v>38272</v>
      </c>
      <c r="D3422" t="s">
        <v>38273</v>
      </c>
      <c r="E3422" t="s">
        <v>38274</v>
      </c>
      <c r="F3422" t="s">
        <v>38275</v>
      </c>
      <c r="G3422" t="s">
        <v>38276</v>
      </c>
      <c r="H3422" t="str">
        <f>"Synj2bp"</f>
        <v>Synj2bp</v>
      </c>
      <c r="I3422" t="s">
        <v>32</v>
      </c>
      <c r="J3422" t="s">
        <v>37</v>
      </c>
      <c r="K3422">
        <v>10090</v>
      </c>
      <c r="L3422" s="3" t="str">
        <f>HYPERLINK("http://www.uniprot.org/uniprot/Q9D6K5", "Q9D6K5")</f>
        <v>Q9D6K5</v>
      </c>
      <c r="M3422" t="s">
        <v>38277</v>
      </c>
      <c r="N3422" t="str">
        <f>"Synj2bp"</f>
        <v>Synj2bp</v>
      </c>
      <c r="O3422" s="3" t="str">
        <f>HYPERLINK("http://www.informatics.jax.org/marker/MGI:1344347", "MGI:1344347")</f>
        <v>MGI:1344347</v>
      </c>
      <c r="P3422" t="s">
        <v>38278</v>
      </c>
      <c r="Q3422" t="s">
        <v>2822</v>
      </c>
      <c r="R3422" t="s">
        <v>9642</v>
      </c>
      <c r="S3422" t="s">
        <v>41</v>
      </c>
      <c r="T3422" t="s">
        <v>32</v>
      </c>
      <c r="U3422" t="s">
        <v>32</v>
      </c>
      <c r="V3422" t="s">
        <v>1550</v>
      </c>
      <c r="W3422" t="s">
        <v>32</v>
      </c>
      <c r="X3422" t="s">
        <v>32</v>
      </c>
      <c r="Y3422" t="s">
        <v>32</v>
      </c>
      <c r="Z3422" t="s">
        <v>32</v>
      </c>
      <c r="AA3422" t="s">
        <v>38279</v>
      </c>
      <c r="AB3422" t="s">
        <v>38280</v>
      </c>
      <c r="AC3422" t="s">
        <v>38281</v>
      </c>
      <c r="AD3422" t="s">
        <v>32</v>
      </c>
      <c r="AE3422" t="s">
        <v>32</v>
      </c>
      <c r="AF3422" t="s">
        <v>46835</v>
      </c>
    </row>
    <row r="3423" spans="1:32" x14ac:dyDescent="0.2">
      <c r="A3423">
        <v>3418</v>
      </c>
      <c r="B3423" t="s">
        <v>38282</v>
      </c>
      <c r="C3423" t="s">
        <v>38283</v>
      </c>
      <c r="D3423" t="s">
        <v>38284</v>
      </c>
      <c r="E3423" t="s">
        <v>38285</v>
      </c>
      <c r="F3423" t="s">
        <v>38286</v>
      </c>
      <c r="G3423" t="s">
        <v>38287</v>
      </c>
      <c r="H3423" t="str">
        <f>"Pstpip2"</f>
        <v>Pstpip2</v>
      </c>
      <c r="I3423" t="s">
        <v>38288</v>
      </c>
      <c r="J3423" t="s">
        <v>37</v>
      </c>
      <c r="K3423">
        <v>10090</v>
      </c>
      <c r="L3423" s="3" t="str">
        <f>HYPERLINK("http://www.uniprot.org/uniprot/Q99M15", "Q99M15")</f>
        <v>Q99M15</v>
      </c>
      <c r="M3423" t="s">
        <v>38289</v>
      </c>
      <c r="N3423" t="str">
        <f>"Pstpip2"</f>
        <v>Pstpip2</v>
      </c>
      <c r="O3423" s="3" t="str">
        <f>HYPERLINK("http://www.informatics.jax.org/marker/MGI:1335088", "MGI:1335088")</f>
        <v>MGI:1335088</v>
      </c>
      <c r="P3423" t="s">
        <v>38290</v>
      </c>
      <c r="Q3423" t="s">
        <v>32</v>
      </c>
      <c r="R3423" t="s">
        <v>714</v>
      </c>
      <c r="S3423" t="s">
        <v>32</v>
      </c>
      <c r="T3423" t="s">
        <v>32</v>
      </c>
      <c r="U3423" t="s">
        <v>32</v>
      </c>
      <c r="V3423" t="s">
        <v>290</v>
      </c>
      <c r="W3423" t="s">
        <v>32</v>
      </c>
      <c r="X3423" t="s">
        <v>32</v>
      </c>
      <c r="Y3423" t="s">
        <v>618</v>
      </c>
      <c r="Z3423" t="s">
        <v>32</v>
      </c>
      <c r="AA3423" t="s">
        <v>38291</v>
      </c>
      <c r="AB3423" t="s">
        <v>38292</v>
      </c>
      <c r="AC3423" t="s">
        <v>2234</v>
      </c>
      <c r="AD3423" t="s">
        <v>32</v>
      </c>
      <c r="AE3423" t="s">
        <v>32</v>
      </c>
      <c r="AF3423" t="s">
        <v>46835</v>
      </c>
    </row>
    <row r="3424" spans="1:32" x14ac:dyDescent="0.2">
      <c r="A3424">
        <v>3419</v>
      </c>
      <c r="B3424" t="s">
        <v>38293</v>
      </c>
      <c r="C3424" t="s">
        <v>38294</v>
      </c>
      <c r="D3424" t="s">
        <v>38295</v>
      </c>
      <c r="E3424" t="s">
        <v>38296</v>
      </c>
      <c r="F3424" t="s">
        <v>38297</v>
      </c>
      <c r="G3424" t="s">
        <v>32</v>
      </c>
      <c r="H3424" t="str">
        <f>"Med29"</f>
        <v>Med29</v>
      </c>
      <c r="I3424" t="s">
        <v>38298</v>
      </c>
      <c r="J3424" t="s">
        <v>37</v>
      </c>
      <c r="K3424">
        <v>10090</v>
      </c>
      <c r="L3424" s="3" t="str">
        <f>HYPERLINK("http://www.uniprot.org/uniprot/Q9DB91", "Q9DB91")</f>
        <v>Q9DB91</v>
      </c>
      <c r="M3424" t="s">
        <v>38299</v>
      </c>
      <c r="N3424" t="str">
        <f>"Med29"</f>
        <v>Med29</v>
      </c>
      <c r="O3424" s="3" t="str">
        <f>HYPERLINK("http://www.informatics.jax.org/marker/MGI:1914474", "MGI:1914474")</f>
        <v>MGI:1914474</v>
      </c>
      <c r="P3424" t="s">
        <v>38300</v>
      </c>
      <c r="Q3424" t="s">
        <v>4152</v>
      </c>
      <c r="R3424" t="s">
        <v>2279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2602</v>
      </c>
      <c r="Y3424" t="s">
        <v>78</v>
      </c>
      <c r="Z3424" t="s">
        <v>126</v>
      </c>
      <c r="AA3424" t="s">
        <v>38301</v>
      </c>
      <c r="AB3424" t="s">
        <v>35087</v>
      </c>
      <c r="AC3424" t="s">
        <v>38302</v>
      </c>
      <c r="AD3424" t="s">
        <v>32</v>
      </c>
      <c r="AE3424" t="s">
        <v>32</v>
      </c>
      <c r="AF3424" t="s">
        <v>46835</v>
      </c>
    </row>
    <row r="3425" spans="1:32" x14ac:dyDescent="0.2">
      <c r="A3425">
        <v>3420</v>
      </c>
      <c r="B3425" t="s">
        <v>38303</v>
      </c>
      <c r="C3425" t="s">
        <v>38304</v>
      </c>
      <c r="D3425" t="s">
        <v>38305</v>
      </c>
      <c r="E3425" t="s">
        <v>38306</v>
      </c>
      <c r="F3425" t="s">
        <v>38307</v>
      </c>
      <c r="G3425" t="s">
        <v>38308</v>
      </c>
      <c r="H3425" t="str">
        <f>"Wdr33"</f>
        <v>Wdr33</v>
      </c>
      <c r="I3425" t="s">
        <v>38309</v>
      </c>
      <c r="J3425" t="s">
        <v>37</v>
      </c>
      <c r="K3425">
        <v>10090</v>
      </c>
      <c r="L3425" s="3" t="str">
        <f>HYPERLINK("http://www.uniprot.org/uniprot/Q8K4P0", "Q8K4P0")</f>
        <v>Q8K4P0</v>
      </c>
      <c r="M3425" t="s">
        <v>38310</v>
      </c>
      <c r="N3425" t="str">
        <f>"Wdr33"</f>
        <v>Wdr33</v>
      </c>
      <c r="O3425" s="3" t="str">
        <f>HYPERLINK("http://www.informatics.jax.org/marker/MGI:1921570", "MGI:1921570")</f>
        <v>MGI:1921570</v>
      </c>
      <c r="P3425" t="s">
        <v>38311</v>
      </c>
      <c r="Q3425" t="s">
        <v>16601</v>
      </c>
      <c r="R3425" t="s">
        <v>2279</v>
      </c>
      <c r="S3425" t="s">
        <v>32</v>
      </c>
      <c r="T3425" t="s">
        <v>32</v>
      </c>
      <c r="U3425" t="s">
        <v>32</v>
      </c>
      <c r="V3425" t="s">
        <v>38312</v>
      </c>
      <c r="W3425" t="s">
        <v>32</v>
      </c>
      <c r="X3425" t="s">
        <v>32</v>
      </c>
      <c r="Y3425" t="s">
        <v>207</v>
      </c>
      <c r="Z3425" t="s">
        <v>32</v>
      </c>
      <c r="AA3425" t="s">
        <v>30881</v>
      </c>
      <c r="AB3425" t="s">
        <v>38313</v>
      </c>
      <c r="AC3425" t="s">
        <v>32</v>
      </c>
      <c r="AD3425" t="s">
        <v>32</v>
      </c>
      <c r="AE3425" t="s">
        <v>23657</v>
      </c>
      <c r="AF3425" t="s">
        <v>46835</v>
      </c>
    </row>
    <row r="3426" spans="1:32" x14ac:dyDescent="0.2">
      <c r="A3426">
        <v>3421</v>
      </c>
      <c r="B3426" t="s">
        <v>38314</v>
      </c>
      <c r="C3426" t="s">
        <v>38315</v>
      </c>
      <c r="D3426" t="s">
        <v>38316</v>
      </c>
      <c r="E3426" t="s">
        <v>38317</v>
      </c>
      <c r="F3426" t="s">
        <v>38318</v>
      </c>
      <c r="G3426" t="s">
        <v>38319</v>
      </c>
      <c r="H3426" t="str">
        <f>"Rnf7"</f>
        <v>Rnf7</v>
      </c>
      <c r="I3426" t="s">
        <v>38320</v>
      </c>
      <c r="J3426" t="s">
        <v>37</v>
      </c>
      <c r="K3426">
        <v>10090</v>
      </c>
      <c r="L3426" s="3" t="str">
        <f>HYPERLINK("http://www.uniprot.org/uniprot/Q9WTZ1", "Q9WTZ1")</f>
        <v>Q9WTZ1</v>
      </c>
      <c r="M3426" t="s">
        <v>38321</v>
      </c>
      <c r="N3426" t="str">
        <f>"Rnf7"</f>
        <v>Rnf7</v>
      </c>
      <c r="O3426" s="3" t="str">
        <f>HYPERLINK("http://www.informatics.jax.org/marker/MGI:1337096", "MGI:1337096")</f>
        <v>MGI:1337096</v>
      </c>
      <c r="P3426" t="s">
        <v>38322</v>
      </c>
      <c r="Q3426" t="s">
        <v>1020</v>
      </c>
      <c r="R3426" t="s">
        <v>40</v>
      </c>
      <c r="S3426" t="s">
        <v>32</v>
      </c>
      <c r="T3426" t="s">
        <v>32</v>
      </c>
      <c r="U3426" t="s">
        <v>32</v>
      </c>
      <c r="V3426" t="s">
        <v>446</v>
      </c>
      <c r="W3426" t="s">
        <v>42</v>
      </c>
      <c r="X3426" t="s">
        <v>32</v>
      </c>
      <c r="Y3426" t="s">
        <v>78</v>
      </c>
      <c r="Z3426" t="s">
        <v>126</v>
      </c>
      <c r="AA3426" t="s">
        <v>38323</v>
      </c>
      <c r="AB3426" t="s">
        <v>38324</v>
      </c>
      <c r="AC3426" t="s">
        <v>38325</v>
      </c>
      <c r="AD3426" t="s">
        <v>1027</v>
      </c>
      <c r="AE3426" t="s">
        <v>38326</v>
      </c>
      <c r="AF3426" t="s">
        <v>46835</v>
      </c>
    </row>
    <row r="3427" spans="1:32" x14ac:dyDescent="0.2">
      <c r="A3427">
        <v>3422</v>
      </c>
      <c r="B3427" t="s">
        <v>38327</v>
      </c>
      <c r="C3427" t="s">
        <v>38328</v>
      </c>
      <c r="D3427" t="s">
        <v>32</v>
      </c>
      <c r="E3427" t="s">
        <v>38329</v>
      </c>
      <c r="F3427" t="s">
        <v>38330</v>
      </c>
      <c r="G3427" t="s">
        <v>38331</v>
      </c>
      <c r="H3427" t="str">
        <f>"Vps35l"</f>
        <v>Vps35l</v>
      </c>
      <c r="I3427" t="s">
        <v>32</v>
      </c>
      <c r="J3427" t="s">
        <v>37</v>
      </c>
      <c r="K3427">
        <v>10090</v>
      </c>
      <c r="L3427" s="3" t="str">
        <f>HYPERLINK("http://www.uniprot.org/uniprot/Q8BWQ6", "Q8BWQ6")</f>
        <v>Q8BWQ6</v>
      </c>
      <c r="M3427" t="s">
        <v>38332</v>
      </c>
      <c r="N3427" t="str">
        <f>"Vps35l"</f>
        <v>Vps35l</v>
      </c>
      <c r="O3427" s="3" t="str">
        <f>HYPERLINK("http://www.informatics.jax.org/marker/MGI:1918767", "MGI:1918767")</f>
        <v>MGI:1918767</v>
      </c>
      <c r="P3427" t="s">
        <v>38333</v>
      </c>
      <c r="Q3427" t="s">
        <v>434</v>
      </c>
      <c r="R3427" t="s">
        <v>24832</v>
      </c>
      <c r="S3427" t="s">
        <v>41</v>
      </c>
      <c r="T3427" t="s">
        <v>32</v>
      </c>
      <c r="U3427" t="s">
        <v>32</v>
      </c>
      <c r="V3427" t="s">
        <v>493</v>
      </c>
      <c r="W3427" t="s">
        <v>32</v>
      </c>
      <c r="X3427" t="s">
        <v>32</v>
      </c>
      <c r="Y3427" t="s">
        <v>618</v>
      </c>
      <c r="Z3427" t="s">
        <v>32</v>
      </c>
      <c r="AA3427" t="s">
        <v>38334</v>
      </c>
      <c r="AB3427" t="s">
        <v>38335</v>
      </c>
      <c r="AC3427" t="s">
        <v>32</v>
      </c>
      <c r="AD3427" t="s">
        <v>32</v>
      </c>
      <c r="AE3427" t="s">
        <v>548</v>
      </c>
      <c r="AF3427" t="s">
        <v>46835</v>
      </c>
    </row>
    <row r="3428" spans="1:32" x14ac:dyDescent="0.2">
      <c r="A3428">
        <v>3423</v>
      </c>
      <c r="B3428" t="s">
        <v>38336</v>
      </c>
      <c r="C3428" t="s">
        <v>38337</v>
      </c>
      <c r="D3428" t="s">
        <v>38338</v>
      </c>
      <c r="E3428" t="s">
        <v>38339</v>
      </c>
      <c r="F3428" t="s">
        <v>38340</v>
      </c>
      <c r="G3428" t="s">
        <v>38341</v>
      </c>
      <c r="H3428" t="str">
        <f>"Arhgap5"</f>
        <v>Arhgap5</v>
      </c>
      <c r="I3428" t="s">
        <v>38342</v>
      </c>
      <c r="J3428" t="s">
        <v>37</v>
      </c>
      <c r="K3428">
        <v>10090</v>
      </c>
      <c r="L3428" s="3" t="str">
        <f>HYPERLINK("http://www.uniprot.org/uniprot/P97393", "P97393")</f>
        <v>P97393</v>
      </c>
      <c r="M3428" t="s">
        <v>38343</v>
      </c>
      <c r="N3428" t="str">
        <f>"Arhgap5"</f>
        <v>Arhgap5</v>
      </c>
      <c r="O3428" s="3" t="str">
        <f>HYPERLINK("http://www.informatics.jax.org/marker/MGI:1332637", "MGI:1332637")</f>
        <v>MGI:1332637</v>
      </c>
      <c r="P3428" t="s">
        <v>38344</v>
      </c>
      <c r="Q3428" t="s">
        <v>32</v>
      </c>
      <c r="R3428" t="s">
        <v>222</v>
      </c>
      <c r="S3428" t="s">
        <v>32</v>
      </c>
      <c r="T3428" t="s">
        <v>32</v>
      </c>
      <c r="U3428" t="s">
        <v>32</v>
      </c>
      <c r="V3428" t="s">
        <v>55</v>
      </c>
      <c r="W3428" t="s">
        <v>32</v>
      </c>
      <c r="X3428" t="s">
        <v>715</v>
      </c>
      <c r="Y3428" t="s">
        <v>1843</v>
      </c>
      <c r="Z3428" t="s">
        <v>32</v>
      </c>
      <c r="AA3428" t="s">
        <v>38345</v>
      </c>
      <c r="AB3428" t="s">
        <v>38346</v>
      </c>
      <c r="AC3428" t="s">
        <v>38347</v>
      </c>
      <c r="AD3428" t="s">
        <v>32</v>
      </c>
      <c r="AE3428" t="s">
        <v>38348</v>
      </c>
      <c r="AF3428" t="s">
        <v>46835</v>
      </c>
    </row>
    <row r="3429" spans="1:32" x14ac:dyDescent="0.2">
      <c r="A3429">
        <v>3424</v>
      </c>
      <c r="B3429" t="s">
        <v>38349</v>
      </c>
      <c r="C3429" t="s">
        <v>38350</v>
      </c>
      <c r="D3429" t="s">
        <v>32</v>
      </c>
      <c r="E3429" t="s">
        <v>38351</v>
      </c>
      <c r="F3429" t="s">
        <v>38352</v>
      </c>
      <c r="G3429" t="s">
        <v>38353</v>
      </c>
      <c r="H3429" t="str">
        <f>"Pacs1"</f>
        <v>Pacs1</v>
      </c>
      <c r="I3429" t="s">
        <v>32</v>
      </c>
      <c r="J3429" t="s">
        <v>37</v>
      </c>
      <c r="K3429">
        <v>10090</v>
      </c>
      <c r="L3429" s="3" t="str">
        <f>HYPERLINK("http://www.uniprot.org/uniprot/Q8K212", "Q8K212")</f>
        <v>Q8K212</v>
      </c>
      <c r="M3429" t="s">
        <v>38354</v>
      </c>
      <c r="N3429" t="str">
        <f>"Pacs1"</f>
        <v>Pacs1</v>
      </c>
      <c r="O3429" s="3" t="str">
        <f>HYPERLINK("http://www.informatics.jax.org/marker/MGI:1277113", "MGI:1277113")</f>
        <v>MGI:1277113</v>
      </c>
      <c r="P3429" t="s">
        <v>38355</v>
      </c>
      <c r="Q3429" t="s">
        <v>32</v>
      </c>
      <c r="R3429" t="s">
        <v>12904</v>
      </c>
      <c r="S3429" t="s">
        <v>32</v>
      </c>
      <c r="T3429" t="s">
        <v>32</v>
      </c>
      <c r="U3429" t="s">
        <v>32</v>
      </c>
      <c r="V3429" t="s">
        <v>290</v>
      </c>
      <c r="W3429" t="s">
        <v>32</v>
      </c>
      <c r="X3429" t="s">
        <v>32</v>
      </c>
      <c r="Y3429" t="s">
        <v>157</v>
      </c>
      <c r="Z3429" t="s">
        <v>32</v>
      </c>
      <c r="AA3429" t="s">
        <v>38356</v>
      </c>
      <c r="AB3429" t="s">
        <v>38357</v>
      </c>
      <c r="AC3429" t="s">
        <v>24265</v>
      </c>
      <c r="AD3429" t="s">
        <v>32</v>
      </c>
      <c r="AE3429" t="s">
        <v>32</v>
      </c>
      <c r="AF3429" t="s">
        <v>46835</v>
      </c>
    </row>
    <row r="3430" spans="1:32" x14ac:dyDescent="0.2">
      <c r="A3430">
        <v>3425</v>
      </c>
      <c r="B3430" t="s">
        <v>38358</v>
      </c>
      <c r="C3430" t="s">
        <v>38359</v>
      </c>
      <c r="D3430" t="s">
        <v>38360</v>
      </c>
      <c r="E3430" t="s">
        <v>38361</v>
      </c>
      <c r="F3430" t="s">
        <v>38362</v>
      </c>
      <c r="G3430" t="s">
        <v>38363</v>
      </c>
      <c r="H3430" t="str">
        <f>"Fyttd1"</f>
        <v>Fyttd1</v>
      </c>
      <c r="I3430" t="s">
        <v>38364</v>
      </c>
      <c r="J3430" t="s">
        <v>37</v>
      </c>
      <c r="K3430">
        <v>10090</v>
      </c>
      <c r="L3430" s="3" t="str">
        <f>HYPERLINK("http://www.uniprot.org/uniprot/Q91Z49", "Q91Z49")</f>
        <v>Q91Z49</v>
      </c>
      <c r="M3430" t="s">
        <v>38365</v>
      </c>
      <c r="N3430" t="str">
        <f>"Fyttd1"</f>
        <v>Fyttd1</v>
      </c>
      <c r="O3430" s="3" t="str">
        <f>HYPERLINK("http://www.informatics.jax.org/marker/MGI:1917955", "MGI:1917955")</f>
        <v>MGI:1917955</v>
      </c>
      <c r="P3430" t="s">
        <v>38366</v>
      </c>
      <c r="Q3430" t="s">
        <v>30561</v>
      </c>
      <c r="R3430" t="s">
        <v>2279</v>
      </c>
      <c r="S3430" t="s">
        <v>41</v>
      </c>
      <c r="T3430" t="s">
        <v>32</v>
      </c>
      <c r="U3430" t="s">
        <v>32</v>
      </c>
      <c r="V3430" t="s">
        <v>32</v>
      </c>
      <c r="W3430" t="s">
        <v>32</v>
      </c>
      <c r="X3430" t="s">
        <v>1282</v>
      </c>
      <c r="Y3430" t="s">
        <v>516</v>
      </c>
      <c r="Z3430" t="s">
        <v>32</v>
      </c>
      <c r="AA3430" t="s">
        <v>38367</v>
      </c>
      <c r="AB3430" t="s">
        <v>16892</v>
      </c>
      <c r="AC3430" t="s">
        <v>4168</v>
      </c>
      <c r="AD3430" t="s">
        <v>32</v>
      </c>
      <c r="AE3430" t="s">
        <v>16560</v>
      </c>
      <c r="AF3430" t="s">
        <v>46835</v>
      </c>
    </row>
    <row r="3431" spans="1:32" x14ac:dyDescent="0.2">
      <c r="A3431">
        <v>3426</v>
      </c>
      <c r="B3431" t="s">
        <v>38368</v>
      </c>
      <c r="C3431" t="s">
        <v>38369</v>
      </c>
      <c r="D3431" t="s">
        <v>38370</v>
      </c>
      <c r="E3431" t="s">
        <v>38371</v>
      </c>
      <c r="F3431" t="s">
        <v>38372</v>
      </c>
      <c r="G3431" t="s">
        <v>38373</v>
      </c>
      <c r="H3431" t="str">
        <f>"Ptbp3"</f>
        <v>Ptbp3</v>
      </c>
      <c r="I3431" t="s">
        <v>38374</v>
      </c>
      <c r="J3431" t="s">
        <v>37</v>
      </c>
      <c r="K3431">
        <v>10090</v>
      </c>
      <c r="L3431" s="3" t="str">
        <f>HYPERLINK("http://www.uniprot.org/uniprot/Q8BHD7", "Q8BHD7")</f>
        <v>Q8BHD7</v>
      </c>
      <c r="M3431" t="s">
        <v>38375</v>
      </c>
      <c r="N3431" t="str">
        <f>"Ptbp3"</f>
        <v>Ptbp3</v>
      </c>
      <c r="O3431" s="3" t="str">
        <f>HYPERLINK("http://www.informatics.jax.org/marker/MGI:1923334", "MGI:1923334")</f>
        <v>MGI:1923334</v>
      </c>
      <c r="P3431" t="s">
        <v>38376</v>
      </c>
      <c r="Q3431" t="s">
        <v>38377</v>
      </c>
      <c r="R3431" t="s">
        <v>32</v>
      </c>
      <c r="S3431" t="s">
        <v>41</v>
      </c>
      <c r="T3431" t="s">
        <v>32</v>
      </c>
      <c r="U3431" t="s">
        <v>32</v>
      </c>
      <c r="V3431" t="s">
        <v>55</v>
      </c>
      <c r="W3431" t="s">
        <v>32</v>
      </c>
      <c r="X3431" t="s">
        <v>9766</v>
      </c>
      <c r="Y3431" t="s">
        <v>516</v>
      </c>
      <c r="Z3431" t="s">
        <v>32</v>
      </c>
      <c r="AA3431" t="s">
        <v>38378</v>
      </c>
      <c r="AB3431" t="s">
        <v>3606</v>
      </c>
      <c r="AC3431" t="s">
        <v>4168</v>
      </c>
      <c r="AD3431" t="s">
        <v>32</v>
      </c>
      <c r="AE3431" t="s">
        <v>32</v>
      </c>
      <c r="AF3431" t="s">
        <v>46835</v>
      </c>
    </row>
    <row r="3432" spans="1:32" x14ac:dyDescent="0.2">
      <c r="A3432">
        <v>3427</v>
      </c>
      <c r="B3432" t="s">
        <v>38379</v>
      </c>
      <c r="C3432" t="s">
        <v>38380</v>
      </c>
      <c r="D3432" t="s">
        <v>38381</v>
      </c>
      <c r="E3432" t="s">
        <v>38382</v>
      </c>
      <c r="F3432" t="s">
        <v>38383</v>
      </c>
      <c r="G3432" t="s">
        <v>32</v>
      </c>
      <c r="H3432" t="str">
        <f>"Lgmn"</f>
        <v>Lgmn</v>
      </c>
      <c r="I3432" t="s">
        <v>38384</v>
      </c>
      <c r="J3432" t="s">
        <v>37</v>
      </c>
      <c r="K3432">
        <v>10090</v>
      </c>
      <c r="L3432" s="3" t="str">
        <f>HYPERLINK("http://www.uniprot.org/uniprot/O89017", "O89017")</f>
        <v>O89017</v>
      </c>
      <c r="M3432" t="s">
        <v>38385</v>
      </c>
      <c r="N3432" t="str">
        <f>"Lgmn"</f>
        <v>Lgmn</v>
      </c>
      <c r="O3432" s="3" t="str">
        <f>HYPERLINK("http://www.informatics.jax.org/marker/MGI:1330838", "MGI:1330838")</f>
        <v>MGI:1330838</v>
      </c>
      <c r="P3432" t="s">
        <v>38386</v>
      </c>
      <c r="Q3432" t="s">
        <v>32</v>
      </c>
      <c r="R3432" t="s">
        <v>13962</v>
      </c>
      <c r="S3432" t="s">
        <v>32</v>
      </c>
      <c r="T3432" t="s">
        <v>32</v>
      </c>
      <c r="U3432" t="s">
        <v>32</v>
      </c>
      <c r="V3432" t="s">
        <v>811</v>
      </c>
      <c r="W3432" t="s">
        <v>32</v>
      </c>
      <c r="X3432" t="s">
        <v>557</v>
      </c>
      <c r="Y3432" t="s">
        <v>5781</v>
      </c>
      <c r="Z3432" t="s">
        <v>126</v>
      </c>
      <c r="AA3432" t="s">
        <v>38387</v>
      </c>
      <c r="AB3432" t="s">
        <v>38388</v>
      </c>
      <c r="AC3432" t="s">
        <v>38389</v>
      </c>
      <c r="AD3432" t="s">
        <v>32</v>
      </c>
      <c r="AE3432" t="s">
        <v>38390</v>
      </c>
      <c r="AF3432" t="s">
        <v>46835</v>
      </c>
    </row>
    <row r="3433" spans="1:32" x14ac:dyDescent="0.2">
      <c r="A3433">
        <v>3428</v>
      </c>
      <c r="B3433" t="s">
        <v>38391</v>
      </c>
      <c r="C3433" t="s">
        <v>38392</v>
      </c>
      <c r="D3433" t="s">
        <v>38393</v>
      </c>
      <c r="E3433" t="s">
        <v>38394</v>
      </c>
      <c r="F3433" t="s">
        <v>38395</v>
      </c>
      <c r="G3433" t="s">
        <v>38396</v>
      </c>
      <c r="H3433" t="str">
        <f>"Pus10"</f>
        <v>Pus10</v>
      </c>
      <c r="I3433" t="s">
        <v>32</v>
      </c>
      <c r="J3433" t="s">
        <v>37</v>
      </c>
      <c r="K3433">
        <v>10090</v>
      </c>
      <c r="L3433" s="3" t="str">
        <f>HYPERLINK("http://www.uniprot.org/uniprot/Q9D3U0", "Q9D3U0")</f>
        <v>Q9D3U0</v>
      </c>
      <c r="M3433" t="s">
        <v>38397</v>
      </c>
      <c r="N3433" t="str">
        <f>"Pus10"</f>
        <v>Pus10</v>
      </c>
      <c r="O3433" s="3" t="str">
        <f>HYPERLINK("http://www.informatics.jax.org/marker/MGI:1921717", "MGI:1921717")</f>
        <v>MGI:1921717</v>
      </c>
      <c r="P3433" t="s">
        <v>38398</v>
      </c>
      <c r="Q3433" t="s">
        <v>4386</v>
      </c>
      <c r="R3433" t="s">
        <v>1021</v>
      </c>
      <c r="S3433" t="s">
        <v>32</v>
      </c>
      <c r="T3433" t="s">
        <v>32</v>
      </c>
      <c r="U3433" t="s">
        <v>32</v>
      </c>
      <c r="V3433" t="s">
        <v>290</v>
      </c>
      <c r="W3433" t="s">
        <v>42</v>
      </c>
      <c r="X3433" t="s">
        <v>673</v>
      </c>
      <c r="Y3433" t="s">
        <v>618</v>
      </c>
      <c r="Z3433" t="s">
        <v>32</v>
      </c>
      <c r="AA3433" t="s">
        <v>38399</v>
      </c>
      <c r="AB3433" t="s">
        <v>12211</v>
      </c>
      <c r="AC3433" t="s">
        <v>38400</v>
      </c>
      <c r="AD3433" t="s">
        <v>32</v>
      </c>
      <c r="AE3433" t="s">
        <v>32</v>
      </c>
      <c r="AF3433" t="s">
        <v>46835</v>
      </c>
    </row>
    <row r="3434" spans="1:32" x14ac:dyDescent="0.2">
      <c r="A3434">
        <v>3429</v>
      </c>
      <c r="B3434" t="s">
        <v>38401</v>
      </c>
      <c r="C3434" t="s">
        <v>38402</v>
      </c>
      <c r="D3434" t="s">
        <v>4288</v>
      </c>
      <c r="E3434" t="s">
        <v>38403</v>
      </c>
      <c r="F3434" t="s">
        <v>38404</v>
      </c>
      <c r="G3434" t="s">
        <v>38405</v>
      </c>
      <c r="H3434" t="str">
        <f>"Lars2"</f>
        <v>Lars2</v>
      </c>
      <c r="I3434" t="s">
        <v>32</v>
      </c>
      <c r="J3434" t="s">
        <v>37</v>
      </c>
      <c r="K3434">
        <v>10090</v>
      </c>
      <c r="L3434" s="3" t="str">
        <f>HYPERLINK("http://www.uniprot.org/uniprot/Q8VDC0", "Q8VDC0")</f>
        <v>Q8VDC0</v>
      </c>
      <c r="M3434" t="s">
        <v>38406</v>
      </c>
      <c r="N3434" t="str">
        <f>"Lars2"</f>
        <v>Lars2</v>
      </c>
      <c r="O3434" s="3" t="str">
        <f>HYPERLINK("http://www.informatics.jax.org/marker/MGI:2142973", "MGI:2142973")</f>
        <v>MGI:2142973</v>
      </c>
      <c r="P3434" t="s">
        <v>22783</v>
      </c>
      <c r="Q3434" t="s">
        <v>260</v>
      </c>
      <c r="R3434" t="s">
        <v>1038</v>
      </c>
      <c r="S3434" t="s">
        <v>32</v>
      </c>
      <c r="T3434" t="s">
        <v>32</v>
      </c>
      <c r="U3434" t="s">
        <v>32</v>
      </c>
      <c r="V3434" t="s">
        <v>1039</v>
      </c>
      <c r="W3434" t="s">
        <v>205</v>
      </c>
      <c r="X3434" t="s">
        <v>2983</v>
      </c>
      <c r="Y3434" t="s">
        <v>78</v>
      </c>
      <c r="Z3434" t="s">
        <v>32</v>
      </c>
      <c r="AA3434" t="s">
        <v>38407</v>
      </c>
      <c r="AB3434" t="s">
        <v>2128</v>
      </c>
      <c r="AC3434" t="s">
        <v>38408</v>
      </c>
      <c r="AD3434" t="s">
        <v>32</v>
      </c>
      <c r="AE3434" t="s">
        <v>32</v>
      </c>
      <c r="AF3434" t="s">
        <v>46835</v>
      </c>
    </row>
    <row r="3435" spans="1:32" x14ac:dyDescent="0.2">
      <c r="A3435">
        <v>3430</v>
      </c>
      <c r="B3435" t="s">
        <v>38409</v>
      </c>
      <c r="C3435" t="s">
        <v>38410</v>
      </c>
      <c r="D3435" t="s">
        <v>38411</v>
      </c>
      <c r="E3435" t="s">
        <v>38412</v>
      </c>
      <c r="F3435" t="s">
        <v>38413</v>
      </c>
      <c r="G3435" t="s">
        <v>38414</v>
      </c>
      <c r="H3435" t="str">
        <f>"Srgap2"</f>
        <v>Srgap2</v>
      </c>
      <c r="I3435" t="s">
        <v>32</v>
      </c>
      <c r="J3435" t="s">
        <v>37</v>
      </c>
      <c r="K3435">
        <v>10090</v>
      </c>
      <c r="L3435" s="3" t="str">
        <f>HYPERLINK("http://www.uniprot.org/uniprot/Q91Z67", "Q91Z67")</f>
        <v>Q91Z67</v>
      </c>
      <c r="M3435" t="s">
        <v>38415</v>
      </c>
      <c r="N3435" t="str">
        <f>"Srgap2"</f>
        <v>Srgap2</v>
      </c>
      <c r="O3435" s="3" t="str">
        <f>HYPERLINK("http://www.informatics.jax.org/marker/MGI:109605", "MGI:109605")</f>
        <v>MGI:109605</v>
      </c>
      <c r="P3435" t="s">
        <v>38416</v>
      </c>
      <c r="Q3435" t="s">
        <v>1429</v>
      </c>
      <c r="R3435" t="s">
        <v>38417</v>
      </c>
      <c r="S3435" t="s">
        <v>32</v>
      </c>
      <c r="T3435" t="s">
        <v>32</v>
      </c>
      <c r="U3435" t="s">
        <v>32</v>
      </c>
      <c r="V3435" t="s">
        <v>1606</v>
      </c>
      <c r="W3435" t="s">
        <v>32</v>
      </c>
      <c r="X3435" t="s">
        <v>715</v>
      </c>
      <c r="Y3435" t="s">
        <v>2734</v>
      </c>
      <c r="Z3435" t="s">
        <v>32</v>
      </c>
      <c r="AA3435" t="s">
        <v>38418</v>
      </c>
      <c r="AB3435" t="s">
        <v>38419</v>
      </c>
      <c r="AC3435" t="s">
        <v>38420</v>
      </c>
      <c r="AD3435" t="s">
        <v>32</v>
      </c>
      <c r="AE3435" t="s">
        <v>38421</v>
      </c>
      <c r="AF3435" t="s">
        <v>46835</v>
      </c>
    </row>
    <row r="3436" spans="1:32" x14ac:dyDescent="0.2">
      <c r="A3436">
        <v>3431</v>
      </c>
      <c r="B3436" t="s">
        <v>38422</v>
      </c>
      <c r="C3436" t="s">
        <v>38423</v>
      </c>
      <c r="D3436" t="s">
        <v>38424</v>
      </c>
      <c r="E3436" t="s">
        <v>38425</v>
      </c>
      <c r="F3436" t="s">
        <v>38426</v>
      </c>
      <c r="G3436" t="s">
        <v>38427</v>
      </c>
      <c r="H3436" t="str">
        <f>"Cbfb"</f>
        <v>Cbfb</v>
      </c>
      <c r="I3436" t="s">
        <v>38428</v>
      </c>
      <c r="J3436" t="s">
        <v>37</v>
      </c>
      <c r="K3436">
        <v>10090</v>
      </c>
      <c r="L3436" s="3" t="str">
        <f>HYPERLINK("http://www.uniprot.org/uniprot/Q08024", "Q08024")</f>
        <v>Q08024</v>
      </c>
      <c r="M3436" t="s">
        <v>38429</v>
      </c>
      <c r="N3436" t="str">
        <f>"Cbfb"</f>
        <v>Cbfb</v>
      </c>
      <c r="O3436" s="3" t="str">
        <f>HYPERLINK("http://www.informatics.jax.org/marker/MGI:99851", "MGI:99851")</f>
        <v>MGI:99851</v>
      </c>
      <c r="P3436" t="s">
        <v>38430</v>
      </c>
      <c r="Q3436" t="s">
        <v>32</v>
      </c>
      <c r="R3436" t="s">
        <v>2279</v>
      </c>
      <c r="S3436" t="s">
        <v>41</v>
      </c>
      <c r="T3436" t="s">
        <v>32</v>
      </c>
      <c r="U3436" t="s">
        <v>32</v>
      </c>
      <c r="V3436" t="s">
        <v>32</v>
      </c>
      <c r="W3436" t="s">
        <v>32</v>
      </c>
      <c r="X3436" t="s">
        <v>32</v>
      </c>
      <c r="Y3436" t="s">
        <v>618</v>
      </c>
      <c r="Z3436" t="s">
        <v>126</v>
      </c>
      <c r="AA3436" t="s">
        <v>38431</v>
      </c>
      <c r="AB3436" t="s">
        <v>38432</v>
      </c>
      <c r="AC3436" t="s">
        <v>38433</v>
      </c>
      <c r="AD3436" t="s">
        <v>32</v>
      </c>
      <c r="AE3436" t="s">
        <v>38434</v>
      </c>
      <c r="AF3436" t="s">
        <v>46835</v>
      </c>
    </row>
    <row r="3437" spans="1:32" x14ac:dyDescent="0.2">
      <c r="A3437">
        <v>3432</v>
      </c>
      <c r="B3437" t="s">
        <v>38435</v>
      </c>
      <c r="C3437" t="s">
        <v>38436</v>
      </c>
      <c r="D3437" t="s">
        <v>32</v>
      </c>
      <c r="E3437" t="s">
        <v>38437</v>
      </c>
      <c r="F3437" t="s">
        <v>38438</v>
      </c>
      <c r="G3437" t="s">
        <v>38439</v>
      </c>
      <c r="H3437" t="str">
        <f>"Wwox"</f>
        <v>Wwox</v>
      </c>
      <c r="I3437" t="s">
        <v>38440</v>
      </c>
      <c r="J3437" t="s">
        <v>37</v>
      </c>
      <c r="K3437">
        <v>10090</v>
      </c>
      <c r="L3437" s="3" t="str">
        <f>HYPERLINK("http://www.uniprot.org/uniprot/Q91WL8", "Q91WL8")</f>
        <v>Q91WL8</v>
      </c>
      <c r="M3437" t="s">
        <v>38441</v>
      </c>
      <c r="N3437" t="str">
        <f>"Wwox"</f>
        <v>Wwox</v>
      </c>
      <c r="O3437" s="3" t="str">
        <f>HYPERLINK("http://www.informatics.jax.org/marker/MGI:1931237", "MGI:1931237")</f>
        <v>MGI:1931237</v>
      </c>
      <c r="P3437" t="s">
        <v>38442</v>
      </c>
      <c r="Q3437" t="s">
        <v>38443</v>
      </c>
      <c r="R3437" t="s">
        <v>1021</v>
      </c>
      <c r="S3437" t="s">
        <v>41</v>
      </c>
      <c r="T3437" t="s">
        <v>32</v>
      </c>
      <c r="U3437" t="s">
        <v>1636</v>
      </c>
      <c r="V3437" t="s">
        <v>55</v>
      </c>
      <c r="W3437" t="s">
        <v>3204</v>
      </c>
      <c r="X3437" t="s">
        <v>600</v>
      </c>
      <c r="Y3437" t="s">
        <v>2836</v>
      </c>
      <c r="Z3437" t="s">
        <v>32</v>
      </c>
      <c r="AA3437" t="s">
        <v>38444</v>
      </c>
      <c r="AB3437" t="s">
        <v>38445</v>
      </c>
      <c r="AC3437" t="s">
        <v>38446</v>
      </c>
      <c r="AD3437" t="s">
        <v>32</v>
      </c>
      <c r="AE3437" t="s">
        <v>38447</v>
      </c>
      <c r="AF3437" t="s">
        <v>46835</v>
      </c>
    </row>
    <row r="3438" spans="1:32" x14ac:dyDescent="0.2">
      <c r="A3438">
        <v>3433</v>
      </c>
      <c r="B3438" t="s">
        <v>38448</v>
      </c>
      <c r="C3438" t="s">
        <v>38449</v>
      </c>
      <c r="D3438" t="s">
        <v>38450</v>
      </c>
      <c r="E3438" t="s">
        <v>38451</v>
      </c>
      <c r="F3438" t="s">
        <v>38452</v>
      </c>
      <c r="G3438" t="s">
        <v>38453</v>
      </c>
      <c r="H3438" t="str">
        <f>"Mid1"</f>
        <v>Mid1</v>
      </c>
      <c r="I3438" t="s">
        <v>38454</v>
      </c>
      <c r="J3438" t="s">
        <v>37</v>
      </c>
      <c r="K3438">
        <v>10090</v>
      </c>
      <c r="L3438" s="3" t="str">
        <f>HYPERLINK("http://www.uniprot.org/uniprot/O70583", "O70583")</f>
        <v>O70583</v>
      </c>
      <c r="M3438" t="s">
        <v>38455</v>
      </c>
      <c r="N3438" t="str">
        <f>"Mid1"</f>
        <v>Mid1</v>
      </c>
      <c r="O3438" s="3" t="str">
        <f>HYPERLINK("http://www.informatics.jax.org/marker/MGI:1100537", "MGI:1100537")</f>
        <v>MGI:1100537</v>
      </c>
      <c r="P3438" t="s">
        <v>38456</v>
      </c>
      <c r="Q3438" t="s">
        <v>1020</v>
      </c>
      <c r="R3438" t="s">
        <v>341</v>
      </c>
      <c r="S3438" t="s">
        <v>41</v>
      </c>
      <c r="T3438" t="s">
        <v>32</v>
      </c>
      <c r="U3438" t="s">
        <v>32</v>
      </c>
      <c r="V3438" t="s">
        <v>12028</v>
      </c>
      <c r="W3438" t="s">
        <v>42</v>
      </c>
      <c r="X3438" t="s">
        <v>515</v>
      </c>
      <c r="Y3438" t="s">
        <v>618</v>
      </c>
      <c r="Z3438" t="s">
        <v>32</v>
      </c>
      <c r="AA3438" t="s">
        <v>38457</v>
      </c>
      <c r="AB3438" t="s">
        <v>38458</v>
      </c>
      <c r="AC3438" t="s">
        <v>38459</v>
      </c>
      <c r="AD3438" t="s">
        <v>32</v>
      </c>
      <c r="AE3438" t="s">
        <v>32</v>
      </c>
      <c r="AF3438" t="s">
        <v>46835</v>
      </c>
    </row>
    <row r="3439" spans="1:32" x14ac:dyDescent="0.2">
      <c r="A3439">
        <v>3434</v>
      </c>
      <c r="B3439" t="s">
        <v>38460</v>
      </c>
      <c r="C3439" t="s">
        <v>38461</v>
      </c>
      <c r="D3439" t="s">
        <v>38462</v>
      </c>
      <c r="E3439" t="s">
        <v>38463</v>
      </c>
      <c r="F3439" t="s">
        <v>38464</v>
      </c>
      <c r="G3439" t="s">
        <v>38465</v>
      </c>
      <c r="H3439" t="str">
        <f>"Atat1"</f>
        <v>Atat1</v>
      </c>
      <c r="I3439" t="s">
        <v>38466</v>
      </c>
      <c r="J3439" t="s">
        <v>37</v>
      </c>
      <c r="K3439">
        <v>10090</v>
      </c>
      <c r="L3439" s="3" t="str">
        <f>HYPERLINK("http://www.uniprot.org/uniprot/Q8K341", "Q8K341")</f>
        <v>Q8K341</v>
      </c>
      <c r="M3439" t="s">
        <v>38467</v>
      </c>
      <c r="N3439" t="str">
        <f>"Atat1"</f>
        <v>Atat1</v>
      </c>
      <c r="O3439" s="3" t="str">
        <f>HYPERLINK("http://www.informatics.jax.org/marker/MGI:1913869", "MGI:1913869")</f>
        <v>MGI:1913869</v>
      </c>
      <c r="P3439" t="s">
        <v>38468</v>
      </c>
      <c r="Q3439" t="s">
        <v>32</v>
      </c>
      <c r="R3439" t="s">
        <v>38469</v>
      </c>
      <c r="S3439" t="s">
        <v>41</v>
      </c>
      <c r="T3439" t="s">
        <v>32</v>
      </c>
      <c r="U3439" t="s">
        <v>32</v>
      </c>
      <c r="V3439" t="s">
        <v>32</v>
      </c>
      <c r="W3439" t="s">
        <v>32</v>
      </c>
      <c r="X3439" t="s">
        <v>7304</v>
      </c>
      <c r="Y3439" t="s">
        <v>97</v>
      </c>
      <c r="Z3439" t="s">
        <v>32</v>
      </c>
      <c r="AA3439" t="s">
        <v>38470</v>
      </c>
      <c r="AB3439" t="s">
        <v>38471</v>
      </c>
      <c r="AC3439" t="s">
        <v>38472</v>
      </c>
      <c r="AD3439" t="s">
        <v>32</v>
      </c>
      <c r="AE3439" t="s">
        <v>38473</v>
      </c>
      <c r="AF3439" t="s">
        <v>46835</v>
      </c>
    </row>
    <row r="3440" spans="1:32" x14ac:dyDescent="0.2">
      <c r="A3440">
        <v>3435</v>
      </c>
      <c r="B3440" t="s">
        <v>38474</v>
      </c>
      <c r="C3440" t="s">
        <v>38475</v>
      </c>
      <c r="D3440" t="s">
        <v>38476</v>
      </c>
      <c r="E3440" t="s">
        <v>38477</v>
      </c>
      <c r="F3440" t="s">
        <v>38478</v>
      </c>
      <c r="G3440" t="s">
        <v>38479</v>
      </c>
      <c r="H3440" t="str">
        <f>"Trmt11"</f>
        <v>Trmt11</v>
      </c>
      <c r="I3440" t="s">
        <v>32</v>
      </c>
      <c r="J3440" t="s">
        <v>37</v>
      </c>
      <c r="K3440">
        <v>10090</v>
      </c>
      <c r="L3440" s="3" t="str">
        <f>HYPERLINK("http://www.uniprot.org/uniprot/Q9CWH5", "Q9CWH5")</f>
        <v>Q9CWH5</v>
      </c>
      <c r="M3440" t="s">
        <v>38480</v>
      </c>
      <c r="N3440" t="str">
        <f>"Trmt11"</f>
        <v>Trmt11</v>
      </c>
      <c r="O3440" s="3" t="str">
        <f>HYPERLINK("http://www.informatics.jax.org/marker/MGI:1920931", "MGI:1920931")</f>
        <v>MGI:1920931</v>
      </c>
      <c r="P3440" t="s">
        <v>38481</v>
      </c>
      <c r="Q3440" t="s">
        <v>4386</v>
      </c>
      <c r="R3440" t="s">
        <v>32</v>
      </c>
      <c r="S3440" t="s">
        <v>41</v>
      </c>
      <c r="T3440" t="s">
        <v>32</v>
      </c>
      <c r="U3440" t="s">
        <v>32</v>
      </c>
      <c r="V3440" t="s">
        <v>32</v>
      </c>
      <c r="W3440" t="s">
        <v>1705</v>
      </c>
      <c r="X3440" t="s">
        <v>8598</v>
      </c>
      <c r="Y3440" t="s">
        <v>78</v>
      </c>
      <c r="Z3440" t="s">
        <v>32</v>
      </c>
      <c r="AA3440" t="s">
        <v>32</v>
      </c>
      <c r="AB3440" t="s">
        <v>2172</v>
      </c>
      <c r="AC3440" t="s">
        <v>38482</v>
      </c>
      <c r="AD3440" t="s">
        <v>32</v>
      </c>
      <c r="AE3440" t="s">
        <v>32</v>
      </c>
      <c r="AF3440" t="s">
        <v>46835</v>
      </c>
    </row>
    <row r="3441" spans="1:33" x14ac:dyDescent="0.2">
      <c r="A3441">
        <v>3436</v>
      </c>
      <c r="B3441" t="s">
        <v>38483</v>
      </c>
      <c r="C3441" t="s">
        <v>38484</v>
      </c>
      <c r="D3441" t="s">
        <v>38485</v>
      </c>
      <c r="E3441" t="s">
        <v>38486</v>
      </c>
      <c r="F3441" t="s">
        <v>38487</v>
      </c>
      <c r="G3441" t="s">
        <v>38488</v>
      </c>
      <c r="H3441" t="str">
        <f>"Lpcat1"</f>
        <v>Lpcat1</v>
      </c>
      <c r="I3441" t="s">
        <v>38489</v>
      </c>
      <c r="J3441" t="s">
        <v>37</v>
      </c>
      <c r="K3441">
        <v>10090</v>
      </c>
      <c r="L3441" s="3" t="str">
        <f>HYPERLINK("http://www.uniprot.org/uniprot/Q3TFD2", "Q3TFD2")</f>
        <v>Q3TFD2</v>
      </c>
      <c r="M3441" t="s">
        <v>38490</v>
      </c>
      <c r="N3441" t="str">
        <f>"Lpcat1"</f>
        <v>Lpcat1</v>
      </c>
      <c r="O3441" s="3" t="str">
        <f>HYPERLINK("http://www.informatics.jax.org/marker/MGI:2384812", "MGI:2384812")</f>
        <v>MGI:2384812</v>
      </c>
      <c r="P3441" t="s">
        <v>38491</v>
      </c>
      <c r="Q3441" t="s">
        <v>22663</v>
      </c>
      <c r="R3441" t="s">
        <v>38492</v>
      </c>
      <c r="S3441" t="s">
        <v>41</v>
      </c>
      <c r="T3441" t="s">
        <v>32</v>
      </c>
      <c r="U3441" t="s">
        <v>32</v>
      </c>
      <c r="V3441" t="s">
        <v>19368</v>
      </c>
      <c r="W3441" t="s">
        <v>188</v>
      </c>
      <c r="X3441" t="s">
        <v>7304</v>
      </c>
      <c r="Y3441" t="s">
        <v>32</v>
      </c>
      <c r="Z3441" t="s">
        <v>32</v>
      </c>
      <c r="AA3441" t="s">
        <v>38493</v>
      </c>
      <c r="AB3441" t="s">
        <v>38494</v>
      </c>
      <c r="AC3441" t="s">
        <v>38495</v>
      </c>
      <c r="AD3441" t="s">
        <v>22667</v>
      </c>
      <c r="AE3441" t="s">
        <v>38496</v>
      </c>
      <c r="AF3441" t="s">
        <v>46835</v>
      </c>
    </row>
    <row r="3442" spans="1:33" x14ac:dyDescent="0.2">
      <c r="A3442">
        <v>3437</v>
      </c>
      <c r="B3442" t="s">
        <v>38497</v>
      </c>
      <c r="C3442" t="s">
        <v>38498</v>
      </c>
      <c r="D3442" t="s">
        <v>32</v>
      </c>
      <c r="E3442" t="s">
        <v>38499</v>
      </c>
      <c r="F3442" t="s">
        <v>38500</v>
      </c>
      <c r="G3442" t="s">
        <v>38501</v>
      </c>
      <c r="H3442" t="str">
        <f>"Snrpb2"</f>
        <v>Snrpb2</v>
      </c>
      <c r="I3442" t="s">
        <v>32</v>
      </c>
      <c r="J3442" t="s">
        <v>37</v>
      </c>
      <c r="K3442">
        <v>10090</v>
      </c>
      <c r="L3442" s="3" t="str">
        <f>HYPERLINK("http://www.uniprot.org/uniprot/Q9CQI7", "Q9CQI7")</f>
        <v>Q9CQI7</v>
      </c>
      <c r="M3442" t="s">
        <v>38502</v>
      </c>
      <c r="N3442" t="str">
        <f>"Snrpb2"</f>
        <v>Snrpb2</v>
      </c>
      <c r="O3442" s="3" t="str">
        <f>HYPERLINK("http://www.informatics.jax.org/marker/MGI:104805", "MGI:104805")</f>
        <v>MGI:104805</v>
      </c>
      <c r="P3442" t="s">
        <v>38503</v>
      </c>
      <c r="Q3442" t="s">
        <v>2139</v>
      </c>
      <c r="R3442" t="s">
        <v>2140</v>
      </c>
      <c r="S3442" t="s">
        <v>32</v>
      </c>
      <c r="T3442" t="s">
        <v>32</v>
      </c>
      <c r="U3442" t="s">
        <v>32</v>
      </c>
      <c r="V3442" t="s">
        <v>55</v>
      </c>
      <c r="W3442" t="s">
        <v>32</v>
      </c>
      <c r="X3442" t="s">
        <v>1129</v>
      </c>
      <c r="Y3442" t="s">
        <v>516</v>
      </c>
      <c r="Z3442" t="s">
        <v>32</v>
      </c>
      <c r="AA3442" t="s">
        <v>8104</v>
      </c>
      <c r="AB3442" t="s">
        <v>38504</v>
      </c>
      <c r="AC3442" t="s">
        <v>38505</v>
      </c>
      <c r="AD3442" t="s">
        <v>32</v>
      </c>
      <c r="AE3442" t="s">
        <v>32</v>
      </c>
      <c r="AF3442" t="s">
        <v>46835</v>
      </c>
    </row>
    <row r="3443" spans="1:33" x14ac:dyDescent="0.2">
      <c r="A3443">
        <v>3438</v>
      </c>
      <c r="B3443" t="s">
        <v>38506</v>
      </c>
      <c r="C3443" t="s">
        <v>38507</v>
      </c>
      <c r="D3443" t="s">
        <v>32</v>
      </c>
      <c r="E3443" t="s">
        <v>38508</v>
      </c>
      <c r="F3443" t="s">
        <v>38509</v>
      </c>
      <c r="G3443" t="s">
        <v>38510</v>
      </c>
      <c r="H3443" t="str">
        <f>"Scrn3"</f>
        <v>Scrn3</v>
      </c>
      <c r="I3443" t="s">
        <v>32</v>
      </c>
      <c r="J3443" t="s">
        <v>37</v>
      </c>
      <c r="K3443">
        <v>10090</v>
      </c>
      <c r="L3443" s="3" t="str">
        <f>HYPERLINK("http://www.uniprot.org/uniprot/Q3TMH2", "Q3TMH2")</f>
        <v>Q3TMH2</v>
      </c>
      <c r="M3443" t="s">
        <v>38511</v>
      </c>
      <c r="N3443" t="str">
        <f>"Scrn3"</f>
        <v>Scrn3</v>
      </c>
      <c r="O3443" s="3" t="str">
        <f>HYPERLINK("http://www.informatics.jax.org/marker/MGI:1921866", "MGI:1921866")</f>
        <v>MGI:1921866</v>
      </c>
      <c r="P3443" t="s">
        <v>32</v>
      </c>
      <c r="Q3443" t="s">
        <v>32</v>
      </c>
      <c r="R3443" t="s">
        <v>32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32</v>
      </c>
      <c r="Y3443" t="s">
        <v>32</v>
      </c>
      <c r="Z3443" t="s">
        <v>32</v>
      </c>
      <c r="AA3443" t="s">
        <v>4615</v>
      </c>
      <c r="AB3443" t="s">
        <v>32</v>
      </c>
      <c r="AC3443" t="s">
        <v>7877</v>
      </c>
      <c r="AD3443" t="s">
        <v>32</v>
      </c>
      <c r="AE3443" t="s">
        <v>32</v>
      </c>
      <c r="AF3443" t="s">
        <v>46835</v>
      </c>
    </row>
    <row r="3444" spans="1:33" x14ac:dyDescent="0.2">
      <c r="A3444">
        <v>3439</v>
      </c>
      <c r="B3444" t="s">
        <v>38512</v>
      </c>
      <c r="C3444" t="s">
        <v>38513</v>
      </c>
      <c r="D3444" t="s">
        <v>38514</v>
      </c>
      <c r="E3444" t="s">
        <v>38515</v>
      </c>
      <c r="F3444" t="s">
        <v>38516</v>
      </c>
      <c r="G3444" t="s">
        <v>38517</v>
      </c>
      <c r="H3444" t="str">
        <f>"Prune1"</f>
        <v>Prune1</v>
      </c>
      <c r="I3444" t="s">
        <v>38518</v>
      </c>
      <c r="J3444" t="s">
        <v>37</v>
      </c>
      <c r="K3444">
        <v>10090</v>
      </c>
      <c r="L3444" s="3" t="str">
        <f>HYPERLINK("http://www.uniprot.org/uniprot/Q8BIW1", "Q8BIW1")</f>
        <v>Q8BIW1</v>
      </c>
      <c r="M3444" t="s">
        <v>38519</v>
      </c>
      <c r="N3444" t="str">
        <f>"Prune1"</f>
        <v>Prune1</v>
      </c>
      <c r="O3444" s="3" t="str">
        <f>HYPERLINK("http://www.informatics.jax.org/marker/MGI:1925152", "MGI:1925152")</f>
        <v>MGI:1925152</v>
      </c>
      <c r="P3444" t="s">
        <v>38520</v>
      </c>
      <c r="Q3444" t="s">
        <v>32</v>
      </c>
      <c r="R3444" t="s">
        <v>4128</v>
      </c>
      <c r="S3444" t="s">
        <v>32</v>
      </c>
      <c r="T3444" t="s">
        <v>32</v>
      </c>
      <c r="U3444" t="s">
        <v>32</v>
      </c>
      <c r="V3444" t="s">
        <v>32</v>
      </c>
      <c r="W3444" t="s">
        <v>5883</v>
      </c>
      <c r="X3444" t="s">
        <v>343</v>
      </c>
      <c r="Y3444" t="s">
        <v>157</v>
      </c>
      <c r="Z3444" t="s">
        <v>32</v>
      </c>
      <c r="AA3444" t="s">
        <v>38521</v>
      </c>
      <c r="AB3444" t="s">
        <v>38522</v>
      </c>
      <c r="AC3444" t="s">
        <v>38523</v>
      </c>
      <c r="AD3444" t="s">
        <v>32</v>
      </c>
      <c r="AE3444" t="s">
        <v>32</v>
      </c>
      <c r="AF3444" t="s">
        <v>46835</v>
      </c>
    </row>
    <row r="3445" spans="1:33" x14ac:dyDescent="0.2">
      <c r="A3445">
        <v>3440</v>
      </c>
      <c r="B3445" t="s">
        <v>38524</v>
      </c>
      <c r="C3445" t="s">
        <v>38525</v>
      </c>
      <c r="D3445" t="s">
        <v>38526</v>
      </c>
      <c r="E3445" t="s">
        <v>38527</v>
      </c>
      <c r="F3445" t="s">
        <v>38528</v>
      </c>
      <c r="G3445" t="s">
        <v>32</v>
      </c>
      <c r="H3445" t="str">
        <f>"Rfc4"</f>
        <v>Rfc4</v>
      </c>
      <c r="I3445" t="s">
        <v>32</v>
      </c>
      <c r="J3445" t="s">
        <v>37</v>
      </c>
      <c r="K3445">
        <v>10090</v>
      </c>
      <c r="L3445" s="3" t="str">
        <f>HYPERLINK("http://www.uniprot.org/uniprot/Q99J62", "Q99J62")</f>
        <v>Q99J62</v>
      </c>
      <c r="M3445" t="s">
        <v>38529</v>
      </c>
      <c r="N3445" t="str">
        <f>"Rfc4"</f>
        <v>Rfc4</v>
      </c>
      <c r="O3445" s="3" t="str">
        <f>HYPERLINK("http://www.informatics.jax.org/marker/MGI:2146571", "MGI:2146571")</f>
        <v>MGI:2146571</v>
      </c>
      <c r="P3445" t="s">
        <v>34922</v>
      </c>
      <c r="Q3445" t="s">
        <v>24093</v>
      </c>
      <c r="R3445" t="s">
        <v>2279</v>
      </c>
      <c r="S3445" t="s">
        <v>32</v>
      </c>
      <c r="T3445" t="s">
        <v>32</v>
      </c>
      <c r="U3445" t="s">
        <v>32</v>
      </c>
      <c r="V3445" t="s">
        <v>32</v>
      </c>
      <c r="W3445" t="s">
        <v>205</v>
      </c>
      <c r="X3445" t="s">
        <v>32</v>
      </c>
      <c r="Y3445" t="s">
        <v>78</v>
      </c>
      <c r="Z3445" t="s">
        <v>32</v>
      </c>
      <c r="AA3445" t="s">
        <v>34923</v>
      </c>
      <c r="AB3445" t="s">
        <v>38530</v>
      </c>
      <c r="AC3445" t="s">
        <v>34925</v>
      </c>
      <c r="AD3445" t="s">
        <v>32</v>
      </c>
      <c r="AE3445" t="s">
        <v>34926</v>
      </c>
      <c r="AF3445" t="s">
        <v>46835</v>
      </c>
    </row>
    <row r="3446" spans="1:33" x14ac:dyDescent="0.2">
      <c r="A3446">
        <v>3441</v>
      </c>
      <c r="B3446" t="s">
        <v>38531</v>
      </c>
      <c r="C3446" t="s">
        <v>38532</v>
      </c>
      <c r="D3446" t="s">
        <v>38533</v>
      </c>
      <c r="E3446" t="s">
        <v>38534</v>
      </c>
      <c r="F3446" t="s">
        <v>38535</v>
      </c>
      <c r="G3446" t="s">
        <v>32</v>
      </c>
      <c r="H3446" t="str">
        <f>"Clpb"</f>
        <v>Clpb</v>
      </c>
      <c r="I3446" t="s">
        <v>38536</v>
      </c>
      <c r="J3446" t="s">
        <v>37</v>
      </c>
      <c r="K3446">
        <v>10090</v>
      </c>
      <c r="L3446" s="3" t="str">
        <f>HYPERLINK("http://www.uniprot.org/uniprot/Q60649", "Q60649")</f>
        <v>Q60649</v>
      </c>
      <c r="M3446" t="s">
        <v>38537</v>
      </c>
      <c r="N3446" t="str">
        <f>"Clpb"</f>
        <v>Clpb</v>
      </c>
      <c r="O3446" s="3" t="str">
        <f>HYPERLINK("http://www.informatics.jax.org/marker/MGI:1100517", "MGI:1100517")</f>
        <v>MGI:1100517</v>
      </c>
      <c r="P3446" t="s">
        <v>38538</v>
      </c>
      <c r="Q3446" t="s">
        <v>32</v>
      </c>
      <c r="R3446" t="s">
        <v>1038</v>
      </c>
      <c r="S3446" t="s">
        <v>32</v>
      </c>
      <c r="T3446" t="s">
        <v>32</v>
      </c>
      <c r="U3446" t="s">
        <v>32</v>
      </c>
      <c r="V3446" t="s">
        <v>9251</v>
      </c>
      <c r="W3446" t="s">
        <v>205</v>
      </c>
      <c r="X3446" t="s">
        <v>343</v>
      </c>
      <c r="Y3446" t="s">
        <v>78</v>
      </c>
      <c r="Z3446" t="s">
        <v>32</v>
      </c>
      <c r="AA3446" t="s">
        <v>38539</v>
      </c>
      <c r="AB3446" t="s">
        <v>27645</v>
      </c>
      <c r="AC3446" t="s">
        <v>33555</v>
      </c>
      <c r="AD3446" t="s">
        <v>32</v>
      </c>
      <c r="AE3446" t="s">
        <v>32</v>
      </c>
      <c r="AF3446" t="s">
        <v>46835</v>
      </c>
    </row>
    <row r="3447" spans="1:33" x14ac:dyDescent="0.2">
      <c r="A3447">
        <v>3442</v>
      </c>
      <c r="B3447" t="s">
        <v>38540</v>
      </c>
      <c r="C3447" t="s">
        <v>38541</v>
      </c>
      <c r="D3447" t="s">
        <v>38542</v>
      </c>
      <c r="E3447" t="s">
        <v>38543</v>
      </c>
      <c r="F3447" t="s">
        <v>38544</v>
      </c>
      <c r="G3447" t="s">
        <v>32</v>
      </c>
      <c r="H3447" t="str">
        <f>"Mbnl1"</f>
        <v>Mbnl1</v>
      </c>
      <c r="I3447" t="s">
        <v>38545</v>
      </c>
      <c r="J3447" t="s">
        <v>37</v>
      </c>
      <c r="K3447">
        <v>10090</v>
      </c>
      <c r="L3447" s="3" t="str">
        <f>HYPERLINK("http://www.uniprot.org/uniprot/Q9JKP5", "Q9JKP5")</f>
        <v>Q9JKP5</v>
      </c>
      <c r="M3447" t="s">
        <v>38546</v>
      </c>
      <c r="N3447" t="str">
        <f>"Mbnl1"</f>
        <v>Mbnl1</v>
      </c>
      <c r="O3447" s="3" t="str">
        <f>HYPERLINK("http://www.informatics.jax.org/marker/MGI:1928482", "MGI:1928482")</f>
        <v>MGI:1928482</v>
      </c>
      <c r="P3447" t="s">
        <v>38547</v>
      </c>
      <c r="Q3447" t="s">
        <v>2139</v>
      </c>
      <c r="R3447" t="s">
        <v>40</v>
      </c>
      <c r="S3447" t="s">
        <v>32</v>
      </c>
      <c r="T3447" t="s">
        <v>32</v>
      </c>
      <c r="U3447" t="s">
        <v>32</v>
      </c>
      <c r="V3447" t="s">
        <v>3791</v>
      </c>
      <c r="W3447" t="s">
        <v>42</v>
      </c>
      <c r="X3447" t="s">
        <v>1282</v>
      </c>
      <c r="Y3447" t="s">
        <v>618</v>
      </c>
      <c r="Z3447" t="s">
        <v>32</v>
      </c>
      <c r="AA3447" t="s">
        <v>38548</v>
      </c>
      <c r="AB3447" t="s">
        <v>38549</v>
      </c>
      <c r="AC3447" t="s">
        <v>38550</v>
      </c>
      <c r="AD3447" t="s">
        <v>32</v>
      </c>
      <c r="AE3447" t="s">
        <v>32</v>
      </c>
      <c r="AF3447" t="s">
        <v>46835</v>
      </c>
    </row>
    <row r="3448" spans="1:33" x14ac:dyDescent="0.2">
      <c r="A3448">
        <v>3443</v>
      </c>
      <c r="B3448" t="s">
        <v>38551</v>
      </c>
      <c r="C3448" t="s">
        <v>38552</v>
      </c>
      <c r="D3448" t="s">
        <v>38553</v>
      </c>
      <c r="E3448" t="s">
        <v>38554</v>
      </c>
      <c r="F3448" t="s">
        <v>38555</v>
      </c>
      <c r="G3448" t="s">
        <v>38556</v>
      </c>
      <c r="H3448" t="str">
        <f>"Rbm15"</f>
        <v>Rbm15</v>
      </c>
      <c r="I3448" t="s">
        <v>32</v>
      </c>
      <c r="J3448" t="s">
        <v>37</v>
      </c>
      <c r="K3448">
        <v>10090</v>
      </c>
      <c r="L3448" s="3" t="str">
        <f>HYPERLINK("http://www.uniprot.org/uniprot/Q0VBL3", "Q0VBL3")</f>
        <v>Q0VBL3</v>
      </c>
      <c r="M3448" t="s">
        <v>38557</v>
      </c>
      <c r="N3448" t="str">
        <f>"Rbm15"</f>
        <v>Rbm15</v>
      </c>
      <c r="O3448" s="3" t="str">
        <f>HYPERLINK("http://www.informatics.jax.org/marker/MGI:2443205", "MGI:2443205")</f>
        <v>MGI:2443205</v>
      </c>
      <c r="P3448" t="s">
        <v>38558</v>
      </c>
      <c r="Q3448" t="s">
        <v>32</v>
      </c>
      <c r="R3448" t="s">
        <v>13520</v>
      </c>
      <c r="S3448" t="s">
        <v>41</v>
      </c>
      <c r="T3448" t="s">
        <v>32</v>
      </c>
      <c r="U3448" t="s">
        <v>32</v>
      </c>
      <c r="V3448" t="s">
        <v>55</v>
      </c>
      <c r="W3448" t="s">
        <v>32</v>
      </c>
      <c r="X3448" t="s">
        <v>1282</v>
      </c>
      <c r="Y3448" t="s">
        <v>207</v>
      </c>
      <c r="Z3448" t="s">
        <v>32</v>
      </c>
      <c r="AA3448" t="s">
        <v>38559</v>
      </c>
      <c r="AB3448" t="s">
        <v>38560</v>
      </c>
      <c r="AC3448" t="s">
        <v>18770</v>
      </c>
      <c r="AD3448" t="s">
        <v>32</v>
      </c>
      <c r="AE3448" t="s">
        <v>32</v>
      </c>
      <c r="AF3448" t="s">
        <v>46835</v>
      </c>
    </row>
    <row r="3449" spans="1:33" x14ac:dyDescent="0.2">
      <c r="A3449">
        <v>3444</v>
      </c>
      <c r="B3449" t="s">
        <v>38561</v>
      </c>
      <c r="C3449" t="s">
        <v>38562</v>
      </c>
      <c r="D3449" t="s">
        <v>38563</v>
      </c>
      <c r="E3449" t="s">
        <v>38564</v>
      </c>
      <c r="F3449" t="s">
        <v>38565</v>
      </c>
      <c r="G3449" t="s">
        <v>38566</v>
      </c>
      <c r="H3449" t="str">
        <f>"Rab12"</f>
        <v>Rab12</v>
      </c>
      <c r="I3449" t="s">
        <v>32</v>
      </c>
      <c r="J3449" t="s">
        <v>37</v>
      </c>
      <c r="K3449">
        <v>10090</v>
      </c>
      <c r="L3449" s="3" t="str">
        <f>HYPERLINK("http://www.uniprot.org/uniprot/P35283", "P35283")</f>
        <v>P35283</v>
      </c>
      <c r="M3449" t="s">
        <v>38567</v>
      </c>
      <c r="N3449" t="str">
        <f>"Rab12"</f>
        <v>Rab12</v>
      </c>
      <c r="O3449" s="3" t="str">
        <f>HYPERLINK("http://www.informatics.jax.org/marker/MGI:894284", "MGI:894284")</f>
        <v>MGI:894284</v>
      </c>
      <c r="P3449" t="s">
        <v>38568</v>
      </c>
      <c r="Q3449" t="s">
        <v>23025</v>
      </c>
      <c r="R3449" t="s">
        <v>38569</v>
      </c>
      <c r="S3449" t="s">
        <v>32</v>
      </c>
      <c r="T3449" t="s">
        <v>32</v>
      </c>
      <c r="U3449" t="s">
        <v>32</v>
      </c>
      <c r="V3449" t="s">
        <v>32</v>
      </c>
      <c r="W3449" t="s">
        <v>261</v>
      </c>
      <c r="X3449" t="s">
        <v>32</v>
      </c>
      <c r="Y3449" t="s">
        <v>9225</v>
      </c>
      <c r="Z3449" t="s">
        <v>32</v>
      </c>
      <c r="AA3449" t="s">
        <v>38570</v>
      </c>
      <c r="AB3449" t="s">
        <v>38571</v>
      </c>
      <c r="AC3449" t="s">
        <v>15334</v>
      </c>
      <c r="AD3449" t="s">
        <v>32</v>
      </c>
      <c r="AE3449" t="s">
        <v>27057</v>
      </c>
      <c r="AF3449" t="s">
        <v>46835</v>
      </c>
    </row>
    <row r="3450" spans="1:33" x14ac:dyDescent="0.2">
      <c r="A3450">
        <v>3445</v>
      </c>
      <c r="B3450" t="s">
        <v>38572</v>
      </c>
      <c r="C3450" t="s">
        <v>38573</v>
      </c>
      <c r="D3450" t="s">
        <v>38574</v>
      </c>
      <c r="E3450" t="s">
        <v>38575</v>
      </c>
      <c r="F3450" t="s">
        <v>38576</v>
      </c>
      <c r="G3450" t="s">
        <v>38577</v>
      </c>
      <c r="H3450" t="str">
        <f>"Ube2d2"</f>
        <v>Ube2d2</v>
      </c>
      <c r="I3450" t="s">
        <v>38578</v>
      </c>
      <c r="J3450" t="s">
        <v>37</v>
      </c>
      <c r="K3450">
        <v>10090</v>
      </c>
      <c r="L3450" s="3" t="str">
        <f>HYPERLINK("http://www.uniprot.org/uniprot/P62838", "P62838")</f>
        <v>P62838</v>
      </c>
      <c r="M3450" t="s">
        <v>38579</v>
      </c>
      <c r="N3450" t="str">
        <f>"Ube2d2a"</f>
        <v>Ube2d2a</v>
      </c>
      <c r="O3450" s="3" t="str">
        <f>HYPERLINK("http://www.informatics.jax.org/marker/MGI:1930715", "MGI:1930715")</f>
        <v>MGI:1930715</v>
      </c>
      <c r="P3450" t="s">
        <v>38580</v>
      </c>
      <c r="Q3450" t="s">
        <v>1020</v>
      </c>
      <c r="R3450" t="s">
        <v>32</v>
      </c>
      <c r="S3450" t="s">
        <v>32</v>
      </c>
      <c r="T3450" t="s">
        <v>32</v>
      </c>
      <c r="U3450" t="s">
        <v>32</v>
      </c>
      <c r="V3450" t="s">
        <v>32</v>
      </c>
      <c r="W3450" t="s">
        <v>205</v>
      </c>
      <c r="X3450" t="s">
        <v>515</v>
      </c>
      <c r="Y3450" t="s">
        <v>32</v>
      </c>
      <c r="Z3450" t="s">
        <v>32</v>
      </c>
      <c r="AA3450" t="s">
        <v>38581</v>
      </c>
      <c r="AB3450" t="s">
        <v>38582</v>
      </c>
      <c r="AC3450" t="s">
        <v>38583</v>
      </c>
      <c r="AD3450" t="s">
        <v>1027</v>
      </c>
      <c r="AE3450" t="s">
        <v>38584</v>
      </c>
      <c r="AF3450" t="s">
        <v>46835</v>
      </c>
    </row>
    <row r="3451" spans="1:33" x14ac:dyDescent="0.2">
      <c r="A3451">
        <v>3446</v>
      </c>
      <c r="B3451" t="s">
        <v>38585</v>
      </c>
      <c r="C3451" t="s">
        <v>38586</v>
      </c>
      <c r="D3451" t="s">
        <v>32</v>
      </c>
      <c r="E3451" t="s">
        <v>38587</v>
      </c>
      <c r="F3451" t="s">
        <v>38588</v>
      </c>
      <c r="G3451" t="s">
        <v>38589</v>
      </c>
      <c r="H3451" t="str">
        <f>"Limch1"</f>
        <v>Limch1</v>
      </c>
      <c r="I3451" t="s">
        <v>32</v>
      </c>
      <c r="J3451" t="s">
        <v>37</v>
      </c>
      <c r="K3451">
        <v>10090</v>
      </c>
      <c r="L3451" s="3" t="str">
        <f>HYPERLINK("http://www.uniprot.org/uniprot/Q3UH68", "Q3UH68")</f>
        <v>Q3UH68</v>
      </c>
      <c r="M3451" t="s">
        <v>38590</v>
      </c>
      <c r="N3451" t="str">
        <f>"Limch1"</f>
        <v>Limch1</v>
      </c>
      <c r="O3451" s="3" t="str">
        <f>HYPERLINK("http://www.informatics.jax.org/marker/MGI:1924819", "MGI:1924819")</f>
        <v>MGI:1924819</v>
      </c>
      <c r="P3451" t="s">
        <v>38591</v>
      </c>
      <c r="Q3451" t="s">
        <v>32</v>
      </c>
      <c r="R3451" t="s">
        <v>186</v>
      </c>
      <c r="S3451" t="s">
        <v>41</v>
      </c>
      <c r="T3451" t="s">
        <v>32</v>
      </c>
      <c r="U3451" t="s">
        <v>32</v>
      </c>
      <c r="V3451" t="s">
        <v>37627</v>
      </c>
      <c r="W3451" t="s">
        <v>42</v>
      </c>
      <c r="X3451" t="s">
        <v>32</v>
      </c>
      <c r="Y3451" t="s">
        <v>618</v>
      </c>
      <c r="Z3451" t="s">
        <v>32</v>
      </c>
      <c r="AA3451" t="s">
        <v>38592</v>
      </c>
      <c r="AB3451" t="s">
        <v>38593</v>
      </c>
      <c r="AC3451" t="s">
        <v>38594</v>
      </c>
      <c r="AD3451" t="s">
        <v>32</v>
      </c>
      <c r="AE3451" t="s">
        <v>32</v>
      </c>
      <c r="AF3451" t="s">
        <v>46835</v>
      </c>
    </row>
    <row r="3452" spans="1:33" x14ac:dyDescent="0.2">
      <c r="A3452">
        <v>3447</v>
      </c>
      <c r="B3452" t="s">
        <v>38595</v>
      </c>
      <c r="C3452" t="s">
        <v>38596</v>
      </c>
      <c r="D3452" t="s">
        <v>38597</v>
      </c>
      <c r="E3452" t="s">
        <v>38598</v>
      </c>
      <c r="F3452" t="s">
        <v>38599</v>
      </c>
      <c r="G3452" t="s">
        <v>38600</v>
      </c>
      <c r="H3452" t="str">
        <f>"Amdhd2"</f>
        <v>Amdhd2</v>
      </c>
      <c r="I3452" t="s">
        <v>32</v>
      </c>
      <c r="J3452" t="s">
        <v>37</v>
      </c>
      <c r="K3452">
        <v>10090</v>
      </c>
      <c r="L3452" s="3" t="str">
        <f>HYPERLINK("http://www.uniprot.org/uniprot/Q8JZV7", "Q8JZV7")</f>
        <v>Q8JZV7</v>
      </c>
      <c r="M3452" t="s">
        <v>38601</v>
      </c>
      <c r="N3452" t="str">
        <f>"Amdhd2"</f>
        <v>Amdhd2</v>
      </c>
      <c r="O3452" s="3" t="str">
        <f>HYPERLINK("http://www.informatics.jax.org/marker/MGI:2443978", "MGI:2443978")</f>
        <v>MGI:2443978</v>
      </c>
      <c r="P3452" t="s">
        <v>38602</v>
      </c>
      <c r="Q3452" t="s">
        <v>2170</v>
      </c>
      <c r="R3452" t="s">
        <v>32</v>
      </c>
      <c r="S3452" t="s">
        <v>32</v>
      </c>
      <c r="T3452" t="s">
        <v>32</v>
      </c>
      <c r="U3452" t="s">
        <v>32</v>
      </c>
      <c r="V3452" t="s">
        <v>32</v>
      </c>
      <c r="W3452" t="s">
        <v>8683</v>
      </c>
      <c r="X3452" t="s">
        <v>343</v>
      </c>
      <c r="Y3452" t="s">
        <v>32</v>
      </c>
      <c r="Z3452" t="s">
        <v>32</v>
      </c>
      <c r="AA3452" t="s">
        <v>38603</v>
      </c>
      <c r="AB3452" t="s">
        <v>32</v>
      </c>
      <c r="AC3452" t="s">
        <v>38604</v>
      </c>
      <c r="AD3452" t="s">
        <v>2174</v>
      </c>
      <c r="AE3452" t="s">
        <v>13835</v>
      </c>
      <c r="AF3452" t="s">
        <v>46835</v>
      </c>
    </row>
    <row r="3453" spans="1:33" x14ac:dyDescent="0.2">
      <c r="A3453">
        <v>3448</v>
      </c>
      <c r="B3453" t="s">
        <v>38605</v>
      </c>
      <c r="C3453" t="s">
        <v>38606</v>
      </c>
      <c r="D3453" t="s">
        <v>32</v>
      </c>
      <c r="E3453" t="s">
        <v>38607</v>
      </c>
      <c r="F3453" t="s">
        <v>38608</v>
      </c>
      <c r="G3453" t="s">
        <v>32</v>
      </c>
      <c r="H3453" t="str">
        <f>"Des"</f>
        <v>Des</v>
      </c>
      <c r="I3453" t="s">
        <v>32</v>
      </c>
      <c r="J3453" t="s">
        <v>37</v>
      </c>
      <c r="K3453">
        <v>10090</v>
      </c>
      <c r="L3453" s="3" t="str">
        <f>HYPERLINK("http://www.uniprot.org/uniprot/P31001", "P31001")</f>
        <v>P31001</v>
      </c>
      <c r="M3453" t="s">
        <v>38609</v>
      </c>
      <c r="N3453" t="str">
        <f>"Des"</f>
        <v>Des</v>
      </c>
      <c r="O3453" s="3" t="str">
        <f>HYPERLINK("http://www.informatics.jax.org/marker/MGI:94885", "MGI:94885")</f>
        <v>MGI:94885</v>
      </c>
      <c r="P3453" t="s">
        <v>38610</v>
      </c>
      <c r="Q3453" t="s">
        <v>32</v>
      </c>
      <c r="R3453" t="s">
        <v>38611</v>
      </c>
      <c r="S3453" t="s">
        <v>32</v>
      </c>
      <c r="T3453" t="s">
        <v>32</v>
      </c>
      <c r="U3453" t="s">
        <v>32</v>
      </c>
      <c r="V3453" t="s">
        <v>290</v>
      </c>
      <c r="W3453" t="s">
        <v>32</v>
      </c>
      <c r="X3453" t="s">
        <v>38612</v>
      </c>
      <c r="Y3453" t="s">
        <v>38613</v>
      </c>
      <c r="Z3453" t="s">
        <v>32</v>
      </c>
      <c r="AA3453" t="s">
        <v>38614</v>
      </c>
      <c r="AB3453" t="s">
        <v>38615</v>
      </c>
      <c r="AC3453" t="s">
        <v>38616</v>
      </c>
      <c r="AD3453" t="s">
        <v>32</v>
      </c>
      <c r="AE3453" t="s">
        <v>10605</v>
      </c>
      <c r="AF3453" t="s">
        <v>46835</v>
      </c>
    </row>
    <row r="3454" spans="1:33" x14ac:dyDescent="0.2">
      <c r="A3454">
        <v>3449</v>
      </c>
      <c r="B3454" t="s">
        <v>38617</v>
      </c>
      <c r="C3454" t="s">
        <v>47198</v>
      </c>
      <c r="D3454" t="s">
        <v>32</v>
      </c>
      <c r="E3454" t="s">
        <v>47030</v>
      </c>
      <c r="F3454" t="s">
        <v>47029</v>
      </c>
      <c r="G3454" t="s">
        <v>32</v>
      </c>
      <c r="H3454" t="s">
        <v>47329</v>
      </c>
      <c r="I3454" t="s">
        <v>32</v>
      </c>
      <c r="J3454" t="s">
        <v>37</v>
      </c>
      <c r="K3454">
        <v>10090</v>
      </c>
      <c r="L3454" s="3" t="str">
        <f>HYPERLINK(CONCATENATE("https://www.uniprot.org/uniprotkb/", AG3454, "/entry"), AG3454)</f>
        <v>E9PYI1</v>
      </c>
      <c r="M3454" t="s">
        <v>32</v>
      </c>
      <c r="N3454" t="s">
        <v>32</v>
      </c>
      <c r="O3454" s="3" t="s">
        <v>32</v>
      </c>
      <c r="P3454" t="s">
        <v>32</v>
      </c>
      <c r="Q3454" t="s">
        <v>32</v>
      </c>
      <c r="R3454" t="s">
        <v>32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32</v>
      </c>
      <c r="Y3454" t="s">
        <v>32</v>
      </c>
      <c r="Z3454" t="s">
        <v>32</v>
      </c>
      <c r="AA3454" t="s">
        <v>32</v>
      </c>
      <c r="AB3454" t="s">
        <v>32</v>
      </c>
      <c r="AC3454" t="s">
        <v>32</v>
      </c>
      <c r="AD3454" t="s">
        <v>32</v>
      </c>
      <c r="AE3454" t="s">
        <v>32</v>
      </c>
      <c r="AF3454" t="s">
        <v>46835</v>
      </c>
      <c r="AG3454" t="s">
        <v>47029</v>
      </c>
    </row>
    <row r="3455" spans="1:33" x14ac:dyDescent="0.2">
      <c r="A3455">
        <v>3450</v>
      </c>
      <c r="B3455" t="s">
        <v>38618</v>
      </c>
      <c r="C3455" t="s">
        <v>38619</v>
      </c>
      <c r="D3455" t="s">
        <v>38620</v>
      </c>
      <c r="E3455" t="s">
        <v>38621</v>
      </c>
      <c r="F3455" t="s">
        <v>38622</v>
      </c>
      <c r="G3455" t="s">
        <v>38623</v>
      </c>
      <c r="H3455" t="str">
        <f>"Znf326"</f>
        <v>Znf326</v>
      </c>
      <c r="I3455" t="s">
        <v>38624</v>
      </c>
      <c r="J3455" t="s">
        <v>37</v>
      </c>
      <c r="K3455">
        <v>10090</v>
      </c>
      <c r="L3455" s="3" t="str">
        <f>HYPERLINK("http://www.uniprot.org/uniprot/O88291", "O88291")</f>
        <v>O88291</v>
      </c>
      <c r="M3455" t="s">
        <v>38625</v>
      </c>
      <c r="N3455" t="str">
        <f>"Zfp326"</f>
        <v>Zfp326</v>
      </c>
      <c r="O3455" s="3" t="str">
        <f>HYPERLINK("http://www.informatics.jax.org/marker/MGI:1927246", "MGI:1927246")</f>
        <v>MGI:1927246</v>
      </c>
      <c r="P3455" t="s">
        <v>38626</v>
      </c>
      <c r="Q3455" t="s">
        <v>1348</v>
      </c>
      <c r="R3455" t="s">
        <v>2279</v>
      </c>
      <c r="S3455" t="s">
        <v>41</v>
      </c>
      <c r="T3455" t="s">
        <v>32</v>
      </c>
      <c r="U3455" t="s">
        <v>32</v>
      </c>
      <c r="V3455" t="s">
        <v>3791</v>
      </c>
      <c r="W3455" t="s">
        <v>42</v>
      </c>
      <c r="X3455" t="s">
        <v>2350</v>
      </c>
      <c r="Y3455" t="s">
        <v>207</v>
      </c>
      <c r="Z3455" t="s">
        <v>32</v>
      </c>
      <c r="AA3455" t="s">
        <v>38627</v>
      </c>
      <c r="AB3455" t="s">
        <v>38628</v>
      </c>
      <c r="AC3455" t="s">
        <v>38629</v>
      </c>
      <c r="AD3455" t="s">
        <v>32</v>
      </c>
      <c r="AE3455" t="s">
        <v>32</v>
      </c>
      <c r="AF3455" t="s">
        <v>46835</v>
      </c>
    </row>
    <row r="3456" spans="1:33" x14ac:dyDescent="0.2">
      <c r="A3456">
        <v>3451</v>
      </c>
      <c r="B3456" t="s">
        <v>38630</v>
      </c>
      <c r="C3456" t="s">
        <v>38631</v>
      </c>
      <c r="D3456" t="s">
        <v>38632</v>
      </c>
      <c r="E3456" t="s">
        <v>38633</v>
      </c>
      <c r="F3456" t="s">
        <v>38634</v>
      </c>
      <c r="G3456" t="s">
        <v>38635</v>
      </c>
      <c r="H3456" t="str">
        <f>"Mrpl40"</f>
        <v>Mrpl40</v>
      </c>
      <c r="I3456" t="s">
        <v>38636</v>
      </c>
      <c r="J3456" t="s">
        <v>37</v>
      </c>
      <c r="K3456">
        <v>10090</v>
      </c>
      <c r="L3456" s="3" t="str">
        <f>HYPERLINK("http://www.uniprot.org/uniprot/Q9Z2Q5", "Q9Z2Q5")</f>
        <v>Q9Z2Q5</v>
      </c>
      <c r="M3456" t="s">
        <v>38637</v>
      </c>
      <c r="N3456" t="str">
        <f>"Mrpl40"</f>
        <v>Mrpl40</v>
      </c>
      <c r="O3456" s="3" t="str">
        <f>HYPERLINK("http://www.informatics.jax.org/marker/MGI:1332635", "MGI:1332635")</f>
        <v>MGI:1332635</v>
      </c>
      <c r="P3456" t="s">
        <v>24765</v>
      </c>
      <c r="Q3456" t="s">
        <v>32</v>
      </c>
      <c r="R3456" t="s">
        <v>1038</v>
      </c>
      <c r="S3456" t="s">
        <v>32</v>
      </c>
      <c r="T3456" t="s">
        <v>32</v>
      </c>
      <c r="U3456" t="s">
        <v>32</v>
      </c>
      <c r="V3456" t="s">
        <v>1039</v>
      </c>
      <c r="W3456" t="s">
        <v>32</v>
      </c>
      <c r="X3456" t="s">
        <v>447</v>
      </c>
      <c r="Y3456" t="s">
        <v>32</v>
      </c>
      <c r="Z3456" t="s">
        <v>32</v>
      </c>
      <c r="AA3456" t="s">
        <v>23519</v>
      </c>
      <c r="AB3456" t="s">
        <v>38638</v>
      </c>
      <c r="AC3456" t="s">
        <v>32</v>
      </c>
      <c r="AD3456" t="s">
        <v>32</v>
      </c>
      <c r="AE3456" t="s">
        <v>17271</v>
      </c>
      <c r="AF3456" t="s">
        <v>46835</v>
      </c>
    </row>
    <row r="3457" spans="1:32" x14ac:dyDescent="0.2">
      <c r="A3457">
        <v>3452</v>
      </c>
      <c r="B3457" t="s">
        <v>38639</v>
      </c>
      <c r="C3457" t="s">
        <v>38640</v>
      </c>
      <c r="D3457" t="s">
        <v>32</v>
      </c>
      <c r="E3457" t="s">
        <v>38641</v>
      </c>
      <c r="F3457" t="s">
        <v>38642</v>
      </c>
      <c r="G3457" t="s">
        <v>32</v>
      </c>
      <c r="H3457" t="str">
        <f>"Ccnd1"</f>
        <v>Ccnd1</v>
      </c>
      <c r="I3457" t="s">
        <v>38643</v>
      </c>
      <c r="J3457" t="s">
        <v>37</v>
      </c>
      <c r="K3457">
        <v>10090</v>
      </c>
      <c r="L3457" s="3" t="str">
        <f>HYPERLINK("http://www.uniprot.org/uniprot/P25322", "P25322")</f>
        <v>P25322</v>
      </c>
      <c r="M3457" t="s">
        <v>38644</v>
      </c>
      <c r="N3457" t="str">
        <f>"Ccnd1"</f>
        <v>Ccnd1</v>
      </c>
      <c r="O3457" s="3" t="str">
        <f>HYPERLINK("http://www.informatics.jax.org/marker/MGI:88313", "MGI:88313")</f>
        <v>MGI:88313</v>
      </c>
      <c r="P3457" t="s">
        <v>38645</v>
      </c>
      <c r="Q3457" t="s">
        <v>38646</v>
      </c>
      <c r="R3457" t="s">
        <v>5943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38647</v>
      </c>
      <c r="Y3457" t="s">
        <v>1007</v>
      </c>
      <c r="Z3457" t="s">
        <v>32</v>
      </c>
      <c r="AA3457" t="s">
        <v>38648</v>
      </c>
      <c r="AB3457" t="s">
        <v>38649</v>
      </c>
      <c r="AC3457" t="s">
        <v>38650</v>
      </c>
      <c r="AD3457" t="s">
        <v>32</v>
      </c>
      <c r="AE3457" t="s">
        <v>38651</v>
      </c>
      <c r="AF3457" t="s">
        <v>46835</v>
      </c>
    </row>
    <row r="3458" spans="1:32" x14ac:dyDescent="0.2">
      <c r="A3458">
        <v>3453</v>
      </c>
      <c r="B3458" t="s">
        <v>38652</v>
      </c>
      <c r="C3458" t="s">
        <v>38653</v>
      </c>
      <c r="D3458" t="s">
        <v>38654</v>
      </c>
      <c r="E3458" t="s">
        <v>38655</v>
      </c>
      <c r="F3458" t="s">
        <v>38656</v>
      </c>
      <c r="G3458" t="s">
        <v>32</v>
      </c>
      <c r="H3458" t="str">
        <f>"Rdh14"</f>
        <v>Rdh14</v>
      </c>
      <c r="I3458" t="s">
        <v>38657</v>
      </c>
      <c r="J3458" t="s">
        <v>37</v>
      </c>
      <c r="K3458">
        <v>10090</v>
      </c>
      <c r="L3458" s="3" t="str">
        <f>HYPERLINK("http://www.uniprot.org/uniprot/Q9ERI6", "Q9ERI6")</f>
        <v>Q9ERI6</v>
      </c>
      <c r="M3458" t="s">
        <v>38658</v>
      </c>
      <c r="N3458" t="str">
        <f>"Rdh14"</f>
        <v>Rdh14</v>
      </c>
      <c r="O3458" s="3" t="str">
        <f>HYPERLINK("http://www.informatics.jax.org/marker/MGI:1920402", "MGI:1920402")</f>
        <v>MGI:1920402</v>
      </c>
      <c r="P3458" t="s">
        <v>38659</v>
      </c>
      <c r="Q3458" t="s">
        <v>598</v>
      </c>
      <c r="R3458" t="s">
        <v>32</v>
      </c>
      <c r="S3458" t="s">
        <v>32</v>
      </c>
      <c r="T3458" t="s">
        <v>32</v>
      </c>
      <c r="U3458" t="s">
        <v>32</v>
      </c>
      <c r="V3458" t="s">
        <v>32</v>
      </c>
      <c r="W3458" t="s">
        <v>3204</v>
      </c>
      <c r="X3458" t="s">
        <v>600</v>
      </c>
      <c r="Y3458" t="s">
        <v>32</v>
      </c>
      <c r="Z3458" t="s">
        <v>32</v>
      </c>
      <c r="AA3458" t="s">
        <v>38660</v>
      </c>
      <c r="AB3458" t="s">
        <v>38661</v>
      </c>
      <c r="AC3458" t="s">
        <v>38662</v>
      </c>
      <c r="AD3458" t="s">
        <v>32</v>
      </c>
      <c r="AE3458" t="s">
        <v>17814</v>
      </c>
      <c r="AF3458" t="s">
        <v>46835</v>
      </c>
    </row>
    <row r="3459" spans="1:32" x14ac:dyDescent="0.2">
      <c r="A3459">
        <v>3454</v>
      </c>
      <c r="B3459" t="s">
        <v>38663</v>
      </c>
      <c r="C3459" t="s">
        <v>38664</v>
      </c>
      <c r="D3459" t="s">
        <v>38665</v>
      </c>
      <c r="E3459" t="s">
        <v>38666</v>
      </c>
      <c r="F3459" t="s">
        <v>38667</v>
      </c>
      <c r="G3459" t="s">
        <v>38668</v>
      </c>
      <c r="H3459" t="str">
        <f>"Nosip"</f>
        <v>Nosip</v>
      </c>
      <c r="I3459" t="s">
        <v>32</v>
      </c>
      <c r="J3459" t="s">
        <v>37</v>
      </c>
      <c r="K3459">
        <v>10090</v>
      </c>
      <c r="L3459" s="3" t="str">
        <f>HYPERLINK("http://www.uniprot.org/uniprot/Q9D6T0", "Q9D6T0")</f>
        <v>Q9D6T0</v>
      </c>
      <c r="M3459" t="s">
        <v>38669</v>
      </c>
      <c r="N3459" t="str">
        <f>"Nosip"</f>
        <v>Nosip</v>
      </c>
      <c r="O3459" s="3" t="str">
        <f>HYPERLINK("http://www.informatics.jax.org/marker/MGI:1913644", "MGI:1913644")</f>
        <v>MGI:1913644</v>
      </c>
      <c r="P3459" t="s">
        <v>38670</v>
      </c>
      <c r="Q3459" t="s">
        <v>1020</v>
      </c>
      <c r="R3459" t="s">
        <v>40</v>
      </c>
      <c r="S3459" t="s">
        <v>41</v>
      </c>
      <c r="T3459" t="s">
        <v>32</v>
      </c>
      <c r="U3459" t="s">
        <v>32</v>
      </c>
      <c r="V3459" t="s">
        <v>32</v>
      </c>
      <c r="W3459" t="s">
        <v>32</v>
      </c>
      <c r="X3459" t="s">
        <v>11347</v>
      </c>
      <c r="Y3459" t="s">
        <v>618</v>
      </c>
      <c r="Z3459" t="s">
        <v>32</v>
      </c>
      <c r="AA3459" t="s">
        <v>38671</v>
      </c>
      <c r="AB3459" t="s">
        <v>9597</v>
      </c>
      <c r="AC3459" t="s">
        <v>34195</v>
      </c>
      <c r="AD3459" t="s">
        <v>1027</v>
      </c>
      <c r="AE3459" t="s">
        <v>38672</v>
      </c>
      <c r="AF3459" t="s">
        <v>46835</v>
      </c>
    </row>
    <row r="3460" spans="1:32" x14ac:dyDescent="0.2">
      <c r="A3460">
        <v>3455</v>
      </c>
      <c r="B3460" t="s">
        <v>38673</v>
      </c>
      <c r="C3460" t="s">
        <v>38674</v>
      </c>
      <c r="D3460" t="s">
        <v>32</v>
      </c>
      <c r="E3460" t="s">
        <v>38675</v>
      </c>
      <c r="F3460" t="s">
        <v>38676</v>
      </c>
      <c r="G3460" t="s">
        <v>38677</v>
      </c>
      <c r="H3460" t="str">
        <f>"Tbl3"</f>
        <v>Tbl3</v>
      </c>
      <c r="I3460" t="s">
        <v>32</v>
      </c>
      <c r="J3460" t="s">
        <v>37</v>
      </c>
      <c r="K3460">
        <v>10090</v>
      </c>
      <c r="L3460" s="3" t="str">
        <f>HYPERLINK("http://www.uniprot.org/uniprot/Q8C4J7", "Q8C4J7")</f>
        <v>Q8C4J7</v>
      </c>
      <c r="M3460" t="s">
        <v>38678</v>
      </c>
      <c r="N3460" t="str">
        <f>"Tbl3"</f>
        <v>Tbl3</v>
      </c>
      <c r="O3460" s="3" t="str">
        <f>HYPERLINK("http://www.informatics.jax.org/marker/MGI:2384863", "MGI:2384863")</f>
        <v>MGI:2384863</v>
      </c>
      <c r="P3460" t="s">
        <v>38679</v>
      </c>
      <c r="Q3460" t="s">
        <v>32</v>
      </c>
      <c r="R3460" t="s">
        <v>2279</v>
      </c>
      <c r="S3460" t="s">
        <v>32</v>
      </c>
      <c r="T3460" t="s">
        <v>32</v>
      </c>
      <c r="U3460" t="s">
        <v>32</v>
      </c>
      <c r="V3460" t="s">
        <v>1910</v>
      </c>
      <c r="W3460" t="s">
        <v>32</v>
      </c>
      <c r="X3460" t="s">
        <v>32</v>
      </c>
      <c r="Y3460" t="s">
        <v>516</v>
      </c>
      <c r="Z3460" t="s">
        <v>32</v>
      </c>
      <c r="AA3460" t="s">
        <v>38680</v>
      </c>
      <c r="AB3460" t="s">
        <v>38681</v>
      </c>
      <c r="AC3460" t="s">
        <v>38682</v>
      </c>
      <c r="AD3460" t="s">
        <v>32</v>
      </c>
      <c r="AE3460" t="s">
        <v>960</v>
      </c>
      <c r="AF3460" t="s">
        <v>46835</v>
      </c>
    </row>
    <row r="3461" spans="1:32" x14ac:dyDescent="0.2">
      <c r="A3461">
        <v>3456</v>
      </c>
      <c r="B3461" t="s">
        <v>38683</v>
      </c>
      <c r="C3461" t="s">
        <v>38684</v>
      </c>
      <c r="D3461" t="s">
        <v>38685</v>
      </c>
      <c r="E3461" t="s">
        <v>38686</v>
      </c>
      <c r="F3461" t="s">
        <v>38687</v>
      </c>
      <c r="G3461" t="s">
        <v>38688</v>
      </c>
      <c r="H3461" t="str">
        <f>"Lpin1"</f>
        <v>Lpin1</v>
      </c>
      <c r="I3461" t="s">
        <v>38689</v>
      </c>
      <c r="J3461" t="s">
        <v>37</v>
      </c>
      <c r="K3461">
        <v>10090</v>
      </c>
      <c r="L3461" s="3" t="str">
        <f>HYPERLINK("http://www.uniprot.org/uniprot/Q91ZP3", "Q91ZP3")</f>
        <v>Q91ZP3</v>
      </c>
      <c r="M3461" t="s">
        <v>38690</v>
      </c>
      <c r="N3461" t="str">
        <f>"Lpin1"</f>
        <v>Lpin1</v>
      </c>
      <c r="O3461" s="3" t="str">
        <f>HYPERLINK("http://www.informatics.jax.org/marker/MGI:1891340", "MGI:1891340")</f>
        <v>MGI:1891340</v>
      </c>
      <c r="P3461" t="s">
        <v>38691</v>
      </c>
      <c r="Q3461" t="s">
        <v>4152</v>
      </c>
      <c r="R3461" t="s">
        <v>38692</v>
      </c>
      <c r="S3461" t="s">
        <v>41</v>
      </c>
      <c r="T3461" t="s">
        <v>32</v>
      </c>
      <c r="U3461" t="s">
        <v>829</v>
      </c>
      <c r="V3461" t="s">
        <v>32</v>
      </c>
      <c r="W3461" t="s">
        <v>32</v>
      </c>
      <c r="X3461" t="s">
        <v>343</v>
      </c>
      <c r="Y3461" t="s">
        <v>516</v>
      </c>
      <c r="Z3461" t="s">
        <v>126</v>
      </c>
      <c r="AA3461" t="s">
        <v>38693</v>
      </c>
      <c r="AB3461" t="s">
        <v>38694</v>
      </c>
      <c r="AC3461" t="s">
        <v>38695</v>
      </c>
      <c r="AD3461" t="s">
        <v>32</v>
      </c>
      <c r="AE3461" t="s">
        <v>38696</v>
      </c>
      <c r="AF3461" t="s">
        <v>46835</v>
      </c>
    </row>
    <row r="3462" spans="1:32" x14ac:dyDescent="0.2">
      <c r="A3462">
        <v>3457</v>
      </c>
      <c r="B3462" t="s">
        <v>38697</v>
      </c>
      <c r="C3462" t="s">
        <v>38698</v>
      </c>
      <c r="D3462" t="s">
        <v>32</v>
      </c>
      <c r="E3462" t="s">
        <v>38699</v>
      </c>
      <c r="F3462" t="s">
        <v>38700</v>
      </c>
      <c r="G3462" t="s">
        <v>38701</v>
      </c>
      <c r="H3462" t="str">
        <f>"Zfyve21"</f>
        <v>Zfyve21</v>
      </c>
      <c r="I3462" t="s">
        <v>32</v>
      </c>
      <c r="J3462" t="s">
        <v>37</v>
      </c>
      <c r="K3462">
        <v>10090</v>
      </c>
      <c r="L3462" s="3" t="str">
        <f>HYPERLINK("http://www.uniprot.org/uniprot/Q8VCM3", "Q8VCM3")</f>
        <v>Q8VCM3</v>
      </c>
      <c r="M3462" t="s">
        <v>38702</v>
      </c>
      <c r="N3462" t="str">
        <f>"Zfyve21"</f>
        <v>Zfyve21</v>
      </c>
      <c r="O3462" s="3" t="str">
        <f>HYPERLINK("http://www.informatics.jax.org/marker/MGI:1915770", "MGI:1915770")</f>
        <v>MGI:1915770</v>
      </c>
      <c r="P3462" t="s">
        <v>38703</v>
      </c>
      <c r="Q3462" t="s">
        <v>32</v>
      </c>
      <c r="R3462" t="s">
        <v>38704</v>
      </c>
      <c r="S3462" t="s">
        <v>32</v>
      </c>
      <c r="T3462" t="s">
        <v>32</v>
      </c>
      <c r="U3462" t="s">
        <v>32</v>
      </c>
      <c r="V3462" t="s">
        <v>446</v>
      </c>
      <c r="W3462" t="s">
        <v>42</v>
      </c>
      <c r="X3462" t="s">
        <v>32</v>
      </c>
      <c r="Y3462" t="s">
        <v>32</v>
      </c>
      <c r="Z3462" t="s">
        <v>32</v>
      </c>
      <c r="AA3462" t="s">
        <v>32</v>
      </c>
      <c r="AB3462" t="s">
        <v>38705</v>
      </c>
      <c r="AC3462" t="s">
        <v>4525</v>
      </c>
      <c r="AD3462" t="s">
        <v>32</v>
      </c>
      <c r="AE3462" t="s">
        <v>32</v>
      </c>
      <c r="AF3462" t="s">
        <v>46835</v>
      </c>
    </row>
    <row r="3463" spans="1:32" x14ac:dyDescent="0.2">
      <c r="A3463">
        <v>3458</v>
      </c>
      <c r="B3463" t="s">
        <v>38706</v>
      </c>
      <c r="C3463" t="s">
        <v>38707</v>
      </c>
      <c r="D3463" t="s">
        <v>32</v>
      </c>
      <c r="E3463" t="s">
        <v>38708</v>
      </c>
      <c r="F3463" t="s">
        <v>38709</v>
      </c>
      <c r="G3463" t="s">
        <v>38710</v>
      </c>
      <c r="H3463" t="str">
        <f>"Mtfr1l"</f>
        <v>Mtfr1l</v>
      </c>
      <c r="I3463" t="s">
        <v>38711</v>
      </c>
      <c r="J3463" t="s">
        <v>37</v>
      </c>
      <c r="K3463">
        <v>10090</v>
      </c>
      <c r="L3463" s="3" t="str">
        <f>HYPERLINK("http://www.uniprot.org/uniprot/Q9CWE0", "Q9CWE0")</f>
        <v>Q9CWE0</v>
      </c>
      <c r="M3463" t="s">
        <v>38712</v>
      </c>
      <c r="N3463" t="str">
        <f>"Mtfr1l"</f>
        <v>Mtfr1l</v>
      </c>
      <c r="O3463" s="3" t="str">
        <f>HYPERLINK("http://www.informatics.jax.org/marker/MGI:1924074", "MGI:1924074")</f>
        <v>MGI:1924074</v>
      </c>
      <c r="P3463" t="s">
        <v>13974</v>
      </c>
      <c r="Q3463" t="s">
        <v>32</v>
      </c>
      <c r="R3463" t="s">
        <v>32</v>
      </c>
      <c r="S3463" t="s">
        <v>41</v>
      </c>
      <c r="T3463" t="s">
        <v>32</v>
      </c>
      <c r="U3463" t="s">
        <v>32</v>
      </c>
      <c r="V3463" t="s">
        <v>32</v>
      </c>
      <c r="W3463" t="s">
        <v>32</v>
      </c>
      <c r="X3463" t="s">
        <v>32</v>
      </c>
      <c r="Y3463" t="s">
        <v>618</v>
      </c>
      <c r="Z3463" t="s">
        <v>32</v>
      </c>
      <c r="AA3463" t="s">
        <v>38713</v>
      </c>
      <c r="AB3463" t="s">
        <v>3721</v>
      </c>
      <c r="AC3463" t="s">
        <v>32</v>
      </c>
      <c r="AD3463" t="s">
        <v>32</v>
      </c>
      <c r="AE3463" t="s">
        <v>32</v>
      </c>
      <c r="AF3463" t="s">
        <v>46835</v>
      </c>
    </row>
    <row r="3464" spans="1:32" x14ac:dyDescent="0.2">
      <c r="A3464">
        <v>3459</v>
      </c>
      <c r="B3464" t="s">
        <v>38714</v>
      </c>
      <c r="C3464" t="s">
        <v>38715</v>
      </c>
      <c r="D3464" t="s">
        <v>38716</v>
      </c>
      <c r="E3464" t="s">
        <v>38717</v>
      </c>
      <c r="F3464" t="s">
        <v>38718</v>
      </c>
      <c r="G3464" t="s">
        <v>38719</v>
      </c>
      <c r="H3464" t="str">
        <f>"Tut1"</f>
        <v>Tut1</v>
      </c>
      <c r="I3464" t="s">
        <v>38720</v>
      </c>
      <c r="J3464" t="s">
        <v>37</v>
      </c>
      <c r="K3464">
        <v>10090</v>
      </c>
      <c r="L3464" s="3" t="str">
        <f>HYPERLINK("http://www.uniprot.org/uniprot/Q8R3F9", "Q8R3F9")</f>
        <v>Q8R3F9</v>
      </c>
      <c r="M3464" t="s">
        <v>38721</v>
      </c>
      <c r="N3464" t="str">
        <f>"Tut1"</f>
        <v>Tut1</v>
      </c>
      <c r="O3464" s="3" t="str">
        <f>HYPERLINK("http://www.informatics.jax.org/marker/MGI:1917294", "MGI:1917294")</f>
        <v>MGI:1917294</v>
      </c>
      <c r="P3464" t="s">
        <v>38722</v>
      </c>
      <c r="Q3464" t="s">
        <v>16601</v>
      </c>
      <c r="R3464" t="s">
        <v>2279</v>
      </c>
      <c r="S3464" t="s">
        <v>41</v>
      </c>
      <c r="T3464" t="s">
        <v>32</v>
      </c>
      <c r="U3464" t="s">
        <v>32</v>
      </c>
      <c r="V3464" t="s">
        <v>446</v>
      </c>
      <c r="W3464" t="s">
        <v>6847</v>
      </c>
      <c r="X3464" t="s">
        <v>21297</v>
      </c>
      <c r="Y3464" t="s">
        <v>618</v>
      </c>
      <c r="Z3464" t="s">
        <v>32</v>
      </c>
      <c r="AA3464" t="s">
        <v>38723</v>
      </c>
      <c r="AB3464" t="s">
        <v>38724</v>
      </c>
      <c r="AC3464" t="s">
        <v>38725</v>
      </c>
      <c r="AD3464" t="s">
        <v>32</v>
      </c>
      <c r="AE3464" t="s">
        <v>32</v>
      </c>
      <c r="AF3464" t="s">
        <v>46835</v>
      </c>
    </row>
    <row r="3465" spans="1:32" x14ac:dyDescent="0.2">
      <c r="A3465">
        <v>3460</v>
      </c>
      <c r="B3465" t="s">
        <v>38726</v>
      </c>
      <c r="C3465" t="s">
        <v>38727</v>
      </c>
      <c r="D3465" t="s">
        <v>32</v>
      </c>
      <c r="E3465" t="s">
        <v>38728</v>
      </c>
      <c r="F3465" t="s">
        <v>38729</v>
      </c>
      <c r="G3465" t="s">
        <v>38730</v>
      </c>
      <c r="H3465" t="str">
        <f>"Nol8"</f>
        <v>Nol8</v>
      </c>
      <c r="I3465" t="s">
        <v>32</v>
      </c>
      <c r="J3465" t="s">
        <v>37</v>
      </c>
      <c r="K3465">
        <v>10090</v>
      </c>
      <c r="L3465" s="3" t="str">
        <f>HYPERLINK("http://www.uniprot.org/uniprot/Q3UHX0", "Q3UHX0")</f>
        <v>Q3UHX0</v>
      </c>
      <c r="M3465" t="s">
        <v>38731</v>
      </c>
      <c r="N3465" t="str">
        <f>"Nol8"</f>
        <v>Nol8</v>
      </c>
      <c r="O3465" s="3" t="str">
        <f>HYPERLINK("http://www.informatics.jax.org/marker/MGI:1918180", "MGI:1918180")</f>
        <v>MGI:1918180</v>
      </c>
      <c r="P3465" t="s">
        <v>38732</v>
      </c>
      <c r="Q3465" t="s">
        <v>15770</v>
      </c>
      <c r="R3465" t="s">
        <v>2279</v>
      </c>
      <c r="S3465" t="s">
        <v>41</v>
      </c>
      <c r="T3465" t="s">
        <v>32</v>
      </c>
      <c r="U3465" t="s">
        <v>32</v>
      </c>
      <c r="V3465" t="s">
        <v>290</v>
      </c>
      <c r="W3465" t="s">
        <v>32</v>
      </c>
      <c r="X3465" t="s">
        <v>1282</v>
      </c>
      <c r="Y3465" t="s">
        <v>1007</v>
      </c>
      <c r="Z3465" t="s">
        <v>32</v>
      </c>
      <c r="AA3465" t="s">
        <v>38733</v>
      </c>
      <c r="AB3465" t="s">
        <v>29243</v>
      </c>
      <c r="AC3465" t="s">
        <v>4711</v>
      </c>
      <c r="AD3465" t="s">
        <v>32</v>
      </c>
      <c r="AE3465" t="s">
        <v>32</v>
      </c>
      <c r="AF3465" t="s">
        <v>46835</v>
      </c>
    </row>
    <row r="3466" spans="1:32" x14ac:dyDescent="0.2">
      <c r="A3466">
        <v>3461</v>
      </c>
      <c r="B3466" t="s">
        <v>38734</v>
      </c>
      <c r="C3466" t="s">
        <v>38735</v>
      </c>
      <c r="D3466" t="s">
        <v>38736</v>
      </c>
      <c r="E3466" t="s">
        <v>38737</v>
      </c>
      <c r="F3466" t="s">
        <v>38738</v>
      </c>
      <c r="G3466" t="s">
        <v>38739</v>
      </c>
      <c r="H3466" t="str">
        <f>"Atp1a2"</f>
        <v>Atp1a2</v>
      </c>
      <c r="I3466" t="s">
        <v>32</v>
      </c>
      <c r="J3466" t="s">
        <v>37</v>
      </c>
      <c r="K3466">
        <v>10090</v>
      </c>
      <c r="L3466" s="3" t="str">
        <f>HYPERLINK("http://www.uniprot.org/uniprot/Q6PIE5", "Q6PIE5")</f>
        <v>Q6PIE5</v>
      </c>
      <c r="M3466" t="s">
        <v>38740</v>
      </c>
      <c r="N3466" t="str">
        <f>"Atp1a2"</f>
        <v>Atp1a2</v>
      </c>
      <c r="O3466" s="3" t="str">
        <f>HYPERLINK("http://www.informatics.jax.org/marker/MGI:88106", "MGI:88106")</f>
        <v>MGI:88106</v>
      </c>
      <c r="P3466" t="s">
        <v>38741</v>
      </c>
      <c r="Q3466" t="s">
        <v>3655</v>
      </c>
      <c r="R3466" t="s">
        <v>2474</v>
      </c>
      <c r="S3466" t="s">
        <v>32</v>
      </c>
      <c r="T3466" t="s">
        <v>32</v>
      </c>
      <c r="U3466" t="s">
        <v>32</v>
      </c>
      <c r="V3466" t="s">
        <v>493</v>
      </c>
      <c r="W3466" t="s">
        <v>3656</v>
      </c>
      <c r="X3466" t="s">
        <v>1506</v>
      </c>
      <c r="Y3466" t="s">
        <v>618</v>
      </c>
      <c r="Z3466" t="s">
        <v>32</v>
      </c>
      <c r="AA3466" t="s">
        <v>38742</v>
      </c>
      <c r="AB3466" t="s">
        <v>38743</v>
      </c>
      <c r="AC3466" t="s">
        <v>38744</v>
      </c>
      <c r="AD3466" t="s">
        <v>32</v>
      </c>
      <c r="AE3466" t="s">
        <v>3660</v>
      </c>
      <c r="AF3466" t="s">
        <v>46835</v>
      </c>
    </row>
    <row r="3467" spans="1:32" x14ac:dyDescent="0.2">
      <c r="A3467">
        <v>3462</v>
      </c>
      <c r="B3467" t="s">
        <v>38745</v>
      </c>
      <c r="C3467" t="s">
        <v>38746</v>
      </c>
      <c r="D3467" t="s">
        <v>38747</v>
      </c>
      <c r="E3467" t="s">
        <v>38748</v>
      </c>
      <c r="F3467" t="s">
        <v>38749</v>
      </c>
      <c r="G3467" t="s">
        <v>32</v>
      </c>
      <c r="H3467" t="str">
        <f>"Nqo2"</f>
        <v>Nqo2</v>
      </c>
      <c r="I3467" t="s">
        <v>38750</v>
      </c>
      <c r="J3467" t="s">
        <v>37</v>
      </c>
      <c r="K3467">
        <v>10090</v>
      </c>
      <c r="L3467" s="3" t="str">
        <f>HYPERLINK("http://www.uniprot.org/uniprot/Q9JI75", "Q9JI75")</f>
        <v>Q9JI75</v>
      </c>
      <c r="M3467" t="s">
        <v>38751</v>
      </c>
      <c r="N3467" t="str">
        <f>"Nqo2"</f>
        <v>Nqo2</v>
      </c>
      <c r="O3467" s="3" t="str">
        <f>HYPERLINK("http://www.informatics.jax.org/marker/MGI:104513", "MGI:104513")</f>
        <v>MGI:104513</v>
      </c>
      <c r="P3467" t="s">
        <v>38752</v>
      </c>
      <c r="Q3467" t="s">
        <v>32</v>
      </c>
      <c r="R3467" t="s">
        <v>418</v>
      </c>
      <c r="S3467" t="s">
        <v>32</v>
      </c>
      <c r="T3467" t="s">
        <v>32</v>
      </c>
      <c r="U3467" t="s">
        <v>32</v>
      </c>
      <c r="V3467" t="s">
        <v>32</v>
      </c>
      <c r="W3467" t="s">
        <v>38753</v>
      </c>
      <c r="X3467" t="s">
        <v>600</v>
      </c>
      <c r="Y3467" t="s">
        <v>618</v>
      </c>
      <c r="Z3467" t="s">
        <v>32</v>
      </c>
      <c r="AA3467" t="s">
        <v>38754</v>
      </c>
      <c r="AB3467" t="s">
        <v>4202</v>
      </c>
      <c r="AC3467" t="s">
        <v>38755</v>
      </c>
      <c r="AD3467" t="s">
        <v>32</v>
      </c>
      <c r="AE3467" t="s">
        <v>15399</v>
      </c>
      <c r="AF3467" t="s">
        <v>46835</v>
      </c>
    </row>
    <row r="3468" spans="1:32" x14ac:dyDescent="0.2">
      <c r="A3468">
        <v>3463</v>
      </c>
      <c r="B3468" t="s">
        <v>38756</v>
      </c>
      <c r="C3468" t="s">
        <v>38757</v>
      </c>
      <c r="D3468" t="s">
        <v>32</v>
      </c>
      <c r="E3468" t="s">
        <v>38758</v>
      </c>
      <c r="F3468" t="s">
        <v>38759</v>
      </c>
      <c r="G3468" t="s">
        <v>38760</v>
      </c>
      <c r="H3468" t="str">
        <f>"Mea1"</f>
        <v>Mea1</v>
      </c>
      <c r="I3468" t="s">
        <v>38761</v>
      </c>
      <c r="J3468" t="s">
        <v>37</v>
      </c>
      <c r="K3468">
        <v>10090</v>
      </c>
      <c r="L3468" s="3" t="str">
        <f>HYPERLINK("http://www.uniprot.org/uniprot/Q64327", "Q64327")</f>
        <v>Q64327</v>
      </c>
      <c r="M3468" t="s">
        <v>38762</v>
      </c>
      <c r="N3468" t="str">
        <f>"Mea1"</f>
        <v>Mea1</v>
      </c>
      <c r="O3468" s="3" t="str">
        <f>HYPERLINK("http://www.informatics.jax.org/marker/MGI:96957", "MGI:96957")</f>
        <v>MGI:96957</v>
      </c>
      <c r="P3468" t="s">
        <v>38763</v>
      </c>
      <c r="Q3468" t="s">
        <v>615</v>
      </c>
      <c r="R3468" t="s">
        <v>32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2029</v>
      </c>
      <c r="Y3468" t="s">
        <v>618</v>
      </c>
      <c r="Z3468" t="s">
        <v>32</v>
      </c>
      <c r="AA3468" t="s">
        <v>9694</v>
      </c>
      <c r="AB3468" t="s">
        <v>2172</v>
      </c>
      <c r="AC3468" t="s">
        <v>32</v>
      </c>
      <c r="AD3468" t="s">
        <v>32</v>
      </c>
      <c r="AE3468" t="s">
        <v>32</v>
      </c>
      <c r="AF3468" t="s">
        <v>46835</v>
      </c>
    </row>
    <row r="3469" spans="1:32" x14ac:dyDescent="0.2">
      <c r="A3469">
        <v>3464</v>
      </c>
      <c r="B3469" t="s">
        <v>38764</v>
      </c>
      <c r="C3469" t="s">
        <v>38765</v>
      </c>
      <c r="D3469" t="s">
        <v>38766</v>
      </c>
      <c r="E3469" t="s">
        <v>38767</v>
      </c>
      <c r="F3469" t="s">
        <v>38768</v>
      </c>
      <c r="G3469" t="s">
        <v>32</v>
      </c>
      <c r="H3469" t="str">
        <f>"Htt"</f>
        <v>Htt</v>
      </c>
      <c r="I3469" t="s">
        <v>38769</v>
      </c>
      <c r="J3469" t="s">
        <v>37</v>
      </c>
      <c r="K3469">
        <v>10090</v>
      </c>
      <c r="L3469" s="3" t="str">
        <f>HYPERLINK("http://www.uniprot.org/uniprot/P42859", "P42859")</f>
        <v>P42859</v>
      </c>
      <c r="M3469" t="s">
        <v>38770</v>
      </c>
      <c r="N3469" t="str">
        <f>"Htt"</f>
        <v>Htt</v>
      </c>
      <c r="O3469" s="3" t="str">
        <f>HYPERLINK("http://www.informatics.jax.org/marker/MGI:96067", "MGI:96067")</f>
        <v>MGI:96067</v>
      </c>
      <c r="P3469" t="s">
        <v>38771</v>
      </c>
      <c r="Q3469" t="s">
        <v>32</v>
      </c>
      <c r="R3469" t="s">
        <v>38772</v>
      </c>
      <c r="S3469" t="s">
        <v>41</v>
      </c>
      <c r="T3469" t="s">
        <v>32</v>
      </c>
      <c r="U3469" t="s">
        <v>32</v>
      </c>
      <c r="V3469" t="s">
        <v>55</v>
      </c>
      <c r="W3469" t="s">
        <v>32</v>
      </c>
      <c r="X3469" t="s">
        <v>32</v>
      </c>
      <c r="Y3469" t="s">
        <v>138</v>
      </c>
      <c r="Z3469" t="s">
        <v>32</v>
      </c>
      <c r="AA3469" t="s">
        <v>38773</v>
      </c>
      <c r="AB3469" t="s">
        <v>38774</v>
      </c>
      <c r="AC3469" t="s">
        <v>38775</v>
      </c>
      <c r="AD3469" t="s">
        <v>32</v>
      </c>
      <c r="AE3469" t="s">
        <v>32</v>
      </c>
      <c r="AF3469" t="s">
        <v>46835</v>
      </c>
    </row>
    <row r="3470" spans="1:32" x14ac:dyDescent="0.2">
      <c r="A3470">
        <v>3465</v>
      </c>
      <c r="B3470" t="s">
        <v>38776</v>
      </c>
      <c r="C3470" t="s">
        <v>38777</v>
      </c>
      <c r="D3470" t="s">
        <v>38778</v>
      </c>
      <c r="E3470" t="s">
        <v>38779</v>
      </c>
      <c r="F3470" t="s">
        <v>38780</v>
      </c>
      <c r="G3470" t="s">
        <v>38781</v>
      </c>
      <c r="H3470" t="str">
        <f>"Spats2"</f>
        <v>Spats2</v>
      </c>
      <c r="I3470" t="s">
        <v>38782</v>
      </c>
      <c r="J3470" t="s">
        <v>37</v>
      </c>
      <c r="K3470">
        <v>10090</v>
      </c>
      <c r="L3470" s="3" t="str">
        <f>HYPERLINK("http://www.uniprot.org/uniprot/Q8K1N4", "Q8K1N4")</f>
        <v>Q8K1N4</v>
      </c>
      <c r="M3470" t="s">
        <v>38783</v>
      </c>
      <c r="N3470" t="str">
        <f>"Spats2"</f>
        <v>Spats2</v>
      </c>
      <c r="O3470" s="3" t="str">
        <f>HYPERLINK("http://www.informatics.jax.org/marker/MGI:1919822", "MGI:1919822")</f>
        <v>MGI:1919822</v>
      </c>
      <c r="P3470" t="s">
        <v>21217</v>
      </c>
      <c r="Q3470" t="s">
        <v>32</v>
      </c>
      <c r="R3470" t="s">
        <v>418</v>
      </c>
      <c r="S3470" t="s">
        <v>41</v>
      </c>
      <c r="T3470" t="s">
        <v>32</v>
      </c>
      <c r="U3470" t="s">
        <v>32</v>
      </c>
      <c r="V3470" t="s">
        <v>32</v>
      </c>
      <c r="W3470" t="s">
        <v>32</v>
      </c>
      <c r="X3470" t="s">
        <v>32</v>
      </c>
      <c r="Y3470" t="s">
        <v>618</v>
      </c>
      <c r="Z3470" t="s">
        <v>32</v>
      </c>
      <c r="AA3470" t="s">
        <v>32</v>
      </c>
      <c r="AB3470" t="s">
        <v>2206</v>
      </c>
      <c r="AC3470" t="s">
        <v>32</v>
      </c>
      <c r="AD3470" t="s">
        <v>32</v>
      </c>
      <c r="AE3470" t="s">
        <v>32</v>
      </c>
      <c r="AF3470" t="s">
        <v>46835</v>
      </c>
    </row>
    <row r="3471" spans="1:32" x14ac:dyDescent="0.2">
      <c r="A3471">
        <v>3466</v>
      </c>
      <c r="B3471" t="s">
        <v>38784</v>
      </c>
      <c r="C3471" t="s">
        <v>38785</v>
      </c>
      <c r="D3471" t="s">
        <v>38786</v>
      </c>
      <c r="E3471" t="s">
        <v>38787</v>
      </c>
      <c r="F3471" t="s">
        <v>38788</v>
      </c>
      <c r="G3471" t="s">
        <v>38789</v>
      </c>
      <c r="H3471" t="str">
        <f>"Glul"</f>
        <v>Glul</v>
      </c>
      <c r="I3471" t="s">
        <v>32</v>
      </c>
      <c r="J3471" t="s">
        <v>37</v>
      </c>
      <c r="K3471">
        <v>10090</v>
      </c>
      <c r="L3471" s="3" t="str">
        <f>HYPERLINK("http://www.uniprot.org/uniprot/P15105", "P15105")</f>
        <v>P15105</v>
      </c>
      <c r="M3471" t="s">
        <v>38790</v>
      </c>
      <c r="N3471" t="str">
        <f>"Glul"</f>
        <v>Glul</v>
      </c>
      <c r="O3471" s="3" t="str">
        <f>HYPERLINK("http://www.informatics.jax.org/marker/MGI:95739", "MGI:95739")</f>
        <v>MGI:95739</v>
      </c>
      <c r="P3471" t="s">
        <v>38791</v>
      </c>
      <c r="Q3471" t="s">
        <v>4227</v>
      </c>
      <c r="R3471" t="s">
        <v>38792</v>
      </c>
      <c r="S3471" t="s">
        <v>32</v>
      </c>
      <c r="T3471" t="s">
        <v>32</v>
      </c>
      <c r="U3471" t="s">
        <v>32</v>
      </c>
      <c r="V3471" t="s">
        <v>32</v>
      </c>
      <c r="W3471" t="s">
        <v>4352</v>
      </c>
      <c r="X3471" t="s">
        <v>38793</v>
      </c>
      <c r="Y3471" t="s">
        <v>32623</v>
      </c>
      <c r="Z3471" t="s">
        <v>32</v>
      </c>
      <c r="AA3471" t="s">
        <v>38794</v>
      </c>
      <c r="AB3471" t="s">
        <v>38795</v>
      </c>
      <c r="AC3471" t="s">
        <v>38796</v>
      </c>
      <c r="AD3471" t="s">
        <v>32</v>
      </c>
      <c r="AE3471" t="s">
        <v>38797</v>
      </c>
      <c r="AF3471" t="s">
        <v>46835</v>
      </c>
    </row>
    <row r="3472" spans="1:32" x14ac:dyDescent="0.2">
      <c r="A3472">
        <v>3467</v>
      </c>
      <c r="B3472" t="s">
        <v>38798</v>
      </c>
      <c r="C3472" t="s">
        <v>38799</v>
      </c>
      <c r="D3472" t="s">
        <v>38800</v>
      </c>
      <c r="E3472" t="s">
        <v>38801</v>
      </c>
      <c r="F3472" t="s">
        <v>38802</v>
      </c>
      <c r="G3472" t="s">
        <v>38803</v>
      </c>
      <c r="H3472" t="str">
        <f>"Vps50"</f>
        <v>Vps50</v>
      </c>
      <c r="I3472" t="s">
        <v>32</v>
      </c>
      <c r="J3472" t="s">
        <v>37</v>
      </c>
      <c r="K3472">
        <v>10090</v>
      </c>
      <c r="L3472" s="3" t="str">
        <f>HYPERLINK("http://www.uniprot.org/uniprot/Q8CI71", "Q8CI71")</f>
        <v>Q8CI71</v>
      </c>
      <c r="M3472" t="s">
        <v>38804</v>
      </c>
      <c r="N3472" t="str">
        <f>"Vps50"</f>
        <v>Vps50</v>
      </c>
      <c r="O3472" s="3" t="str">
        <f>HYPERLINK("http://www.informatics.jax.org/marker/MGI:1920538", "MGI:1920538")</f>
        <v>MGI:1920538</v>
      </c>
      <c r="P3472" t="s">
        <v>38805</v>
      </c>
      <c r="Q3472" t="s">
        <v>434</v>
      </c>
      <c r="R3472" t="s">
        <v>24832</v>
      </c>
      <c r="S3472" t="s">
        <v>41</v>
      </c>
      <c r="T3472" t="s">
        <v>32</v>
      </c>
      <c r="U3472" t="s">
        <v>32</v>
      </c>
      <c r="V3472" t="s">
        <v>290</v>
      </c>
      <c r="W3472" t="s">
        <v>32</v>
      </c>
      <c r="X3472" t="s">
        <v>32</v>
      </c>
      <c r="Y3472" t="s">
        <v>516</v>
      </c>
      <c r="Z3472" t="s">
        <v>32</v>
      </c>
      <c r="AA3472" t="s">
        <v>38806</v>
      </c>
      <c r="AB3472" t="s">
        <v>38807</v>
      </c>
      <c r="AC3472" t="s">
        <v>27352</v>
      </c>
      <c r="AD3472" t="s">
        <v>32</v>
      </c>
      <c r="AE3472" t="s">
        <v>32</v>
      </c>
      <c r="AF3472" t="s">
        <v>46835</v>
      </c>
    </row>
    <row r="3473" spans="1:33" x14ac:dyDescent="0.2">
      <c r="A3473">
        <v>3468</v>
      </c>
      <c r="B3473" t="s">
        <v>38808</v>
      </c>
      <c r="C3473" t="s">
        <v>38809</v>
      </c>
      <c r="D3473" t="s">
        <v>32</v>
      </c>
      <c r="E3473" t="s">
        <v>38810</v>
      </c>
      <c r="F3473" t="s">
        <v>38811</v>
      </c>
      <c r="G3473" t="s">
        <v>38812</v>
      </c>
      <c r="H3473" t="str">
        <f>"Esyt2"</f>
        <v>Esyt2</v>
      </c>
      <c r="I3473" t="s">
        <v>38813</v>
      </c>
      <c r="J3473" t="s">
        <v>37</v>
      </c>
      <c r="K3473">
        <v>10090</v>
      </c>
      <c r="L3473" s="3" t="str">
        <f>HYPERLINK("http://www.uniprot.org/uniprot/Q3TZZ7", "Q3TZZ7")</f>
        <v>Q3TZZ7</v>
      </c>
      <c r="M3473" t="s">
        <v>38814</v>
      </c>
      <c r="N3473" t="str">
        <f>"Esyt2"</f>
        <v>Esyt2</v>
      </c>
      <c r="O3473" s="3" t="str">
        <f>HYPERLINK("http://www.informatics.jax.org/marker/MGI:1261845", "MGI:1261845")</f>
        <v>MGI:1261845</v>
      </c>
      <c r="P3473" t="s">
        <v>38815</v>
      </c>
      <c r="Q3473" t="s">
        <v>38816</v>
      </c>
      <c r="R3473" t="s">
        <v>1308</v>
      </c>
      <c r="S3473" t="s">
        <v>41</v>
      </c>
      <c r="T3473" t="s">
        <v>32</v>
      </c>
      <c r="U3473" t="s">
        <v>32</v>
      </c>
      <c r="V3473" t="s">
        <v>1620</v>
      </c>
      <c r="W3473" t="s">
        <v>38817</v>
      </c>
      <c r="X3473" t="s">
        <v>32</v>
      </c>
      <c r="Y3473" t="s">
        <v>618</v>
      </c>
      <c r="Z3473" t="s">
        <v>32</v>
      </c>
      <c r="AA3473" t="s">
        <v>38818</v>
      </c>
      <c r="AB3473" t="s">
        <v>38819</v>
      </c>
      <c r="AC3473" t="s">
        <v>38820</v>
      </c>
      <c r="AD3473" t="s">
        <v>32</v>
      </c>
      <c r="AE3473" t="s">
        <v>30003</v>
      </c>
      <c r="AF3473" t="s">
        <v>46835</v>
      </c>
    </row>
    <row r="3474" spans="1:33" x14ac:dyDescent="0.2">
      <c r="A3474">
        <v>3469</v>
      </c>
      <c r="B3474" t="s">
        <v>38821</v>
      </c>
      <c r="C3474" t="s">
        <v>47215</v>
      </c>
      <c r="D3474" t="s">
        <v>32</v>
      </c>
      <c r="E3474" t="s">
        <v>47032</v>
      </c>
      <c r="F3474" t="s">
        <v>47031</v>
      </c>
      <c r="G3474" t="s">
        <v>32</v>
      </c>
      <c r="H3474" t="s">
        <v>47348</v>
      </c>
      <c r="I3474" t="s">
        <v>32</v>
      </c>
      <c r="J3474" t="s">
        <v>37</v>
      </c>
      <c r="K3474">
        <v>10090</v>
      </c>
      <c r="L3474" s="3" t="str">
        <f>HYPERLINK(CONCATENATE("https://www.uniprot.org/uniprotkb/", AG3474, "/entry"), AG3474)</f>
        <v>B8QI36</v>
      </c>
      <c r="M3474" t="s">
        <v>32</v>
      </c>
      <c r="N3474" t="s">
        <v>32</v>
      </c>
      <c r="O3474" s="3" t="s">
        <v>32</v>
      </c>
      <c r="P3474" t="s">
        <v>32</v>
      </c>
      <c r="Q3474" t="s">
        <v>32</v>
      </c>
      <c r="R3474" t="s">
        <v>32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32</v>
      </c>
      <c r="Y3474" t="s">
        <v>32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  <c r="AE3474" t="s">
        <v>32</v>
      </c>
      <c r="AF3474" t="s">
        <v>46835</v>
      </c>
      <c r="AG3474" t="s">
        <v>47031</v>
      </c>
    </row>
    <row r="3475" spans="1:33" x14ac:dyDescent="0.2">
      <c r="A3475">
        <v>3470</v>
      </c>
      <c r="B3475" t="s">
        <v>38822</v>
      </c>
      <c r="C3475" t="s">
        <v>38823</v>
      </c>
      <c r="D3475" t="s">
        <v>38824</v>
      </c>
      <c r="E3475" t="s">
        <v>38825</v>
      </c>
      <c r="F3475" t="s">
        <v>38826</v>
      </c>
      <c r="G3475" t="s">
        <v>38827</v>
      </c>
      <c r="H3475" t="str">
        <f>"Ythdf1"</f>
        <v>Ythdf1</v>
      </c>
      <c r="I3475" t="s">
        <v>32</v>
      </c>
      <c r="J3475" t="s">
        <v>37</v>
      </c>
      <c r="K3475">
        <v>10090</v>
      </c>
      <c r="L3475" s="3" t="str">
        <f>HYPERLINK("http://www.uniprot.org/uniprot/P59326", "P59326")</f>
        <v>P59326</v>
      </c>
      <c r="M3475" t="s">
        <v>38828</v>
      </c>
      <c r="N3475" t="str">
        <f>"Ythdf1"</f>
        <v>Ythdf1</v>
      </c>
      <c r="O3475" s="3" t="str">
        <f>HYPERLINK("http://www.informatics.jax.org/marker/MGI:1917431", "MGI:1917431")</f>
        <v>MGI:1917431</v>
      </c>
      <c r="P3475" t="s">
        <v>38829</v>
      </c>
      <c r="Q3475" t="s">
        <v>3834</v>
      </c>
      <c r="R3475" t="s">
        <v>418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1282</v>
      </c>
      <c r="Y3475" t="s">
        <v>157</v>
      </c>
      <c r="Z3475" t="s">
        <v>32</v>
      </c>
      <c r="AA3475" t="s">
        <v>38830</v>
      </c>
      <c r="AB3475" t="s">
        <v>38831</v>
      </c>
      <c r="AC3475" t="s">
        <v>38832</v>
      </c>
      <c r="AD3475" t="s">
        <v>32</v>
      </c>
      <c r="AE3475" t="s">
        <v>32</v>
      </c>
      <c r="AF3475" t="s">
        <v>46835</v>
      </c>
    </row>
    <row r="3476" spans="1:33" x14ac:dyDescent="0.2">
      <c r="A3476">
        <v>3471</v>
      </c>
      <c r="B3476" t="s">
        <v>38833</v>
      </c>
      <c r="C3476" t="s">
        <v>38834</v>
      </c>
      <c r="D3476" t="s">
        <v>38835</v>
      </c>
      <c r="E3476" t="s">
        <v>38836</v>
      </c>
      <c r="F3476" t="s">
        <v>38837</v>
      </c>
      <c r="G3476" t="s">
        <v>38838</v>
      </c>
      <c r="H3476" t="str">
        <f>"Lxn"</f>
        <v>Lxn</v>
      </c>
      <c r="I3476" t="s">
        <v>32</v>
      </c>
      <c r="J3476" t="s">
        <v>37</v>
      </c>
      <c r="K3476">
        <v>10090</v>
      </c>
      <c r="L3476" s="3" t="str">
        <f>HYPERLINK("http://www.uniprot.org/uniprot/P70202", "P70202")</f>
        <v>P70202</v>
      </c>
      <c r="M3476" t="s">
        <v>38839</v>
      </c>
      <c r="N3476" t="str">
        <f>"Lxn"</f>
        <v>Lxn</v>
      </c>
      <c r="O3476" s="3" t="str">
        <f>HYPERLINK("http://www.informatics.jax.org/marker/MGI:107633", "MGI:107633")</f>
        <v>MGI:107633</v>
      </c>
      <c r="P3476" t="s">
        <v>38840</v>
      </c>
      <c r="Q3476" t="s">
        <v>38841</v>
      </c>
      <c r="R3476" t="s">
        <v>418</v>
      </c>
      <c r="S3476" t="s">
        <v>32</v>
      </c>
      <c r="T3476" t="s">
        <v>32</v>
      </c>
      <c r="U3476" t="s">
        <v>32</v>
      </c>
      <c r="V3476" t="s">
        <v>55</v>
      </c>
      <c r="W3476" t="s">
        <v>32</v>
      </c>
      <c r="X3476" t="s">
        <v>38842</v>
      </c>
      <c r="Y3476" t="s">
        <v>78</v>
      </c>
      <c r="Z3476" t="s">
        <v>126</v>
      </c>
      <c r="AA3476" t="s">
        <v>38843</v>
      </c>
      <c r="AB3476" t="s">
        <v>15048</v>
      </c>
      <c r="AC3476" t="s">
        <v>38844</v>
      </c>
      <c r="AD3476" t="s">
        <v>32</v>
      </c>
      <c r="AE3476" t="s">
        <v>32</v>
      </c>
      <c r="AF3476" t="s">
        <v>46835</v>
      </c>
    </row>
    <row r="3477" spans="1:33" x14ac:dyDescent="0.2">
      <c r="A3477">
        <v>3472</v>
      </c>
      <c r="B3477" t="s">
        <v>38845</v>
      </c>
      <c r="C3477" t="s">
        <v>38846</v>
      </c>
      <c r="D3477" t="s">
        <v>38847</v>
      </c>
      <c r="E3477" t="s">
        <v>38848</v>
      </c>
      <c r="F3477" t="s">
        <v>38849</v>
      </c>
      <c r="G3477" t="s">
        <v>38850</v>
      </c>
      <c r="H3477" t="str">
        <f>"Camsap2"</f>
        <v>Camsap2</v>
      </c>
      <c r="I3477" t="s">
        <v>32</v>
      </c>
      <c r="J3477" t="s">
        <v>37</v>
      </c>
      <c r="K3477">
        <v>10090</v>
      </c>
      <c r="L3477" s="3" t="str">
        <f>HYPERLINK("http://www.uniprot.org/uniprot/Q8C1B1", "Q8C1B1")</f>
        <v>Q8C1B1</v>
      </c>
      <c r="M3477" t="s">
        <v>38851</v>
      </c>
      <c r="N3477" t="str">
        <f>"Camsap2"</f>
        <v>Camsap2</v>
      </c>
      <c r="O3477" s="3" t="str">
        <f>HYPERLINK("http://www.informatics.jax.org/marker/MGI:1922434", "MGI:1922434")</f>
        <v>MGI:1922434</v>
      </c>
      <c r="P3477" t="s">
        <v>38852</v>
      </c>
      <c r="Q3477" t="s">
        <v>32</v>
      </c>
      <c r="R3477" t="s">
        <v>38853</v>
      </c>
      <c r="S3477" t="s">
        <v>41</v>
      </c>
      <c r="T3477" t="s">
        <v>32</v>
      </c>
      <c r="U3477" t="s">
        <v>32</v>
      </c>
      <c r="V3477" t="s">
        <v>290</v>
      </c>
      <c r="W3477" t="s">
        <v>32</v>
      </c>
      <c r="X3477" t="s">
        <v>32</v>
      </c>
      <c r="Y3477" t="s">
        <v>618</v>
      </c>
      <c r="Z3477" t="s">
        <v>32</v>
      </c>
      <c r="AA3477" t="s">
        <v>38854</v>
      </c>
      <c r="AB3477" t="s">
        <v>38855</v>
      </c>
      <c r="AC3477" t="s">
        <v>38856</v>
      </c>
      <c r="AD3477" t="s">
        <v>32</v>
      </c>
      <c r="AE3477" t="s">
        <v>32</v>
      </c>
      <c r="AF3477" t="s">
        <v>46835</v>
      </c>
    </row>
    <row r="3478" spans="1:33" x14ac:dyDescent="0.2">
      <c r="A3478">
        <v>3473</v>
      </c>
      <c r="B3478" t="s">
        <v>38857</v>
      </c>
      <c r="C3478" t="s">
        <v>38858</v>
      </c>
      <c r="D3478" t="s">
        <v>38859</v>
      </c>
      <c r="E3478" t="s">
        <v>38860</v>
      </c>
      <c r="F3478" t="s">
        <v>38861</v>
      </c>
      <c r="G3478" t="s">
        <v>38862</v>
      </c>
      <c r="H3478" t="str">
        <f>"Ctnnal1"</f>
        <v>Ctnnal1</v>
      </c>
      <c r="I3478" t="s">
        <v>38863</v>
      </c>
      <c r="J3478" t="s">
        <v>37</v>
      </c>
      <c r="K3478">
        <v>10090</v>
      </c>
      <c r="L3478" s="3" t="str">
        <f>HYPERLINK("http://www.uniprot.org/uniprot/O88327", "O88327")</f>
        <v>O88327</v>
      </c>
      <c r="M3478" t="s">
        <v>38864</v>
      </c>
      <c r="N3478" t="str">
        <f>"Ctnnal1"</f>
        <v>Ctnnal1</v>
      </c>
      <c r="O3478" s="3" t="str">
        <f>HYPERLINK("http://www.informatics.jax.org/marker/MGI:1859649", "MGI:1859649")</f>
        <v>MGI:1859649</v>
      </c>
      <c r="P3478" t="s">
        <v>38865</v>
      </c>
      <c r="Q3478" t="s">
        <v>32</v>
      </c>
      <c r="R3478" t="s">
        <v>371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32</v>
      </c>
      <c r="Y3478" t="s">
        <v>618</v>
      </c>
      <c r="Z3478" t="s">
        <v>32</v>
      </c>
      <c r="AA3478" t="s">
        <v>38866</v>
      </c>
      <c r="AB3478" t="s">
        <v>38867</v>
      </c>
      <c r="AC3478" t="s">
        <v>38868</v>
      </c>
      <c r="AD3478" t="s">
        <v>32</v>
      </c>
      <c r="AE3478" t="s">
        <v>32</v>
      </c>
      <c r="AF3478" t="s">
        <v>46835</v>
      </c>
    </row>
    <row r="3479" spans="1:33" x14ac:dyDescent="0.2">
      <c r="A3479">
        <v>3474</v>
      </c>
      <c r="B3479" t="s">
        <v>38869</v>
      </c>
      <c r="C3479" t="s">
        <v>38870</v>
      </c>
      <c r="D3479" t="s">
        <v>32</v>
      </c>
      <c r="E3479" t="s">
        <v>38871</v>
      </c>
      <c r="F3479" t="s">
        <v>38872</v>
      </c>
      <c r="G3479" t="s">
        <v>38873</v>
      </c>
      <c r="H3479" t="str">
        <f>"Snx17"</f>
        <v>Snx17</v>
      </c>
      <c r="I3479" t="s">
        <v>32</v>
      </c>
      <c r="J3479" t="s">
        <v>37</v>
      </c>
      <c r="K3479">
        <v>10090</v>
      </c>
      <c r="L3479" s="3" t="str">
        <f>HYPERLINK("http://www.uniprot.org/uniprot/Q8BVL3", "Q8BVL3")</f>
        <v>Q8BVL3</v>
      </c>
      <c r="M3479" t="s">
        <v>38874</v>
      </c>
      <c r="N3479" t="str">
        <f>"Snx17"</f>
        <v>Snx17</v>
      </c>
      <c r="O3479" s="3" t="str">
        <f>HYPERLINK("http://www.informatics.jax.org/marker/MGI:2387801", "MGI:2387801")</f>
        <v>MGI:2387801</v>
      </c>
      <c r="P3479" t="s">
        <v>38875</v>
      </c>
      <c r="Q3479" t="s">
        <v>434</v>
      </c>
      <c r="R3479" t="s">
        <v>24775</v>
      </c>
      <c r="S3479" t="s">
        <v>32</v>
      </c>
      <c r="T3479" t="s">
        <v>32</v>
      </c>
      <c r="U3479" t="s">
        <v>32</v>
      </c>
      <c r="V3479" t="s">
        <v>32</v>
      </c>
      <c r="W3479" t="s">
        <v>584</v>
      </c>
      <c r="X3479" t="s">
        <v>32</v>
      </c>
      <c r="Y3479" t="s">
        <v>618</v>
      </c>
      <c r="Z3479" t="s">
        <v>32</v>
      </c>
      <c r="AA3479" t="s">
        <v>38876</v>
      </c>
      <c r="AB3479" t="s">
        <v>38877</v>
      </c>
      <c r="AC3479" t="s">
        <v>38878</v>
      </c>
      <c r="AD3479" t="s">
        <v>32</v>
      </c>
      <c r="AE3479" t="s">
        <v>32</v>
      </c>
      <c r="AF3479" t="s">
        <v>46835</v>
      </c>
    </row>
    <row r="3480" spans="1:33" x14ac:dyDescent="0.2">
      <c r="A3480">
        <v>3475</v>
      </c>
      <c r="B3480" t="s">
        <v>38879</v>
      </c>
      <c r="C3480" t="s">
        <v>38880</v>
      </c>
      <c r="D3480" t="s">
        <v>38881</v>
      </c>
      <c r="E3480" t="s">
        <v>38882</v>
      </c>
      <c r="F3480" t="s">
        <v>38883</v>
      </c>
      <c r="G3480" t="s">
        <v>38884</v>
      </c>
      <c r="H3480" t="str">
        <f>"Ftsj3"</f>
        <v>Ftsj3</v>
      </c>
      <c r="I3480" t="s">
        <v>32</v>
      </c>
      <c r="J3480" t="s">
        <v>37</v>
      </c>
      <c r="K3480">
        <v>10090</v>
      </c>
      <c r="L3480" s="3" t="str">
        <f>HYPERLINK("http://www.uniprot.org/uniprot/Q9DBE9", "Q9DBE9")</f>
        <v>Q9DBE9</v>
      </c>
      <c r="M3480" t="s">
        <v>38885</v>
      </c>
      <c r="N3480" t="str">
        <f>"Ftsj3"</f>
        <v>Ftsj3</v>
      </c>
      <c r="O3480" s="3" t="str">
        <f>HYPERLINK("http://www.informatics.jax.org/marker/MGI:1860295", "MGI:1860295")</f>
        <v>MGI:1860295</v>
      </c>
      <c r="P3480" t="s">
        <v>38886</v>
      </c>
      <c r="Q3480" t="s">
        <v>13781</v>
      </c>
      <c r="R3480" t="s">
        <v>2279</v>
      </c>
      <c r="S3480" t="s">
        <v>32</v>
      </c>
      <c r="T3480" t="s">
        <v>32</v>
      </c>
      <c r="U3480" t="s">
        <v>32</v>
      </c>
      <c r="V3480" t="s">
        <v>290</v>
      </c>
      <c r="W3480" t="s">
        <v>1705</v>
      </c>
      <c r="X3480" t="s">
        <v>1706</v>
      </c>
      <c r="Y3480" t="s">
        <v>3509</v>
      </c>
      <c r="Z3480" t="s">
        <v>32</v>
      </c>
      <c r="AA3480" t="s">
        <v>38887</v>
      </c>
      <c r="AB3480" t="s">
        <v>38888</v>
      </c>
      <c r="AC3480" t="s">
        <v>38889</v>
      </c>
      <c r="AD3480" t="s">
        <v>32</v>
      </c>
      <c r="AE3480" t="s">
        <v>960</v>
      </c>
      <c r="AF3480" t="s">
        <v>46835</v>
      </c>
    </row>
    <row r="3481" spans="1:33" x14ac:dyDescent="0.2">
      <c r="A3481">
        <v>3476</v>
      </c>
      <c r="B3481" t="s">
        <v>38890</v>
      </c>
      <c r="C3481" t="s">
        <v>38891</v>
      </c>
      <c r="D3481" t="s">
        <v>38892</v>
      </c>
      <c r="E3481" t="s">
        <v>38893</v>
      </c>
      <c r="F3481" t="s">
        <v>38894</v>
      </c>
      <c r="G3481" t="s">
        <v>38895</v>
      </c>
      <c r="H3481" t="str">
        <f>"Hsd17b8"</f>
        <v>Hsd17b8</v>
      </c>
      <c r="I3481" t="s">
        <v>38896</v>
      </c>
      <c r="J3481" t="s">
        <v>37</v>
      </c>
      <c r="K3481">
        <v>10090</v>
      </c>
      <c r="L3481" s="3" t="str">
        <f>HYPERLINK("http://www.uniprot.org/uniprot/P50171", "P50171")</f>
        <v>P50171</v>
      </c>
      <c r="M3481" t="s">
        <v>38897</v>
      </c>
      <c r="N3481" t="str">
        <f>"H2-Ke6"</f>
        <v>H2-Ke6</v>
      </c>
      <c r="O3481" s="3" t="str">
        <f>HYPERLINK("http://www.informatics.jax.org/marker/MGI:95911", "MGI:95911")</f>
        <v>MGI:95911</v>
      </c>
      <c r="P3481" t="s">
        <v>38898</v>
      </c>
      <c r="Q3481" t="s">
        <v>38899</v>
      </c>
      <c r="R3481" t="s">
        <v>1038</v>
      </c>
      <c r="S3481" t="s">
        <v>41</v>
      </c>
      <c r="T3481" t="s">
        <v>32</v>
      </c>
      <c r="U3481" t="s">
        <v>32</v>
      </c>
      <c r="V3481" t="s">
        <v>32</v>
      </c>
      <c r="W3481" t="s">
        <v>325</v>
      </c>
      <c r="X3481" t="s">
        <v>600</v>
      </c>
      <c r="Y3481" t="s">
        <v>157</v>
      </c>
      <c r="Z3481" t="s">
        <v>32</v>
      </c>
      <c r="AA3481" t="s">
        <v>38900</v>
      </c>
      <c r="AB3481" t="s">
        <v>38901</v>
      </c>
      <c r="AC3481" t="s">
        <v>38902</v>
      </c>
      <c r="AD3481" t="s">
        <v>8318</v>
      </c>
      <c r="AE3481" t="s">
        <v>25669</v>
      </c>
      <c r="AF3481" t="s">
        <v>46835</v>
      </c>
    </row>
    <row r="3482" spans="1:33" x14ac:dyDescent="0.2">
      <c r="A3482">
        <v>3477</v>
      </c>
      <c r="B3482" t="s">
        <v>38903</v>
      </c>
      <c r="C3482" t="s">
        <v>38904</v>
      </c>
      <c r="D3482" t="s">
        <v>32</v>
      </c>
      <c r="E3482" t="s">
        <v>38905</v>
      </c>
      <c r="F3482" t="s">
        <v>38906</v>
      </c>
      <c r="G3482" t="s">
        <v>32</v>
      </c>
      <c r="H3482" t="str">
        <f>"Wdr70"</f>
        <v>Wdr70</v>
      </c>
      <c r="I3482" t="s">
        <v>32</v>
      </c>
      <c r="J3482" t="s">
        <v>37</v>
      </c>
      <c r="K3482">
        <v>10090</v>
      </c>
      <c r="L3482" s="3" t="str">
        <f>HYPERLINK("http://www.uniprot.org/uniprot/Q3TWF6", "Q3TWF6")</f>
        <v>Q3TWF6</v>
      </c>
      <c r="M3482" t="s">
        <v>38907</v>
      </c>
      <c r="N3482" t="str">
        <f>"Wdr70"</f>
        <v>Wdr70</v>
      </c>
      <c r="O3482" s="3" t="str">
        <f>HYPERLINK("http://www.informatics.jax.org/marker/MGI:1921020", "MGI:1921020")</f>
        <v>MGI:1921020</v>
      </c>
      <c r="P3482" t="s">
        <v>38908</v>
      </c>
      <c r="Q3482" t="s">
        <v>32</v>
      </c>
      <c r="R3482" t="s">
        <v>32</v>
      </c>
      <c r="S3482" t="s">
        <v>32</v>
      </c>
      <c r="T3482" t="s">
        <v>32</v>
      </c>
      <c r="U3482" t="s">
        <v>32</v>
      </c>
      <c r="V3482" t="s">
        <v>1910</v>
      </c>
      <c r="W3482" t="s">
        <v>32</v>
      </c>
      <c r="X3482" t="s">
        <v>32</v>
      </c>
      <c r="Y3482" t="s">
        <v>516</v>
      </c>
      <c r="Z3482" t="s">
        <v>32</v>
      </c>
      <c r="AA3482" t="s">
        <v>38909</v>
      </c>
      <c r="AB3482" t="s">
        <v>38910</v>
      </c>
      <c r="AC3482" t="s">
        <v>24312</v>
      </c>
      <c r="AD3482" t="s">
        <v>32</v>
      </c>
      <c r="AE3482" t="s">
        <v>32</v>
      </c>
      <c r="AF3482" t="s">
        <v>46835</v>
      </c>
    </row>
    <row r="3483" spans="1:33" x14ac:dyDescent="0.2">
      <c r="A3483">
        <v>3478</v>
      </c>
      <c r="B3483" t="s">
        <v>38911</v>
      </c>
      <c r="C3483" t="s">
        <v>38912</v>
      </c>
      <c r="D3483" t="s">
        <v>38913</v>
      </c>
      <c r="E3483" t="s">
        <v>38914</v>
      </c>
      <c r="F3483" t="s">
        <v>38915</v>
      </c>
      <c r="G3483" t="s">
        <v>38916</v>
      </c>
      <c r="H3483" t="str">
        <f>"Peak1"</f>
        <v>Peak1</v>
      </c>
      <c r="I3483" t="s">
        <v>38917</v>
      </c>
      <c r="J3483" t="s">
        <v>37</v>
      </c>
      <c r="K3483">
        <v>10090</v>
      </c>
      <c r="L3483" s="3" t="str">
        <f>HYPERLINK("http://www.uniprot.org/uniprot/Q69Z38", "Q69Z38")</f>
        <v>Q69Z38</v>
      </c>
      <c r="M3483" t="s">
        <v>38918</v>
      </c>
      <c r="N3483" t="str">
        <f>"Peak1"</f>
        <v>Peak1</v>
      </c>
      <c r="O3483" s="3" t="str">
        <f>HYPERLINK("http://www.informatics.jax.org/marker/MGI:2442366", "MGI:2442366")</f>
        <v>MGI:2442366</v>
      </c>
      <c r="P3483" t="s">
        <v>38919</v>
      </c>
      <c r="Q3483" t="s">
        <v>32</v>
      </c>
      <c r="R3483" t="s">
        <v>403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32</v>
      </c>
      <c r="Y3483" t="s">
        <v>618</v>
      </c>
      <c r="Z3483" t="s">
        <v>32</v>
      </c>
      <c r="AA3483" t="s">
        <v>38920</v>
      </c>
      <c r="AB3483" t="s">
        <v>8343</v>
      </c>
      <c r="AC3483" t="s">
        <v>38921</v>
      </c>
      <c r="AD3483" t="s">
        <v>32</v>
      </c>
      <c r="AE3483" t="s">
        <v>38922</v>
      </c>
      <c r="AF3483" t="s">
        <v>46835</v>
      </c>
    </row>
    <row r="3484" spans="1:33" x14ac:dyDescent="0.2">
      <c r="A3484">
        <v>3479</v>
      </c>
      <c r="B3484" t="s">
        <v>38923</v>
      </c>
      <c r="C3484" t="s">
        <v>38924</v>
      </c>
      <c r="D3484" t="s">
        <v>38925</v>
      </c>
      <c r="E3484" t="s">
        <v>38926</v>
      </c>
      <c r="F3484" t="s">
        <v>38927</v>
      </c>
      <c r="G3484" t="s">
        <v>38928</v>
      </c>
      <c r="H3484" t="str">
        <f>"Nacc1"</f>
        <v>Nacc1</v>
      </c>
      <c r="I3484" t="s">
        <v>38929</v>
      </c>
      <c r="J3484" t="s">
        <v>37</v>
      </c>
      <c r="K3484">
        <v>10090</v>
      </c>
      <c r="L3484" s="3" t="str">
        <f>HYPERLINK("http://www.uniprot.org/uniprot/Q7TSZ8", "Q7TSZ8")</f>
        <v>Q7TSZ8</v>
      </c>
      <c r="M3484" t="s">
        <v>38930</v>
      </c>
      <c r="N3484" t="str">
        <f>"Nacc1"</f>
        <v>Nacc1</v>
      </c>
      <c r="O3484" s="3" t="str">
        <f>HYPERLINK("http://www.informatics.jax.org/marker/MGI:1914080", "MGI:1914080")</f>
        <v>MGI:1914080</v>
      </c>
      <c r="P3484" t="s">
        <v>38931</v>
      </c>
      <c r="Q3484" t="s">
        <v>4152</v>
      </c>
      <c r="R3484" t="s">
        <v>40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5195</v>
      </c>
      <c r="Y3484" t="s">
        <v>1007</v>
      </c>
      <c r="Z3484" t="s">
        <v>32</v>
      </c>
      <c r="AA3484" t="s">
        <v>38932</v>
      </c>
      <c r="AB3484" t="s">
        <v>38933</v>
      </c>
      <c r="AC3484" t="s">
        <v>38934</v>
      </c>
      <c r="AD3484" t="s">
        <v>32</v>
      </c>
      <c r="AE3484" t="s">
        <v>32</v>
      </c>
      <c r="AF3484" t="s">
        <v>46835</v>
      </c>
    </row>
    <row r="3485" spans="1:33" x14ac:dyDescent="0.2">
      <c r="A3485">
        <v>3480</v>
      </c>
      <c r="B3485" t="s">
        <v>38935</v>
      </c>
      <c r="C3485" t="s">
        <v>38936</v>
      </c>
      <c r="D3485" t="s">
        <v>32</v>
      </c>
      <c r="E3485" t="s">
        <v>38937</v>
      </c>
      <c r="F3485" t="s">
        <v>38938</v>
      </c>
      <c r="G3485" t="s">
        <v>38939</v>
      </c>
      <c r="H3485" t="str">
        <f>"Prkag2"</f>
        <v>Prkag2</v>
      </c>
      <c r="I3485" t="s">
        <v>32</v>
      </c>
      <c r="J3485" t="s">
        <v>37</v>
      </c>
      <c r="K3485">
        <v>10090</v>
      </c>
      <c r="L3485" s="3" t="str">
        <f>HYPERLINK("http://www.uniprot.org/uniprot/Q91WG5", "Q91WG5")</f>
        <v>Q91WG5</v>
      </c>
      <c r="M3485" t="s">
        <v>38940</v>
      </c>
      <c r="N3485" t="str">
        <f>"Prkag2"</f>
        <v>Prkag2</v>
      </c>
      <c r="O3485" s="3" t="str">
        <f>HYPERLINK("http://www.informatics.jax.org/marker/MGI:1336153", "MGI:1336153")</f>
        <v>MGI:1336153</v>
      </c>
      <c r="P3485" t="s">
        <v>38941</v>
      </c>
      <c r="Q3485" t="s">
        <v>1249</v>
      </c>
      <c r="R3485" t="s">
        <v>32</v>
      </c>
      <c r="S3485" t="s">
        <v>41</v>
      </c>
      <c r="T3485" t="s">
        <v>32</v>
      </c>
      <c r="U3485" t="s">
        <v>32</v>
      </c>
      <c r="V3485" t="s">
        <v>6080</v>
      </c>
      <c r="W3485" t="s">
        <v>205</v>
      </c>
      <c r="X3485" t="s">
        <v>32</v>
      </c>
      <c r="Y3485" t="s">
        <v>618</v>
      </c>
      <c r="Z3485" t="s">
        <v>32</v>
      </c>
      <c r="AA3485" t="s">
        <v>38942</v>
      </c>
      <c r="AB3485" t="s">
        <v>38943</v>
      </c>
      <c r="AC3485" t="s">
        <v>38944</v>
      </c>
      <c r="AD3485" t="s">
        <v>32</v>
      </c>
      <c r="AE3485" t="s">
        <v>29145</v>
      </c>
      <c r="AF3485" t="s">
        <v>46835</v>
      </c>
    </row>
    <row r="3486" spans="1:33" x14ac:dyDescent="0.2">
      <c r="A3486">
        <v>3481</v>
      </c>
      <c r="B3486" t="s">
        <v>38945</v>
      </c>
      <c r="C3486" t="s">
        <v>38946</v>
      </c>
      <c r="D3486" t="s">
        <v>38947</v>
      </c>
      <c r="E3486" t="s">
        <v>38948</v>
      </c>
      <c r="F3486" t="s">
        <v>38949</v>
      </c>
      <c r="G3486" t="s">
        <v>32</v>
      </c>
      <c r="H3486" t="str">
        <f>"Serf1"</f>
        <v>Serf1</v>
      </c>
      <c r="I3486" t="s">
        <v>32</v>
      </c>
      <c r="J3486" t="s">
        <v>37</v>
      </c>
      <c r="K3486">
        <v>10090</v>
      </c>
      <c r="L3486" s="3" t="str">
        <f>HYPERLINK("http://www.uniprot.org/uniprot/O88892", "O88892")</f>
        <v>O88892</v>
      </c>
      <c r="M3486" t="s">
        <v>38950</v>
      </c>
      <c r="N3486" t="str">
        <f>"Serf1"</f>
        <v>Serf1</v>
      </c>
      <c r="O3486" s="3" t="str">
        <f>HYPERLINK("http://www.informatics.jax.org/marker/MGI:1337114", "MGI:1337114")</f>
        <v>MGI:1337114</v>
      </c>
      <c r="P3486" t="s">
        <v>40</v>
      </c>
      <c r="Q3486" t="s">
        <v>32</v>
      </c>
      <c r="R3486" t="s">
        <v>40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32</v>
      </c>
      <c r="Y3486" t="s">
        <v>32</v>
      </c>
      <c r="Z3486" t="s">
        <v>32</v>
      </c>
      <c r="AA3486" t="s">
        <v>38951</v>
      </c>
      <c r="AB3486" t="s">
        <v>38952</v>
      </c>
      <c r="AC3486" t="s">
        <v>32</v>
      </c>
      <c r="AD3486" t="s">
        <v>32</v>
      </c>
      <c r="AE3486" t="s">
        <v>32</v>
      </c>
      <c r="AF3486" t="s">
        <v>46835</v>
      </c>
    </row>
    <row r="3487" spans="1:33" x14ac:dyDescent="0.2">
      <c r="A3487">
        <v>3482</v>
      </c>
      <c r="B3487" t="s">
        <v>38953</v>
      </c>
      <c r="C3487" t="s">
        <v>38954</v>
      </c>
      <c r="D3487" t="s">
        <v>38955</v>
      </c>
      <c r="E3487" t="s">
        <v>38956</v>
      </c>
      <c r="F3487" t="s">
        <v>38957</v>
      </c>
      <c r="G3487" t="s">
        <v>38958</v>
      </c>
      <c r="H3487" t="str">
        <f>"Tmem132a"</f>
        <v>Tmem132a</v>
      </c>
      <c r="I3487" t="s">
        <v>38959</v>
      </c>
      <c r="J3487" t="s">
        <v>37</v>
      </c>
      <c r="K3487">
        <v>10090</v>
      </c>
      <c r="L3487" s="3" t="str">
        <f>HYPERLINK("http://www.uniprot.org/uniprot/Q922P8", "Q922P8")</f>
        <v>Q922P8</v>
      </c>
      <c r="M3487" t="s">
        <v>38960</v>
      </c>
      <c r="N3487" t="str">
        <f>"Tmem132a"</f>
        <v>Tmem132a</v>
      </c>
      <c r="O3487" s="3" t="str">
        <f>HYPERLINK("http://www.informatics.jax.org/marker/MGI:2147810", "MGI:2147810")</f>
        <v>MGI:2147810</v>
      </c>
      <c r="P3487" t="s">
        <v>38961</v>
      </c>
      <c r="Q3487" t="s">
        <v>32</v>
      </c>
      <c r="R3487" t="s">
        <v>11259</v>
      </c>
      <c r="S3487" t="s">
        <v>32</v>
      </c>
      <c r="T3487" t="s">
        <v>32</v>
      </c>
      <c r="U3487" t="s">
        <v>32</v>
      </c>
      <c r="V3487" t="s">
        <v>3948</v>
      </c>
      <c r="W3487" t="s">
        <v>32</v>
      </c>
      <c r="X3487" t="s">
        <v>32</v>
      </c>
      <c r="Y3487" t="s">
        <v>3733</v>
      </c>
      <c r="Z3487" t="s">
        <v>32</v>
      </c>
      <c r="AA3487" t="s">
        <v>38962</v>
      </c>
      <c r="AB3487" t="s">
        <v>38963</v>
      </c>
      <c r="AC3487" t="s">
        <v>32</v>
      </c>
      <c r="AD3487" t="s">
        <v>32</v>
      </c>
      <c r="AE3487" t="s">
        <v>636</v>
      </c>
      <c r="AF3487" t="s">
        <v>46835</v>
      </c>
    </row>
    <row r="3488" spans="1:33" x14ac:dyDescent="0.2">
      <c r="A3488">
        <v>3483</v>
      </c>
      <c r="B3488" t="s">
        <v>38964</v>
      </c>
      <c r="C3488" t="s">
        <v>38965</v>
      </c>
      <c r="D3488" t="s">
        <v>38966</v>
      </c>
      <c r="E3488" t="s">
        <v>38967</v>
      </c>
      <c r="F3488" t="s">
        <v>38968</v>
      </c>
      <c r="G3488" t="s">
        <v>38969</v>
      </c>
      <c r="H3488" t="str">
        <f>"Smg8"</f>
        <v>Smg8</v>
      </c>
      <c r="I3488" t="s">
        <v>32</v>
      </c>
      <c r="J3488" t="s">
        <v>37</v>
      </c>
      <c r="K3488">
        <v>10090</v>
      </c>
      <c r="L3488" s="3" t="str">
        <f>HYPERLINK("http://www.uniprot.org/uniprot/Q8VE18", "Q8VE18")</f>
        <v>Q8VE18</v>
      </c>
      <c r="M3488" t="s">
        <v>38970</v>
      </c>
      <c r="N3488" t="str">
        <f>"Smg8"</f>
        <v>Smg8</v>
      </c>
      <c r="O3488" s="3" t="str">
        <f>HYPERLINK("http://www.informatics.jax.org/marker/MGI:1921383", "MGI:1921383")</f>
        <v>MGI:1921383</v>
      </c>
      <c r="P3488" t="s">
        <v>38971</v>
      </c>
      <c r="Q3488" t="s">
        <v>8713</v>
      </c>
      <c r="R3488" t="s">
        <v>32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32</v>
      </c>
      <c r="Y3488" t="s">
        <v>2734</v>
      </c>
      <c r="Z3488" t="s">
        <v>32</v>
      </c>
      <c r="AA3488" t="s">
        <v>38972</v>
      </c>
      <c r="AB3488" t="s">
        <v>32</v>
      </c>
      <c r="AC3488" t="s">
        <v>32</v>
      </c>
      <c r="AD3488" t="s">
        <v>32</v>
      </c>
      <c r="AE3488" t="s">
        <v>38973</v>
      </c>
      <c r="AF3488" t="s">
        <v>46835</v>
      </c>
    </row>
    <row r="3489" spans="1:33" x14ac:dyDescent="0.2">
      <c r="A3489">
        <v>3484</v>
      </c>
      <c r="B3489" t="s">
        <v>38974</v>
      </c>
      <c r="C3489" t="s">
        <v>38975</v>
      </c>
      <c r="D3489" t="s">
        <v>38976</v>
      </c>
      <c r="E3489" t="s">
        <v>38977</v>
      </c>
      <c r="F3489" t="s">
        <v>38978</v>
      </c>
      <c r="G3489" t="s">
        <v>38979</v>
      </c>
      <c r="H3489" t="str">
        <f>"Nop14"</f>
        <v>Nop14</v>
      </c>
      <c r="I3489" t="s">
        <v>38980</v>
      </c>
      <c r="J3489" t="s">
        <v>37</v>
      </c>
      <c r="K3489">
        <v>10090</v>
      </c>
      <c r="L3489" s="3" t="str">
        <f>HYPERLINK("http://www.uniprot.org/uniprot/Q8R3N1", "Q8R3N1")</f>
        <v>Q8R3N1</v>
      </c>
      <c r="M3489" t="s">
        <v>38981</v>
      </c>
      <c r="N3489" t="str">
        <f>"Nop14"</f>
        <v>Nop14</v>
      </c>
      <c r="O3489" s="3" t="str">
        <f>HYPERLINK("http://www.informatics.jax.org/marker/MGI:1922666", "MGI:1922666")</f>
        <v>MGI:1922666</v>
      </c>
      <c r="P3489" t="s">
        <v>38982</v>
      </c>
      <c r="Q3489" t="s">
        <v>13781</v>
      </c>
      <c r="R3489" t="s">
        <v>2279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32</v>
      </c>
      <c r="Y3489" t="s">
        <v>618</v>
      </c>
      <c r="Z3489" t="s">
        <v>32</v>
      </c>
      <c r="AA3489" t="s">
        <v>38983</v>
      </c>
      <c r="AB3489" t="s">
        <v>38984</v>
      </c>
      <c r="AC3489" t="s">
        <v>38985</v>
      </c>
      <c r="AD3489" t="s">
        <v>32</v>
      </c>
      <c r="AE3489" t="s">
        <v>960</v>
      </c>
      <c r="AF3489" t="s">
        <v>46835</v>
      </c>
    </row>
    <row r="3490" spans="1:33" x14ac:dyDescent="0.2">
      <c r="A3490">
        <v>3485</v>
      </c>
      <c r="B3490" t="s">
        <v>38986</v>
      </c>
      <c r="C3490" t="s">
        <v>38987</v>
      </c>
      <c r="D3490" t="s">
        <v>38988</v>
      </c>
      <c r="E3490" t="s">
        <v>38989</v>
      </c>
      <c r="F3490" t="s">
        <v>38990</v>
      </c>
      <c r="G3490" t="s">
        <v>38991</v>
      </c>
      <c r="H3490" t="str">
        <f>"Fbln1"</f>
        <v>Fbln1</v>
      </c>
      <c r="I3490" t="s">
        <v>32</v>
      </c>
      <c r="J3490" t="s">
        <v>37</v>
      </c>
      <c r="K3490">
        <v>10090</v>
      </c>
      <c r="L3490" s="3" t="str">
        <f>HYPERLINK("http://www.uniprot.org/uniprot/Q08879", "Q08879")</f>
        <v>Q08879</v>
      </c>
      <c r="M3490" t="s">
        <v>38992</v>
      </c>
      <c r="N3490" t="str">
        <f>"Fbln1"</f>
        <v>Fbln1</v>
      </c>
      <c r="O3490" s="3" t="str">
        <f>HYPERLINK("http://www.informatics.jax.org/marker/MGI:95487", "MGI:95487")</f>
        <v>MGI:95487</v>
      </c>
      <c r="P3490" t="s">
        <v>38993</v>
      </c>
      <c r="Q3490" t="s">
        <v>32</v>
      </c>
      <c r="R3490" t="s">
        <v>5586</v>
      </c>
      <c r="S3490" t="s">
        <v>41</v>
      </c>
      <c r="T3490" t="s">
        <v>32</v>
      </c>
      <c r="U3490" t="s">
        <v>32</v>
      </c>
      <c r="V3490" t="s">
        <v>2786</v>
      </c>
      <c r="W3490" t="s">
        <v>1380</v>
      </c>
      <c r="X3490" t="s">
        <v>32</v>
      </c>
      <c r="Y3490" t="s">
        <v>5275</v>
      </c>
      <c r="Z3490" t="s">
        <v>32</v>
      </c>
      <c r="AA3490" t="s">
        <v>38994</v>
      </c>
      <c r="AB3490" t="s">
        <v>38995</v>
      </c>
      <c r="AC3490" t="s">
        <v>38996</v>
      </c>
      <c r="AD3490" t="s">
        <v>32</v>
      </c>
      <c r="AE3490" t="s">
        <v>32</v>
      </c>
      <c r="AF3490" t="s">
        <v>46835</v>
      </c>
    </row>
    <row r="3491" spans="1:33" x14ac:dyDescent="0.2">
      <c r="A3491">
        <v>3486</v>
      </c>
      <c r="B3491" t="s">
        <v>38997</v>
      </c>
      <c r="C3491" t="s">
        <v>38998</v>
      </c>
      <c r="D3491" t="s">
        <v>38999</v>
      </c>
      <c r="E3491" t="s">
        <v>39000</v>
      </c>
      <c r="F3491" t="s">
        <v>39001</v>
      </c>
      <c r="G3491" t="s">
        <v>39002</v>
      </c>
      <c r="H3491" t="str">
        <f>"Thoc1"</f>
        <v>Thoc1</v>
      </c>
      <c r="I3491" t="s">
        <v>39003</v>
      </c>
      <c r="J3491" t="s">
        <v>37</v>
      </c>
      <c r="K3491">
        <v>10090</v>
      </c>
      <c r="L3491" s="3" t="str">
        <f>HYPERLINK("http://www.uniprot.org/uniprot/Q8R3N6", "Q8R3N6")</f>
        <v>Q8R3N6</v>
      </c>
      <c r="M3491" t="s">
        <v>39004</v>
      </c>
      <c r="N3491" t="str">
        <f>"Thoc1"</f>
        <v>Thoc1</v>
      </c>
      <c r="O3491" s="3" t="str">
        <f>HYPERLINK("http://www.informatics.jax.org/marker/MGI:1919668", "MGI:1919668")</f>
        <v>MGI:1919668</v>
      </c>
      <c r="P3491" t="s">
        <v>39005</v>
      </c>
      <c r="Q3491" t="s">
        <v>39006</v>
      </c>
      <c r="R3491" t="s">
        <v>40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956</v>
      </c>
      <c r="Y3491" t="s">
        <v>516</v>
      </c>
      <c r="Z3491" t="s">
        <v>32</v>
      </c>
      <c r="AA3491" t="s">
        <v>39007</v>
      </c>
      <c r="AB3491" t="s">
        <v>39008</v>
      </c>
      <c r="AC3491" t="s">
        <v>39009</v>
      </c>
      <c r="AD3491" t="s">
        <v>32</v>
      </c>
      <c r="AE3491" t="s">
        <v>16560</v>
      </c>
      <c r="AF3491" t="s">
        <v>46835</v>
      </c>
    </row>
    <row r="3492" spans="1:33" x14ac:dyDescent="0.2">
      <c r="A3492">
        <v>3487</v>
      </c>
      <c r="B3492" t="s">
        <v>39010</v>
      </c>
      <c r="C3492" t="s">
        <v>39011</v>
      </c>
      <c r="D3492" t="s">
        <v>39012</v>
      </c>
      <c r="E3492" t="s">
        <v>39013</v>
      </c>
      <c r="F3492" t="s">
        <v>39014</v>
      </c>
      <c r="G3492" t="s">
        <v>32</v>
      </c>
      <c r="H3492" t="str">
        <f>"Casp6"</f>
        <v>Casp6</v>
      </c>
      <c r="I3492" t="s">
        <v>32</v>
      </c>
      <c r="J3492" t="s">
        <v>37</v>
      </c>
      <c r="K3492">
        <v>10090</v>
      </c>
      <c r="L3492" s="3" t="str">
        <f>HYPERLINK("http://www.uniprot.org/uniprot/O08738", "O08738")</f>
        <v>O08738</v>
      </c>
      <c r="M3492" t="s">
        <v>39015</v>
      </c>
      <c r="N3492" t="str">
        <f>"Casp6"</f>
        <v>Casp6</v>
      </c>
      <c r="O3492" s="3" t="str">
        <f>HYPERLINK("http://www.informatics.jax.org/marker/MGI:1312921", "MGI:1312921")</f>
        <v>MGI:1312921</v>
      </c>
      <c r="P3492" t="s">
        <v>39016</v>
      </c>
      <c r="Q3492" t="s">
        <v>541</v>
      </c>
      <c r="R3492" t="s">
        <v>40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557</v>
      </c>
      <c r="Y3492" t="s">
        <v>39017</v>
      </c>
      <c r="Z3492" t="s">
        <v>32</v>
      </c>
      <c r="AA3492" t="s">
        <v>39018</v>
      </c>
      <c r="AB3492" t="s">
        <v>39019</v>
      </c>
      <c r="AC3492" t="s">
        <v>39020</v>
      </c>
      <c r="AD3492" t="s">
        <v>32</v>
      </c>
      <c r="AE3492" t="s">
        <v>39021</v>
      </c>
      <c r="AF3492" t="s">
        <v>46835</v>
      </c>
    </row>
    <row r="3493" spans="1:33" x14ac:dyDescent="0.2">
      <c r="A3493">
        <v>3488</v>
      </c>
      <c r="B3493" t="s">
        <v>39022</v>
      </c>
      <c r="C3493" t="s">
        <v>39023</v>
      </c>
      <c r="D3493" t="s">
        <v>39024</v>
      </c>
      <c r="E3493" t="s">
        <v>39025</v>
      </c>
      <c r="F3493" t="s">
        <v>39026</v>
      </c>
      <c r="G3493" t="s">
        <v>39027</v>
      </c>
      <c r="H3493" t="str">
        <f>"Glyr1"</f>
        <v>Glyr1</v>
      </c>
      <c r="I3493" t="s">
        <v>39028</v>
      </c>
      <c r="J3493" t="s">
        <v>37</v>
      </c>
      <c r="K3493">
        <v>10090</v>
      </c>
      <c r="L3493" s="3" t="str">
        <f>HYPERLINK("http://www.uniprot.org/uniprot/Q922P9", "Q922P9")</f>
        <v>Q922P9</v>
      </c>
      <c r="M3493" t="s">
        <v>39029</v>
      </c>
      <c r="N3493" t="str">
        <f>"Glyr1"</f>
        <v>Glyr1</v>
      </c>
      <c r="O3493" s="3" t="str">
        <f>HYPERLINK("http://www.informatics.jax.org/marker/MGI:1921272", "MGI:1921272")</f>
        <v>MGI:1921272</v>
      </c>
      <c r="P3493" t="s">
        <v>39030</v>
      </c>
      <c r="Q3493" t="s">
        <v>32</v>
      </c>
      <c r="R3493" t="s">
        <v>1939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247</v>
      </c>
      <c r="Y3493" t="s">
        <v>1007</v>
      </c>
      <c r="Z3493" t="s">
        <v>32</v>
      </c>
      <c r="AA3493" t="s">
        <v>39031</v>
      </c>
      <c r="AB3493" t="s">
        <v>39032</v>
      </c>
      <c r="AC3493" t="s">
        <v>39033</v>
      </c>
      <c r="AD3493" t="s">
        <v>32</v>
      </c>
      <c r="AE3493" t="s">
        <v>32</v>
      </c>
      <c r="AF3493" t="s">
        <v>46835</v>
      </c>
    </row>
    <row r="3494" spans="1:33" x14ac:dyDescent="0.2">
      <c r="A3494">
        <v>3489</v>
      </c>
      <c r="B3494" t="s">
        <v>39034</v>
      </c>
      <c r="C3494" t="s">
        <v>39035</v>
      </c>
      <c r="D3494" t="s">
        <v>39036</v>
      </c>
      <c r="E3494" t="s">
        <v>39037</v>
      </c>
      <c r="F3494" t="s">
        <v>39038</v>
      </c>
      <c r="G3494" t="s">
        <v>39039</v>
      </c>
      <c r="H3494" t="str">
        <f>"Tyw3"</f>
        <v>Tyw3</v>
      </c>
      <c r="I3494" t="s">
        <v>32</v>
      </c>
      <c r="J3494" t="s">
        <v>37</v>
      </c>
      <c r="K3494">
        <v>10090</v>
      </c>
      <c r="L3494" s="3" t="str">
        <f>HYPERLINK("http://www.uniprot.org/uniprot/Q8BSA9", "Q8BSA9")</f>
        <v>Q8BSA9</v>
      </c>
      <c r="M3494" t="s">
        <v>39040</v>
      </c>
      <c r="N3494" t="str">
        <f>"Tyw3"</f>
        <v>Tyw3</v>
      </c>
      <c r="O3494" s="3" t="str">
        <f>HYPERLINK("http://www.informatics.jax.org/marker/MGI:2445040", "MGI:2445040")</f>
        <v>MGI:2445040</v>
      </c>
      <c r="P3494" t="s">
        <v>39041</v>
      </c>
      <c r="Q3494" t="s">
        <v>4386</v>
      </c>
      <c r="R3494" t="s">
        <v>32</v>
      </c>
      <c r="S3494" t="s">
        <v>32</v>
      </c>
      <c r="T3494" t="s">
        <v>32</v>
      </c>
      <c r="U3494" t="s">
        <v>32</v>
      </c>
      <c r="V3494" t="s">
        <v>32</v>
      </c>
      <c r="W3494" t="s">
        <v>1705</v>
      </c>
      <c r="X3494" t="s">
        <v>1706</v>
      </c>
      <c r="Y3494" t="s">
        <v>618</v>
      </c>
      <c r="Z3494" t="s">
        <v>32</v>
      </c>
      <c r="AA3494" t="s">
        <v>35252</v>
      </c>
      <c r="AB3494" t="s">
        <v>2172</v>
      </c>
      <c r="AC3494" t="s">
        <v>39042</v>
      </c>
      <c r="AD3494" t="s">
        <v>39043</v>
      </c>
      <c r="AE3494" t="s">
        <v>32</v>
      </c>
      <c r="AF3494" t="s">
        <v>46835</v>
      </c>
    </row>
    <row r="3495" spans="1:33" x14ac:dyDescent="0.2">
      <c r="A3495">
        <v>3490</v>
      </c>
      <c r="B3495" t="s">
        <v>39044</v>
      </c>
      <c r="C3495" t="s">
        <v>39045</v>
      </c>
      <c r="D3495" t="s">
        <v>39046</v>
      </c>
      <c r="E3495" t="s">
        <v>39047</v>
      </c>
      <c r="F3495" t="s">
        <v>39048</v>
      </c>
      <c r="G3495" t="s">
        <v>39049</v>
      </c>
      <c r="H3495" t="str">
        <f>"Ptpn1"</f>
        <v>Ptpn1</v>
      </c>
      <c r="I3495" t="s">
        <v>32</v>
      </c>
      <c r="J3495" t="s">
        <v>37</v>
      </c>
      <c r="K3495">
        <v>10090</v>
      </c>
      <c r="L3495" s="3" t="str">
        <f>HYPERLINK("http://www.uniprot.org/uniprot/P35821", "P35821")</f>
        <v>P35821</v>
      </c>
      <c r="M3495" t="s">
        <v>39050</v>
      </c>
      <c r="N3495" t="str">
        <f>"Ptpn1"</f>
        <v>Ptpn1</v>
      </c>
      <c r="O3495" s="3" t="str">
        <f>HYPERLINK("http://www.informatics.jax.org/marker/MGI:97805", "MGI:97805")</f>
        <v>MGI:97805</v>
      </c>
      <c r="P3495" t="s">
        <v>39051</v>
      </c>
      <c r="Q3495" t="s">
        <v>32</v>
      </c>
      <c r="R3495" t="s">
        <v>1664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3683</v>
      </c>
      <c r="Y3495" t="s">
        <v>648</v>
      </c>
      <c r="Z3495" t="s">
        <v>32</v>
      </c>
      <c r="AA3495" t="s">
        <v>39052</v>
      </c>
      <c r="AB3495" t="s">
        <v>39053</v>
      </c>
      <c r="AC3495" t="s">
        <v>39054</v>
      </c>
      <c r="AD3495" t="s">
        <v>32</v>
      </c>
      <c r="AE3495" t="s">
        <v>39055</v>
      </c>
      <c r="AF3495" t="s">
        <v>46835</v>
      </c>
    </row>
    <row r="3496" spans="1:33" x14ac:dyDescent="0.2">
      <c r="A3496">
        <v>3491</v>
      </c>
      <c r="B3496" t="s">
        <v>39056</v>
      </c>
      <c r="C3496" t="s">
        <v>39057</v>
      </c>
      <c r="D3496" t="s">
        <v>39058</v>
      </c>
      <c r="E3496" t="s">
        <v>39059</v>
      </c>
      <c r="F3496" t="s">
        <v>39060</v>
      </c>
      <c r="G3496" t="s">
        <v>39061</v>
      </c>
      <c r="H3496" t="str">
        <f>"Nelfcd"</f>
        <v>Nelfcd</v>
      </c>
      <c r="I3496" t="s">
        <v>39062</v>
      </c>
      <c r="J3496" t="s">
        <v>37</v>
      </c>
      <c r="K3496">
        <v>10090</v>
      </c>
      <c r="L3496" s="3" t="str">
        <f>HYPERLINK("http://www.uniprot.org/uniprot/Q922L6", "Q922L6")</f>
        <v>Q922L6</v>
      </c>
      <c r="M3496" t="s">
        <v>39063</v>
      </c>
      <c r="N3496" t="str">
        <f>"Nelfcd"</f>
        <v>Nelfcd</v>
      </c>
      <c r="O3496" s="3" t="str">
        <f>HYPERLINK("http://www.informatics.jax.org/marker/MGI:1926424", "MGI:1926424")</f>
        <v>MGI:1926424</v>
      </c>
      <c r="P3496" t="s">
        <v>39064</v>
      </c>
      <c r="Q3496" t="s">
        <v>4152</v>
      </c>
      <c r="R3496" t="s">
        <v>2279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9766</v>
      </c>
      <c r="Y3496" t="s">
        <v>32</v>
      </c>
      <c r="Z3496" t="s">
        <v>32</v>
      </c>
      <c r="AA3496" t="s">
        <v>39065</v>
      </c>
      <c r="AB3496" t="s">
        <v>39066</v>
      </c>
      <c r="AC3496" t="s">
        <v>4711</v>
      </c>
      <c r="AD3496" t="s">
        <v>32</v>
      </c>
      <c r="AE3496" t="s">
        <v>30187</v>
      </c>
      <c r="AF3496" t="s">
        <v>46835</v>
      </c>
    </row>
    <row r="3497" spans="1:33" x14ac:dyDescent="0.2">
      <c r="A3497">
        <v>3492</v>
      </c>
      <c r="B3497" t="s">
        <v>39067</v>
      </c>
      <c r="C3497" t="s">
        <v>39068</v>
      </c>
      <c r="D3497" t="s">
        <v>39069</v>
      </c>
      <c r="E3497" t="s">
        <v>39070</v>
      </c>
      <c r="F3497" t="s">
        <v>39071</v>
      </c>
      <c r="G3497" t="s">
        <v>39072</v>
      </c>
      <c r="H3497" t="str">
        <f>"Med22"</f>
        <v>Med22</v>
      </c>
      <c r="I3497" t="s">
        <v>39073</v>
      </c>
      <c r="J3497" t="s">
        <v>37</v>
      </c>
      <c r="K3497">
        <v>10090</v>
      </c>
      <c r="L3497" s="3" t="str">
        <f>HYPERLINK("http://www.uniprot.org/uniprot/Q62276", "Q62276")</f>
        <v>Q62276</v>
      </c>
      <c r="M3497" t="s">
        <v>39074</v>
      </c>
      <c r="N3497" t="str">
        <f>"Med22"</f>
        <v>Med22</v>
      </c>
      <c r="O3497" s="3" t="str">
        <f>HYPERLINK("http://www.informatics.jax.org/marker/MGI:98446", "MGI:98446")</f>
        <v>MGI:98446</v>
      </c>
      <c r="P3497" t="s">
        <v>39075</v>
      </c>
      <c r="Q3497" t="s">
        <v>4152</v>
      </c>
      <c r="R3497" t="s">
        <v>2279</v>
      </c>
      <c r="S3497" t="s">
        <v>41</v>
      </c>
      <c r="T3497" t="s">
        <v>32</v>
      </c>
      <c r="U3497" t="s">
        <v>32</v>
      </c>
      <c r="V3497" t="s">
        <v>290</v>
      </c>
      <c r="W3497" t="s">
        <v>32</v>
      </c>
      <c r="X3497" t="s">
        <v>2602</v>
      </c>
      <c r="Y3497" t="s">
        <v>32</v>
      </c>
      <c r="Z3497" t="s">
        <v>126</v>
      </c>
      <c r="AA3497" t="s">
        <v>39076</v>
      </c>
      <c r="AB3497" t="s">
        <v>35087</v>
      </c>
      <c r="AC3497" t="s">
        <v>38302</v>
      </c>
      <c r="AD3497" t="s">
        <v>32</v>
      </c>
      <c r="AE3497" t="s">
        <v>32</v>
      </c>
      <c r="AF3497" t="s">
        <v>46835</v>
      </c>
    </row>
    <row r="3498" spans="1:33" x14ac:dyDescent="0.2">
      <c r="A3498">
        <v>3493</v>
      </c>
      <c r="B3498" t="s">
        <v>39077</v>
      </c>
      <c r="C3498" t="s">
        <v>39078</v>
      </c>
      <c r="D3498" t="s">
        <v>39079</v>
      </c>
      <c r="E3498" t="s">
        <v>39080</v>
      </c>
      <c r="F3498" t="s">
        <v>39081</v>
      </c>
      <c r="G3498" t="s">
        <v>39082</v>
      </c>
      <c r="H3498" t="str">
        <f>"Gga2"</f>
        <v>Gga2</v>
      </c>
      <c r="I3498" t="s">
        <v>39083</v>
      </c>
      <c r="J3498" t="s">
        <v>37</v>
      </c>
      <c r="K3498">
        <v>10090</v>
      </c>
      <c r="L3498" s="3" t="str">
        <f>HYPERLINK("http://www.uniprot.org/uniprot/Q6P5E6", "Q6P5E6")</f>
        <v>Q6P5E6</v>
      </c>
      <c r="M3498" t="s">
        <v>39084</v>
      </c>
      <c r="N3498" t="str">
        <f>"Gga2"</f>
        <v>Gga2</v>
      </c>
      <c r="O3498" s="3" t="str">
        <f>HYPERLINK("http://www.informatics.jax.org/marker/MGI:1921355", "MGI:1921355")</f>
        <v>MGI:1921355</v>
      </c>
      <c r="P3498" t="s">
        <v>39085</v>
      </c>
      <c r="Q3498" t="s">
        <v>434</v>
      </c>
      <c r="R3498" t="s">
        <v>6982</v>
      </c>
      <c r="S3498" t="s">
        <v>41</v>
      </c>
      <c r="T3498" t="s">
        <v>32</v>
      </c>
      <c r="U3498" t="s">
        <v>32</v>
      </c>
      <c r="V3498" t="s">
        <v>32</v>
      </c>
      <c r="W3498" t="s">
        <v>32</v>
      </c>
      <c r="X3498" t="s">
        <v>32</v>
      </c>
      <c r="Y3498" t="s">
        <v>5599</v>
      </c>
      <c r="Z3498" t="s">
        <v>32</v>
      </c>
      <c r="AA3498" t="s">
        <v>39086</v>
      </c>
      <c r="AB3498" t="s">
        <v>39087</v>
      </c>
      <c r="AC3498" t="s">
        <v>21320</v>
      </c>
      <c r="AD3498" t="s">
        <v>32</v>
      </c>
      <c r="AE3498" t="s">
        <v>32</v>
      </c>
      <c r="AF3498" t="s">
        <v>46835</v>
      </c>
    </row>
    <row r="3499" spans="1:33" x14ac:dyDescent="0.2">
      <c r="A3499">
        <v>3494</v>
      </c>
      <c r="B3499" t="s">
        <v>39088</v>
      </c>
      <c r="C3499" t="s">
        <v>39089</v>
      </c>
      <c r="D3499" t="s">
        <v>39090</v>
      </c>
      <c r="E3499" t="s">
        <v>39091</v>
      </c>
      <c r="F3499" t="s">
        <v>39092</v>
      </c>
      <c r="G3499" t="s">
        <v>39093</v>
      </c>
      <c r="H3499" t="str">
        <f>"Plbd2"</f>
        <v>Plbd2</v>
      </c>
      <c r="I3499" t="s">
        <v>32</v>
      </c>
      <c r="J3499" t="s">
        <v>37</v>
      </c>
      <c r="K3499">
        <v>10090</v>
      </c>
      <c r="L3499" s="3" t="str">
        <f>HYPERLINK("http://www.uniprot.org/uniprot/Q3TCN2", "Q3TCN2")</f>
        <v>Q3TCN2</v>
      </c>
      <c r="M3499" t="s">
        <v>39094</v>
      </c>
      <c r="N3499" t="str">
        <f>"Plbd2"</f>
        <v>Plbd2</v>
      </c>
      <c r="O3499" s="3" t="str">
        <f>HYPERLINK("http://www.informatics.jax.org/marker/MGI:1919022", "MGI:1919022")</f>
        <v>MGI:1919022</v>
      </c>
      <c r="P3499" t="s">
        <v>39095</v>
      </c>
      <c r="Q3499" t="s">
        <v>4809</v>
      </c>
      <c r="R3499" t="s">
        <v>13962</v>
      </c>
      <c r="S3499" t="s">
        <v>41</v>
      </c>
      <c r="T3499" t="s">
        <v>32</v>
      </c>
      <c r="U3499" t="s">
        <v>32</v>
      </c>
      <c r="V3499" t="s">
        <v>811</v>
      </c>
      <c r="W3499" t="s">
        <v>32</v>
      </c>
      <c r="X3499" t="s">
        <v>343</v>
      </c>
      <c r="Y3499" t="s">
        <v>5275</v>
      </c>
      <c r="Z3499" t="s">
        <v>126</v>
      </c>
      <c r="AA3499" t="s">
        <v>39096</v>
      </c>
      <c r="AB3499" t="s">
        <v>18108</v>
      </c>
      <c r="AC3499" t="s">
        <v>39097</v>
      </c>
      <c r="AD3499" t="s">
        <v>32</v>
      </c>
      <c r="AE3499" t="s">
        <v>32</v>
      </c>
      <c r="AF3499" t="s">
        <v>46835</v>
      </c>
    </row>
    <row r="3500" spans="1:33" x14ac:dyDescent="0.2">
      <c r="A3500">
        <v>3495</v>
      </c>
      <c r="B3500" t="s">
        <v>39098</v>
      </c>
      <c r="C3500" t="s">
        <v>39099</v>
      </c>
      <c r="D3500" t="s">
        <v>39100</v>
      </c>
      <c r="E3500" t="s">
        <v>39101</v>
      </c>
      <c r="F3500" t="s">
        <v>39102</v>
      </c>
      <c r="G3500" t="s">
        <v>39103</v>
      </c>
      <c r="H3500" t="str">
        <f>"Trip6"</f>
        <v>Trip6</v>
      </c>
      <c r="I3500" t="s">
        <v>39104</v>
      </c>
      <c r="J3500" t="s">
        <v>37</v>
      </c>
      <c r="K3500">
        <v>10090</v>
      </c>
      <c r="L3500" s="3" t="str">
        <f>HYPERLINK("http://www.uniprot.org/uniprot/Q9Z1Y4", "Q9Z1Y4")</f>
        <v>Q9Z1Y4</v>
      </c>
      <c r="M3500" t="s">
        <v>39105</v>
      </c>
      <c r="N3500" t="str">
        <f>"Trip6"</f>
        <v>Trip6</v>
      </c>
      <c r="O3500" s="3" t="str">
        <f>HYPERLINK("http://www.informatics.jax.org/marker/MGI:1343458", "MGI:1343458")</f>
        <v>MGI:1343458</v>
      </c>
      <c r="P3500" t="s">
        <v>39106</v>
      </c>
      <c r="Q3500" t="s">
        <v>21106</v>
      </c>
      <c r="R3500" t="s">
        <v>3065</v>
      </c>
      <c r="S3500" t="s">
        <v>32</v>
      </c>
      <c r="T3500" t="s">
        <v>32</v>
      </c>
      <c r="U3500" t="s">
        <v>32</v>
      </c>
      <c r="V3500" t="s">
        <v>11332</v>
      </c>
      <c r="W3500" t="s">
        <v>42</v>
      </c>
      <c r="X3500" t="s">
        <v>32</v>
      </c>
      <c r="Y3500" t="s">
        <v>2734</v>
      </c>
      <c r="Z3500" t="s">
        <v>32</v>
      </c>
      <c r="AA3500" t="s">
        <v>39107</v>
      </c>
      <c r="AB3500" t="s">
        <v>39108</v>
      </c>
      <c r="AC3500" t="s">
        <v>39109</v>
      </c>
      <c r="AD3500" t="s">
        <v>32</v>
      </c>
      <c r="AE3500" t="s">
        <v>32</v>
      </c>
      <c r="AF3500" t="s">
        <v>46835</v>
      </c>
    </row>
    <row r="3501" spans="1:33" x14ac:dyDescent="0.2">
      <c r="A3501">
        <v>3496</v>
      </c>
      <c r="B3501" t="s">
        <v>39110</v>
      </c>
      <c r="C3501" t="s">
        <v>39111</v>
      </c>
      <c r="D3501" t="s">
        <v>39112</v>
      </c>
      <c r="E3501" t="s">
        <v>39113</v>
      </c>
      <c r="F3501" t="s">
        <v>39114</v>
      </c>
      <c r="G3501" t="s">
        <v>39115</v>
      </c>
      <c r="H3501" t="str">
        <f>"Mccc2"</f>
        <v>Mccc2</v>
      </c>
      <c r="I3501" t="s">
        <v>32</v>
      </c>
      <c r="J3501" t="s">
        <v>37</v>
      </c>
      <c r="K3501">
        <v>10090</v>
      </c>
      <c r="L3501" s="3" t="str">
        <f>HYPERLINK("http://www.uniprot.org/uniprot/Q3ULD5", "Q3ULD5")</f>
        <v>Q3ULD5</v>
      </c>
      <c r="M3501" t="s">
        <v>39116</v>
      </c>
      <c r="N3501" t="str">
        <f>"Mccc2"</f>
        <v>Mccc2</v>
      </c>
      <c r="O3501" s="3" t="str">
        <f>HYPERLINK("http://www.informatics.jax.org/marker/MGI:1925288", "MGI:1925288")</f>
        <v>MGI:1925288</v>
      </c>
      <c r="P3501" t="s">
        <v>39117</v>
      </c>
      <c r="Q3501" t="s">
        <v>32</v>
      </c>
      <c r="R3501" t="s">
        <v>1038</v>
      </c>
      <c r="S3501" t="s">
        <v>32</v>
      </c>
      <c r="T3501" t="s">
        <v>32</v>
      </c>
      <c r="U3501" t="s">
        <v>32</v>
      </c>
      <c r="V3501" t="s">
        <v>1039</v>
      </c>
      <c r="W3501" t="s">
        <v>205</v>
      </c>
      <c r="X3501" t="s">
        <v>1022</v>
      </c>
      <c r="Y3501" t="s">
        <v>78</v>
      </c>
      <c r="Z3501" t="s">
        <v>32</v>
      </c>
      <c r="AA3501" t="s">
        <v>39118</v>
      </c>
      <c r="AB3501" t="s">
        <v>39119</v>
      </c>
      <c r="AC3501" t="s">
        <v>39120</v>
      </c>
      <c r="AD3501" t="s">
        <v>25489</v>
      </c>
      <c r="AE3501" t="s">
        <v>25490</v>
      </c>
      <c r="AF3501" t="s">
        <v>46835</v>
      </c>
    </row>
    <row r="3502" spans="1:33" x14ac:dyDescent="0.2">
      <c r="A3502">
        <v>3497</v>
      </c>
      <c r="B3502" t="s">
        <v>39121</v>
      </c>
      <c r="C3502" t="s">
        <v>39122</v>
      </c>
      <c r="D3502" t="s">
        <v>39123</v>
      </c>
      <c r="E3502" t="s">
        <v>39124</v>
      </c>
      <c r="F3502" t="s">
        <v>39125</v>
      </c>
      <c r="G3502" t="s">
        <v>39126</v>
      </c>
      <c r="H3502" t="str">
        <f>"Pdcl3"</f>
        <v>Pdcl3</v>
      </c>
      <c r="I3502" t="s">
        <v>39127</v>
      </c>
      <c r="J3502" t="s">
        <v>37</v>
      </c>
      <c r="K3502">
        <v>10090</v>
      </c>
      <c r="L3502" s="3" t="str">
        <f>HYPERLINK("http://www.uniprot.org/uniprot/Q8BVF2", "Q8BVF2")</f>
        <v>Q8BVF2</v>
      </c>
      <c r="M3502" t="s">
        <v>39128</v>
      </c>
      <c r="N3502" t="str">
        <f>"Pdcl3"</f>
        <v>Pdcl3</v>
      </c>
      <c r="O3502" s="3" t="str">
        <f>HYPERLINK("http://www.informatics.jax.org/marker/MGI:1916083", "MGI:1916083")</f>
        <v>MGI:1916083</v>
      </c>
      <c r="P3502" t="s">
        <v>39129</v>
      </c>
      <c r="Q3502" t="s">
        <v>20294</v>
      </c>
      <c r="R3502" t="s">
        <v>874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388</v>
      </c>
      <c r="Y3502" t="s">
        <v>157</v>
      </c>
      <c r="Z3502" t="s">
        <v>32</v>
      </c>
      <c r="AA3502" t="s">
        <v>39130</v>
      </c>
      <c r="AB3502" t="s">
        <v>39131</v>
      </c>
      <c r="AC3502" t="s">
        <v>39132</v>
      </c>
      <c r="AD3502" t="s">
        <v>32</v>
      </c>
      <c r="AE3502" t="s">
        <v>32</v>
      </c>
      <c r="AF3502" t="s">
        <v>46835</v>
      </c>
    </row>
    <row r="3503" spans="1:33" x14ac:dyDescent="0.2">
      <c r="A3503">
        <v>3498</v>
      </c>
      <c r="B3503" t="s">
        <v>39133</v>
      </c>
      <c r="C3503" t="s">
        <v>47150</v>
      </c>
      <c r="D3503" t="s">
        <v>32</v>
      </c>
      <c r="E3503" t="s">
        <v>47034</v>
      </c>
      <c r="F3503" t="s">
        <v>47033</v>
      </c>
      <c r="G3503" t="s">
        <v>32</v>
      </c>
      <c r="H3503" t="s">
        <v>47281</v>
      </c>
      <c r="I3503" t="s">
        <v>32</v>
      </c>
      <c r="J3503" t="s">
        <v>37</v>
      </c>
      <c r="K3503">
        <v>10090</v>
      </c>
      <c r="L3503" s="3" t="str">
        <f>HYPERLINK(CONCATENATE("https://www.uniprot.org/uniprotkb/", AG3503, "/entry"), AG3503)</f>
        <v>Q6NXK9</v>
      </c>
      <c r="M3503" t="s">
        <v>32</v>
      </c>
      <c r="N3503" t="s">
        <v>32</v>
      </c>
      <c r="O3503" s="3" t="s">
        <v>32</v>
      </c>
      <c r="P3503" t="s">
        <v>32</v>
      </c>
      <c r="Q3503" t="s">
        <v>32</v>
      </c>
      <c r="R3503" t="s">
        <v>32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32</v>
      </c>
      <c r="Y3503" t="s">
        <v>32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  <c r="AE3503" t="s">
        <v>32</v>
      </c>
      <c r="AF3503" t="s">
        <v>46835</v>
      </c>
      <c r="AG3503" t="s">
        <v>47033</v>
      </c>
    </row>
    <row r="3504" spans="1:33" x14ac:dyDescent="0.2">
      <c r="A3504">
        <v>3499</v>
      </c>
      <c r="B3504" t="s">
        <v>39134</v>
      </c>
      <c r="C3504" t="s">
        <v>39135</v>
      </c>
      <c r="D3504" t="s">
        <v>39136</v>
      </c>
      <c r="E3504" t="s">
        <v>39137</v>
      </c>
      <c r="F3504" t="s">
        <v>39138</v>
      </c>
      <c r="G3504" t="s">
        <v>32</v>
      </c>
      <c r="H3504" t="str">
        <f>"Ten1"</f>
        <v>Ten1</v>
      </c>
      <c r="I3504" t="s">
        <v>32</v>
      </c>
      <c r="J3504" t="s">
        <v>37</v>
      </c>
      <c r="K3504">
        <v>10090</v>
      </c>
      <c r="L3504" s="3" t="str">
        <f>HYPERLINK("http://www.uniprot.org/uniprot/Q9D7K2", "Q9D7K2")</f>
        <v>Q9D7K2</v>
      </c>
      <c r="M3504" t="s">
        <v>39139</v>
      </c>
      <c r="N3504" t="str">
        <f>"Ten1"</f>
        <v>Ten1</v>
      </c>
      <c r="O3504" s="3" t="str">
        <f>HYPERLINK("http://www.informatics.jax.org/marker/MGI:1916785", "MGI:1916785")</f>
        <v>MGI:1916785</v>
      </c>
      <c r="P3504" t="s">
        <v>39140</v>
      </c>
      <c r="Q3504" t="s">
        <v>32</v>
      </c>
      <c r="R3504" t="s">
        <v>9085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247</v>
      </c>
      <c r="Y3504" t="s">
        <v>32</v>
      </c>
      <c r="Z3504" t="s">
        <v>32</v>
      </c>
      <c r="AA3504" t="s">
        <v>39141</v>
      </c>
      <c r="AB3504" t="s">
        <v>39142</v>
      </c>
      <c r="AC3504" t="s">
        <v>39143</v>
      </c>
      <c r="AD3504" t="s">
        <v>32</v>
      </c>
      <c r="AE3504" t="s">
        <v>27988</v>
      </c>
      <c r="AF3504" t="s">
        <v>46835</v>
      </c>
    </row>
    <row r="3505" spans="1:33" x14ac:dyDescent="0.2">
      <c r="A3505">
        <v>3500</v>
      </c>
      <c r="B3505" t="s">
        <v>39144</v>
      </c>
      <c r="C3505" t="s">
        <v>47168</v>
      </c>
      <c r="D3505" t="s">
        <v>32</v>
      </c>
      <c r="E3505" t="s">
        <v>47036</v>
      </c>
      <c r="F3505" t="s">
        <v>47035</v>
      </c>
      <c r="G3505" t="s">
        <v>32</v>
      </c>
      <c r="H3505" t="s">
        <v>47299</v>
      </c>
      <c r="I3505" t="s">
        <v>32</v>
      </c>
      <c r="J3505" t="s">
        <v>37</v>
      </c>
      <c r="K3505">
        <v>10090</v>
      </c>
      <c r="L3505" s="3" t="str">
        <f>HYPERLINK(CONCATENATE("https://www.uniprot.org/uniprotkb/", AG3505, "/entry"), AG3505)</f>
        <v>G5E829</v>
      </c>
      <c r="M3505" t="s">
        <v>32</v>
      </c>
      <c r="N3505" t="s">
        <v>32</v>
      </c>
      <c r="O3505" s="3" t="s">
        <v>32</v>
      </c>
      <c r="P3505" t="s">
        <v>32</v>
      </c>
      <c r="Q3505" t="s">
        <v>32</v>
      </c>
      <c r="R3505" t="s">
        <v>32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32</v>
      </c>
      <c r="Y3505" t="s">
        <v>32</v>
      </c>
      <c r="Z3505" t="s">
        <v>32</v>
      </c>
      <c r="AA3505" t="s">
        <v>32</v>
      </c>
      <c r="AB3505" t="s">
        <v>32</v>
      </c>
      <c r="AC3505" t="s">
        <v>32</v>
      </c>
      <c r="AD3505" t="s">
        <v>32</v>
      </c>
      <c r="AE3505" t="s">
        <v>32</v>
      </c>
      <c r="AF3505" t="s">
        <v>46835</v>
      </c>
      <c r="AG3505" t="s">
        <v>47035</v>
      </c>
    </row>
    <row r="3506" spans="1:33" x14ac:dyDescent="0.2">
      <c r="A3506">
        <v>3501</v>
      </c>
      <c r="B3506" t="s">
        <v>39145</v>
      </c>
      <c r="C3506" t="s">
        <v>39146</v>
      </c>
      <c r="D3506" t="s">
        <v>39147</v>
      </c>
      <c r="E3506" t="s">
        <v>39148</v>
      </c>
      <c r="F3506" t="s">
        <v>39149</v>
      </c>
      <c r="G3506" t="s">
        <v>39150</v>
      </c>
      <c r="H3506" t="str">
        <f>"Ago2"</f>
        <v>Ago2</v>
      </c>
      <c r="I3506" t="s">
        <v>39151</v>
      </c>
      <c r="J3506" t="s">
        <v>37</v>
      </c>
      <c r="K3506">
        <v>10090</v>
      </c>
      <c r="L3506" s="3" t="str">
        <f>HYPERLINK("http://www.uniprot.org/uniprot/Q8CJG0", "Q8CJG0")</f>
        <v>Q8CJG0</v>
      </c>
      <c r="M3506" t="s">
        <v>39152</v>
      </c>
      <c r="N3506" t="str">
        <f>"Ago2"</f>
        <v>Ago2</v>
      </c>
      <c r="O3506" s="3" t="str">
        <f>HYPERLINK("http://www.informatics.jax.org/marker/MGI:2446632", "MGI:2446632")</f>
        <v>MGI:2446632</v>
      </c>
      <c r="P3506" t="s">
        <v>39153</v>
      </c>
      <c r="Q3506" t="s">
        <v>39154</v>
      </c>
      <c r="R3506" t="s">
        <v>40</v>
      </c>
      <c r="S3506" t="s">
        <v>32</v>
      </c>
      <c r="T3506" t="s">
        <v>32</v>
      </c>
      <c r="U3506" t="s">
        <v>32</v>
      </c>
      <c r="V3506" t="s">
        <v>32</v>
      </c>
      <c r="W3506" t="s">
        <v>9312</v>
      </c>
      <c r="X3506" t="s">
        <v>39155</v>
      </c>
      <c r="Y3506" t="s">
        <v>39156</v>
      </c>
      <c r="Z3506" t="s">
        <v>32</v>
      </c>
      <c r="AA3506" t="s">
        <v>39157</v>
      </c>
      <c r="AB3506" t="s">
        <v>39158</v>
      </c>
      <c r="AC3506" t="s">
        <v>39159</v>
      </c>
      <c r="AD3506" t="s">
        <v>32</v>
      </c>
      <c r="AE3506" t="s">
        <v>39160</v>
      </c>
      <c r="AF3506" t="s">
        <v>46835</v>
      </c>
    </row>
    <row r="3507" spans="1:33" x14ac:dyDescent="0.2">
      <c r="A3507">
        <v>3502</v>
      </c>
      <c r="B3507" t="s">
        <v>39161</v>
      </c>
      <c r="C3507" t="s">
        <v>39162</v>
      </c>
      <c r="D3507" t="s">
        <v>39163</v>
      </c>
      <c r="E3507" t="s">
        <v>39164</v>
      </c>
      <c r="F3507" t="s">
        <v>39165</v>
      </c>
      <c r="G3507" t="s">
        <v>39166</v>
      </c>
      <c r="H3507" t="str">
        <f>"Atp6v0a2"</f>
        <v>Atp6v0a2</v>
      </c>
      <c r="I3507" t="s">
        <v>39167</v>
      </c>
      <c r="J3507" t="s">
        <v>37</v>
      </c>
      <c r="K3507">
        <v>10090</v>
      </c>
      <c r="L3507" s="3" t="str">
        <f>HYPERLINK("http://www.uniprot.org/uniprot/P15920", "P15920")</f>
        <v>P15920</v>
      </c>
      <c r="M3507" t="s">
        <v>39168</v>
      </c>
      <c r="N3507" t="str">
        <f>"Atp6v0a2"</f>
        <v>Atp6v0a2</v>
      </c>
      <c r="O3507" s="3" t="str">
        <f>HYPERLINK("http://www.informatics.jax.org/marker/MGI:104855", "MGI:104855")</f>
        <v>MGI:104855</v>
      </c>
      <c r="P3507" t="s">
        <v>39169</v>
      </c>
      <c r="Q3507" t="s">
        <v>4257</v>
      </c>
      <c r="R3507" t="s">
        <v>11564</v>
      </c>
      <c r="S3507" t="s">
        <v>41</v>
      </c>
      <c r="T3507" t="s">
        <v>32</v>
      </c>
      <c r="U3507" t="s">
        <v>32</v>
      </c>
      <c r="V3507" t="s">
        <v>493</v>
      </c>
      <c r="W3507" t="s">
        <v>32</v>
      </c>
      <c r="X3507" t="s">
        <v>32</v>
      </c>
      <c r="Y3507" t="s">
        <v>618</v>
      </c>
      <c r="Z3507" t="s">
        <v>126</v>
      </c>
      <c r="AA3507" t="s">
        <v>39170</v>
      </c>
      <c r="AB3507" t="s">
        <v>39171</v>
      </c>
      <c r="AC3507" t="s">
        <v>13608</v>
      </c>
      <c r="AD3507" t="s">
        <v>32</v>
      </c>
      <c r="AE3507" t="s">
        <v>39172</v>
      </c>
      <c r="AF3507" t="s">
        <v>46835</v>
      </c>
    </row>
    <row r="3508" spans="1:33" x14ac:dyDescent="0.2">
      <c r="A3508">
        <v>3503</v>
      </c>
      <c r="B3508" t="s">
        <v>39173</v>
      </c>
      <c r="C3508" t="s">
        <v>39174</v>
      </c>
      <c r="D3508" t="s">
        <v>39175</v>
      </c>
      <c r="E3508" t="s">
        <v>39176</v>
      </c>
      <c r="F3508" t="s">
        <v>39177</v>
      </c>
      <c r="G3508" t="s">
        <v>32</v>
      </c>
      <c r="H3508" t="str">
        <f>"Ddx54"</f>
        <v>Ddx54</v>
      </c>
      <c r="I3508" t="s">
        <v>32</v>
      </c>
      <c r="J3508" t="s">
        <v>37</v>
      </c>
      <c r="K3508">
        <v>10090</v>
      </c>
      <c r="L3508" s="3" t="str">
        <f>HYPERLINK("http://www.uniprot.org/uniprot/Q8K4L0", "Q8K4L0")</f>
        <v>Q8K4L0</v>
      </c>
      <c r="M3508" t="s">
        <v>39178</v>
      </c>
      <c r="N3508" t="str">
        <f>"Ddx54"</f>
        <v>Ddx54</v>
      </c>
      <c r="O3508" s="3" t="str">
        <f>HYPERLINK("http://www.informatics.jax.org/marker/MGI:1919240", "MGI:1919240")</f>
        <v>MGI:1919240</v>
      </c>
      <c r="P3508" t="s">
        <v>39179</v>
      </c>
      <c r="Q3508" t="s">
        <v>4152</v>
      </c>
      <c r="R3508" t="s">
        <v>2279</v>
      </c>
      <c r="S3508" t="s">
        <v>32</v>
      </c>
      <c r="T3508" t="s">
        <v>32</v>
      </c>
      <c r="U3508" t="s">
        <v>32</v>
      </c>
      <c r="V3508" t="s">
        <v>32</v>
      </c>
      <c r="W3508" t="s">
        <v>205</v>
      </c>
      <c r="X3508" t="s">
        <v>5050</v>
      </c>
      <c r="Y3508" t="s">
        <v>618</v>
      </c>
      <c r="Z3508" t="s">
        <v>32</v>
      </c>
      <c r="AA3508" t="s">
        <v>39180</v>
      </c>
      <c r="AB3508" t="s">
        <v>39181</v>
      </c>
      <c r="AC3508" t="s">
        <v>39182</v>
      </c>
      <c r="AD3508" t="s">
        <v>32</v>
      </c>
      <c r="AE3508" t="s">
        <v>32</v>
      </c>
      <c r="AF3508" t="s">
        <v>46835</v>
      </c>
    </row>
    <row r="3509" spans="1:33" x14ac:dyDescent="0.2">
      <c r="A3509">
        <v>3504</v>
      </c>
      <c r="B3509" t="s">
        <v>39183</v>
      </c>
      <c r="C3509" t="s">
        <v>39184</v>
      </c>
      <c r="D3509" t="s">
        <v>39185</v>
      </c>
      <c r="E3509" t="s">
        <v>39186</v>
      </c>
      <c r="F3509" t="s">
        <v>39187</v>
      </c>
      <c r="G3509" t="s">
        <v>39188</v>
      </c>
      <c r="H3509" t="str">
        <f>"Bop1"</f>
        <v>Bop1</v>
      </c>
      <c r="I3509" t="s">
        <v>39189</v>
      </c>
      <c r="J3509" t="s">
        <v>37</v>
      </c>
      <c r="K3509">
        <v>10090</v>
      </c>
      <c r="L3509" s="3" t="str">
        <f>HYPERLINK("http://www.uniprot.org/uniprot/P97452", "P97452")</f>
        <v>P97452</v>
      </c>
      <c r="M3509" t="s">
        <v>39190</v>
      </c>
      <c r="N3509" t="str">
        <f>"Bop1"</f>
        <v>Bop1</v>
      </c>
      <c r="O3509" s="3" t="str">
        <f>HYPERLINK("http://www.informatics.jax.org/marker/MGI:1334460", "MGI:1334460")</f>
        <v>MGI:1334460</v>
      </c>
      <c r="P3509" t="s">
        <v>39191</v>
      </c>
      <c r="Q3509" t="s">
        <v>13781</v>
      </c>
      <c r="R3509" t="s">
        <v>2279</v>
      </c>
      <c r="S3509" t="s">
        <v>32</v>
      </c>
      <c r="T3509" t="s">
        <v>32</v>
      </c>
      <c r="U3509" t="s">
        <v>32</v>
      </c>
      <c r="V3509" t="s">
        <v>1910</v>
      </c>
      <c r="W3509" t="s">
        <v>32</v>
      </c>
      <c r="X3509" t="s">
        <v>32</v>
      </c>
      <c r="Y3509" t="s">
        <v>618</v>
      </c>
      <c r="Z3509" t="s">
        <v>32</v>
      </c>
      <c r="AA3509" t="s">
        <v>39192</v>
      </c>
      <c r="AB3509" t="s">
        <v>39193</v>
      </c>
      <c r="AC3509" t="s">
        <v>28922</v>
      </c>
      <c r="AD3509" t="s">
        <v>32</v>
      </c>
      <c r="AE3509" t="s">
        <v>960</v>
      </c>
      <c r="AF3509" t="s">
        <v>46835</v>
      </c>
    </row>
    <row r="3510" spans="1:33" x14ac:dyDescent="0.2">
      <c r="A3510">
        <v>3505</v>
      </c>
      <c r="B3510" t="s">
        <v>39194</v>
      </c>
      <c r="C3510" t="s">
        <v>39195</v>
      </c>
      <c r="D3510" t="s">
        <v>39196</v>
      </c>
      <c r="E3510" t="s">
        <v>39197</v>
      </c>
      <c r="F3510" t="s">
        <v>39198</v>
      </c>
      <c r="G3510" t="s">
        <v>39199</v>
      </c>
      <c r="H3510" t="str">
        <f>"Oard1"</f>
        <v>Oard1</v>
      </c>
      <c r="I3510" t="s">
        <v>32</v>
      </c>
      <c r="J3510" t="s">
        <v>37</v>
      </c>
      <c r="K3510">
        <v>10090</v>
      </c>
      <c r="L3510" s="3" t="str">
        <f>HYPERLINK("http://www.uniprot.org/uniprot/Q8R5F3", "Q8R5F3")</f>
        <v>Q8R5F3</v>
      </c>
      <c r="M3510" t="s">
        <v>39200</v>
      </c>
      <c r="N3510" t="str">
        <f>"Oard1"</f>
        <v>Oard1</v>
      </c>
      <c r="O3510" s="3" t="str">
        <f>HYPERLINK("http://www.informatics.jax.org/marker/MGI:2146818", "MGI:2146818")</f>
        <v>MGI:2146818</v>
      </c>
      <c r="P3510" t="s">
        <v>39201</v>
      </c>
      <c r="Q3510" t="s">
        <v>32</v>
      </c>
      <c r="R3510" t="s">
        <v>1939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343</v>
      </c>
      <c r="Y3510" t="s">
        <v>78</v>
      </c>
      <c r="Z3510" t="s">
        <v>32</v>
      </c>
      <c r="AA3510" t="s">
        <v>34140</v>
      </c>
      <c r="AB3510" t="s">
        <v>39202</v>
      </c>
      <c r="AC3510" t="s">
        <v>39203</v>
      </c>
      <c r="AD3510" t="s">
        <v>32</v>
      </c>
      <c r="AE3510" t="s">
        <v>32</v>
      </c>
      <c r="AF3510" t="s">
        <v>46835</v>
      </c>
    </row>
    <row r="3511" spans="1:33" x14ac:dyDescent="0.2">
      <c r="A3511">
        <v>3506</v>
      </c>
      <c r="B3511" t="s">
        <v>39204</v>
      </c>
      <c r="C3511" t="s">
        <v>39205</v>
      </c>
      <c r="D3511" t="s">
        <v>39206</v>
      </c>
      <c r="E3511" t="s">
        <v>39207</v>
      </c>
      <c r="F3511" t="s">
        <v>39208</v>
      </c>
      <c r="G3511" t="s">
        <v>32</v>
      </c>
      <c r="H3511" t="str">
        <f>"Dnaaf10"</f>
        <v>Dnaaf10</v>
      </c>
      <c r="I3511" t="s">
        <v>39209</v>
      </c>
      <c r="J3511" t="s">
        <v>37</v>
      </c>
      <c r="K3511">
        <v>10090</v>
      </c>
      <c r="L3511" s="3" t="str">
        <f>HYPERLINK("http://www.uniprot.org/uniprot/Q8BGF3", "Q8BGF3")</f>
        <v>Q8BGF3</v>
      </c>
      <c r="M3511" t="s">
        <v>39210</v>
      </c>
      <c r="N3511" t="str">
        <f>"Wdr92"</f>
        <v>Wdr92</v>
      </c>
      <c r="O3511" s="3" t="str">
        <f>HYPERLINK("http://www.informatics.jax.org/marker/MGI:2144224", "MGI:2144224")</f>
        <v>MGI:2144224</v>
      </c>
      <c r="P3511" t="s">
        <v>39211</v>
      </c>
      <c r="Q3511" t="s">
        <v>541</v>
      </c>
      <c r="R3511" t="s">
        <v>418</v>
      </c>
      <c r="S3511" t="s">
        <v>32</v>
      </c>
      <c r="T3511" t="s">
        <v>32</v>
      </c>
      <c r="U3511" t="s">
        <v>32</v>
      </c>
      <c r="V3511" t="s">
        <v>1910</v>
      </c>
      <c r="W3511" t="s">
        <v>32</v>
      </c>
      <c r="X3511" t="s">
        <v>32</v>
      </c>
      <c r="Y3511" t="s">
        <v>32</v>
      </c>
      <c r="Z3511" t="s">
        <v>32</v>
      </c>
      <c r="AA3511" t="s">
        <v>39212</v>
      </c>
      <c r="AB3511" t="s">
        <v>39213</v>
      </c>
      <c r="AC3511" t="s">
        <v>14891</v>
      </c>
      <c r="AD3511" t="s">
        <v>32</v>
      </c>
      <c r="AE3511" t="s">
        <v>32</v>
      </c>
      <c r="AF3511" t="s">
        <v>46835</v>
      </c>
    </row>
    <row r="3512" spans="1:33" x14ac:dyDescent="0.2">
      <c r="A3512">
        <v>3507</v>
      </c>
      <c r="B3512" t="s">
        <v>39214</v>
      </c>
      <c r="C3512" t="s">
        <v>39215</v>
      </c>
      <c r="D3512" t="s">
        <v>32</v>
      </c>
      <c r="E3512" t="s">
        <v>39216</v>
      </c>
      <c r="F3512" t="s">
        <v>39217</v>
      </c>
      <c r="G3512" t="s">
        <v>39218</v>
      </c>
      <c r="H3512" t="str">
        <f>"Dock6"</f>
        <v>Dock6</v>
      </c>
      <c r="I3512" t="s">
        <v>39219</v>
      </c>
      <c r="J3512" t="s">
        <v>37</v>
      </c>
      <c r="K3512">
        <v>10090</v>
      </c>
      <c r="L3512" s="3" t="str">
        <f>HYPERLINK("http://www.uniprot.org/uniprot/Q8VDR9", "Q8VDR9")</f>
        <v>Q8VDR9</v>
      </c>
      <c r="M3512" t="s">
        <v>39220</v>
      </c>
      <c r="N3512" t="str">
        <f>"Dock6"</f>
        <v>Dock6</v>
      </c>
      <c r="O3512" s="3" t="str">
        <f>HYPERLINK("http://www.informatics.jax.org/marker/MGI:1914789", "MGI:1914789")</f>
        <v>MGI:1914789</v>
      </c>
      <c r="P3512" t="s">
        <v>39221</v>
      </c>
      <c r="Q3512" t="s">
        <v>32</v>
      </c>
      <c r="R3512" t="s">
        <v>418</v>
      </c>
      <c r="S3512" t="s">
        <v>41</v>
      </c>
      <c r="T3512" t="s">
        <v>32</v>
      </c>
      <c r="U3512" t="s">
        <v>32</v>
      </c>
      <c r="V3512" t="s">
        <v>32</v>
      </c>
      <c r="W3512" t="s">
        <v>32</v>
      </c>
      <c r="X3512" t="s">
        <v>5011</v>
      </c>
      <c r="Y3512" t="s">
        <v>2734</v>
      </c>
      <c r="Z3512" t="s">
        <v>32</v>
      </c>
      <c r="AA3512" t="s">
        <v>39222</v>
      </c>
      <c r="AB3512" t="s">
        <v>39223</v>
      </c>
      <c r="AC3512" t="s">
        <v>12942</v>
      </c>
      <c r="AD3512" t="s">
        <v>32</v>
      </c>
      <c r="AE3512" t="s">
        <v>39224</v>
      </c>
      <c r="AF3512" t="s">
        <v>46835</v>
      </c>
    </row>
    <row r="3513" spans="1:33" x14ac:dyDescent="0.2">
      <c r="A3513">
        <v>3508</v>
      </c>
      <c r="B3513" t="s">
        <v>39225</v>
      </c>
      <c r="C3513" t="s">
        <v>39226</v>
      </c>
      <c r="D3513" t="s">
        <v>39227</v>
      </c>
      <c r="E3513" t="s">
        <v>39228</v>
      </c>
      <c r="F3513" t="s">
        <v>39229</v>
      </c>
      <c r="G3513" t="s">
        <v>39230</v>
      </c>
      <c r="H3513" t="str">
        <f>"Oxr1"</f>
        <v>Oxr1</v>
      </c>
      <c r="I3513" t="s">
        <v>39231</v>
      </c>
      <c r="J3513" t="s">
        <v>37</v>
      </c>
      <c r="K3513">
        <v>10090</v>
      </c>
      <c r="L3513" s="3" t="str">
        <f>HYPERLINK("http://www.uniprot.org/uniprot/Q4KMM3", "Q4KMM3")</f>
        <v>Q4KMM3</v>
      </c>
      <c r="M3513" t="s">
        <v>39232</v>
      </c>
      <c r="N3513" t="str">
        <f>"Oxr1"</f>
        <v>Oxr1</v>
      </c>
      <c r="O3513" s="3" t="str">
        <f>HYPERLINK("http://www.informatics.jax.org/marker/MGI:2179326", "MGI:2179326")</f>
        <v>MGI:2179326</v>
      </c>
      <c r="P3513" t="s">
        <v>39233</v>
      </c>
      <c r="Q3513" t="s">
        <v>32</v>
      </c>
      <c r="R3513" t="s">
        <v>2377</v>
      </c>
      <c r="S3513" t="s">
        <v>41</v>
      </c>
      <c r="T3513" t="s">
        <v>32</v>
      </c>
      <c r="U3513" t="s">
        <v>32</v>
      </c>
      <c r="V3513" t="s">
        <v>32</v>
      </c>
      <c r="W3513" t="s">
        <v>32</v>
      </c>
      <c r="X3513" t="s">
        <v>32</v>
      </c>
      <c r="Y3513" t="s">
        <v>618</v>
      </c>
      <c r="Z3513" t="s">
        <v>32</v>
      </c>
      <c r="AA3513" t="s">
        <v>39234</v>
      </c>
      <c r="AB3513" t="s">
        <v>39235</v>
      </c>
      <c r="AC3513" t="s">
        <v>11250</v>
      </c>
      <c r="AD3513" t="s">
        <v>32</v>
      </c>
      <c r="AE3513" t="s">
        <v>32</v>
      </c>
      <c r="AF3513" t="s">
        <v>46835</v>
      </c>
    </row>
    <row r="3514" spans="1:33" x14ac:dyDescent="0.2">
      <c r="A3514">
        <v>3509</v>
      </c>
      <c r="B3514" t="s">
        <v>39236</v>
      </c>
      <c r="C3514" t="s">
        <v>39237</v>
      </c>
      <c r="D3514" t="s">
        <v>39238</v>
      </c>
      <c r="E3514" t="s">
        <v>39239</v>
      </c>
      <c r="F3514" t="s">
        <v>39240</v>
      </c>
      <c r="G3514" t="s">
        <v>39241</v>
      </c>
      <c r="H3514" t="str">
        <f>"Ctr9"</f>
        <v>Ctr9</v>
      </c>
      <c r="I3514" t="s">
        <v>39242</v>
      </c>
      <c r="J3514" t="s">
        <v>37</v>
      </c>
      <c r="K3514">
        <v>10090</v>
      </c>
      <c r="L3514" s="3" t="str">
        <f>HYPERLINK("http://www.uniprot.org/uniprot/Q62018", "Q62018")</f>
        <v>Q62018</v>
      </c>
      <c r="M3514" t="s">
        <v>39243</v>
      </c>
      <c r="N3514" t="str">
        <f>"Ctr9"</f>
        <v>Ctr9</v>
      </c>
      <c r="O3514" s="3" t="str">
        <f>HYPERLINK("http://www.informatics.jax.org/marker/MGI:109345", "MGI:109345")</f>
        <v>MGI:109345</v>
      </c>
      <c r="P3514" t="s">
        <v>39244</v>
      </c>
      <c r="Q3514" t="s">
        <v>17650</v>
      </c>
      <c r="R3514" t="s">
        <v>2279</v>
      </c>
      <c r="S3514" t="s">
        <v>41</v>
      </c>
      <c r="T3514" t="s">
        <v>32</v>
      </c>
      <c r="U3514" t="s">
        <v>32</v>
      </c>
      <c r="V3514" t="s">
        <v>995</v>
      </c>
      <c r="W3514" t="s">
        <v>32</v>
      </c>
      <c r="X3514" t="s">
        <v>32</v>
      </c>
      <c r="Y3514" t="s">
        <v>618</v>
      </c>
      <c r="Z3514" t="s">
        <v>32</v>
      </c>
      <c r="AA3514" t="s">
        <v>39245</v>
      </c>
      <c r="AB3514" t="s">
        <v>39246</v>
      </c>
      <c r="AC3514" t="s">
        <v>39247</v>
      </c>
      <c r="AD3514" t="s">
        <v>32</v>
      </c>
      <c r="AE3514" t="s">
        <v>27709</v>
      </c>
      <c r="AF3514" t="s">
        <v>46835</v>
      </c>
    </row>
    <row r="3515" spans="1:33" x14ac:dyDescent="0.2">
      <c r="A3515">
        <v>3510</v>
      </c>
      <c r="B3515" t="s">
        <v>39248</v>
      </c>
      <c r="C3515" t="s">
        <v>39249</v>
      </c>
      <c r="D3515" t="s">
        <v>32</v>
      </c>
      <c r="E3515" t="s">
        <v>39250</v>
      </c>
      <c r="F3515" t="s">
        <v>39251</v>
      </c>
      <c r="G3515" t="s">
        <v>39252</v>
      </c>
      <c r="H3515" t="str">
        <f>"Ints1"</f>
        <v>Ints1</v>
      </c>
      <c r="I3515" t="s">
        <v>32</v>
      </c>
      <c r="J3515" t="s">
        <v>37</v>
      </c>
      <c r="K3515">
        <v>10090</v>
      </c>
      <c r="L3515" s="3" t="str">
        <f>HYPERLINK("http://www.uniprot.org/uniprot/Q6P4S8", "Q6P4S8")</f>
        <v>Q6P4S8</v>
      </c>
      <c r="M3515" t="s">
        <v>39253</v>
      </c>
      <c r="N3515" t="str">
        <f>"Ints1"</f>
        <v>Ints1</v>
      </c>
      <c r="O3515" s="3" t="str">
        <f>HYPERLINK("http://www.informatics.jax.org/marker/MGI:1915760", "MGI:1915760")</f>
        <v>MGI:1915760</v>
      </c>
      <c r="P3515" t="s">
        <v>39254</v>
      </c>
      <c r="Q3515" t="s">
        <v>32</v>
      </c>
      <c r="R3515" t="s">
        <v>13520</v>
      </c>
      <c r="S3515" t="s">
        <v>32</v>
      </c>
      <c r="T3515" t="s">
        <v>32</v>
      </c>
      <c r="U3515" t="s">
        <v>32</v>
      </c>
      <c r="V3515" t="s">
        <v>493</v>
      </c>
      <c r="W3515" t="s">
        <v>32</v>
      </c>
      <c r="X3515" t="s">
        <v>32</v>
      </c>
      <c r="Y3515" t="s">
        <v>157</v>
      </c>
      <c r="Z3515" t="s">
        <v>32</v>
      </c>
      <c r="AA3515" t="s">
        <v>39255</v>
      </c>
      <c r="AB3515" t="s">
        <v>39256</v>
      </c>
      <c r="AC3515" t="s">
        <v>32</v>
      </c>
      <c r="AD3515" t="s">
        <v>32</v>
      </c>
      <c r="AE3515" t="s">
        <v>22679</v>
      </c>
      <c r="AF3515" t="s">
        <v>46835</v>
      </c>
    </row>
    <row r="3516" spans="1:33" x14ac:dyDescent="0.2">
      <c r="A3516">
        <v>3511</v>
      </c>
      <c r="B3516" t="s">
        <v>39257</v>
      </c>
      <c r="C3516" t="s">
        <v>39258</v>
      </c>
      <c r="D3516" t="s">
        <v>39259</v>
      </c>
      <c r="E3516" t="s">
        <v>39260</v>
      </c>
      <c r="F3516" t="s">
        <v>39261</v>
      </c>
      <c r="G3516" t="s">
        <v>39262</v>
      </c>
      <c r="H3516" t="str">
        <f>"Pef1"</f>
        <v>Pef1</v>
      </c>
      <c r="I3516" t="s">
        <v>32</v>
      </c>
      <c r="J3516" t="s">
        <v>37</v>
      </c>
      <c r="K3516">
        <v>10090</v>
      </c>
      <c r="L3516" s="3" t="str">
        <f>HYPERLINK("http://www.uniprot.org/uniprot/Q8BFY6", "Q8BFY6")</f>
        <v>Q8BFY6</v>
      </c>
      <c r="M3516" t="s">
        <v>39263</v>
      </c>
      <c r="N3516" t="str">
        <f>"Pef1"</f>
        <v>Pef1</v>
      </c>
      <c r="O3516" s="3" t="str">
        <f>HYPERLINK("http://www.informatics.jax.org/marker/MGI:1915148", "MGI:1915148")</f>
        <v>MGI:1915148</v>
      </c>
      <c r="P3516" t="s">
        <v>39264</v>
      </c>
      <c r="Q3516" t="s">
        <v>32</v>
      </c>
      <c r="R3516" t="s">
        <v>2917</v>
      </c>
      <c r="S3516" t="s">
        <v>32</v>
      </c>
      <c r="T3516" t="s">
        <v>32</v>
      </c>
      <c r="U3516" t="s">
        <v>32</v>
      </c>
      <c r="V3516" t="s">
        <v>55</v>
      </c>
      <c r="W3516" t="s">
        <v>188</v>
      </c>
      <c r="X3516" t="s">
        <v>32</v>
      </c>
      <c r="Y3516" t="s">
        <v>5599</v>
      </c>
      <c r="Z3516" t="s">
        <v>32</v>
      </c>
      <c r="AA3516" t="s">
        <v>39265</v>
      </c>
      <c r="AB3516" t="s">
        <v>39266</v>
      </c>
      <c r="AC3516" t="s">
        <v>39267</v>
      </c>
      <c r="AD3516" t="s">
        <v>32</v>
      </c>
      <c r="AE3516" t="s">
        <v>32</v>
      </c>
      <c r="AF3516" t="s">
        <v>46835</v>
      </c>
    </row>
    <row r="3517" spans="1:33" x14ac:dyDescent="0.2">
      <c r="A3517">
        <v>3512</v>
      </c>
      <c r="B3517" t="s">
        <v>39268</v>
      </c>
      <c r="C3517" t="s">
        <v>47149</v>
      </c>
      <c r="D3517" t="s">
        <v>32</v>
      </c>
      <c r="E3517" t="s">
        <v>47038</v>
      </c>
      <c r="F3517" t="s">
        <v>47037</v>
      </c>
      <c r="G3517" t="s">
        <v>32</v>
      </c>
      <c r="H3517" t="s">
        <v>47280</v>
      </c>
      <c r="I3517" t="s">
        <v>32</v>
      </c>
      <c r="J3517" t="s">
        <v>37</v>
      </c>
      <c r="K3517">
        <v>10090</v>
      </c>
      <c r="L3517" s="3" t="str">
        <f>HYPERLINK(CONCATENATE("https://www.uniprot.org/uniprotkb/", AG3517, "/entry"), AG3517)</f>
        <v>Q6NXL1</v>
      </c>
      <c r="M3517" t="s">
        <v>32</v>
      </c>
      <c r="N3517" t="s">
        <v>32</v>
      </c>
      <c r="O3517" s="3" t="s">
        <v>32</v>
      </c>
      <c r="P3517" t="s">
        <v>32</v>
      </c>
      <c r="Q3517" t="s">
        <v>32</v>
      </c>
      <c r="R3517" t="s">
        <v>32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32</v>
      </c>
      <c r="Y3517" t="s">
        <v>32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t="s">
        <v>46835</v>
      </c>
      <c r="AG3517" t="s">
        <v>47037</v>
      </c>
    </row>
    <row r="3518" spans="1:33" x14ac:dyDescent="0.2">
      <c r="A3518">
        <v>3513</v>
      </c>
      <c r="B3518" t="s">
        <v>39269</v>
      </c>
      <c r="C3518" t="s">
        <v>39270</v>
      </c>
      <c r="D3518" t="s">
        <v>39271</v>
      </c>
      <c r="E3518" t="s">
        <v>39272</v>
      </c>
      <c r="F3518" t="s">
        <v>39273</v>
      </c>
      <c r="G3518" t="s">
        <v>39274</v>
      </c>
      <c r="H3518" t="str">
        <f>"Cntn1"</f>
        <v>Cntn1</v>
      </c>
      <c r="I3518" t="s">
        <v>32</v>
      </c>
      <c r="J3518" t="s">
        <v>37</v>
      </c>
      <c r="K3518">
        <v>10090</v>
      </c>
      <c r="L3518" s="3" t="str">
        <f>HYPERLINK("http://www.uniprot.org/uniprot/P12960", "P12960")</f>
        <v>P12960</v>
      </c>
      <c r="M3518" t="s">
        <v>39275</v>
      </c>
      <c r="N3518" t="str">
        <f>"Cntn1"</f>
        <v>Cntn1</v>
      </c>
      <c r="O3518" s="3" t="str">
        <f>HYPERLINK("http://www.informatics.jax.org/marker/MGI:105980", "MGI:105980")</f>
        <v>MGI:105980</v>
      </c>
      <c r="P3518" t="s">
        <v>39276</v>
      </c>
      <c r="Q3518" t="s">
        <v>39277</v>
      </c>
      <c r="R3518" t="s">
        <v>2474</v>
      </c>
      <c r="S3518" t="s">
        <v>32</v>
      </c>
      <c r="T3518" t="s">
        <v>32</v>
      </c>
      <c r="U3518" t="s">
        <v>32</v>
      </c>
      <c r="V3518" t="s">
        <v>18527</v>
      </c>
      <c r="W3518" t="s">
        <v>32</v>
      </c>
      <c r="X3518" t="s">
        <v>32</v>
      </c>
      <c r="Y3518" t="s">
        <v>25929</v>
      </c>
      <c r="Z3518" t="s">
        <v>32</v>
      </c>
      <c r="AA3518" t="s">
        <v>39278</v>
      </c>
      <c r="AB3518" t="s">
        <v>39279</v>
      </c>
      <c r="AC3518" t="s">
        <v>39280</v>
      </c>
      <c r="AD3518" t="s">
        <v>32</v>
      </c>
      <c r="AE3518" t="s">
        <v>32</v>
      </c>
      <c r="AF3518" t="s">
        <v>46835</v>
      </c>
    </row>
    <row r="3519" spans="1:33" x14ac:dyDescent="0.2">
      <c r="A3519">
        <v>3514</v>
      </c>
      <c r="B3519" t="s">
        <v>39281</v>
      </c>
      <c r="C3519" t="s">
        <v>39282</v>
      </c>
      <c r="D3519" t="s">
        <v>32</v>
      </c>
      <c r="E3519" t="s">
        <v>39283</v>
      </c>
      <c r="F3519" t="s">
        <v>39284</v>
      </c>
      <c r="G3519" t="s">
        <v>32</v>
      </c>
      <c r="H3519" t="str">
        <f>"Zfpl1"</f>
        <v>Zfpl1</v>
      </c>
      <c r="I3519" t="s">
        <v>32</v>
      </c>
      <c r="J3519" t="s">
        <v>37</v>
      </c>
      <c r="K3519">
        <v>10090</v>
      </c>
      <c r="L3519" s="3" t="str">
        <f>HYPERLINK("http://www.uniprot.org/uniprot/Q9DB43", "Q9DB43")</f>
        <v>Q9DB43</v>
      </c>
      <c r="M3519" t="s">
        <v>39285</v>
      </c>
      <c r="N3519" t="str">
        <f>"Zfpl1"</f>
        <v>Zfpl1</v>
      </c>
      <c r="O3519" s="3" t="str">
        <f>HYPERLINK("http://www.informatics.jax.org/marker/MGI:1891017", "MGI:1891017")</f>
        <v>MGI:1891017</v>
      </c>
      <c r="P3519" t="s">
        <v>39286</v>
      </c>
      <c r="Q3519" t="s">
        <v>14011</v>
      </c>
      <c r="R3519" t="s">
        <v>13904</v>
      </c>
      <c r="S3519" t="s">
        <v>32</v>
      </c>
      <c r="T3519" t="s">
        <v>32</v>
      </c>
      <c r="U3519" t="s">
        <v>32</v>
      </c>
      <c r="V3519" t="s">
        <v>8267</v>
      </c>
      <c r="W3519" t="s">
        <v>42</v>
      </c>
      <c r="X3519" t="s">
        <v>32</v>
      </c>
      <c r="Y3519" t="s">
        <v>618</v>
      </c>
      <c r="Z3519" t="s">
        <v>32</v>
      </c>
      <c r="AA3519" t="s">
        <v>39287</v>
      </c>
      <c r="AB3519" t="s">
        <v>22945</v>
      </c>
      <c r="AC3519" t="s">
        <v>4525</v>
      </c>
      <c r="AD3519" t="s">
        <v>32</v>
      </c>
      <c r="AE3519" t="s">
        <v>32</v>
      </c>
      <c r="AF3519" t="s">
        <v>46835</v>
      </c>
    </row>
    <row r="3520" spans="1:33" x14ac:dyDescent="0.2">
      <c r="A3520">
        <v>3515</v>
      </c>
      <c r="B3520" t="s">
        <v>39288</v>
      </c>
      <c r="C3520" t="s">
        <v>39289</v>
      </c>
      <c r="D3520" t="s">
        <v>39290</v>
      </c>
      <c r="E3520" t="s">
        <v>39291</v>
      </c>
      <c r="F3520" t="s">
        <v>39292</v>
      </c>
      <c r="G3520" t="s">
        <v>39293</v>
      </c>
      <c r="H3520" t="str">
        <f>"Nup85"</f>
        <v>Nup85</v>
      </c>
      <c r="I3520" t="s">
        <v>39294</v>
      </c>
      <c r="J3520" t="s">
        <v>37</v>
      </c>
      <c r="K3520">
        <v>10090</v>
      </c>
      <c r="L3520" s="3" t="str">
        <f>HYPERLINK("http://www.uniprot.org/uniprot/Q8R480", "Q8R480")</f>
        <v>Q8R480</v>
      </c>
      <c r="M3520" t="s">
        <v>39295</v>
      </c>
      <c r="N3520" t="str">
        <f>"Nup85"</f>
        <v>Nup85</v>
      </c>
      <c r="O3520" s="3" t="str">
        <f>HYPERLINK("http://www.informatics.jax.org/marker/MGI:3046173", "MGI:3046173")</f>
        <v>MGI:3046173</v>
      </c>
      <c r="P3520" t="s">
        <v>39296</v>
      </c>
      <c r="Q3520" t="s">
        <v>6423</v>
      </c>
      <c r="R3520" t="s">
        <v>4681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32</v>
      </c>
      <c r="Y3520" t="s">
        <v>78</v>
      </c>
      <c r="Z3520" t="s">
        <v>32</v>
      </c>
      <c r="AA3520" t="s">
        <v>39297</v>
      </c>
      <c r="AB3520" t="s">
        <v>39298</v>
      </c>
      <c r="AC3520" t="s">
        <v>39299</v>
      </c>
      <c r="AD3520" t="s">
        <v>32</v>
      </c>
      <c r="AE3520" t="s">
        <v>15358</v>
      </c>
      <c r="AF3520" t="s">
        <v>46835</v>
      </c>
    </row>
    <row r="3521" spans="1:32" x14ac:dyDescent="0.2">
      <c r="A3521">
        <v>3516</v>
      </c>
      <c r="B3521" t="s">
        <v>39300</v>
      </c>
      <c r="C3521" t="s">
        <v>39301</v>
      </c>
      <c r="D3521" t="s">
        <v>39302</v>
      </c>
      <c r="E3521" t="s">
        <v>39303</v>
      </c>
      <c r="F3521" t="s">
        <v>39304</v>
      </c>
      <c r="G3521" t="s">
        <v>39305</v>
      </c>
      <c r="H3521" t="str">
        <f>"Fbxl20"</f>
        <v>Fbxl20</v>
      </c>
      <c r="I3521" t="s">
        <v>39306</v>
      </c>
      <c r="J3521" t="s">
        <v>37</v>
      </c>
      <c r="K3521">
        <v>10090</v>
      </c>
      <c r="L3521" s="3" t="str">
        <f>HYPERLINK("http://www.uniprot.org/uniprot/Q9CZV8", "Q9CZV8")</f>
        <v>Q9CZV8</v>
      </c>
      <c r="M3521" t="s">
        <v>39307</v>
      </c>
      <c r="N3521" t="str">
        <f>"Fbxl20"</f>
        <v>Fbxl20</v>
      </c>
      <c r="O3521" s="3" t="str">
        <f>HYPERLINK("http://www.informatics.jax.org/marker/MGI:1919444", "MGI:1919444")</f>
        <v>MGI:1919444</v>
      </c>
      <c r="P3521" t="s">
        <v>39308</v>
      </c>
      <c r="Q3521" t="s">
        <v>1020</v>
      </c>
      <c r="R3521" t="s">
        <v>418</v>
      </c>
      <c r="S3521" t="s">
        <v>41</v>
      </c>
      <c r="T3521" t="s">
        <v>32</v>
      </c>
      <c r="U3521" t="s">
        <v>32</v>
      </c>
      <c r="V3521" t="s">
        <v>2701</v>
      </c>
      <c r="W3521" t="s">
        <v>32</v>
      </c>
      <c r="X3521" t="s">
        <v>32</v>
      </c>
      <c r="Y3521" t="s">
        <v>618</v>
      </c>
      <c r="Z3521" t="s">
        <v>32</v>
      </c>
      <c r="AA3521" t="s">
        <v>39309</v>
      </c>
      <c r="AB3521" t="s">
        <v>39310</v>
      </c>
      <c r="AC3521" t="s">
        <v>32</v>
      </c>
      <c r="AD3521" t="s">
        <v>32</v>
      </c>
      <c r="AE3521" t="s">
        <v>23932</v>
      </c>
      <c r="AF3521" t="s">
        <v>46835</v>
      </c>
    </row>
    <row r="3522" spans="1:32" x14ac:dyDescent="0.2">
      <c r="A3522">
        <v>3517</v>
      </c>
      <c r="B3522" t="s">
        <v>39311</v>
      </c>
      <c r="C3522" t="s">
        <v>39312</v>
      </c>
      <c r="D3522" t="s">
        <v>32</v>
      </c>
      <c r="E3522" t="s">
        <v>39313</v>
      </c>
      <c r="F3522" t="s">
        <v>39314</v>
      </c>
      <c r="G3522" t="s">
        <v>39315</v>
      </c>
      <c r="H3522" t="str">
        <f>"Engase"</f>
        <v>Engase</v>
      </c>
      <c r="I3522" t="s">
        <v>32</v>
      </c>
      <c r="J3522" t="s">
        <v>37</v>
      </c>
      <c r="K3522">
        <v>10090</v>
      </c>
      <c r="L3522" s="3" t="str">
        <f>HYPERLINK("http://www.uniprot.org/uniprot/Q8BX80", "Q8BX80")</f>
        <v>Q8BX80</v>
      </c>
      <c r="M3522" t="s">
        <v>39316</v>
      </c>
      <c r="N3522" t="str">
        <f>"Engase"</f>
        <v>Engase</v>
      </c>
      <c r="O3522" s="3" t="str">
        <f>HYPERLINK("http://www.informatics.jax.org/marker/MGI:2443788", "MGI:2443788")</f>
        <v>MGI:2443788</v>
      </c>
      <c r="P3522" t="s">
        <v>39317</v>
      </c>
      <c r="Q3522" t="s">
        <v>32</v>
      </c>
      <c r="R3522" t="s">
        <v>418</v>
      </c>
      <c r="S3522" t="s">
        <v>41</v>
      </c>
      <c r="T3522" t="s">
        <v>32</v>
      </c>
      <c r="U3522" t="s">
        <v>32</v>
      </c>
      <c r="V3522" t="s">
        <v>32</v>
      </c>
      <c r="W3522" t="s">
        <v>32</v>
      </c>
      <c r="X3522" t="s">
        <v>4316</v>
      </c>
      <c r="Y3522" t="s">
        <v>78</v>
      </c>
      <c r="Z3522" t="s">
        <v>32</v>
      </c>
      <c r="AA3522" t="s">
        <v>39318</v>
      </c>
      <c r="AB3522" t="s">
        <v>1268</v>
      </c>
      <c r="AC3522" t="s">
        <v>39319</v>
      </c>
      <c r="AD3522" t="s">
        <v>32</v>
      </c>
      <c r="AE3522" t="s">
        <v>35923</v>
      </c>
      <c r="AF3522" t="s">
        <v>46835</v>
      </c>
    </row>
    <row r="3523" spans="1:32" x14ac:dyDescent="0.2">
      <c r="A3523">
        <v>3518</v>
      </c>
      <c r="B3523" t="s">
        <v>39320</v>
      </c>
      <c r="C3523" t="s">
        <v>39321</v>
      </c>
      <c r="D3523" t="s">
        <v>39322</v>
      </c>
      <c r="E3523" t="s">
        <v>39323</v>
      </c>
      <c r="F3523" t="s">
        <v>39324</v>
      </c>
      <c r="G3523" t="s">
        <v>39325</v>
      </c>
      <c r="H3523" t="str">
        <f>"Apoo"</f>
        <v>Apoo</v>
      </c>
      <c r="I3523" t="s">
        <v>39326</v>
      </c>
      <c r="J3523" t="s">
        <v>37</v>
      </c>
      <c r="K3523">
        <v>10090</v>
      </c>
      <c r="L3523" s="3" t="str">
        <f>HYPERLINK("http://www.uniprot.org/uniprot/Q9DCZ4", "Q9DCZ4")</f>
        <v>Q9DCZ4</v>
      </c>
      <c r="M3523" t="s">
        <v>39327</v>
      </c>
      <c r="N3523" t="str">
        <f>"Apoo"</f>
        <v>Apoo</v>
      </c>
      <c r="O3523" s="3" t="str">
        <f>HYPERLINK("http://www.informatics.jax.org/marker/MGI:1915566", "MGI:1915566")</f>
        <v>MGI:1915566</v>
      </c>
      <c r="P3523" t="s">
        <v>39328</v>
      </c>
      <c r="Q3523" t="s">
        <v>32</v>
      </c>
      <c r="R3523" t="s">
        <v>39329</v>
      </c>
      <c r="S3523" t="s">
        <v>41</v>
      </c>
      <c r="T3523" t="s">
        <v>32</v>
      </c>
      <c r="U3523" t="s">
        <v>32</v>
      </c>
      <c r="V3523" t="s">
        <v>3948</v>
      </c>
      <c r="W3523" t="s">
        <v>32</v>
      </c>
      <c r="X3523" t="s">
        <v>32</v>
      </c>
      <c r="Y3523" t="s">
        <v>3733</v>
      </c>
      <c r="Z3523" t="s">
        <v>32</v>
      </c>
      <c r="AA3523" t="s">
        <v>18076</v>
      </c>
      <c r="AB3523" t="s">
        <v>39330</v>
      </c>
      <c r="AC3523" t="s">
        <v>32</v>
      </c>
      <c r="AD3523" t="s">
        <v>32</v>
      </c>
      <c r="AE3523" t="s">
        <v>32</v>
      </c>
      <c r="AF3523" t="s">
        <v>46835</v>
      </c>
    </row>
    <row r="3524" spans="1:32" x14ac:dyDescent="0.2">
      <c r="A3524">
        <v>3519</v>
      </c>
      <c r="B3524" t="s">
        <v>39331</v>
      </c>
      <c r="C3524" t="s">
        <v>39332</v>
      </c>
      <c r="D3524" t="s">
        <v>39333</v>
      </c>
      <c r="E3524" t="s">
        <v>39334</v>
      </c>
      <c r="F3524" t="s">
        <v>39335</v>
      </c>
      <c r="G3524" t="s">
        <v>32</v>
      </c>
      <c r="H3524" t="str">
        <f>"Uros"</f>
        <v>Uros</v>
      </c>
      <c r="I3524" t="s">
        <v>39336</v>
      </c>
      <c r="J3524" t="s">
        <v>37</v>
      </c>
      <c r="K3524">
        <v>10090</v>
      </c>
      <c r="L3524" s="3" t="str">
        <f>HYPERLINK("http://www.uniprot.org/uniprot/P51163", "P51163")</f>
        <v>P51163</v>
      </c>
      <c r="M3524" t="s">
        <v>39337</v>
      </c>
      <c r="N3524" t="str">
        <f>"Uros"</f>
        <v>Uros</v>
      </c>
      <c r="O3524" s="3" t="str">
        <f>HYPERLINK("http://www.informatics.jax.org/marker/MGI:98917", "MGI:98917")</f>
        <v>MGI:98917</v>
      </c>
      <c r="P3524" t="s">
        <v>39338</v>
      </c>
      <c r="Q3524" t="s">
        <v>10156</v>
      </c>
      <c r="R3524" t="s">
        <v>32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224</v>
      </c>
      <c r="Y3524" t="s">
        <v>32</v>
      </c>
      <c r="Z3524" t="s">
        <v>32</v>
      </c>
      <c r="AA3524" t="s">
        <v>39339</v>
      </c>
      <c r="AB3524" t="s">
        <v>5676</v>
      </c>
      <c r="AC3524" t="s">
        <v>39340</v>
      </c>
      <c r="AD3524" t="s">
        <v>39341</v>
      </c>
      <c r="AE3524" t="s">
        <v>10161</v>
      </c>
      <c r="AF3524" t="s">
        <v>46835</v>
      </c>
    </row>
    <row r="3525" spans="1:32" x14ac:dyDescent="0.2">
      <c r="A3525">
        <v>3520</v>
      </c>
      <c r="B3525" t="s">
        <v>39342</v>
      </c>
      <c r="C3525" t="s">
        <v>39343</v>
      </c>
      <c r="D3525" t="s">
        <v>32</v>
      </c>
      <c r="E3525" t="s">
        <v>39344</v>
      </c>
      <c r="F3525" t="s">
        <v>39345</v>
      </c>
      <c r="G3525" t="s">
        <v>39346</v>
      </c>
      <c r="H3525" t="str">
        <f>"Rbbp5"</f>
        <v>Rbbp5</v>
      </c>
      <c r="I3525" t="s">
        <v>32</v>
      </c>
      <c r="J3525" t="s">
        <v>37</v>
      </c>
      <c r="K3525">
        <v>10090</v>
      </c>
      <c r="L3525" s="3" t="str">
        <f>HYPERLINK("http://www.uniprot.org/uniprot/Q8BX09", "Q8BX09")</f>
        <v>Q8BX09</v>
      </c>
      <c r="M3525" t="s">
        <v>39347</v>
      </c>
      <c r="N3525" t="str">
        <f>"Rbbp5"</f>
        <v>Rbbp5</v>
      </c>
      <c r="O3525" s="3" t="str">
        <f>HYPERLINK("http://www.informatics.jax.org/marker/MGI:1918367", "MGI:1918367")</f>
        <v>MGI:1918367</v>
      </c>
      <c r="P3525" t="s">
        <v>39348</v>
      </c>
      <c r="Q3525" t="s">
        <v>4152</v>
      </c>
      <c r="R3525" t="s">
        <v>2279</v>
      </c>
      <c r="S3525" t="s">
        <v>41</v>
      </c>
      <c r="T3525" t="s">
        <v>32</v>
      </c>
      <c r="U3525" t="s">
        <v>32</v>
      </c>
      <c r="V3525" t="s">
        <v>1910</v>
      </c>
      <c r="W3525" t="s">
        <v>32</v>
      </c>
      <c r="X3525" t="s">
        <v>9988</v>
      </c>
      <c r="Y3525" t="s">
        <v>1007</v>
      </c>
      <c r="Z3525" t="s">
        <v>126</v>
      </c>
      <c r="AA3525" t="s">
        <v>39349</v>
      </c>
      <c r="AB3525" t="s">
        <v>39350</v>
      </c>
      <c r="AC3525" t="s">
        <v>39351</v>
      </c>
      <c r="AD3525" t="s">
        <v>32</v>
      </c>
      <c r="AE3525" t="s">
        <v>39352</v>
      </c>
      <c r="AF3525" t="s">
        <v>46835</v>
      </c>
    </row>
    <row r="3526" spans="1:32" x14ac:dyDescent="0.2">
      <c r="A3526">
        <v>3521</v>
      </c>
      <c r="B3526" t="s">
        <v>39353</v>
      </c>
      <c r="C3526" t="s">
        <v>39354</v>
      </c>
      <c r="D3526" t="s">
        <v>32</v>
      </c>
      <c r="E3526" t="s">
        <v>39355</v>
      </c>
      <c r="F3526" t="s">
        <v>39356</v>
      </c>
      <c r="G3526" t="s">
        <v>32</v>
      </c>
      <c r="H3526" t="str">
        <f>"Os9"</f>
        <v>Os9</v>
      </c>
      <c r="I3526" t="s">
        <v>32</v>
      </c>
      <c r="J3526" t="s">
        <v>37</v>
      </c>
      <c r="K3526">
        <v>10090</v>
      </c>
      <c r="L3526" s="3" t="str">
        <f>HYPERLINK("http://www.uniprot.org/uniprot/Q8K2C7", "Q8K2C7")</f>
        <v>Q8K2C7</v>
      </c>
      <c r="M3526" t="s">
        <v>39357</v>
      </c>
      <c r="N3526" t="str">
        <f>"Os9"</f>
        <v>Os9</v>
      </c>
      <c r="O3526" s="3" t="str">
        <f>HYPERLINK("http://www.informatics.jax.org/marker/MGI:1924301", "MGI:1924301")</f>
        <v>MGI:1924301</v>
      </c>
      <c r="P3526" t="s">
        <v>39358</v>
      </c>
      <c r="Q3526" t="s">
        <v>32</v>
      </c>
      <c r="R3526" t="s">
        <v>671</v>
      </c>
      <c r="S3526" t="s">
        <v>41</v>
      </c>
      <c r="T3526" t="s">
        <v>32</v>
      </c>
      <c r="U3526" t="s">
        <v>32</v>
      </c>
      <c r="V3526" t="s">
        <v>811</v>
      </c>
      <c r="W3526" t="s">
        <v>4440</v>
      </c>
      <c r="X3526" t="s">
        <v>32</v>
      </c>
      <c r="Y3526" t="s">
        <v>5275</v>
      </c>
      <c r="Z3526" t="s">
        <v>32</v>
      </c>
      <c r="AA3526" t="s">
        <v>39359</v>
      </c>
      <c r="AB3526" t="s">
        <v>4722</v>
      </c>
      <c r="AC3526" t="s">
        <v>39360</v>
      </c>
      <c r="AD3526" t="s">
        <v>32</v>
      </c>
      <c r="AE3526" t="s">
        <v>24146</v>
      </c>
      <c r="AF3526" t="s">
        <v>46835</v>
      </c>
    </row>
    <row r="3527" spans="1:32" x14ac:dyDescent="0.2">
      <c r="A3527">
        <v>3522</v>
      </c>
      <c r="B3527" t="s">
        <v>39361</v>
      </c>
      <c r="C3527" t="s">
        <v>39362</v>
      </c>
      <c r="D3527" t="s">
        <v>39363</v>
      </c>
      <c r="E3527" t="s">
        <v>39364</v>
      </c>
      <c r="F3527" t="s">
        <v>39365</v>
      </c>
      <c r="G3527" t="s">
        <v>39366</v>
      </c>
      <c r="H3527" t="str">
        <f>"Trit1"</f>
        <v>Trit1</v>
      </c>
      <c r="I3527" t="s">
        <v>39367</v>
      </c>
      <c r="J3527" t="s">
        <v>37</v>
      </c>
      <c r="K3527">
        <v>10090</v>
      </c>
      <c r="L3527" s="3" t="str">
        <f>HYPERLINK("http://www.uniprot.org/uniprot/Q80UN9", "Q80UN9")</f>
        <v>Q80UN9</v>
      </c>
      <c r="M3527" t="s">
        <v>39368</v>
      </c>
      <c r="N3527" t="str">
        <f>"Trit1"</f>
        <v>Trit1</v>
      </c>
      <c r="O3527" s="3" t="str">
        <f>HYPERLINK("http://www.informatics.jax.org/marker/MGI:1914216", "MGI:1914216")</f>
        <v>MGI:1914216</v>
      </c>
      <c r="P3527" t="s">
        <v>39369</v>
      </c>
      <c r="Q3527" t="s">
        <v>4386</v>
      </c>
      <c r="R3527" t="s">
        <v>1021</v>
      </c>
      <c r="S3527" t="s">
        <v>41</v>
      </c>
      <c r="T3527" t="s">
        <v>32</v>
      </c>
      <c r="U3527" t="s">
        <v>32</v>
      </c>
      <c r="V3527" t="s">
        <v>39370</v>
      </c>
      <c r="W3527" t="s">
        <v>2325</v>
      </c>
      <c r="X3527" t="s">
        <v>515</v>
      </c>
      <c r="Y3527" t="s">
        <v>618</v>
      </c>
      <c r="Z3527" t="s">
        <v>32</v>
      </c>
      <c r="AA3527" t="s">
        <v>39371</v>
      </c>
      <c r="AB3527" t="s">
        <v>33284</v>
      </c>
      <c r="AC3527" t="s">
        <v>39372</v>
      </c>
      <c r="AD3527" t="s">
        <v>32</v>
      </c>
      <c r="AE3527" t="s">
        <v>32</v>
      </c>
      <c r="AF3527" t="s">
        <v>46835</v>
      </c>
    </row>
    <row r="3528" spans="1:32" x14ac:dyDescent="0.2">
      <c r="A3528">
        <v>3523</v>
      </c>
      <c r="B3528" t="s">
        <v>39373</v>
      </c>
      <c r="C3528" t="s">
        <v>39374</v>
      </c>
      <c r="D3528" t="s">
        <v>32</v>
      </c>
      <c r="E3528" t="s">
        <v>39375</v>
      </c>
      <c r="F3528" t="s">
        <v>39376</v>
      </c>
      <c r="G3528" t="s">
        <v>32</v>
      </c>
      <c r="H3528" t="str">
        <f>"Prickle1"</f>
        <v>Prickle1</v>
      </c>
      <c r="I3528" t="s">
        <v>32</v>
      </c>
      <c r="J3528" t="s">
        <v>37</v>
      </c>
      <c r="K3528">
        <v>10090</v>
      </c>
      <c r="L3528" s="3" t="str">
        <f>HYPERLINK("http://www.uniprot.org/uniprot/Q3U5C7", "Q3U5C7")</f>
        <v>Q3U5C7</v>
      </c>
      <c r="M3528" t="s">
        <v>39377</v>
      </c>
      <c r="N3528" t="str">
        <f>"Prickle1"</f>
        <v>Prickle1</v>
      </c>
      <c r="O3528" s="3" t="str">
        <f>HYPERLINK("http://www.informatics.jax.org/marker/MGI:1916034", "MGI:1916034")</f>
        <v>MGI:1916034</v>
      </c>
      <c r="P3528" t="s">
        <v>39378</v>
      </c>
      <c r="Q3528" t="s">
        <v>32</v>
      </c>
      <c r="R3528" t="s">
        <v>5943</v>
      </c>
      <c r="S3528" t="s">
        <v>32</v>
      </c>
      <c r="T3528" t="s">
        <v>32</v>
      </c>
      <c r="U3528" t="s">
        <v>32</v>
      </c>
      <c r="V3528" t="s">
        <v>11332</v>
      </c>
      <c r="W3528" t="s">
        <v>42</v>
      </c>
      <c r="X3528" t="s">
        <v>32</v>
      </c>
      <c r="Y3528" t="s">
        <v>3745</v>
      </c>
      <c r="Z3528" t="s">
        <v>32</v>
      </c>
      <c r="AA3528" t="s">
        <v>39379</v>
      </c>
      <c r="AB3528" t="s">
        <v>39380</v>
      </c>
      <c r="AC3528" t="s">
        <v>14560</v>
      </c>
      <c r="AD3528" t="s">
        <v>32</v>
      </c>
      <c r="AE3528" t="s">
        <v>39381</v>
      </c>
      <c r="AF3528" t="s">
        <v>46835</v>
      </c>
    </row>
    <row r="3529" spans="1:32" x14ac:dyDescent="0.2">
      <c r="A3529">
        <v>3524</v>
      </c>
      <c r="B3529" t="s">
        <v>39382</v>
      </c>
      <c r="C3529" t="s">
        <v>39383</v>
      </c>
      <c r="D3529" t="s">
        <v>39384</v>
      </c>
      <c r="E3529" t="s">
        <v>39385</v>
      </c>
      <c r="F3529" t="s">
        <v>39386</v>
      </c>
      <c r="G3529" t="s">
        <v>39387</v>
      </c>
      <c r="H3529" t="str">
        <f>"Utp15"</f>
        <v>Utp15</v>
      </c>
      <c r="I3529" t="s">
        <v>32</v>
      </c>
      <c r="J3529" t="s">
        <v>37</v>
      </c>
      <c r="K3529">
        <v>10090</v>
      </c>
      <c r="L3529" s="3" t="str">
        <f>HYPERLINK("http://www.uniprot.org/uniprot/Q8C7V3", "Q8C7V3")</f>
        <v>Q8C7V3</v>
      </c>
      <c r="M3529" t="s">
        <v>39388</v>
      </c>
      <c r="N3529" t="str">
        <f>"Utp15"</f>
        <v>Utp15</v>
      </c>
      <c r="O3529" s="3" t="str">
        <f>HYPERLINK("http://www.informatics.jax.org/marker/MGI:2145443", "MGI:2145443")</f>
        <v>MGI:2145443</v>
      </c>
      <c r="P3529" t="s">
        <v>39389</v>
      </c>
      <c r="Q3529" t="s">
        <v>36791</v>
      </c>
      <c r="R3529" t="s">
        <v>2279</v>
      </c>
      <c r="S3529" t="s">
        <v>32</v>
      </c>
      <c r="T3529" t="s">
        <v>32</v>
      </c>
      <c r="U3529" t="s">
        <v>32</v>
      </c>
      <c r="V3529" t="s">
        <v>1910</v>
      </c>
      <c r="W3529" t="s">
        <v>32</v>
      </c>
      <c r="X3529" t="s">
        <v>32</v>
      </c>
      <c r="Y3529" t="s">
        <v>461</v>
      </c>
      <c r="Z3529" t="s">
        <v>32</v>
      </c>
      <c r="AA3529" t="s">
        <v>36792</v>
      </c>
      <c r="AB3529" t="s">
        <v>39390</v>
      </c>
      <c r="AC3529" t="s">
        <v>32</v>
      </c>
      <c r="AD3529" t="s">
        <v>32</v>
      </c>
      <c r="AE3529" t="s">
        <v>960</v>
      </c>
      <c r="AF3529" t="s">
        <v>46835</v>
      </c>
    </row>
    <row r="3530" spans="1:32" x14ac:dyDescent="0.2">
      <c r="A3530">
        <v>3525</v>
      </c>
      <c r="B3530" t="s">
        <v>39391</v>
      </c>
      <c r="C3530" t="s">
        <v>39392</v>
      </c>
      <c r="D3530" t="s">
        <v>39393</v>
      </c>
      <c r="E3530" t="s">
        <v>39394</v>
      </c>
      <c r="F3530" t="s">
        <v>39395</v>
      </c>
      <c r="G3530" t="s">
        <v>39396</v>
      </c>
      <c r="H3530" t="str">
        <f>"Ephb2"</f>
        <v>Ephb2</v>
      </c>
      <c r="I3530" t="s">
        <v>32</v>
      </c>
      <c r="J3530" t="s">
        <v>37</v>
      </c>
      <c r="K3530">
        <v>10090</v>
      </c>
      <c r="L3530" s="3" t="str">
        <f>HYPERLINK("http://www.uniprot.org/uniprot/P54763", "P54763")</f>
        <v>P54763</v>
      </c>
      <c r="M3530" t="s">
        <v>39397</v>
      </c>
      <c r="N3530" t="str">
        <f>"Ephb2"</f>
        <v>Ephb2</v>
      </c>
      <c r="O3530" s="3" t="str">
        <f>HYPERLINK("http://www.informatics.jax.org/marker/MGI:99611", "MGI:99611")</f>
        <v>MGI:99611</v>
      </c>
      <c r="P3530" t="s">
        <v>39398</v>
      </c>
      <c r="Q3530" t="s">
        <v>1429</v>
      </c>
      <c r="R3530" t="s">
        <v>2943</v>
      </c>
      <c r="S3530" t="s">
        <v>41</v>
      </c>
      <c r="T3530" t="s">
        <v>32</v>
      </c>
      <c r="U3530" t="s">
        <v>32</v>
      </c>
      <c r="V3530" t="s">
        <v>1665</v>
      </c>
      <c r="W3530" t="s">
        <v>205</v>
      </c>
      <c r="X3530" t="s">
        <v>39399</v>
      </c>
      <c r="Y3530" t="s">
        <v>1551</v>
      </c>
      <c r="Z3530" t="s">
        <v>126</v>
      </c>
      <c r="AA3530" t="s">
        <v>39400</v>
      </c>
      <c r="AB3530" t="s">
        <v>39401</v>
      </c>
      <c r="AC3530" t="s">
        <v>39402</v>
      </c>
      <c r="AD3530" t="s">
        <v>32</v>
      </c>
      <c r="AE3530" t="s">
        <v>35470</v>
      </c>
      <c r="AF3530" t="s">
        <v>46835</v>
      </c>
    </row>
    <row r="3531" spans="1:32" x14ac:dyDescent="0.2">
      <c r="A3531">
        <v>3526</v>
      </c>
      <c r="B3531" t="s">
        <v>39403</v>
      </c>
      <c r="C3531" t="s">
        <v>39404</v>
      </c>
      <c r="D3531" t="s">
        <v>39405</v>
      </c>
      <c r="E3531" t="s">
        <v>39406</v>
      </c>
      <c r="F3531" t="s">
        <v>39407</v>
      </c>
      <c r="G3531" t="s">
        <v>39408</v>
      </c>
      <c r="H3531" t="str">
        <f>"Dph6"</f>
        <v>Dph6</v>
      </c>
      <c r="I3531" t="s">
        <v>39409</v>
      </c>
      <c r="J3531" t="s">
        <v>37</v>
      </c>
      <c r="K3531">
        <v>10090</v>
      </c>
      <c r="L3531" s="3" t="str">
        <f>HYPERLINK("http://www.uniprot.org/uniprot/Q9CQ28", "Q9CQ28")</f>
        <v>Q9CQ28</v>
      </c>
      <c r="M3531" t="s">
        <v>39410</v>
      </c>
      <c r="N3531" t="str">
        <f>"Dph6"</f>
        <v>Dph6</v>
      </c>
      <c r="O3531" s="3" t="str">
        <f>HYPERLINK("http://www.informatics.jax.org/marker/MGI:1913882", "MGI:1913882")</f>
        <v>MGI:1913882</v>
      </c>
      <c r="P3531" t="s">
        <v>39411</v>
      </c>
      <c r="Q3531" t="s">
        <v>32</v>
      </c>
      <c r="R3531" t="s">
        <v>32</v>
      </c>
      <c r="S3531" t="s">
        <v>41</v>
      </c>
      <c r="T3531" t="s">
        <v>32</v>
      </c>
      <c r="U3531" t="s">
        <v>32</v>
      </c>
      <c r="V3531" t="s">
        <v>32</v>
      </c>
      <c r="W3531" t="s">
        <v>205</v>
      </c>
      <c r="X3531" t="s">
        <v>1022</v>
      </c>
      <c r="Y3531" t="s">
        <v>618</v>
      </c>
      <c r="Z3531" t="s">
        <v>32</v>
      </c>
      <c r="AA3531" t="s">
        <v>39412</v>
      </c>
      <c r="AB3531" t="s">
        <v>34751</v>
      </c>
      <c r="AC3531" t="s">
        <v>39413</v>
      </c>
      <c r="AD3531" t="s">
        <v>37426</v>
      </c>
      <c r="AE3531" t="s">
        <v>37427</v>
      </c>
      <c r="AF3531" t="s">
        <v>46835</v>
      </c>
    </row>
    <row r="3532" spans="1:32" x14ac:dyDescent="0.2">
      <c r="A3532">
        <v>3527</v>
      </c>
      <c r="B3532" t="s">
        <v>39414</v>
      </c>
      <c r="C3532" t="s">
        <v>39415</v>
      </c>
      <c r="D3532" t="s">
        <v>32</v>
      </c>
      <c r="E3532" t="s">
        <v>39416</v>
      </c>
      <c r="F3532" t="s">
        <v>39417</v>
      </c>
      <c r="G3532" t="s">
        <v>39418</v>
      </c>
      <c r="H3532" t="str">
        <f>"Rprd2"</f>
        <v>Rprd2</v>
      </c>
      <c r="I3532" t="s">
        <v>39419</v>
      </c>
      <c r="J3532" t="s">
        <v>37</v>
      </c>
      <c r="K3532">
        <v>10090</v>
      </c>
      <c r="L3532" s="3" t="str">
        <f>HYPERLINK("http://www.uniprot.org/uniprot/Q6NXI6", "Q6NXI6")</f>
        <v>Q6NXI6</v>
      </c>
      <c r="M3532" t="s">
        <v>39420</v>
      </c>
      <c r="N3532" t="str">
        <f>"Rprd2"</f>
        <v>Rprd2</v>
      </c>
      <c r="O3532" s="3" t="str">
        <f>HYPERLINK("http://www.informatics.jax.org/marker/MGI:1922387", "MGI:1922387")</f>
        <v>MGI:1922387</v>
      </c>
      <c r="P3532" t="s">
        <v>39421</v>
      </c>
      <c r="Q3532" t="s">
        <v>32</v>
      </c>
      <c r="R3532" t="s">
        <v>32</v>
      </c>
      <c r="S3532" t="s">
        <v>41</v>
      </c>
      <c r="T3532" t="s">
        <v>32</v>
      </c>
      <c r="U3532" t="s">
        <v>32</v>
      </c>
      <c r="V3532" t="s">
        <v>32</v>
      </c>
      <c r="W3532" t="s">
        <v>32</v>
      </c>
      <c r="X3532" t="s">
        <v>32</v>
      </c>
      <c r="Y3532" t="s">
        <v>97</v>
      </c>
      <c r="Z3532" t="s">
        <v>32</v>
      </c>
      <c r="AA3532" t="s">
        <v>20467</v>
      </c>
      <c r="AB3532" t="s">
        <v>39422</v>
      </c>
      <c r="AC3532" t="s">
        <v>27657</v>
      </c>
      <c r="AD3532" t="s">
        <v>32</v>
      </c>
      <c r="AE3532" t="s">
        <v>22679</v>
      </c>
      <c r="AF3532" t="s">
        <v>46835</v>
      </c>
    </row>
    <row r="3533" spans="1:32" x14ac:dyDescent="0.2">
      <c r="A3533">
        <v>3528</v>
      </c>
      <c r="B3533" t="s">
        <v>39423</v>
      </c>
      <c r="C3533" t="s">
        <v>39424</v>
      </c>
      <c r="D3533" t="s">
        <v>32</v>
      </c>
      <c r="E3533" t="s">
        <v>39425</v>
      </c>
      <c r="F3533" t="s">
        <v>39426</v>
      </c>
      <c r="G3533" t="s">
        <v>39427</v>
      </c>
      <c r="H3533" t="s">
        <v>32</v>
      </c>
      <c r="I3533" t="s">
        <v>32</v>
      </c>
      <c r="J3533" t="s">
        <v>37</v>
      </c>
      <c r="K3533">
        <v>10090</v>
      </c>
      <c r="L3533" s="3" t="str">
        <f>HYPERLINK("http://www.uniprot.org/uniprot/Q9D1K7", "Q9D1K7")</f>
        <v>Q9D1K7</v>
      </c>
      <c r="M3533" t="s">
        <v>39428</v>
      </c>
      <c r="N3533" t="str">
        <f>"1700037H04Rik"</f>
        <v>1700037H04Rik</v>
      </c>
      <c r="O3533" s="3" t="str">
        <f>HYPERLINK("http://www.informatics.jax.org/marker/MGI:1914576", "MGI:1914576")</f>
        <v>MGI:1914576</v>
      </c>
      <c r="P3533" t="s">
        <v>157</v>
      </c>
      <c r="Q3533" t="s">
        <v>32</v>
      </c>
      <c r="R3533" t="s">
        <v>32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32</v>
      </c>
      <c r="Y3533" t="s">
        <v>157</v>
      </c>
      <c r="Z3533" t="s">
        <v>32</v>
      </c>
      <c r="AA3533" t="s">
        <v>39429</v>
      </c>
      <c r="AB3533" t="s">
        <v>32</v>
      </c>
      <c r="AC3533" t="s">
        <v>39430</v>
      </c>
      <c r="AD3533" t="s">
        <v>32</v>
      </c>
      <c r="AE3533" t="s">
        <v>32</v>
      </c>
      <c r="AF3533" t="s">
        <v>46835</v>
      </c>
    </row>
    <row r="3534" spans="1:32" x14ac:dyDescent="0.2">
      <c r="A3534">
        <v>3529</v>
      </c>
      <c r="B3534" t="s">
        <v>39431</v>
      </c>
      <c r="C3534" t="s">
        <v>39432</v>
      </c>
      <c r="D3534" t="s">
        <v>32</v>
      </c>
      <c r="E3534" t="s">
        <v>39433</v>
      </c>
      <c r="F3534" t="s">
        <v>39434</v>
      </c>
      <c r="G3534" t="s">
        <v>39435</v>
      </c>
      <c r="H3534" t="str">
        <f>"Tnks1bp1"</f>
        <v>Tnks1bp1</v>
      </c>
      <c r="I3534" t="s">
        <v>39436</v>
      </c>
      <c r="J3534" t="s">
        <v>37</v>
      </c>
      <c r="K3534">
        <v>10090</v>
      </c>
      <c r="L3534" s="3" t="str">
        <f>HYPERLINK("http://www.uniprot.org/uniprot/P58871", "P58871")</f>
        <v>P58871</v>
      </c>
      <c r="M3534" t="s">
        <v>39437</v>
      </c>
      <c r="N3534" t="str">
        <f>"Tnks1bp1"</f>
        <v>Tnks1bp1</v>
      </c>
      <c r="O3534" s="3" t="str">
        <f>HYPERLINK("http://www.informatics.jax.org/marker/MGI:2446193", "MGI:2446193")</f>
        <v>MGI:2446193</v>
      </c>
      <c r="P3534" t="s">
        <v>39438</v>
      </c>
      <c r="Q3534" t="s">
        <v>32</v>
      </c>
      <c r="R3534" t="s">
        <v>39439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32</v>
      </c>
      <c r="Y3534" t="s">
        <v>39440</v>
      </c>
      <c r="Z3534" t="s">
        <v>32</v>
      </c>
      <c r="AA3534" t="s">
        <v>39441</v>
      </c>
      <c r="AB3534" t="s">
        <v>39442</v>
      </c>
      <c r="AC3534" t="s">
        <v>39443</v>
      </c>
      <c r="AD3534" t="s">
        <v>32</v>
      </c>
      <c r="AE3534" t="s">
        <v>18942</v>
      </c>
      <c r="AF3534" t="s">
        <v>46835</v>
      </c>
    </row>
    <row r="3535" spans="1:32" x14ac:dyDescent="0.2">
      <c r="A3535">
        <v>3530</v>
      </c>
      <c r="B3535" t="s">
        <v>39444</v>
      </c>
      <c r="C3535" t="s">
        <v>39445</v>
      </c>
      <c r="D3535" t="s">
        <v>32</v>
      </c>
      <c r="E3535" t="s">
        <v>39446</v>
      </c>
      <c r="F3535" t="s">
        <v>39447</v>
      </c>
      <c r="G3535" t="s">
        <v>32</v>
      </c>
      <c r="H3535" t="str">
        <f>"Gps2"</f>
        <v>Gps2</v>
      </c>
      <c r="I3535" t="s">
        <v>32</v>
      </c>
      <c r="J3535" t="s">
        <v>37</v>
      </c>
      <c r="K3535">
        <v>10090</v>
      </c>
      <c r="L3535" s="3" t="str">
        <f>HYPERLINK("http://www.uniprot.org/uniprot/Q921N8", "Q921N8")</f>
        <v>Q921N8</v>
      </c>
      <c r="M3535" t="s">
        <v>39448</v>
      </c>
      <c r="N3535" t="str">
        <f>"Gps2"</f>
        <v>Gps2</v>
      </c>
      <c r="O3535" s="3" t="str">
        <f>HYPERLINK("http://www.informatics.jax.org/marker/MGI:1891751", "MGI:1891751")</f>
        <v>MGI:1891751</v>
      </c>
      <c r="P3535" t="s">
        <v>39449</v>
      </c>
      <c r="Q3535" t="s">
        <v>4152</v>
      </c>
      <c r="R3535" t="s">
        <v>1021</v>
      </c>
      <c r="S3535" t="s">
        <v>32</v>
      </c>
      <c r="T3535" t="s">
        <v>32</v>
      </c>
      <c r="U3535" t="s">
        <v>32</v>
      </c>
      <c r="V3535" t="s">
        <v>290</v>
      </c>
      <c r="W3535" t="s">
        <v>32</v>
      </c>
      <c r="X3535" t="s">
        <v>6736</v>
      </c>
      <c r="Y3535" t="s">
        <v>10927</v>
      </c>
      <c r="Z3535" t="s">
        <v>32</v>
      </c>
      <c r="AA3535" t="s">
        <v>39450</v>
      </c>
      <c r="AB3535" t="s">
        <v>39451</v>
      </c>
      <c r="AC3535" t="s">
        <v>39452</v>
      </c>
      <c r="AD3535" t="s">
        <v>32</v>
      </c>
      <c r="AE3535" t="s">
        <v>39453</v>
      </c>
      <c r="AF3535" t="s">
        <v>46835</v>
      </c>
    </row>
    <row r="3536" spans="1:32" x14ac:dyDescent="0.2">
      <c r="A3536">
        <v>3531</v>
      </c>
      <c r="B3536" t="s">
        <v>39454</v>
      </c>
      <c r="C3536" t="s">
        <v>39455</v>
      </c>
      <c r="D3536" t="s">
        <v>39456</v>
      </c>
      <c r="E3536" t="s">
        <v>39457</v>
      </c>
      <c r="F3536" t="s">
        <v>39458</v>
      </c>
      <c r="G3536" t="s">
        <v>39459</v>
      </c>
      <c r="H3536" t="str">
        <f>"Med7"</f>
        <v>Med7</v>
      </c>
      <c r="I3536" t="s">
        <v>39460</v>
      </c>
      <c r="J3536" t="s">
        <v>37</v>
      </c>
      <c r="K3536">
        <v>10090</v>
      </c>
      <c r="L3536" s="3" t="str">
        <f>HYPERLINK("http://www.uniprot.org/uniprot/Q9CZB6", "Q9CZB6")</f>
        <v>Q9CZB6</v>
      </c>
      <c r="M3536" t="s">
        <v>39461</v>
      </c>
      <c r="N3536" t="str">
        <f>"Med7"</f>
        <v>Med7</v>
      </c>
      <c r="O3536" s="3" t="str">
        <f>HYPERLINK("http://www.informatics.jax.org/marker/MGI:1913463", "MGI:1913463")</f>
        <v>MGI:1913463</v>
      </c>
      <c r="P3536" t="s">
        <v>39462</v>
      </c>
      <c r="Q3536" t="s">
        <v>4152</v>
      </c>
      <c r="R3536" t="s">
        <v>2279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2602</v>
      </c>
      <c r="Y3536" t="s">
        <v>1007</v>
      </c>
      <c r="Z3536" t="s">
        <v>126</v>
      </c>
      <c r="AA3536" t="s">
        <v>39463</v>
      </c>
      <c r="AB3536" t="s">
        <v>39464</v>
      </c>
      <c r="AC3536" t="s">
        <v>39465</v>
      </c>
      <c r="AD3536" t="s">
        <v>32</v>
      </c>
      <c r="AE3536" t="s">
        <v>32</v>
      </c>
      <c r="AF3536" t="s">
        <v>46835</v>
      </c>
    </row>
    <row r="3537" spans="1:32" x14ac:dyDescent="0.2">
      <c r="A3537">
        <v>3532</v>
      </c>
      <c r="B3537" t="s">
        <v>39466</v>
      </c>
      <c r="C3537" t="s">
        <v>39467</v>
      </c>
      <c r="D3537" t="s">
        <v>39468</v>
      </c>
      <c r="E3537" t="s">
        <v>39469</v>
      </c>
      <c r="F3537" t="s">
        <v>39470</v>
      </c>
      <c r="G3537" t="s">
        <v>39471</v>
      </c>
      <c r="H3537" t="str">
        <f>"Epn1"</f>
        <v>Epn1</v>
      </c>
      <c r="I3537" t="s">
        <v>32</v>
      </c>
      <c r="J3537" t="s">
        <v>37</v>
      </c>
      <c r="K3537">
        <v>10090</v>
      </c>
      <c r="L3537" s="3" t="str">
        <f>HYPERLINK("http://www.uniprot.org/uniprot/Q80VP1", "Q80VP1")</f>
        <v>Q80VP1</v>
      </c>
      <c r="M3537" t="s">
        <v>39472</v>
      </c>
      <c r="N3537" t="str">
        <f>"Epn1"</f>
        <v>Epn1</v>
      </c>
      <c r="O3537" s="3" t="str">
        <f>HYPERLINK("http://www.informatics.jax.org/marker/MGI:1333763", "MGI:1333763")</f>
        <v>MGI:1333763</v>
      </c>
      <c r="P3537" t="s">
        <v>39473</v>
      </c>
      <c r="Q3537" t="s">
        <v>2822</v>
      </c>
      <c r="R3537" t="s">
        <v>39474</v>
      </c>
      <c r="S3537" t="s">
        <v>41</v>
      </c>
      <c r="T3537" t="s">
        <v>32</v>
      </c>
      <c r="U3537" t="s">
        <v>32</v>
      </c>
      <c r="V3537" t="s">
        <v>55</v>
      </c>
      <c r="W3537" t="s">
        <v>584</v>
      </c>
      <c r="X3537" t="s">
        <v>32</v>
      </c>
      <c r="Y3537" t="s">
        <v>18842</v>
      </c>
      <c r="Z3537" t="s">
        <v>32</v>
      </c>
      <c r="AA3537" t="s">
        <v>39475</v>
      </c>
      <c r="AB3537" t="s">
        <v>39476</v>
      </c>
      <c r="AC3537" t="s">
        <v>39477</v>
      </c>
      <c r="AD3537" t="s">
        <v>32</v>
      </c>
      <c r="AE3537" t="s">
        <v>12166</v>
      </c>
      <c r="AF3537" t="s">
        <v>46835</v>
      </c>
    </row>
    <row r="3538" spans="1:32" x14ac:dyDescent="0.2">
      <c r="A3538">
        <v>3533</v>
      </c>
      <c r="B3538" t="s">
        <v>39478</v>
      </c>
      <c r="C3538" t="s">
        <v>39479</v>
      </c>
      <c r="D3538" t="s">
        <v>39480</v>
      </c>
      <c r="E3538" t="s">
        <v>39481</v>
      </c>
      <c r="F3538" t="s">
        <v>39482</v>
      </c>
      <c r="G3538" t="s">
        <v>39483</v>
      </c>
      <c r="H3538" t="str">
        <f>"Rpe"</f>
        <v>Rpe</v>
      </c>
      <c r="I3538" t="s">
        <v>32</v>
      </c>
      <c r="J3538" t="s">
        <v>37</v>
      </c>
      <c r="K3538">
        <v>10090</v>
      </c>
      <c r="L3538" s="3" t="str">
        <f>HYPERLINK("http://www.uniprot.org/uniprot/Q8VEE0", "Q8VEE0")</f>
        <v>Q8VEE0</v>
      </c>
      <c r="M3538" t="s">
        <v>39484</v>
      </c>
      <c r="N3538" t="str">
        <f>"Rpe"</f>
        <v>Rpe</v>
      </c>
      <c r="O3538" s="3" t="str">
        <f>HYPERLINK("http://www.informatics.jax.org/marker/MGI:1913896", "MGI:1913896")</f>
        <v>MGI:1913896</v>
      </c>
      <c r="P3538" t="s">
        <v>39485</v>
      </c>
      <c r="Q3538" t="s">
        <v>2170</v>
      </c>
      <c r="R3538" t="s">
        <v>32</v>
      </c>
      <c r="S3538" t="s">
        <v>32</v>
      </c>
      <c r="T3538" t="s">
        <v>32</v>
      </c>
      <c r="U3538" t="s">
        <v>32</v>
      </c>
      <c r="V3538" t="s">
        <v>32</v>
      </c>
      <c r="W3538" t="s">
        <v>39486</v>
      </c>
      <c r="X3538" t="s">
        <v>673</v>
      </c>
      <c r="Y3538" t="s">
        <v>78</v>
      </c>
      <c r="Z3538" t="s">
        <v>32</v>
      </c>
      <c r="AA3538" t="s">
        <v>39487</v>
      </c>
      <c r="AB3538" t="s">
        <v>4115</v>
      </c>
      <c r="AC3538" t="s">
        <v>39488</v>
      </c>
      <c r="AD3538" t="s">
        <v>39489</v>
      </c>
      <c r="AE3538" t="s">
        <v>4118</v>
      </c>
      <c r="AF3538" t="s">
        <v>46835</v>
      </c>
    </row>
    <row r="3539" spans="1:32" x14ac:dyDescent="0.2">
      <c r="A3539">
        <v>3534</v>
      </c>
      <c r="B3539" t="s">
        <v>39490</v>
      </c>
      <c r="C3539" t="s">
        <v>39491</v>
      </c>
      <c r="D3539" t="s">
        <v>32</v>
      </c>
      <c r="E3539" t="s">
        <v>39492</v>
      </c>
      <c r="F3539" t="s">
        <v>39493</v>
      </c>
      <c r="G3539" t="s">
        <v>39494</v>
      </c>
      <c r="H3539" t="str">
        <f>"Stx16"</f>
        <v>Stx16</v>
      </c>
      <c r="I3539" t="s">
        <v>32</v>
      </c>
      <c r="J3539" t="s">
        <v>37</v>
      </c>
      <c r="K3539">
        <v>10090</v>
      </c>
      <c r="L3539" s="3" t="str">
        <f>HYPERLINK("http://www.uniprot.org/uniprot/Q8BVI5", "Q8BVI5")</f>
        <v>Q8BVI5</v>
      </c>
      <c r="M3539" t="s">
        <v>39495</v>
      </c>
      <c r="N3539" t="str">
        <f>"Stx16"</f>
        <v>Stx16</v>
      </c>
      <c r="O3539" s="3" t="str">
        <f>HYPERLINK("http://www.informatics.jax.org/marker/MGI:1923396", "MGI:1923396")</f>
        <v>MGI:1923396</v>
      </c>
      <c r="P3539" t="s">
        <v>39496</v>
      </c>
      <c r="Q3539" t="s">
        <v>434</v>
      </c>
      <c r="R3539" t="s">
        <v>13904</v>
      </c>
      <c r="S3539" t="s">
        <v>32</v>
      </c>
      <c r="T3539" t="s">
        <v>32</v>
      </c>
      <c r="U3539" t="s">
        <v>32</v>
      </c>
      <c r="V3539" t="s">
        <v>6500</v>
      </c>
      <c r="W3539" t="s">
        <v>32</v>
      </c>
      <c r="X3539" t="s">
        <v>32</v>
      </c>
      <c r="Y3539" t="s">
        <v>618</v>
      </c>
      <c r="Z3539" t="s">
        <v>32</v>
      </c>
      <c r="AA3539" t="s">
        <v>39497</v>
      </c>
      <c r="AB3539" t="s">
        <v>39498</v>
      </c>
      <c r="AC3539" t="s">
        <v>39499</v>
      </c>
      <c r="AD3539" t="s">
        <v>32</v>
      </c>
      <c r="AE3539" t="s">
        <v>39500</v>
      </c>
      <c r="AF3539" t="s">
        <v>46835</v>
      </c>
    </row>
    <row r="3540" spans="1:32" x14ac:dyDescent="0.2">
      <c r="A3540">
        <v>3535</v>
      </c>
      <c r="B3540" t="s">
        <v>39501</v>
      </c>
      <c r="C3540" t="s">
        <v>39502</v>
      </c>
      <c r="D3540" t="s">
        <v>39503</v>
      </c>
      <c r="E3540" t="s">
        <v>39504</v>
      </c>
      <c r="F3540" t="s">
        <v>39505</v>
      </c>
      <c r="G3540" t="s">
        <v>39506</v>
      </c>
      <c r="H3540" t="str">
        <f>"Acsf3"</f>
        <v>Acsf3</v>
      </c>
      <c r="I3540" t="s">
        <v>32</v>
      </c>
      <c r="J3540" t="s">
        <v>37</v>
      </c>
      <c r="K3540">
        <v>10090</v>
      </c>
      <c r="L3540" s="3" t="str">
        <f>HYPERLINK("http://www.uniprot.org/uniprot/Q3URE1", "Q3URE1")</f>
        <v>Q3URE1</v>
      </c>
      <c r="M3540" t="s">
        <v>39507</v>
      </c>
      <c r="N3540" t="str">
        <f>"Acsf3"</f>
        <v>Acsf3</v>
      </c>
      <c r="O3540" s="3" t="str">
        <f>HYPERLINK("http://www.informatics.jax.org/marker/MGI:2182591", "MGI:2182591")</f>
        <v>MGI:2182591</v>
      </c>
      <c r="P3540" t="s">
        <v>39508</v>
      </c>
      <c r="Q3540" t="s">
        <v>6214</v>
      </c>
      <c r="R3540" t="s">
        <v>1038</v>
      </c>
      <c r="S3540" t="s">
        <v>41</v>
      </c>
      <c r="T3540" t="s">
        <v>32</v>
      </c>
      <c r="U3540" t="s">
        <v>32</v>
      </c>
      <c r="V3540" t="s">
        <v>1039</v>
      </c>
      <c r="W3540" t="s">
        <v>205</v>
      </c>
      <c r="X3540" t="s">
        <v>1022</v>
      </c>
      <c r="Y3540" t="s">
        <v>32</v>
      </c>
      <c r="Z3540" t="s">
        <v>32</v>
      </c>
      <c r="AA3540" t="s">
        <v>39509</v>
      </c>
      <c r="AB3540" t="s">
        <v>15784</v>
      </c>
      <c r="AC3540" t="s">
        <v>39510</v>
      </c>
      <c r="AD3540" t="s">
        <v>32</v>
      </c>
      <c r="AE3540" t="s">
        <v>9931</v>
      </c>
      <c r="AF3540" t="s">
        <v>46835</v>
      </c>
    </row>
    <row r="3541" spans="1:32" x14ac:dyDescent="0.2">
      <c r="A3541">
        <v>3536</v>
      </c>
      <c r="B3541" t="s">
        <v>39511</v>
      </c>
      <c r="C3541" t="s">
        <v>39512</v>
      </c>
      <c r="D3541" t="s">
        <v>39513</v>
      </c>
      <c r="E3541" t="s">
        <v>39514</v>
      </c>
      <c r="F3541" t="s">
        <v>39515</v>
      </c>
      <c r="G3541" t="s">
        <v>32</v>
      </c>
      <c r="H3541" t="str">
        <f>"Znf622"</f>
        <v>Znf622</v>
      </c>
      <c r="I3541" t="s">
        <v>39516</v>
      </c>
      <c r="J3541" t="s">
        <v>37</v>
      </c>
      <c r="K3541">
        <v>10090</v>
      </c>
      <c r="L3541" s="3" t="str">
        <f>HYPERLINK("http://www.uniprot.org/uniprot/Q91VY9", "Q91VY9")</f>
        <v>Q91VY9</v>
      </c>
      <c r="M3541" t="s">
        <v>39517</v>
      </c>
      <c r="N3541" t="str">
        <f>"Zfp622"</f>
        <v>Zfp622</v>
      </c>
      <c r="O3541" s="3" t="str">
        <f>HYPERLINK("http://www.informatics.jax.org/marker/MGI:1289282", "MGI:1289282")</f>
        <v>MGI:1289282</v>
      </c>
      <c r="P3541" t="s">
        <v>39518</v>
      </c>
      <c r="Q3541" t="s">
        <v>6400</v>
      </c>
      <c r="R3541" t="s">
        <v>40</v>
      </c>
      <c r="S3541" t="s">
        <v>32</v>
      </c>
      <c r="T3541" t="s">
        <v>32</v>
      </c>
      <c r="U3541" t="s">
        <v>32</v>
      </c>
      <c r="V3541" t="s">
        <v>3791</v>
      </c>
      <c r="W3541" t="s">
        <v>42</v>
      </c>
      <c r="X3541" t="s">
        <v>32</v>
      </c>
      <c r="Y3541" t="s">
        <v>1023</v>
      </c>
      <c r="Z3541" t="s">
        <v>32</v>
      </c>
      <c r="AA3541" t="s">
        <v>39519</v>
      </c>
      <c r="AB3541" t="s">
        <v>39520</v>
      </c>
      <c r="AC3541" t="s">
        <v>39521</v>
      </c>
      <c r="AD3541" t="s">
        <v>32</v>
      </c>
      <c r="AE3541" t="s">
        <v>32</v>
      </c>
      <c r="AF3541" t="s">
        <v>46835</v>
      </c>
    </row>
    <row r="3542" spans="1:32" x14ac:dyDescent="0.2">
      <c r="A3542">
        <v>3537</v>
      </c>
      <c r="B3542" t="s">
        <v>39522</v>
      </c>
      <c r="C3542" t="s">
        <v>39523</v>
      </c>
      <c r="D3542" t="s">
        <v>39524</v>
      </c>
      <c r="E3542" t="s">
        <v>39525</v>
      </c>
      <c r="F3542" t="s">
        <v>39526</v>
      </c>
      <c r="G3542" t="s">
        <v>39527</v>
      </c>
      <c r="H3542" t="str">
        <f>"Map3k4"</f>
        <v>Map3k4</v>
      </c>
      <c r="I3542" t="s">
        <v>39528</v>
      </c>
      <c r="J3542" t="s">
        <v>37</v>
      </c>
      <c r="K3542">
        <v>10090</v>
      </c>
      <c r="L3542" s="3" t="str">
        <f>HYPERLINK("http://www.uniprot.org/uniprot/O08648", "O08648")</f>
        <v>O08648</v>
      </c>
      <c r="M3542" t="s">
        <v>39529</v>
      </c>
      <c r="N3542" t="str">
        <f>"Map3k4"</f>
        <v>Map3k4</v>
      </c>
      <c r="O3542" s="3" t="str">
        <f>HYPERLINK("http://www.informatics.jax.org/marker/MGI:1346875", "MGI:1346875")</f>
        <v>MGI:1346875</v>
      </c>
      <c r="P3542" t="s">
        <v>39530</v>
      </c>
      <c r="Q3542" t="s">
        <v>32</v>
      </c>
      <c r="R3542" t="s">
        <v>418</v>
      </c>
      <c r="S3542" t="s">
        <v>41</v>
      </c>
      <c r="T3542" t="s">
        <v>32</v>
      </c>
      <c r="U3542" t="s">
        <v>32</v>
      </c>
      <c r="V3542" t="s">
        <v>32</v>
      </c>
      <c r="W3542" t="s">
        <v>1266</v>
      </c>
      <c r="X3542" t="s">
        <v>5419</v>
      </c>
      <c r="Y3542" t="s">
        <v>618</v>
      </c>
      <c r="Z3542" t="s">
        <v>32</v>
      </c>
      <c r="AA3542" t="s">
        <v>39531</v>
      </c>
      <c r="AB3542" t="s">
        <v>15309</v>
      </c>
      <c r="AC3542" t="s">
        <v>39532</v>
      </c>
      <c r="AD3542" t="s">
        <v>32</v>
      </c>
      <c r="AE3542" t="s">
        <v>32</v>
      </c>
      <c r="AF3542" t="s">
        <v>46835</v>
      </c>
    </row>
    <row r="3543" spans="1:32" x14ac:dyDescent="0.2">
      <c r="A3543">
        <v>3538</v>
      </c>
      <c r="B3543" t="s">
        <v>39533</v>
      </c>
      <c r="C3543" t="s">
        <v>39534</v>
      </c>
      <c r="D3543" t="s">
        <v>32</v>
      </c>
      <c r="E3543" t="s">
        <v>39535</v>
      </c>
      <c r="F3543" t="s">
        <v>39536</v>
      </c>
      <c r="G3543" t="s">
        <v>39537</v>
      </c>
      <c r="H3543" t="str">
        <f>"Phyhd1"</f>
        <v>Phyhd1</v>
      </c>
      <c r="I3543" t="s">
        <v>32</v>
      </c>
      <c r="J3543" t="s">
        <v>37</v>
      </c>
      <c r="K3543">
        <v>10090</v>
      </c>
      <c r="L3543" s="3" t="str">
        <f>HYPERLINK("http://www.uniprot.org/uniprot/Q9DB26", "Q9DB26")</f>
        <v>Q9DB26</v>
      </c>
      <c r="M3543" t="s">
        <v>39538</v>
      </c>
      <c r="N3543" t="str">
        <f>"Phyhd1"</f>
        <v>Phyhd1</v>
      </c>
      <c r="O3543" s="3" t="str">
        <f>HYPERLINK("http://www.informatics.jax.org/marker/MGI:3612860", "MGI:3612860")</f>
        <v>MGI:3612860</v>
      </c>
      <c r="P3543" t="s">
        <v>39539</v>
      </c>
      <c r="Q3543" t="s">
        <v>32</v>
      </c>
      <c r="R3543" t="s">
        <v>32</v>
      </c>
      <c r="S3543" t="s">
        <v>32</v>
      </c>
      <c r="T3543" t="s">
        <v>32</v>
      </c>
      <c r="U3543" t="s">
        <v>32</v>
      </c>
      <c r="V3543" t="s">
        <v>32</v>
      </c>
      <c r="W3543" t="s">
        <v>845</v>
      </c>
      <c r="X3543" t="s">
        <v>3732</v>
      </c>
      <c r="Y3543" t="s">
        <v>618</v>
      </c>
      <c r="Z3543" t="s">
        <v>32</v>
      </c>
      <c r="AA3543" t="s">
        <v>32</v>
      </c>
      <c r="AB3543" t="s">
        <v>32</v>
      </c>
      <c r="AC3543" t="s">
        <v>39540</v>
      </c>
      <c r="AD3543" t="s">
        <v>32</v>
      </c>
      <c r="AE3543" t="s">
        <v>32</v>
      </c>
      <c r="AF3543" t="s">
        <v>46835</v>
      </c>
    </row>
    <row r="3544" spans="1:32" x14ac:dyDescent="0.2">
      <c r="A3544">
        <v>3539</v>
      </c>
      <c r="B3544" t="s">
        <v>39541</v>
      </c>
      <c r="C3544" t="s">
        <v>39542</v>
      </c>
      <c r="D3544" t="s">
        <v>39543</v>
      </c>
      <c r="E3544" t="s">
        <v>39544</v>
      </c>
      <c r="F3544" t="s">
        <v>39545</v>
      </c>
      <c r="G3544" t="s">
        <v>39546</v>
      </c>
      <c r="H3544" t="str">
        <f>"Gcc1"</f>
        <v>Gcc1</v>
      </c>
      <c r="I3544" t="s">
        <v>32</v>
      </c>
      <c r="J3544" t="s">
        <v>37</v>
      </c>
      <c r="K3544">
        <v>10090</v>
      </c>
      <c r="L3544" s="3" t="str">
        <f>HYPERLINK("http://www.uniprot.org/uniprot/Q9D4H2", "Q9D4H2")</f>
        <v>Q9D4H2</v>
      </c>
      <c r="M3544" t="s">
        <v>39547</v>
      </c>
      <c r="N3544" t="str">
        <f>"Gcc1"</f>
        <v>Gcc1</v>
      </c>
      <c r="O3544" s="3" t="str">
        <f>HYPERLINK("http://www.informatics.jax.org/marker/MGI:1921625", "MGI:1921625")</f>
        <v>MGI:1921625</v>
      </c>
      <c r="P3544" t="s">
        <v>39548</v>
      </c>
      <c r="Q3544" t="s">
        <v>32</v>
      </c>
      <c r="R3544" t="s">
        <v>7998</v>
      </c>
      <c r="S3544" t="s">
        <v>32</v>
      </c>
      <c r="T3544" t="s">
        <v>32</v>
      </c>
      <c r="U3544" t="s">
        <v>32</v>
      </c>
      <c r="V3544" t="s">
        <v>290</v>
      </c>
      <c r="W3544" t="s">
        <v>32</v>
      </c>
      <c r="X3544" t="s">
        <v>32</v>
      </c>
      <c r="Y3544" t="s">
        <v>32</v>
      </c>
      <c r="Z3544" t="s">
        <v>32</v>
      </c>
      <c r="AA3544" t="s">
        <v>32</v>
      </c>
      <c r="AB3544" t="s">
        <v>39549</v>
      </c>
      <c r="AC3544" t="s">
        <v>32</v>
      </c>
      <c r="AD3544" t="s">
        <v>32</v>
      </c>
      <c r="AE3544" t="s">
        <v>10808</v>
      </c>
      <c r="AF3544" t="s">
        <v>46835</v>
      </c>
    </row>
    <row r="3545" spans="1:32" x14ac:dyDescent="0.2">
      <c r="A3545">
        <v>3540</v>
      </c>
      <c r="B3545" t="s">
        <v>39550</v>
      </c>
      <c r="C3545" t="s">
        <v>39551</v>
      </c>
      <c r="D3545" t="s">
        <v>39552</v>
      </c>
      <c r="E3545" t="s">
        <v>39553</v>
      </c>
      <c r="F3545" t="s">
        <v>39554</v>
      </c>
      <c r="G3545" t="s">
        <v>39555</v>
      </c>
      <c r="H3545" t="str">
        <f>"Alg1"</f>
        <v>Alg1</v>
      </c>
      <c r="I3545" t="s">
        <v>32</v>
      </c>
      <c r="J3545" t="s">
        <v>37</v>
      </c>
      <c r="K3545">
        <v>10090</v>
      </c>
      <c r="L3545" s="3" t="str">
        <f>HYPERLINK("http://www.uniprot.org/uniprot/Q921Q3", "Q921Q3")</f>
        <v>Q921Q3</v>
      </c>
      <c r="M3545" t="s">
        <v>39556</v>
      </c>
      <c r="N3545" t="str">
        <f>"Alg1"</f>
        <v>Alg1</v>
      </c>
      <c r="O3545" s="3" t="str">
        <f>HYPERLINK("http://www.informatics.jax.org/marker/MGI:2384774", "MGI:2384774")</f>
        <v>MGI:2384774</v>
      </c>
      <c r="P3545" t="s">
        <v>39557</v>
      </c>
      <c r="Q3545" t="s">
        <v>32</v>
      </c>
      <c r="R3545" t="s">
        <v>1664</v>
      </c>
      <c r="S3545" t="s">
        <v>41</v>
      </c>
      <c r="T3545" t="s">
        <v>32</v>
      </c>
      <c r="U3545" t="s">
        <v>32</v>
      </c>
      <c r="V3545" t="s">
        <v>1550</v>
      </c>
      <c r="W3545" t="s">
        <v>32</v>
      </c>
      <c r="X3545" t="s">
        <v>2362</v>
      </c>
      <c r="Y3545" t="s">
        <v>618</v>
      </c>
      <c r="Z3545" t="s">
        <v>32</v>
      </c>
      <c r="AA3545" t="s">
        <v>39558</v>
      </c>
      <c r="AB3545" t="s">
        <v>16952</v>
      </c>
      <c r="AC3545" t="s">
        <v>39559</v>
      </c>
      <c r="AD3545" t="s">
        <v>3952</v>
      </c>
      <c r="AE3545" t="s">
        <v>19614</v>
      </c>
      <c r="AF3545" t="s">
        <v>46835</v>
      </c>
    </row>
    <row r="3546" spans="1:32" x14ac:dyDescent="0.2">
      <c r="A3546">
        <v>3541</v>
      </c>
      <c r="B3546" t="s">
        <v>39560</v>
      </c>
      <c r="C3546" t="s">
        <v>39561</v>
      </c>
      <c r="D3546" t="s">
        <v>32</v>
      </c>
      <c r="E3546" t="s">
        <v>39562</v>
      </c>
      <c r="F3546" t="s">
        <v>39563</v>
      </c>
      <c r="G3546" t="s">
        <v>39564</v>
      </c>
      <c r="H3546" t="str">
        <f>"Mrpl14"</f>
        <v>Mrpl14</v>
      </c>
      <c r="I3546" t="s">
        <v>32</v>
      </c>
      <c r="J3546" t="s">
        <v>37</v>
      </c>
      <c r="K3546">
        <v>10090</v>
      </c>
      <c r="L3546" s="3" t="str">
        <f>HYPERLINK("http://www.uniprot.org/uniprot/Q9D1I6", "Q9D1I6")</f>
        <v>Q9D1I6</v>
      </c>
      <c r="M3546" t="s">
        <v>39565</v>
      </c>
      <c r="N3546" t="str">
        <f>"Mrpl14"</f>
        <v>Mrpl14</v>
      </c>
      <c r="O3546" s="3" t="str">
        <f>HYPERLINK("http://www.informatics.jax.org/marker/MGI:1333864", "MGI:1333864")</f>
        <v>MGI:1333864</v>
      </c>
      <c r="P3546" t="s">
        <v>24765</v>
      </c>
      <c r="Q3546" t="s">
        <v>32</v>
      </c>
      <c r="R3546" t="s">
        <v>1038</v>
      </c>
      <c r="S3546" t="s">
        <v>32</v>
      </c>
      <c r="T3546" t="s">
        <v>32</v>
      </c>
      <c r="U3546" t="s">
        <v>32</v>
      </c>
      <c r="V3546" t="s">
        <v>1039</v>
      </c>
      <c r="W3546" t="s">
        <v>32</v>
      </c>
      <c r="X3546" t="s">
        <v>447</v>
      </c>
      <c r="Y3546" t="s">
        <v>32</v>
      </c>
      <c r="Z3546" t="s">
        <v>32</v>
      </c>
      <c r="AA3546" t="s">
        <v>23519</v>
      </c>
      <c r="AB3546" t="s">
        <v>27223</v>
      </c>
      <c r="AC3546" t="s">
        <v>1010</v>
      </c>
      <c r="AD3546" t="s">
        <v>32</v>
      </c>
      <c r="AE3546" t="s">
        <v>17271</v>
      </c>
      <c r="AF3546" t="s">
        <v>46835</v>
      </c>
    </row>
    <row r="3547" spans="1:32" x14ac:dyDescent="0.2">
      <c r="A3547">
        <v>3542</v>
      </c>
      <c r="B3547" t="s">
        <v>39566</v>
      </c>
      <c r="C3547" t="s">
        <v>39567</v>
      </c>
      <c r="D3547" t="s">
        <v>39568</v>
      </c>
      <c r="E3547" t="s">
        <v>39569</v>
      </c>
      <c r="F3547" t="s">
        <v>39570</v>
      </c>
      <c r="G3547" t="s">
        <v>32</v>
      </c>
      <c r="H3547" t="str">
        <f>"Crabp2"</f>
        <v>Crabp2</v>
      </c>
      <c r="I3547" t="s">
        <v>32</v>
      </c>
      <c r="J3547" t="s">
        <v>37</v>
      </c>
      <c r="K3547">
        <v>10090</v>
      </c>
      <c r="L3547" s="3" t="str">
        <f>HYPERLINK("http://www.uniprot.org/uniprot/P22935", "P22935")</f>
        <v>P22935</v>
      </c>
      <c r="M3547" t="s">
        <v>39571</v>
      </c>
      <c r="N3547" t="str">
        <f>"Crabp2"</f>
        <v>Crabp2</v>
      </c>
      <c r="O3547" s="3" t="str">
        <f>HYPERLINK("http://www.informatics.jax.org/marker/MGI:88491", "MGI:88491")</f>
        <v>MGI:88491</v>
      </c>
      <c r="P3547" t="s">
        <v>39572</v>
      </c>
      <c r="Q3547" t="s">
        <v>4425</v>
      </c>
      <c r="R3547" t="s">
        <v>729</v>
      </c>
      <c r="S3547" t="s">
        <v>32</v>
      </c>
      <c r="T3547" t="s">
        <v>32</v>
      </c>
      <c r="U3547" t="s">
        <v>32</v>
      </c>
      <c r="V3547" t="s">
        <v>32</v>
      </c>
      <c r="W3547" t="s">
        <v>14041</v>
      </c>
      <c r="X3547" t="s">
        <v>32</v>
      </c>
      <c r="Y3547" t="s">
        <v>7792</v>
      </c>
      <c r="Z3547" t="s">
        <v>32</v>
      </c>
      <c r="AA3547" t="s">
        <v>39573</v>
      </c>
      <c r="AB3547" t="s">
        <v>39574</v>
      </c>
      <c r="AC3547" t="s">
        <v>39575</v>
      </c>
      <c r="AD3547" t="s">
        <v>32</v>
      </c>
      <c r="AE3547" t="s">
        <v>39576</v>
      </c>
      <c r="AF3547" t="s">
        <v>46835</v>
      </c>
    </row>
    <row r="3548" spans="1:32" x14ac:dyDescent="0.2">
      <c r="A3548">
        <v>3543</v>
      </c>
      <c r="B3548" t="s">
        <v>39577</v>
      </c>
      <c r="C3548" t="s">
        <v>39578</v>
      </c>
      <c r="D3548" t="s">
        <v>39579</v>
      </c>
      <c r="E3548" t="s">
        <v>39580</v>
      </c>
      <c r="F3548" t="s">
        <v>39581</v>
      </c>
      <c r="G3548" t="s">
        <v>39582</v>
      </c>
      <c r="H3548" t="str">
        <f>"Acyp1"</f>
        <v>Acyp1</v>
      </c>
      <c r="I3548" t="s">
        <v>39583</v>
      </c>
      <c r="J3548" t="s">
        <v>37</v>
      </c>
      <c r="K3548">
        <v>10090</v>
      </c>
      <c r="L3548" s="3" t="str">
        <f>HYPERLINK("http://www.uniprot.org/uniprot/P56376", "P56376")</f>
        <v>P56376</v>
      </c>
      <c r="M3548" t="s">
        <v>39584</v>
      </c>
      <c r="N3548" t="str">
        <f>"Acyp1"</f>
        <v>Acyp1</v>
      </c>
      <c r="O3548" s="3" t="str">
        <f>HYPERLINK("http://www.informatics.jax.org/marker/MGI:1913454", "MGI:1913454")</f>
        <v>MGI:1913454</v>
      </c>
      <c r="P3548" t="s">
        <v>39585</v>
      </c>
      <c r="Q3548" t="s">
        <v>32</v>
      </c>
      <c r="R3548" t="s">
        <v>32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343</v>
      </c>
      <c r="Y3548" t="s">
        <v>78</v>
      </c>
      <c r="Z3548" t="s">
        <v>32</v>
      </c>
      <c r="AA3548" t="s">
        <v>32</v>
      </c>
      <c r="AB3548" t="s">
        <v>32</v>
      </c>
      <c r="AC3548" t="s">
        <v>39586</v>
      </c>
      <c r="AD3548" t="s">
        <v>32</v>
      </c>
      <c r="AE3548" t="s">
        <v>32</v>
      </c>
      <c r="AF3548" t="s">
        <v>46835</v>
      </c>
    </row>
    <row r="3549" spans="1:32" x14ac:dyDescent="0.2">
      <c r="A3549">
        <v>3544</v>
      </c>
      <c r="B3549" t="s">
        <v>39587</v>
      </c>
      <c r="C3549" t="s">
        <v>39588</v>
      </c>
      <c r="D3549" t="s">
        <v>39589</v>
      </c>
      <c r="E3549" t="s">
        <v>39590</v>
      </c>
      <c r="F3549" t="s">
        <v>39591</v>
      </c>
      <c r="G3549" t="s">
        <v>32</v>
      </c>
      <c r="H3549" t="str">
        <f>"Gmpr"</f>
        <v>Gmpr</v>
      </c>
      <c r="I3549" t="s">
        <v>39592</v>
      </c>
      <c r="J3549" t="s">
        <v>37</v>
      </c>
      <c r="K3549">
        <v>10090</v>
      </c>
      <c r="L3549" s="3" t="str">
        <f>HYPERLINK("http://www.uniprot.org/uniprot/Q9DCZ1", "Q9DCZ1")</f>
        <v>Q9DCZ1</v>
      </c>
      <c r="M3549" t="s">
        <v>39593</v>
      </c>
      <c r="N3549" t="str">
        <f>"Gmpr"</f>
        <v>Gmpr</v>
      </c>
      <c r="O3549" s="3" t="str">
        <f>HYPERLINK("http://www.informatics.jax.org/marker/MGI:1913605", "MGI:1913605")</f>
        <v>MGI:1913605</v>
      </c>
      <c r="P3549" t="s">
        <v>39594</v>
      </c>
      <c r="Q3549" t="s">
        <v>26409</v>
      </c>
      <c r="R3549" t="s">
        <v>32</v>
      </c>
      <c r="S3549" t="s">
        <v>32</v>
      </c>
      <c r="T3549" t="s">
        <v>32</v>
      </c>
      <c r="U3549" t="s">
        <v>32</v>
      </c>
      <c r="V3549" t="s">
        <v>32</v>
      </c>
      <c r="W3549" t="s">
        <v>26410</v>
      </c>
      <c r="X3549" t="s">
        <v>600</v>
      </c>
      <c r="Y3549" t="s">
        <v>618</v>
      </c>
      <c r="Z3549" t="s">
        <v>32</v>
      </c>
      <c r="AA3549" t="s">
        <v>39595</v>
      </c>
      <c r="AB3549" t="s">
        <v>26412</v>
      </c>
      <c r="AC3549" t="s">
        <v>26413</v>
      </c>
      <c r="AD3549" t="s">
        <v>32</v>
      </c>
      <c r="AE3549" t="s">
        <v>10568</v>
      </c>
      <c r="AF3549" t="s">
        <v>46835</v>
      </c>
    </row>
    <row r="3550" spans="1:32" x14ac:dyDescent="0.2">
      <c r="A3550">
        <v>3545</v>
      </c>
      <c r="B3550" t="s">
        <v>39596</v>
      </c>
      <c r="C3550" t="s">
        <v>39597</v>
      </c>
      <c r="D3550" t="s">
        <v>39598</v>
      </c>
      <c r="E3550" t="s">
        <v>39599</v>
      </c>
      <c r="F3550" t="s">
        <v>39600</v>
      </c>
      <c r="G3550" t="s">
        <v>39601</v>
      </c>
      <c r="H3550" t="str">
        <f>"Strn4"</f>
        <v>Strn4</v>
      </c>
      <c r="I3550" t="s">
        <v>39602</v>
      </c>
      <c r="J3550" t="s">
        <v>37</v>
      </c>
      <c r="K3550">
        <v>10090</v>
      </c>
      <c r="L3550" s="3" t="str">
        <f>HYPERLINK("http://www.uniprot.org/uniprot/P58404", "P58404")</f>
        <v>P58404</v>
      </c>
      <c r="M3550" t="s">
        <v>39603</v>
      </c>
      <c r="N3550" t="str">
        <f>"Strn4"</f>
        <v>Strn4</v>
      </c>
      <c r="O3550" s="3" t="str">
        <f>HYPERLINK("http://www.informatics.jax.org/marker/MGI:2142346", "MGI:2142346")</f>
        <v>MGI:2142346</v>
      </c>
      <c r="P3550" t="s">
        <v>39604</v>
      </c>
      <c r="Q3550" t="s">
        <v>32</v>
      </c>
      <c r="R3550" t="s">
        <v>26930</v>
      </c>
      <c r="S3550" t="s">
        <v>41</v>
      </c>
      <c r="T3550" t="s">
        <v>32</v>
      </c>
      <c r="U3550" t="s">
        <v>32</v>
      </c>
      <c r="V3550" t="s">
        <v>3167</v>
      </c>
      <c r="W3550" t="s">
        <v>32</v>
      </c>
      <c r="X3550" t="s">
        <v>1926</v>
      </c>
      <c r="Y3550" t="s">
        <v>618</v>
      </c>
      <c r="Z3550" t="s">
        <v>32</v>
      </c>
      <c r="AA3550" t="s">
        <v>32</v>
      </c>
      <c r="AB3550" t="s">
        <v>39605</v>
      </c>
      <c r="AC3550" t="s">
        <v>39606</v>
      </c>
      <c r="AD3550" t="s">
        <v>32</v>
      </c>
      <c r="AE3550" t="s">
        <v>32</v>
      </c>
      <c r="AF3550" t="s">
        <v>46835</v>
      </c>
    </row>
    <row r="3551" spans="1:32" x14ac:dyDescent="0.2">
      <c r="A3551">
        <v>3546</v>
      </c>
      <c r="B3551" t="s">
        <v>39607</v>
      </c>
      <c r="C3551" t="s">
        <v>39608</v>
      </c>
      <c r="D3551" t="s">
        <v>39609</v>
      </c>
      <c r="E3551" t="s">
        <v>39610</v>
      </c>
      <c r="F3551" t="s">
        <v>39611</v>
      </c>
      <c r="G3551" t="s">
        <v>39612</v>
      </c>
      <c r="H3551" t="str">
        <f>"Maea"</f>
        <v>Maea</v>
      </c>
      <c r="I3551" t="s">
        <v>39613</v>
      </c>
      <c r="J3551" t="s">
        <v>37</v>
      </c>
      <c r="K3551">
        <v>10090</v>
      </c>
      <c r="L3551" s="3" t="str">
        <f>HYPERLINK("http://www.uniprot.org/uniprot/Q4VC33", "Q4VC33")</f>
        <v>Q4VC33</v>
      </c>
      <c r="M3551" t="s">
        <v>39614</v>
      </c>
      <c r="N3551" t="str">
        <f>"Maea"</f>
        <v>Maea</v>
      </c>
      <c r="O3551" s="3" t="str">
        <f>HYPERLINK("http://www.informatics.jax.org/marker/MGI:1891748", "MGI:1891748")</f>
        <v>MGI:1891748</v>
      </c>
      <c r="P3551" t="s">
        <v>39615</v>
      </c>
      <c r="Q3551" t="s">
        <v>39616</v>
      </c>
      <c r="R3551" t="s">
        <v>17725</v>
      </c>
      <c r="S3551" t="s">
        <v>41</v>
      </c>
      <c r="T3551" t="s">
        <v>32</v>
      </c>
      <c r="U3551" t="s">
        <v>32</v>
      </c>
      <c r="V3551" t="s">
        <v>446</v>
      </c>
      <c r="W3551" t="s">
        <v>42</v>
      </c>
      <c r="X3551" t="s">
        <v>39617</v>
      </c>
      <c r="Y3551" t="s">
        <v>2836</v>
      </c>
      <c r="Z3551" t="s">
        <v>32</v>
      </c>
      <c r="AA3551" t="s">
        <v>39618</v>
      </c>
      <c r="AB3551" t="s">
        <v>39619</v>
      </c>
      <c r="AC3551" t="s">
        <v>39620</v>
      </c>
      <c r="AD3551" t="s">
        <v>32</v>
      </c>
      <c r="AE3551" t="s">
        <v>32</v>
      </c>
      <c r="AF3551" t="s">
        <v>46835</v>
      </c>
    </row>
    <row r="3552" spans="1:32" x14ac:dyDescent="0.2">
      <c r="A3552">
        <v>3547</v>
      </c>
      <c r="B3552" t="s">
        <v>39621</v>
      </c>
      <c r="C3552" t="s">
        <v>39622</v>
      </c>
      <c r="D3552" t="s">
        <v>32</v>
      </c>
      <c r="E3552" t="s">
        <v>39623</v>
      </c>
      <c r="F3552" t="s">
        <v>39624</v>
      </c>
      <c r="G3552" t="s">
        <v>39625</v>
      </c>
      <c r="H3552" t="str">
        <f>"Bysl"</f>
        <v>Bysl</v>
      </c>
      <c r="I3552" t="s">
        <v>32</v>
      </c>
      <c r="J3552" t="s">
        <v>37</v>
      </c>
      <c r="K3552">
        <v>10090</v>
      </c>
      <c r="L3552" s="3" t="str">
        <f>HYPERLINK("http://www.uniprot.org/uniprot/O54825", "O54825")</f>
        <v>O54825</v>
      </c>
      <c r="M3552" t="s">
        <v>39626</v>
      </c>
      <c r="N3552" t="str">
        <f>"Bysl"</f>
        <v>Bysl</v>
      </c>
      <c r="O3552" s="3" t="str">
        <f>HYPERLINK("http://www.informatics.jax.org/marker/MGI:1858419", "MGI:1858419")</f>
        <v>MGI:1858419</v>
      </c>
      <c r="P3552" t="s">
        <v>39627</v>
      </c>
      <c r="Q3552" t="s">
        <v>6400</v>
      </c>
      <c r="R3552" t="s">
        <v>40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32</v>
      </c>
      <c r="Y3552" t="s">
        <v>2734</v>
      </c>
      <c r="Z3552" t="s">
        <v>32</v>
      </c>
      <c r="AA3552" t="s">
        <v>39628</v>
      </c>
      <c r="AB3552" t="s">
        <v>39629</v>
      </c>
      <c r="AC3552" t="s">
        <v>23078</v>
      </c>
      <c r="AD3552" t="s">
        <v>32</v>
      </c>
      <c r="AE3552" t="s">
        <v>960</v>
      </c>
      <c r="AF3552" t="s">
        <v>46835</v>
      </c>
    </row>
    <row r="3553" spans="1:33" x14ac:dyDescent="0.2">
      <c r="A3553">
        <v>3548</v>
      </c>
      <c r="B3553" t="s">
        <v>39630</v>
      </c>
      <c r="C3553" t="s">
        <v>39631</v>
      </c>
      <c r="D3553" t="s">
        <v>39632</v>
      </c>
      <c r="E3553" t="s">
        <v>39633</v>
      </c>
      <c r="F3553" t="s">
        <v>39634</v>
      </c>
      <c r="G3553" t="s">
        <v>39635</v>
      </c>
      <c r="H3553" t="str">
        <f>"Rcor2"</f>
        <v>Rcor2</v>
      </c>
      <c r="I3553" t="s">
        <v>32</v>
      </c>
      <c r="J3553" t="s">
        <v>37</v>
      </c>
      <c r="K3553">
        <v>10090</v>
      </c>
      <c r="L3553" s="3" t="str">
        <f>HYPERLINK("http://www.uniprot.org/uniprot/Q8C796", "Q8C796")</f>
        <v>Q8C796</v>
      </c>
      <c r="M3553" t="s">
        <v>39636</v>
      </c>
      <c r="N3553" t="str">
        <f>"Rcor2"</f>
        <v>Rcor2</v>
      </c>
      <c r="O3553" s="3" t="str">
        <f>HYPERLINK("http://www.informatics.jax.org/marker/MGI:1859854", "MGI:1859854")</f>
        <v>MGI:1859854</v>
      </c>
      <c r="P3553" t="s">
        <v>39637</v>
      </c>
      <c r="Q3553" t="s">
        <v>4152</v>
      </c>
      <c r="R3553" t="s">
        <v>2279</v>
      </c>
      <c r="S3553" t="s">
        <v>32</v>
      </c>
      <c r="T3553" t="s">
        <v>32</v>
      </c>
      <c r="U3553" t="s">
        <v>32</v>
      </c>
      <c r="V3553" t="s">
        <v>137</v>
      </c>
      <c r="W3553" t="s">
        <v>32</v>
      </c>
      <c r="X3553" t="s">
        <v>5195</v>
      </c>
      <c r="Y3553" t="s">
        <v>2192</v>
      </c>
      <c r="Z3553" t="s">
        <v>32</v>
      </c>
      <c r="AA3553" t="s">
        <v>39638</v>
      </c>
      <c r="AB3553" t="s">
        <v>39639</v>
      </c>
      <c r="AC3553" t="s">
        <v>39640</v>
      </c>
      <c r="AD3553" t="s">
        <v>32</v>
      </c>
      <c r="AE3553" t="s">
        <v>32</v>
      </c>
      <c r="AF3553" t="s">
        <v>46835</v>
      </c>
    </row>
    <row r="3554" spans="1:33" x14ac:dyDescent="0.2">
      <c r="A3554">
        <v>3549</v>
      </c>
      <c r="B3554" t="s">
        <v>39641</v>
      </c>
      <c r="C3554" t="s">
        <v>39642</v>
      </c>
      <c r="D3554" t="s">
        <v>32</v>
      </c>
      <c r="E3554" t="s">
        <v>39643</v>
      </c>
      <c r="F3554" t="s">
        <v>39644</v>
      </c>
      <c r="G3554" t="s">
        <v>39645</v>
      </c>
      <c r="H3554" t="str">
        <f>"Rabepk"</f>
        <v>Rabepk</v>
      </c>
      <c r="I3554" t="s">
        <v>32</v>
      </c>
      <c r="J3554" t="s">
        <v>37</v>
      </c>
      <c r="K3554">
        <v>10090</v>
      </c>
      <c r="L3554" s="3" t="str">
        <f>HYPERLINK("http://www.uniprot.org/uniprot/Q8VCH5", "Q8VCH5")</f>
        <v>Q8VCH5</v>
      </c>
      <c r="M3554" t="s">
        <v>39646</v>
      </c>
      <c r="N3554" t="str">
        <f>"Rabepk"</f>
        <v>Rabepk</v>
      </c>
      <c r="O3554" s="3" t="str">
        <f>HYPERLINK("http://www.informatics.jax.org/marker/MGI:2139530", "MGI:2139530")</f>
        <v>MGI:2139530</v>
      </c>
      <c r="P3554" t="s">
        <v>39647</v>
      </c>
      <c r="Q3554" t="s">
        <v>32</v>
      </c>
      <c r="R3554" t="s">
        <v>6558</v>
      </c>
      <c r="S3554" t="s">
        <v>32</v>
      </c>
      <c r="T3554" t="s">
        <v>32</v>
      </c>
      <c r="U3554" t="s">
        <v>32</v>
      </c>
      <c r="V3554" t="s">
        <v>11766</v>
      </c>
      <c r="W3554" t="s">
        <v>32</v>
      </c>
      <c r="X3554" t="s">
        <v>32</v>
      </c>
      <c r="Y3554" t="s">
        <v>618</v>
      </c>
      <c r="Z3554" t="s">
        <v>32</v>
      </c>
      <c r="AA3554" t="s">
        <v>32</v>
      </c>
      <c r="AB3554" t="s">
        <v>39648</v>
      </c>
      <c r="AC3554" t="s">
        <v>32</v>
      </c>
      <c r="AD3554" t="s">
        <v>32</v>
      </c>
      <c r="AE3554" t="s">
        <v>10808</v>
      </c>
      <c r="AF3554" t="s">
        <v>46835</v>
      </c>
    </row>
    <row r="3555" spans="1:33" x14ac:dyDescent="0.2">
      <c r="A3555">
        <v>3550</v>
      </c>
      <c r="B3555" t="s">
        <v>39649</v>
      </c>
      <c r="C3555" t="s">
        <v>39650</v>
      </c>
      <c r="D3555" t="s">
        <v>39651</v>
      </c>
      <c r="E3555" t="s">
        <v>39652</v>
      </c>
      <c r="F3555" t="s">
        <v>39653</v>
      </c>
      <c r="G3555" t="s">
        <v>39654</v>
      </c>
      <c r="H3555" t="str">
        <f>"N6amt1"</f>
        <v>N6amt1</v>
      </c>
      <c r="I3555" t="s">
        <v>32</v>
      </c>
      <c r="J3555" t="s">
        <v>37</v>
      </c>
      <c r="K3555">
        <v>10090</v>
      </c>
      <c r="L3555" s="3" t="str">
        <f>HYPERLINK("http://www.uniprot.org/uniprot/Q6SKR2", "Q6SKR2")</f>
        <v>Q6SKR2</v>
      </c>
      <c r="M3555" t="s">
        <v>39655</v>
      </c>
      <c r="N3555" t="str">
        <f>"N6amt1"</f>
        <v>N6amt1</v>
      </c>
      <c r="O3555" s="3" t="str">
        <f>HYPERLINK("http://www.informatics.jax.org/marker/MGI:1915018", "MGI:1915018")</f>
        <v>MGI:1915018</v>
      </c>
      <c r="P3555" t="s">
        <v>39656</v>
      </c>
      <c r="Q3555" t="s">
        <v>32</v>
      </c>
      <c r="R3555" t="s">
        <v>2279</v>
      </c>
      <c r="S3555" t="s">
        <v>41</v>
      </c>
      <c r="T3555" t="s">
        <v>32</v>
      </c>
      <c r="U3555" t="s">
        <v>32</v>
      </c>
      <c r="V3555" t="s">
        <v>32</v>
      </c>
      <c r="W3555" t="s">
        <v>1705</v>
      </c>
      <c r="X3555" t="s">
        <v>17918</v>
      </c>
      <c r="Y3555" t="s">
        <v>5599</v>
      </c>
      <c r="Z3555" t="s">
        <v>32</v>
      </c>
      <c r="AA3555" t="s">
        <v>39657</v>
      </c>
      <c r="AB3555" t="s">
        <v>39658</v>
      </c>
      <c r="AC3555" t="s">
        <v>39659</v>
      </c>
      <c r="AD3555" t="s">
        <v>32</v>
      </c>
      <c r="AE3555" t="s">
        <v>22410</v>
      </c>
      <c r="AF3555" t="s">
        <v>46835</v>
      </c>
    </row>
    <row r="3556" spans="1:33" x14ac:dyDescent="0.2">
      <c r="A3556">
        <v>3551</v>
      </c>
      <c r="B3556" t="s">
        <v>39660</v>
      </c>
      <c r="C3556" t="s">
        <v>39661</v>
      </c>
      <c r="D3556" t="s">
        <v>32</v>
      </c>
      <c r="E3556" t="s">
        <v>39662</v>
      </c>
      <c r="F3556" t="s">
        <v>39663</v>
      </c>
      <c r="G3556" t="s">
        <v>39664</v>
      </c>
      <c r="H3556" t="str">
        <f>"Stx17"</f>
        <v>Stx17</v>
      </c>
      <c r="I3556" t="s">
        <v>32</v>
      </c>
      <c r="J3556" t="s">
        <v>37</v>
      </c>
      <c r="K3556">
        <v>10090</v>
      </c>
      <c r="L3556" s="3" t="str">
        <f>HYPERLINK("http://www.uniprot.org/uniprot/Q9D0I4", "Q9D0I4")</f>
        <v>Q9D0I4</v>
      </c>
      <c r="M3556" t="s">
        <v>39665</v>
      </c>
      <c r="N3556" t="str">
        <f>"Stx17"</f>
        <v>Stx17</v>
      </c>
      <c r="O3556" s="3" t="str">
        <f>HYPERLINK("http://www.informatics.jax.org/marker/MGI:1914977", "MGI:1914977")</f>
        <v>MGI:1914977</v>
      </c>
      <c r="P3556" t="s">
        <v>39666</v>
      </c>
      <c r="Q3556" t="s">
        <v>39667</v>
      </c>
      <c r="R3556" t="s">
        <v>39668</v>
      </c>
      <c r="S3556" t="s">
        <v>32</v>
      </c>
      <c r="T3556" t="s">
        <v>32</v>
      </c>
      <c r="U3556" t="s">
        <v>32</v>
      </c>
      <c r="V3556" t="s">
        <v>6500</v>
      </c>
      <c r="W3556" t="s">
        <v>32</v>
      </c>
      <c r="X3556" t="s">
        <v>32</v>
      </c>
      <c r="Y3556" t="s">
        <v>157</v>
      </c>
      <c r="Z3556" t="s">
        <v>32</v>
      </c>
      <c r="AA3556" t="s">
        <v>39669</v>
      </c>
      <c r="AB3556" t="s">
        <v>39670</v>
      </c>
      <c r="AC3556" t="s">
        <v>39671</v>
      </c>
      <c r="AD3556" t="s">
        <v>32</v>
      </c>
      <c r="AE3556" t="s">
        <v>11206</v>
      </c>
      <c r="AF3556" t="s">
        <v>46835</v>
      </c>
    </row>
    <row r="3557" spans="1:33" x14ac:dyDescent="0.2">
      <c r="A3557">
        <v>3552</v>
      </c>
      <c r="B3557" t="s">
        <v>39672</v>
      </c>
      <c r="C3557" t="s">
        <v>39673</v>
      </c>
      <c r="D3557" t="s">
        <v>32</v>
      </c>
      <c r="E3557" t="s">
        <v>39674</v>
      </c>
      <c r="F3557" t="s">
        <v>39675</v>
      </c>
      <c r="G3557" t="s">
        <v>39676</v>
      </c>
      <c r="H3557" t="str">
        <f>"Cnot11"</f>
        <v>Cnot11</v>
      </c>
      <c r="I3557" t="s">
        <v>39677</v>
      </c>
      <c r="J3557" t="s">
        <v>37</v>
      </c>
      <c r="K3557">
        <v>10090</v>
      </c>
      <c r="L3557" s="3" t="str">
        <f>HYPERLINK("http://www.uniprot.org/uniprot/Q9CWN7", "Q9CWN7")</f>
        <v>Q9CWN7</v>
      </c>
      <c r="M3557" t="s">
        <v>39678</v>
      </c>
      <c r="N3557" t="str">
        <f>"Cnot11"</f>
        <v>Cnot11</v>
      </c>
      <c r="O3557" s="3" t="str">
        <f>HYPERLINK("http://www.informatics.jax.org/marker/MGI:106580", "MGI:106580")</f>
        <v>MGI:106580</v>
      </c>
      <c r="P3557" t="s">
        <v>39679</v>
      </c>
      <c r="Q3557" t="s">
        <v>18937</v>
      </c>
      <c r="R3557" t="s">
        <v>40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32</v>
      </c>
      <c r="Y3557" t="s">
        <v>175</v>
      </c>
      <c r="Z3557" t="s">
        <v>32</v>
      </c>
      <c r="AA3557" t="s">
        <v>39680</v>
      </c>
      <c r="AB3557" t="s">
        <v>39681</v>
      </c>
      <c r="AC3557" t="s">
        <v>32</v>
      </c>
      <c r="AD3557" t="s">
        <v>32</v>
      </c>
      <c r="AE3557" t="s">
        <v>18942</v>
      </c>
      <c r="AF3557" t="s">
        <v>46835</v>
      </c>
    </row>
    <row r="3558" spans="1:33" x14ac:dyDescent="0.2">
      <c r="A3558">
        <v>3553</v>
      </c>
      <c r="B3558" t="s">
        <v>39682</v>
      </c>
      <c r="C3558" t="s">
        <v>39683</v>
      </c>
      <c r="D3558" t="s">
        <v>32</v>
      </c>
      <c r="E3558" t="s">
        <v>39684</v>
      </c>
      <c r="F3558" t="s">
        <v>39685</v>
      </c>
      <c r="G3558" t="s">
        <v>39686</v>
      </c>
      <c r="H3558" t="str">
        <f>"Ccdc93"</f>
        <v>Ccdc93</v>
      </c>
      <c r="I3558" t="s">
        <v>32</v>
      </c>
      <c r="J3558" t="s">
        <v>37</v>
      </c>
      <c r="K3558">
        <v>10090</v>
      </c>
      <c r="L3558" s="3" t="str">
        <f>HYPERLINK("http://www.uniprot.org/uniprot/Q7TQK5", "Q7TQK5")</f>
        <v>Q7TQK5</v>
      </c>
      <c r="M3558" t="s">
        <v>39687</v>
      </c>
      <c r="N3558" t="str">
        <f>"Ccdc93"</f>
        <v>Ccdc93</v>
      </c>
      <c r="O3558" s="3" t="str">
        <f>HYPERLINK("http://www.informatics.jax.org/marker/MGI:1918079", "MGI:1918079")</f>
        <v>MGI:1918079</v>
      </c>
      <c r="P3558" t="s">
        <v>39688</v>
      </c>
      <c r="Q3558" t="s">
        <v>434</v>
      </c>
      <c r="R3558" t="s">
        <v>11451</v>
      </c>
      <c r="S3558" t="s">
        <v>32</v>
      </c>
      <c r="T3558" t="s">
        <v>32</v>
      </c>
      <c r="U3558" t="s">
        <v>32</v>
      </c>
      <c r="V3558" t="s">
        <v>290</v>
      </c>
      <c r="W3558" t="s">
        <v>32</v>
      </c>
      <c r="X3558" t="s">
        <v>32</v>
      </c>
      <c r="Y3558" t="s">
        <v>618</v>
      </c>
      <c r="Z3558" t="s">
        <v>32</v>
      </c>
      <c r="AA3558" t="s">
        <v>38334</v>
      </c>
      <c r="AB3558" t="s">
        <v>39689</v>
      </c>
      <c r="AC3558" t="s">
        <v>32</v>
      </c>
      <c r="AD3558" t="s">
        <v>32</v>
      </c>
      <c r="AE3558" t="s">
        <v>32</v>
      </c>
      <c r="AF3558" t="s">
        <v>46835</v>
      </c>
    </row>
    <row r="3559" spans="1:33" x14ac:dyDescent="0.2">
      <c r="A3559">
        <v>3554</v>
      </c>
      <c r="B3559" t="s">
        <v>39690</v>
      </c>
      <c r="C3559" t="s">
        <v>39691</v>
      </c>
      <c r="D3559" t="s">
        <v>32</v>
      </c>
      <c r="E3559" t="s">
        <v>39692</v>
      </c>
      <c r="F3559" t="s">
        <v>39693</v>
      </c>
      <c r="G3559" t="s">
        <v>39694</v>
      </c>
      <c r="H3559" t="str">
        <f>"Haghl"</f>
        <v>Haghl</v>
      </c>
      <c r="I3559" t="s">
        <v>32</v>
      </c>
      <c r="J3559" t="s">
        <v>37</v>
      </c>
      <c r="K3559">
        <v>10090</v>
      </c>
      <c r="L3559" s="3" t="str">
        <f>HYPERLINK("http://www.uniprot.org/uniprot/Q9DB32", "Q9DB32")</f>
        <v>Q9DB32</v>
      </c>
      <c r="M3559" t="s">
        <v>39695</v>
      </c>
      <c r="N3559" t="str">
        <f>"Haghl"</f>
        <v>Haghl</v>
      </c>
      <c r="O3559" s="3" t="str">
        <f>HYPERLINK("http://www.informatics.jax.org/marker/MGI:1919877", "MGI:1919877")</f>
        <v>MGI:1919877</v>
      </c>
      <c r="P3559" t="s">
        <v>39696</v>
      </c>
      <c r="Q3559" t="s">
        <v>32</v>
      </c>
      <c r="R3559" t="s">
        <v>32</v>
      </c>
      <c r="S3559" t="s">
        <v>41</v>
      </c>
      <c r="T3559" t="s">
        <v>32</v>
      </c>
      <c r="U3559" t="s">
        <v>32</v>
      </c>
      <c r="V3559" t="s">
        <v>32</v>
      </c>
      <c r="W3559" t="s">
        <v>42</v>
      </c>
      <c r="X3559" t="s">
        <v>343</v>
      </c>
      <c r="Y3559" t="s">
        <v>32</v>
      </c>
      <c r="Z3559" t="s">
        <v>32</v>
      </c>
      <c r="AA3559" t="s">
        <v>33691</v>
      </c>
      <c r="AB3559" t="s">
        <v>32</v>
      </c>
      <c r="AC3559" t="s">
        <v>12328</v>
      </c>
      <c r="AD3559" t="s">
        <v>32</v>
      </c>
      <c r="AE3559" t="s">
        <v>32</v>
      </c>
      <c r="AF3559" t="s">
        <v>46835</v>
      </c>
    </row>
    <row r="3560" spans="1:33" x14ac:dyDescent="0.2">
      <c r="A3560">
        <v>3555</v>
      </c>
      <c r="B3560" t="s">
        <v>39697</v>
      </c>
      <c r="C3560" t="s">
        <v>39698</v>
      </c>
      <c r="D3560" t="s">
        <v>32</v>
      </c>
      <c r="E3560" t="s">
        <v>39699</v>
      </c>
      <c r="F3560" t="s">
        <v>39700</v>
      </c>
      <c r="G3560" t="s">
        <v>39701</v>
      </c>
      <c r="H3560" t="str">
        <f>"Ncoa7"</f>
        <v>Ncoa7</v>
      </c>
      <c r="I3560" t="s">
        <v>32</v>
      </c>
      <c r="J3560" t="s">
        <v>37</v>
      </c>
      <c r="K3560">
        <v>10090</v>
      </c>
      <c r="L3560" s="3" t="str">
        <f>HYPERLINK("http://www.uniprot.org/uniprot/Q6DFV7", "Q6DFV7")</f>
        <v>Q6DFV7</v>
      </c>
      <c r="M3560" t="s">
        <v>39702</v>
      </c>
      <c r="N3560" t="str">
        <f>"Ncoa7"</f>
        <v>Ncoa7</v>
      </c>
      <c r="O3560" s="3" t="str">
        <f>HYPERLINK("http://www.informatics.jax.org/marker/MGI:2444847", "MGI:2444847")</f>
        <v>MGI:2444847</v>
      </c>
      <c r="P3560" t="s">
        <v>39703</v>
      </c>
      <c r="Q3560" t="s">
        <v>4152</v>
      </c>
      <c r="R3560" t="s">
        <v>2279</v>
      </c>
      <c r="S3560" t="s">
        <v>41</v>
      </c>
      <c r="T3560" t="s">
        <v>32</v>
      </c>
      <c r="U3560" t="s">
        <v>32</v>
      </c>
      <c r="V3560" t="s">
        <v>290</v>
      </c>
      <c r="W3560" t="s">
        <v>32</v>
      </c>
      <c r="X3560" t="s">
        <v>2602</v>
      </c>
      <c r="Y3560" t="s">
        <v>157</v>
      </c>
      <c r="Z3560" t="s">
        <v>32</v>
      </c>
      <c r="AA3560" t="s">
        <v>39704</v>
      </c>
      <c r="AB3560" t="s">
        <v>3606</v>
      </c>
      <c r="AC3560" t="s">
        <v>23133</v>
      </c>
      <c r="AD3560" t="s">
        <v>32</v>
      </c>
      <c r="AE3560" t="s">
        <v>32</v>
      </c>
      <c r="AF3560" t="s">
        <v>46835</v>
      </c>
    </row>
    <row r="3561" spans="1:33" x14ac:dyDescent="0.2">
      <c r="A3561">
        <v>3556</v>
      </c>
      <c r="B3561" t="s">
        <v>39705</v>
      </c>
      <c r="C3561" t="s">
        <v>39706</v>
      </c>
      <c r="D3561" t="s">
        <v>39707</v>
      </c>
      <c r="E3561" t="s">
        <v>39708</v>
      </c>
      <c r="F3561" t="s">
        <v>39709</v>
      </c>
      <c r="G3561" t="s">
        <v>39710</v>
      </c>
      <c r="H3561" t="str">
        <f>"Ndufb3"</f>
        <v>Ndufb3</v>
      </c>
      <c r="I3561" t="s">
        <v>32</v>
      </c>
      <c r="J3561" t="s">
        <v>37</v>
      </c>
      <c r="K3561">
        <v>10090</v>
      </c>
      <c r="L3561" s="3" t="str">
        <f>HYPERLINK("http://www.uniprot.org/uniprot/Q9CQZ6", "Q9CQZ6")</f>
        <v>Q9CQZ6</v>
      </c>
      <c r="M3561" t="s">
        <v>39711</v>
      </c>
      <c r="N3561" t="str">
        <f>"Ndufb3"</f>
        <v>Ndufb3</v>
      </c>
      <c r="O3561" s="3" t="str">
        <f>HYPERLINK("http://www.informatics.jax.org/marker/MGI:1913745", "MGI:1913745")</f>
        <v>MGI:1913745</v>
      </c>
      <c r="P3561" t="s">
        <v>39712</v>
      </c>
      <c r="Q3561" t="s">
        <v>6888</v>
      </c>
      <c r="R3561" t="s">
        <v>3858</v>
      </c>
      <c r="S3561" t="s">
        <v>32</v>
      </c>
      <c r="T3561" t="s">
        <v>32</v>
      </c>
      <c r="U3561" t="s">
        <v>32</v>
      </c>
      <c r="V3561" t="s">
        <v>493</v>
      </c>
      <c r="W3561" t="s">
        <v>32</v>
      </c>
      <c r="X3561" t="s">
        <v>32</v>
      </c>
      <c r="Y3561" t="s">
        <v>57</v>
      </c>
      <c r="Z3561" t="s">
        <v>126</v>
      </c>
      <c r="AA3561" t="s">
        <v>39713</v>
      </c>
      <c r="AB3561" t="s">
        <v>14222</v>
      </c>
      <c r="AC3561" t="s">
        <v>32</v>
      </c>
      <c r="AD3561" t="s">
        <v>32</v>
      </c>
      <c r="AE3561" t="s">
        <v>10470</v>
      </c>
      <c r="AF3561" t="s">
        <v>46835</v>
      </c>
    </row>
    <row r="3562" spans="1:33" x14ac:dyDescent="0.2">
      <c r="A3562">
        <v>3557</v>
      </c>
      <c r="B3562" t="s">
        <v>39714</v>
      </c>
      <c r="C3562" t="s">
        <v>47134</v>
      </c>
      <c r="D3562" t="s">
        <v>32</v>
      </c>
      <c r="E3562" t="s">
        <v>47040</v>
      </c>
      <c r="F3562" t="s">
        <v>47039</v>
      </c>
      <c r="G3562" t="s">
        <v>32</v>
      </c>
      <c r="H3562" t="s">
        <v>47265</v>
      </c>
      <c r="I3562" t="s">
        <v>32</v>
      </c>
      <c r="J3562" t="s">
        <v>37</v>
      </c>
      <c r="K3562">
        <v>10090</v>
      </c>
      <c r="L3562" s="3" t="str">
        <f>HYPERLINK(CONCATENATE("https://www.uniprot.org/uniprotkb/", AG3562, "/entry"), AG3562)</f>
        <v>Q8CHG7</v>
      </c>
      <c r="M3562" t="s">
        <v>32</v>
      </c>
      <c r="N3562" t="s">
        <v>32</v>
      </c>
      <c r="O3562" s="3" t="s">
        <v>32</v>
      </c>
      <c r="P3562" t="s">
        <v>32</v>
      </c>
      <c r="Q3562" t="s">
        <v>32</v>
      </c>
      <c r="R3562" t="s">
        <v>32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32</v>
      </c>
      <c r="Y3562" t="s">
        <v>32</v>
      </c>
      <c r="Z3562" t="s">
        <v>32</v>
      </c>
      <c r="AA3562" t="s">
        <v>32</v>
      </c>
      <c r="AB3562" t="s">
        <v>32</v>
      </c>
      <c r="AC3562" t="s">
        <v>32</v>
      </c>
      <c r="AD3562" t="s">
        <v>32</v>
      </c>
      <c r="AE3562" t="s">
        <v>32</v>
      </c>
      <c r="AF3562" t="s">
        <v>46835</v>
      </c>
      <c r="AG3562" t="s">
        <v>47039</v>
      </c>
    </row>
    <row r="3563" spans="1:33" x14ac:dyDescent="0.2">
      <c r="A3563">
        <v>3558</v>
      </c>
      <c r="B3563" t="s">
        <v>39715</v>
      </c>
      <c r="C3563" t="s">
        <v>47141</v>
      </c>
      <c r="D3563" t="s">
        <v>32</v>
      </c>
      <c r="E3563" t="s">
        <v>47042</v>
      </c>
      <c r="F3563" t="s">
        <v>47041</v>
      </c>
      <c r="G3563" t="s">
        <v>32</v>
      </c>
      <c r="H3563" t="s">
        <v>47272</v>
      </c>
      <c r="I3563" t="s">
        <v>32</v>
      </c>
      <c r="J3563" t="s">
        <v>37</v>
      </c>
      <c r="K3563">
        <v>10090</v>
      </c>
      <c r="L3563" s="3" t="str">
        <f>HYPERLINK(CONCATENATE("https://www.uniprot.org/uniprotkb/", AG3563, "/entry"), AG3563)</f>
        <v>Q80X98</v>
      </c>
      <c r="M3563" t="s">
        <v>32</v>
      </c>
      <c r="N3563" t="s">
        <v>32</v>
      </c>
      <c r="O3563" s="3" t="s">
        <v>32</v>
      </c>
      <c r="P3563" t="s">
        <v>32</v>
      </c>
      <c r="Q3563" t="s">
        <v>32</v>
      </c>
      <c r="R3563" t="s">
        <v>32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32</v>
      </c>
      <c r="Y3563" t="s">
        <v>32</v>
      </c>
      <c r="Z3563" t="s">
        <v>32</v>
      </c>
      <c r="AA3563" t="s">
        <v>32</v>
      </c>
      <c r="AB3563" t="s">
        <v>32</v>
      </c>
      <c r="AC3563" t="s">
        <v>32</v>
      </c>
      <c r="AD3563" t="s">
        <v>32</v>
      </c>
      <c r="AE3563" t="s">
        <v>32</v>
      </c>
      <c r="AF3563" t="s">
        <v>46835</v>
      </c>
      <c r="AG3563" t="s">
        <v>47041</v>
      </c>
    </row>
    <row r="3564" spans="1:33" x14ac:dyDescent="0.2">
      <c r="A3564">
        <v>3559</v>
      </c>
      <c r="B3564" t="s">
        <v>39716</v>
      </c>
      <c r="C3564" t="s">
        <v>47131</v>
      </c>
      <c r="D3564" t="s">
        <v>32</v>
      </c>
      <c r="E3564" t="s">
        <v>47044</v>
      </c>
      <c r="F3564" t="s">
        <v>47043</v>
      </c>
      <c r="G3564" t="s">
        <v>32</v>
      </c>
      <c r="H3564" t="s">
        <v>47262</v>
      </c>
      <c r="I3564" t="s">
        <v>32</v>
      </c>
      <c r="J3564" t="s">
        <v>37</v>
      </c>
      <c r="K3564">
        <v>10090</v>
      </c>
      <c r="L3564" s="3" t="str">
        <f>HYPERLINK(CONCATENATE("https://www.uniprot.org/uniprotkb/", AG3564, "/entry"), AG3564)</f>
        <v>Q8K205</v>
      </c>
      <c r="M3564" t="s">
        <v>32</v>
      </c>
      <c r="N3564" t="s">
        <v>32</v>
      </c>
      <c r="O3564" s="3" t="s">
        <v>32</v>
      </c>
      <c r="P3564" t="s">
        <v>32</v>
      </c>
      <c r="Q3564" t="s">
        <v>32</v>
      </c>
      <c r="R3564" t="s">
        <v>32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32</v>
      </c>
      <c r="Y3564" t="s">
        <v>32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  <c r="AE3564" t="s">
        <v>32</v>
      </c>
      <c r="AF3564" t="s">
        <v>46835</v>
      </c>
      <c r="AG3564" t="s">
        <v>47043</v>
      </c>
    </row>
    <row r="3565" spans="1:33" x14ac:dyDescent="0.2">
      <c r="A3565">
        <v>3560</v>
      </c>
      <c r="B3565" t="s">
        <v>39717</v>
      </c>
      <c r="C3565" t="s">
        <v>47174</v>
      </c>
      <c r="D3565" t="s">
        <v>32</v>
      </c>
      <c r="E3565" t="s">
        <v>47046</v>
      </c>
      <c r="F3565" t="s">
        <v>47045</v>
      </c>
      <c r="G3565" t="s">
        <v>32</v>
      </c>
      <c r="H3565" t="s">
        <v>47305</v>
      </c>
      <c r="I3565" t="s">
        <v>32</v>
      </c>
      <c r="J3565" t="s">
        <v>37</v>
      </c>
      <c r="K3565">
        <v>10090</v>
      </c>
      <c r="L3565" s="3" t="str">
        <f>HYPERLINK(CONCATENATE("https://www.uniprot.org/uniprotkb/", AG3565, "/entry"), AG3565)</f>
        <v>F8VQG7</v>
      </c>
      <c r="M3565" t="s">
        <v>32</v>
      </c>
      <c r="N3565" t="s">
        <v>32</v>
      </c>
      <c r="O3565" s="3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32</v>
      </c>
      <c r="Y3565" t="s">
        <v>32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t="s">
        <v>46835</v>
      </c>
      <c r="AG3565" t="s">
        <v>47045</v>
      </c>
    </row>
    <row r="3566" spans="1:33" x14ac:dyDescent="0.2">
      <c r="A3566">
        <v>3561</v>
      </c>
      <c r="B3566" t="s">
        <v>39718</v>
      </c>
      <c r="C3566" t="s">
        <v>39719</v>
      </c>
      <c r="D3566" t="s">
        <v>39720</v>
      </c>
      <c r="E3566" t="s">
        <v>39721</v>
      </c>
      <c r="F3566" t="s">
        <v>39722</v>
      </c>
      <c r="G3566" t="s">
        <v>39723</v>
      </c>
      <c r="H3566" t="str">
        <f>"Sqstm1"</f>
        <v>Sqstm1</v>
      </c>
      <c r="I3566" t="s">
        <v>39724</v>
      </c>
      <c r="J3566" t="s">
        <v>37</v>
      </c>
      <c r="K3566">
        <v>10090</v>
      </c>
      <c r="L3566" s="3" t="str">
        <f>HYPERLINK("http://www.uniprot.org/uniprot/Q64337", "Q64337")</f>
        <v>Q64337</v>
      </c>
      <c r="M3566" t="s">
        <v>39725</v>
      </c>
      <c r="N3566" t="str">
        <f>"Sqstm1"</f>
        <v>Sqstm1</v>
      </c>
      <c r="O3566" s="3" t="str">
        <f>HYPERLINK("http://www.informatics.jax.org/marker/MGI:107931", "MGI:107931")</f>
        <v>MGI:107931</v>
      </c>
      <c r="P3566" t="s">
        <v>39726</v>
      </c>
      <c r="Q3566" t="s">
        <v>39727</v>
      </c>
      <c r="R3566" t="s">
        <v>39728</v>
      </c>
      <c r="S3566" t="s">
        <v>41</v>
      </c>
      <c r="T3566" t="s">
        <v>32</v>
      </c>
      <c r="U3566" t="s">
        <v>32</v>
      </c>
      <c r="V3566" t="s">
        <v>446</v>
      </c>
      <c r="W3566" t="s">
        <v>42</v>
      </c>
      <c r="X3566" t="s">
        <v>32</v>
      </c>
      <c r="Y3566" t="s">
        <v>516</v>
      </c>
      <c r="Z3566" t="s">
        <v>126</v>
      </c>
      <c r="AA3566" t="s">
        <v>39729</v>
      </c>
      <c r="AB3566" t="s">
        <v>39730</v>
      </c>
      <c r="AC3566" t="s">
        <v>39731</v>
      </c>
      <c r="AD3566" t="s">
        <v>32</v>
      </c>
      <c r="AE3566" t="s">
        <v>39732</v>
      </c>
      <c r="AF3566" t="s">
        <v>46835</v>
      </c>
    </row>
    <row r="3567" spans="1:33" x14ac:dyDescent="0.2">
      <c r="A3567">
        <v>3562</v>
      </c>
      <c r="B3567" t="s">
        <v>39733</v>
      </c>
      <c r="C3567" t="s">
        <v>39734</v>
      </c>
      <c r="D3567" t="s">
        <v>32</v>
      </c>
      <c r="E3567" t="s">
        <v>39735</v>
      </c>
      <c r="F3567" t="s">
        <v>39736</v>
      </c>
      <c r="G3567" t="s">
        <v>39737</v>
      </c>
      <c r="H3567" t="str">
        <f>"Pum2"</f>
        <v>Pum2</v>
      </c>
      <c r="I3567" t="s">
        <v>39738</v>
      </c>
      <c r="J3567" t="s">
        <v>37</v>
      </c>
      <c r="K3567">
        <v>10090</v>
      </c>
      <c r="L3567" s="3" t="str">
        <f>HYPERLINK("http://www.uniprot.org/uniprot/Q80U58", "Q80U58")</f>
        <v>Q80U58</v>
      </c>
      <c r="M3567" t="s">
        <v>39739</v>
      </c>
      <c r="N3567" t="str">
        <f>"Pum2"</f>
        <v>Pum2</v>
      </c>
      <c r="O3567" s="3" t="str">
        <f>HYPERLINK("http://www.informatics.jax.org/marker/MGI:1931751", "MGI:1931751")</f>
        <v>MGI:1931751</v>
      </c>
      <c r="P3567" t="s">
        <v>39740</v>
      </c>
      <c r="Q3567" t="s">
        <v>1680</v>
      </c>
      <c r="R3567" t="s">
        <v>418</v>
      </c>
      <c r="S3567" t="s">
        <v>41</v>
      </c>
      <c r="T3567" t="s">
        <v>32</v>
      </c>
      <c r="U3567" t="s">
        <v>32</v>
      </c>
      <c r="V3567" t="s">
        <v>55</v>
      </c>
      <c r="W3567" t="s">
        <v>32</v>
      </c>
      <c r="X3567" t="s">
        <v>1282</v>
      </c>
      <c r="Y3567" t="s">
        <v>2734</v>
      </c>
      <c r="Z3567" t="s">
        <v>126</v>
      </c>
      <c r="AA3567" t="s">
        <v>39741</v>
      </c>
      <c r="AB3567" t="s">
        <v>39742</v>
      </c>
      <c r="AC3567" t="s">
        <v>39743</v>
      </c>
      <c r="AD3567" t="s">
        <v>32</v>
      </c>
      <c r="AE3567" t="s">
        <v>32</v>
      </c>
      <c r="AF3567" t="s">
        <v>46835</v>
      </c>
    </row>
    <row r="3568" spans="1:33" x14ac:dyDescent="0.2">
      <c r="A3568">
        <v>3563</v>
      </c>
      <c r="B3568" t="s">
        <v>39744</v>
      </c>
      <c r="C3568" t="s">
        <v>39745</v>
      </c>
      <c r="D3568" t="s">
        <v>39746</v>
      </c>
      <c r="E3568" t="s">
        <v>39747</v>
      </c>
      <c r="F3568" t="s">
        <v>39748</v>
      </c>
      <c r="G3568" t="s">
        <v>39749</v>
      </c>
      <c r="H3568" t="str">
        <f>"Pip4k2c"</f>
        <v>Pip4k2c</v>
      </c>
      <c r="I3568" t="s">
        <v>39750</v>
      </c>
      <c r="J3568" t="s">
        <v>37</v>
      </c>
      <c r="K3568">
        <v>10090</v>
      </c>
      <c r="L3568" s="3" t="str">
        <f>HYPERLINK("http://www.uniprot.org/uniprot/Q91XU3", "Q91XU3")</f>
        <v>Q91XU3</v>
      </c>
      <c r="M3568" t="s">
        <v>39751</v>
      </c>
      <c r="N3568" t="str">
        <f>"Pip4k2c"</f>
        <v>Pip4k2c</v>
      </c>
      <c r="O3568" s="3" t="str">
        <f>HYPERLINK("http://www.informatics.jax.org/marker/MGI:2152214", "MGI:2152214")</f>
        <v>MGI:2152214</v>
      </c>
      <c r="P3568" t="s">
        <v>39752</v>
      </c>
      <c r="Q3568" t="s">
        <v>598</v>
      </c>
      <c r="R3568" t="s">
        <v>874</v>
      </c>
      <c r="S3568" t="s">
        <v>32</v>
      </c>
      <c r="T3568" t="s">
        <v>32</v>
      </c>
      <c r="U3568" t="s">
        <v>32</v>
      </c>
      <c r="V3568" t="s">
        <v>32</v>
      </c>
      <c r="W3568" t="s">
        <v>205</v>
      </c>
      <c r="X3568" t="s">
        <v>419</v>
      </c>
      <c r="Y3568" t="s">
        <v>157</v>
      </c>
      <c r="Z3568" t="s">
        <v>32</v>
      </c>
      <c r="AA3568" t="s">
        <v>39753</v>
      </c>
      <c r="AB3568" t="s">
        <v>39754</v>
      </c>
      <c r="AC3568" t="s">
        <v>39755</v>
      </c>
      <c r="AD3568" t="s">
        <v>32</v>
      </c>
      <c r="AE3568" t="s">
        <v>33893</v>
      </c>
      <c r="AF3568" t="s">
        <v>46835</v>
      </c>
    </row>
    <row r="3569" spans="1:33" x14ac:dyDescent="0.2">
      <c r="A3569">
        <v>3564</v>
      </c>
      <c r="B3569" t="s">
        <v>39756</v>
      </c>
      <c r="C3569" t="s">
        <v>39757</v>
      </c>
      <c r="D3569" t="s">
        <v>39758</v>
      </c>
      <c r="E3569" t="s">
        <v>39759</v>
      </c>
      <c r="F3569" t="s">
        <v>39760</v>
      </c>
      <c r="G3569" t="s">
        <v>39761</v>
      </c>
      <c r="H3569" t="str">
        <f>"Sun2"</f>
        <v>Sun2</v>
      </c>
      <c r="I3569" t="s">
        <v>39762</v>
      </c>
      <c r="J3569" t="s">
        <v>37</v>
      </c>
      <c r="K3569">
        <v>10090</v>
      </c>
      <c r="L3569" s="3" t="str">
        <f>HYPERLINK("http://www.uniprot.org/uniprot/Q8BJS4", "Q8BJS4")</f>
        <v>Q8BJS4</v>
      </c>
      <c r="M3569" t="s">
        <v>39763</v>
      </c>
      <c r="N3569" t="str">
        <f>"Sun2"</f>
        <v>Sun2</v>
      </c>
      <c r="O3569" s="3" t="str">
        <f>HYPERLINK("http://www.informatics.jax.org/marker/MGI:2443011", "MGI:2443011")</f>
        <v>MGI:2443011</v>
      </c>
      <c r="P3569" t="s">
        <v>39764</v>
      </c>
      <c r="Q3569" t="s">
        <v>18841</v>
      </c>
      <c r="R3569" t="s">
        <v>39765</v>
      </c>
      <c r="S3569" t="s">
        <v>41</v>
      </c>
      <c r="T3569" t="s">
        <v>32</v>
      </c>
      <c r="U3569" t="s">
        <v>32</v>
      </c>
      <c r="V3569" t="s">
        <v>3078</v>
      </c>
      <c r="W3569" t="s">
        <v>32</v>
      </c>
      <c r="X3569" t="s">
        <v>32</v>
      </c>
      <c r="Y3569" t="s">
        <v>2865</v>
      </c>
      <c r="Z3569" t="s">
        <v>126</v>
      </c>
      <c r="AA3569" t="s">
        <v>39766</v>
      </c>
      <c r="AB3569" t="s">
        <v>39767</v>
      </c>
      <c r="AC3569" t="s">
        <v>39768</v>
      </c>
      <c r="AD3569" t="s">
        <v>32</v>
      </c>
      <c r="AE3569" t="s">
        <v>32</v>
      </c>
      <c r="AF3569" t="s">
        <v>46835</v>
      </c>
    </row>
    <row r="3570" spans="1:33" x14ac:dyDescent="0.2">
      <c r="A3570">
        <v>3565</v>
      </c>
      <c r="B3570" t="s">
        <v>39769</v>
      </c>
      <c r="C3570" t="s">
        <v>39770</v>
      </c>
      <c r="D3570" t="s">
        <v>39771</v>
      </c>
      <c r="E3570" t="s">
        <v>39772</v>
      </c>
      <c r="F3570" t="s">
        <v>39773</v>
      </c>
      <c r="G3570" t="s">
        <v>39774</v>
      </c>
      <c r="H3570" t="str">
        <f>"Adgrl2"</f>
        <v>Adgrl2</v>
      </c>
      <c r="I3570" t="s">
        <v>39775</v>
      </c>
      <c r="J3570" t="s">
        <v>37</v>
      </c>
      <c r="K3570">
        <v>10090</v>
      </c>
      <c r="L3570" s="3" t="str">
        <f>HYPERLINK("http://www.uniprot.org/uniprot/Q8JZZ7", "Q8JZZ7")</f>
        <v>Q8JZZ7</v>
      </c>
      <c r="M3570" t="s">
        <v>39776</v>
      </c>
      <c r="N3570" t="str">
        <f>"Adgrl2"</f>
        <v>Adgrl2</v>
      </c>
      <c r="O3570" s="3" t="str">
        <f>HYPERLINK("http://www.informatics.jax.org/marker/MGI:2139714", "MGI:2139714")</f>
        <v>MGI:2139714</v>
      </c>
      <c r="P3570" t="s">
        <v>39777</v>
      </c>
      <c r="Q3570" t="s">
        <v>32</v>
      </c>
      <c r="R3570" t="s">
        <v>5989</v>
      </c>
      <c r="S3570" t="s">
        <v>41</v>
      </c>
      <c r="T3570" t="s">
        <v>32</v>
      </c>
      <c r="U3570" t="s">
        <v>32</v>
      </c>
      <c r="V3570" t="s">
        <v>3948</v>
      </c>
      <c r="W3570" t="s">
        <v>32</v>
      </c>
      <c r="X3570" t="s">
        <v>36375</v>
      </c>
      <c r="Y3570" t="s">
        <v>4720</v>
      </c>
      <c r="Z3570" t="s">
        <v>126</v>
      </c>
      <c r="AA3570" t="s">
        <v>39778</v>
      </c>
      <c r="AB3570" t="s">
        <v>39779</v>
      </c>
      <c r="AC3570" t="s">
        <v>39780</v>
      </c>
      <c r="AD3570" t="s">
        <v>32</v>
      </c>
      <c r="AE3570" t="s">
        <v>32</v>
      </c>
      <c r="AF3570" t="s">
        <v>46835</v>
      </c>
    </row>
    <row r="3571" spans="1:33" x14ac:dyDescent="0.2">
      <c r="A3571">
        <v>3566</v>
      </c>
      <c r="B3571" t="s">
        <v>39781</v>
      </c>
      <c r="C3571" t="s">
        <v>39782</v>
      </c>
      <c r="D3571" t="s">
        <v>39783</v>
      </c>
      <c r="E3571" t="s">
        <v>39784</v>
      </c>
      <c r="F3571" t="s">
        <v>39785</v>
      </c>
      <c r="G3571" t="s">
        <v>39786</v>
      </c>
      <c r="H3571" t="str">
        <f>"Vrk1"</f>
        <v>Vrk1</v>
      </c>
      <c r="I3571" t="s">
        <v>32</v>
      </c>
      <c r="J3571" t="s">
        <v>37</v>
      </c>
      <c r="K3571">
        <v>10090</v>
      </c>
      <c r="L3571" s="3" t="str">
        <f>HYPERLINK("http://www.uniprot.org/uniprot/Q80X41", "Q80X41")</f>
        <v>Q80X41</v>
      </c>
      <c r="M3571" t="s">
        <v>39787</v>
      </c>
      <c r="N3571" t="str">
        <f>"Vrk1"</f>
        <v>Vrk1</v>
      </c>
      <c r="O3571" s="3" t="str">
        <f>HYPERLINK("http://www.informatics.jax.org/marker/MGI:1261847", "MGI:1261847")</f>
        <v>MGI:1261847</v>
      </c>
      <c r="P3571" t="s">
        <v>39788</v>
      </c>
      <c r="Q3571" t="s">
        <v>2968</v>
      </c>
      <c r="R3571" t="s">
        <v>40</v>
      </c>
      <c r="S3571" t="s">
        <v>41</v>
      </c>
      <c r="T3571" t="s">
        <v>32</v>
      </c>
      <c r="U3571" t="s">
        <v>32</v>
      </c>
      <c r="V3571" t="s">
        <v>32</v>
      </c>
      <c r="W3571" t="s">
        <v>205</v>
      </c>
      <c r="X3571" t="s">
        <v>5419</v>
      </c>
      <c r="Y3571" t="s">
        <v>1007</v>
      </c>
      <c r="Z3571" t="s">
        <v>32</v>
      </c>
      <c r="AA3571" t="s">
        <v>39789</v>
      </c>
      <c r="AB3571" t="s">
        <v>39790</v>
      </c>
      <c r="AC3571" t="s">
        <v>39791</v>
      </c>
      <c r="AD3571" t="s">
        <v>32</v>
      </c>
      <c r="AE3571" t="s">
        <v>12018</v>
      </c>
      <c r="AF3571" t="s">
        <v>46835</v>
      </c>
    </row>
    <row r="3572" spans="1:33" x14ac:dyDescent="0.2">
      <c r="A3572">
        <v>3567</v>
      </c>
      <c r="B3572" t="s">
        <v>39792</v>
      </c>
      <c r="C3572" t="s">
        <v>39793</v>
      </c>
      <c r="D3572" t="s">
        <v>32</v>
      </c>
      <c r="E3572" t="s">
        <v>39794</v>
      </c>
      <c r="F3572" t="s">
        <v>39795</v>
      </c>
      <c r="G3572" t="s">
        <v>39796</v>
      </c>
      <c r="H3572" t="str">
        <f>"Ttpal"</f>
        <v>Ttpal</v>
      </c>
      <c r="I3572" t="s">
        <v>32</v>
      </c>
      <c r="J3572" t="s">
        <v>37</v>
      </c>
      <c r="K3572">
        <v>10090</v>
      </c>
      <c r="L3572" s="3" t="str">
        <f>HYPERLINK("http://www.uniprot.org/uniprot/Q9D3D0", "Q9D3D0")</f>
        <v>Q9D3D0</v>
      </c>
      <c r="M3572" t="s">
        <v>39797</v>
      </c>
      <c r="N3572" t="str">
        <f>"Ttpal"</f>
        <v>Ttpal</v>
      </c>
      <c r="O3572" s="3" t="str">
        <f>HYPERLINK("http://www.informatics.jax.org/marker/MGI:1923330", "MGI:1923330")</f>
        <v>MGI:1923330</v>
      </c>
      <c r="P3572" t="s">
        <v>39798</v>
      </c>
      <c r="Q3572" t="s">
        <v>4425</v>
      </c>
      <c r="R3572" t="s">
        <v>32</v>
      </c>
      <c r="S3572" t="s">
        <v>41</v>
      </c>
      <c r="T3572" t="s">
        <v>32</v>
      </c>
      <c r="U3572" t="s">
        <v>32</v>
      </c>
      <c r="V3572" t="s">
        <v>32</v>
      </c>
      <c r="W3572" t="s">
        <v>32</v>
      </c>
      <c r="X3572" t="s">
        <v>32</v>
      </c>
      <c r="Y3572" t="s">
        <v>32</v>
      </c>
      <c r="Z3572" t="s">
        <v>32</v>
      </c>
      <c r="AA3572" t="s">
        <v>32</v>
      </c>
      <c r="AB3572" t="s">
        <v>32</v>
      </c>
      <c r="AC3572" t="s">
        <v>39799</v>
      </c>
      <c r="AD3572" t="s">
        <v>32</v>
      </c>
      <c r="AE3572" t="s">
        <v>32</v>
      </c>
      <c r="AF3572" t="s">
        <v>46835</v>
      </c>
    </row>
    <row r="3573" spans="1:33" x14ac:dyDescent="0.2">
      <c r="A3573">
        <v>3568</v>
      </c>
      <c r="B3573" t="s">
        <v>39800</v>
      </c>
      <c r="C3573" t="s">
        <v>39801</v>
      </c>
      <c r="D3573" t="s">
        <v>39802</v>
      </c>
      <c r="E3573" t="s">
        <v>39803</v>
      </c>
      <c r="F3573" t="s">
        <v>39804</v>
      </c>
      <c r="G3573" t="s">
        <v>39805</v>
      </c>
      <c r="H3573" t="str">
        <f>"Reps1"</f>
        <v>Reps1</v>
      </c>
      <c r="I3573" t="s">
        <v>32</v>
      </c>
      <c r="J3573" t="s">
        <v>37</v>
      </c>
      <c r="K3573">
        <v>10090</v>
      </c>
      <c r="L3573" s="3" t="str">
        <f>HYPERLINK("http://www.uniprot.org/uniprot/O54916", "O54916")</f>
        <v>O54916</v>
      </c>
      <c r="M3573" t="s">
        <v>39806</v>
      </c>
      <c r="N3573" t="str">
        <f>"Reps1"</f>
        <v>Reps1</v>
      </c>
      <c r="O3573" s="3" t="str">
        <f>HYPERLINK("http://www.informatics.jax.org/marker/MGI:1196373", "MGI:1196373")</f>
        <v>MGI:1196373</v>
      </c>
      <c r="P3573" t="s">
        <v>39807</v>
      </c>
      <c r="Q3573" t="s">
        <v>32</v>
      </c>
      <c r="R3573" t="s">
        <v>30676</v>
      </c>
      <c r="S3573" t="s">
        <v>41</v>
      </c>
      <c r="T3573" t="s">
        <v>32</v>
      </c>
      <c r="U3573" t="s">
        <v>32</v>
      </c>
      <c r="V3573" t="s">
        <v>137</v>
      </c>
      <c r="W3573" t="s">
        <v>188</v>
      </c>
      <c r="X3573" t="s">
        <v>32</v>
      </c>
      <c r="Y3573" t="s">
        <v>618</v>
      </c>
      <c r="Z3573" t="s">
        <v>126</v>
      </c>
      <c r="AA3573" t="s">
        <v>39808</v>
      </c>
      <c r="AB3573" t="s">
        <v>39809</v>
      </c>
      <c r="AC3573" t="s">
        <v>39810</v>
      </c>
      <c r="AD3573" t="s">
        <v>32</v>
      </c>
      <c r="AE3573" t="s">
        <v>13103</v>
      </c>
      <c r="AF3573" t="s">
        <v>46835</v>
      </c>
    </row>
    <row r="3574" spans="1:33" x14ac:dyDescent="0.2">
      <c r="A3574">
        <v>3569</v>
      </c>
      <c r="B3574" t="s">
        <v>39811</v>
      </c>
      <c r="C3574" t="s">
        <v>39812</v>
      </c>
      <c r="D3574" t="s">
        <v>32</v>
      </c>
      <c r="E3574" t="s">
        <v>39813</v>
      </c>
      <c r="F3574" t="s">
        <v>39814</v>
      </c>
      <c r="G3574" t="s">
        <v>39815</v>
      </c>
      <c r="H3574" t="str">
        <f>"Mmrn2"</f>
        <v>Mmrn2</v>
      </c>
      <c r="I3574" t="s">
        <v>32</v>
      </c>
      <c r="J3574" t="s">
        <v>37</v>
      </c>
      <c r="K3574">
        <v>10090</v>
      </c>
      <c r="L3574" s="3" t="str">
        <f>HYPERLINK("http://www.uniprot.org/uniprot/A6H6E2", "A6H6E2")</f>
        <v>A6H6E2</v>
      </c>
      <c r="M3574" t="s">
        <v>39816</v>
      </c>
      <c r="N3574" t="str">
        <f>"Mmrn2"</f>
        <v>Mmrn2</v>
      </c>
      <c r="O3574" s="3" t="str">
        <f>HYPERLINK("http://www.informatics.jax.org/marker/MGI:2385618", "MGI:2385618")</f>
        <v>MGI:2385618</v>
      </c>
      <c r="P3574" t="s">
        <v>39817</v>
      </c>
      <c r="Q3574" t="s">
        <v>4227</v>
      </c>
      <c r="R3574" t="s">
        <v>5586</v>
      </c>
      <c r="S3574" t="s">
        <v>41</v>
      </c>
      <c r="T3574" t="s">
        <v>32</v>
      </c>
      <c r="U3574" t="s">
        <v>32</v>
      </c>
      <c r="V3574" t="s">
        <v>5956</v>
      </c>
      <c r="W3574" t="s">
        <v>32</v>
      </c>
      <c r="X3574" t="s">
        <v>32</v>
      </c>
      <c r="Y3574" t="s">
        <v>5275</v>
      </c>
      <c r="Z3574" t="s">
        <v>32</v>
      </c>
      <c r="AA3574" t="s">
        <v>39818</v>
      </c>
      <c r="AB3574" t="s">
        <v>39819</v>
      </c>
      <c r="AC3574" t="s">
        <v>32</v>
      </c>
      <c r="AD3574" t="s">
        <v>32</v>
      </c>
      <c r="AE3574" t="s">
        <v>32</v>
      </c>
      <c r="AF3574" t="s">
        <v>46835</v>
      </c>
    </row>
    <row r="3575" spans="1:33" x14ac:dyDescent="0.2">
      <c r="A3575">
        <v>3570</v>
      </c>
      <c r="B3575" t="s">
        <v>39820</v>
      </c>
      <c r="C3575" t="s">
        <v>39821</v>
      </c>
      <c r="D3575" t="s">
        <v>39822</v>
      </c>
      <c r="E3575" t="s">
        <v>39823</v>
      </c>
      <c r="F3575" t="s">
        <v>39824</v>
      </c>
      <c r="G3575" t="s">
        <v>39825</v>
      </c>
      <c r="H3575" t="str">
        <f>"Peli1"</f>
        <v>Peli1</v>
      </c>
      <c r="I3575" t="s">
        <v>32</v>
      </c>
      <c r="J3575" t="s">
        <v>37</v>
      </c>
      <c r="K3575">
        <v>10090</v>
      </c>
      <c r="L3575" s="3" t="str">
        <f>HYPERLINK("http://www.uniprot.org/uniprot/Q8C669", "Q8C669")</f>
        <v>Q8C669</v>
      </c>
      <c r="M3575" t="s">
        <v>39826</v>
      </c>
      <c r="N3575" t="str">
        <f>"Peli1"</f>
        <v>Peli1</v>
      </c>
      <c r="O3575" s="3" t="str">
        <f>HYPERLINK("http://www.informatics.jax.org/marker/MGI:1914495", "MGI:1914495")</f>
        <v>MGI:1914495</v>
      </c>
      <c r="P3575" t="s">
        <v>39827</v>
      </c>
      <c r="Q3575" t="s">
        <v>1020</v>
      </c>
      <c r="R3575" t="s">
        <v>32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515</v>
      </c>
      <c r="Y3575" t="s">
        <v>2836</v>
      </c>
      <c r="Z3575" t="s">
        <v>32</v>
      </c>
      <c r="AA3575" t="s">
        <v>39828</v>
      </c>
      <c r="AB3575" t="s">
        <v>3606</v>
      </c>
      <c r="AC3575" t="s">
        <v>6585</v>
      </c>
      <c r="AD3575" t="s">
        <v>1027</v>
      </c>
      <c r="AE3575" t="s">
        <v>39829</v>
      </c>
      <c r="AF3575" t="s">
        <v>46835</v>
      </c>
    </row>
    <row r="3576" spans="1:33" x14ac:dyDescent="0.2">
      <c r="A3576">
        <v>3571</v>
      </c>
      <c r="B3576" t="s">
        <v>39830</v>
      </c>
      <c r="C3576" t="s">
        <v>39831</v>
      </c>
      <c r="D3576" t="s">
        <v>39832</v>
      </c>
      <c r="E3576" t="s">
        <v>39833</v>
      </c>
      <c r="F3576" t="s">
        <v>39834</v>
      </c>
      <c r="G3576" t="s">
        <v>39835</v>
      </c>
      <c r="H3576" t="str">
        <f>"Ascc1"</f>
        <v>Ascc1</v>
      </c>
      <c r="I3576" t="s">
        <v>32</v>
      </c>
      <c r="J3576" t="s">
        <v>37</v>
      </c>
      <c r="K3576">
        <v>10090</v>
      </c>
      <c r="L3576" s="3" t="str">
        <f>HYPERLINK("http://www.uniprot.org/uniprot/Q9D8Z1", "Q9D8Z1")</f>
        <v>Q9D8Z1</v>
      </c>
      <c r="M3576" t="s">
        <v>39836</v>
      </c>
      <c r="N3576" t="str">
        <f>"Ascc1"</f>
        <v>Ascc1</v>
      </c>
      <c r="O3576" s="3" t="str">
        <f>HYPERLINK("http://www.informatics.jax.org/marker/MGI:1916340", "MGI:1916340")</f>
        <v>MGI:1916340</v>
      </c>
      <c r="P3576" t="s">
        <v>39837</v>
      </c>
      <c r="Q3576" t="s">
        <v>11306</v>
      </c>
      <c r="R3576" t="s">
        <v>2279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32</v>
      </c>
      <c r="Y3576" t="s">
        <v>32</v>
      </c>
      <c r="Z3576" t="s">
        <v>32</v>
      </c>
      <c r="AA3576" t="s">
        <v>39838</v>
      </c>
      <c r="AB3576" t="s">
        <v>39839</v>
      </c>
      <c r="AC3576" t="s">
        <v>4711</v>
      </c>
      <c r="AD3576" t="s">
        <v>32</v>
      </c>
      <c r="AE3576" t="s">
        <v>32</v>
      </c>
      <c r="AF3576" t="s">
        <v>46835</v>
      </c>
    </row>
    <row r="3577" spans="1:33" x14ac:dyDescent="0.2">
      <c r="A3577">
        <v>3572</v>
      </c>
      <c r="B3577" t="s">
        <v>39840</v>
      </c>
      <c r="C3577" t="s">
        <v>39841</v>
      </c>
      <c r="D3577" t="s">
        <v>39842</v>
      </c>
      <c r="E3577" t="s">
        <v>39843</v>
      </c>
      <c r="F3577" t="s">
        <v>39844</v>
      </c>
      <c r="G3577" t="s">
        <v>39845</v>
      </c>
      <c r="H3577" t="str">
        <f>"Sh3kbp1"</f>
        <v>Sh3kbp1</v>
      </c>
      <c r="I3577" t="s">
        <v>39846</v>
      </c>
      <c r="J3577" t="s">
        <v>37</v>
      </c>
      <c r="K3577">
        <v>10090</v>
      </c>
      <c r="L3577" s="3" t="str">
        <f>HYPERLINK("http://www.uniprot.org/uniprot/Q8R550", "Q8R550")</f>
        <v>Q8R550</v>
      </c>
      <c r="M3577" t="s">
        <v>39847</v>
      </c>
      <c r="N3577" t="str">
        <f>"Sh3kbp1"</f>
        <v>Sh3kbp1</v>
      </c>
      <c r="O3577" s="3" t="str">
        <f>HYPERLINK("http://www.informatics.jax.org/marker/MGI:1889583", "MGI:1889583")</f>
        <v>MGI:1889583</v>
      </c>
      <c r="P3577" t="s">
        <v>39848</v>
      </c>
      <c r="Q3577" t="s">
        <v>39849</v>
      </c>
      <c r="R3577" t="s">
        <v>39850</v>
      </c>
      <c r="S3577" t="s">
        <v>41</v>
      </c>
      <c r="T3577" t="s">
        <v>32</v>
      </c>
      <c r="U3577" t="s">
        <v>32</v>
      </c>
      <c r="V3577" t="s">
        <v>21579</v>
      </c>
      <c r="W3577" t="s">
        <v>32</v>
      </c>
      <c r="X3577" t="s">
        <v>32</v>
      </c>
      <c r="Y3577" t="s">
        <v>2836</v>
      </c>
      <c r="Z3577" t="s">
        <v>126</v>
      </c>
      <c r="AA3577" t="s">
        <v>39851</v>
      </c>
      <c r="AB3577" t="s">
        <v>39852</v>
      </c>
      <c r="AC3577" t="s">
        <v>39853</v>
      </c>
      <c r="AD3577" t="s">
        <v>32</v>
      </c>
      <c r="AE3577" t="s">
        <v>39854</v>
      </c>
      <c r="AF3577" t="s">
        <v>46835</v>
      </c>
    </row>
    <row r="3578" spans="1:33" x14ac:dyDescent="0.2">
      <c r="A3578">
        <v>3573</v>
      </c>
      <c r="B3578" t="s">
        <v>39855</v>
      </c>
      <c r="C3578" t="s">
        <v>39856</v>
      </c>
      <c r="D3578" t="s">
        <v>39857</v>
      </c>
      <c r="E3578" t="s">
        <v>39858</v>
      </c>
      <c r="F3578" t="s">
        <v>39859</v>
      </c>
      <c r="G3578" t="s">
        <v>39860</v>
      </c>
      <c r="H3578" t="str">
        <f>"Wdfy3"</f>
        <v>Wdfy3</v>
      </c>
      <c r="I3578" t="s">
        <v>32</v>
      </c>
      <c r="J3578" t="s">
        <v>37</v>
      </c>
      <c r="K3578">
        <v>10090</v>
      </c>
      <c r="L3578" s="3" t="str">
        <f>HYPERLINK("http://www.uniprot.org/uniprot/Q6VNB8", "Q6VNB8")</f>
        <v>Q6VNB8</v>
      </c>
      <c r="M3578" t="s">
        <v>39861</v>
      </c>
      <c r="N3578" t="str">
        <f>"Wdfy3"</f>
        <v>Wdfy3</v>
      </c>
      <c r="O3578" s="3" t="str">
        <f>HYPERLINK("http://www.informatics.jax.org/marker/MGI:1096875", "MGI:1096875")</f>
        <v>MGI:1096875</v>
      </c>
      <c r="P3578" t="s">
        <v>39862</v>
      </c>
      <c r="Q3578" t="s">
        <v>11661</v>
      </c>
      <c r="R3578" t="s">
        <v>39863</v>
      </c>
      <c r="S3578" t="s">
        <v>41</v>
      </c>
      <c r="T3578" t="s">
        <v>32</v>
      </c>
      <c r="U3578" t="s">
        <v>32</v>
      </c>
      <c r="V3578" t="s">
        <v>39864</v>
      </c>
      <c r="W3578" t="s">
        <v>36802</v>
      </c>
      <c r="X3578" t="s">
        <v>2029</v>
      </c>
      <c r="Y3578" t="s">
        <v>618</v>
      </c>
      <c r="Z3578" t="s">
        <v>32</v>
      </c>
      <c r="AA3578" t="s">
        <v>39865</v>
      </c>
      <c r="AB3578" t="s">
        <v>39866</v>
      </c>
      <c r="AC3578" t="s">
        <v>39867</v>
      </c>
      <c r="AD3578" t="s">
        <v>32</v>
      </c>
      <c r="AE3578" t="s">
        <v>32</v>
      </c>
      <c r="AF3578" t="s">
        <v>46835</v>
      </c>
    </row>
    <row r="3579" spans="1:33" x14ac:dyDescent="0.2">
      <c r="A3579">
        <v>3574</v>
      </c>
      <c r="B3579" t="s">
        <v>39868</v>
      </c>
      <c r="C3579" t="s">
        <v>39869</v>
      </c>
      <c r="D3579" t="s">
        <v>39870</v>
      </c>
      <c r="E3579" t="s">
        <v>39871</v>
      </c>
      <c r="F3579" t="s">
        <v>39872</v>
      </c>
      <c r="G3579" t="s">
        <v>39873</v>
      </c>
      <c r="H3579" t="str">
        <f>"Pip"</f>
        <v>Pip</v>
      </c>
      <c r="I3579" t="s">
        <v>32</v>
      </c>
      <c r="J3579" t="s">
        <v>37</v>
      </c>
      <c r="K3579">
        <v>10090</v>
      </c>
      <c r="L3579" s="3" t="str">
        <f>HYPERLINK("http://www.uniprot.org/uniprot/P02816", "P02816")</f>
        <v>P02816</v>
      </c>
      <c r="M3579" t="s">
        <v>39874</v>
      </c>
      <c r="N3579" t="str">
        <f>"Pip"</f>
        <v>Pip</v>
      </c>
      <c r="O3579" s="3" t="str">
        <f>HYPERLINK("http://www.informatics.jax.org/marker/MGI:102696", "MGI:102696")</f>
        <v>MGI:102696</v>
      </c>
      <c r="P3579" t="s">
        <v>39875</v>
      </c>
      <c r="Q3579" t="s">
        <v>32</v>
      </c>
      <c r="R3579" t="s">
        <v>630</v>
      </c>
      <c r="S3579" t="s">
        <v>32</v>
      </c>
      <c r="T3579" t="s">
        <v>32</v>
      </c>
      <c r="U3579" t="s">
        <v>32</v>
      </c>
      <c r="V3579" t="s">
        <v>811</v>
      </c>
      <c r="W3579" t="s">
        <v>32</v>
      </c>
      <c r="X3579" t="s">
        <v>32</v>
      </c>
      <c r="Y3579" t="s">
        <v>39876</v>
      </c>
      <c r="Z3579" t="s">
        <v>32</v>
      </c>
      <c r="AA3579" t="s">
        <v>39877</v>
      </c>
      <c r="AB3579" t="s">
        <v>39878</v>
      </c>
      <c r="AC3579" t="s">
        <v>39879</v>
      </c>
      <c r="AD3579" t="s">
        <v>32</v>
      </c>
      <c r="AE3579" t="s">
        <v>7597</v>
      </c>
      <c r="AF3579" t="s">
        <v>46835</v>
      </c>
    </row>
    <row r="3580" spans="1:33" x14ac:dyDescent="0.2">
      <c r="A3580">
        <v>3575</v>
      </c>
      <c r="B3580" t="s">
        <v>39880</v>
      </c>
      <c r="C3580" t="s">
        <v>39881</v>
      </c>
      <c r="D3580" t="s">
        <v>39882</v>
      </c>
      <c r="E3580" t="s">
        <v>39883</v>
      </c>
      <c r="F3580" t="s">
        <v>39884</v>
      </c>
      <c r="G3580" t="s">
        <v>39885</v>
      </c>
      <c r="H3580" t="str">
        <f>"Snapin"</f>
        <v>Snapin</v>
      </c>
      <c r="I3580" t="s">
        <v>39886</v>
      </c>
      <c r="J3580" t="s">
        <v>37</v>
      </c>
      <c r="K3580">
        <v>10090</v>
      </c>
      <c r="L3580" s="3" t="str">
        <f>HYPERLINK("http://www.uniprot.org/uniprot/Q9Z266", "Q9Z266")</f>
        <v>Q9Z266</v>
      </c>
      <c r="M3580" t="s">
        <v>39887</v>
      </c>
      <c r="N3580" t="str">
        <f>"Snapin"</f>
        <v>Snapin</v>
      </c>
      <c r="O3580" s="3" t="str">
        <f>HYPERLINK("http://www.informatics.jax.org/marker/MGI:1333745", "MGI:1333745")</f>
        <v>MGI:1333745</v>
      </c>
      <c r="P3580" t="s">
        <v>39888</v>
      </c>
      <c r="Q3580" t="s">
        <v>7874</v>
      </c>
      <c r="R3580" t="s">
        <v>39889</v>
      </c>
      <c r="S3580" t="s">
        <v>41</v>
      </c>
      <c r="T3580" t="s">
        <v>32</v>
      </c>
      <c r="U3580" t="s">
        <v>32</v>
      </c>
      <c r="V3580" t="s">
        <v>290</v>
      </c>
      <c r="W3580" t="s">
        <v>32</v>
      </c>
      <c r="X3580" t="s">
        <v>32</v>
      </c>
      <c r="Y3580" t="s">
        <v>157</v>
      </c>
      <c r="Z3580" t="s">
        <v>32</v>
      </c>
      <c r="AA3580" t="s">
        <v>39890</v>
      </c>
      <c r="AB3580" t="s">
        <v>39891</v>
      </c>
      <c r="AC3580" t="s">
        <v>27352</v>
      </c>
      <c r="AD3580" t="s">
        <v>32</v>
      </c>
      <c r="AE3580" t="s">
        <v>10968</v>
      </c>
      <c r="AF3580" t="s">
        <v>46835</v>
      </c>
    </row>
    <row r="3581" spans="1:33" x14ac:dyDescent="0.2">
      <c r="A3581">
        <v>3576</v>
      </c>
      <c r="B3581" t="s">
        <v>39892</v>
      </c>
      <c r="C3581" t="s">
        <v>39893</v>
      </c>
      <c r="D3581" t="s">
        <v>39894</v>
      </c>
      <c r="E3581" t="s">
        <v>39895</v>
      </c>
      <c r="F3581" t="s">
        <v>39896</v>
      </c>
      <c r="G3581" t="s">
        <v>39897</v>
      </c>
      <c r="H3581" t="str">
        <f>"Espn"</f>
        <v>Espn</v>
      </c>
      <c r="I3581" t="s">
        <v>32</v>
      </c>
      <c r="J3581" t="s">
        <v>37</v>
      </c>
      <c r="K3581">
        <v>10090</v>
      </c>
      <c r="L3581" s="3" t="str">
        <f>HYPERLINK("http://www.uniprot.org/uniprot/Q9ET47", "Q9ET47")</f>
        <v>Q9ET47</v>
      </c>
      <c r="M3581" t="s">
        <v>39898</v>
      </c>
      <c r="N3581" t="str">
        <f>"Espn"</f>
        <v>Espn</v>
      </c>
      <c r="O3581" s="3" t="str">
        <f>HYPERLINK("http://www.informatics.jax.org/marker/MGI:1861630", "MGI:1861630")</f>
        <v>MGI:1861630</v>
      </c>
      <c r="P3581" t="s">
        <v>39899</v>
      </c>
      <c r="Q3581" t="s">
        <v>18337</v>
      </c>
      <c r="R3581" t="s">
        <v>21355</v>
      </c>
      <c r="S3581" t="s">
        <v>41</v>
      </c>
      <c r="T3581" t="s">
        <v>32</v>
      </c>
      <c r="U3581" t="s">
        <v>32</v>
      </c>
      <c r="V3581" t="s">
        <v>9693</v>
      </c>
      <c r="W3581" t="s">
        <v>32</v>
      </c>
      <c r="X3581" t="s">
        <v>405</v>
      </c>
      <c r="Y3581" t="s">
        <v>618</v>
      </c>
      <c r="Z3581" t="s">
        <v>126</v>
      </c>
      <c r="AA3581" t="s">
        <v>39900</v>
      </c>
      <c r="AB3581" t="s">
        <v>39901</v>
      </c>
      <c r="AC3581" t="s">
        <v>39902</v>
      </c>
      <c r="AD3581" t="s">
        <v>32</v>
      </c>
      <c r="AE3581" t="s">
        <v>32</v>
      </c>
      <c r="AF3581" t="s">
        <v>46835</v>
      </c>
    </row>
    <row r="3582" spans="1:33" x14ac:dyDescent="0.2">
      <c r="A3582">
        <v>3577</v>
      </c>
      <c r="B3582" t="s">
        <v>39903</v>
      </c>
      <c r="C3582" t="s">
        <v>39904</v>
      </c>
      <c r="D3582" t="s">
        <v>32</v>
      </c>
      <c r="E3582" t="s">
        <v>39905</v>
      </c>
      <c r="F3582" t="s">
        <v>39906</v>
      </c>
      <c r="G3582" t="s">
        <v>39907</v>
      </c>
      <c r="H3582" t="str">
        <f>"Rer1"</f>
        <v>Rer1</v>
      </c>
      <c r="I3582" t="s">
        <v>32</v>
      </c>
      <c r="J3582" t="s">
        <v>37</v>
      </c>
      <c r="K3582">
        <v>10090</v>
      </c>
      <c r="L3582" s="3" t="str">
        <f>HYPERLINK("http://www.uniprot.org/uniprot/Q9CQU3", "Q9CQU3")</f>
        <v>Q9CQU3</v>
      </c>
      <c r="M3582" t="s">
        <v>39908</v>
      </c>
      <c r="N3582" t="str">
        <f>"Rer1"</f>
        <v>Rer1</v>
      </c>
      <c r="O3582" s="3" t="str">
        <f>HYPERLINK("http://www.informatics.jax.org/marker/MGI:1915080", "MGI:1915080")</f>
        <v>MGI:1915080</v>
      </c>
      <c r="P3582" t="s">
        <v>39909</v>
      </c>
      <c r="Q3582" t="s">
        <v>32</v>
      </c>
      <c r="R3582" t="s">
        <v>13904</v>
      </c>
      <c r="S3582" t="s">
        <v>32</v>
      </c>
      <c r="T3582" t="s">
        <v>32</v>
      </c>
      <c r="U3582" t="s">
        <v>32</v>
      </c>
      <c r="V3582" t="s">
        <v>493</v>
      </c>
      <c r="W3582" t="s">
        <v>32</v>
      </c>
      <c r="X3582" t="s">
        <v>32</v>
      </c>
      <c r="Y3582" t="s">
        <v>157</v>
      </c>
      <c r="Z3582" t="s">
        <v>32</v>
      </c>
      <c r="AA3582" t="s">
        <v>39910</v>
      </c>
      <c r="AB3582" t="s">
        <v>39911</v>
      </c>
      <c r="AC3582" t="s">
        <v>39912</v>
      </c>
      <c r="AD3582" t="s">
        <v>32</v>
      </c>
      <c r="AE3582" t="s">
        <v>32</v>
      </c>
      <c r="AF3582" t="s">
        <v>46835</v>
      </c>
    </row>
    <row r="3583" spans="1:33" x14ac:dyDescent="0.2">
      <c r="A3583">
        <v>3578</v>
      </c>
      <c r="B3583" t="s">
        <v>39913</v>
      </c>
      <c r="C3583" t="s">
        <v>47148</v>
      </c>
      <c r="D3583" t="s">
        <v>32</v>
      </c>
      <c r="E3583" t="s">
        <v>47048</v>
      </c>
      <c r="F3583" t="s">
        <v>47047</v>
      </c>
      <c r="G3583" t="s">
        <v>32</v>
      </c>
      <c r="H3583" t="s">
        <v>47279</v>
      </c>
      <c r="I3583" t="s">
        <v>32</v>
      </c>
      <c r="J3583" t="s">
        <v>37</v>
      </c>
      <c r="K3583">
        <v>10090</v>
      </c>
      <c r="L3583" s="3" t="str">
        <f>HYPERLINK(CONCATENATE("https://www.uniprot.org/uniprotkb/", AG3583, "/entry"), AG3583)</f>
        <v>Q6NZL1</v>
      </c>
      <c r="M3583" t="s">
        <v>32</v>
      </c>
      <c r="N3583" t="s">
        <v>32</v>
      </c>
      <c r="O3583" s="3" t="s">
        <v>32</v>
      </c>
      <c r="P3583" t="s">
        <v>32</v>
      </c>
      <c r="Q3583" t="s">
        <v>32</v>
      </c>
      <c r="R3583" t="s">
        <v>32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  <c r="AE3583" t="s">
        <v>32</v>
      </c>
      <c r="AF3583" t="s">
        <v>46835</v>
      </c>
      <c r="AG3583" t="s">
        <v>47047</v>
      </c>
    </row>
    <row r="3584" spans="1:33" x14ac:dyDescent="0.2">
      <c r="A3584">
        <v>3579</v>
      </c>
      <c r="B3584" t="s">
        <v>39914</v>
      </c>
      <c r="C3584" t="s">
        <v>39915</v>
      </c>
      <c r="D3584" t="s">
        <v>39916</v>
      </c>
      <c r="E3584" t="s">
        <v>39917</v>
      </c>
      <c r="F3584" t="s">
        <v>39918</v>
      </c>
      <c r="G3584" t="s">
        <v>32</v>
      </c>
      <c r="H3584" t="str">
        <f>"Arid2"</f>
        <v>Arid2</v>
      </c>
      <c r="I3584" t="s">
        <v>32</v>
      </c>
      <c r="J3584" t="s">
        <v>37</v>
      </c>
      <c r="K3584">
        <v>10090</v>
      </c>
      <c r="L3584" s="3" t="str">
        <f>HYPERLINK("http://www.uniprot.org/uniprot/E9Q7E2", "E9Q7E2")</f>
        <v>E9Q7E2</v>
      </c>
      <c r="M3584" t="s">
        <v>39919</v>
      </c>
      <c r="N3584" t="str">
        <f>"Arid2"</f>
        <v>Arid2</v>
      </c>
      <c r="O3584" s="3" t="str">
        <f>HYPERLINK("http://www.informatics.jax.org/marker/MGI:1924294", "MGI:1924294")</f>
        <v>MGI:1924294</v>
      </c>
      <c r="P3584" t="s">
        <v>39920</v>
      </c>
      <c r="Q3584" t="s">
        <v>4152</v>
      </c>
      <c r="R3584" t="s">
        <v>2279</v>
      </c>
      <c r="S3584" t="s">
        <v>32</v>
      </c>
      <c r="T3584" t="s">
        <v>32</v>
      </c>
      <c r="U3584" t="s">
        <v>32</v>
      </c>
      <c r="V3584" t="s">
        <v>446</v>
      </c>
      <c r="W3584" t="s">
        <v>42</v>
      </c>
      <c r="X3584" t="s">
        <v>5712</v>
      </c>
      <c r="Y3584" t="s">
        <v>516</v>
      </c>
      <c r="Z3584" t="s">
        <v>32</v>
      </c>
      <c r="AA3584" t="s">
        <v>39921</v>
      </c>
      <c r="AB3584" t="s">
        <v>39922</v>
      </c>
      <c r="AC3584" t="s">
        <v>21239</v>
      </c>
      <c r="AD3584" t="s">
        <v>32</v>
      </c>
      <c r="AE3584" t="s">
        <v>32</v>
      </c>
      <c r="AF3584" t="s">
        <v>46835</v>
      </c>
    </row>
    <row r="3585" spans="1:32" x14ac:dyDescent="0.2">
      <c r="A3585">
        <v>3580</v>
      </c>
      <c r="B3585" t="s">
        <v>39923</v>
      </c>
      <c r="C3585" t="s">
        <v>39924</v>
      </c>
      <c r="D3585" t="s">
        <v>39925</v>
      </c>
      <c r="E3585" t="s">
        <v>39926</v>
      </c>
      <c r="F3585" t="s">
        <v>39927</v>
      </c>
      <c r="G3585" t="s">
        <v>39928</v>
      </c>
      <c r="H3585" t="str">
        <f>"Trmt1"</f>
        <v>Trmt1</v>
      </c>
      <c r="I3585" t="s">
        <v>39929</v>
      </c>
      <c r="J3585" t="s">
        <v>37</v>
      </c>
      <c r="K3585">
        <v>10090</v>
      </c>
      <c r="L3585" s="3" t="str">
        <f>HYPERLINK("http://www.uniprot.org/uniprot/Q3TX08", "Q3TX08")</f>
        <v>Q3TX08</v>
      </c>
      <c r="M3585" t="s">
        <v>39930</v>
      </c>
      <c r="N3585" t="str">
        <f>"Trmt1"</f>
        <v>Trmt1</v>
      </c>
      <c r="O3585" s="3" t="str">
        <f>HYPERLINK("http://www.informatics.jax.org/marker/MGI:1289155", "MGI:1289155")</f>
        <v>MGI:1289155</v>
      </c>
      <c r="P3585" t="s">
        <v>39931</v>
      </c>
      <c r="Q3585" t="s">
        <v>4386</v>
      </c>
      <c r="R3585" t="s">
        <v>32</v>
      </c>
      <c r="S3585" t="s">
        <v>32</v>
      </c>
      <c r="T3585" t="s">
        <v>32</v>
      </c>
      <c r="U3585" t="s">
        <v>32</v>
      </c>
      <c r="V3585" t="s">
        <v>446</v>
      </c>
      <c r="W3585" t="s">
        <v>15120</v>
      </c>
      <c r="X3585" t="s">
        <v>8598</v>
      </c>
      <c r="Y3585" t="s">
        <v>618</v>
      </c>
      <c r="Z3585" t="s">
        <v>32</v>
      </c>
      <c r="AA3585" t="s">
        <v>39932</v>
      </c>
      <c r="AB3585" t="s">
        <v>3606</v>
      </c>
      <c r="AC3585" t="s">
        <v>29326</v>
      </c>
      <c r="AD3585" t="s">
        <v>32</v>
      </c>
      <c r="AE3585" t="s">
        <v>32</v>
      </c>
      <c r="AF3585" t="s">
        <v>46835</v>
      </c>
    </row>
    <row r="3586" spans="1:32" x14ac:dyDescent="0.2">
      <c r="A3586">
        <v>3581</v>
      </c>
      <c r="B3586" t="s">
        <v>39933</v>
      </c>
      <c r="C3586" t="s">
        <v>39934</v>
      </c>
      <c r="D3586" t="s">
        <v>39935</v>
      </c>
      <c r="E3586" t="s">
        <v>39936</v>
      </c>
      <c r="F3586" t="s">
        <v>39937</v>
      </c>
      <c r="G3586" t="s">
        <v>32</v>
      </c>
      <c r="H3586" t="str">
        <f>"Plscr3"</f>
        <v>Plscr3</v>
      </c>
      <c r="I3586" t="s">
        <v>32</v>
      </c>
      <c r="J3586" t="s">
        <v>37</v>
      </c>
      <c r="K3586">
        <v>10090</v>
      </c>
      <c r="L3586" s="3" t="str">
        <f>HYPERLINK("http://www.uniprot.org/uniprot/Q9JIZ9", "Q9JIZ9")</f>
        <v>Q9JIZ9</v>
      </c>
      <c r="M3586" t="s">
        <v>39938</v>
      </c>
      <c r="N3586" t="str">
        <f>"Plscr3"</f>
        <v>Plscr3</v>
      </c>
      <c r="O3586" s="3" t="str">
        <f>HYPERLINK("http://www.informatics.jax.org/marker/MGI:1917560", "MGI:1917560")</f>
        <v>MGI:1917560</v>
      </c>
      <c r="P3586" t="s">
        <v>39939</v>
      </c>
      <c r="Q3586" t="s">
        <v>31667</v>
      </c>
      <c r="R3586" t="s">
        <v>12105</v>
      </c>
      <c r="S3586" t="s">
        <v>32</v>
      </c>
      <c r="T3586" t="s">
        <v>32</v>
      </c>
      <c r="U3586" t="s">
        <v>32</v>
      </c>
      <c r="V3586" t="s">
        <v>39940</v>
      </c>
      <c r="W3586" t="s">
        <v>1380</v>
      </c>
      <c r="X3586" t="s">
        <v>32</v>
      </c>
      <c r="Y3586" t="s">
        <v>19965</v>
      </c>
      <c r="Z3586" t="s">
        <v>32</v>
      </c>
      <c r="AA3586" t="s">
        <v>39941</v>
      </c>
      <c r="AB3586" t="s">
        <v>39942</v>
      </c>
      <c r="AC3586" t="s">
        <v>39943</v>
      </c>
      <c r="AD3586" t="s">
        <v>32</v>
      </c>
      <c r="AE3586" t="s">
        <v>32</v>
      </c>
      <c r="AF3586" t="s">
        <v>46835</v>
      </c>
    </row>
    <row r="3587" spans="1:32" x14ac:dyDescent="0.2">
      <c r="A3587">
        <v>3582</v>
      </c>
      <c r="B3587" t="s">
        <v>39944</v>
      </c>
      <c r="C3587" t="s">
        <v>39945</v>
      </c>
      <c r="D3587" t="s">
        <v>32</v>
      </c>
      <c r="E3587" t="s">
        <v>39946</v>
      </c>
      <c r="F3587" t="s">
        <v>39947</v>
      </c>
      <c r="G3587" t="s">
        <v>39948</v>
      </c>
      <c r="H3587" t="str">
        <f>"Mrpl15"</f>
        <v>Mrpl15</v>
      </c>
      <c r="I3587" t="s">
        <v>32</v>
      </c>
      <c r="J3587" t="s">
        <v>37</v>
      </c>
      <c r="K3587">
        <v>10090</v>
      </c>
      <c r="L3587" s="3" t="str">
        <f>HYPERLINK("http://www.uniprot.org/uniprot/Q9CPR5", "Q9CPR5")</f>
        <v>Q9CPR5</v>
      </c>
      <c r="M3587" t="s">
        <v>39949</v>
      </c>
      <c r="N3587" t="str">
        <f>"Mrpl15"</f>
        <v>Mrpl15</v>
      </c>
      <c r="O3587" s="3" t="str">
        <f>HYPERLINK("http://www.informatics.jax.org/marker/MGI:1351639", "MGI:1351639")</f>
        <v>MGI:1351639</v>
      </c>
      <c r="P3587" t="s">
        <v>39950</v>
      </c>
      <c r="Q3587" t="s">
        <v>32</v>
      </c>
      <c r="R3587" t="s">
        <v>1038</v>
      </c>
      <c r="S3587" t="s">
        <v>41</v>
      </c>
      <c r="T3587" t="s">
        <v>32</v>
      </c>
      <c r="U3587" t="s">
        <v>32</v>
      </c>
      <c r="V3587" t="s">
        <v>1039</v>
      </c>
      <c r="W3587" t="s">
        <v>32</v>
      </c>
      <c r="X3587" t="s">
        <v>447</v>
      </c>
      <c r="Y3587" t="s">
        <v>32</v>
      </c>
      <c r="Z3587" t="s">
        <v>32</v>
      </c>
      <c r="AA3587" t="s">
        <v>39951</v>
      </c>
      <c r="AB3587" t="s">
        <v>27223</v>
      </c>
      <c r="AC3587" t="s">
        <v>1010</v>
      </c>
      <c r="AD3587" t="s">
        <v>32</v>
      </c>
      <c r="AE3587" t="s">
        <v>17271</v>
      </c>
      <c r="AF3587" t="s">
        <v>46835</v>
      </c>
    </row>
    <row r="3588" spans="1:32" x14ac:dyDescent="0.2">
      <c r="A3588">
        <v>3583</v>
      </c>
      <c r="B3588" t="s">
        <v>39952</v>
      </c>
      <c r="C3588" t="s">
        <v>39953</v>
      </c>
      <c r="D3588" t="s">
        <v>39954</v>
      </c>
      <c r="E3588" t="s">
        <v>39955</v>
      </c>
      <c r="F3588" t="s">
        <v>39956</v>
      </c>
      <c r="G3588" t="s">
        <v>39957</v>
      </c>
      <c r="H3588" t="str">
        <f>"Irf2bpl"</f>
        <v>Irf2bpl</v>
      </c>
      <c r="I3588" t="s">
        <v>39958</v>
      </c>
      <c r="J3588" t="s">
        <v>37</v>
      </c>
      <c r="K3588">
        <v>10090</v>
      </c>
      <c r="L3588" s="3" t="str">
        <f>HYPERLINK("http://www.uniprot.org/uniprot/Q8K3X4", "Q8K3X4")</f>
        <v>Q8K3X4</v>
      </c>
      <c r="M3588" t="s">
        <v>39959</v>
      </c>
      <c r="N3588" t="str">
        <f>"Irf2bpl"</f>
        <v>Irf2bpl</v>
      </c>
      <c r="O3588" s="3" t="str">
        <f>HYPERLINK("http://www.informatics.jax.org/marker/MGI:2442463", "MGI:2442463")</f>
        <v>MGI:2442463</v>
      </c>
      <c r="P3588" t="s">
        <v>39960</v>
      </c>
      <c r="Q3588" t="s">
        <v>32</v>
      </c>
      <c r="R3588" t="s">
        <v>2279</v>
      </c>
      <c r="S3588" t="s">
        <v>32</v>
      </c>
      <c r="T3588" t="s">
        <v>32</v>
      </c>
      <c r="U3588" t="s">
        <v>32</v>
      </c>
      <c r="V3588" t="s">
        <v>11171</v>
      </c>
      <c r="W3588" t="s">
        <v>42</v>
      </c>
      <c r="X3588" t="s">
        <v>515</v>
      </c>
      <c r="Y3588" t="s">
        <v>1007</v>
      </c>
      <c r="Z3588" t="s">
        <v>32</v>
      </c>
      <c r="AA3588" t="s">
        <v>39961</v>
      </c>
      <c r="AB3588" t="s">
        <v>7318</v>
      </c>
      <c r="AC3588" t="s">
        <v>33800</v>
      </c>
      <c r="AD3588" t="s">
        <v>1027</v>
      </c>
      <c r="AE3588" t="s">
        <v>32</v>
      </c>
      <c r="AF3588" t="s">
        <v>46835</v>
      </c>
    </row>
    <row r="3589" spans="1:32" x14ac:dyDescent="0.2">
      <c r="A3589">
        <v>3584</v>
      </c>
      <c r="B3589" t="s">
        <v>39962</v>
      </c>
      <c r="C3589" t="s">
        <v>39963</v>
      </c>
      <c r="D3589" t="s">
        <v>39964</v>
      </c>
      <c r="E3589" t="s">
        <v>39965</v>
      </c>
      <c r="F3589" t="s">
        <v>39966</v>
      </c>
      <c r="G3589" t="s">
        <v>39967</v>
      </c>
      <c r="H3589" t="str">
        <f>"Mfn1"</f>
        <v>Mfn1</v>
      </c>
      <c r="I3589" t="s">
        <v>32</v>
      </c>
      <c r="J3589" t="s">
        <v>37</v>
      </c>
      <c r="K3589">
        <v>10090</v>
      </c>
      <c r="L3589" s="3" t="str">
        <f>HYPERLINK("http://www.uniprot.org/uniprot/Q811U4", "Q811U4")</f>
        <v>Q811U4</v>
      </c>
      <c r="M3589" t="s">
        <v>39968</v>
      </c>
      <c r="N3589" t="str">
        <f>"Mfn1"</f>
        <v>Mfn1</v>
      </c>
      <c r="O3589" s="3" t="str">
        <f>HYPERLINK("http://www.informatics.jax.org/marker/MGI:1914664", "MGI:1914664")</f>
        <v>MGI:1914664</v>
      </c>
      <c r="P3589" t="s">
        <v>39969</v>
      </c>
      <c r="Q3589" t="s">
        <v>32</v>
      </c>
      <c r="R3589" t="s">
        <v>4782</v>
      </c>
      <c r="S3589" t="s">
        <v>32</v>
      </c>
      <c r="T3589" t="s">
        <v>32</v>
      </c>
      <c r="U3589" t="s">
        <v>32</v>
      </c>
      <c r="V3589" t="s">
        <v>6500</v>
      </c>
      <c r="W3589" t="s">
        <v>261</v>
      </c>
      <c r="X3589" t="s">
        <v>36475</v>
      </c>
      <c r="Y3589" t="s">
        <v>5599</v>
      </c>
      <c r="Z3589" t="s">
        <v>126</v>
      </c>
      <c r="AA3589" t="s">
        <v>39970</v>
      </c>
      <c r="AB3589" t="s">
        <v>39971</v>
      </c>
      <c r="AC3589" t="s">
        <v>26458</v>
      </c>
      <c r="AD3589" t="s">
        <v>32</v>
      </c>
      <c r="AE3589" t="s">
        <v>36479</v>
      </c>
      <c r="AF3589" t="s">
        <v>46835</v>
      </c>
    </row>
    <row r="3590" spans="1:32" x14ac:dyDescent="0.2">
      <c r="A3590">
        <v>3585</v>
      </c>
      <c r="B3590" t="s">
        <v>39972</v>
      </c>
      <c r="C3590" t="s">
        <v>39973</v>
      </c>
      <c r="D3590" t="s">
        <v>39974</v>
      </c>
      <c r="E3590" t="s">
        <v>39975</v>
      </c>
      <c r="F3590" t="s">
        <v>39976</v>
      </c>
      <c r="G3590" t="s">
        <v>39977</v>
      </c>
      <c r="H3590" t="str">
        <f>"Arl6ip1"</f>
        <v>Arl6ip1</v>
      </c>
      <c r="I3590" t="s">
        <v>39978</v>
      </c>
      <c r="J3590" t="s">
        <v>37</v>
      </c>
      <c r="K3590">
        <v>10090</v>
      </c>
      <c r="L3590" s="3" t="str">
        <f>HYPERLINK("http://www.uniprot.org/uniprot/Q9JKW0", "Q9JKW0")</f>
        <v>Q9JKW0</v>
      </c>
      <c r="M3590" t="s">
        <v>39979</v>
      </c>
      <c r="N3590" t="str">
        <f>"Arl6ip1"</f>
        <v>Arl6ip1</v>
      </c>
      <c r="O3590" s="3" t="str">
        <f>HYPERLINK("http://www.informatics.jax.org/marker/MGI:1858943", "MGI:1858943")</f>
        <v>MGI:1858943</v>
      </c>
      <c r="P3590" t="s">
        <v>39980</v>
      </c>
      <c r="Q3590" t="s">
        <v>541</v>
      </c>
      <c r="R3590" t="s">
        <v>1664</v>
      </c>
      <c r="S3590" t="s">
        <v>32</v>
      </c>
      <c r="T3590" t="s">
        <v>32</v>
      </c>
      <c r="U3590" t="s">
        <v>32</v>
      </c>
      <c r="V3590" t="s">
        <v>493</v>
      </c>
      <c r="W3590" t="s">
        <v>32</v>
      </c>
      <c r="X3590" t="s">
        <v>32</v>
      </c>
      <c r="Y3590" t="s">
        <v>32</v>
      </c>
      <c r="Z3590" t="s">
        <v>32</v>
      </c>
      <c r="AA3590" t="s">
        <v>39981</v>
      </c>
      <c r="AB3590" t="s">
        <v>39982</v>
      </c>
      <c r="AC3590" t="s">
        <v>4516</v>
      </c>
      <c r="AD3590" t="s">
        <v>32</v>
      </c>
      <c r="AE3590" t="s">
        <v>32</v>
      </c>
      <c r="AF3590" t="s">
        <v>46835</v>
      </c>
    </row>
    <row r="3591" spans="1:32" x14ac:dyDescent="0.2">
      <c r="A3591">
        <v>3586</v>
      </c>
      <c r="B3591" t="s">
        <v>39983</v>
      </c>
      <c r="C3591" t="s">
        <v>39984</v>
      </c>
      <c r="D3591" t="s">
        <v>39985</v>
      </c>
      <c r="E3591" t="s">
        <v>39986</v>
      </c>
      <c r="F3591" t="s">
        <v>39987</v>
      </c>
      <c r="G3591" t="s">
        <v>39988</v>
      </c>
      <c r="H3591" t="str">
        <f>"Maip1"</f>
        <v>Maip1</v>
      </c>
      <c r="I3591" t="s">
        <v>32</v>
      </c>
      <c r="J3591" t="s">
        <v>37</v>
      </c>
      <c r="K3591">
        <v>10090</v>
      </c>
      <c r="L3591" s="3" t="str">
        <f>HYPERLINK("http://www.uniprot.org/uniprot/Q8BHE8", "Q8BHE8")</f>
        <v>Q8BHE8</v>
      </c>
      <c r="M3591" t="s">
        <v>39989</v>
      </c>
      <c r="N3591" t="str">
        <f>"Maip1"</f>
        <v>Maip1</v>
      </c>
      <c r="O3591" s="3" t="str">
        <f>HYPERLINK("http://www.informatics.jax.org/marker/MGI:1915365", "MGI:1915365")</f>
        <v>MGI:1915365</v>
      </c>
      <c r="P3591" t="s">
        <v>39990</v>
      </c>
      <c r="Q3591" t="s">
        <v>32</v>
      </c>
      <c r="R3591" t="s">
        <v>1038</v>
      </c>
      <c r="S3591" t="s">
        <v>32</v>
      </c>
      <c r="T3591" t="s">
        <v>32</v>
      </c>
      <c r="U3591" t="s">
        <v>32</v>
      </c>
      <c r="V3591" t="s">
        <v>1039</v>
      </c>
      <c r="W3591" t="s">
        <v>32</v>
      </c>
      <c r="X3591" t="s">
        <v>32</v>
      </c>
      <c r="Y3591" t="s">
        <v>32</v>
      </c>
      <c r="Z3591" t="s">
        <v>32</v>
      </c>
      <c r="AA3591" t="s">
        <v>39991</v>
      </c>
      <c r="AB3591" t="s">
        <v>39992</v>
      </c>
      <c r="AC3591" t="s">
        <v>6949</v>
      </c>
      <c r="AD3591" t="s">
        <v>32</v>
      </c>
      <c r="AE3591" t="s">
        <v>8564</v>
      </c>
      <c r="AF3591" t="s">
        <v>46835</v>
      </c>
    </row>
    <row r="3592" spans="1:32" x14ac:dyDescent="0.2">
      <c r="A3592">
        <v>3587</v>
      </c>
      <c r="B3592" t="s">
        <v>39993</v>
      </c>
      <c r="C3592" t="s">
        <v>39994</v>
      </c>
      <c r="D3592" t="s">
        <v>39995</v>
      </c>
      <c r="E3592" t="s">
        <v>39996</v>
      </c>
      <c r="F3592" t="s">
        <v>39997</v>
      </c>
      <c r="G3592" t="s">
        <v>39998</v>
      </c>
      <c r="H3592" t="str">
        <f>"Ndufaf3"</f>
        <v>Ndufaf3</v>
      </c>
      <c r="I3592" t="s">
        <v>32</v>
      </c>
      <c r="J3592" t="s">
        <v>37</v>
      </c>
      <c r="K3592">
        <v>10090</v>
      </c>
      <c r="L3592" s="3" t="str">
        <f>HYPERLINK("http://www.uniprot.org/uniprot/Q9JKL4", "Q9JKL4")</f>
        <v>Q9JKL4</v>
      </c>
      <c r="M3592" t="s">
        <v>39999</v>
      </c>
      <c r="N3592" t="str">
        <f>"Ndufaf3"</f>
        <v>Ndufaf3</v>
      </c>
      <c r="O3592" s="3" t="str">
        <f>HYPERLINK("http://www.informatics.jax.org/marker/MGI:1913956", "MGI:1913956")</f>
        <v>MGI:1913956</v>
      </c>
      <c r="P3592" t="s">
        <v>12105</v>
      </c>
      <c r="Q3592" t="s">
        <v>32</v>
      </c>
      <c r="R3592" t="s">
        <v>12105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  <c r="Z3592" t="s">
        <v>32</v>
      </c>
      <c r="AA3592" t="s">
        <v>40000</v>
      </c>
      <c r="AB3592" t="s">
        <v>40001</v>
      </c>
      <c r="AC3592" t="s">
        <v>32</v>
      </c>
      <c r="AD3592" t="s">
        <v>32</v>
      </c>
      <c r="AE3592" t="s">
        <v>24653</v>
      </c>
      <c r="AF3592" t="s">
        <v>46835</v>
      </c>
    </row>
    <row r="3593" spans="1:32" x14ac:dyDescent="0.2">
      <c r="A3593">
        <v>3588</v>
      </c>
      <c r="B3593" t="s">
        <v>40002</v>
      </c>
      <c r="C3593" t="s">
        <v>40003</v>
      </c>
      <c r="D3593" t="s">
        <v>40004</v>
      </c>
      <c r="E3593" t="s">
        <v>40005</v>
      </c>
      <c r="F3593" t="s">
        <v>40006</v>
      </c>
      <c r="G3593" t="s">
        <v>32</v>
      </c>
      <c r="H3593" t="str">
        <f>"Mras"</f>
        <v>Mras</v>
      </c>
      <c r="I3593" t="s">
        <v>40007</v>
      </c>
      <c r="J3593" t="s">
        <v>37</v>
      </c>
      <c r="K3593">
        <v>10090</v>
      </c>
      <c r="L3593" s="3" t="str">
        <f>HYPERLINK("http://www.uniprot.org/uniprot/O08989", "O08989")</f>
        <v>O08989</v>
      </c>
      <c r="M3593" t="s">
        <v>40008</v>
      </c>
      <c r="N3593" t="str">
        <f>"Mras"</f>
        <v>Mras</v>
      </c>
      <c r="O3593" s="3" t="str">
        <f>HYPERLINK("http://www.informatics.jax.org/marker/MGI:1100856", "MGI:1100856")</f>
        <v>MGI:1100856</v>
      </c>
      <c r="P3593" t="s">
        <v>40009</v>
      </c>
      <c r="Q3593" t="s">
        <v>32</v>
      </c>
      <c r="R3593" t="s">
        <v>2474</v>
      </c>
      <c r="S3593" t="s">
        <v>32</v>
      </c>
      <c r="T3593" t="s">
        <v>32</v>
      </c>
      <c r="U3593" t="s">
        <v>32</v>
      </c>
      <c r="V3593" t="s">
        <v>32</v>
      </c>
      <c r="W3593" t="s">
        <v>261</v>
      </c>
      <c r="X3593" t="s">
        <v>343</v>
      </c>
      <c r="Y3593" t="s">
        <v>20477</v>
      </c>
      <c r="Z3593" t="s">
        <v>126</v>
      </c>
      <c r="AA3593" t="s">
        <v>40010</v>
      </c>
      <c r="AB3593" t="s">
        <v>3099</v>
      </c>
      <c r="AC3593" t="s">
        <v>29212</v>
      </c>
      <c r="AD3593" t="s">
        <v>32</v>
      </c>
      <c r="AE3593" t="s">
        <v>40011</v>
      </c>
      <c r="AF3593" t="s">
        <v>46835</v>
      </c>
    </row>
    <row r="3594" spans="1:32" x14ac:dyDescent="0.2">
      <c r="A3594">
        <v>3589</v>
      </c>
      <c r="B3594" t="s">
        <v>40012</v>
      </c>
      <c r="C3594" t="s">
        <v>40013</v>
      </c>
      <c r="D3594" t="s">
        <v>32</v>
      </c>
      <c r="E3594" t="s">
        <v>40014</v>
      </c>
      <c r="F3594" t="s">
        <v>40015</v>
      </c>
      <c r="G3594" t="s">
        <v>40016</v>
      </c>
      <c r="H3594" t="str">
        <f>"Kif1c"</f>
        <v>Kif1c</v>
      </c>
      <c r="I3594" t="s">
        <v>32</v>
      </c>
      <c r="J3594" t="s">
        <v>37</v>
      </c>
      <c r="K3594">
        <v>10090</v>
      </c>
      <c r="L3594" s="3" t="str">
        <f>HYPERLINK("http://www.uniprot.org/uniprot/O35071", "O35071")</f>
        <v>O35071</v>
      </c>
      <c r="M3594" t="s">
        <v>40017</v>
      </c>
      <c r="N3594" t="str">
        <f>"Kif1c"</f>
        <v>Kif1c</v>
      </c>
      <c r="O3594" s="3" t="str">
        <f>HYPERLINK("http://www.informatics.jax.org/marker/MGI:1098260", "MGI:1098260")</f>
        <v>MGI:1098260</v>
      </c>
      <c r="P3594" t="s">
        <v>40018</v>
      </c>
      <c r="Q3594" t="s">
        <v>32</v>
      </c>
      <c r="R3594" t="s">
        <v>341</v>
      </c>
      <c r="S3594" t="s">
        <v>32</v>
      </c>
      <c r="T3594" t="s">
        <v>32</v>
      </c>
      <c r="U3594" t="s">
        <v>32</v>
      </c>
      <c r="V3594" t="s">
        <v>290</v>
      </c>
      <c r="W3594" t="s">
        <v>205</v>
      </c>
      <c r="X3594" t="s">
        <v>830</v>
      </c>
      <c r="Y3594" t="s">
        <v>2734</v>
      </c>
      <c r="Z3594" t="s">
        <v>32</v>
      </c>
      <c r="AA3594" t="s">
        <v>40019</v>
      </c>
      <c r="AB3594" t="s">
        <v>40020</v>
      </c>
      <c r="AC3594" t="s">
        <v>40021</v>
      </c>
      <c r="AD3594" t="s">
        <v>32</v>
      </c>
      <c r="AE3594" t="s">
        <v>4550</v>
      </c>
      <c r="AF3594" t="s">
        <v>46835</v>
      </c>
    </row>
    <row r="3595" spans="1:32" x14ac:dyDescent="0.2">
      <c r="A3595">
        <v>3590</v>
      </c>
      <c r="B3595" t="s">
        <v>40022</v>
      </c>
      <c r="C3595" t="s">
        <v>40023</v>
      </c>
      <c r="D3595" t="s">
        <v>40024</v>
      </c>
      <c r="E3595" t="s">
        <v>40025</v>
      </c>
      <c r="F3595" t="s">
        <v>40026</v>
      </c>
      <c r="G3595" t="s">
        <v>40027</v>
      </c>
      <c r="H3595" t="str">
        <f>"Chka"</f>
        <v>Chka</v>
      </c>
      <c r="I3595" t="s">
        <v>40028</v>
      </c>
      <c r="J3595" t="s">
        <v>37</v>
      </c>
      <c r="K3595">
        <v>10090</v>
      </c>
      <c r="L3595" s="3" t="str">
        <f>HYPERLINK("http://www.uniprot.org/uniprot/O54804", "O54804")</f>
        <v>O54804</v>
      </c>
      <c r="M3595" t="s">
        <v>40029</v>
      </c>
      <c r="N3595" t="str">
        <f>"Chka"</f>
        <v>Chka</v>
      </c>
      <c r="O3595" s="3" t="str">
        <f>HYPERLINK("http://www.informatics.jax.org/marker/MGI:107760", "MGI:107760")</f>
        <v>MGI:107760</v>
      </c>
      <c r="P3595" t="s">
        <v>40030</v>
      </c>
      <c r="Q3595" t="s">
        <v>22663</v>
      </c>
      <c r="R3595" t="s">
        <v>14040</v>
      </c>
      <c r="S3595" t="s">
        <v>41</v>
      </c>
      <c r="T3595" t="s">
        <v>32</v>
      </c>
      <c r="U3595" t="s">
        <v>32</v>
      </c>
      <c r="V3595" t="s">
        <v>32</v>
      </c>
      <c r="W3595" t="s">
        <v>205</v>
      </c>
      <c r="X3595" t="s">
        <v>419</v>
      </c>
      <c r="Y3595" t="s">
        <v>157</v>
      </c>
      <c r="Z3595" t="s">
        <v>32</v>
      </c>
      <c r="AA3595" t="s">
        <v>40031</v>
      </c>
      <c r="AB3595" t="s">
        <v>40032</v>
      </c>
      <c r="AC3595" t="s">
        <v>40033</v>
      </c>
      <c r="AD3595" t="s">
        <v>40034</v>
      </c>
      <c r="AE3595" t="s">
        <v>40035</v>
      </c>
      <c r="AF3595" t="s">
        <v>46835</v>
      </c>
    </row>
    <row r="3596" spans="1:32" x14ac:dyDescent="0.2">
      <c r="A3596">
        <v>3591</v>
      </c>
      <c r="B3596" t="s">
        <v>40036</v>
      </c>
      <c r="C3596" t="s">
        <v>40037</v>
      </c>
      <c r="D3596" t="s">
        <v>40038</v>
      </c>
      <c r="E3596" t="s">
        <v>40039</v>
      </c>
      <c r="F3596" t="s">
        <v>40040</v>
      </c>
      <c r="G3596" t="s">
        <v>32</v>
      </c>
      <c r="H3596" t="str">
        <f>"Dgkg"</f>
        <v>Dgkg</v>
      </c>
      <c r="I3596" t="s">
        <v>40041</v>
      </c>
      <c r="J3596" t="s">
        <v>37</v>
      </c>
      <c r="K3596">
        <v>10090</v>
      </c>
      <c r="L3596" s="3" t="str">
        <f>HYPERLINK("http://www.uniprot.org/uniprot/Q91WG7", "Q91WG7")</f>
        <v>Q91WG7</v>
      </c>
      <c r="M3596" t="s">
        <v>40042</v>
      </c>
      <c r="N3596" t="str">
        <f>"Dgkg"</f>
        <v>Dgkg</v>
      </c>
      <c r="O3596" s="3" t="str">
        <f>HYPERLINK("http://www.informatics.jax.org/marker/MGI:105060", "MGI:105060")</f>
        <v>MGI:105060</v>
      </c>
      <c r="P3596" t="s">
        <v>40043</v>
      </c>
      <c r="Q3596" t="s">
        <v>598</v>
      </c>
      <c r="R3596" t="s">
        <v>2028</v>
      </c>
      <c r="S3596" t="s">
        <v>32</v>
      </c>
      <c r="T3596" t="s">
        <v>32</v>
      </c>
      <c r="U3596" t="s">
        <v>32</v>
      </c>
      <c r="V3596" t="s">
        <v>3791</v>
      </c>
      <c r="W3596" t="s">
        <v>18175</v>
      </c>
      <c r="X3596" t="s">
        <v>419</v>
      </c>
      <c r="Y3596" t="s">
        <v>32</v>
      </c>
      <c r="Z3596" t="s">
        <v>32</v>
      </c>
      <c r="AA3596" t="s">
        <v>40044</v>
      </c>
      <c r="AB3596" t="s">
        <v>40045</v>
      </c>
      <c r="AC3596" t="s">
        <v>40046</v>
      </c>
      <c r="AD3596" t="s">
        <v>37312</v>
      </c>
      <c r="AE3596" t="s">
        <v>40047</v>
      </c>
      <c r="AF3596" t="s">
        <v>46835</v>
      </c>
    </row>
    <row r="3597" spans="1:32" x14ac:dyDescent="0.2">
      <c r="A3597">
        <v>3592</v>
      </c>
      <c r="B3597" t="s">
        <v>40048</v>
      </c>
      <c r="C3597" t="s">
        <v>40049</v>
      </c>
      <c r="D3597" t="s">
        <v>40050</v>
      </c>
      <c r="E3597" t="s">
        <v>40051</v>
      </c>
      <c r="F3597" t="s">
        <v>40052</v>
      </c>
      <c r="G3597" t="s">
        <v>32</v>
      </c>
      <c r="H3597" t="str">
        <f>"Exosc2"</f>
        <v>Exosc2</v>
      </c>
      <c r="I3597" t="s">
        <v>40053</v>
      </c>
      <c r="J3597" t="s">
        <v>37</v>
      </c>
      <c r="K3597">
        <v>10090</v>
      </c>
      <c r="L3597" s="3" t="str">
        <f>HYPERLINK("http://www.uniprot.org/uniprot/Q8VBV3", "Q8VBV3")</f>
        <v>Q8VBV3</v>
      </c>
      <c r="M3597" t="s">
        <v>40054</v>
      </c>
      <c r="N3597" t="str">
        <f>"Exosc2"</f>
        <v>Exosc2</v>
      </c>
      <c r="O3597" s="3" t="str">
        <f>HYPERLINK("http://www.informatics.jax.org/marker/MGI:2385133", "MGI:2385133")</f>
        <v>MGI:2385133</v>
      </c>
      <c r="P3597" t="s">
        <v>37470</v>
      </c>
      <c r="Q3597" t="s">
        <v>15770</v>
      </c>
      <c r="R3597" t="s">
        <v>28476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1282</v>
      </c>
      <c r="Y3597" t="s">
        <v>618</v>
      </c>
      <c r="Z3597" t="s">
        <v>32</v>
      </c>
      <c r="AA3597" t="s">
        <v>40055</v>
      </c>
      <c r="AB3597" t="s">
        <v>40056</v>
      </c>
      <c r="AC3597" t="s">
        <v>4711</v>
      </c>
      <c r="AD3597" t="s">
        <v>32</v>
      </c>
      <c r="AE3597" t="s">
        <v>28479</v>
      </c>
      <c r="AF3597" t="s">
        <v>46835</v>
      </c>
    </row>
    <row r="3598" spans="1:32" x14ac:dyDescent="0.2">
      <c r="A3598">
        <v>3593</v>
      </c>
      <c r="B3598" t="s">
        <v>40057</v>
      </c>
      <c r="C3598" t="s">
        <v>40058</v>
      </c>
      <c r="D3598" t="s">
        <v>40059</v>
      </c>
      <c r="E3598" t="s">
        <v>40060</v>
      </c>
      <c r="F3598" t="s">
        <v>40061</v>
      </c>
      <c r="G3598" t="s">
        <v>40062</v>
      </c>
      <c r="H3598" t="str">
        <f>"Trmt5"</f>
        <v>Trmt5</v>
      </c>
      <c r="I3598" t="s">
        <v>40063</v>
      </c>
      <c r="J3598" t="s">
        <v>37</v>
      </c>
      <c r="K3598">
        <v>10090</v>
      </c>
      <c r="L3598" s="3" t="str">
        <f>HYPERLINK("http://www.uniprot.org/uniprot/Q9D0C4", "Q9D0C4")</f>
        <v>Q9D0C4</v>
      </c>
      <c r="M3598" t="s">
        <v>40064</v>
      </c>
      <c r="N3598" t="str">
        <f>"Trmt5"</f>
        <v>Trmt5</v>
      </c>
      <c r="O3598" s="3" t="str">
        <f>HYPERLINK("http://www.informatics.jax.org/marker/MGI:1923607", "MGI:1923607")</f>
        <v>MGI:1923607</v>
      </c>
      <c r="P3598" t="s">
        <v>40065</v>
      </c>
      <c r="Q3598" t="s">
        <v>4386</v>
      </c>
      <c r="R3598" t="s">
        <v>1021</v>
      </c>
      <c r="S3598" t="s">
        <v>41</v>
      </c>
      <c r="T3598" t="s">
        <v>32</v>
      </c>
      <c r="U3598" t="s">
        <v>32</v>
      </c>
      <c r="V3598" t="s">
        <v>32</v>
      </c>
      <c r="W3598" t="s">
        <v>1705</v>
      </c>
      <c r="X3598" t="s">
        <v>1706</v>
      </c>
      <c r="Y3598" t="s">
        <v>32</v>
      </c>
      <c r="Z3598" t="s">
        <v>32</v>
      </c>
      <c r="AA3598" t="s">
        <v>40066</v>
      </c>
      <c r="AB3598" t="s">
        <v>40067</v>
      </c>
      <c r="AC3598" t="s">
        <v>40068</v>
      </c>
      <c r="AD3598" t="s">
        <v>32</v>
      </c>
      <c r="AE3598" t="s">
        <v>32</v>
      </c>
      <c r="AF3598" t="s">
        <v>46835</v>
      </c>
    </row>
    <row r="3599" spans="1:32" x14ac:dyDescent="0.2">
      <c r="A3599">
        <v>3594</v>
      </c>
      <c r="B3599" t="s">
        <v>40069</v>
      </c>
      <c r="C3599" t="s">
        <v>40070</v>
      </c>
      <c r="D3599" t="s">
        <v>40071</v>
      </c>
      <c r="E3599" t="s">
        <v>40072</v>
      </c>
      <c r="F3599" t="s">
        <v>40073</v>
      </c>
      <c r="G3599" t="s">
        <v>40074</v>
      </c>
      <c r="H3599" t="str">
        <f>"Vps41"</f>
        <v>Vps41</v>
      </c>
      <c r="I3599" t="s">
        <v>32</v>
      </c>
      <c r="J3599" t="s">
        <v>37</v>
      </c>
      <c r="K3599">
        <v>10090</v>
      </c>
      <c r="L3599" s="3" t="str">
        <f>HYPERLINK("http://www.uniprot.org/uniprot/Q5KU39", "Q5KU39")</f>
        <v>Q5KU39</v>
      </c>
      <c r="M3599" t="s">
        <v>40075</v>
      </c>
      <c r="N3599" t="str">
        <f>"Vps41"</f>
        <v>Vps41</v>
      </c>
      <c r="O3599" s="3" t="str">
        <f>HYPERLINK("http://www.informatics.jax.org/marker/MGI:1929215", "MGI:1929215")</f>
        <v>MGI:1929215</v>
      </c>
      <c r="P3599" t="s">
        <v>40076</v>
      </c>
      <c r="Q3599" t="s">
        <v>23025</v>
      </c>
      <c r="R3599" t="s">
        <v>40077</v>
      </c>
      <c r="S3599" t="s">
        <v>32</v>
      </c>
      <c r="T3599" t="s">
        <v>32</v>
      </c>
      <c r="U3599" t="s">
        <v>32</v>
      </c>
      <c r="V3599" t="s">
        <v>446</v>
      </c>
      <c r="W3599" t="s">
        <v>42</v>
      </c>
      <c r="X3599" t="s">
        <v>32</v>
      </c>
      <c r="Y3599" t="s">
        <v>32</v>
      </c>
      <c r="Z3599" t="s">
        <v>32</v>
      </c>
      <c r="AA3599" t="s">
        <v>40078</v>
      </c>
      <c r="AB3599" t="s">
        <v>40079</v>
      </c>
      <c r="AC3599" t="s">
        <v>40080</v>
      </c>
      <c r="AD3599" t="s">
        <v>32</v>
      </c>
      <c r="AE3599" t="s">
        <v>32</v>
      </c>
      <c r="AF3599" t="s">
        <v>46835</v>
      </c>
    </row>
    <row r="3600" spans="1:32" x14ac:dyDescent="0.2">
      <c r="A3600">
        <v>3595</v>
      </c>
      <c r="B3600" t="s">
        <v>40081</v>
      </c>
      <c r="C3600" t="s">
        <v>40082</v>
      </c>
      <c r="D3600" t="s">
        <v>40083</v>
      </c>
      <c r="E3600" t="s">
        <v>40084</v>
      </c>
      <c r="F3600" t="s">
        <v>40085</v>
      </c>
      <c r="G3600" t="s">
        <v>40086</v>
      </c>
      <c r="H3600" t="str">
        <f>"Ogfod1"</f>
        <v>Ogfod1</v>
      </c>
      <c r="I3600" t="s">
        <v>40087</v>
      </c>
      <c r="J3600" t="s">
        <v>37</v>
      </c>
      <c r="K3600">
        <v>10090</v>
      </c>
      <c r="L3600" s="3" t="str">
        <f>HYPERLINK("http://www.uniprot.org/uniprot/Q3U0K8", "Q3U0K8")</f>
        <v>Q3U0K8</v>
      </c>
      <c r="M3600" t="s">
        <v>40088</v>
      </c>
      <c r="N3600" t="str">
        <f>"Ogfod1"</f>
        <v>Ogfod1</v>
      </c>
      <c r="O3600" s="3" t="str">
        <f>HYPERLINK("http://www.informatics.jax.org/marker/MGI:2442978", "MGI:2442978")</f>
        <v>MGI:2442978</v>
      </c>
      <c r="P3600" t="s">
        <v>40089</v>
      </c>
      <c r="Q3600" t="s">
        <v>32</v>
      </c>
      <c r="R3600" t="s">
        <v>40</v>
      </c>
      <c r="S3600" t="s">
        <v>41</v>
      </c>
      <c r="T3600" t="s">
        <v>32</v>
      </c>
      <c r="U3600" t="s">
        <v>32</v>
      </c>
      <c r="V3600" t="s">
        <v>32</v>
      </c>
      <c r="W3600" t="s">
        <v>3731</v>
      </c>
      <c r="X3600" t="s">
        <v>3732</v>
      </c>
      <c r="Y3600" t="s">
        <v>32</v>
      </c>
      <c r="Z3600" t="s">
        <v>32</v>
      </c>
      <c r="AA3600" t="s">
        <v>40090</v>
      </c>
      <c r="AB3600" t="s">
        <v>40091</v>
      </c>
      <c r="AC3600" t="s">
        <v>40092</v>
      </c>
      <c r="AD3600" t="s">
        <v>32</v>
      </c>
      <c r="AE3600" t="s">
        <v>32</v>
      </c>
      <c r="AF3600" t="s">
        <v>46835</v>
      </c>
    </row>
    <row r="3601" spans="1:32" x14ac:dyDescent="0.2">
      <c r="A3601">
        <v>3596</v>
      </c>
      <c r="B3601" t="s">
        <v>40093</v>
      </c>
      <c r="C3601" t="s">
        <v>40094</v>
      </c>
      <c r="D3601" t="s">
        <v>40095</v>
      </c>
      <c r="E3601" t="s">
        <v>40096</v>
      </c>
      <c r="F3601" t="s">
        <v>40097</v>
      </c>
      <c r="G3601" t="s">
        <v>40098</v>
      </c>
      <c r="H3601" t="str">
        <f>"Apbb1"</f>
        <v>Apbb1</v>
      </c>
      <c r="I3601" t="s">
        <v>32</v>
      </c>
      <c r="J3601" t="s">
        <v>37</v>
      </c>
      <c r="K3601">
        <v>10090</v>
      </c>
      <c r="L3601" s="3" t="str">
        <f>HYPERLINK("http://www.uniprot.org/uniprot/Q9QXJ1", "Q9QXJ1")</f>
        <v>Q9QXJ1</v>
      </c>
      <c r="M3601" t="s">
        <v>40099</v>
      </c>
      <c r="N3601" t="str">
        <f>"Apbb1"</f>
        <v>Apbb1</v>
      </c>
      <c r="O3601" s="3" t="str">
        <f>HYPERLINK("http://www.informatics.jax.org/marker/MGI:107765", "MGI:107765")</f>
        <v>MGI:107765</v>
      </c>
      <c r="P3601" t="s">
        <v>40100</v>
      </c>
      <c r="Q3601" t="s">
        <v>40101</v>
      </c>
      <c r="R3601" t="s">
        <v>1909</v>
      </c>
      <c r="S3601" t="s">
        <v>41</v>
      </c>
      <c r="T3601" t="s">
        <v>32</v>
      </c>
      <c r="U3601" t="s">
        <v>32</v>
      </c>
      <c r="V3601" t="s">
        <v>55</v>
      </c>
      <c r="W3601" t="s">
        <v>32</v>
      </c>
      <c r="X3601" t="s">
        <v>40102</v>
      </c>
      <c r="Y3601" t="s">
        <v>1023</v>
      </c>
      <c r="Z3601" t="s">
        <v>32</v>
      </c>
      <c r="AA3601" t="s">
        <v>40103</v>
      </c>
      <c r="AB3601" t="s">
        <v>40104</v>
      </c>
      <c r="AC3601" t="s">
        <v>40105</v>
      </c>
      <c r="AD3601" t="s">
        <v>32</v>
      </c>
      <c r="AE3601" t="s">
        <v>40106</v>
      </c>
      <c r="AF3601" t="s">
        <v>46835</v>
      </c>
    </row>
    <row r="3602" spans="1:32" x14ac:dyDescent="0.2">
      <c r="A3602">
        <v>3597</v>
      </c>
      <c r="B3602" t="s">
        <v>40107</v>
      </c>
      <c r="C3602" t="s">
        <v>40108</v>
      </c>
      <c r="D3602" t="s">
        <v>40109</v>
      </c>
      <c r="E3602" t="s">
        <v>40110</v>
      </c>
      <c r="F3602" t="s">
        <v>40111</v>
      </c>
      <c r="G3602" t="s">
        <v>40112</v>
      </c>
      <c r="H3602" t="str">
        <f>"Postn"</f>
        <v>Postn</v>
      </c>
      <c r="I3602" t="s">
        <v>40113</v>
      </c>
      <c r="J3602" t="s">
        <v>37</v>
      </c>
      <c r="K3602">
        <v>10090</v>
      </c>
      <c r="L3602" s="3" t="str">
        <f>HYPERLINK("http://www.uniprot.org/uniprot/Q62009", "Q62009")</f>
        <v>Q62009</v>
      </c>
      <c r="M3602" t="s">
        <v>40114</v>
      </c>
      <c r="N3602" t="str">
        <f>"Postn"</f>
        <v>Postn</v>
      </c>
      <c r="O3602" s="3" t="str">
        <f>HYPERLINK("http://www.informatics.jax.org/marker/MGI:1926321", "MGI:1926321")</f>
        <v>MGI:1926321</v>
      </c>
      <c r="P3602" t="s">
        <v>40115</v>
      </c>
      <c r="Q3602" t="s">
        <v>2784</v>
      </c>
      <c r="R3602" t="s">
        <v>40116</v>
      </c>
      <c r="S3602" t="s">
        <v>41</v>
      </c>
      <c r="T3602" t="s">
        <v>32</v>
      </c>
      <c r="U3602" t="s">
        <v>32</v>
      </c>
      <c r="V3602" t="s">
        <v>478</v>
      </c>
      <c r="W3602" t="s">
        <v>32</v>
      </c>
      <c r="X3602" t="s">
        <v>5246</v>
      </c>
      <c r="Y3602" t="s">
        <v>40117</v>
      </c>
      <c r="Z3602" t="s">
        <v>32</v>
      </c>
      <c r="AA3602" t="s">
        <v>40118</v>
      </c>
      <c r="AB3602" t="s">
        <v>40119</v>
      </c>
      <c r="AC3602" t="s">
        <v>40120</v>
      </c>
      <c r="AD3602" t="s">
        <v>32</v>
      </c>
      <c r="AE3602" t="s">
        <v>32</v>
      </c>
      <c r="AF3602" t="s">
        <v>46835</v>
      </c>
    </row>
    <row r="3603" spans="1:32" x14ac:dyDescent="0.2">
      <c r="A3603">
        <v>3598</v>
      </c>
      <c r="B3603" t="s">
        <v>40121</v>
      </c>
      <c r="C3603" t="s">
        <v>40122</v>
      </c>
      <c r="D3603" t="s">
        <v>40123</v>
      </c>
      <c r="E3603" t="s">
        <v>40124</v>
      </c>
      <c r="F3603" t="s">
        <v>40125</v>
      </c>
      <c r="G3603" t="s">
        <v>40126</v>
      </c>
      <c r="H3603" t="str">
        <f>"Cd151"</f>
        <v>Cd151</v>
      </c>
      <c r="I3603" t="s">
        <v>40127</v>
      </c>
      <c r="J3603" t="s">
        <v>37</v>
      </c>
      <c r="K3603">
        <v>10090</v>
      </c>
      <c r="L3603" s="3" t="str">
        <f>HYPERLINK("http://www.uniprot.org/uniprot/O35566", "O35566")</f>
        <v>O35566</v>
      </c>
      <c r="M3603" t="s">
        <v>40128</v>
      </c>
      <c r="N3603" t="str">
        <f>"Cd151"</f>
        <v>Cd151</v>
      </c>
      <c r="O3603" s="3" t="str">
        <f>HYPERLINK("http://www.informatics.jax.org/marker/MGI:1096360", "MGI:1096360")</f>
        <v>MGI:1096360</v>
      </c>
      <c r="P3603" t="s">
        <v>40129</v>
      </c>
      <c r="Q3603" t="s">
        <v>32</v>
      </c>
      <c r="R3603" t="s">
        <v>5989</v>
      </c>
      <c r="S3603" t="s">
        <v>32</v>
      </c>
      <c r="T3603" t="s">
        <v>32</v>
      </c>
      <c r="U3603" t="s">
        <v>32</v>
      </c>
      <c r="V3603" t="s">
        <v>493</v>
      </c>
      <c r="W3603" t="s">
        <v>32</v>
      </c>
      <c r="X3603" t="s">
        <v>32</v>
      </c>
      <c r="Y3603" t="s">
        <v>40130</v>
      </c>
      <c r="Z3603" t="s">
        <v>32</v>
      </c>
      <c r="AA3603" t="s">
        <v>40131</v>
      </c>
      <c r="AB3603" t="s">
        <v>40132</v>
      </c>
      <c r="AC3603" t="s">
        <v>40133</v>
      </c>
      <c r="AD3603" t="s">
        <v>32</v>
      </c>
      <c r="AE3603" t="s">
        <v>40134</v>
      </c>
      <c r="AF3603" t="s">
        <v>46835</v>
      </c>
    </row>
    <row r="3604" spans="1:32" x14ac:dyDescent="0.2">
      <c r="A3604">
        <v>3599</v>
      </c>
      <c r="B3604" t="s">
        <v>40135</v>
      </c>
      <c r="C3604" t="s">
        <v>40136</v>
      </c>
      <c r="D3604" t="s">
        <v>32</v>
      </c>
      <c r="E3604" t="s">
        <v>40137</v>
      </c>
      <c r="F3604" t="s">
        <v>40138</v>
      </c>
      <c r="G3604" t="s">
        <v>40139</v>
      </c>
      <c r="H3604" t="str">
        <f>"Nol7"</f>
        <v>Nol7</v>
      </c>
      <c r="I3604" t="s">
        <v>32</v>
      </c>
      <c r="J3604" t="s">
        <v>37</v>
      </c>
      <c r="K3604">
        <v>10090</v>
      </c>
      <c r="L3604" s="3" t="str">
        <f>HYPERLINK("http://www.uniprot.org/uniprot/Q9D7Z3", "Q9D7Z3")</f>
        <v>Q9D7Z3</v>
      </c>
      <c r="M3604" t="s">
        <v>40140</v>
      </c>
      <c r="N3604" t="str">
        <f>"Nol7"</f>
        <v>Nol7</v>
      </c>
      <c r="O3604" s="3" t="str">
        <f>HYPERLINK("http://www.informatics.jax.org/marker/MGI:1917328", "MGI:1917328")</f>
        <v>MGI:1917328</v>
      </c>
      <c r="P3604" t="s">
        <v>40141</v>
      </c>
      <c r="Q3604" t="s">
        <v>32</v>
      </c>
      <c r="R3604" t="s">
        <v>2279</v>
      </c>
      <c r="S3604" t="s">
        <v>41</v>
      </c>
      <c r="T3604" t="s">
        <v>32</v>
      </c>
      <c r="U3604" t="s">
        <v>32</v>
      </c>
      <c r="V3604" t="s">
        <v>32</v>
      </c>
      <c r="W3604" t="s">
        <v>32</v>
      </c>
      <c r="X3604" t="s">
        <v>32</v>
      </c>
      <c r="Y3604" t="s">
        <v>1007</v>
      </c>
      <c r="Z3604" t="s">
        <v>32</v>
      </c>
      <c r="AA3604" t="s">
        <v>32</v>
      </c>
      <c r="AB3604" t="s">
        <v>40142</v>
      </c>
      <c r="AC3604" t="s">
        <v>32</v>
      </c>
      <c r="AD3604" t="s">
        <v>32</v>
      </c>
      <c r="AE3604" t="s">
        <v>32</v>
      </c>
      <c r="AF3604" t="s">
        <v>46835</v>
      </c>
    </row>
    <row r="3605" spans="1:32" x14ac:dyDescent="0.2">
      <c r="A3605">
        <v>3600</v>
      </c>
      <c r="B3605" t="s">
        <v>40143</v>
      </c>
      <c r="C3605" t="s">
        <v>40144</v>
      </c>
      <c r="D3605" t="s">
        <v>32</v>
      </c>
      <c r="E3605" t="s">
        <v>40145</v>
      </c>
      <c r="F3605" t="s">
        <v>40146</v>
      </c>
      <c r="G3605" t="s">
        <v>40147</v>
      </c>
      <c r="H3605" t="str">
        <f>"Pisd"</f>
        <v>Pisd</v>
      </c>
      <c r="I3605" t="s">
        <v>32</v>
      </c>
      <c r="J3605" t="s">
        <v>37</v>
      </c>
      <c r="K3605">
        <v>10090</v>
      </c>
      <c r="L3605" s="3" t="str">
        <f>HYPERLINK("http://www.uniprot.org/uniprot/Q8BSF4", "Q8BSF4")</f>
        <v>Q8BSF4</v>
      </c>
      <c r="M3605" t="s">
        <v>40148</v>
      </c>
      <c r="N3605" t="str">
        <f>"Pisd"</f>
        <v>Pisd</v>
      </c>
      <c r="O3605" s="3" t="str">
        <f>HYPERLINK("http://www.informatics.jax.org/marker/MGI:2445114", "MGI:2445114")</f>
        <v>MGI:2445114</v>
      </c>
      <c r="P3605" t="s">
        <v>40149</v>
      </c>
      <c r="Q3605" t="s">
        <v>22663</v>
      </c>
      <c r="R3605" t="s">
        <v>40150</v>
      </c>
      <c r="S3605" t="s">
        <v>32</v>
      </c>
      <c r="T3605" t="s">
        <v>32</v>
      </c>
      <c r="U3605" t="s">
        <v>32</v>
      </c>
      <c r="V3605" t="s">
        <v>3859</v>
      </c>
      <c r="W3605" t="s">
        <v>40151</v>
      </c>
      <c r="X3605" t="s">
        <v>19521</v>
      </c>
      <c r="Y3605" t="s">
        <v>4013</v>
      </c>
      <c r="Z3605" t="s">
        <v>32</v>
      </c>
      <c r="AA3605" t="s">
        <v>40152</v>
      </c>
      <c r="AB3605" t="s">
        <v>40153</v>
      </c>
      <c r="AC3605" t="s">
        <v>40154</v>
      </c>
      <c r="AD3605" t="s">
        <v>40155</v>
      </c>
      <c r="AE3605" t="s">
        <v>32</v>
      </c>
      <c r="AF3605" t="s">
        <v>46835</v>
      </c>
    </row>
    <row r="3606" spans="1:32" x14ac:dyDescent="0.2">
      <c r="A3606">
        <v>3601</v>
      </c>
      <c r="B3606" t="s">
        <v>40156</v>
      </c>
      <c r="C3606" t="s">
        <v>40157</v>
      </c>
      <c r="D3606" t="s">
        <v>40158</v>
      </c>
      <c r="E3606" t="s">
        <v>40159</v>
      </c>
      <c r="F3606" t="s">
        <v>40160</v>
      </c>
      <c r="G3606" t="s">
        <v>40161</v>
      </c>
      <c r="H3606" t="str">
        <f>"Specc1l"</f>
        <v>Specc1l</v>
      </c>
      <c r="I3606" t="s">
        <v>40162</v>
      </c>
      <c r="J3606" t="s">
        <v>37</v>
      </c>
      <c r="K3606">
        <v>10090</v>
      </c>
      <c r="L3606" s="3" t="str">
        <f>HYPERLINK("http://www.uniprot.org/uniprot/Q2KN98", "Q2KN98")</f>
        <v>Q2KN98</v>
      </c>
      <c r="M3606" t="s">
        <v>40163</v>
      </c>
      <c r="N3606" t="str">
        <f>"Specc1l"</f>
        <v>Specc1l</v>
      </c>
      <c r="O3606" s="3" t="str">
        <f>HYPERLINK("http://www.informatics.jax.org/marker/MGI:1921642", "MGI:1921642")</f>
        <v>MGI:1921642</v>
      </c>
      <c r="P3606" t="s">
        <v>40164</v>
      </c>
      <c r="Q3606" t="s">
        <v>11508</v>
      </c>
      <c r="R3606" t="s">
        <v>40165</v>
      </c>
      <c r="S3606" t="s">
        <v>32</v>
      </c>
      <c r="T3606" t="s">
        <v>32</v>
      </c>
      <c r="U3606" t="s">
        <v>32</v>
      </c>
      <c r="V3606" t="s">
        <v>290</v>
      </c>
      <c r="W3606" t="s">
        <v>32</v>
      </c>
      <c r="X3606" t="s">
        <v>32</v>
      </c>
      <c r="Y3606" t="s">
        <v>618</v>
      </c>
      <c r="Z3606" t="s">
        <v>32</v>
      </c>
      <c r="AA3606" t="s">
        <v>40166</v>
      </c>
      <c r="AB3606" t="s">
        <v>40167</v>
      </c>
      <c r="AC3606" t="s">
        <v>21999</v>
      </c>
      <c r="AD3606" t="s">
        <v>32</v>
      </c>
      <c r="AE3606" t="s">
        <v>32</v>
      </c>
      <c r="AF3606" t="s">
        <v>46835</v>
      </c>
    </row>
    <row r="3607" spans="1:32" x14ac:dyDescent="0.2">
      <c r="A3607">
        <v>3602</v>
      </c>
      <c r="B3607" t="s">
        <v>40168</v>
      </c>
      <c r="C3607" t="s">
        <v>40169</v>
      </c>
      <c r="D3607" t="s">
        <v>40170</v>
      </c>
      <c r="E3607" t="s">
        <v>40171</v>
      </c>
      <c r="F3607" t="s">
        <v>40172</v>
      </c>
      <c r="G3607" t="s">
        <v>40173</v>
      </c>
      <c r="H3607" t="str">
        <f>"Rbm7"</f>
        <v>Rbm7</v>
      </c>
      <c r="I3607" t="s">
        <v>32</v>
      </c>
      <c r="J3607" t="s">
        <v>37</v>
      </c>
      <c r="K3607">
        <v>10090</v>
      </c>
      <c r="L3607" s="3" t="str">
        <f>HYPERLINK("http://www.uniprot.org/uniprot/Q9CQT2", "Q9CQT2")</f>
        <v>Q9CQT2</v>
      </c>
      <c r="M3607" t="s">
        <v>40174</v>
      </c>
      <c r="N3607" t="str">
        <f>"Rbm7"</f>
        <v>Rbm7</v>
      </c>
      <c r="O3607" s="3" t="str">
        <f>HYPERLINK("http://www.informatics.jax.org/marker/MGI:1914260", "MGI:1914260")</f>
        <v>MGI:1914260</v>
      </c>
      <c r="P3607" t="s">
        <v>40175</v>
      </c>
      <c r="Q3607" t="s">
        <v>18841</v>
      </c>
      <c r="R3607" t="s">
        <v>2279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1282</v>
      </c>
      <c r="Y3607" t="s">
        <v>97</v>
      </c>
      <c r="Z3607" t="s">
        <v>32</v>
      </c>
      <c r="AA3607" t="s">
        <v>40176</v>
      </c>
      <c r="AB3607" t="s">
        <v>7318</v>
      </c>
      <c r="AC3607" t="s">
        <v>40177</v>
      </c>
      <c r="AD3607" t="s">
        <v>32</v>
      </c>
      <c r="AE3607" t="s">
        <v>32</v>
      </c>
      <c r="AF3607" t="s">
        <v>46835</v>
      </c>
    </row>
    <row r="3608" spans="1:32" x14ac:dyDescent="0.2">
      <c r="A3608">
        <v>3603</v>
      </c>
      <c r="B3608" t="s">
        <v>40178</v>
      </c>
      <c r="C3608" t="s">
        <v>40179</v>
      </c>
      <c r="D3608" t="s">
        <v>40180</v>
      </c>
      <c r="E3608" t="s">
        <v>40181</v>
      </c>
      <c r="F3608" t="s">
        <v>40182</v>
      </c>
      <c r="G3608" t="s">
        <v>40183</v>
      </c>
      <c r="H3608" t="str">
        <f>"Bcam"</f>
        <v>Bcam</v>
      </c>
      <c r="I3608" t="s">
        <v>40184</v>
      </c>
      <c r="J3608" t="s">
        <v>37</v>
      </c>
      <c r="K3608">
        <v>10090</v>
      </c>
      <c r="L3608" s="3" t="str">
        <f>HYPERLINK("http://www.uniprot.org/uniprot/Q9R069", "Q9R069")</f>
        <v>Q9R069</v>
      </c>
      <c r="M3608" t="s">
        <v>40185</v>
      </c>
      <c r="N3608" t="str">
        <f>"Bcam"</f>
        <v>Bcam</v>
      </c>
      <c r="O3608" s="3" t="str">
        <f>HYPERLINK("http://www.informatics.jax.org/marker/MGI:1929940", "MGI:1929940")</f>
        <v>MGI:1929940</v>
      </c>
      <c r="P3608" t="s">
        <v>40186</v>
      </c>
      <c r="Q3608" t="s">
        <v>2784</v>
      </c>
      <c r="R3608" t="s">
        <v>5989</v>
      </c>
      <c r="S3608" t="s">
        <v>32</v>
      </c>
      <c r="T3608" t="s">
        <v>32</v>
      </c>
      <c r="U3608" t="s">
        <v>32</v>
      </c>
      <c r="V3608" t="s">
        <v>2864</v>
      </c>
      <c r="W3608" t="s">
        <v>32</v>
      </c>
      <c r="X3608" t="s">
        <v>6983</v>
      </c>
      <c r="Y3608" t="s">
        <v>2865</v>
      </c>
      <c r="Z3608" t="s">
        <v>32</v>
      </c>
      <c r="AA3608" t="s">
        <v>40187</v>
      </c>
      <c r="AB3608" t="s">
        <v>40188</v>
      </c>
      <c r="AC3608" t="s">
        <v>40189</v>
      </c>
      <c r="AD3608" t="s">
        <v>32</v>
      </c>
      <c r="AE3608" t="s">
        <v>32</v>
      </c>
      <c r="AF3608" t="s">
        <v>46835</v>
      </c>
    </row>
    <row r="3609" spans="1:32" x14ac:dyDescent="0.2">
      <c r="A3609">
        <v>3604</v>
      </c>
      <c r="B3609" t="s">
        <v>40190</v>
      </c>
      <c r="C3609" t="s">
        <v>40191</v>
      </c>
      <c r="D3609" t="s">
        <v>40192</v>
      </c>
      <c r="E3609" t="s">
        <v>40193</v>
      </c>
      <c r="F3609" t="s">
        <v>40194</v>
      </c>
      <c r="G3609" t="s">
        <v>40195</v>
      </c>
      <c r="H3609" t="str">
        <f>"Mlst8"</f>
        <v>Mlst8</v>
      </c>
      <c r="I3609" t="s">
        <v>40196</v>
      </c>
      <c r="J3609" t="s">
        <v>37</v>
      </c>
      <c r="K3609">
        <v>10090</v>
      </c>
      <c r="L3609" s="3" t="str">
        <f>HYPERLINK("http://www.uniprot.org/uniprot/Q9DCJ1", "Q9DCJ1")</f>
        <v>Q9DCJ1</v>
      </c>
      <c r="M3609" t="s">
        <v>40197</v>
      </c>
      <c r="N3609" t="str">
        <f>"Mlst8"</f>
        <v>Mlst8</v>
      </c>
      <c r="O3609" s="3" t="str">
        <f>HYPERLINK("http://www.informatics.jax.org/marker/MGI:1929514", "MGI:1929514")</f>
        <v>MGI:1929514</v>
      </c>
      <c r="P3609" t="s">
        <v>40198</v>
      </c>
      <c r="Q3609" t="s">
        <v>32</v>
      </c>
      <c r="R3609" t="s">
        <v>418</v>
      </c>
      <c r="S3609" t="s">
        <v>32</v>
      </c>
      <c r="T3609" t="s">
        <v>32</v>
      </c>
      <c r="U3609" t="s">
        <v>32</v>
      </c>
      <c r="V3609" t="s">
        <v>1910</v>
      </c>
      <c r="W3609" t="s">
        <v>32</v>
      </c>
      <c r="X3609" t="s">
        <v>32</v>
      </c>
      <c r="Y3609" t="s">
        <v>78</v>
      </c>
      <c r="Z3609" t="s">
        <v>32</v>
      </c>
      <c r="AA3609" t="s">
        <v>40199</v>
      </c>
      <c r="AB3609" t="s">
        <v>40200</v>
      </c>
      <c r="AC3609" t="s">
        <v>40201</v>
      </c>
      <c r="AD3609" t="s">
        <v>32</v>
      </c>
      <c r="AE3609" t="s">
        <v>16981</v>
      </c>
      <c r="AF3609" t="s">
        <v>46835</v>
      </c>
    </row>
    <row r="3610" spans="1:32" x14ac:dyDescent="0.2">
      <c r="A3610">
        <v>3605</v>
      </c>
      <c r="B3610" t="s">
        <v>40202</v>
      </c>
      <c r="C3610" t="s">
        <v>40203</v>
      </c>
      <c r="D3610" t="s">
        <v>32</v>
      </c>
      <c r="E3610" t="s">
        <v>40204</v>
      </c>
      <c r="F3610" t="s">
        <v>40205</v>
      </c>
      <c r="G3610" t="s">
        <v>40206</v>
      </c>
      <c r="H3610" t="str">
        <f>"Ctsf"</f>
        <v>Ctsf</v>
      </c>
      <c r="I3610" t="s">
        <v>32</v>
      </c>
      <c r="J3610" t="s">
        <v>37</v>
      </c>
      <c r="K3610">
        <v>10090</v>
      </c>
      <c r="L3610" s="3" t="str">
        <f>HYPERLINK("http://www.uniprot.org/uniprot/Q9R013", "Q9R013")</f>
        <v>Q9R013</v>
      </c>
      <c r="M3610" t="s">
        <v>40207</v>
      </c>
      <c r="N3610" t="str">
        <f>"Ctsf"</f>
        <v>Ctsf</v>
      </c>
      <c r="O3610" s="3" t="str">
        <f>HYPERLINK("http://www.informatics.jax.org/marker/MGI:1861434", "MGI:1861434")</f>
        <v>MGI:1861434</v>
      </c>
      <c r="P3610" t="s">
        <v>14160</v>
      </c>
      <c r="Q3610" t="s">
        <v>32</v>
      </c>
      <c r="R3610" t="s">
        <v>13962</v>
      </c>
      <c r="S3610" t="s">
        <v>32</v>
      </c>
      <c r="T3610" t="s">
        <v>32</v>
      </c>
      <c r="U3610" t="s">
        <v>32</v>
      </c>
      <c r="V3610" t="s">
        <v>811</v>
      </c>
      <c r="W3610" t="s">
        <v>32</v>
      </c>
      <c r="X3610" t="s">
        <v>557</v>
      </c>
      <c r="Y3610" t="s">
        <v>5781</v>
      </c>
      <c r="Z3610" t="s">
        <v>32</v>
      </c>
      <c r="AA3610" t="s">
        <v>30968</v>
      </c>
      <c r="AB3610" t="s">
        <v>40208</v>
      </c>
      <c r="AC3610" t="s">
        <v>40209</v>
      </c>
      <c r="AD3610" t="s">
        <v>32</v>
      </c>
      <c r="AE3610" t="s">
        <v>40210</v>
      </c>
      <c r="AF3610" t="s">
        <v>46835</v>
      </c>
    </row>
    <row r="3611" spans="1:32" x14ac:dyDescent="0.2">
      <c r="A3611">
        <v>3606</v>
      </c>
      <c r="B3611" t="s">
        <v>40211</v>
      </c>
      <c r="C3611" t="s">
        <v>40212</v>
      </c>
      <c r="D3611" t="s">
        <v>40213</v>
      </c>
      <c r="E3611" t="s">
        <v>40214</v>
      </c>
      <c r="F3611" t="s">
        <v>40215</v>
      </c>
      <c r="G3611" t="s">
        <v>40216</v>
      </c>
      <c r="H3611" t="str">
        <f>"Nf2"</f>
        <v>Nf2</v>
      </c>
      <c r="I3611" t="s">
        <v>40217</v>
      </c>
      <c r="J3611" t="s">
        <v>37</v>
      </c>
      <c r="K3611">
        <v>10090</v>
      </c>
      <c r="L3611" s="3" t="str">
        <f>HYPERLINK("http://www.uniprot.org/uniprot/P46662", "P46662")</f>
        <v>P46662</v>
      </c>
      <c r="M3611" t="s">
        <v>40218</v>
      </c>
      <c r="N3611" t="str">
        <f>"Nf2"</f>
        <v>Nf2</v>
      </c>
      <c r="O3611" s="3" t="str">
        <f>HYPERLINK("http://www.informatics.jax.org/marker/MGI:97307", "MGI:97307")</f>
        <v>MGI:97307</v>
      </c>
      <c r="P3611" t="s">
        <v>40219</v>
      </c>
      <c r="Q3611" t="s">
        <v>32</v>
      </c>
      <c r="R3611" t="s">
        <v>2265</v>
      </c>
      <c r="S3611" t="s">
        <v>41</v>
      </c>
      <c r="T3611" t="s">
        <v>32</v>
      </c>
      <c r="U3611" t="s">
        <v>1636</v>
      </c>
      <c r="V3611" t="s">
        <v>32</v>
      </c>
      <c r="W3611" t="s">
        <v>32</v>
      </c>
      <c r="X3611" t="s">
        <v>32</v>
      </c>
      <c r="Y3611" t="s">
        <v>2836</v>
      </c>
      <c r="Z3611" t="s">
        <v>126</v>
      </c>
      <c r="AA3611" t="s">
        <v>40220</v>
      </c>
      <c r="AB3611" t="s">
        <v>40221</v>
      </c>
      <c r="AC3611" t="s">
        <v>40222</v>
      </c>
      <c r="AD3611" t="s">
        <v>32</v>
      </c>
      <c r="AE3611" t="s">
        <v>1370</v>
      </c>
      <c r="AF3611" t="s">
        <v>46835</v>
      </c>
    </row>
    <row r="3612" spans="1:32" x14ac:dyDescent="0.2">
      <c r="A3612">
        <v>3607</v>
      </c>
      <c r="B3612" t="s">
        <v>40223</v>
      </c>
      <c r="C3612" t="s">
        <v>40224</v>
      </c>
      <c r="D3612" t="s">
        <v>32</v>
      </c>
      <c r="E3612" t="s">
        <v>40225</v>
      </c>
      <c r="F3612" t="s">
        <v>40226</v>
      </c>
      <c r="G3612" t="s">
        <v>40227</v>
      </c>
      <c r="H3612" t="str">
        <f>"Mlycd"</f>
        <v>Mlycd</v>
      </c>
      <c r="I3612" t="s">
        <v>32</v>
      </c>
      <c r="J3612" t="s">
        <v>37</v>
      </c>
      <c r="K3612">
        <v>10090</v>
      </c>
      <c r="L3612" s="3" t="str">
        <f>HYPERLINK("http://www.uniprot.org/uniprot/Q99J39", "Q99J39")</f>
        <v>Q99J39</v>
      </c>
      <c r="M3612" t="s">
        <v>40228</v>
      </c>
      <c r="N3612" t="str">
        <f>"Mlycd"</f>
        <v>Mlycd</v>
      </c>
      <c r="O3612" s="3" t="str">
        <f>HYPERLINK("http://www.informatics.jax.org/marker/MGI:1928485", "MGI:1928485")</f>
        <v>MGI:1928485</v>
      </c>
      <c r="P3612" t="s">
        <v>40229</v>
      </c>
      <c r="Q3612" t="s">
        <v>1249</v>
      </c>
      <c r="R3612" t="s">
        <v>5687</v>
      </c>
      <c r="S3612" t="s">
        <v>477</v>
      </c>
      <c r="T3612" t="s">
        <v>32</v>
      </c>
      <c r="U3612" t="s">
        <v>32</v>
      </c>
      <c r="V3612" t="s">
        <v>1039</v>
      </c>
      <c r="W3612" t="s">
        <v>32</v>
      </c>
      <c r="X3612" t="s">
        <v>19521</v>
      </c>
      <c r="Y3612" t="s">
        <v>8737</v>
      </c>
      <c r="Z3612" t="s">
        <v>32</v>
      </c>
      <c r="AA3612" t="s">
        <v>40230</v>
      </c>
      <c r="AB3612" t="s">
        <v>40231</v>
      </c>
      <c r="AC3612" t="s">
        <v>40232</v>
      </c>
      <c r="AD3612" t="s">
        <v>40233</v>
      </c>
      <c r="AE3612" t="s">
        <v>40234</v>
      </c>
      <c r="AF3612" t="s">
        <v>46835</v>
      </c>
    </row>
    <row r="3613" spans="1:32" x14ac:dyDescent="0.2">
      <c r="A3613">
        <v>3608</v>
      </c>
      <c r="B3613" t="s">
        <v>40235</v>
      </c>
      <c r="C3613" t="s">
        <v>40236</v>
      </c>
      <c r="D3613" t="s">
        <v>40237</v>
      </c>
      <c r="E3613" t="s">
        <v>40238</v>
      </c>
      <c r="F3613" t="s">
        <v>40239</v>
      </c>
      <c r="G3613" t="s">
        <v>40240</v>
      </c>
      <c r="H3613" t="str">
        <f>"Extl2"</f>
        <v>Extl2</v>
      </c>
      <c r="I3613" t="s">
        <v>40241</v>
      </c>
      <c r="J3613" t="s">
        <v>37</v>
      </c>
      <c r="K3613">
        <v>10090</v>
      </c>
      <c r="L3613" s="3" t="str">
        <f>HYPERLINK("http://www.uniprot.org/uniprot/Q9ES89", "Q9ES89")</f>
        <v>Q9ES89</v>
      </c>
      <c r="M3613" t="s">
        <v>40242</v>
      </c>
      <c r="N3613" t="str">
        <f>"Extl2"</f>
        <v>Extl2</v>
      </c>
      <c r="O3613" s="3" t="str">
        <f>HYPERLINK("http://www.informatics.jax.org/marker/MGI:1889574", "MGI:1889574")</f>
        <v>MGI:1889574</v>
      </c>
      <c r="P3613" t="s">
        <v>40243</v>
      </c>
      <c r="Q3613" t="s">
        <v>32</v>
      </c>
      <c r="R3613" t="s">
        <v>1664</v>
      </c>
      <c r="S3613" t="s">
        <v>32</v>
      </c>
      <c r="T3613" t="s">
        <v>32</v>
      </c>
      <c r="U3613" t="s">
        <v>32</v>
      </c>
      <c r="V3613" t="s">
        <v>1550</v>
      </c>
      <c r="W3613" t="s">
        <v>5883</v>
      </c>
      <c r="X3613" t="s">
        <v>2362</v>
      </c>
      <c r="Y3613" t="s">
        <v>5275</v>
      </c>
      <c r="Z3613" t="s">
        <v>126</v>
      </c>
      <c r="AA3613" t="s">
        <v>40244</v>
      </c>
      <c r="AB3613" t="s">
        <v>40245</v>
      </c>
      <c r="AC3613" t="s">
        <v>40246</v>
      </c>
      <c r="AD3613" t="s">
        <v>32</v>
      </c>
      <c r="AE3613" t="s">
        <v>32</v>
      </c>
      <c r="AF3613" t="s">
        <v>46835</v>
      </c>
    </row>
    <row r="3614" spans="1:32" x14ac:dyDescent="0.2">
      <c r="A3614">
        <v>3609</v>
      </c>
      <c r="B3614" t="s">
        <v>40247</v>
      </c>
      <c r="C3614" t="s">
        <v>40248</v>
      </c>
      <c r="D3614" t="s">
        <v>40249</v>
      </c>
      <c r="E3614" t="s">
        <v>40250</v>
      </c>
      <c r="F3614" t="s">
        <v>40251</v>
      </c>
      <c r="G3614" t="s">
        <v>32</v>
      </c>
      <c r="H3614" t="str">
        <f>"Lamtor3"</f>
        <v>Lamtor3</v>
      </c>
      <c r="I3614" t="s">
        <v>40252</v>
      </c>
      <c r="J3614" t="s">
        <v>37</v>
      </c>
      <c r="K3614">
        <v>10090</v>
      </c>
      <c r="L3614" s="3" t="str">
        <f>HYPERLINK("http://www.uniprot.org/uniprot/O88653", "O88653")</f>
        <v>O88653</v>
      </c>
      <c r="M3614" t="s">
        <v>40253</v>
      </c>
      <c r="N3614" t="str">
        <f>"Lamtor3"</f>
        <v>Lamtor3</v>
      </c>
      <c r="O3614" s="3" t="str">
        <f>HYPERLINK("http://www.informatics.jax.org/marker/MGI:1929467", "MGI:1929467")</f>
        <v>MGI:1929467</v>
      </c>
      <c r="P3614" t="s">
        <v>40254</v>
      </c>
      <c r="Q3614" t="s">
        <v>32</v>
      </c>
      <c r="R3614" t="s">
        <v>24832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32</v>
      </c>
      <c r="Y3614" t="s">
        <v>32</v>
      </c>
      <c r="Z3614" t="s">
        <v>126</v>
      </c>
      <c r="AA3614" t="s">
        <v>40255</v>
      </c>
      <c r="AB3614" t="s">
        <v>31681</v>
      </c>
      <c r="AC3614" t="s">
        <v>40256</v>
      </c>
      <c r="AD3614" t="s">
        <v>32</v>
      </c>
      <c r="AE3614" t="s">
        <v>31682</v>
      </c>
      <c r="AF3614" t="s">
        <v>46835</v>
      </c>
    </row>
    <row r="3615" spans="1:32" x14ac:dyDescent="0.2">
      <c r="A3615">
        <v>3610</v>
      </c>
      <c r="B3615" t="s">
        <v>40257</v>
      </c>
      <c r="C3615" t="s">
        <v>40258</v>
      </c>
      <c r="D3615" t="s">
        <v>40259</v>
      </c>
      <c r="E3615" t="s">
        <v>40260</v>
      </c>
      <c r="F3615" t="s">
        <v>40261</v>
      </c>
      <c r="G3615" t="s">
        <v>40262</v>
      </c>
      <c r="H3615" t="str">
        <f>"Rnf180"</f>
        <v>Rnf180</v>
      </c>
      <c r="I3615" t="s">
        <v>40263</v>
      </c>
      <c r="J3615" t="s">
        <v>37</v>
      </c>
      <c r="K3615">
        <v>10090</v>
      </c>
      <c r="L3615" s="3" t="str">
        <f>HYPERLINK("http://www.uniprot.org/uniprot/Q3U827", "Q3U827")</f>
        <v>Q3U827</v>
      </c>
      <c r="M3615" t="s">
        <v>40264</v>
      </c>
      <c r="N3615" t="str">
        <f>"Rnf180"</f>
        <v>Rnf180</v>
      </c>
      <c r="O3615" s="3" t="str">
        <f>HYPERLINK("http://www.informatics.jax.org/marker/MGI:1919066", "MGI:1919066")</f>
        <v>MGI:1919066</v>
      </c>
      <c r="P3615" t="s">
        <v>40265</v>
      </c>
      <c r="Q3615" t="s">
        <v>1020</v>
      </c>
      <c r="R3615" t="s">
        <v>17568</v>
      </c>
      <c r="S3615" t="s">
        <v>41</v>
      </c>
      <c r="T3615" t="s">
        <v>32</v>
      </c>
      <c r="U3615" t="s">
        <v>32</v>
      </c>
      <c r="V3615" t="s">
        <v>8267</v>
      </c>
      <c r="W3615" t="s">
        <v>42</v>
      </c>
      <c r="X3615" t="s">
        <v>515</v>
      </c>
      <c r="Y3615" t="s">
        <v>618</v>
      </c>
      <c r="Z3615" t="s">
        <v>32</v>
      </c>
      <c r="AA3615" t="s">
        <v>40266</v>
      </c>
      <c r="AB3615" t="s">
        <v>40267</v>
      </c>
      <c r="AC3615" t="s">
        <v>40268</v>
      </c>
      <c r="AD3615" t="s">
        <v>1027</v>
      </c>
      <c r="AE3615" t="s">
        <v>32</v>
      </c>
      <c r="AF3615" t="s">
        <v>46835</v>
      </c>
    </row>
    <row r="3616" spans="1:32" x14ac:dyDescent="0.2">
      <c r="A3616">
        <v>3611</v>
      </c>
      <c r="B3616" t="s">
        <v>40269</v>
      </c>
      <c r="C3616" t="s">
        <v>40270</v>
      </c>
      <c r="D3616" t="s">
        <v>40271</v>
      </c>
      <c r="E3616" t="s">
        <v>40272</v>
      </c>
      <c r="F3616" t="s">
        <v>40273</v>
      </c>
      <c r="G3616" t="s">
        <v>40274</v>
      </c>
      <c r="H3616" t="str">
        <f>"Rasa4"</f>
        <v>Rasa4</v>
      </c>
      <c r="I3616" t="s">
        <v>40275</v>
      </c>
      <c r="J3616" t="s">
        <v>37</v>
      </c>
      <c r="K3616">
        <v>10090</v>
      </c>
      <c r="L3616" s="3" t="str">
        <f>HYPERLINK("http://www.uniprot.org/uniprot/Q6PFQ7", "Q6PFQ7")</f>
        <v>Q6PFQ7</v>
      </c>
      <c r="M3616" t="s">
        <v>40276</v>
      </c>
      <c r="N3616" t="str">
        <f>"Rasa4"</f>
        <v>Rasa4</v>
      </c>
      <c r="O3616" s="3" t="str">
        <f>HYPERLINK("http://www.informatics.jax.org/marker/MGI:1858600", "MGI:1858600")</f>
        <v>MGI:1858600</v>
      </c>
      <c r="P3616" t="s">
        <v>40277</v>
      </c>
      <c r="Q3616" t="s">
        <v>32</v>
      </c>
      <c r="R3616" t="s">
        <v>222</v>
      </c>
      <c r="S3616" t="s">
        <v>41</v>
      </c>
      <c r="T3616" t="s">
        <v>32</v>
      </c>
      <c r="U3616" t="s">
        <v>32</v>
      </c>
      <c r="V3616" t="s">
        <v>3791</v>
      </c>
      <c r="W3616" t="s">
        <v>30196</v>
      </c>
      <c r="X3616" t="s">
        <v>715</v>
      </c>
      <c r="Y3616" t="s">
        <v>32</v>
      </c>
      <c r="Z3616" t="s">
        <v>32</v>
      </c>
      <c r="AA3616" t="s">
        <v>40278</v>
      </c>
      <c r="AB3616" t="s">
        <v>25438</v>
      </c>
      <c r="AC3616" t="s">
        <v>40279</v>
      </c>
      <c r="AD3616" t="s">
        <v>32</v>
      </c>
      <c r="AE3616" t="s">
        <v>25908</v>
      </c>
      <c r="AF3616" t="s">
        <v>46835</v>
      </c>
    </row>
    <row r="3617" spans="1:32" x14ac:dyDescent="0.2">
      <c r="A3617">
        <v>3612</v>
      </c>
      <c r="B3617" t="s">
        <v>40280</v>
      </c>
      <c r="C3617" t="s">
        <v>40281</v>
      </c>
      <c r="D3617" t="s">
        <v>40282</v>
      </c>
      <c r="E3617" t="s">
        <v>40283</v>
      </c>
      <c r="F3617" t="s">
        <v>40284</v>
      </c>
      <c r="G3617" t="s">
        <v>40285</v>
      </c>
      <c r="H3617" t="str">
        <f>"Cr1l"</f>
        <v>Cr1l</v>
      </c>
      <c r="I3617" t="s">
        <v>40286</v>
      </c>
      <c r="J3617" t="s">
        <v>37</v>
      </c>
      <c r="K3617">
        <v>10090</v>
      </c>
      <c r="L3617" s="3" t="str">
        <f>HYPERLINK("http://www.uniprot.org/uniprot/Q64735", "Q64735")</f>
        <v>Q64735</v>
      </c>
      <c r="M3617" t="s">
        <v>40287</v>
      </c>
      <c r="N3617" t="str">
        <f>"Cr1l"</f>
        <v>Cr1l</v>
      </c>
      <c r="O3617" s="3" t="str">
        <f>HYPERLINK("http://www.informatics.jax.org/marker/MGI:88513", "MGI:88513")</f>
        <v>MGI:88513</v>
      </c>
      <c r="P3617" t="s">
        <v>40288</v>
      </c>
      <c r="Q3617" t="s">
        <v>40289</v>
      </c>
      <c r="R3617" t="s">
        <v>5989</v>
      </c>
      <c r="S3617" t="s">
        <v>41</v>
      </c>
      <c r="T3617" t="s">
        <v>32</v>
      </c>
      <c r="U3617" t="s">
        <v>32</v>
      </c>
      <c r="V3617" t="s">
        <v>40290</v>
      </c>
      <c r="W3617" t="s">
        <v>32</v>
      </c>
      <c r="X3617" t="s">
        <v>9014</v>
      </c>
      <c r="Y3617" t="s">
        <v>2865</v>
      </c>
      <c r="Z3617" t="s">
        <v>126</v>
      </c>
      <c r="AA3617" t="s">
        <v>40291</v>
      </c>
      <c r="AB3617" t="s">
        <v>40292</v>
      </c>
      <c r="AC3617" t="s">
        <v>40293</v>
      </c>
      <c r="AD3617" t="s">
        <v>32</v>
      </c>
      <c r="AE3617" t="s">
        <v>40294</v>
      </c>
      <c r="AF3617" t="s">
        <v>46835</v>
      </c>
    </row>
    <row r="3618" spans="1:32" x14ac:dyDescent="0.2">
      <c r="A3618">
        <v>3613</v>
      </c>
      <c r="B3618" t="s">
        <v>40295</v>
      </c>
      <c r="C3618" t="s">
        <v>40296</v>
      </c>
      <c r="D3618" t="s">
        <v>32</v>
      </c>
      <c r="E3618" t="s">
        <v>40297</v>
      </c>
      <c r="F3618" t="s">
        <v>40298</v>
      </c>
      <c r="G3618" t="s">
        <v>40299</v>
      </c>
      <c r="H3618" t="str">
        <f>"Aagab"</f>
        <v>Aagab</v>
      </c>
      <c r="I3618" t="s">
        <v>32</v>
      </c>
      <c r="J3618" t="s">
        <v>37</v>
      </c>
      <c r="K3618">
        <v>10090</v>
      </c>
      <c r="L3618" s="3" t="str">
        <f>HYPERLINK("http://www.uniprot.org/uniprot/Q8R2R3", "Q8R2R3")</f>
        <v>Q8R2R3</v>
      </c>
      <c r="M3618" t="s">
        <v>40300</v>
      </c>
      <c r="N3618" t="str">
        <f>"Aagab"</f>
        <v>Aagab</v>
      </c>
      <c r="O3618" s="3" t="str">
        <f>HYPERLINK("http://www.informatics.jax.org/marker/MGI:1914189", "MGI:1914189")</f>
        <v>MGI:1914189</v>
      </c>
      <c r="P3618" t="s">
        <v>40301</v>
      </c>
      <c r="Q3618" t="s">
        <v>434</v>
      </c>
      <c r="R3618" t="s">
        <v>418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32</v>
      </c>
      <c r="Y3618" t="s">
        <v>618</v>
      </c>
      <c r="Z3618" t="s">
        <v>32</v>
      </c>
      <c r="AA3618" t="s">
        <v>40302</v>
      </c>
      <c r="AB3618" t="s">
        <v>40303</v>
      </c>
      <c r="AC3618" t="s">
        <v>32</v>
      </c>
      <c r="AD3618" t="s">
        <v>32</v>
      </c>
      <c r="AE3618" t="s">
        <v>32</v>
      </c>
      <c r="AF3618" t="s">
        <v>46835</v>
      </c>
    </row>
    <row r="3619" spans="1:32" x14ac:dyDescent="0.2">
      <c r="A3619">
        <v>3614</v>
      </c>
      <c r="B3619" t="s">
        <v>40304</v>
      </c>
      <c r="C3619" t="s">
        <v>40305</v>
      </c>
      <c r="D3619" t="s">
        <v>32</v>
      </c>
      <c r="E3619" t="s">
        <v>40306</v>
      </c>
      <c r="F3619" t="s">
        <v>40307</v>
      </c>
      <c r="G3619" t="s">
        <v>32</v>
      </c>
      <c r="H3619" t="str">
        <f>"Kptn"</f>
        <v>Kptn</v>
      </c>
      <c r="I3619" t="s">
        <v>32</v>
      </c>
      <c r="J3619" t="s">
        <v>37</v>
      </c>
      <c r="K3619">
        <v>10090</v>
      </c>
      <c r="L3619" s="3" t="str">
        <f>HYPERLINK("http://www.uniprot.org/uniprot/Q8VCX6", "Q8VCX6")</f>
        <v>Q8VCX6</v>
      </c>
      <c r="M3619" t="s">
        <v>40308</v>
      </c>
      <c r="N3619" t="str">
        <f>"Kptn"</f>
        <v>Kptn</v>
      </c>
      <c r="O3619" s="3" t="str">
        <f>HYPERLINK("http://www.informatics.jax.org/marker/MGI:1890380", "MGI:1890380")</f>
        <v>MGI:1890380</v>
      </c>
      <c r="P3619" t="s">
        <v>40309</v>
      </c>
      <c r="Q3619" t="s">
        <v>32</v>
      </c>
      <c r="R3619" t="s">
        <v>40310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405</v>
      </c>
      <c r="Y3619" t="s">
        <v>32</v>
      </c>
      <c r="Z3619" t="s">
        <v>32</v>
      </c>
      <c r="AA3619" t="s">
        <v>40311</v>
      </c>
      <c r="AB3619" t="s">
        <v>40312</v>
      </c>
      <c r="AC3619" t="s">
        <v>2119</v>
      </c>
      <c r="AD3619" t="s">
        <v>32</v>
      </c>
      <c r="AE3619" t="s">
        <v>40313</v>
      </c>
      <c r="AF3619" t="s">
        <v>46835</v>
      </c>
    </row>
    <row r="3620" spans="1:32" x14ac:dyDescent="0.2">
      <c r="A3620">
        <v>3615</v>
      </c>
      <c r="B3620" t="s">
        <v>40314</v>
      </c>
      <c r="C3620" t="s">
        <v>40315</v>
      </c>
      <c r="D3620" t="s">
        <v>40316</v>
      </c>
      <c r="E3620" t="s">
        <v>40317</v>
      </c>
      <c r="F3620" t="s">
        <v>40318</v>
      </c>
      <c r="G3620" t="s">
        <v>40319</v>
      </c>
      <c r="H3620" t="str">
        <f>"Prrc2b"</f>
        <v>Prrc2b</v>
      </c>
      <c r="I3620" t="s">
        <v>40320</v>
      </c>
      <c r="J3620" t="s">
        <v>37</v>
      </c>
      <c r="K3620">
        <v>10090</v>
      </c>
      <c r="L3620" s="3" t="str">
        <f>HYPERLINK("http://www.uniprot.org/uniprot/Q7TPM1", "Q7TPM1")</f>
        <v>Q7TPM1</v>
      </c>
      <c r="M3620" t="s">
        <v>40321</v>
      </c>
      <c r="N3620" t="str">
        <f>"Prrc2b"</f>
        <v>Prrc2b</v>
      </c>
      <c r="O3620" s="3" t="str">
        <f>HYPERLINK("http://www.informatics.jax.org/marker/MGI:1923304", "MGI:1923304")</f>
        <v>MGI:1923304</v>
      </c>
      <c r="P3620" t="s">
        <v>33652</v>
      </c>
      <c r="Q3620" t="s">
        <v>32</v>
      </c>
      <c r="R3620" t="s">
        <v>32</v>
      </c>
      <c r="S3620" t="s">
        <v>41</v>
      </c>
      <c r="T3620" t="s">
        <v>32</v>
      </c>
      <c r="U3620" t="s">
        <v>32</v>
      </c>
      <c r="V3620" t="s">
        <v>290</v>
      </c>
      <c r="W3620" t="s">
        <v>32</v>
      </c>
      <c r="X3620" t="s">
        <v>32</v>
      </c>
      <c r="Y3620" t="s">
        <v>1007</v>
      </c>
      <c r="Z3620" t="s">
        <v>32</v>
      </c>
      <c r="AA3620" t="s">
        <v>40322</v>
      </c>
      <c r="AB3620" t="s">
        <v>32</v>
      </c>
      <c r="AC3620" t="s">
        <v>32</v>
      </c>
      <c r="AD3620" t="s">
        <v>32</v>
      </c>
      <c r="AE3620" t="s">
        <v>32</v>
      </c>
      <c r="AF3620" t="s">
        <v>46835</v>
      </c>
    </row>
    <row r="3621" spans="1:32" x14ac:dyDescent="0.2">
      <c r="A3621">
        <v>3616</v>
      </c>
      <c r="B3621" t="s">
        <v>40323</v>
      </c>
      <c r="C3621" t="s">
        <v>40324</v>
      </c>
      <c r="D3621" t="s">
        <v>40325</v>
      </c>
      <c r="E3621" t="s">
        <v>40326</v>
      </c>
      <c r="F3621" t="s">
        <v>40327</v>
      </c>
      <c r="G3621" t="s">
        <v>40328</v>
      </c>
      <c r="H3621" t="str">
        <f>"Eif2d"</f>
        <v>Eif2d</v>
      </c>
      <c r="I3621" t="s">
        <v>40329</v>
      </c>
      <c r="J3621" t="s">
        <v>37</v>
      </c>
      <c r="K3621">
        <v>10090</v>
      </c>
      <c r="L3621" s="3" t="str">
        <f>HYPERLINK("http://www.uniprot.org/uniprot/Q61211", "Q61211")</f>
        <v>Q61211</v>
      </c>
      <c r="M3621" t="s">
        <v>40330</v>
      </c>
      <c r="N3621" t="str">
        <f>"Eif2d"</f>
        <v>Eif2d</v>
      </c>
      <c r="O3621" s="3" t="str">
        <f>HYPERLINK("http://www.informatics.jax.org/marker/MGI:109342", "MGI:109342")</f>
        <v>MGI:109342</v>
      </c>
      <c r="P3621" t="s">
        <v>40331</v>
      </c>
      <c r="Q3621" t="s">
        <v>260</v>
      </c>
      <c r="R3621" t="s">
        <v>418</v>
      </c>
      <c r="S3621" t="s">
        <v>41</v>
      </c>
      <c r="T3621" t="s">
        <v>32</v>
      </c>
      <c r="U3621" t="s">
        <v>32</v>
      </c>
      <c r="V3621" t="s">
        <v>32</v>
      </c>
      <c r="W3621" t="s">
        <v>32</v>
      </c>
      <c r="X3621" t="s">
        <v>2675</v>
      </c>
      <c r="Y3621" t="s">
        <v>157</v>
      </c>
      <c r="Z3621" t="s">
        <v>32</v>
      </c>
      <c r="AA3621" t="s">
        <v>40332</v>
      </c>
      <c r="AB3621" t="s">
        <v>40333</v>
      </c>
      <c r="AC3621" t="s">
        <v>4898</v>
      </c>
      <c r="AD3621" t="s">
        <v>32</v>
      </c>
      <c r="AE3621" t="s">
        <v>32</v>
      </c>
      <c r="AF3621" t="s">
        <v>46835</v>
      </c>
    </row>
    <row r="3622" spans="1:32" x14ac:dyDescent="0.2">
      <c r="A3622">
        <v>3617</v>
      </c>
      <c r="B3622" t="s">
        <v>40334</v>
      </c>
      <c r="C3622" t="s">
        <v>40335</v>
      </c>
      <c r="D3622" t="s">
        <v>32</v>
      </c>
      <c r="E3622" t="s">
        <v>40336</v>
      </c>
      <c r="F3622" t="s">
        <v>40337</v>
      </c>
      <c r="G3622" t="s">
        <v>32</v>
      </c>
      <c r="H3622" t="str">
        <f>"Arfrp1"</f>
        <v>Arfrp1</v>
      </c>
      <c r="I3622" t="s">
        <v>32</v>
      </c>
      <c r="J3622" t="s">
        <v>37</v>
      </c>
      <c r="K3622">
        <v>10090</v>
      </c>
      <c r="L3622" s="3" t="str">
        <f>HYPERLINK("http://www.uniprot.org/uniprot/Q8BXL7", "Q8BXL7")</f>
        <v>Q8BXL7</v>
      </c>
      <c r="M3622" t="s">
        <v>40338</v>
      </c>
      <c r="N3622" t="str">
        <f>"Arfrp1"</f>
        <v>Arfrp1</v>
      </c>
      <c r="O3622" s="3" t="str">
        <f>HYPERLINK("http://www.informatics.jax.org/marker/MGI:1923938", "MGI:1923938")</f>
        <v>MGI:1923938</v>
      </c>
      <c r="P3622" t="s">
        <v>40339</v>
      </c>
      <c r="Q3622" t="s">
        <v>32</v>
      </c>
      <c r="R3622" t="s">
        <v>12904</v>
      </c>
      <c r="S3622" t="s">
        <v>32</v>
      </c>
      <c r="T3622" t="s">
        <v>32</v>
      </c>
      <c r="U3622" t="s">
        <v>32</v>
      </c>
      <c r="V3622" t="s">
        <v>32</v>
      </c>
      <c r="W3622" t="s">
        <v>261</v>
      </c>
      <c r="X3622" t="s">
        <v>32</v>
      </c>
      <c r="Y3622" t="s">
        <v>78</v>
      </c>
      <c r="Z3622" t="s">
        <v>32</v>
      </c>
      <c r="AA3622" t="s">
        <v>40340</v>
      </c>
      <c r="AB3622" t="s">
        <v>40341</v>
      </c>
      <c r="AC3622" t="s">
        <v>15410</v>
      </c>
      <c r="AD3622" t="s">
        <v>32</v>
      </c>
      <c r="AE3622" t="s">
        <v>10808</v>
      </c>
      <c r="AF3622" t="s">
        <v>46835</v>
      </c>
    </row>
    <row r="3623" spans="1:32" x14ac:dyDescent="0.2">
      <c r="A3623">
        <v>3618</v>
      </c>
      <c r="B3623" t="s">
        <v>40342</v>
      </c>
      <c r="C3623" t="s">
        <v>40343</v>
      </c>
      <c r="D3623" t="s">
        <v>40344</v>
      </c>
      <c r="E3623" t="s">
        <v>40345</v>
      </c>
      <c r="F3623" t="s">
        <v>40346</v>
      </c>
      <c r="G3623" t="s">
        <v>40347</v>
      </c>
      <c r="H3623" t="str">
        <f>"Tmed1"</f>
        <v>Tmed1</v>
      </c>
      <c r="I3623" t="s">
        <v>40348</v>
      </c>
      <c r="J3623" t="s">
        <v>37</v>
      </c>
      <c r="K3623">
        <v>10090</v>
      </c>
      <c r="L3623" s="3" t="str">
        <f>HYPERLINK("http://www.uniprot.org/uniprot/Q3V009", "Q3V009")</f>
        <v>Q3V009</v>
      </c>
      <c r="M3623" t="s">
        <v>40349</v>
      </c>
      <c r="N3623" t="str">
        <f>"Tmed1"</f>
        <v>Tmed1</v>
      </c>
      <c r="O3623" s="3" t="str">
        <f>HYPERLINK("http://www.informatics.jax.org/marker/MGI:106201", "MGI:106201")</f>
        <v>MGI:106201</v>
      </c>
      <c r="P3623" t="s">
        <v>40350</v>
      </c>
      <c r="Q3623" t="s">
        <v>434</v>
      </c>
      <c r="R3623" t="s">
        <v>40351</v>
      </c>
      <c r="S3623" t="s">
        <v>41</v>
      </c>
      <c r="T3623" t="s">
        <v>32</v>
      </c>
      <c r="U3623" t="s">
        <v>32</v>
      </c>
      <c r="V3623" t="s">
        <v>15639</v>
      </c>
      <c r="W3623" t="s">
        <v>32</v>
      </c>
      <c r="X3623" t="s">
        <v>32</v>
      </c>
      <c r="Y3623" t="s">
        <v>32</v>
      </c>
      <c r="Z3623" t="s">
        <v>32</v>
      </c>
      <c r="AA3623" t="s">
        <v>35208</v>
      </c>
      <c r="AB3623" t="s">
        <v>40352</v>
      </c>
      <c r="AC3623" t="s">
        <v>32</v>
      </c>
      <c r="AD3623" t="s">
        <v>32</v>
      </c>
      <c r="AE3623" t="s">
        <v>32</v>
      </c>
      <c r="AF3623" t="s">
        <v>46835</v>
      </c>
    </row>
    <row r="3624" spans="1:32" x14ac:dyDescent="0.2">
      <c r="A3624">
        <v>3619</v>
      </c>
      <c r="B3624" t="s">
        <v>40353</v>
      </c>
      <c r="C3624" t="s">
        <v>40354</v>
      </c>
      <c r="D3624" t="s">
        <v>40355</v>
      </c>
      <c r="E3624" t="s">
        <v>40356</v>
      </c>
      <c r="F3624" t="s">
        <v>40357</v>
      </c>
      <c r="G3624" t="s">
        <v>40358</v>
      </c>
      <c r="H3624" t="str">
        <f>"Utp6"</f>
        <v>Utp6</v>
      </c>
      <c r="I3624" t="s">
        <v>40359</v>
      </c>
      <c r="J3624" t="s">
        <v>37</v>
      </c>
      <c r="K3624">
        <v>10090</v>
      </c>
      <c r="L3624" s="3" t="str">
        <f>HYPERLINK("http://www.uniprot.org/uniprot/Q8VCY6", "Q8VCY6")</f>
        <v>Q8VCY6</v>
      </c>
      <c r="M3624" t="s">
        <v>40360</v>
      </c>
      <c r="N3624" t="str">
        <f>"Utp6"</f>
        <v>Utp6</v>
      </c>
      <c r="O3624" s="3" t="str">
        <f>HYPERLINK("http://www.informatics.jax.org/marker/MGI:2445193", "MGI:2445193")</f>
        <v>MGI:2445193</v>
      </c>
      <c r="P3624" t="s">
        <v>40361</v>
      </c>
      <c r="Q3624" t="s">
        <v>15770</v>
      </c>
      <c r="R3624" t="s">
        <v>2279</v>
      </c>
      <c r="S3624" t="s">
        <v>32</v>
      </c>
      <c r="T3624" t="s">
        <v>32</v>
      </c>
      <c r="U3624" t="s">
        <v>32</v>
      </c>
      <c r="V3624" t="s">
        <v>55</v>
      </c>
      <c r="W3624" t="s">
        <v>32</v>
      </c>
      <c r="X3624" t="s">
        <v>32</v>
      </c>
      <c r="Y3624" t="s">
        <v>32</v>
      </c>
      <c r="Z3624" t="s">
        <v>32</v>
      </c>
      <c r="AA3624" t="s">
        <v>37083</v>
      </c>
      <c r="AB3624" t="s">
        <v>40362</v>
      </c>
      <c r="AC3624" t="s">
        <v>23078</v>
      </c>
      <c r="AD3624" t="s">
        <v>32</v>
      </c>
      <c r="AE3624" t="s">
        <v>960</v>
      </c>
      <c r="AF3624" t="s">
        <v>46835</v>
      </c>
    </row>
    <row r="3625" spans="1:32" x14ac:dyDescent="0.2">
      <c r="A3625">
        <v>3620</v>
      </c>
      <c r="B3625" t="s">
        <v>40363</v>
      </c>
      <c r="C3625" t="s">
        <v>40364</v>
      </c>
      <c r="D3625" t="s">
        <v>40365</v>
      </c>
      <c r="E3625" t="s">
        <v>40366</v>
      </c>
      <c r="F3625" t="s">
        <v>40367</v>
      </c>
      <c r="G3625" t="s">
        <v>40368</v>
      </c>
      <c r="H3625" t="str">
        <f>"Xpnpep3"</f>
        <v>Xpnpep3</v>
      </c>
      <c r="I3625" t="s">
        <v>32</v>
      </c>
      <c r="J3625" t="s">
        <v>37</v>
      </c>
      <c r="K3625">
        <v>10090</v>
      </c>
      <c r="L3625" s="3" t="str">
        <f>HYPERLINK("http://www.uniprot.org/uniprot/B7ZMP1", "B7ZMP1")</f>
        <v>B7ZMP1</v>
      </c>
      <c r="M3625" t="s">
        <v>40369</v>
      </c>
      <c r="N3625" t="str">
        <f>"Xpnpep3"</f>
        <v>Xpnpep3</v>
      </c>
      <c r="O3625" s="3" t="str">
        <f>HYPERLINK("http://www.informatics.jax.org/marker/MGI:2445217", "MGI:2445217")</f>
        <v>MGI:2445217</v>
      </c>
      <c r="P3625" t="s">
        <v>40370</v>
      </c>
      <c r="Q3625" t="s">
        <v>32</v>
      </c>
      <c r="R3625" t="s">
        <v>1842</v>
      </c>
      <c r="S3625" t="s">
        <v>41</v>
      </c>
      <c r="T3625" t="s">
        <v>32</v>
      </c>
      <c r="U3625" t="s">
        <v>32</v>
      </c>
      <c r="V3625" t="s">
        <v>1039</v>
      </c>
      <c r="W3625" t="s">
        <v>5883</v>
      </c>
      <c r="X3625" t="s">
        <v>343</v>
      </c>
      <c r="Y3625" t="s">
        <v>32</v>
      </c>
      <c r="Z3625" t="s">
        <v>32</v>
      </c>
      <c r="AA3625" t="s">
        <v>40371</v>
      </c>
      <c r="AB3625" t="s">
        <v>3903</v>
      </c>
      <c r="AC3625" t="s">
        <v>40372</v>
      </c>
      <c r="AD3625" t="s">
        <v>32</v>
      </c>
      <c r="AE3625" t="s">
        <v>32</v>
      </c>
      <c r="AF3625" t="s">
        <v>46835</v>
      </c>
    </row>
    <row r="3626" spans="1:32" x14ac:dyDescent="0.2">
      <c r="A3626">
        <v>3621</v>
      </c>
      <c r="B3626" t="s">
        <v>40373</v>
      </c>
      <c r="C3626" t="s">
        <v>40374</v>
      </c>
      <c r="D3626" t="s">
        <v>32</v>
      </c>
      <c r="E3626" t="s">
        <v>40375</v>
      </c>
      <c r="F3626" t="s">
        <v>40376</v>
      </c>
      <c r="G3626" t="s">
        <v>40377</v>
      </c>
      <c r="H3626" t="str">
        <f>"Nob1"</f>
        <v>Nob1</v>
      </c>
      <c r="I3626" t="s">
        <v>32</v>
      </c>
      <c r="J3626" t="s">
        <v>37</v>
      </c>
      <c r="K3626">
        <v>10090</v>
      </c>
      <c r="L3626" s="3" t="str">
        <f>HYPERLINK("http://www.uniprot.org/uniprot/Q8BW10", "Q8BW10")</f>
        <v>Q8BW10</v>
      </c>
      <c r="M3626" t="s">
        <v>40378</v>
      </c>
      <c r="N3626" t="str">
        <f>"Nob1"</f>
        <v>Nob1</v>
      </c>
      <c r="O3626" s="3" t="str">
        <f>HYPERLINK("http://www.informatics.jax.org/marker/MGI:1914869", "MGI:1914869")</f>
        <v>MGI:1914869</v>
      </c>
      <c r="P3626" t="s">
        <v>40379</v>
      </c>
      <c r="Q3626" t="s">
        <v>32</v>
      </c>
      <c r="R3626" t="s">
        <v>2279</v>
      </c>
      <c r="S3626" t="s">
        <v>32</v>
      </c>
      <c r="T3626" t="s">
        <v>32</v>
      </c>
      <c r="U3626" t="s">
        <v>32</v>
      </c>
      <c r="V3626" t="s">
        <v>446</v>
      </c>
      <c r="W3626" t="s">
        <v>42</v>
      </c>
      <c r="X3626" t="s">
        <v>4153</v>
      </c>
      <c r="Y3626" t="s">
        <v>618</v>
      </c>
      <c r="Z3626" t="s">
        <v>126</v>
      </c>
      <c r="AA3626" t="s">
        <v>40380</v>
      </c>
      <c r="AB3626" t="s">
        <v>40381</v>
      </c>
      <c r="AC3626" t="s">
        <v>40382</v>
      </c>
      <c r="AD3626" t="s">
        <v>32</v>
      </c>
      <c r="AE3626" t="s">
        <v>960</v>
      </c>
      <c r="AF3626" t="s">
        <v>46835</v>
      </c>
    </row>
    <row r="3627" spans="1:32" x14ac:dyDescent="0.2">
      <c r="A3627">
        <v>3622</v>
      </c>
      <c r="B3627" t="s">
        <v>40383</v>
      </c>
      <c r="C3627" t="s">
        <v>40384</v>
      </c>
      <c r="D3627" t="s">
        <v>40385</v>
      </c>
      <c r="E3627" t="s">
        <v>40386</v>
      </c>
      <c r="F3627" t="s">
        <v>40387</v>
      </c>
      <c r="G3627" t="s">
        <v>40388</v>
      </c>
      <c r="H3627" t="str">
        <f>"Chuk"</f>
        <v>Chuk</v>
      </c>
      <c r="I3627" t="s">
        <v>40389</v>
      </c>
      <c r="J3627" t="s">
        <v>37</v>
      </c>
      <c r="K3627">
        <v>10090</v>
      </c>
      <c r="L3627" s="3" t="str">
        <f>HYPERLINK("http://www.uniprot.org/uniprot/Q60680", "Q60680")</f>
        <v>Q60680</v>
      </c>
      <c r="M3627" t="s">
        <v>40390</v>
      </c>
      <c r="N3627" t="str">
        <f>"Chuk"</f>
        <v>Chuk</v>
      </c>
      <c r="O3627" s="3" t="str">
        <f>HYPERLINK("http://www.informatics.jax.org/marker/MGI:99484", "MGI:99484")</f>
        <v>MGI:99484</v>
      </c>
      <c r="P3627" t="s">
        <v>40391</v>
      </c>
      <c r="Q3627" t="s">
        <v>32</v>
      </c>
      <c r="R3627" t="s">
        <v>40</v>
      </c>
      <c r="S3627" t="s">
        <v>41</v>
      </c>
      <c r="T3627" t="s">
        <v>32</v>
      </c>
      <c r="U3627" t="s">
        <v>32</v>
      </c>
      <c r="V3627" t="s">
        <v>32</v>
      </c>
      <c r="W3627" t="s">
        <v>205</v>
      </c>
      <c r="X3627" t="s">
        <v>5419</v>
      </c>
      <c r="Y3627" t="s">
        <v>618</v>
      </c>
      <c r="Z3627" t="s">
        <v>32</v>
      </c>
      <c r="AA3627" t="s">
        <v>40392</v>
      </c>
      <c r="AB3627" t="s">
        <v>40393</v>
      </c>
      <c r="AC3627" t="s">
        <v>40394</v>
      </c>
      <c r="AD3627" t="s">
        <v>32</v>
      </c>
      <c r="AE3627" t="s">
        <v>40395</v>
      </c>
      <c r="AF3627" t="s">
        <v>46835</v>
      </c>
    </row>
    <row r="3628" spans="1:32" x14ac:dyDescent="0.2">
      <c r="A3628">
        <v>3623</v>
      </c>
      <c r="B3628" t="s">
        <v>40396</v>
      </c>
      <c r="C3628" t="s">
        <v>40397</v>
      </c>
      <c r="D3628" t="s">
        <v>32</v>
      </c>
      <c r="E3628" t="s">
        <v>40398</v>
      </c>
      <c r="F3628" t="s">
        <v>40399</v>
      </c>
      <c r="G3628" t="s">
        <v>32</v>
      </c>
      <c r="H3628" t="str">
        <f>"Trappc1"</f>
        <v>Trappc1</v>
      </c>
      <c r="I3628" t="s">
        <v>32</v>
      </c>
      <c r="J3628" t="s">
        <v>37</v>
      </c>
      <c r="K3628">
        <v>10090</v>
      </c>
      <c r="L3628" s="3" t="str">
        <f>HYPERLINK("http://www.uniprot.org/uniprot/Q5NCF2", "Q5NCF2")</f>
        <v>Q5NCF2</v>
      </c>
      <c r="M3628" t="s">
        <v>40400</v>
      </c>
      <c r="N3628" t="str">
        <f>"Trappc1"</f>
        <v>Trappc1</v>
      </c>
      <c r="O3628" s="3" t="str">
        <f>HYPERLINK("http://www.informatics.jax.org/marker/MGI:1098727", "MGI:1098727")</f>
        <v>MGI:1098727</v>
      </c>
      <c r="P3628" t="s">
        <v>40401</v>
      </c>
      <c r="Q3628" t="s">
        <v>14011</v>
      </c>
      <c r="R3628" t="s">
        <v>4315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32</v>
      </c>
      <c r="Y3628" t="s">
        <v>32</v>
      </c>
      <c r="Z3628" t="s">
        <v>126</v>
      </c>
      <c r="AA3628" t="s">
        <v>29748</v>
      </c>
      <c r="AB3628" t="s">
        <v>40402</v>
      </c>
      <c r="AC3628" t="s">
        <v>32</v>
      </c>
      <c r="AD3628" t="s">
        <v>32</v>
      </c>
      <c r="AE3628" t="s">
        <v>40403</v>
      </c>
      <c r="AF3628" t="s">
        <v>46835</v>
      </c>
    </row>
    <row r="3629" spans="1:32" x14ac:dyDescent="0.2">
      <c r="A3629">
        <v>3624</v>
      </c>
      <c r="B3629" t="s">
        <v>40404</v>
      </c>
      <c r="C3629" t="s">
        <v>40405</v>
      </c>
      <c r="D3629" t="s">
        <v>40406</v>
      </c>
      <c r="E3629" t="s">
        <v>40407</v>
      </c>
      <c r="F3629" t="s">
        <v>40408</v>
      </c>
      <c r="G3629" t="s">
        <v>32</v>
      </c>
      <c r="H3629" t="str">
        <f>"Ift27"</f>
        <v>Ift27</v>
      </c>
      <c r="I3629" t="s">
        <v>40409</v>
      </c>
      <c r="J3629" t="s">
        <v>37</v>
      </c>
      <c r="K3629">
        <v>10090</v>
      </c>
      <c r="L3629" s="3" t="str">
        <f>HYPERLINK("http://www.uniprot.org/uniprot/Q9D0P8", "Q9D0P8")</f>
        <v>Q9D0P8</v>
      </c>
      <c r="M3629" t="s">
        <v>40410</v>
      </c>
      <c r="N3629" t="str">
        <f>"Ift27"</f>
        <v>Ift27</v>
      </c>
      <c r="O3629" s="3" t="str">
        <f>HYPERLINK("http://www.informatics.jax.org/marker/MGI:1914292", "MGI:1914292")</f>
        <v>MGI:1914292</v>
      </c>
      <c r="P3629" t="s">
        <v>40411</v>
      </c>
      <c r="Q3629" t="s">
        <v>31909</v>
      </c>
      <c r="R3629" t="s">
        <v>23869</v>
      </c>
      <c r="S3629" t="s">
        <v>32</v>
      </c>
      <c r="T3629" t="s">
        <v>32</v>
      </c>
      <c r="U3629" t="s">
        <v>32</v>
      </c>
      <c r="V3629" t="s">
        <v>32</v>
      </c>
      <c r="W3629" t="s">
        <v>261</v>
      </c>
      <c r="X3629" t="s">
        <v>32</v>
      </c>
      <c r="Y3629" t="s">
        <v>32</v>
      </c>
      <c r="Z3629" t="s">
        <v>32</v>
      </c>
      <c r="AA3629" t="s">
        <v>40412</v>
      </c>
      <c r="AB3629" t="s">
        <v>40413</v>
      </c>
      <c r="AC3629" t="s">
        <v>15410</v>
      </c>
      <c r="AD3629" t="s">
        <v>32</v>
      </c>
      <c r="AE3629" t="s">
        <v>8858</v>
      </c>
      <c r="AF3629" t="s">
        <v>46835</v>
      </c>
    </row>
    <row r="3630" spans="1:32" x14ac:dyDescent="0.2">
      <c r="A3630">
        <v>3625</v>
      </c>
      <c r="B3630" t="s">
        <v>40414</v>
      </c>
      <c r="C3630" t="s">
        <v>40415</v>
      </c>
      <c r="D3630" t="s">
        <v>32</v>
      </c>
      <c r="E3630" t="s">
        <v>40416</v>
      </c>
      <c r="F3630" t="s">
        <v>40417</v>
      </c>
      <c r="G3630" t="s">
        <v>32</v>
      </c>
      <c r="H3630" t="str">
        <f>"Pcyox1l"</f>
        <v>Pcyox1l</v>
      </c>
      <c r="I3630" t="s">
        <v>32</v>
      </c>
      <c r="J3630" t="s">
        <v>37</v>
      </c>
      <c r="K3630">
        <v>10090</v>
      </c>
      <c r="L3630" s="3" t="str">
        <f>HYPERLINK("http://www.uniprot.org/uniprot/Q8C7K6", "Q8C7K6")</f>
        <v>Q8C7K6</v>
      </c>
      <c r="M3630" t="s">
        <v>40418</v>
      </c>
      <c r="N3630" t="str">
        <f>"Pcyox1l"</f>
        <v>Pcyox1l</v>
      </c>
      <c r="O3630" s="3" t="str">
        <f>HYPERLINK("http://www.informatics.jax.org/marker/MGI:3606062", "MGI:3606062")</f>
        <v>MGI:3606062</v>
      </c>
      <c r="P3630" t="s">
        <v>40419</v>
      </c>
      <c r="Q3630" t="s">
        <v>32</v>
      </c>
      <c r="R3630" t="s">
        <v>630</v>
      </c>
      <c r="S3630" t="s">
        <v>32</v>
      </c>
      <c r="T3630" t="s">
        <v>32</v>
      </c>
      <c r="U3630" t="s">
        <v>32</v>
      </c>
      <c r="V3630" t="s">
        <v>811</v>
      </c>
      <c r="W3630" t="s">
        <v>4600</v>
      </c>
      <c r="X3630" t="s">
        <v>600</v>
      </c>
      <c r="Y3630" t="s">
        <v>3733</v>
      </c>
      <c r="Z3630" t="s">
        <v>32</v>
      </c>
      <c r="AA3630" t="s">
        <v>40420</v>
      </c>
      <c r="AB3630" t="s">
        <v>21828</v>
      </c>
      <c r="AC3630" t="s">
        <v>40421</v>
      </c>
      <c r="AD3630" t="s">
        <v>32</v>
      </c>
      <c r="AE3630" t="s">
        <v>2235</v>
      </c>
      <c r="AF3630" t="s">
        <v>46835</v>
      </c>
    </row>
    <row r="3631" spans="1:32" x14ac:dyDescent="0.2">
      <c r="A3631">
        <v>3626</v>
      </c>
      <c r="B3631" t="s">
        <v>40422</v>
      </c>
      <c r="C3631" t="s">
        <v>40423</v>
      </c>
      <c r="D3631" t="s">
        <v>40424</v>
      </c>
      <c r="E3631" t="s">
        <v>40425</v>
      </c>
      <c r="F3631" t="s">
        <v>40426</v>
      </c>
      <c r="G3631" t="s">
        <v>40427</v>
      </c>
      <c r="H3631" t="str">
        <f>"Golga5"</f>
        <v>Golga5</v>
      </c>
      <c r="I3631" t="s">
        <v>40428</v>
      </c>
      <c r="J3631" t="s">
        <v>37</v>
      </c>
      <c r="K3631">
        <v>10090</v>
      </c>
      <c r="L3631" s="3" t="str">
        <f>HYPERLINK("http://www.uniprot.org/uniprot/Q9QYE6", "Q9QYE6")</f>
        <v>Q9QYE6</v>
      </c>
      <c r="M3631" t="s">
        <v>40429</v>
      </c>
      <c r="N3631" t="str">
        <f>"Golga5"</f>
        <v>Golga5</v>
      </c>
      <c r="O3631" s="3" t="str">
        <f>HYPERLINK("http://www.informatics.jax.org/marker/MGI:1351475", "MGI:1351475")</f>
        <v>MGI:1351475</v>
      </c>
      <c r="P3631" t="s">
        <v>40430</v>
      </c>
      <c r="Q3631" t="s">
        <v>32</v>
      </c>
      <c r="R3631" t="s">
        <v>13904</v>
      </c>
      <c r="S3631" t="s">
        <v>32</v>
      </c>
      <c r="T3631" t="s">
        <v>32</v>
      </c>
      <c r="U3631" t="s">
        <v>32</v>
      </c>
      <c r="V3631" t="s">
        <v>6500</v>
      </c>
      <c r="W3631" t="s">
        <v>32</v>
      </c>
      <c r="X3631" t="s">
        <v>32</v>
      </c>
      <c r="Y3631" t="s">
        <v>97</v>
      </c>
      <c r="Z3631" t="s">
        <v>32</v>
      </c>
      <c r="AA3631" t="s">
        <v>40431</v>
      </c>
      <c r="AB3631" t="s">
        <v>40432</v>
      </c>
      <c r="AC3631" t="s">
        <v>40433</v>
      </c>
      <c r="AD3631" t="s">
        <v>32</v>
      </c>
      <c r="AE3631" t="s">
        <v>32</v>
      </c>
      <c r="AF3631" t="s">
        <v>46835</v>
      </c>
    </row>
    <row r="3632" spans="1:32" x14ac:dyDescent="0.2">
      <c r="A3632">
        <v>3627</v>
      </c>
      <c r="B3632" t="s">
        <v>40434</v>
      </c>
      <c r="C3632" t="s">
        <v>40435</v>
      </c>
      <c r="D3632" t="s">
        <v>32</v>
      </c>
      <c r="E3632" t="s">
        <v>40436</v>
      </c>
      <c r="F3632" t="s">
        <v>40437</v>
      </c>
      <c r="G3632" t="s">
        <v>40438</v>
      </c>
      <c r="H3632" t="s">
        <v>32</v>
      </c>
      <c r="I3632" t="s">
        <v>32</v>
      </c>
      <c r="J3632" t="s">
        <v>37</v>
      </c>
      <c r="K3632">
        <v>10090</v>
      </c>
      <c r="L3632" s="3" t="str">
        <f>HYPERLINK("http://www.uniprot.org/uniprot/Q8BGC1", "Q8BGC1")</f>
        <v>Q8BGC1</v>
      </c>
      <c r="M3632" t="s">
        <v>40439</v>
      </c>
      <c r="N3632" t="str">
        <f>"6030458C11Rik"</f>
        <v>6030458C11Rik</v>
      </c>
      <c r="O3632" s="3" t="str">
        <f>HYPERLINK("http://www.informatics.jax.org/marker/MGI:1925127", "MGI:1925127")</f>
        <v>MGI:1925127</v>
      </c>
      <c r="P3632" t="s">
        <v>13974</v>
      </c>
      <c r="Q3632" t="s">
        <v>32</v>
      </c>
      <c r="R3632" t="s">
        <v>32</v>
      </c>
      <c r="S3632" t="s">
        <v>41</v>
      </c>
      <c r="T3632" t="s">
        <v>32</v>
      </c>
      <c r="U3632" t="s">
        <v>32</v>
      </c>
      <c r="V3632" t="s">
        <v>32</v>
      </c>
      <c r="W3632" t="s">
        <v>32</v>
      </c>
      <c r="X3632" t="s">
        <v>32</v>
      </c>
      <c r="Y3632" t="s">
        <v>618</v>
      </c>
      <c r="Z3632" t="s">
        <v>32</v>
      </c>
      <c r="AA3632" t="s">
        <v>32</v>
      </c>
      <c r="AB3632" t="s">
        <v>32</v>
      </c>
      <c r="AC3632" t="s">
        <v>32</v>
      </c>
      <c r="AD3632" t="s">
        <v>32</v>
      </c>
      <c r="AE3632" t="s">
        <v>32</v>
      </c>
      <c r="AF3632" t="s">
        <v>46835</v>
      </c>
    </row>
    <row r="3633" spans="1:32" x14ac:dyDescent="0.2">
      <c r="A3633">
        <v>3628</v>
      </c>
      <c r="B3633" t="s">
        <v>40440</v>
      </c>
      <c r="C3633" t="s">
        <v>40441</v>
      </c>
      <c r="D3633" t="s">
        <v>32</v>
      </c>
      <c r="E3633" t="s">
        <v>40442</v>
      </c>
      <c r="F3633" t="s">
        <v>40443</v>
      </c>
      <c r="G3633" t="s">
        <v>40444</v>
      </c>
      <c r="H3633" t="str">
        <f>"Pyroxd1"</f>
        <v>Pyroxd1</v>
      </c>
      <c r="I3633" t="s">
        <v>32</v>
      </c>
      <c r="J3633" t="s">
        <v>37</v>
      </c>
      <c r="K3633">
        <v>10090</v>
      </c>
      <c r="L3633" s="3" t="str">
        <f>HYPERLINK("http://www.uniprot.org/uniprot/Q3TMV7", "Q3TMV7")</f>
        <v>Q3TMV7</v>
      </c>
      <c r="M3633" t="s">
        <v>40445</v>
      </c>
      <c r="N3633" t="str">
        <f>"Pyroxd1"</f>
        <v>Pyroxd1</v>
      </c>
      <c r="O3633" s="3" t="str">
        <f>HYPERLINK("http://www.informatics.jax.org/marker/MGI:2676395", "MGI:2676395")</f>
        <v>MGI:2676395</v>
      </c>
      <c r="P3633" t="s">
        <v>40446</v>
      </c>
      <c r="Q3633" t="s">
        <v>32</v>
      </c>
      <c r="R3633" t="s">
        <v>40</v>
      </c>
      <c r="S3633" t="s">
        <v>32</v>
      </c>
      <c r="T3633" t="s">
        <v>32</v>
      </c>
      <c r="U3633" t="s">
        <v>32</v>
      </c>
      <c r="V3633" t="s">
        <v>32</v>
      </c>
      <c r="W3633" t="s">
        <v>9437</v>
      </c>
      <c r="X3633" t="s">
        <v>600</v>
      </c>
      <c r="Y3633" t="s">
        <v>78</v>
      </c>
      <c r="Z3633" t="s">
        <v>32</v>
      </c>
      <c r="AA3633" t="s">
        <v>40447</v>
      </c>
      <c r="AB3633" t="s">
        <v>40448</v>
      </c>
      <c r="AC3633" t="s">
        <v>40449</v>
      </c>
      <c r="AD3633" t="s">
        <v>32</v>
      </c>
      <c r="AE3633" t="s">
        <v>32</v>
      </c>
      <c r="AF3633" t="s">
        <v>46835</v>
      </c>
    </row>
    <row r="3634" spans="1:32" x14ac:dyDescent="0.2">
      <c r="A3634">
        <v>3629</v>
      </c>
      <c r="B3634" t="s">
        <v>40450</v>
      </c>
      <c r="C3634" t="s">
        <v>40451</v>
      </c>
      <c r="D3634" t="s">
        <v>40452</v>
      </c>
      <c r="E3634" t="s">
        <v>40453</v>
      </c>
      <c r="F3634" t="s">
        <v>40454</v>
      </c>
      <c r="G3634" t="s">
        <v>32</v>
      </c>
      <c r="H3634" t="str">
        <f>"Pgpep1"</f>
        <v>Pgpep1</v>
      </c>
      <c r="I3634" t="s">
        <v>40455</v>
      </c>
      <c r="J3634" t="s">
        <v>37</v>
      </c>
      <c r="K3634">
        <v>10090</v>
      </c>
      <c r="L3634" s="3" t="str">
        <f>HYPERLINK("http://www.uniprot.org/uniprot/Q9ESW8", "Q9ESW8")</f>
        <v>Q9ESW8</v>
      </c>
      <c r="M3634" t="s">
        <v>40456</v>
      </c>
      <c r="N3634" t="str">
        <f>"Pgpep1"</f>
        <v>Pgpep1</v>
      </c>
      <c r="O3634" s="3" t="str">
        <f>HYPERLINK("http://www.informatics.jax.org/marker/MGI:1913772", "MGI:1913772")</f>
        <v>MGI:1913772</v>
      </c>
      <c r="P3634" t="s">
        <v>40457</v>
      </c>
      <c r="Q3634" t="s">
        <v>32</v>
      </c>
      <c r="R3634" t="s">
        <v>418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557</v>
      </c>
      <c r="Y3634" t="s">
        <v>32</v>
      </c>
      <c r="Z3634" t="s">
        <v>32</v>
      </c>
      <c r="AA3634" t="s">
        <v>5082</v>
      </c>
      <c r="AB3634" t="s">
        <v>1268</v>
      </c>
      <c r="AC3634" t="s">
        <v>40458</v>
      </c>
      <c r="AD3634" t="s">
        <v>32</v>
      </c>
      <c r="AE3634" t="s">
        <v>32</v>
      </c>
      <c r="AF3634" t="s">
        <v>46835</v>
      </c>
    </row>
    <row r="3635" spans="1:32" x14ac:dyDescent="0.2">
      <c r="A3635">
        <v>3630</v>
      </c>
      <c r="B3635" t="s">
        <v>40459</v>
      </c>
      <c r="C3635" t="s">
        <v>40460</v>
      </c>
      <c r="D3635" t="s">
        <v>40461</v>
      </c>
      <c r="E3635" t="s">
        <v>40462</v>
      </c>
      <c r="F3635" t="s">
        <v>40463</v>
      </c>
      <c r="G3635" t="s">
        <v>40464</v>
      </c>
      <c r="H3635" t="str">
        <f>"Ehmt2"</f>
        <v>Ehmt2</v>
      </c>
      <c r="I3635" t="s">
        <v>40465</v>
      </c>
      <c r="J3635" t="s">
        <v>37</v>
      </c>
      <c r="K3635">
        <v>10090</v>
      </c>
      <c r="L3635" s="3" t="str">
        <f>HYPERLINK("http://www.uniprot.org/uniprot/Q9Z148", "Q9Z148")</f>
        <v>Q9Z148</v>
      </c>
      <c r="M3635" t="s">
        <v>40466</v>
      </c>
      <c r="N3635" t="str">
        <f>"Ehmt2"</f>
        <v>Ehmt2</v>
      </c>
      <c r="O3635" s="3" t="str">
        <f>HYPERLINK("http://www.informatics.jax.org/marker/MGI:2148922", "MGI:2148922")</f>
        <v>MGI:2148922</v>
      </c>
      <c r="P3635" t="s">
        <v>40467</v>
      </c>
      <c r="Q3635" t="s">
        <v>32</v>
      </c>
      <c r="R3635" t="s">
        <v>1939</v>
      </c>
      <c r="S3635" t="s">
        <v>41</v>
      </c>
      <c r="T3635" t="s">
        <v>32</v>
      </c>
      <c r="U3635" t="s">
        <v>32</v>
      </c>
      <c r="V3635" t="s">
        <v>912</v>
      </c>
      <c r="W3635" t="s">
        <v>15120</v>
      </c>
      <c r="X3635" t="s">
        <v>17918</v>
      </c>
      <c r="Y3635" t="s">
        <v>2192</v>
      </c>
      <c r="Z3635" t="s">
        <v>32</v>
      </c>
      <c r="AA3635" t="s">
        <v>40468</v>
      </c>
      <c r="AB3635" t="s">
        <v>40469</v>
      </c>
      <c r="AC3635" t="s">
        <v>40470</v>
      </c>
      <c r="AD3635" t="s">
        <v>32</v>
      </c>
      <c r="AE3635" t="s">
        <v>40471</v>
      </c>
      <c r="AF3635" t="s">
        <v>46835</v>
      </c>
    </row>
    <row r="3636" spans="1:32" x14ac:dyDescent="0.2">
      <c r="A3636">
        <v>3631</v>
      </c>
      <c r="B3636" t="s">
        <v>40472</v>
      </c>
      <c r="C3636" t="s">
        <v>40473</v>
      </c>
      <c r="D3636" t="s">
        <v>40474</v>
      </c>
      <c r="E3636" t="s">
        <v>40475</v>
      </c>
      <c r="F3636" t="s">
        <v>40476</v>
      </c>
      <c r="G3636" t="s">
        <v>40477</v>
      </c>
      <c r="H3636" t="str">
        <f>"Nln"</f>
        <v>Nln</v>
      </c>
      <c r="I3636" t="s">
        <v>32</v>
      </c>
      <c r="J3636" t="s">
        <v>37</v>
      </c>
      <c r="K3636">
        <v>10090</v>
      </c>
      <c r="L3636" s="3" t="str">
        <f>HYPERLINK("http://www.uniprot.org/uniprot/Q91YP2", "Q91YP2")</f>
        <v>Q91YP2</v>
      </c>
      <c r="M3636" t="s">
        <v>40478</v>
      </c>
      <c r="N3636" t="str">
        <f>"Nln"</f>
        <v>Nln</v>
      </c>
      <c r="O3636" s="3" t="str">
        <f>HYPERLINK("http://www.informatics.jax.org/marker/MGI:1923055", "MGI:1923055")</f>
        <v>MGI:1923055</v>
      </c>
      <c r="P3636" t="s">
        <v>40479</v>
      </c>
      <c r="Q3636" t="s">
        <v>32</v>
      </c>
      <c r="R3636" t="s">
        <v>1842</v>
      </c>
      <c r="S3636" t="s">
        <v>32</v>
      </c>
      <c r="T3636" t="s">
        <v>32</v>
      </c>
      <c r="U3636" t="s">
        <v>32</v>
      </c>
      <c r="V3636" t="s">
        <v>1039</v>
      </c>
      <c r="W3636" t="s">
        <v>42</v>
      </c>
      <c r="X3636" t="s">
        <v>4882</v>
      </c>
      <c r="Y3636" t="s">
        <v>78</v>
      </c>
      <c r="Z3636" t="s">
        <v>32</v>
      </c>
      <c r="AA3636" t="s">
        <v>40480</v>
      </c>
      <c r="AB3636" t="s">
        <v>40481</v>
      </c>
      <c r="AC3636" t="s">
        <v>40482</v>
      </c>
      <c r="AD3636" t="s">
        <v>32</v>
      </c>
      <c r="AE3636" t="s">
        <v>40483</v>
      </c>
      <c r="AF3636" t="s">
        <v>46835</v>
      </c>
    </row>
    <row r="3637" spans="1:32" x14ac:dyDescent="0.2">
      <c r="A3637">
        <v>3632</v>
      </c>
      <c r="B3637" t="s">
        <v>40484</v>
      </c>
      <c r="C3637" t="s">
        <v>40485</v>
      </c>
      <c r="D3637" t="s">
        <v>32</v>
      </c>
      <c r="E3637" t="s">
        <v>40486</v>
      </c>
      <c r="F3637" t="s">
        <v>40487</v>
      </c>
      <c r="G3637" t="s">
        <v>40488</v>
      </c>
      <c r="H3637" t="str">
        <f>"Kif13a"</f>
        <v>Kif13a</v>
      </c>
      <c r="I3637" t="s">
        <v>32</v>
      </c>
      <c r="J3637" t="s">
        <v>37</v>
      </c>
      <c r="K3637">
        <v>10090</v>
      </c>
      <c r="L3637" s="3" t="str">
        <f>HYPERLINK("http://www.uniprot.org/uniprot/Q9EQW7", "Q9EQW7")</f>
        <v>Q9EQW7</v>
      </c>
      <c r="M3637" t="s">
        <v>40489</v>
      </c>
      <c r="N3637" t="str">
        <f>"Kif13a"</f>
        <v>Kif13a</v>
      </c>
      <c r="O3637" s="3" t="str">
        <f>HYPERLINK("http://www.informatics.jax.org/marker/MGI:1098264", "MGI:1098264")</f>
        <v>MGI:1098264</v>
      </c>
      <c r="P3637" t="s">
        <v>40490</v>
      </c>
      <c r="Q3637" t="s">
        <v>6659</v>
      </c>
      <c r="R3637" t="s">
        <v>40491</v>
      </c>
      <c r="S3637" t="s">
        <v>32</v>
      </c>
      <c r="T3637" t="s">
        <v>32</v>
      </c>
      <c r="U3637" t="s">
        <v>32</v>
      </c>
      <c r="V3637" t="s">
        <v>290</v>
      </c>
      <c r="W3637" t="s">
        <v>205</v>
      </c>
      <c r="X3637" t="s">
        <v>830</v>
      </c>
      <c r="Y3637" t="s">
        <v>618</v>
      </c>
      <c r="Z3637" t="s">
        <v>126</v>
      </c>
      <c r="AA3637" t="s">
        <v>40492</v>
      </c>
      <c r="AB3637" t="s">
        <v>40493</v>
      </c>
      <c r="AC3637" t="s">
        <v>29011</v>
      </c>
      <c r="AD3637" t="s">
        <v>32</v>
      </c>
      <c r="AE3637" t="s">
        <v>32</v>
      </c>
      <c r="AF3637" t="s">
        <v>46835</v>
      </c>
    </row>
    <row r="3638" spans="1:32" x14ac:dyDescent="0.2">
      <c r="A3638">
        <v>3633</v>
      </c>
      <c r="B3638" t="s">
        <v>40494</v>
      </c>
      <c r="C3638" t="s">
        <v>40495</v>
      </c>
      <c r="D3638" t="s">
        <v>40496</v>
      </c>
      <c r="E3638" t="s">
        <v>40497</v>
      </c>
      <c r="F3638" t="s">
        <v>40498</v>
      </c>
      <c r="G3638" t="s">
        <v>40499</v>
      </c>
      <c r="H3638" t="str">
        <f>"Chn1"</f>
        <v>Chn1</v>
      </c>
      <c r="I3638" t="s">
        <v>40500</v>
      </c>
      <c r="J3638" t="s">
        <v>37</v>
      </c>
      <c r="K3638">
        <v>10090</v>
      </c>
      <c r="L3638" s="3" t="str">
        <f>HYPERLINK("http://www.uniprot.org/uniprot/Q91V57", "Q91V57")</f>
        <v>Q91V57</v>
      </c>
      <c r="M3638" t="s">
        <v>40501</v>
      </c>
      <c r="N3638" t="str">
        <f>"Chn1"</f>
        <v>Chn1</v>
      </c>
      <c r="O3638" s="3" t="str">
        <f>HYPERLINK("http://www.informatics.jax.org/marker/MGI:1915674", "MGI:1915674")</f>
        <v>MGI:1915674</v>
      </c>
      <c r="P3638" t="s">
        <v>40502</v>
      </c>
      <c r="Q3638" t="s">
        <v>1429</v>
      </c>
      <c r="R3638" t="s">
        <v>32</v>
      </c>
      <c r="S3638" t="s">
        <v>41</v>
      </c>
      <c r="T3638" t="s">
        <v>32</v>
      </c>
      <c r="U3638" t="s">
        <v>32</v>
      </c>
      <c r="V3638" t="s">
        <v>40503</v>
      </c>
      <c r="W3638" t="s">
        <v>42</v>
      </c>
      <c r="X3638" t="s">
        <v>715</v>
      </c>
      <c r="Y3638" t="s">
        <v>157</v>
      </c>
      <c r="Z3638" t="s">
        <v>32</v>
      </c>
      <c r="AA3638" t="s">
        <v>40504</v>
      </c>
      <c r="AB3638" t="s">
        <v>32</v>
      </c>
      <c r="AC3638" t="s">
        <v>40505</v>
      </c>
      <c r="AD3638" t="s">
        <v>32</v>
      </c>
      <c r="AE3638" t="s">
        <v>40506</v>
      </c>
      <c r="AF3638" t="s">
        <v>46835</v>
      </c>
    </row>
    <row r="3639" spans="1:32" x14ac:dyDescent="0.2">
      <c r="A3639">
        <v>3634</v>
      </c>
      <c r="B3639" t="s">
        <v>40507</v>
      </c>
      <c r="C3639" t="s">
        <v>40508</v>
      </c>
      <c r="D3639" t="s">
        <v>40509</v>
      </c>
      <c r="E3639" t="s">
        <v>40510</v>
      </c>
      <c r="F3639" t="s">
        <v>40511</v>
      </c>
      <c r="G3639" t="s">
        <v>40512</v>
      </c>
      <c r="H3639" t="str">
        <f>"Esyt1"</f>
        <v>Esyt1</v>
      </c>
      <c r="I3639" t="s">
        <v>40513</v>
      </c>
      <c r="J3639" t="s">
        <v>37</v>
      </c>
      <c r="K3639">
        <v>10090</v>
      </c>
      <c r="L3639" s="3" t="str">
        <f>HYPERLINK("http://www.uniprot.org/uniprot/Q3U7R1", "Q3U7R1")</f>
        <v>Q3U7R1</v>
      </c>
      <c r="M3639" t="s">
        <v>40514</v>
      </c>
      <c r="N3639" t="str">
        <f>"Esyt1"</f>
        <v>Esyt1</v>
      </c>
      <c r="O3639" s="3" t="str">
        <f>HYPERLINK("http://www.informatics.jax.org/marker/MGI:1344426", "MGI:1344426")</f>
        <v>MGI:1344426</v>
      </c>
      <c r="P3639" t="s">
        <v>40515</v>
      </c>
      <c r="Q3639" t="s">
        <v>582</v>
      </c>
      <c r="R3639" t="s">
        <v>1308</v>
      </c>
      <c r="S3639" t="s">
        <v>41</v>
      </c>
      <c r="T3639" t="s">
        <v>32</v>
      </c>
      <c r="U3639" t="s">
        <v>32</v>
      </c>
      <c r="V3639" t="s">
        <v>1620</v>
      </c>
      <c r="W3639" t="s">
        <v>38817</v>
      </c>
      <c r="X3639" t="s">
        <v>32</v>
      </c>
      <c r="Y3639" t="s">
        <v>157</v>
      </c>
      <c r="Z3639" t="s">
        <v>32</v>
      </c>
      <c r="AA3639" t="s">
        <v>40516</v>
      </c>
      <c r="AB3639" t="s">
        <v>40517</v>
      </c>
      <c r="AC3639" t="s">
        <v>40518</v>
      </c>
      <c r="AD3639" t="s">
        <v>32</v>
      </c>
      <c r="AE3639" t="s">
        <v>40519</v>
      </c>
      <c r="AF3639" t="s">
        <v>46835</v>
      </c>
    </row>
    <row r="3640" spans="1:32" x14ac:dyDescent="0.2">
      <c r="A3640">
        <v>3635</v>
      </c>
      <c r="B3640" t="s">
        <v>40520</v>
      </c>
      <c r="C3640" t="s">
        <v>40521</v>
      </c>
      <c r="D3640" t="s">
        <v>40522</v>
      </c>
      <c r="E3640" t="s">
        <v>40523</v>
      </c>
      <c r="F3640" t="s">
        <v>40524</v>
      </c>
      <c r="G3640" t="s">
        <v>40525</v>
      </c>
      <c r="H3640" t="str">
        <f>"Erap1"</f>
        <v>Erap1</v>
      </c>
      <c r="I3640" t="s">
        <v>40526</v>
      </c>
      <c r="J3640" t="s">
        <v>37</v>
      </c>
      <c r="K3640">
        <v>10090</v>
      </c>
      <c r="L3640" s="3" t="str">
        <f>HYPERLINK("http://www.uniprot.org/uniprot/Q9EQH2", "Q9EQH2")</f>
        <v>Q9EQH2</v>
      </c>
      <c r="M3640" t="s">
        <v>40527</v>
      </c>
      <c r="N3640" t="str">
        <f>"Erap1"</f>
        <v>Erap1</v>
      </c>
      <c r="O3640" s="3" t="str">
        <f>HYPERLINK("http://www.informatics.jax.org/marker/MGI:1933403", "MGI:1933403")</f>
        <v>MGI:1933403</v>
      </c>
      <c r="P3640" t="s">
        <v>40528</v>
      </c>
      <c r="Q3640" t="s">
        <v>16801</v>
      </c>
      <c r="R3640" t="s">
        <v>1664</v>
      </c>
      <c r="S3640" t="s">
        <v>32</v>
      </c>
      <c r="T3640" t="s">
        <v>32</v>
      </c>
      <c r="U3640" t="s">
        <v>32</v>
      </c>
      <c r="V3640" t="s">
        <v>1550</v>
      </c>
      <c r="W3640" t="s">
        <v>42</v>
      </c>
      <c r="X3640" t="s">
        <v>4215</v>
      </c>
      <c r="Y3640" t="s">
        <v>5275</v>
      </c>
      <c r="Z3640" t="s">
        <v>32</v>
      </c>
      <c r="AA3640" t="s">
        <v>40529</v>
      </c>
      <c r="AB3640" t="s">
        <v>40530</v>
      </c>
      <c r="AC3640" t="s">
        <v>40531</v>
      </c>
      <c r="AD3640" t="s">
        <v>32</v>
      </c>
      <c r="AE3640" t="s">
        <v>40532</v>
      </c>
      <c r="AF3640" t="s">
        <v>46835</v>
      </c>
    </row>
    <row r="3641" spans="1:32" x14ac:dyDescent="0.2">
      <c r="A3641">
        <v>3636</v>
      </c>
      <c r="B3641" t="s">
        <v>40533</v>
      </c>
      <c r="C3641" t="s">
        <v>40534</v>
      </c>
      <c r="D3641" t="s">
        <v>40535</v>
      </c>
      <c r="E3641" t="s">
        <v>40536</v>
      </c>
      <c r="F3641" t="s">
        <v>40537</v>
      </c>
      <c r="G3641" t="s">
        <v>40538</v>
      </c>
      <c r="H3641" t="str">
        <f>"Pawr"</f>
        <v>Pawr</v>
      </c>
      <c r="I3641" t="s">
        <v>40539</v>
      </c>
      <c r="J3641" t="s">
        <v>37</v>
      </c>
      <c r="K3641">
        <v>10090</v>
      </c>
      <c r="L3641" s="3" t="str">
        <f>HYPERLINK("http://www.uniprot.org/uniprot/Q925B0", "Q925B0")</f>
        <v>Q925B0</v>
      </c>
      <c r="M3641" t="s">
        <v>40540</v>
      </c>
      <c r="N3641" t="str">
        <f>"Pawr"</f>
        <v>Pawr</v>
      </c>
      <c r="O3641" s="3" t="str">
        <f>HYPERLINK("http://www.informatics.jax.org/marker/MGI:2149961", "MGI:2149961")</f>
        <v>MGI:2149961</v>
      </c>
      <c r="P3641" t="s">
        <v>40541</v>
      </c>
      <c r="Q3641" t="s">
        <v>20510</v>
      </c>
      <c r="R3641" t="s">
        <v>40</v>
      </c>
      <c r="S3641" t="s">
        <v>41</v>
      </c>
      <c r="T3641" t="s">
        <v>32</v>
      </c>
      <c r="U3641" t="s">
        <v>32</v>
      </c>
      <c r="V3641" t="s">
        <v>290</v>
      </c>
      <c r="W3641" t="s">
        <v>32</v>
      </c>
      <c r="X3641" t="s">
        <v>32</v>
      </c>
      <c r="Y3641" t="s">
        <v>618</v>
      </c>
      <c r="Z3641" t="s">
        <v>32</v>
      </c>
      <c r="AA3641" t="s">
        <v>40542</v>
      </c>
      <c r="AB3641" t="s">
        <v>40543</v>
      </c>
      <c r="AC3641" t="s">
        <v>40544</v>
      </c>
      <c r="AD3641" t="s">
        <v>32</v>
      </c>
      <c r="AE3641" t="s">
        <v>32</v>
      </c>
      <c r="AF3641" t="s">
        <v>46835</v>
      </c>
    </row>
    <row r="3642" spans="1:32" x14ac:dyDescent="0.2">
      <c r="A3642">
        <v>3637</v>
      </c>
      <c r="B3642" t="s">
        <v>40545</v>
      </c>
      <c r="C3642" t="s">
        <v>40546</v>
      </c>
      <c r="D3642" t="s">
        <v>40547</v>
      </c>
      <c r="E3642" t="s">
        <v>40548</v>
      </c>
      <c r="F3642" t="s">
        <v>40549</v>
      </c>
      <c r="G3642" t="s">
        <v>40550</v>
      </c>
      <c r="H3642" t="str">
        <f>"Trappc9"</f>
        <v>Trappc9</v>
      </c>
      <c r="I3642" t="s">
        <v>40551</v>
      </c>
      <c r="J3642" t="s">
        <v>37</v>
      </c>
      <c r="K3642">
        <v>10090</v>
      </c>
      <c r="L3642" s="3" t="str">
        <f>HYPERLINK("http://www.uniprot.org/uniprot/Q3U0M1", "Q3U0M1")</f>
        <v>Q3U0M1</v>
      </c>
      <c r="M3642" t="s">
        <v>40552</v>
      </c>
      <c r="N3642" t="str">
        <f>"Trappc9"</f>
        <v>Trappc9</v>
      </c>
      <c r="O3642" s="3" t="str">
        <f>HYPERLINK("http://www.informatics.jax.org/marker/MGI:1923760", "MGI:1923760")</f>
        <v>MGI:1923760</v>
      </c>
      <c r="P3642" t="s">
        <v>40553</v>
      </c>
      <c r="Q3642" t="s">
        <v>687</v>
      </c>
      <c r="R3642" t="s">
        <v>33596</v>
      </c>
      <c r="S3642" t="s">
        <v>41</v>
      </c>
      <c r="T3642" t="s">
        <v>32</v>
      </c>
      <c r="U3642" t="s">
        <v>32</v>
      </c>
      <c r="V3642" t="s">
        <v>32</v>
      </c>
      <c r="W3642" t="s">
        <v>32</v>
      </c>
      <c r="X3642" t="s">
        <v>32</v>
      </c>
      <c r="Y3642" t="s">
        <v>618</v>
      </c>
      <c r="Z3642" t="s">
        <v>32</v>
      </c>
      <c r="AA3642" t="s">
        <v>40554</v>
      </c>
      <c r="AB3642" t="s">
        <v>40555</v>
      </c>
      <c r="AC3642" t="s">
        <v>32</v>
      </c>
      <c r="AD3642" t="s">
        <v>32</v>
      </c>
      <c r="AE3642" t="s">
        <v>19968</v>
      </c>
      <c r="AF3642" t="s">
        <v>46835</v>
      </c>
    </row>
    <row r="3643" spans="1:32" x14ac:dyDescent="0.2">
      <c r="A3643">
        <v>3638</v>
      </c>
      <c r="B3643" t="s">
        <v>40556</v>
      </c>
      <c r="C3643" t="s">
        <v>40557</v>
      </c>
      <c r="D3643" t="s">
        <v>40558</v>
      </c>
      <c r="E3643" t="s">
        <v>40559</v>
      </c>
      <c r="F3643" t="s">
        <v>40560</v>
      </c>
      <c r="G3643" t="s">
        <v>40561</v>
      </c>
      <c r="H3643" t="str">
        <f>"Pex7"</f>
        <v>Pex7</v>
      </c>
      <c r="I3643" t="s">
        <v>32</v>
      </c>
      <c r="J3643" t="s">
        <v>37</v>
      </c>
      <c r="K3643">
        <v>10090</v>
      </c>
      <c r="L3643" s="3" t="str">
        <f>HYPERLINK("http://www.uniprot.org/uniprot/P97865", "P97865")</f>
        <v>P97865</v>
      </c>
      <c r="M3643" t="s">
        <v>40562</v>
      </c>
      <c r="N3643" t="str">
        <f>"Pex7"</f>
        <v>Pex7</v>
      </c>
      <c r="O3643" s="3" t="str">
        <f>HYPERLINK("http://www.informatics.jax.org/marker/MGI:1321392", "MGI:1321392")</f>
        <v>MGI:1321392</v>
      </c>
      <c r="P3643" t="s">
        <v>40563</v>
      </c>
      <c r="Q3643" t="s">
        <v>434</v>
      </c>
      <c r="R3643" t="s">
        <v>14294</v>
      </c>
      <c r="S3643" t="s">
        <v>32</v>
      </c>
      <c r="T3643" t="s">
        <v>32</v>
      </c>
      <c r="U3643" t="s">
        <v>32</v>
      </c>
      <c r="V3643" t="s">
        <v>1910</v>
      </c>
      <c r="W3643" t="s">
        <v>32</v>
      </c>
      <c r="X3643" t="s">
        <v>32</v>
      </c>
      <c r="Y3643" t="s">
        <v>32</v>
      </c>
      <c r="Z3643" t="s">
        <v>32</v>
      </c>
      <c r="AA3643" t="s">
        <v>40564</v>
      </c>
      <c r="AB3643" t="s">
        <v>24984</v>
      </c>
      <c r="AC3643" t="s">
        <v>40565</v>
      </c>
      <c r="AD3643" t="s">
        <v>32</v>
      </c>
      <c r="AE3643" t="s">
        <v>26118</v>
      </c>
      <c r="AF3643" t="s">
        <v>46835</v>
      </c>
    </row>
    <row r="3644" spans="1:32" x14ac:dyDescent="0.2">
      <c r="A3644">
        <v>3639</v>
      </c>
      <c r="B3644" t="s">
        <v>40566</v>
      </c>
      <c r="C3644" t="s">
        <v>40567</v>
      </c>
      <c r="D3644" t="s">
        <v>40568</v>
      </c>
      <c r="E3644" t="s">
        <v>40569</v>
      </c>
      <c r="F3644" t="s">
        <v>40570</v>
      </c>
      <c r="G3644" t="s">
        <v>40571</v>
      </c>
      <c r="H3644" t="str">
        <f>"Cwc22"</f>
        <v>Cwc22</v>
      </c>
      <c r="I3644" t="s">
        <v>40572</v>
      </c>
      <c r="J3644" t="s">
        <v>37</v>
      </c>
      <c r="K3644">
        <v>10090</v>
      </c>
      <c r="L3644" s="3" t="str">
        <f>HYPERLINK("http://www.uniprot.org/uniprot/Q8C5N3", "Q8C5N3")</f>
        <v>Q8C5N3</v>
      </c>
      <c r="M3644" t="s">
        <v>40573</v>
      </c>
      <c r="N3644" t="str">
        <f>"Cwc22"</f>
        <v>Cwc22</v>
      </c>
      <c r="O3644" s="3" t="str">
        <f>HYPERLINK("http://www.informatics.jax.org/marker/MGI:2136773", "MGI:2136773")</f>
        <v>MGI:2136773</v>
      </c>
      <c r="P3644" t="s">
        <v>40574</v>
      </c>
      <c r="Q3644" t="s">
        <v>2139</v>
      </c>
      <c r="R3644" t="s">
        <v>2140</v>
      </c>
      <c r="S3644" t="s">
        <v>41</v>
      </c>
      <c r="T3644" t="s">
        <v>32</v>
      </c>
      <c r="U3644" t="s">
        <v>32</v>
      </c>
      <c r="V3644" t="s">
        <v>32</v>
      </c>
      <c r="W3644" t="s">
        <v>32</v>
      </c>
      <c r="X3644" t="s">
        <v>32</v>
      </c>
      <c r="Y3644" t="s">
        <v>618</v>
      </c>
      <c r="Z3644" t="s">
        <v>32</v>
      </c>
      <c r="AA3644" t="s">
        <v>8104</v>
      </c>
      <c r="AB3644" t="s">
        <v>40575</v>
      </c>
      <c r="AC3644" t="s">
        <v>4711</v>
      </c>
      <c r="AD3644" t="s">
        <v>32</v>
      </c>
      <c r="AE3644" t="s">
        <v>946</v>
      </c>
      <c r="AF3644" t="s">
        <v>46835</v>
      </c>
    </row>
    <row r="3645" spans="1:32" x14ac:dyDescent="0.2">
      <c r="A3645">
        <v>3640</v>
      </c>
      <c r="B3645" t="s">
        <v>40576</v>
      </c>
      <c r="C3645" t="s">
        <v>40577</v>
      </c>
      <c r="D3645" t="s">
        <v>32</v>
      </c>
      <c r="E3645" t="s">
        <v>40578</v>
      </c>
      <c r="F3645" t="s">
        <v>40579</v>
      </c>
      <c r="G3645" t="s">
        <v>40580</v>
      </c>
      <c r="H3645" t="str">
        <f>"Ccz1"</f>
        <v>Ccz1</v>
      </c>
      <c r="I3645" t="s">
        <v>32</v>
      </c>
      <c r="J3645" t="s">
        <v>37</v>
      </c>
      <c r="K3645">
        <v>10090</v>
      </c>
      <c r="L3645" s="3" t="str">
        <f>HYPERLINK("http://www.uniprot.org/uniprot/Q8C1Y8", "Q8C1Y8")</f>
        <v>Q8C1Y8</v>
      </c>
      <c r="M3645" t="s">
        <v>40581</v>
      </c>
      <c r="N3645" t="str">
        <f>"Ccz1"</f>
        <v>Ccz1</v>
      </c>
      <c r="O3645" s="3" t="str">
        <f>HYPERLINK("http://www.informatics.jax.org/marker/MGI:2141070", "MGI:2141070")</f>
        <v>MGI:2141070</v>
      </c>
      <c r="P3645" t="s">
        <v>40582</v>
      </c>
      <c r="Q3645" t="s">
        <v>32</v>
      </c>
      <c r="R3645" t="s">
        <v>19635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5011</v>
      </c>
      <c r="Y3645" t="s">
        <v>157</v>
      </c>
      <c r="Z3645" t="s">
        <v>32</v>
      </c>
      <c r="AA3645" t="s">
        <v>39287</v>
      </c>
      <c r="AB3645" t="s">
        <v>40583</v>
      </c>
      <c r="AC3645" t="s">
        <v>12942</v>
      </c>
      <c r="AD3645" t="s">
        <v>32</v>
      </c>
      <c r="AE3645" t="s">
        <v>8182</v>
      </c>
      <c r="AF3645" t="s">
        <v>46835</v>
      </c>
    </row>
    <row r="3646" spans="1:32" x14ac:dyDescent="0.2">
      <c r="A3646">
        <v>3641</v>
      </c>
      <c r="B3646" t="s">
        <v>40584</v>
      </c>
      <c r="C3646" t="s">
        <v>40585</v>
      </c>
      <c r="D3646" t="s">
        <v>32</v>
      </c>
      <c r="E3646" t="s">
        <v>40586</v>
      </c>
      <c r="F3646" t="s">
        <v>40587</v>
      </c>
      <c r="G3646" t="s">
        <v>40588</v>
      </c>
      <c r="H3646" t="str">
        <f>"Tbc1d22a"</f>
        <v>Tbc1d22a</v>
      </c>
      <c r="I3646" t="s">
        <v>40589</v>
      </c>
      <c r="J3646" t="s">
        <v>37</v>
      </c>
      <c r="K3646">
        <v>10090</v>
      </c>
      <c r="L3646" s="3" t="str">
        <f>HYPERLINK("http://www.uniprot.org/uniprot/Q8R5A6", "Q8R5A6")</f>
        <v>Q8R5A6</v>
      </c>
      <c r="M3646" t="s">
        <v>40590</v>
      </c>
      <c r="N3646" t="str">
        <f>"Tbc1d22a"</f>
        <v>Tbc1d22a</v>
      </c>
      <c r="O3646" s="3" t="str">
        <f>HYPERLINK("http://www.informatics.jax.org/marker/MGI:1289265", "MGI:1289265")</f>
        <v>MGI:1289265</v>
      </c>
      <c r="P3646" t="s">
        <v>40591</v>
      </c>
      <c r="Q3646" t="s">
        <v>32</v>
      </c>
      <c r="R3646" t="s">
        <v>32</v>
      </c>
      <c r="S3646" t="s">
        <v>41</v>
      </c>
      <c r="T3646" t="s">
        <v>32</v>
      </c>
      <c r="U3646" t="s">
        <v>32</v>
      </c>
      <c r="V3646" t="s">
        <v>32</v>
      </c>
      <c r="W3646" t="s">
        <v>32</v>
      </c>
      <c r="X3646" t="s">
        <v>715</v>
      </c>
      <c r="Y3646" t="s">
        <v>157</v>
      </c>
      <c r="Z3646" t="s">
        <v>32</v>
      </c>
      <c r="AA3646" t="s">
        <v>40592</v>
      </c>
      <c r="AB3646" t="s">
        <v>32</v>
      </c>
      <c r="AC3646" t="s">
        <v>40593</v>
      </c>
      <c r="AD3646" t="s">
        <v>32</v>
      </c>
      <c r="AE3646" t="s">
        <v>32</v>
      </c>
      <c r="AF3646" t="s">
        <v>46835</v>
      </c>
    </row>
    <row r="3647" spans="1:32" x14ac:dyDescent="0.2">
      <c r="A3647">
        <v>3642</v>
      </c>
      <c r="B3647" t="s">
        <v>40594</v>
      </c>
      <c r="C3647" t="s">
        <v>40595</v>
      </c>
      <c r="D3647" t="s">
        <v>40596</v>
      </c>
      <c r="E3647" t="s">
        <v>40597</v>
      </c>
      <c r="F3647" t="s">
        <v>40598</v>
      </c>
      <c r="G3647" t="s">
        <v>40599</v>
      </c>
      <c r="H3647" t="str">
        <f>"Ttc3"</f>
        <v>Ttc3</v>
      </c>
      <c r="I3647" t="s">
        <v>40600</v>
      </c>
      <c r="J3647" t="s">
        <v>37</v>
      </c>
      <c r="K3647">
        <v>10090</v>
      </c>
      <c r="L3647" s="3" t="str">
        <f>HYPERLINK("http://www.uniprot.org/uniprot/O88196", "O88196")</f>
        <v>O88196</v>
      </c>
      <c r="M3647" t="s">
        <v>40601</v>
      </c>
      <c r="N3647" t="str">
        <f>"Ttc3"</f>
        <v>Ttc3</v>
      </c>
      <c r="O3647" s="3" t="str">
        <f>HYPERLINK("http://www.informatics.jax.org/marker/MGI:1276539", "MGI:1276539")</f>
        <v>MGI:1276539</v>
      </c>
      <c r="P3647" t="s">
        <v>40602</v>
      </c>
      <c r="Q3647" t="s">
        <v>1020</v>
      </c>
      <c r="R3647" t="s">
        <v>9392</v>
      </c>
      <c r="S3647" t="s">
        <v>41</v>
      </c>
      <c r="T3647" t="s">
        <v>32</v>
      </c>
      <c r="U3647" t="s">
        <v>32</v>
      </c>
      <c r="V3647" t="s">
        <v>8239</v>
      </c>
      <c r="W3647" t="s">
        <v>42</v>
      </c>
      <c r="X3647" t="s">
        <v>515</v>
      </c>
      <c r="Y3647" t="s">
        <v>618</v>
      </c>
      <c r="Z3647" t="s">
        <v>32</v>
      </c>
      <c r="AA3647" t="s">
        <v>40603</v>
      </c>
      <c r="AB3647" t="s">
        <v>40604</v>
      </c>
      <c r="AC3647" t="s">
        <v>26536</v>
      </c>
      <c r="AD3647" t="s">
        <v>1027</v>
      </c>
      <c r="AE3647" t="s">
        <v>32</v>
      </c>
      <c r="AF3647" t="s">
        <v>46835</v>
      </c>
    </row>
    <row r="3648" spans="1:32" x14ac:dyDescent="0.2">
      <c r="A3648">
        <v>3643</v>
      </c>
      <c r="B3648" t="s">
        <v>40605</v>
      </c>
      <c r="C3648" t="s">
        <v>40606</v>
      </c>
      <c r="D3648" t="s">
        <v>40607</v>
      </c>
      <c r="E3648" t="s">
        <v>40608</v>
      </c>
      <c r="F3648" t="s">
        <v>40609</v>
      </c>
      <c r="G3648" t="s">
        <v>32</v>
      </c>
      <c r="H3648" t="str">
        <f>"Ggt1"</f>
        <v>Ggt1</v>
      </c>
      <c r="I3648" t="s">
        <v>40610</v>
      </c>
      <c r="J3648" t="s">
        <v>37</v>
      </c>
      <c r="K3648">
        <v>10090</v>
      </c>
      <c r="L3648" s="3" t="str">
        <f>HYPERLINK("http://www.uniprot.org/uniprot/Q60928", "Q60928")</f>
        <v>Q60928</v>
      </c>
      <c r="M3648" t="s">
        <v>40611</v>
      </c>
      <c r="N3648" t="str">
        <f>"Ggt1"</f>
        <v>Ggt1</v>
      </c>
      <c r="O3648" s="3" t="str">
        <f>HYPERLINK("http://www.informatics.jax.org/marker/MGI:95706", "MGI:95706")</f>
        <v>MGI:95706</v>
      </c>
      <c r="P3648" t="s">
        <v>40612</v>
      </c>
      <c r="Q3648" t="s">
        <v>1265</v>
      </c>
      <c r="R3648" t="s">
        <v>2474</v>
      </c>
      <c r="S3648" t="s">
        <v>32</v>
      </c>
      <c r="T3648" t="s">
        <v>32</v>
      </c>
      <c r="U3648" t="s">
        <v>32</v>
      </c>
      <c r="V3648" t="s">
        <v>1550</v>
      </c>
      <c r="W3648" t="s">
        <v>32</v>
      </c>
      <c r="X3648" t="s">
        <v>40613</v>
      </c>
      <c r="Y3648" t="s">
        <v>5781</v>
      </c>
      <c r="Z3648" t="s">
        <v>32</v>
      </c>
      <c r="AA3648" t="s">
        <v>40614</v>
      </c>
      <c r="AB3648" t="s">
        <v>40615</v>
      </c>
      <c r="AC3648" t="s">
        <v>40616</v>
      </c>
      <c r="AD3648" t="s">
        <v>40617</v>
      </c>
      <c r="AE3648" t="s">
        <v>40618</v>
      </c>
      <c r="AF3648" t="s">
        <v>46835</v>
      </c>
    </row>
    <row r="3649" spans="1:32" x14ac:dyDescent="0.2">
      <c r="A3649">
        <v>3644</v>
      </c>
      <c r="B3649" t="s">
        <v>40619</v>
      </c>
      <c r="C3649" t="s">
        <v>40620</v>
      </c>
      <c r="D3649" t="s">
        <v>40621</v>
      </c>
      <c r="E3649" t="s">
        <v>40622</v>
      </c>
      <c r="F3649" t="s">
        <v>40623</v>
      </c>
      <c r="G3649" t="s">
        <v>40624</v>
      </c>
      <c r="H3649" t="str">
        <f>"Traf6"</f>
        <v>Traf6</v>
      </c>
      <c r="I3649" t="s">
        <v>32</v>
      </c>
      <c r="J3649" t="s">
        <v>37</v>
      </c>
      <c r="K3649">
        <v>10090</v>
      </c>
      <c r="L3649" s="3" t="str">
        <f>HYPERLINK("http://www.uniprot.org/uniprot/P70196", "P70196")</f>
        <v>P70196</v>
      </c>
      <c r="M3649" t="s">
        <v>40625</v>
      </c>
      <c r="N3649" t="str">
        <f>"Traf6"</f>
        <v>Traf6</v>
      </c>
      <c r="O3649" s="3" t="str">
        <f>HYPERLINK("http://www.informatics.jax.org/marker/MGI:108072", "MGI:108072")</f>
        <v>MGI:108072</v>
      </c>
      <c r="P3649" t="s">
        <v>40626</v>
      </c>
      <c r="Q3649" t="s">
        <v>40627</v>
      </c>
      <c r="R3649" t="s">
        <v>40628</v>
      </c>
      <c r="S3649" t="s">
        <v>41</v>
      </c>
      <c r="T3649" t="s">
        <v>32</v>
      </c>
      <c r="U3649" t="s">
        <v>32</v>
      </c>
      <c r="V3649" t="s">
        <v>12028</v>
      </c>
      <c r="W3649" t="s">
        <v>42</v>
      </c>
      <c r="X3649" t="s">
        <v>515</v>
      </c>
      <c r="Y3649" t="s">
        <v>7792</v>
      </c>
      <c r="Z3649" t="s">
        <v>32</v>
      </c>
      <c r="AA3649" t="s">
        <v>40629</v>
      </c>
      <c r="AB3649" t="s">
        <v>40630</v>
      </c>
      <c r="AC3649" t="s">
        <v>40631</v>
      </c>
      <c r="AD3649" t="s">
        <v>1027</v>
      </c>
      <c r="AE3649" t="s">
        <v>40632</v>
      </c>
      <c r="AF3649" t="s">
        <v>46835</v>
      </c>
    </row>
    <row r="3650" spans="1:32" x14ac:dyDescent="0.2">
      <c r="A3650">
        <v>3645</v>
      </c>
      <c r="B3650" t="s">
        <v>40633</v>
      </c>
      <c r="C3650" t="s">
        <v>40634</v>
      </c>
      <c r="D3650" t="s">
        <v>32</v>
      </c>
      <c r="E3650" t="s">
        <v>40635</v>
      </c>
      <c r="F3650" t="s">
        <v>40636</v>
      </c>
      <c r="G3650" t="s">
        <v>40637</v>
      </c>
      <c r="H3650" t="str">
        <f>"Hirip3"</f>
        <v>Hirip3</v>
      </c>
      <c r="I3650" t="s">
        <v>32</v>
      </c>
      <c r="J3650" t="s">
        <v>37</v>
      </c>
      <c r="K3650">
        <v>10090</v>
      </c>
      <c r="L3650" s="3" t="str">
        <f>HYPERLINK("http://www.uniprot.org/uniprot/Q8BLH7", "Q8BLH7")</f>
        <v>Q8BLH7</v>
      </c>
      <c r="M3650" t="s">
        <v>40638</v>
      </c>
      <c r="N3650" t="str">
        <f>"Hirip3"</f>
        <v>Hirip3</v>
      </c>
      <c r="O3650" s="3" t="str">
        <f>HYPERLINK("http://www.informatics.jax.org/marker/MGI:2142364", "MGI:2142364")</f>
        <v>MGI:2142364</v>
      </c>
      <c r="P3650" t="s">
        <v>34670</v>
      </c>
      <c r="Q3650" t="s">
        <v>32</v>
      </c>
      <c r="R3650" t="s">
        <v>2279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32</v>
      </c>
      <c r="Y3650" t="s">
        <v>618</v>
      </c>
      <c r="Z3650" t="s">
        <v>32</v>
      </c>
      <c r="AA3650" t="s">
        <v>32</v>
      </c>
      <c r="AB3650" t="s">
        <v>35588</v>
      </c>
      <c r="AC3650" t="s">
        <v>32</v>
      </c>
      <c r="AD3650" t="s">
        <v>32</v>
      </c>
      <c r="AE3650" t="s">
        <v>32</v>
      </c>
      <c r="AF3650" t="s">
        <v>46835</v>
      </c>
    </row>
    <row r="3651" spans="1:32" x14ac:dyDescent="0.2">
      <c r="A3651">
        <v>3646</v>
      </c>
      <c r="B3651" t="s">
        <v>40639</v>
      </c>
      <c r="C3651" t="s">
        <v>40640</v>
      </c>
      <c r="D3651" t="s">
        <v>32</v>
      </c>
      <c r="E3651" t="s">
        <v>40641</v>
      </c>
      <c r="F3651" t="s">
        <v>40642</v>
      </c>
      <c r="G3651" t="s">
        <v>40643</v>
      </c>
      <c r="H3651" t="str">
        <f>"Klhl9"</f>
        <v>Klhl9</v>
      </c>
      <c r="I3651" t="s">
        <v>40644</v>
      </c>
      <c r="J3651" t="s">
        <v>37</v>
      </c>
      <c r="K3651">
        <v>10090</v>
      </c>
      <c r="L3651" s="3" t="str">
        <f>HYPERLINK("http://www.uniprot.org/uniprot/Q6ZPT1", "Q6ZPT1")</f>
        <v>Q6ZPT1</v>
      </c>
      <c r="M3651" t="s">
        <v>40645</v>
      </c>
      <c r="N3651" t="str">
        <f>"Klhl9"</f>
        <v>Klhl9</v>
      </c>
      <c r="O3651" s="3" t="str">
        <f>HYPERLINK("http://www.informatics.jax.org/marker/MGI:2180122", "MGI:2180122")</f>
        <v>MGI:2180122</v>
      </c>
      <c r="P3651" t="s">
        <v>40646</v>
      </c>
      <c r="Q3651" t="s">
        <v>19695</v>
      </c>
      <c r="R3651" t="s">
        <v>32</v>
      </c>
      <c r="S3651" t="s">
        <v>32</v>
      </c>
      <c r="T3651" t="s">
        <v>32</v>
      </c>
      <c r="U3651" t="s">
        <v>32</v>
      </c>
      <c r="V3651" t="s">
        <v>11766</v>
      </c>
      <c r="W3651" t="s">
        <v>32</v>
      </c>
      <c r="X3651" t="s">
        <v>32</v>
      </c>
      <c r="Y3651" t="s">
        <v>32</v>
      </c>
      <c r="Z3651" t="s">
        <v>32</v>
      </c>
      <c r="AA3651" t="s">
        <v>40647</v>
      </c>
      <c r="AB3651" t="s">
        <v>40648</v>
      </c>
      <c r="AC3651" t="s">
        <v>40649</v>
      </c>
      <c r="AD3651" t="s">
        <v>1027</v>
      </c>
      <c r="AE3651" t="s">
        <v>23932</v>
      </c>
      <c r="AF3651" t="s">
        <v>46835</v>
      </c>
    </row>
    <row r="3652" spans="1:32" x14ac:dyDescent="0.2">
      <c r="A3652">
        <v>3647</v>
      </c>
      <c r="B3652" t="s">
        <v>40650</v>
      </c>
      <c r="C3652" t="s">
        <v>40651</v>
      </c>
      <c r="D3652" t="s">
        <v>32</v>
      </c>
      <c r="E3652" t="s">
        <v>40652</v>
      </c>
      <c r="F3652" t="s">
        <v>40653</v>
      </c>
      <c r="G3652" t="s">
        <v>40654</v>
      </c>
      <c r="H3652" t="str">
        <f>"Thtpa"</f>
        <v>Thtpa</v>
      </c>
      <c r="I3652" t="s">
        <v>32</v>
      </c>
      <c r="J3652" t="s">
        <v>37</v>
      </c>
      <c r="K3652">
        <v>10090</v>
      </c>
      <c r="L3652" s="3" t="str">
        <f>HYPERLINK("http://www.uniprot.org/uniprot/Q8JZL3", "Q8JZL3")</f>
        <v>Q8JZL3</v>
      </c>
      <c r="M3652" t="s">
        <v>40655</v>
      </c>
      <c r="N3652" t="str">
        <f>"Thtpa"</f>
        <v>Thtpa</v>
      </c>
      <c r="O3652" s="3" t="str">
        <f>HYPERLINK("http://www.informatics.jax.org/marker/MGI:2446078", "MGI:2446078")</f>
        <v>MGI:2446078</v>
      </c>
      <c r="P3652" t="s">
        <v>40656</v>
      </c>
      <c r="Q3652" t="s">
        <v>32</v>
      </c>
      <c r="R3652" t="s">
        <v>418</v>
      </c>
      <c r="S3652" t="s">
        <v>32</v>
      </c>
      <c r="T3652" t="s">
        <v>32</v>
      </c>
      <c r="U3652" t="s">
        <v>32</v>
      </c>
      <c r="V3652" t="s">
        <v>32</v>
      </c>
      <c r="W3652" t="s">
        <v>223</v>
      </c>
      <c r="X3652" t="s">
        <v>343</v>
      </c>
      <c r="Y3652" t="s">
        <v>78</v>
      </c>
      <c r="Z3652" t="s">
        <v>126</v>
      </c>
      <c r="AA3652" t="s">
        <v>40657</v>
      </c>
      <c r="AB3652" t="s">
        <v>2172</v>
      </c>
      <c r="AC3652" t="s">
        <v>40658</v>
      </c>
      <c r="AD3652" t="s">
        <v>32</v>
      </c>
      <c r="AE3652" t="s">
        <v>40659</v>
      </c>
      <c r="AF3652" t="s">
        <v>46835</v>
      </c>
    </row>
    <row r="3653" spans="1:32" x14ac:dyDescent="0.2">
      <c r="A3653">
        <v>3648</v>
      </c>
      <c r="B3653" t="s">
        <v>40660</v>
      </c>
      <c r="C3653" t="s">
        <v>40661</v>
      </c>
      <c r="D3653" t="s">
        <v>40662</v>
      </c>
      <c r="E3653" t="s">
        <v>40663</v>
      </c>
      <c r="F3653" t="s">
        <v>40664</v>
      </c>
      <c r="G3653" t="s">
        <v>40665</v>
      </c>
      <c r="H3653" t="str">
        <f>"Rps6ka3"</f>
        <v>Rps6ka3</v>
      </c>
      <c r="I3653" t="s">
        <v>32</v>
      </c>
      <c r="J3653" t="s">
        <v>37</v>
      </c>
      <c r="K3653">
        <v>10090</v>
      </c>
      <c r="L3653" s="3" t="str">
        <f>HYPERLINK("http://www.uniprot.org/uniprot/P18654", "P18654")</f>
        <v>P18654</v>
      </c>
      <c r="M3653" t="s">
        <v>40666</v>
      </c>
      <c r="N3653" t="str">
        <f>"Rps6ka3"</f>
        <v>Rps6ka3</v>
      </c>
      <c r="O3653" s="3" t="str">
        <f>HYPERLINK("http://www.informatics.jax.org/marker/MGI:104557", "MGI:104557")</f>
        <v>MGI:104557</v>
      </c>
      <c r="P3653" t="s">
        <v>40667</v>
      </c>
      <c r="Q3653" t="s">
        <v>40668</v>
      </c>
      <c r="R3653" t="s">
        <v>40</v>
      </c>
      <c r="S3653" t="s">
        <v>32</v>
      </c>
      <c r="T3653" t="s">
        <v>32</v>
      </c>
      <c r="U3653" t="s">
        <v>32</v>
      </c>
      <c r="V3653" t="s">
        <v>55</v>
      </c>
      <c r="W3653" t="s">
        <v>205</v>
      </c>
      <c r="X3653" t="s">
        <v>5419</v>
      </c>
      <c r="Y3653" t="s">
        <v>618</v>
      </c>
      <c r="Z3653" t="s">
        <v>126</v>
      </c>
      <c r="AA3653" t="s">
        <v>40669</v>
      </c>
      <c r="AB3653" t="s">
        <v>40670</v>
      </c>
      <c r="AC3653" t="s">
        <v>40671</v>
      </c>
      <c r="AD3653" t="s">
        <v>32</v>
      </c>
      <c r="AE3653" t="s">
        <v>40672</v>
      </c>
      <c r="AF3653" t="s">
        <v>46835</v>
      </c>
    </row>
    <row r="3654" spans="1:32" x14ac:dyDescent="0.2">
      <c r="A3654">
        <v>3649</v>
      </c>
      <c r="B3654" t="s">
        <v>40673</v>
      </c>
      <c r="C3654" t="s">
        <v>40674</v>
      </c>
      <c r="D3654" t="s">
        <v>40675</v>
      </c>
      <c r="E3654" t="s">
        <v>40676</v>
      </c>
      <c r="F3654" t="s">
        <v>40677</v>
      </c>
      <c r="G3654" t="s">
        <v>40678</v>
      </c>
      <c r="H3654" t="str">
        <f>"Vps13c"</f>
        <v>Vps13c</v>
      </c>
      <c r="I3654" t="s">
        <v>32</v>
      </c>
      <c r="J3654" t="s">
        <v>37</v>
      </c>
      <c r="K3654">
        <v>10090</v>
      </c>
      <c r="L3654" s="3" t="str">
        <f>HYPERLINK("http://www.uniprot.org/uniprot/Q8BX70", "Q8BX70")</f>
        <v>Q8BX70</v>
      </c>
      <c r="M3654" t="s">
        <v>40679</v>
      </c>
      <c r="N3654" t="str">
        <f>"Vps13c"</f>
        <v>Vps13c</v>
      </c>
      <c r="O3654" s="3" t="str">
        <f>HYPERLINK("http://www.informatics.jax.org/marker/MGI:2444207", "MGI:2444207")</f>
        <v>MGI:2444207</v>
      </c>
      <c r="P3654" t="s">
        <v>40680</v>
      </c>
      <c r="Q3654" t="s">
        <v>582</v>
      </c>
      <c r="R3654" t="s">
        <v>40681</v>
      </c>
      <c r="S3654" t="s">
        <v>41</v>
      </c>
      <c r="T3654" t="s">
        <v>32</v>
      </c>
      <c r="U3654" t="s">
        <v>32</v>
      </c>
      <c r="V3654" t="s">
        <v>32</v>
      </c>
      <c r="W3654" t="s">
        <v>32</v>
      </c>
      <c r="X3654" t="s">
        <v>32</v>
      </c>
      <c r="Y3654" t="s">
        <v>97</v>
      </c>
      <c r="Z3654" t="s">
        <v>32</v>
      </c>
      <c r="AA3654" t="s">
        <v>40682</v>
      </c>
      <c r="AB3654" t="s">
        <v>40683</v>
      </c>
      <c r="AC3654" t="s">
        <v>32</v>
      </c>
      <c r="AD3654" t="s">
        <v>32</v>
      </c>
      <c r="AE3654" t="s">
        <v>32</v>
      </c>
      <c r="AF3654" t="s">
        <v>46835</v>
      </c>
    </row>
    <row r="3655" spans="1:32" x14ac:dyDescent="0.2">
      <c r="A3655">
        <v>3650</v>
      </c>
      <c r="B3655" t="s">
        <v>40684</v>
      </c>
      <c r="C3655" t="s">
        <v>40685</v>
      </c>
      <c r="D3655" t="s">
        <v>40686</v>
      </c>
      <c r="E3655" t="s">
        <v>40687</v>
      </c>
      <c r="F3655" t="s">
        <v>40688</v>
      </c>
      <c r="G3655" t="s">
        <v>40689</v>
      </c>
      <c r="H3655" t="str">
        <f>"Ldlrap1"</f>
        <v>Ldlrap1</v>
      </c>
      <c r="I3655" t="s">
        <v>32</v>
      </c>
      <c r="J3655" t="s">
        <v>37</v>
      </c>
      <c r="K3655">
        <v>10090</v>
      </c>
      <c r="L3655" s="3" t="str">
        <f>HYPERLINK("http://www.uniprot.org/uniprot/Q8C142", "Q8C142")</f>
        <v>Q8C142</v>
      </c>
      <c r="M3655" t="s">
        <v>40690</v>
      </c>
      <c r="N3655" t="str">
        <f>"Ldlrap1"</f>
        <v>Ldlrap1</v>
      </c>
      <c r="O3655" s="3" t="str">
        <f>HYPERLINK("http://www.informatics.jax.org/marker/MGI:2140175", "MGI:2140175")</f>
        <v>MGI:2140175</v>
      </c>
      <c r="P3655" t="s">
        <v>40691</v>
      </c>
      <c r="Q3655" t="s">
        <v>40692</v>
      </c>
      <c r="R3655" t="s">
        <v>418</v>
      </c>
      <c r="S3655" t="s">
        <v>32</v>
      </c>
      <c r="T3655" t="s">
        <v>32</v>
      </c>
      <c r="U3655" t="s">
        <v>40693</v>
      </c>
      <c r="V3655" t="s">
        <v>32</v>
      </c>
      <c r="W3655" t="s">
        <v>32</v>
      </c>
      <c r="X3655" t="s">
        <v>32</v>
      </c>
      <c r="Y3655" t="s">
        <v>157</v>
      </c>
      <c r="Z3655" t="s">
        <v>32</v>
      </c>
      <c r="AA3655" t="s">
        <v>40694</v>
      </c>
      <c r="AB3655" t="s">
        <v>40695</v>
      </c>
      <c r="AC3655" t="s">
        <v>40696</v>
      </c>
      <c r="AD3655" t="s">
        <v>32</v>
      </c>
      <c r="AE3655" t="s">
        <v>40697</v>
      </c>
      <c r="AF3655" t="s">
        <v>46835</v>
      </c>
    </row>
    <row r="3656" spans="1:32" x14ac:dyDescent="0.2">
      <c r="A3656">
        <v>3651</v>
      </c>
      <c r="B3656" t="s">
        <v>40698</v>
      </c>
      <c r="C3656" t="s">
        <v>40699</v>
      </c>
      <c r="D3656" t="s">
        <v>32</v>
      </c>
      <c r="E3656" t="s">
        <v>40700</v>
      </c>
      <c r="F3656" t="s">
        <v>40701</v>
      </c>
      <c r="G3656" t="s">
        <v>40702</v>
      </c>
      <c r="H3656" t="str">
        <f>"Pdzd8"</f>
        <v>Pdzd8</v>
      </c>
      <c r="I3656" t="s">
        <v>32</v>
      </c>
      <c r="J3656" t="s">
        <v>37</v>
      </c>
      <c r="K3656">
        <v>10090</v>
      </c>
      <c r="L3656" s="3" t="str">
        <f>HYPERLINK("http://www.uniprot.org/uniprot/B9EJ80", "B9EJ80")</f>
        <v>B9EJ80</v>
      </c>
      <c r="M3656" t="s">
        <v>40703</v>
      </c>
      <c r="N3656" t="str">
        <f>"Pdzd8"</f>
        <v>Pdzd8</v>
      </c>
      <c r="O3656" s="3" t="str">
        <f>HYPERLINK("http://www.informatics.jax.org/marker/MGI:2677270", "MGI:2677270")</f>
        <v>MGI:2677270</v>
      </c>
      <c r="P3656" t="s">
        <v>40704</v>
      </c>
      <c r="Q3656" t="s">
        <v>582</v>
      </c>
      <c r="R3656" t="s">
        <v>1664</v>
      </c>
      <c r="S3656" t="s">
        <v>32</v>
      </c>
      <c r="T3656" t="s">
        <v>32</v>
      </c>
      <c r="U3656" t="s">
        <v>32</v>
      </c>
      <c r="V3656" t="s">
        <v>12917</v>
      </c>
      <c r="W3656" t="s">
        <v>36802</v>
      </c>
      <c r="X3656" t="s">
        <v>32</v>
      </c>
      <c r="Y3656" t="s">
        <v>618</v>
      </c>
      <c r="Z3656" t="s">
        <v>32</v>
      </c>
      <c r="AA3656" t="s">
        <v>40705</v>
      </c>
      <c r="AB3656" t="s">
        <v>40706</v>
      </c>
      <c r="AC3656" t="s">
        <v>40707</v>
      </c>
      <c r="AD3656" t="s">
        <v>32</v>
      </c>
      <c r="AE3656" t="s">
        <v>32</v>
      </c>
      <c r="AF3656" t="s">
        <v>46835</v>
      </c>
    </row>
    <row r="3657" spans="1:32" x14ac:dyDescent="0.2">
      <c r="A3657">
        <v>3652</v>
      </c>
      <c r="B3657" t="s">
        <v>40708</v>
      </c>
      <c r="C3657" t="s">
        <v>40709</v>
      </c>
      <c r="D3657" t="s">
        <v>32</v>
      </c>
      <c r="E3657" t="s">
        <v>40710</v>
      </c>
      <c r="F3657" t="s">
        <v>40711</v>
      </c>
      <c r="G3657" t="s">
        <v>32</v>
      </c>
      <c r="H3657" t="str">
        <f>"Mrps17"</f>
        <v>Mrps17</v>
      </c>
      <c r="I3657" t="s">
        <v>40712</v>
      </c>
      <c r="J3657" t="s">
        <v>37</v>
      </c>
      <c r="K3657">
        <v>10090</v>
      </c>
      <c r="L3657" s="3" t="str">
        <f>HYPERLINK("http://www.uniprot.org/uniprot/Q9CQE3", "Q9CQE3")</f>
        <v>Q9CQE3</v>
      </c>
      <c r="M3657" t="s">
        <v>40713</v>
      </c>
      <c r="N3657" t="str">
        <f>"Mrps17"</f>
        <v>Mrps17</v>
      </c>
      <c r="O3657" s="3" t="str">
        <f>HYPERLINK("http://www.informatics.jax.org/marker/MGI:1913508", "MGI:1913508")</f>
        <v>MGI:1913508</v>
      </c>
      <c r="P3657" t="s">
        <v>40714</v>
      </c>
      <c r="Q3657" t="s">
        <v>32</v>
      </c>
      <c r="R3657" t="s">
        <v>1038</v>
      </c>
      <c r="S3657" t="s">
        <v>32</v>
      </c>
      <c r="T3657" t="s">
        <v>32</v>
      </c>
      <c r="U3657" t="s">
        <v>32</v>
      </c>
      <c r="V3657" t="s">
        <v>1039</v>
      </c>
      <c r="W3657" t="s">
        <v>32</v>
      </c>
      <c r="X3657" t="s">
        <v>887</v>
      </c>
      <c r="Y3657" t="s">
        <v>32</v>
      </c>
      <c r="Z3657" t="s">
        <v>32</v>
      </c>
      <c r="AA3657" t="s">
        <v>23519</v>
      </c>
      <c r="AB3657" t="s">
        <v>23520</v>
      </c>
      <c r="AC3657" t="s">
        <v>1528</v>
      </c>
      <c r="AD3657" t="s">
        <v>32</v>
      </c>
      <c r="AE3657" t="s">
        <v>17271</v>
      </c>
      <c r="AF3657" t="s">
        <v>46835</v>
      </c>
    </row>
    <row r="3658" spans="1:32" x14ac:dyDescent="0.2">
      <c r="A3658">
        <v>3653</v>
      </c>
      <c r="B3658" t="s">
        <v>40715</v>
      </c>
      <c r="C3658" t="s">
        <v>40716</v>
      </c>
      <c r="D3658" t="s">
        <v>40717</v>
      </c>
      <c r="E3658" t="s">
        <v>40718</v>
      </c>
      <c r="F3658" t="s">
        <v>40719</v>
      </c>
      <c r="G3658" t="s">
        <v>40720</v>
      </c>
      <c r="H3658" t="str">
        <f>"Pigk"</f>
        <v>Pigk</v>
      </c>
      <c r="I3658" t="s">
        <v>32</v>
      </c>
      <c r="J3658" t="s">
        <v>37</v>
      </c>
      <c r="K3658">
        <v>10090</v>
      </c>
      <c r="L3658" s="3" t="str">
        <f>HYPERLINK("http://www.uniprot.org/uniprot/Q9CXY9", "Q9CXY9")</f>
        <v>Q9CXY9</v>
      </c>
      <c r="M3658" t="s">
        <v>40721</v>
      </c>
      <c r="N3658" t="str">
        <f>"Pigk"</f>
        <v>Pigk</v>
      </c>
      <c r="O3658" s="3" t="str">
        <f>HYPERLINK("http://www.informatics.jax.org/marker/MGI:1913863", "MGI:1913863")</f>
        <v>MGI:1913863</v>
      </c>
      <c r="P3658" t="s">
        <v>40722</v>
      </c>
      <c r="Q3658" t="s">
        <v>21283</v>
      </c>
      <c r="R3658" t="s">
        <v>1664</v>
      </c>
      <c r="S3658" t="s">
        <v>32</v>
      </c>
      <c r="T3658" t="s">
        <v>32</v>
      </c>
      <c r="U3658" t="s">
        <v>32</v>
      </c>
      <c r="V3658" t="s">
        <v>3948</v>
      </c>
      <c r="W3658" t="s">
        <v>32</v>
      </c>
      <c r="X3658" t="s">
        <v>557</v>
      </c>
      <c r="Y3658" t="s">
        <v>494</v>
      </c>
      <c r="Z3658" t="s">
        <v>32</v>
      </c>
      <c r="AA3658" t="s">
        <v>40723</v>
      </c>
      <c r="AB3658" t="s">
        <v>22430</v>
      </c>
      <c r="AC3658" t="s">
        <v>40724</v>
      </c>
      <c r="AD3658" t="s">
        <v>21286</v>
      </c>
      <c r="AE3658" t="s">
        <v>21287</v>
      </c>
      <c r="AF3658" t="s">
        <v>46835</v>
      </c>
    </row>
    <row r="3659" spans="1:32" x14ac:dyDescent="0.2">
      <c r="A3659">
        <v>3654</v>
      </c>
      <c r="B3659" t="s">
        <v>40725</v>
      </c>
      <c r="C3659" t="s">
        <v>40726</v>
      </c>
      <c r="D3659" t="s">
        <v>32</v>
      </c>
      <c r="E3659" t="s">
        <v>40727</v>
      </c>
      <c r="F3659" t="s">
        <v>40728</v>
      </c>
      <c r="G3659" t="s">
        <v>40729</v>
      </c>
      <c r="H3659" t="str">
        <f>"Wdr41"</f>
        <v>Wdr41</v>
      </c>
      <c r="I3659" t="s">
        <v>32</v>
      </c>
      <c r="J3659" t="s">
        <v>37</v>
      </c>
      <c r="K3659">
        <v>10090</v>
      </c>
      <c r="L3659" s="3" t="str">
        <f>HYPERLINK("http://www.uniprot.org/uniprot/Q3UDP0", "Q3UDP0")</f>
        <v>Q3UDP0</v>
      </c>
      <c r="M3659" t="s">
        <v>40730</v>
      </c>
      <c r="N3659" t="str">
        <f>"Wdr41"</f>
        <v>Wdr41</v>
      </c>
      <c r="O3659" s="3" t="str">
        <f>HYPERLINK("http://www.informatics.jax.org/marker/MGI:2445123", "MGI:2445123")</f>
        <v>MGI:2445123</v>
      </c>
      <c r="P3659" t="s">
        <v>40731</v>
      </c>
      <c r="Q3659" t="s">
        <v>11661</v>
      </c>
      <c r="R3659" t="s">
        <v>418</v>
      </c>
      <c r="S3659" t="s">
        <v>41</v>
      </c>
      <c r="T3659" t="s">
        <v>32</v>
      </c>
      <c r="U3659" t="s">
        <v>32</v>
      </c>
      <c r="V3659" t="s">
        <v>1910</v>
      </c>
      <c r="W3659" t="s">
        <v>32</v>
      </c>
      <c r="X3659" t="s">
        <v>32</v>
      </c>
      <c r="Y3659" t="s">
        <v>32</v>
      </c>
      <c r="Z3659" t="s">
        <v>32</v>
      </c>
      <c r="AA3659" t="s">
        <v>40732</v>
      </c>
      <c r="AB3659" t="s">
        <v>40733</v>
      </c>
      <c r="AC3659" t="s">
        <v>12942</v>
      </c>
      <c r="AD3659" t="s">
        <v>32</v>
      </c>
      <c r="AE3659" t="s">
        <v>32</v>
      </c>
      <c r="AF3659" t="s">
        <v>46835</v>
      </c>
    </row>
    <row r="3660" spans="1:32" x14ac:dyDescent="0.2">
      <c r="A3660">
        <v>3655</v>
      </c>
      <c r="B3660" t="s">
        <v>40734</v>
      </c>
      <c r="C3660" t="s">
        <v>40735</v>
      </c>
      <c r="D3660" t="s">
        <v>40736</v>
      </c>
      <c r="E3660" t="s">
        <v>40737</v>
      </c>
      <c r="F3660" t="s">
        <v>40738</v>
      </c>
      <c r="G3660" t="s">
        <v>40739</v>
      </c>
      <c r="H3660" t="str">
        <f>"Trappc10"</f>
        <v>Trappc10</v>
      </c>
      <c r="I3660" t="s">
        <v>40740</v>
      </c>
      <c r="J3660" t="s">
        <v>37</v>
      </c>
      <c r="K3660">
        <v>10090</v>
      </c>
      <c r="L3660" s="3" t="str">
        <f>HYPERLINK("http://www.uniprot.org/uniprot/Q3TLI0", "Q3TLI0")</f>
        <v>Q3TLI0</v>
      </c>
      <c r="M3660" t="s">
        <v>40741</v>
      </c>
      <c r="N3660" t="str">
        <f>"Trappc10"</f>
        <v>Trappc10</v>
      </c>
      <c r="O3660" s="3" t="str">
        <f>HYPERLINK("http://www.informatics.jax.org/marker/MGI:1336209", "MGI:1336209")</f>
        <v>MGI:1336209</v>
      </c>
      <c r="P3660" t="s">
        <v>40742</v>
      </c>
      <c r="Q3660" t="s">
        <v>14011</v>
      </c>
      <c r="R3660" t="s">
        <v>12904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32</v>
      </c>
      <c r="Y3660" t="s">
        <v>618</v>
      </c>
      <c r="Z3660" t="s">
        <v>32</v>
      </c>
      <c r="AA3660" t="s">
        <v>40743</v>
      </c>
      <c r="AB3660" t="s">
        <v>40744</v>
      </c>
      <c r="AC3660" t="s">
        <v>32</v>
      </c>
      <c r="AD3660" t="s">
        <v>32</v>
      </c>
      <c r="AE3660" t="s">
        <v>19968</v>
      </c>
      <c r="AF3660" t="s">
        <v>46835</v>
      </c>
    </row>
    <row r="3661" spans="1:32" x14ac:dyDescent="0.2">
      <c r="A3661">
        <v>3656</v>
      </c>
      <c r="B3661" t="s">
        <v>40745</v>
      </c>
      <c r="C3661" t="s">
        <v>40746</v>
      </c>
      <c r="D3661" t="s">
        <v>40747</v>
      </c>
      <c r="E3661" t="s">
        <v>40748</v>
      </c>
      <c r="F3661" t="s">
        <v>40749</v>
      </c>
      <c r="G3661" t="s">
        <v>40750</v>
      </c>
      <c r="H3661" t="str">
        <f>"Chmp7"</f>
        <v>Chmp7</v>
      </c>
      <c r="I3661" t="s">
        <v>32</v>
      </c>
      <c r="J3661" t="s">
        <v>37</v>
      </c>
      <c r="K3661">
        <v>10090</v>
      </c>
      <c r="L3661" s="3" t="str">
        <f>HYPERLINK("http://www.uniprot.org/uniprot/Q8R1T1", "Q8R1T1")</f>
        <v>Q8R1T1</v>
      </c>
      <c r="M3661" t="s">
        <v>40751</v>
      </c>
      <c r="N3661" t="str">
        <f>"Chmp7"</f>
        <v>Chmp7</v>
      </c>
      <c r="O3661" s="3" t="str">
        <f>HYPERLINK("http://www.informatics.jax.org/marker/MGI:1913922", "MGI:1913922")</f>
        <v>MGI:1913922</v>
      </c>
      <c r="P3661" t="s">
        <v>40752</v>
      </c>
      <c r="Q3661" t="s">
        <v>434</v>
      </c>
      <c r="R3661" t="s">
        <v>40</v>
      </c>
      <c r="S3661" t="s">
        <v>41</v>
      </c>
      <c r="T3661" t="s">
        <v>32</v>
      </c>
      <c r="U3661" t="s">
        <v>32</v>
      </c>
      <c r="V3661" t="s">
        <v>290</v>
      </c>
      <c r="W3661" t="s">
        <v>32</v>
      </c>
      <c r="X3661" t="s">
        <v>32</v>
      </c>
      <c r="Y3661" t="s">
        <v>618</v>
      </c>
      <c r="Z3661" t="s">
        <v>32</v>
      </c>
      <c r="AA3661" t="s">
        <v>40753</v>
      </c>
      <c r="AB3661" t="s">
        <v>40754</v>
      </c>
      <c r="AC3661" t="s">
        <v>32</v>
      </c>
      <c r="AD3661" t="s">
        <v>32</v>
      </c>
      <c r="AE3661" t="s">
        <v>7806</v>
      </c>
      <c r="AF3661" t="s">
        <v>46835</v>
      </c>
    </row>
    <row r="3662" spans="1:32" x14ac:dyDescent="0.2">
      <c r="A3662">
        <v>3657</v>
      </c>
      <c r="B3662" t="s">
        <v>40755</v>
      </c>
      <c r="C3662" t="s">
        <v>40756</v>
      </c>
      <c r="D3662" t="s">
        <v>40757</v>
      </c>
      <c r="E3662" t="s">
        <v>40758</v>
      </c>
      <c r="F3662" t="s">
        <v>40759</v>
      </c>
      <c r="G3662" t="s">
        <v>32</v>
      </c>
      <c r="H3662" t="str">
        <f>"Atp6v1d"</f>
        <v>Atp6v1d</v>
      </c>
      <c r="I3662" t="s">
        <v>40760</v>
      </c>
      <c r="J3662" t="s">
        <v>37</v>
      </c>
      <c r="K3662">
        <v>10090</v>
      </c>
      <c r="L3662" s="3" t="str">
        <f>HYPERLINK("http://www.uniprot.org/uniprot/P57746", "P57746")</f>
        <v>P57746</v>
      </c>
      <c r="M3662" t="s">
        <v>40761</v>
      </c>
      <c r="N3662" t="str">
        <f>"Atp6v1d"</f>
        <v>Atp6v1d</v>
      </c>
      <c r="O3662" s="3" t="str">
        <f>HYPERLINK("http://www.informatics.jax.org/marker/MGI:1921084", "MGI:1921084")</f>
        <v>MGI:1921084</v>
      </c>
      <c r="P3662" t="s">
        <v>40762</v>
      </c>
      <c r="Q3662" t="s">
        <v>12730</v>
      </c>
      <c r="R3662" t="s">
        <v>36006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32</v>
      </c>
      <c r="Y3662" t="s">
        <v>32</v>
      </c>
      <c r="Z3662" t="s">
        <v>32</v>
      </c>
      <c r="AA3662" t="s">
        <v>40763</v>
      </c>
      <c r="AB3662" t="s">
        <v>40764</v>
      </c>
      <c r="AC3662" t="s">
        <v>10252</v>
      </c>
      <c r="AD3662" t="s">
        <v>32</v>
      </c>
      <c r="AE3662" t="s">
        <v>40765</v>
      </c>
      <c r="AF3662" t="s">
        <v>46835</v>
      </c>
    </row>
    <row r="3663" spans="1:32" x14ac:dyDescent="0.2">
      <c r="A3663">
        <v>3658</v>
      </c>
      <c r="B3663" t="s">
        <v>40766</v>
      </c>
      <c r="C3663" t="s">
        <v>40767</v>
      </c>
      <c r="D3663" t="s">
        <v>40768</v>
      </c>
      <c r="E3663" t="s">
        <v>40769</v>
      </c>
      <c r="F3663" t="s">
        <v>40770</v>
      </c>
      <c r="G3663" t="s">
        <v>40771</v>
      </c>
      <c r="H3663" t="str">
        <f>"Dffa"</f>
        <v>Dffa</v>
      </c>
      <c r="I3663" t="s">
        <v>40772</v>
      </c>
      <c r="J3663" t="s">
        <v>37</v>
      </c>
      <c r="K3663">
        <v>10090</v>
      </c>
      <c r="L3663" s="3" t="str">
        <f>HYPERLINK("http://www.uniprot.org/uniprot/O54786", "O54786")</f>
        <v>O54786</v>
      </c>
      <c r="M3663" t="s">
        <v>40773</v>
      </c>
      <c r="N3663" t="str">
        <f>"Dffa"</f>
        <v>Dffa</v>
      </c>
      <c r="O3663" s="3" t="str">
        <f>HYPERLINK("http://www.informatics.jax.org/marker/MGI:1196227", "MGI:1196227")</f>
        <v>MGI:1196227</v>
      </c>
      <c r="P3663" t="s">
        <v>40774</v>
      </c>
      <c r="Q3663" t="s">
        <v>541</v>
      </c>
      <c r="R3663" t="s">
        <v>418</v>
      </c>
      <c r="S3663" t="s">
        <v>41</v>
      </c>
      <c r="T3663" t="s">
        <v>32</v>
      </c>
      <c r="U3663" t="s">
        <v>32</v>
      </c>
      <c r="V3663" t="s">
        <v>32</v>
      </c>
      <c r="W3663" t="s">
        <v>32</v>
      </c>
      <c r="X3663" t="s">
        <v>32</v>
      </c>
      <c r="Y3663" t="s">
        <v>157</v>
      </c>
      <c r="Z3663" t="s">
        <v>126</v>
      </c>
      <c r="AA3663" t="s">
        <v>40775</v>
      </c>
      <c r="AB3663" t="s">
        <v>14234</v>
      </c>
      <c r="AC3663" t="s">
        <v>40776</v>
      </c>
      <c r="AD3663" t="s">
        <v>32</v>
      </c>
      <c r="AE3663" t="s">
        <v>6616</v>
      </c>
      <c r="AF3663" t="s">
        <v>46835</v>
      </c>
    </row>
    <row r="3664" spans="1:32" x14ac:dyDescent="0.2">
      <c r="A3664">
        <v>3659</v>
      </c>
      <c r="B3664" t="s">
        <v>40777</v>
      </c>
      <c r="C3664" t="s">
        <v>40778</v>
      </c>
      <c r="D3664" t="s">
        <v>40779</v>
      </c>
      <c r="E3664" t="s">
        <v>40780</v>
      </c>
      <c r="F3664" t="s">
        <v>40781</v>
      </c>
      <c r="G3664" t="s">
        <v>40782</v>
      </c>
      <c r="H3664" t="str">
        <f>"Sdr39u1"</f>
        <v>Sdr39u1</v>
      </c>
      <c r="I3664" t="s">
        <v>32</v>
      </c>
      <c r="J3664" t="s">
        <v>37</v>
      </c>
      <c r="K3664">
        <v>10090</v>
      </c>
      <c r="L3664" s="3" t="str">
        <f>HYPERLINK("http://www.uniprot.org/uniprot/Q5M8N4", "Q5M8N4")</f>
        <v>Q5M8N4</v>
      </c>
      <c r="M3664" t="s">
        <v>40783</v>
      </c>
      <c r="N3664" t="str">
        <f>"Sdr39u1"</f>
        <v>Sdr39u1</v>
      </c>
      <c r="O3664" s="3" t="str">
        <f>HYPERLINK("http://www.informatics.jax.org/marker/MGI:1916876", "MGI:1916876")</f>
        <v>MGI:1916876</v>
      </c>
      <c r="P3664" t="s">
        <v>31005</v>
      </c>
      <c r="Q3664" t="s">
        <v>32</v>
      </c>
      <c r="R3664" t="s">
        <v>32</v>
      </c>
      <c r="S3664" t="s">
        <v>32</v>
      </c>
      <c r="T3664" t="s">
        <v>32</v>
      </c>
      <c r="U3664" t="s">
        <v>32</v>
      </c>
      <c r="V3664" t="s">
        <v>32</v>
      </c>
      <c r="W3664" t="s">
        <v>3204</v>
      </c>
      <c r="X3664" t="s">
        <v>600</v>
      </c>
      <c r="Y3664" t="s">
        <v>32</v>
      </c>
      <c r="Z3664" t="s">
        <v>32</v>
      </c>
      <c r="AA3664" t="s">
        <v>32</v>
      </c>
      <c r="AB3664" t="s">
        <v>32</v>
      </c>
      <c r="AC3664" t="s">
        <v>11250</v>
      </c>
      <c r="AD3664" t="s">
        <v>32</v>
      </c>
      <c r="AE3664" t="s">
        <v>32</v>
      </c>
      <c r="AF3664" t="s">
        <v>46835</v>
      </c>
    </row>
    <row r="3665" spans="1:33" x14ac:dyDescent="0.2">
      <c r="A3665">
        <v>3660</v>
      </c>
      <c r="B3665" t="s">
        <v>40784</v>
      </c>
      <c r="C3665" t="s">
        <v>40785</v>
      </c>
      <c r="D3665" t="s">
        <v>40786</v>
      </c>
      <c r="E3665" t="s">
        <v>40787</v>
      </c>
      <c r="F3665" t="s">
        <v>40788</v>
      </c>
      <c r="G3665" t="s">
        <v>32</v>
      </c>
      <c r="H3665" t="str">
        <f>"Gale"</f>
        <v>Gale</v>
      </c>
      <c r="I3665" t="s">
        <v>32</v>
      </c>
      <c r="J3665" t="s">
        <v>37</v>
      </c>
      <c r="K3665">
        <v>10090</v>
      </c>
      <c r="L3665" s="3" t="str">
        <f>HYPERLINK("http://www.uniprot.org/uniprot/Q8R059", "Q8R059")</f>
        <v>Q8R059</v>
      </c>
      <c r="M3665" t="s">
        <v>40789</v>
      </c>
      <c r="N3665" t="str">
        <f>"Gale"</f>
        <v>Gale</v>
      </c>
      <c r="O3665" s="3" t="str">
        <f>HYPERLINK("http://www.informatics.jax.org/marker/MGI:1921496", "MGI:1921496")</f>
        <v>MGI:1921496</v>
      </c>
      <c r="P3665" t="s">
        <v>40790</v>
      </c>
      <c r="Q3665" t="s">
        <v>11604</v>
      </c>
      <c r="R3665" t="s">
        <v>32</v>
      </c>
      <c r="S3665" t="s">
        <v>32</v>
      </c>
      <c r="T3665" t="s">
        <v>32</v>
      </c>
      <c r="U3665" t="s">
        <v>32</v>
      </c>
      <c r="V3665" t="s">
        <v>32</v>
      </c>
      <c r="W3665" t="s">
        <v>325</v>
      </c>
      <c r="X3665" t="s">
        <v>673</v>
      </c>
      <c r="Y3665" t="s">
        <v>32</v>
      </c>
      <c r="Z3665" t="s">
        <v>32</v>
      </c>
      <c r="AA3665" t="s">
        <v>40791</v>
      </c>
      <c r="AB3665" t="s">
        <v>1268</v>
      </c>
      <c r="AC3665" t="s">
        <v>40792</v>
      </c>
      <c r="AD3665" t="s">
        <v>11607</v>
      </c>
      <c r="AE3665" t="s">
        <v>11608</v>
      </c>
      <c r="AF3665" t="s">
        <v>46835</v>
      </c>
    </row>
    <row r="3666" spans="1:33" x14ac:dyDescent="0.2">
      <c r="A3666">
        <v>3661</v>
      </c>
      <c r="B3666" t="s">
        <v>40793</v>
      </c>
      <c r="C3666" t="s">
        <v>40794</v>
      </c>
      <c r="D3666" t="s">
        <v>40795</v>
      </c>
      <c r="E3666" t="s">
        <v>40796</v>
      </c>
      <c r="F3666" t="s">
        <v>40797</v>
      </c>
      <c r="G3666" t="s">
        <v>32</v>
      </c>
      <c r="H3666" t="str">
        <f>"Alg5"</f>
        <v>Alg5</v>
      </c>
      <c r="I3666" t="s">
        <v>32</v>
      </c>
      <c r="J3666" t="s">
        <v>37</v>
      </c>
      <c r="K3666">
        <v>10090</v>
      </c>
      <c r="L3666" s="3" t="str">
        <f>HYPERLINK("http://www.uniprot.org/uniprot/Q9DB25", "Q9DB25")</f>
        <v>Q9DB25</v>
      </c>
      <c r="M3666" t="s">
        <v>40798</v>
      </c>
      <c r="N3666" t="str">
        <f>"Alg5"</f>
        <v>Alg5</v>
      </c>
      <c r="O3666" s="3" t="str">
        <f>HYPERLINK("http://www.informatics.jax.org/marker/MGI:1913498", "MGI:1913498")</f>
        <v>MGI:1913498</v>
      </c>
      <c r="P3666" t="s">
        <v>40799</v>
      </c>
      <c r="Q3666" t="s">
        <v>32</v>
      </c>
      <c r="R3666" t="s">
        <v>1664</v>
      </c>
      <c r="S3666" t="s">
        <v>32</v>
      </c>
      <c r="T3666" t="s">
        <v>32</v>
      </c>
      <c r="U3666" t="s">
        <v>32</v>
      </c>
      <c r="V3666" t="s">
        <v>1550</v>
      </c>
      <c r="W3666" t="s">
        <v>32</v>
      </c>
      <c r="X3666" t="s">
        <v>2362</v>
      </c>
      <c r="Y3666" t="s">
        <v>3733</v>
      </c>
      <c r="Z3666" t="s">
        <v>32</v>
      </c>
      <c r="AA3666" t="s">
        <v>40800</v>
      </c>
      <c r="AB3666" t="s">
        <v>31529</v>
      </c>
      <c r="AC3666" t="s">
        <v>40801</v>
      </c>
      <c r="AD3666" t="s">
        <v>3952</v>
      </c>
      <c r="AE3666" t="s">
        <v>29560</v>
      </c>
      <c r="AF3666" t="s">
        <v>46835</v>
      </c>
    </row>
    <row r="3667" spans="1:33" x14ac:dyDescent="0.2">
      <c r="A3667">
        <v>3662</v>
      </c>
      <c r="B3667" t="s">
        <v>40802</v>
      </c>
      <c r="C3667" t="s">
        <v>40803</v>
      </c>
      <c r="D3667" t="s">
        <v>40804</v>
      </c>
      <c r="E3667" t="s">
        <v>40805</v>
      </c>
      <c r="F3667" t="s">
        <v>40806</v>
      </c>
      <c r="G3667" t="s">
        <v>40807</v>
      </c>
      <c r="H3667" t="str">
        <f>"Egln1"</f>
        <v>Egln1</v>
      </c>
      <c r="I3667" t="s">
        <v>32</v>
      </c>
      <c r="J3667" t="s">
        <v>37</v>
      </c>
      <c r="K3667">
        <v>10090</v>
      </c>
      <c r="L3667" s="3" t="str">
        <f>HYPERLINK("http://www.uniprot.org/uniprot/Q91YE3", "Q91YE3")</f>
        <v>Q91YE3</v>
      </c>
      <c r="M3667" t="s">
        <v>40808</v>
      </c>
      <c r="N3667" t="str">
        <f>"Egln1"</f>
        <v>Egln1</v>
      </c>
      <c r="O3667" s="3" t="str">
        <f>HYPERLINK("http://www.informatics.jax.org/marker/MGI:1932286", "MGI:1932286")</f>
        <v>MGI:1932286</v>
      </c>
      <c r="P3667" t="s">
        <v>40809</v>
      </c>
      <c r="Q3667" t="s">
        <v>32</v>
      </c>
      <c r="R3667" t="s">
        <v>40</v>
      </c>
      <c r="S3667" t="s">
        <v>32</v>
      </c>
      <c r="T3667" t="s">
        <v>32</v>
      </c>
      <c r="U3667" t="s">
        <v>32</v>
      </c>
      <c r="V3667" t="s">
        <v>446</v>
      </c>
      <c r="W3667" t="s">
        <v>40810</v>
      </c>
      <c r="X3667" t="s">
        <v>3732</v>
      </c>
      <c r="Y3667" t="s">
        <v>648</v>
      </c>
      <c r="Z3667" t="s">
        <v>32</v>
      </c>
      <c r="AA3667" t="s">
        <v>40811</v>
      </c>
      <c r="AB3667" t="s">
        <v>40812</v>
      </c>
      <c r="AC3667" t="s">
        <v>40813</v>
      </c>
      <c r="AD3667" t="s">
        <v>32</v>
      </c>
      <c r="AE3667" t="s">
        <v>24289</v>
      </c>
      <c r="AF3667" t="s">
        <v>46835</v>
      </c>
    </row>
    <row r="3668" spans="1:33" x14ac:dyDescent="0.2">
      <c r="A3668">
        <v>3663</v>
      </c>
      <c r="B3668" t="s">
        <v>40814</v>
      </c>
      <c r="C3668" t="s">
        <v>40815</v>
      </c>
      <c r="D3668" t="s">
        <v>32</v>
      </c>
      <c r="E3668" t="s">
        <v>40816</v>
      </c>
      <c r="F3668" t="s">
        <v>40817</v>
      </c>
      <c r="G3668" t="s">
        <v>40818</v>
      </c>
      <c r="H3668" t="str">
        <f>"Ythdf2"</f>
        <v>Ythdf2</v>
      </c>
      <c r="I3668" t="s">
        <v>32</v>
      </c>
      <c r="J3668" t="s">
        <v>37</v>
      </c>
      <c r="K3668">
        <v>10090</v>
      </c>
      <c r="L3668" s="3" t="str">
        <f>HYPERLINK("http://www.uniprot.org/uniprot/Q91YT7", "Q91YT7")</f>
        <v>Q91YT7</v>
      </c>
      <c r="M3668" t="s">
        <v>40819</v>
      </c>
      <c r="N3668" t="str">
        <f>"Ythdf2"</f>
        <v>Ythdf2</v>
      </c>
      <c r="O3668" s="3" t="str">
        <f>HYPERLINK("http://www.informatics.jax.org/marker/MGI:2444233", "MGI:2444233")</f>
        <v>MGI:2444233</v>
      </c>
      <c r="P3668" t="s">
        <v>40820</v>
      </c>
      <c r="Q3668" t="s">
        <v>40821</v>
      </c>
      <c r="R3668" t="s">
        <v>40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1282</v>
      </c>
      <c r="Y3668" t="s">
        <v>1023</v>
      </c>
      <c r="Z3668" t="s">
        <v>32</v>
      </c>
      <c r="AA3668" t="s">
        <v>40822</v>
      </c>
      <c r="AB3668" t="s">
        <v>40823</v>
      </c>
      <c r="AC3668" t="s">
        <v>40824</v>
      </c>
      <c r="AD3668" t="s">
        <v>32</v>
      </c>
      <c r="AE3668" t="s">
        <v>32</v>
      </c>
      <c r="AF3668" t="s">
        <v>46835</v>
      </c>
    </row>
    <row r="3669" spans="1:33" x14ac:dyDescent="0.2">
      <c r="A3669">
        <v>3664</v>
      </c>
      <c r="B3669" t="s">
        <v>40825</v>
      </c>
      <c r="C3669" t="s">
        <v>40826</v>
      </c>
      <c r="D3669" t="s">
        <v>40827</v>
      </c>
      <c r="E3669" t="s">
        <v>40828</v>
      </c>
      <c r="F3669" t="s">
        <v>40829</v>
      </c>
      <c r="G3669" t="s">
        <v>40830</v>
      </c>
      <c r="H3669" t="str">
        <f>"Pik3c3"</f>
        <v>Pik3c3</v>
      </c>
      <c r="I3669" t="s">
        <v>32</v>
      </c>
      <c r="J3669" t="s">
        <v>37</v>
      </c>
      <c r="K3669">
        <v>10090</v>
      </c>
      <c r="L3669" s="3" t="str">
        <f>HYPERLINK("http://www.uniprot.org/uniprot/Q6PF93", "Q6PF93")</f>
        <v>Q6PF93</v>
      </c>
      <c r="M3669" t="s">
        <v>40831</v>
      </c>
      <c r="N3669" t="str">
        <f>"Pik3c3"</f>
        <v>Pik3c3</v>
      </c>
      <c r="O3669" s="3" t="str">
        <f>HYPERLINK("http://www.informatics.jax.org/marker/MGI:2445019", "MGI:2445019")</f>
        <v>MGI:2445019</v>
      </c>
      <c r="P3669" t="s">
        <v>40832</v>
      </c>
      <c r="Q3669" t="s">
        <v>40833</v>
      </c>
      <c r="R3669" t="s">
        <v>17395</v>
      </c>
      <c r="S3669" t="s">
        <v>41</v>
      </c>
      <c r="T3669" t="s">
        <v>32</v>
      </c>
      <c r="U3669" t="s">
        <v>32</v>
      </c>
      <c r="V3669" t="s">
        <v>32</v>
      </c>
      <c r="W3669" t="s">
        <v>40834</v>
      </c>
      <c r="X3669" t="s">
        <v>419</v>
      </c>
      <c r="Y3669" t="s">
        <v>2836</v>
      </c>
      <c r="Z3669" t="s">
        <v>32</v>
      </c>
      <c r="AA3669" t="s">
        <v>40835</v>
      </c>
      <c r="AB3669" t="s">
        <v>40836</v>
      </c>
      <c r="AC3669" t="s">
        <v>40837</v>
      </c>
      <c r="AD3669" t="s">
        <v>32</v>
      </c>
      <c r="AE3669" t="s">
        <v>40838</v>
      </c>
      <c r="AF3669" t="s">
        <v>46835</v>
      </c>
    </row>
    <row r="3670" spans="1:33" x14ac:dyDescent="0.2">
      <c r="A3670">
        <v>3665</v>
      </c>
      <c r="B3670" t="s">
        <v>40839</v>
      </c>
      <c r="C3670" t="s">
        <v>40840</v>
      </c>
      <c r="D3670" t="s">
        <v>40841</v>
      </c>
      <c r="E3670" t="s">
        <v>40842</v>
      </c>
      <c r="F3670" t="s">
        <v>40843</v>
      </c>
      <c r="G3670" t="s">
        <v>32</v>
      </c>
      <c r="H3670" t="str">
        <f>"Agt"</f>
        <v>Agt</v>
      </c>
      <c r="I3670" t="s">
        <v>40844</v>
      </c>
      <c r="J3670" t="s">
        <v>37</v>
      </c>
      <c r="K3670">
        <v>10090</v>
      </c>
      <c r="L3670" s="3" t="str">
        <f>HYPERLINK("http://www.uniprot.org/uniprot/P11859", "P11859")</f>
        <v>P11859</v>
      </c>
      <c r="M3670" t="s">
        <v>40845</v>
      </c>
      <c r="N3670" t="str">
        <f>"Agt"</f>
        <v>Agt</v>
      </c>
      <c r="O3670" s="3" t="str">
        <f>HYPERLINK("http://www.informatics.jax.org/marker/MGI:87963", "MGI:87963")</f>
        <v>MGI:87963</v>
      </c>
      <c r="P3670" t="s">
        <v>40846</v>
      </c>
      <c r="Q3670" t="s">
        <v>32</v>
      </c>
      <c r="R3670" t="s">
        <v>630</v>
      </c>
      <c r="S3670" t="s">
        <v>32</v>
      </c>
      <c r="T3670" t="s">
        <v>32</v>
      </c>
      <c r="U3670" t="s">
        <v>32</v>
      </c>
      <c r="V3670" t="s">
        <v>811</v>
      </c>
      <c r="W3670" t="s">
        <v>32</v>
      </c>
      <c r="X3670" t="s">
        <v>40847</v>
      </c>
      <c r="Y3670" t="s">
        <v>5275</v>
      </c>
      <c r="Z3670" t="s">
        <v>126</v>
      </c>
      <c r="AA3670" t="s">
        <v>40848</v>
      </c>
      <c r="AB3670" t="s">
        <v>15048</v>
      </c>
      <c r="AC3670" t="s">
        <v>40849</v>
      </c>
      <c r="AD3670" t="s">
        <v>32</v>
      </c>
      <c r="AE3670" t="s">
        <v>40850</v>
      </c>
      <c r="AF3670" t="s">
        <v>46835</v>
      </c>
    </row>
    <row r="3671" spans="1:33" x14ac:dyDescent="0.2">
      <c r="A3671">
        <v>3666</v>
      </c>
      <c r="B3671" t="s">
        <v>40851</v>
      </c>
      <c r="C3671" t="s">
        <v>40852</v>
      </c>
      <c r="D3671" t="s">
        <v>40853</v>
      </c>
      <c r="E3671" t="s">
        <v>40854</v>
      </c>
      <c r="F3671" t="s">
        <v>40855</v>
      </c>
      <c r="G3671" t="s">
        <v>40856</v>
      </c>
      <c r="H3671" t="str">
        <f>"Agpat1"</f>
        <v>Agpat1</v>
      </c>
      <c r="I3671" t="s">
        <v>32</v>
      </c>
      <c r="J3671" t="s">
        <v>37</v>
      </c>
      <c r="K3671">
        <v>10090</v>
      </c>
      <c r="L3671" s="3" t="str">
        <f>HYPERLINK("http://www.uniprot.org/uniprot/O35083", "O35083")</f>
        <v>O35083</v>
      </c>
      <c r="M3671" t="s">
        <v>40857</v>
      </c>
      <c r="N3671" t="str">
        <f>"Agpat1"</f>
        <v>Agpat1</v>
      </c>
      <c r="O3671" s="3" t="str">
        <f>HYPERLINK("http://www.informatics.jax.org/marker/MGI:1932075", "MGI:1932075")</f>
        <v>MGI:1932075</v>
      </c>
      <c r="P3671" t="s">
        <v>40858</v>
      </c>
      <c r="Q3671" t="s">
        <v>22663</v>
      </c>
      <c r="R3671" t="s">
        <v>1664</v>
      </c>
      <c r="S3671" t="s">
        <v>32</v>
      </c>
      <c r="T3671" t="s">
        <v>32</v>
      </c>
      <c r="U3671" t="s">
        <v>32</v>
      </c>
      <c r="V3671" t="s">
        <v>3948</v>
      </c>
      <c r="W3671" t="s">
        <v>32</v>
      </c>
      <c r="X3671" t="s">
        <v>7304</v>
      </c>
      <c r="Y3671" t="s">
        <v>32</v>
      </c>
      <c r="Z3671" t="s">
        <v>32</v>
      </c>
      <c r="AA3671" t="s">
        <v>40859</v>
      </c>
      <c r="AB3671" t="s">
        <v>16952</v>
      </c>
      <c r="AC3671" t="s">
        <v>40860</v>
      </c>
      <c r="AD3671" t="s">
        <v>33734</v>
      </c>
      <c r="AE3671" t="s">
        <v>40861</v>
      </c>
      <c r="AF3671" t="s">
        <v>46835</v>
      </c>
    </row>
    <row r="3672" spans="1:33" x14ac:dyDescent="0.2">
      <c r="A3672">
        <v>3667</v>
      </c>
      <c r="B3672" t="s">
        <v>40862</v>
      </c>
      <c r="C3672" t="s">
        <v>40863</v>
      </c>
      <c r="D3672" t="s">
        <v>40864</v>
      </c>
      <c r="E3672" t="s">
        <v>40865</v>
      </c>
      <c r="F3672" t="s">
        <v>40866</v>
      </c>
      <c r="G3672" t="s">
        <v>40867</v>
      </c>
      <c r="H3672" t="str">
        <f>"Grk2"</f>
        <v>Grk2</v>
      </c>
      <c r="I3672" t="s">
        <v>40868</v>
      </c>
      <c r="J3672" t="s">
        <v>37</v>
      </c>
      <c r="K3672">
        <v>10090</v>
      </c>
      <c r="L3672" s="3" t="str">
        <f>HYPERLINK("http://www.uniprot.org/uniprot/Q99MK8", "Q99MK8")</f>
        <v>Q99MK8</v>
      </c>
      <c r="M3672" t="s">
        <v>40869</v>
      </c>
      <c r="N3672" t="str">
        <f>"Grk2"</f>
        <v>Grk2</v>
      </c>
      <c r="O3672" s="3" t="str">
        <f>HYPERLINK("http://www.informatics.jax.org/marker/MGI:87940", "MGI:87940")</f>
        <v>MGI:87940</v>
      </c>
      <c r="P3672" t="s">
        <v>40870</v>
      </c>
      <c r="Q3672" t="s">
        <v>32</v>
      </c>
      <c r="R3672" t="s">
        <v>17217</v>
      </c>
      <c r="S3672" t="s">
        <v>32</v>
      </c>
      <c r="T3672" t="s">
        <v>32</v>
      </c>
      <c r="U3672" t="s">
        <v>32</v>
      </c>
      <c r="V3672" t="s">
        <v>32</v>
      </c>
      <c r="W3672" t="s">
        <v>205</v>
      </c>
      <c r="X3672" t="s">
        <v>5419</v>
      </c>
      <c r="Y3672" t="s">
        <v>618</v>
      </c>
      <c r="Z3672" t="s">
        <v>32</v>
      </c>
      <c r="AA3672" t="s">
        <v>40871</v>
      </c>
      <c r="AB3672" t="s">
        <v>40872</v>
      </c>
      <c r="AC3672" t="s">
        <v>40873</v>
      </c>
      <c r="AD3672" t="s">
        <v>32</v>
      </c>
      <c r="AE3672" t="s">
        <v>40874</v>
      </c>
      <c r="AF3672" t="s">
        <v>46835</v>
      </c>
    </row>
    <row r="3673" spans="1:33" x14ac:dyDescent="0.2">
      <c r="A3673">
        <v>3668</v>
      </c>
      <c r="B3673" t="s">
        <v>40875</v>
      </c>
      <c r="C3673" t="s">
        <v>40876</v>
      </c>
      <c r="D3673" t="s">
        <v>40877</v>
      </c>
      <c r="E3673" t="s">
        <v>40878</v>
      </c>
      <c r="F3673" t="s">
        <v>40879</v>
      </c>
      <c r="G3673" t="s">
        <v>40880</v>
      </c>
      <c r="H3673" t="str">
        <f>"Lpcat3"</f>
        <v>Lpcat3</v>
      </c>
      <c r="I3673" t="s">
        <v>40881</v>
      </c>
      <c r="J3673" t="s">
        <v>37</v>
      </c>
      <c r="K3673">
        <v>10090</v>
      </c>
      <c r="L3673" s="3" t="str">
        <f>HYPERLINK("http://www.uniprot.org/uniprot/Q91V01", "Q91V01")</f>
        <v>Q91V01</v>
      </c>
      <c r="M3673" t="s">
        <v>40882</v>
      </c>
      <c r="N3673" t="str">
        <f>"Lpcat3"</f>
        <v>Lpcat3</v>
      </c>
      <c r="O3673" s="3" t="str">
        <f>HYPERLINK("http://www.informatics.jax.org/marker/MGI:1315211", "MGI:1315211")</f>
        <v>MGI:1315211</v>
      </c>
      <c r="P3673" t="s">
        <v>40883</v>
      </c>
      <c r="Q3673" t="s">
        <v>22663</v>
      </c>
      <c r="R3673" t="s">
        <v>1664</v>
      </c>
      <c r="S3673" t="s">
        <v>32</v>
      </c>
      <c r="T3673" t="s">
        <v>32</v>
      </c>
      <c r="U3673" t="s">
        <v>32</v>
      </c>
      <c r="V3673" t="s">
        <v>493</v>
      </c>
      <c r="W3673" t="s">
        <v>32</v>
      </c>
      <c r="X3673" t="s">
        <v>7304</v>
      </c>
      <c r="Y3673" t="s">
        <v>10506</v>
      </c>
      <c r="Z3673" t="s">
        <v>32</v>
      </c>
      <c r="AA3673" t="s">
        <v>40884</v>
      </c>
      <c r="AB3673" t="s">
        <v>22665</v>
      </c>
      <c r="AC3673" t="s">
        <v>40885</v>
      </c>
      <c r="AD3673" t="s">
        <v>22667</v>
      </c>
      <c r="AE3673" t="s">
        <v>40886</v>
      </c>
      <c r="AF3673" t="s">
        <v>46835</v>
      </c>
    </row>
    <row r="3674" spans="1:33" x14ac:dyDescent="0.2">
      <c r="A3674">
        <v>3669</v>
      </c>
      <c r="B3674" t="s">
        <v>40887</v>
      </c>
      <c r="C3674" t="s">
        <v>40888</v>
      </c>
      <c r="D3674" t="s">
        <v>32</v>
      </c>
      <c r="E3674" t="s">
        <v>40889</v>
      </c>
      <c r="F3674" t="s">
        <v>40890</v>
      </c>
      <c r="G3674" t="s">
        <v>40891</v>
      </c>
      <c r="H3674" t="str">
        <f>"Mrpl47"</f>
        <v>Mrpl47</v>
      </c>
      <c r="I3674" t="s">
        <v>32</v>
      </c>
      <c r="J3674" t="s">
        <v>37</v>
      </c>
      <c r="K3674">
        <v>10090</v>
      </c>
      <c r="L3674" s="3" t="str">
        <f>HYPERLINK("http://www.uniprot.org/uniprot/Q8K2Y7", "Q8K2Y7")</f>
        <v>Q8K2Y7</v>
      </c>
      <c r="M3674" t="s">
        <v>40892</v>
      </c>
      <c r="N3674" t="str">
        <f>"Mrpl47"</f>
        <v>Mrpl47</v>
      </c>
      <c r="O3674" s="3" t="str">
        <f>HYPERLINK("http://www.informatics.jax.org/marker/MGI:1921850", "MGI:1921850")</f>
        <v>MGI:1921850</v>
      </c>
      <c r="P3674" t="s">
        <v>17268</v>
      </c>
      <c r="Q3674" t="s">
        <v>32</v>
      </c>
      <c r="R3674" t="s">
        <v>1038</v>
      </c>
      <c r="S3674" t="s">
        <v>32</v>
      </c>
      <c r="T3674" t="s">
        <v>32</v>
      </c>
      <c r="U3674" t="s">
        <v>32</v>
      </c>
      <c r="V3674" t="s">
        <v>1039</v>
      </c>
      <c r="W3674" t="s">
        <v>32</v>
      </c>
      <c r="X3674" t="s">
        <v>447</v>
      </c>
      <c r="Y3674" t="s">
        <v>78</v>
      </c>
      <c r="Z3674" t="s">
        <v>32</v>
      </c>
      <c r="AA3674" t="s">
        <v>23519</v>
      </c>
      <c r="AB3674" t="s">
        <v>27223</v>
      </c>
      <c r="AC3674" t="s">
        <v>1010</v>
      </c>
      <c r="AD3674" t="s">
        <v>32</v>
      </c>
      <c r="AE3674" t="s">
        <v>17271</v>
      </c>
      <c r="AF3674" t="s">
        <v>46835</v>
      </c>
    </row>
    <row r="3675" spans="1:33" x14ac:dyDescent="0.2">
      <c r="A3675">
        <v>3670</v>
      </c>
      <c r="B3675" t="s">
        <v>40893</v>
      </c>
      <c r="C3675" t="s">
        <v>40894</v>
      </c>
      <c r="D3675" t="s">
        <v>40895</v>
      </c>
      <c r="E3675" t="s">
        <v>40896</v>
      </c>
      <c r="F3675" t="s">
        <v>40897</v>
      </c>
      <c r="G3675" t="s">
        <v>32</v>
      </c>
      <c r="H3675" t="str">
        <f>"Eogt"</f>
        <v>Eogt</v>
      </c>
      <c r="I3675" t="s">
        <v>40898</v>
      </c>
      <c r="J3675" t="s">
        <v>37</v>
      </c>
      <c r="K3675">
        <v>10090</v>
      </c>
      <c r="L3675" s="3" t="str">
        <f>HYPERLINK("http://www.uniprot.org/uniprot/Q8BYW9", "Q8BYW9")</f>
        <v>Q8BYW9</v>
      </c>
      <c r="M3675" t="s">
        <v>40899</v>
      </c>
      <c r="N3675" t="str">
        <f>"Eogt"</f>
        <v>Eogt</v>
      </c>
      <c r="O3675" s="3" t="str">
        <f>HYPERLINK("http://www.informatics.jax.org/marker/MGI:2141669", "MGI:2141669")</f>
        <v>MGI:2141669</v>
      </c>
      <c r="P3675" t="s">
        <v>18796</v>
      </c>
      <c r="Q3675" t="s">
        <v>32</v>
      </c>
      <c r="R3675" t="s">
        <v>671</v>
      </c>
      <c r="S3675" t="s">
        <v>32</v>
      </c>
      <c r="T3675" t="s">
        <v>32</v>
      </c>
      <c r="U3675" t="s">
        <v>32</v>
      </c>
      <c r="V3675" t="s">
        <v>811</v>
      </c>
      <c r="W3675" t="s">
        <v>32</v>
      </c>
      <c r="X3675" t="s">
        <v>2362</v>
      </c>
      <c r="Y3675" t="s">
        <v>3733</v>
      </c>
      <c r="Z3675" t="s">
        <v>32</v>
      </c>
      <c r="AA3675" t="s">
        <v>40900</v>
      </c>
      <c r="AB3675" t="s">
        <v>15456</v>
      </c>
      <c r="AC3675" t="s">
        <v>40901</v>
      </c>
      <c r="AD3675" t="s">
        <v>32</v>
      </c>
      <c r="AE3675" t="s">
        <v>32</v>
      </c>
      <c r="AF3675" t="s">
        <v>46835</v>
      </c>
    </row>
    <row r="3676" spans="1:33" x14ac:dyDescent="0.2">
      <c r="A3676">
        <v>3671</v>
      </c>
      <c r="B3676" t="s">
        <v>40902</v>
      </c>
      <c r="C3676" t="s">
        <v>40903</v>
      </c>
      <c r="D3676" t="s">
        <v>32</v>
      </c>
      <c r="E3676" t="s">
        <v>40904</v>
      </c>
      <c r="F3676" t="s">
        <v>40905</v>
      </c>
      <c r="G3676" t="s">
        <v>40906</v>
      </c>
      <c r="H3676" t="str">
        <f>"Tmem87a"</f>
        <v>Tmem87a</v>
      </c>
      <c r="I3676" t="s">
        <v>32</v>
      </c>
      <c r="J3676" t="s">
        <v>37</v>
      </c>
      <c r="K3676">
        <v>10090</v>
      </c>
      <c r="L3676" s="3" t="str">
        <f>HYPERLINK("http://www.uniprot.org/uniprot/Q8BXN9", "Q8BXN9")</f>
        <v>Q8BXN9</v>
      </c>
      <c r="M3676" t="s">
        <v>40907</v>
      </c>
      <c r="N3676" t="str">
        <f>"Tmem87a"</f>
        <v>Tmem87a</v>
      </c>
      <c r="O3676" s="3" t="str">
        <f>HYPERLINK("http://www.informatics.jax.org/marker/MGI:2441844", "MGI:2441844")</f>
        <v>MGI:2441844</v>
      </c>
      <c r="P3676" t="s">
        <v>40908</v>
      </c>
      <c r="Q3676" t="s">
        <v>32</v>
      </c>
      <c r="R3676" t="s">
        <v>13904</v>
      </c>
      <c r="S3676" t="s">
        <v>41</v>
      </c>
      <c r="T3676" t="s">
        <v>32</v>
      </c>
      <c r="U3676" t="s">
        <v>32</v>
      </c>
      <c r="V3676" t="s">
        <v>3948</v>
      </c>
      <c r="W3676" t="s">
        <v>32</v>
      </c>
      <c r="X3676" t="s">
        <v>32</v>
      </c>
      <c r="Y3676" t="s">
        <v>4720</v>
      </c>
      <c r="Z3676" t="s">
        <v>32</v>
      </c>
      <c r="AA3676" t="s">
        <v>40909</v>
      </c>
      <c r="AB3676" t="s">
        <v>40910</v>
      </c>
      <c r="AC3676" t="s">
        <v>32</v>
      </c>
      <c r="AD3676" t="s">
        <v>32</v>
      </c>
      <c r="AE3676" t="s">
        <v>29726</v>
      </c>
      <c r="AF3676" t="s">
        <v>46835</v>
      </c>
    </row>
    <row r="3677" spans="1:33" x14ac:dyDescent="0.2">
      <c r="A3677">
        <v>3672</v>
      </c>
      <c r="B3677" t="s">
        <v>40911</v>
      </c>
      <c r="C3677" t="s">
        <v>47169</v>
      </c>
      <c r="D3677" t="s">
        <v>32</v>
      </c>
      <c r="E3677" t="s">
        <v>47050</v>
      </c>
      <c r="F3677" t="s">
        <v>47049</v>
      </c>
      <c r="G3677" t="s">
        <v>32</v>
      </c>
      <c r="H3677" t="s">
        <v>47300</v>
      </c>
      <c r="I3677" t="s">
        <v>32</v>
      </c>
      <c r="J3677" t="s">
        <v>37</v>
      </c>
      <c r="K3677">
        <v>10090</v>
      </c>
      <c r="L3677" s="3" t="str">
        <f>HYPERLINK(CONCATENATE("https://www.uniprot.org/uniprotkb/", AG3677, "/entry"), AG3677)</f>
        <v>G3X9V8</v>
      </c>
      <c r="M3677" t="s">
        <v>32</v>
      </c>
      <c r="N3677" t="s">
        <v>32</v>
      </c>
      <c r="O3677" s="3" t="s">
        <v>32</v>
      </c>
      <c r="P3677" t="s">
        <v>32</v>
      </c>
      <c r="Q3677" t="s">
        <v>32</v>
      </c>
      <c r="R3677" t="s">
        <v>32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32</v>
      </c>
      <c r="Y3677" t="s">
        <v>32</v>
      </c>
      <c r="Z3677" t="s">
        <v>32</v>
      </c>
      <c r="AA3677" t="s">
        <v>32</v>
      </c>
      <c r="AB3677" t="s">
        <v>32</v>
      </c>
      <c r="AC3677" t="s">
        <v>32</v>
      </c>
      <c r="AD3677" t="s">
        <v>32</v>
      </c>
      <c r="AE3677" t="s">
        <v>32</v>
      </c>
      <c r="AF3677" t="s">
        <v>46835</v>
      </c>
      <c r="AG3677" t="s">
        <v>47049</v>
      </c>
    </row>
    <row r="3678" spans="1:33" x14ac:dyDescent="0.2">
      <c r="A3678">
        <v>3673</v>
      </c>
      <c r="B3678" t="s">
        <v>40912</v>
      </c>
      <c r="C3678" t="s">
        <v>40913</v>
      </c>
      <c r="D3678" t="s">
        <v>32</v>
      </c>
      <c r="E3678" t="s">
        <v>40914</v>
      </c>
      <c r="F3678" t="s">
        <v>40915</v>
      </c>
      <c r="G3678" t="s">
        <v>32</v>
      </c>
      <c r="H3678" t="str">
        <f>"Tmem126a"</f>
        <v>Tmem126a</v>
      </c>
      <c r="I3678" t="s">
        <v>32</v>
      </c>
      <c r="J3678" t="s">
        <v>37</v>
      </c>
      <c r="K3678">
        <v>10090</v>
      </c>
      <c r="L3678" s="3" t="str">
        <f>HYPERLINK("http://www.uniprot.org/uniprot/Q9D8Y1", "Q9D8Y1")</f>
        <v>Q9D8Y1</v>
      </c>
      <c r="M3678" t="s">
        <v>40916</v>
      </c>
      <c r="N3678" t="str">
        <f>"Tmem126a"</f>
        <v>Tmem126a</v>
      </c>
      <c r="O3678" s="3" t="str">
        <f>HYPERLINK("http://www.informatics.jax.org/marker/MGI:1913521", "MGI:1913521")</f>
        <v>MGI:1913521</v>
      </c>
      <c r="P3678" t="s">
        <v>24874</v>
      </c>
      <c r="Q3678" t="s">
        <v>32</v>
      </c>
      <c r="R3678" t="s">
        <v>3858</v>
      </c>
      <c r="S3678" t="s">
        <v>32</v>
      </c>
      <c r="T3678" t="s">
        <v>32</v>
      </c>
      <c r="U3678" t="s">
        <v>32</v>
      </c>
      <c r="V3678" t="s">
        <v>493</v>
      </c>
      <c r="W3678" t="s">
        <v>32</v>
      </c>
      <c r="X3678" t="s">
        <v>32</v>
      </c>
      <c r="Y3678" t="s">
        <v>32</v>
      </c>
      <c r="Z3678" t="s">
        <v>32</v>
      </c>
      <c r="AA3678" t="s">
        <v>40917</v>
      </c>
      <c r="AB3678" t="s">
        <v>21070</v>
      </c>
      <c r="AC3678" t="s">
        <v>32</v>
      </c>
      <c r="AD3678" t="s">
        <v>32</v>
      </c>
      <c r="AE3678" t="s">
        <v>32</v>
      </c>
      <c r="AF3678" t="s">
        <v>46835</v>
      </c>
    </row>
    <row r="3679" spans="1:33" x14ac:dyDescent="0.2">
      <c r="A3679">
        <v>3674</v>
      </c>
      <c r="B3679" t="s">
        <v>40918</v>
      </c>
      <c r="C3679" t="s">
        <v>40919</v>
      </c>
      <c r="D3679" t="s">
        <v>40920</v>
      </c>
      <c r="E3679" t="s">
        <v>40921</v>
      </c>
      <c r="F3679" t="s">
        <v>40922</v>
      </c>
      <c r="G3679" t="s">
        <v>40923</v>
      </c>
      <c r="H3679" t="str">
        <f>"Rpia"</f>
        <v>Rpia</v>
      </c>
      <c r="I3679" t="s">
        <v>40924</v>
      </c>
      <c r="J3679" t="s">
        <v>37</v>
      </c>
      <c r="K3679">
        <v>10090</v>
      </c>
      <c r="L3679" s="3" t="str">
        <f>HYPERLINK("http://www.uniprot.org/uniprot/P47968", "P47968")</f>
        <v>P47968</v>
      </c>
      <c r="M3679" t="s">
        <v>40925</v>
      </c>
      <c r="N3679" t="str">
        <f>"Rpia"</f>
        <v>Rpia</v>
      </c>
      <c r="O3679" s="3" t="str">
        <f>HYPERLINK("http://www.informatics.jax.org/marker/MGI:103254", "MGI:103254")</f>
        <v>MGI:103254</v>
      </c>
      <c r="P3679" t="s">
        <v>40926</v>
      </c>
      <c r="Q3679" t="s">
        <v>32</v>
      </c>
      <c r="R3679" t="s">
        <v>32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673</v>
      </c>
      <c r="Y3679" t="s">
        <v>2734</v>
      </c>
      <c r="Z3679" t="s">
        <v>32</v>
      </c>
      <c r="AA3679" t="s">
        <v>40927</v>
      </c>
      <c r="AB3679" t="s">
        <v>4115</v>
      </c>
      <c r="AC3679" t="s">
        <v>40928</v>
      </c>
      <c r="AD3679" t="s">
        <v>40929</v>
      </c>
      <c r="AE3679" t="s">
        <v>4118</v>
      </c>
      <c r="AF3679" t="s">
        <v>46835</v>
      </c>
    </row>
    <row r="3680" spans="1:33" x14ac:dyDescent="0.2">
      <c r="A3680">
        <v>3675</v>
      </c>
      <c r="B3680" t="s">
        <v>40930</v>
      </c>
      <c r="C3680" t="s">
        <v>40931</v>
      </c>
      <c r="D3680" t="s">
        <v>32</v>
      </c>
      <c r="E3680" t="s">
        <v>40932</v>
      </c>
      <c r="F3680" t="s">
        <v>40933</v>
      </c>
      <c r="G3680" t="s">
        <v>40934</v>
      </c>
      <c r="H3680" t="str">
        <f>"Dach1"</f>
        <v>Dach1</v>
      </c>
      <c r="I3680" t="s">
        <v>40935</v>
      </c>
      <c r="J3680" t="s">
        <v>37</v>
      </c>
      <c r="K3680">
        <v>10090</v>
      </c>
      <c r="L3680" s="3" t="str">
        <f>HYPERLINK("http://www.uniprot.org/uniprot/Q9QYB2", "Q9QYB2")</f>
        <v>Q9QYB2</v>
      </c>
      <c r="M3680" t="s">
        <v>40936</v>
      </c>
      <c r="N3680" t="str">
        <f>"Dach1"</f>
        <v>Dach1</v>
      </c>
      <c r="O3680" s="3" t="str">
        <f>HYPERLINK("http://www.informatics.jax.org/marker/MGI:1277991", "MGI:1277991")</f>
        <v>MGI:1277991</v>
      </c>
      <c r="P3680" t="s">
        <v>40937</v>
      </c>
      <c r="Q3680" t="s">
        <v>4152</v>
      </c>
      <c r="R3680" t="s">
        <v>2279</v>
      </c>
      <c r="S3680" t="s">
        <v>41</v>
      </c>
      <c r="T3680" t="s">
        <v>32</v>
      </c>
      <c r="U3680" t="s">
        <v>32</v>
      </c>
      <c r="V3680" t="s">
        <v>290</v>
      </c>
      <c r="W3680" t="s">
        <v>32</v>
      </c>
      <c r="X3680" t="s">
        <v>40938</v>
      </c>
      <c r="Y3680" t="s">
        <v>618</v>
      </c>
      <c r="Z3680" t="s">
        <v>32</v>
      </c>
      <c r="AA3680" t="s">
        <v>40939</v>
      </c>
      <c r="AB3680" t="s">
        <v>40940</v>
      </c>
      <c r="AC3680" t="s">
        <v>40941</v>
      </c>
      <c r="AD3680" t="s">
        <v>32</v>
      </c>
      <c r="AE3680" t="s">
        <v>32</v>
      </c>
      <c r="AF3680" t="s">
        <v>46835</v>
      </c>
    </row>
    <row r="3681" spans="1:32" x14ac:dyDescent="0.2">
      <c r="A3681">
        <v>3676</v>
      </c>
      <c r="B3681" t="s">
        <v>40942</v>
      </c>
      <c r="C3681" t="s">
        <v>40943</v>
      </c>
      <c r="D3681" t="s">
        <v>40944</v>
      </c>
      <c r="E3681" t="s">
        <v>40945</v>
      </c>
      <c r="F3681" t="s">
        <v>40946</v>
      </c>
      <c r="G3681" t="s">
        <v>40947</v>
      </c>
      <c r="H3681" t="str">
        <f>"Elp5"</f>
        <v>Elp5</v>
      </c>
      <c r="I3681" t="s">
        <v>40948</v>
      </c>
      <c r="J3681" t="s">
        <v>37</v>
      </c>
      <c r="K3681">
        <v>10090</v>
      </c>
      <c r="L3681" s="3" t="str">
        <f>HYPERLINK("http://www.uniprot.org/uniprot/Q99L85", "Q99L85")</f>
        <v>Q99L85</v>
      </c>
      <c r="M3681" t="s">
        <v>40949</v>
      </c>
      <c r="N3681" t="str">
        <f>"Elp5"</f>
        <v>Elp5</v>
      </c>
      <c r="O3681" s="3" t="str">
        <f>HYPERLINK("http://www.informatics.jax.org/marker/MGI:1859017", "MGI:1859017")</f>
        <v>MGI:1859017</v>
      </c>
      <c r="P3681" t="s">
        <v>7476</v>
      </c>
      <c r="Q3681" t="s">
        <v>4386</v>
      </c>
      <c r="R3681" t="s">
        <v>40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32</v>
      </c>
      <c r="Y3681" t="s">
        <v>618</v>
      </c>
      <c r="Z3681" t="s">
        <v>32</v>
      </c>
      <c r="AA3681" t="s">
        <v>40950</v>
      </c>
      <c r="AB3681" t="s">
        <v>40951</v>
      </c>
      <c r="AC3681" t="s">
        <v>32</v>
      </c>
      <c r="AD3681" t="s">
        <v>7480</v>
      </c>
      <c r="AE3681" t="s">
        <v>32</v>
      </c>
      <c r="AF3681" t="s">
        <v>46835</v>
      </c>
    </row>
    <row r="3682" spans="1:32" x14ac:dyDescent="0.2">
      <c r="A3682">
        <v>3677</v>
      </c>
      <c r="B3682" t="s">
        <v>40952</v>
      </c>
      <c r="C3682" t="s">
        <v>40953</v>
      </c>
      <c r="D3682" t="s">
        <v>40954</v>
      </c>
      <c r="E3682" t="s">
        <v>40955</v>
      </c>
      <c r="F3682" t="s">
        <v>40956</v>
      </c>
      <c r="G3682" t="s">
        <v>40957</v>
      </c>
      <c r="H3682" t="str">
        <f>"Pkp4"</f>
        <v>Pkp4</v>
      </c>
      <c r="I3682" t="s">
        <v>40958</v>
      </c>
      <c r="J3682" t="s">
        <v>37</v>
      </c>
      <c r="K3682">
        <v>10090</v>
      </c>
      <c r="L3682" s="3" t="str">
        <f>HYPERLINK("http://www.uniprot.org/uniprot/Q68FH0", "Q68FH0")</f>
        <v>Q68FH0</v>
      </c>
      <c r="M3682" t="s">
        <v>40959</v>
      </c>
      <c r="N3682" t="str">
        <f>"Pkp4"</f>
        <v>Pkp4</v>
      </c>
      <c r="O3682" s="3" t="str">
        <f>HYPERLINK("http://www.informatics.jax.org/marker/MGI:109281", "MGI:109281")</f>
        <v>MGI:109281</v>
      </c>
      <c r="P3682" t="s">
        <v>40960</v>
      </c>
      <c r="Q3682" t="s">
        <v>2784</v>
      </c>
      <c r="R3682" t="s">
        <v>3015</v>
      </c>
      <c r="S3682" t="s">
        <v>41</v>
      </c>
      <c r="T3682" t="s">
        <v>32</v>
      </c>
      <c r="U3682" t="s">
        <v>32</v>
      </c>
      <c r="V3682" t="s">
        <v>137</v>
      </c>
      <c r="W3682" t="s">
        <v>32</v>
      </c>
      <c r="X3682" t="s">
        <v>32</v>
      </c>
      <c r="Y3682" t="s">
        <v>2734</v>
      </c>
      <c r="Z3682" t="s">
        <v>32</v>
      </c>
      <c r="AA3682" t="s">
        <v>40961</v>
      </c>
      <c r="AB3682" t="s">
        <v>40962</v>
      </c>
      <c r="AC3682" t="s">
        <v>4131</v>
      </c>
      <c r="AD3682" t="s">
        <v>32</v>
      </c>
      <c r="AE3682" t="s">
        <v>40963</v>
      </c>
      <c r="AF3682" t="s">
        <v>46835</v>
      </c>
    </row>
    <row r="3683" spans="1:32" x14ac:dyDescent="0.2">
      <c r="A3683">
        <v>3678</v>
      </c>
      <c r="B3683" t="s">
        <v>40964</v>
      </c>
      <c r="C3683" t="s">
        <v>40965</v>
      </c>
      <c r="D3683" t="s">
        <v>40966</v>
      </c>
      <c r="E3683" t="s">
        <v>40967</v>
      </c>
      <c r="F3683" t="s">
        <v>40968</v>
      </c>
      <c r="G3683" t="s">
        <v>40969</v>
      </c>
      <c r="H3683" t="str">
        <f>"Cbl"</f>
        <v>Cbl</v>
      </c>
      <c r="I3683" t="s">
        <v>32</v>
      </c>
      <c r="J3683" t="s">
        <v>37</v>
      </c>
      <c r="K3683">
        <v>10090</v>
      </c>
      <c r="L3683" s="3" t="str">
        <f>HYPERLINK("http://www.uniprot.org/uniprot/P22682", "P22682")</f>
        <v>P22682</v>
      </c>
      <c r="M3683" t="s">
        <v>40970</v>
      </c>
      <c r="N3683" t="str">
        <f>"Cbl"</f>
        <v>Cbl</v>
      </c>
      <c r="O3683" s="3" t="str">
        <f>HYPERLINK("http://www.informatics.jax.org/marker/MGI:88279", "MGI:88279")</f>
        <v>MGI:88279</v>
      </c>
      <c r="P3683" t="s">
        <v>40971</v>
      </c>
      <c r="Q3683" t="s">
        <v>1020</v>
      </c>
      <c r="R3683" t="s">
        <v>40972</v>
      </c>
      <c r="S3683" t="s">
        <v>32</v>
      </c>
      <c r="T3683" t="s">
        <v>32</v>
      </c>
      <c r="U3683" t="s">
        <v>4682</v>
      </c>
      <c r="V3683" t="s">
        <v>3791</v>
      </c>
      <c r="W3683" t="s">
        <v>30196</v>
      </c>
      <c r="X3683" t="s">
        <v>515</v>
      </c>
      <c r="Y3683" t="s">
        <v>2836</v>
      </c>
      <c r="Z3683" t="s">
        <v>126</v>
      </c>
      <c r="AA3683" t="s">
        <v>40973</v>
      </c>
      <c r="AB3683" t="s">
        <v>40974</v>
      </c>
      <c r="AC3683" t="s">
        <v>40975</v>
      </c>
      <c r="AD3683" t="s">
        <v>1027</v>
      </c>
      <c r="AE3683" t="s">
        <v>40976</v>
      </c>
      <c r="AF3683" t="s">
        <v>46835</v>
      </c>
    </row>
    <row r="3684" spans="1:32" x14ac:dyDescent="0.2">
      <c r="A3684">
        <v>3679</v>
      </c>
      <c r="B3684" t="s">
        <v>40977</v>
      </c>
      <c r="C3684" t="s">
        <v>40978</v>
      </c>
      <c r="D3684" t="s">
        <v>40979</v>
      </c>
      <c r="E3684" t="s">
        <v>40980</v>
      </c>
      <c r="F3684" t="s">
        <v>40981</v>
      </c>
      <c r="G3684" t="s">
        <v>40982</v>
      </c>
      <c r="H3684" t="str">
        <f>"Mme"</f>
        <v>Mme</v>
      </c>
      <c r="I3684" t="s">
        <v>32</v>
      </c>
      <c r="J3684" t="s">
        <v>37</v>
      </c>
      <c r="K3684">
        <v>10090</v>
      </c>
      <c r="L3684" s="3" t="str">
        <f>HYPERLINK("http://www.uniprot.org/uniprot/Q61391", "Q61391")</f>
        <v>Q61391</v>
      </c>
      <c r="M3684" t="s">
        <v>40983</v>
      </c>
      <c r="N3684" t="str">
        <f>"Mme"</f>
        <v>Mme</v>
      </c>
      <c r="O3684" s="3" t="str">
        <f>HYPERLINK("http://www.informatics.jax.org/marker/MGI:97004", "MGI:97004")</f>
        <v>MGI:97004</v>
      </c>
      <c r="P3684" t="s">
        <v>40984</v>
      </c>
      <c r="Q3684" t="s">
        <v>32</v>
      </c>
      <c r="R3684" t="s">
        <v>2474</v>
      </c>
      <c r="S3684" t="s">
        <v>32</v>
      </c>
      <c r="T3684" t="s">
        <v>32</v>
      </c>
      <c r="U3684" t="s">
        <v>32</v>
      </c>
      <c r="V3684" t="s">
        <v>1550</v>
      </c>
      <c r="W3684" t="s">
        <v>42</v>
      </c>
      <c r="X3684" t="s">
        <v>4882</v>
      </c>
      <c r="Y3684" t="s">
        <v>40985</v>
      </c>
      <c r="Z3684" t="s">
        <v>126</v>
      </c>
      <c r="AA3684" t="s">
        <v>40986</v>
      </c>
      <c r="AB3684" t="s">
        <v>40987</v>
      </c>
      <c r="AC3684" t="s">
        <v>40988</v>
      </c>
      <c r="AD3684" t="s">
        <v>32</v>
      </c>
      <c r="AE3684" t="s">
        <v>40989</v>
      </c>
      <c r="AF3684" t="s">
        <v>46835</v>
      </c>
    </row>
    <row r="3685" spans="1:32" x14ac:dyDescent="0.2">
      <c r="A3685">
        <v>3680</v>
      </c>
      <c r="B3685" t="s">
        <v>40990</v>
      </c>
      <c r="C3685" t="s">
        <v>40991</v>
      </c>
      <c r="D3685" t="s">
        <v>32</v>
      </c>
      <c r="E3685" t="s">
        <v>40992</v>
      </c>
      <c r="F3685" t="s">
        <v>40993</v>
      </c>
      <c r="G3685" t="s">
        <v>40994</v>
      </c>
      <c r="H3685" t="str">
        <f>"Bnip1"</f>
        <v>Bnip1</v>
      </c>
      <c r="I3685" t="s">
        <v>32</v>
      </c>
      <c r="J3685" t="s">
        <v>37</v>
      </c>
      <c r="K3685">
        <v>10090</v>
      </c>
      <c r="L3685" s="3" t="str">
        <f>HYPERLINK("http://www.uniprot.org/uniprot/Q6QD59", "Q6QD59")</f>
        <v>Q6QD59</v>
      </c>
      <c r="M3685" t="s">
        <v>40995</v>
      </c>
      <c r="N3685" t="str">
        <f>"Bnip1"</f>
        <v>Bnip1</v>
      </c>
      <c r="O3685" s="3" t="str">
        <f>HYPERLINK("http://www.informatics.jax.org/marker/MGI:109328", "MGI:109328")</f>
        <v>MGI:109328</v>
      </c>
      <c r="P3685" t="s">
        <v>40996</v>
      </c>
      <c r="Q3685" t="s">
        <v>10310</v>
      </c>
      <c r="R3685" t="s">
        <v>22638</v>
      </c>
      <c r="S3685" t="s">
        <v>32</v>
      </c>
      <c r="T3685" t="s">
        <v>32</v>
      </c>
      <c r="U3685" t="s">
        <v>32</v>
      </c>
      <c r="V3685" t="s">
        <v>6500</v>
      </c>
      <c r="W3685" t="s">
        <v>32</v>
      </c>
      <c r="X3685" t="s">
        <v>32</v>
      </c>
      <c r="Y3685" t="s">
        <v>5599</v>
      </c>
      <c r="Z3685" t="s">
        <v>32</v>
      </c>
      <c r="AA3685" t="s">
        <v>40997</v>
      </c>
      <c r="AB3685" t="s">
        <v>40998</v>
      </c>
      <c r="AC3685" t="s">
        <v>31519</v>
      </c>
      <c r="AD3685" t="s">
        <v>32</v>
      </c>
      <c r="AE3685" t="s">
        <v>25748</v>
      </c>
      <c r="AF3685" t="s">
        <v>46835</v>
      </c>
    </row>
    <row r="3686" spans="1:32" x14ac:dyDescent="0.2">
      <c r="A3686">
        <v>3681</v>
      </c>
      <c r="B3686" t="s">
        <v>40999</v>
      </c>
      <c r="C3686" t="s">
        <v>41000</v>
      </c>
      <c r="D3686" t="s">
        <v>41001</v>
      </c>
      <c r="E3686" t="s">
        <v>41002</v>
      </c>
      <c r="F3686" t="s">
        <v>41003</v>
      </c>
      <c r="G3686" t="s">
        <v>32</v>
      </c>
      <c r="H3686" t="str">
        <f>"Hars2"</f>
        <v>Hars2</v>
      </c>
      <c r="I3686" t="s">
        <v>41004</v>
      </c>
      <c r="J3686" t="s">
        <v>37</v>
      </c>
      <c r="K3686">
        <v>10090</v>
      </c>
      <c r="L3686" s="3" t="str">
        <f>HYPERLINK("http://www.uniprot.org/uniprot/Q99KK9", "Q99KK9")</f>
        <v>Q99KK9</v>
      </c>
      <c r="M3686" t="s">
        <v>41005</v>
      </c>
      <c r="N3686" t="str">
        <f>"Hars2"</f>
        <v>Hars2</v>
      </c>
      <c r="O3686" s="3" t="str">
        <f>HYPERLINK("http://www.informatics.jax.org/marker/MGI:1918041", "MGI:1918041")</f>
        <v>MGI:1918041</v>
      </c>
      <c r="P3686" t="s">
        <v>41006</v>
      </c>
      <c r="Q3686" t="s">
        <v>260</v>
      </c>
      <c r="R3686" t="s">
        <v>1038</v>
      </c>
      <c r="S3686" t="s">
        <v>32</v>
      </c>
      <c r="T3686" t="s">
        <v>32</v>
      </c>
      <c r="U3686" t="s">
        <v>32</v>
      </c>
      <c r="V3686" t="s">
        <v>1039</v>
      </c>
      <c r="W3686" t="s">
        <v>205</v>
      </c>
      <c r="X3686" t="s">
        <v>2983</v>
      </c>
      <c r="Y3686" t="s">
        <v>157</v>
      </c>
      <c r="Z3686" t="s">
        <v>32</v>
      </c>
      <c r="AA3686" t="s">
        <v>41007</v>
      </c>
      <c r="AB3686" t="s">
        <v>5676</v>
      </c>
      <c r="AC3686" t="s">
        <v>41008</v>
      </c>
      <c r="AD3686" t="s">
        <v>32</v>
      </c>
      <c r="AE3686" t="s">
        <v>32</v>
      </c>
      <c r="AF3686" t="s">
        <v>46835</v>
      </c>
    </row>
    <row r="3687" spans="1:32" x14ac:dyDescent="0.2">
      <c r="A3687">
        <v>3682</v>
      </c>
      <c r="B3687" t="s">
        <v>41009</v>
      </c>
      <c r="C3687" t="s">
        <v>41010</v>
      </c>
      <c r="D3687" t="s">
        <v>41011</v>
      </c>
      <c r="E3687" t="s">
        <v>41012</v>
      </c>
      <c r="F3687" t="s">
        <v>41013</v>
      </c>
      <c r="G3687" t="s">
        <v>41014</v>
      </c>
      <c r="H3687" t="str">
        <f>"Wdhd1"</f>
        <v>Wdhd1</v>
      </c>
      <c r="I3687" t="s">
        <v>41015</v>
      </c>
      <c r="J3687" t="s">
        <v>37</v>
      </c>
      <c r="K3687">
        <v>10090</v>
      </c>
      <c r="L3687" s="3" t="str">
        <f>HYPERLINK("http://www.uniprot.org/uniprot/P59328", "P59328")</f>
        <v>P59328</v>
      </c>
      <c r="M3687" t="s">
        <v>41016</v>
      </c>
      <c r="N3687" t="str">
        <f>"Wdhd1"</f>
        <v>Wdhd1</v>
      </c>
      <c r="O3687" s="3" t="str">
        <f>HYPERLINK("http://www.informatics.jax.org/marker/MGI:2443514", "MGI:2443514")</f>
        <v>MGI:2443514</v>
      </c>
      <c r="P3687" t="s">
        <v>41017</v>
      </c>
      <c r="Q3687" t="s">
        <v>32</v>
      </c>
      <c r="R3687" t="s">
        <v>2279</v>
      </c>
      <c r="S3687" t="s">
        <v>41</v>
      </c>
      <c r="T3687" t="s">
        <v>32</v>
      </c>
      <c r="U3687" t="s">
        <v>32</v>
      </c>
      <c r="V3687" t="s">
        <v>1910</v>
      </c>
      <c r="W3687" t="s">
        <v>32</v>
      </c>
      <c r="X3687" t="s">
        <v>247</v>
      </c>
      <c r="Y3687" t="s">
        <v>516</v>
      </c>
      <c r="Z3687" t="s">
        <v>32</v>
      </c>
      <c r="AA3687" t="s">
        <v>41018</v>
      </c>
      <c r="AB3687" t="s">
        <v>41019</v>
      </c>
      <c r="AC3687" t="s">
        <v>41020</v>
      </c>
      <c r="AD3687" t="s">
        <v>32</v>
      </c>
      <c r="AE3687" t="s">
        <v>32</v>
      </c>
      <c r="AF3687" t="s">
        <v>46835</v>
      </c>
    </row>
    <row r="3688" spans="1:32" x14ac:dyDescent="0.2">
      <c r="A3688">
        <v>3683</v>
      </c>
      <c r="B3688" t="s">
        <v>41021</v>
      </c>
      <c r="C3688" t="s">
        <v>41022</v>
      </c>
      <c r="D3688" t="s">
        <v>32</v>
      </c>
      <c r="E3688" t="s">
        <v>41023</v>
      </c>
      <c r="F3688" t="s">
        <v>41024</v>
      </c>
      <c r="G3688" t="s">
        <v>32</v>
      </c>
      <c r="H3688" t="str">
        <f>"Lyrm4"</f>
        <v>Lyrm4</v>
      </c>
      <c r="I3688" t="s">
        <v>41025</v>
      </c>
      <c r="J3688" t="s">
        <v>37</v>
      </c>
      <c r="K3688">
        <v>10090</v>
      </c>
      <c r="L3688" s="3" t="str">
        <f>HYPERLINK("http://www.uniprot.org/uniprot/Q8K215", "Q8K215")</f>
        <v>Q8K215</v>
      </c>
      <c r="M3688" t="s">
        <v>41026</v>
      </c>
      <c r="N3688" t="str">
        <f>"Lyrm4"</f>
        <v>Lyrm4</v>
      </c>
      <c r="O3688" s="3" t="str">
        <f>HYPERLINK("http://www.informatics.jax.org/marker/MGI:2683538", "MGI:2683538")</f>
        <v>MGI:2683538</v>
      </c>
      <c r="P3688" t="s">
        <v>2377</v>
      </c>
      <c r="Q3688" t="s">
        <v>32</v>
      </c>
      <c r="R3688" t="s">
        <v>2377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32</v>
      </c>
      <c r="Y3688" t="s">
        <v>32</v>
      </c>
      <c r="Z3688" t="s">
        <v>32</v>
      </c>
      <c r="AA3688" t="s">
        <v>41027</v>
      </c>
      <c r="AB3688" t="s">
        <v>41028</v>
      </c>
      <c r="AC3688" t="s">
        <v>32</v>
      </c>
      <c r="AD3688" t="s">
        <v>41029</v>
      </c>
      <c r="AE3688" t="s">
        <v>19190</v>
      </c>
      <c r="AF3688" t="s">
        <v>46835</v>
      </c>
    </row>
    <row r="3689" spans="1:32" x14ac:dyDescent="0.2">
      <c r="A3689">
        <v>3684</v>
      </c>
      <c r="B3689" t="s">
        <v>41030</v>
      </c>
      <c r="C3689" t="s">
        <v>41031</v>
      </c>
      <c r="D3689" t="s">
        <v>41032</v>
      </c>
      <c r="E3689" t="s">
        <v>41033</v>
      </c>
      <c r="F3689" t="s">
        <v>41034</v>
      </c>
      <c r="G3689" t="s">
        <v>41035</v>
      </c>
      <c r="H3689" t="str">
        <f>"Cdk12"</f>
        <v>Cdk12</v>
      </c>
      <c r="I3689" t="s">
        <v>41036</v>
      </c>
      <c r="J3689" t="s">
        <v>37</v>
      </c>
      <c r="K3689">
        <v>10090</v>
      </c>
      <c r="L3689" s="3" t="str">
        <f>HYPERLINK("http://www.uniprot.org/uniprot/Q14AX6", "Q14AX6")</f>
        <v>Q14AX6</v>
      </c>
      <c r="M3689" t="s">
        <v>41037</v>
      </c>
      <c r="N3689" t="str">
        <f>"Cdk12"</f>
        <v>Cdk12</v>
      </c>
      <c r="O3689" s="3" t="str">
        <f>HYPERLINK("http://www.informatics.jax.org/marker/MGI:1098802", "MGI:1098802")</f>
        <v>MGI:1098802</v>
      </c>
      <c r="P3689" t="s">
        <v>41038</v>
      </c>
      <c r="Q3689" t="s">
        <v>2139</v>
      </c>
      <c r="R3689" t="s">
        <v>2279</v>
      </c>
      <c r="S3689" t="s">
        <v>41</v>
      </c>
      <c r="T3689" t="s">
        <v>32</v>
      </c>
      <c r="U3689" t="s">
        <v>32</v>
      </c>
      <c r="V3689" t="s">
        <v>32</v>
      </c>
      <c r="W3689" t="s">
        <v>205</v>
      </c>
      <c r="X3689" t="s">
        <v>5419</v>
      </c>
      <c r="Y3689" t="s">
        <v>1007</v>
      </c>
      <c r="Z3689" t="s">
        <v>32</v>
      </c>
      <c r="AA3689" t="s">
        <v>41039</v>
      </c>
      <c r="AB3689" t="s">
        <v>41040</v>
      </c>
      <c r="AC3689" t="s">
        <v>41041</v>
      </c>
      <c r="AD3689" t="s">
        <v>32</v>
      </c>
      <c r="AE3689" t="s">
        <v>41042</v>
      </c>
      <c r="AF3689" t="s">
        <v>46835</v>
      </c>
    </row>
    <row r="3690" spans="1:32" x14ac:dyDescent="0.2">
      <c r="A3690">
        <v>3685</v>
      </c>
      <c r="B3690" t="s">
        <v>41043</v>
      </c>
      <c r="C3690" t="s">
        <v>41044</v>
      </c>
      <c r="D3690" t="s">
        <v>41045</v>
      </c>
      <c r="E3690" t="s">
        <v>41046</v>
      </c>
      <c r="F3690" t="s">
        <v>41047</v>
      </c>
      <c r="G3690" t="s">
        <v>41048</v>
      </c>
      <c r="H3690" t="str">
        <f>"Calm4"</f>
        <v>Calm4</v>
      </c>
      <c r="I3690" t="s">
        <v>41049</v>
      </c>
      <c r="J3690" t="s">
        <v>37</v>
      </c>
      <c r="K3690">
        <v>10090</v>
      </c>
      <c r="L3690" s="3" t="str">
        <f>HYPERLINK("http://www.uniprot.org/uniprot/Q9JM83", "Q9JM83")</f>
        <v>Q9JM83</v>
      </c>
      <c r="M3690" t="s">
        <v>41050</v>
      </c>
      <c r="N3690" t="str">
        <f>"Calm4"</f>
        <v>Calm4</v>
      </c>
      <c r="O3690" s="3" t="str">
        <f>HYPERLINK("http://www.informatics.jax.org/marker/MGI:1931464", "MGI:1931464")</f>
        <v>MGI:1931464</v>
      </c>
      <c r="P3690" t="s">
        <v>41051</v>
      </c>
      <c r="Q3690" t="s">
        <v>32</v>
      </c>
      <c r="R3690" t="s">
        <v>32</v>
      </c>
      <c r="S3690" t="s">
        <v>32</v>
      </c>
      <c r="T3690" t="s">
        <v>32</v>
      </c>
      <c r="U3690" t="s">
        <v>32</v>
      </c>
      <c r="V3690" t="s">
        <v>55</v>
      </c>
      <c r="W3690" t="s">
        <v>188</v>
      </c>
      <c r="X3690" t="s">
        <v>32</v>
      </c>
      <c r="Y3690" t="s">
        <v>32</v>
      </c>
      <c r="Z3690" t="s">
        <v>32</v>
      </c>
      <c r="AA3690" t="s">
        <v>32373</v>
      </c>
      <c r="AB3690" t="s">
        <v>32</v>
      </c>
      <c r="AC3690" t="s">
        <v>41052</v>
      </c>
      <c r="AD3690" t="s">
        <v>32</v>
      </c>
      <c r="AE3690" t="s">
        <v>548</v>
      </c>
      <c r="AF3690" t="s">
        <v>46835</v>
      </c>
    </row>
    <row r="3691" spans="1:32" x14ac:dyDescent="0.2">
      <c r="A3691">
        <v>3686</v>
      </c>
      <c r="B3691" t="s">
        <v>41053</v>
      </c>
      <c r="C3691" t="s">
        <v>41054</v>
      </c>
      <c r="D3691" t="s">
        <v>41055</v>
      </c>
      <c r="E3691" t="s">
        <v>41056</v>
      </c>
      <c r="F3691" t="s">
        <v>41057</v>
      </c>
      <c r="G3691" t="s">
        <v>41058</v>
      </c>
      <c r="H3691" t="str">
        <f>"Sptlc2"</f>
        <v>Sptlc2</v>
      </c>
      <c r="I3691" t="s">
        <v>41059</v>
      </c>
      <c r="J3691" t="s">
        <v>37</v>
      </c>
      <c r="K3691">
        <v>10090</v>
      </c>
      <c r="L3691" s="3" t="str">
        <f>HYPERLINK("http://www.uniprot.org/uniprot/P97363", "P97363")</f>
        <v>P97363</v>
      </c>
      <c r="M3691" t="s">
        <v>41060</v>
      </c>
      <c r="N3691" t="str">
        <f>"Sptlc2"</f>
        <v>Sptlc2</v>
      </c>
      <c r="O3691" s="3" t="str">
        <f>HYPERLINK("http://www.informatics.jax.org/marker/MGI:108074", "MGI:108074")</f>
        <v>MGI:108074</v>
      </c>
      <c r="P3691" t="s">
        <v>41061</v>
      </c>
      <c r="Q3691" t="s">
        <v>23187</v>
      </c>
      <c r="R3691" t="s">
        <v>1664</v>
      </c>
      <c r="S3691" t="s">
        <v>32</v>
      </c>
      <c r="T3691" t="s">
        <v>32</v>
      </c>
      <c r="U3691" t="s">
        <v>32</v>
      </c>
      <c r="V3691" t="s">
        <v>493</v>
      </c>
      <c r="W3691" t="s">
        <v>3373</v>
      </c>
      <c r="X3691" t="s">
        <v>7304</v>
      </c>
      <c r="Y3691" t="s">
        <v>32</v>
      </c>
      <c r="Z3691" t="s">
        <v>32</v>
      </c>
      <c r="AA3691" t="s">
        <v>41062</v>
      </c>
      <c r="AB3691" t="s">
        <v>41063</v>
      </c>
      <c r="AC3691" t="s">
        <v>41064</v>
      </c>
      <c r="AD3691" t="s">
        <v>9930</v>
      </c>
      <c r="AE3691" t="s">
        <v>31956</v>
      </c>
      <c r="AF3691" t="s">
        <v>46835</v>
      </c>
    </row>
    <row r="3692" spans="1:32" x14ac:dyDescent="0.2">
      <c r="A3692">
        <v>3687</v>
      </c>
      <c r="B3692" t="s">
        <v>41065</v>
      </c>
      <c r="C3692" t="s">
        <v>41066</v>
      </c>
      <c r="D3692" t="s">
        <v>41067</v>
      </c>
      <c r="E3692" t="s">
        <v>41068</v>
      </c>
      <c r="F3692" t="s">
        <v>41069</v>
      </c>
      <c r="G3692" t="s">
        <v>32</v>
      </c>
      <c r="H3692" t="str">
        <f>"Nck2"</f>
        <v>Nck2</v>
      </c>
      <c r="I3692" t="s">
        <v>41070</v>
      </c>
      <c r="J3692" t="s">
        <v>37</v>
      </c>
      <c r="K3692">
        <v>10090</v>
      </c>
      <c r="L3692" s="3" t="str">
        <f>HYPERLINK("http://www.uniprot.org/uniprot/O55033", "O55033")</f>
        <v>O55033</v>
      </c>
      <c r="M3692" t="s">
        <v>41071</v>
      </c>
      <c r="N3692" t="str">
        <f>"Nck2"</f>
        <v>Nck2</v>
      </c>
      <c r="O3692" s="3" t="str">
        <f>HYPERLINK("http://www.informatics.jax.org/marker/MGI:1306821", "MGI:1306821")</f>
        <v>MGI:1306821</v>
      </c>
      <c r="P3692" t="s">
        <v>41072</v>
      </c>
      <c r="Q3692" t="s">
        <v>1680</v>
      </c>
      <c r="R3692" t="s">
        <v>874</v>
      </c>
      <c r="S3692" t="s">
        <v>32</v>
      </c>
      <c r="T3692" t="s">
        <v>32</v>
      </c>
      <c r="U3692" t="s">
        <v>32</v>
      </c>
      <c r="V3692" t="s">
        <v>9656</v>
      </c>
      <c r="W3692" t="s">
        <v>32</v>
      </c>
      <c r="X3692" t="s">
        <v>32</v>
      </c>
      <c r="Y3692" t="s">
        <v>157</v>
      </c>
      <c r="Z3692" t="s">
        <v>32</v>
      </c>
      <c r="AA3692" t="s">
        <v>41073</v>
      </c>
      <c r="AB3692" t="s">
        <v>41074</v>
      </c>
      <c r="AC3692" t="s">
        <v>41075</v>
      </c>
      <c r="AD3692" t="s">
        <v>32</v>
      </c>
      <c r="AE3692" t="s">
        <v>41076</v>
      </c>
      <c r="AF3692" t="s">
        <v>46835</v>
      </c>
    </row>
    <row r="3693" spans="1:32" x14ac:dyDescent="0.2">
      <c r="A3693">
        <v>3688</v>
      </c>
      <c r="B3693" t="s">
        <v>41077</v>
      </c>
      <c r="C3693" t="s">
        <v>41078</v>
      </c>
      <c r="D3693" t="s">
        <v>41079</v>
      </c>
      <c r="E3693" t="s">
        <v>41080</v>
      </c>
      <c r="F3693" t="s">
        <v>41081</v>
      </c>
      <c r="G3693" t="s">
        <v>41082</v>
      </c>
      <c r="H3693" t="str">
        <f>"Qtrt2"</f>
        <v>Qtrt2</v>
      </c>
      <c r="I3693" t="s">
        <v>32</v>
      </c>
      <c r="J3693" t="s">
        <v>37</v>
      </c>
      <c r="K3693">
        <v>10090</v>
      </c>
      <c r="L3693" s="3" t="str">
        <f>HYPERLINK("http://www.uniprot.org/uniprot/B8ZXI1", "B8ZXI1")</f>
        <v>B8ZXI1</v>
      </c>
      <c r="M3693" t="s">
        <v>41083</v>
      </c>
      <c r="N3693" t="str">
        <f>"Qtrt2"</f>
        <v>Qtrt2</v>
      </c>
      <c r="O3693" s="3" t="str">
        <f>HYPERLINK("http://www.informatics.jax.org/marker/MGI:1922194", "MGI:1922194")</f>
        <v>MGI:1922194</v>
      </c>
      <c r="P3693" t="s">
        <v>41084</v>
      </c>
      <c r="Q3693" t="s">
        <v>4386</v>
      </c>
      <c r="R3693" t="s">
        <v>9642</v>
      </c>
      <c r="S3693" t="s">
        <v>41</v>
      </c>
      <c r="T3693" t="s">
        <v>32</v>
      </c>
      <c r="U3693" t="s">
        <v>32</v>
      </c>
      <c r="V3693" t="s">
        <v>32</v>
      </c>
      <c r="W3693" t="s">
        <v>42</v>
      </c>
      <c r="X3693" t="s">
        <v>32</v>
      </c>
      <c r="Y3693" t="s">
        <v>32</v>
      </c>
      <c r="Z3693" t="s">
        <v>126</v>
      </c>
      <c r="AA3693" t="s">
        <v>41085</v>
      </c>
      <c r="AB3693" t="s">
        <v>41086</v>
      </c>
      <c r="AC3693" t="s">
        <v>41087</v>
      </c>
      <c r="AD3693" t="s">
        <v>32</v>
      </c>
      <c r="AE3693" t="s">
        <v>32</v>
      </c>
      <c r="AF3693" t="s">
        <v>46835</v>
      </c>
    </row>
    <row r="3694" spans="1:32" x14ac:dyDescent="0.2">
      <c r="A3694">
        <v>3689</v>
      </c>
      <c r="B3694" t="s">
        <v>41088</v>
      </c>
      <c r="C3694" t="s">
        <v>41089</v>
      </c>
      <c r="D3694" t="s">
        <v>41090</v>
      </c>
      <c r="E3694" t="s">
        <v>41091</v>
      </c>
      <c r="F3694" t="s">
        <v>41092</v>
      </c>
      <c r="G3694" t="s">
        <v>41093</v>
      </c>
      <c r="H3694" t="str">
        <f>"Bach2"</f>
        <v>Bach2</v>
      </c>
      <c r="I3694" t="s">
        <v>32</v>
      </c>
      <c r="J3694" t="s">
        <v>37</v>
      </c>
      <c r="K3694">
        <v>10090</v>
      </c>
      <c r="L3694" s="3" t="str">
        <f>HYPERLINK("http://www.uniprot.org/uniprot/P97303", "P97303")</f>
        <v>P97303</v>
      </c>
      <c r="M3694" t="s">
        <v>41094</v>
      </c>
      <c r="N3694" t="str">
        <f>"Bach2"</f>
        <v>Bach2</v>
      </c>
      <c r="O3694" s="3" t="str">
        <f>HYPERLINK("http://www.informatics.jax.org/marker/MGI:894679", "MGI:894679")</f>
        <v>MGI:894679</v>
      </c>
      <c r="P3694" t="s">
        <v>41095</v>
      </c>
      <c r="Q3694" t="s">
        <v>4152</v>
      </c>
      <c r="R3694" t="s">
        <v>40</v>
      </c>
      <c r="S3694" t="s">
        <v>41</v>
      </c>
      <c r="T3694" t="s">
        <v>32</v>
      </c>
      <c r="U3694" t="s">
        <v>32</v>
      </c>
      <c r="V3694" t="s">
        <v>32</v>
      </c>
      <c r="W3694" t="s">
        <v>32</v>
      </c>
      <c r="X3694" t="s">
        <v>17531</v>
      </c>
      <c r="Y3694" t="s">
        <v>18232</v>
      </c>
      <c r="Z3694" t="s">
        <v>32</v>
      </c>
      <c r="AA3694" t="s">
        <v>41096</v>
      </c>
      <c r="AB3694" t="s">
        <v>41097</v>
      </c>
      <c r="AC3694" t="s">
        <v>41098</v>
      </c>
      <c r="AD3694" t="s">
        <v>32</v>
      </c>
      <c r="AE3694" t="s">
        <v>32</v>
      </c>
      <c r="AF3694" t="s">
        <v>46835</v>
      </c>
    </row>
    <row r="3695" spans="1:32" x14ac:dyDescent="0.2">
      <c r="A3695">
        <v>3690</v>
      </c>
      <c r="B3695" t="s">
        <v>41099</v>
      </c>
      <c r="C3695" t="s">
        <v>41100</v>
      </c>
      <c r="D3695" t="s">
        <v>41101</v>
      </c>
      <c r="E3695" t="s">
        <v>41102</v>
      </c>
      <c r="F3695" t="s">
        <v>41103</v>
      </c>
      <c r="G3695" t="s">
        <v>41104</v>
      </c>
      <c r="H3695" t="str">
        <f>"Prorsd1"</f>
        <v>Prorsd1</v>
      </c>
      <c r="I3695" t="s">
        <v>41105</v>
      </c>
      <c r="J3695" t="s">
        <v>37</v>
      </c>
      <c r="K3695">
        <v>10090</v>
      </c>
      <c r="L3695" s="3" t="str">
        <f>HYPERLINK("http://www.uniprot.org/uniprot/Q9D820", "Q9D820")</f>
        <v>Q9D820</v>
      </c>
      <c r="M3695" t="s">
        <v>41106</v>
      </c>
      <c r="N3695" t="str">
        <f>"Prorsd1"</f>
        <v>Prorsd1</v>
      </c>
      <c r="O3695" s="3" t="str">
        <f>HYPERLINK("http://www.informatics.jax.org/marker/MGI:1915189", "MGI:1915189")</f>
        <v>MGI:1915189</v>
      </c>
      <c r="P3695" t="s">
        <v>41</v>
      </c>
      <c r="Q3695" t="s">
        <v>32</v>
      </c>
      <c r="R3695" t="s">
        <v>32</v>
      </c>
      <c r="S3695" t="s">
        <v>41</v>
      </c>
      <c r="T3695" t="s">
        <v>32</v>
      </c>
      <c r="U3695" t="s">
        <v>32</v>
      </c>
      <c r="V3695" t="s">
        <v>32</v>
      </c>
      <c r="W3695" t="s">
        <v>32</v>
      </c>
      <c r="X3695" t="s">
        <v>32</v>
      </c>
      <c r="Y3695" t="s">
        <v>32</v>
      </c>
      <c r="Z3695" t="s">
        <v>32</v>
      </c>
      <c r="AA3695" t="s">
        <v>32</v>
      </c>
      <c r="AB3695" t="s">
        <v>32</v>
      </c>
      <c r="AC3695" t="s">
        <v>41107</v>
      </c>
      <c r="AD3695" t="s">
        <v>32</v>
      </c>
      <c r="AE3695" t="s">
        <v>32</v>
      </c>
      <c r="AF3695" t="s">
        <v>46835</v>
      </c>
    </row>
    <row r="3696" spans="1:32" x14ac:dyDescent="0.2">
      <c r="A3696">
        <v>3691</v>
      </c>
      <c r="B3696" t="s">
        <v>41108</v>
      </c>
      <c r="C3696" t="s">
        <v>41109</v>
      </c>
      <c r="D3696" t="s">
        <v>41110</v>
      </c>
      <c r="E3696" t="s">
        <v>41111</v>
      </c>
      <c r="F3696" t="s">
        <v>41112</v>
      </c>
      <c r="G3696" t="s">
        <v>41113</v>
      </c>
      <c r="H3696" t="str">
        <f>"Edem3"</f>
        <v>Edem3</v>
      </c>
      <c r="I3696" t="s">
        <v>32</v>
      </c>
      <c r="J3696" t="s">
        <v>37</v>
      </c>
      <c r="K3696">
        <v>10090</v>
      </c>
      <c r="L3696" s="3" t="str">
        <f>HYPERLINK("http://www.uniprot.org/uniprot/Q2HXL6", "Q2HXL6")</f>
        <v>Q2HXL6</v>
      </c>
      <c r="M3696" t="s">
        <v>41114</v>
      </c>
      <c r="N3696" t="str">
        <f>"Edem3"</f>
        <v>Edem3</v>
      </c>
      <c r="O3696" s="3" t="str">
        <f>HYPERLINK("http://www.informatics.jax.org/marker/MGI:1914217", "MGI:1914217")</f>
        <v>MGI:1914217</v>
      </c>
      <c r="P3696" t="s">
        <v>41115</v>
      </c>
      <c r="Q3696" t="s">
        <v>12126</v>
      </c>
      <c r="R3696" t="s">
        <v>671</v>
      </c>
      <c r="S3696" t="s">
        <v>32</v>
      </c>
      <c r="T3696" t="s">
        <v>32</v>
      </c>
      <c r="U3696" t="s">
        <v>32</v>
      </c>
      <c r="V3696" t="s">
        <v>811</v>
      </c>
      <c r="W3696" t="s">
        <v>8683</v>
      </c>
      <c r="X3696" t="s">
        <v>343</v>
      </c>
      <c r="Y3696" t="s">
        <v>3733</v>
      </c>
      <c r="Z3696" t="s">
        <v>32</v>
      </c>
      <c r="AA3696" t="s">
        <v>41116</v>
      </c>
      <c r="AB3696" t="s">
        <v>41117</v>
      </c>
      <c r="AC3696" t="s">
        <v>41118</v>
      </c>
      <c r="AD3696" t="s">
        <v>3952</v>
      </c>
      <c r="AE3696" t="s">
        <v>32</v>
      </c>
      <c r="AF3696" t="s">
        <v>46835</v>
      </c>
    </row>
    <row r="3697" spans="1:33" x14ac:dyDescent="0.2">
      <c r="A3697">
        <v>3692</v>
      </c>
      <c r="B3697" t="s">
        <v>41119</v>
      </c>
      <c r="C3697" t="s">
        <v>41120</v>
      </c>
      <c r="D3697" t="s">
        <v>41121</v>
      </c>
      <c r="E3697" t="s">
        <v>41122</v>
      </c>
      <c r="F3697" t="s">
        <v>41123</v>
      </c>
      <c r="G3697" t="s">
        <v>41124</v>
      </c>
      <c r="H3697" t="str">
        <f>"Cracd"</f>
        <v>Cracd</v>
      </c>
      <c r="I3697" t="s">
        <v>32</v>
      </c>
      <c r="J3697" t="s">
        <v>37</v>
      </c>
      <c r="K3697">
        <v>10090</v>
      </c>
      <c r="L3697" s="3" t="str">
        <f>HYPERLINK("http://www.uniprot.org/uniprot/Q5PR69", "Q5PR69")</f>
        <v>Q5PR69</v>
      </c>
      <c r="M3697" t="s">
        <v>41125</v>
      </c>
      <c r="N3697" t="str">
        <f>"Cracd"</f>
        <v>Cracd</v>
      </c>
      <c r="O3697" s="3" t="str">
        <f>HYPERLINK("http://www.informatics.jax.org/marker/MGI:2444817", "MGI:2444817")</f>
        <v>MGI:2444817</v>
      </c>
      <c r="P3697" t="s">
        <v>21217</v>
      </c>
      <c r="Q3697" t="s">
        <v>32</v>
      </c>
      <c r="R3697" t="s">
        <v>418</v>
      </c>
      <c r="S3697" t="s">
        <v>41</v>
      </c>
      <c r="T3697" t="s">
        <v>32</v>
      </c>
      <c r="U3697" t="s">
        <v>32</v>
      </c>
      <c r="V3697" t="s">
        <v>32</v>
      </c>
      <c r="W3697" t="s">
        <v>32</v>
      </c>
      <c r="X3697" t="s">
        <v>32</v>
      </c>
      <c r="Y3697" t="s">
        <v>618</v>
      </c>
      <c r="Z3697" t="s">
        <v>32</v>
      </c>
      <c r="AA3697" t="s">
        <v>41126</v>
      </c>
      <c r="AB3697" t="s">
        <v>1268</v>
      </c>
      <c r="AC3697" t="s">
        <v>32</v>
      </c>
      <c r="AD3697" t="s">
        <v>32</v>
      </c>
      <c r="AE3697" t="s">
        <v>32</v>
      </c>
      <c r="AF3697" t="s">
        <v>46835</v>
      </c>
    </row>
    <row r="3698" spans="1:33" x14ac:dyDescent="0.2">
      <c r="A3698">
        <v>3693</v>
      </c>
      <c r="B3698" t="s">
        <v>41127</v>
      </c>
      <c r="C3698" t="s">
        <v>41128</v>
      </c>
      <c r="D3698" t="s">
        <v>32</v>
      </c>
      <c r="E3698" t="s">
        <v>41129</v>
      </c>
      <c r="F3698" t="s">
        <v>41130</v>
      </c>
      <c r="G3698" t="s">
        <v>41131</v>
      </c>
      <c r="H3698" t="str">
        <f>"Homer3"</f>
        <v>Homer3</v>
      </c>
      <c r="I3698" t="s">
        <v>32</v>
      </c>
      <c r="J3698" t="s">
        <v>37</v>
      </c>
      <c r="K3698">
        <v>10090</v>
      </c>
      <c r="L3698" s="3" t="str">
        <f>HYPERLINK("http://www.uniprot.org/uniprot/Q99JP6", "Q99JP6")</f>
        <v>Q99JP6</v>
      </c>
      <c r="M3698" t="s">
        <v>41132</v>
      </c>
      <c r="N3698" t="str">
        <f>"Homer3"</f>
        <v>Homer3</v>
      </c>
      <c r="O3698" s="3" t="str">
        <f>HYPERLINK("http://www.informatics.jax.org/marker/MGI:1347359", "MGI:1347359")</f>
        <v>MGI:1347359</v>
      </c>
      <c r="P3698" t="s">
        <v>41133</v>
      </c>
      <c r="Q3698" t="s">
        <v>32</v>
      </c>
      <c r="R3698" t="s">
        <v>41134</v>
      </c>
      <c r="S3698" t="s">
        <v>41</v>
      </c>
      <c r="T3698" t="s">
        <v>32</v>
      </c>
      <c r="U3698" t="s">
        <v>32</v>
      </c>
      <c r="V3698" t="s">
        <v>290</v>
      </c>
      <c r="W3698" t="s">
        <v>32</v>
      </c>
      <c r="X3698" t="s">
        <v>32</v>
      </c>
      <c r="Y3698" t="s">
        <v>618</v>
      </c>
      <c r="Z3698" t="s">
        <v>32</v>
      </c>
      <c r="AA3698" t="s">
        <v>41135</v>
      </c>
      <c r="AB3698" t="s">
        <v>41136</v>
      </c>
      <c r="AC3698" t="s">
        <v>41137</v>
      </c>
      <c r="AD3698" t="s">
        <v>32</v>
      </c>
      <c r="AE3698" t="s">
        <v>2108</v>
      </c>
      <c r="AF3698" t="s">
        <v>46835</v>
      </c>
    </row>
    <row r="3699" spans="1:33" x14ac:dyDescent="0.2">
      <c r="A3699">
        <v>3694</v>
      </c>
      <c r="B3699" t="s">
        <v>41138</v>
      </c>
      <c r="C3699" t="s">
        <v>41139</v>
      </c>
      <c r="D3699" t="s">
        <v>41140</v>
      </c>
      <c r="E3699" t="s">
        <v>41141</v>
      </c>
      <c r="F3699" t="s">
        <v>41142</v>
      </c>
      <c r="G3699" t="s">
        <v>41143</v>
      </c>
      <c r="H3699" t="str">
        <f>"Gimap4"</f>
        <v>Gimap4</v>
      </c>
      <c r="I3699" t="s">
        <v>41144</v>
      </c>
      <c r="J3699" t="s">
        <v>37</v>
      </c>
      <c r="K3699">
        <v>10090</v>
      </c>
      <c r="L3699" s="3" t="str">
        <f>HYPERLINK("http://www.uniprot.org/uniprot/Q99JY3", "Q99JY3")</f>
        <v>Q99JY3</v>
      </c>
      <c r="M3699" t="s">
        <v>41145</v>
      </c>
      <c r="N3699" t="str">
        <f>"Gimap4"</f>
        <v>Gimap4</v>
      </c>
      <c r="O3699" s="3" t="str">
        <f>HYPERLINK("http://www.informatics.jax.org/marker/MGI:1349656", "MGI:1349656")</f>
        <v>MGI:1349656</v>
      </c>
      <c r="P3699" t="s">
        <v>41146</v>
      </c>
      <c r="Q3699" t="s">
        <v>32</v>
      </c>
      <c r="R3699" t="s">
        <v>418</v>
      </c>
      <c r="S3699" t="s">
        <v>41</v>
      </c>
      <c r="T3699" t="s">
        <v>32</v>
      </c>
      <c r="U3699" t="s">
        <v>32</v>
      </c>
      <c r="V3699" t="s">
        <v>32</v>
      </c>
      <c r="W3699" t="s">
        <v>261</v>
      </c>
      <c r="X3699" t="s">
        <v>32</v>
      </c>
      <c r="Y3699" t="s">
        <v>618</v>
      </c>
      <c r="Z3699" t="s">
        <v>32</v>
      </c>
      <c r="AA3699" t="s">
        <v>32</v>
      </c>
      <c r="AB3699" t="s">
        <v>4115</v>
      </c>
      <c r="AC3699" t="s">
        <v>28844</v>
      </c>
      <c r="AD3699" t="s">
        <v>32</v>
      </c>
      <c r="AE3699" t="s">
        <v>32</v>
      </c>
      <c r="AF3699" t="s">
        <v>46835</v>
      </c>
    </row>
    <row r="3700" spans="1:33" x14ac:dyDescent="0.2">
      <c r="A3700">
        <v>3695</v>
      </c>
      <c r="B3700" t="s">
        <v>41147</v>
      </c>
      <c r="C3700" t="s">
        <v>41148</v>
      </c>
      <c r="D3700" t="s">
        <v>32</v>
      </c>
      <c r="E3700" t="s">
        <v>41149</v>
      </c>
      <c r="F3700" t="s">
        <v>41150</v>
      </c>
      <c r="G3700" t="s">
        <v>41151</v>
      </c>
      <c r="H3700" t="str">
        <f>"Mrps7"</f>
        <v>Mrps7</v>
      </c>
      <c r="I3700" t="s">
        <v>32</v>
      </c>
      <c r="J3700" t="s">
        <v>37</v>
      </c>
      <c r="K3700">
        <v>10090</v>
      </c>
      <c r="L3700" s="3" t="str">
        <f>HYPERLINK("http://www.uniprot.org/uniprot/Q80X85", "Q80X85")</f>
        <v>Q80X85</v>
      </c>
      <c r="M3700" t="s">
        <v>41152</v>
      </c>
      <c r="N3700" t="str">
        <f>"Mrps7"</f>
        <v>Mrps7</v>
      </c>
      <c r="O3700" s="3" t="str">
        <f>HYPERLINK("http://www.informatics.jax.org/marker/MGI:1354367", "MGI:1354367")</f>
        <v>MGI:1354367</v>
      </c>
      <c r="P3700" t="s">
        <v>17268</v>
      </c>
      <c r="Q3700" t="s">
        <v>32</v>
      </c>
      <c r="R3700" t="s">
        <v>1038</v>
      </c>
      <c r="S3700" t="s">
        <v>32</v>
      </c>
      <c r="T3700" t="s">
        <v>32</v>
      </c>
      <c r="U3700" t="s">
        <v>32</v>
      </c>
      <c r="V3700" t="s">
        <v>1039</v>
      </c>
      <c r="W3700" t="s">
        <v>32</v>
      </c>
      <c r="X3700" t="s">
        <v>447</v>
      </c>
      <c r="Y3700" t="s">
        <v>78</v>
      </c>
      <c r="Z3700" t="s">
        <v>32</v>
      </c>
      <c r="AA3700" t="s">
        <v>41153</v>
      </c>
      <c r="AB3700" t="s">
        <v>41154</v>
      </c>
      <c r="AC3700" t="s">
        <v>3961</v>
      </c>
      <c r="AD3700" t="s">
        <v>32</v>
      </c>
      <c r="AE3700" t="s">
        <v>17271</v>
      </c>
      <c r="AF3700" t="s">
        <v>46835</v>
      </c>
    </row>
    <row r="3701" spans="1:33" x14ac:dyDescent="0.2">
      <c r="A3701">
        <v>3696</v>
      </c>
      <c r="B3701" t="s">
        <v>41155</v>
      </c>
      <c r="C3701" t="s">
        <v>41156</v>
      </c>
      <c r="D3701" t="s">
        <v>41157</v>
      </c>
      <c r="E3701" t="s">
        <v>41158</v>
      </c>
      <c r="F3701" t="s">
        <v>41159</v>
      </c>
      <c r="G3701" t="s">
        <v>41160</v>
      </c>
      <c r="H3701" t="str">
        <f>"Mettl1"</f>
        <v>Mettl1</v>
      </c>
      <c r="I3701" t="s">
        <v>32</v>
      </c>
      <c r="J3701" t="s">
        <v>37</v>
      </c>
      <c r="K3701">
        <v>10090</v>
      </c>
      <c r="L3701" s="3" t="str">
        <f>HYPERLINK("http://www.uniprot.org/uniprot/Q9Z120", "Q9Z120")</f>
        <v>Q9Z120</v>
      </c>
      <c r="M3701" t="s">
        <v>41161</v>
      </c>
      <c r="N3701" t="str">
        <f>"Mettl1"</f>
        <v>Mettl1</v>
      </c>
      <c r="O3701" s="3" t="str">
        <f>HYPERLINK("http://www.informatics.jax.org/marker/MGI:1339986", "MGI:1339986")</f>
        <v>MGI:1339986</v>
      </c>
      <c r="P3701" t="s">
        <v>41162</v>
      </c>
      <c r="Q3701" t="s">
        <v>4386</v>
      </c>
      <c r="R3701" t="s">
        <v>2279</v>
      </c>
      <c r="S3701" t="s">
        <v>32</v>
      </c>
      <c r="T3701" t="s">
        <v>32</v>
      </c>
      <c r="U3701" t="s">
        <v>32</v>
      </c>
      <c r="V3701" t="s">
        <v>32</v>
      </c>
      <c r="W3701" t="s">
        <v>1705</v>
      </c>
      <c r="X3701" t="s">
        <v>8598</v>
      </c>
      <c r="Y3701" t="s">
        <v>618</v>
      </c>
      <c r="Z3701" t="s">
        <v>32</v>
      </c>
      <c r="AA3701" t="s">
        <v>41163</v>
      </c>
      <c r="AB3701" t="s">
        <v>41164</v>
      </c>
      <c r="AC3701" t="s">
        <v>41165</v>
      </c>
      <c r="AD3701" t="s">
        <v>41166</v>
      </c>
      <c r="AE3701" t="s">
        <v>32</v>
      </c>
      <c r="AF3701" t="s">
        <v>46835</v>
      </c>
    </row>
    <row r="3702" spans="1:33" x14ac:dyDescent="0.2">
      <c r="A3702">
        <v>3697</v>
      </c>
      <c r="B3702" t="s">
        <v>41167</v>
      </c>
      <c r="C3702" t="s">
        <v>41168</v>
      </c>
      <c r="D3702" t="s">
        <v>32</v>
      </c>
      <c r="E3702" t="s">
        <v>41169</v>
      </c>
      <c r="F3702" t="s">
        <v>41170</v>
      </c>
      <c r="G3702" t="s">
        <v>41171</v>
      </c>
      <c r="H3702" t="str">
        <f>"Eed"</f>
        <v>Eed</v>
      </c>
      <c r="I3702" t="s">
        <v>32</v>
      </c>
      <c r="J3702" t="s">
        <v>37</v>
      </c>
      <c r="K3702">
        <v>10090</v>
      </c>
      <c r="L3702" s="3" t="str">
        <f>HYPERLINK("http://www.uniprot.org/uniprot/Q921E6", "Q921E6")</f>
        <v>Q921E6</v>
      </c>
      <c r="M3702" t="s">
        <v>41172</v>
      </c>
      <c r="N3702" t="str">
        <f>"Eed"</f>
        <v>Eed</v>
      </c>
      <c r="O3702" s="3" t="str">
        <f>HYPERLINK("http://www.informatics.jax.org/marker/MGI:95286", "MGI:95286")</f>
        <v>MGI:95286</v>
      </c>
      <c r="P3702" t="s">
        <v>41173</v>
      </c>
      <c r="Q3702" t="s">
        <v>4152</v>
      </c>
      <c r="R3702" t="s">
        <v>1939</v>
      </c>
      <c r="S3702" t="s">
        <v>477</v>
      </c>
      <c r="T3702" t="s">
        <v>32</v>
      </c>
      <c r="U3702" t="s">
        <v>32</v>
      </c>
      <c r="V3702" t="s">
        <v>1910</v>
      </c>
      <c r="W3702" t="s">
        <v>32</v>
      </c>
      <c r="X3702" t="s">
        <v>5208</v>
      </c>
      <c r="Y3702" t="s">
        <v>97</v>
      </c>
      <c r="Z3702" t="s">
        <v>126</v>
      </c>
      <c r="AA3702" t="s">
        <v>41174</v>
      </c>
      <c r="AB3702" t="s">
        <v>41175</v>
      </c>
      <c r="AC3702" t="s">
        <v>41176</v>
      </c>
      <c r="AD3702" t="s">
        <v>32</v>
      </c>
      <c r="AE3702" t="s">
        <v>41177</v>
      </c>
      <c r="AF3702" t="s">
        <v>46835</v>
      </c>
    </row>
    <row r="3703" spans="1:33" x14ac:dyDescent="0.2">
      <c r="A3703">
        <v>3698</v>
      </c>
      <c r="B3703" t="s">
        <v>41178</v>
      </c>
      <c r="C3703" t="s">
        <v>41179</v>
      </c>
      <c r="D3703" t="s">
        <v>41180</v>
      </c>
      <c r="E3703" t="s">
        <v>41181</v>
      </c>
      <c r="F3703" t="s">
        <v>41182</v>
      </c>
      <c r="G3703" t="s">
        <v>41183</v>
      </c>
      <c r="H3703" t="str">
        <f>"Myo9b"</f>
        <v>Myo9b</v>
      </c>
      <c r="I3703" t="s">
        <v>41184</v>
      </c>
      <c r="J3703" t="s">
        <v>37</v>
      </c>
      <c r="K3703">
        <v>10090</v>
      </c>
      <c r="L3703" s="3" t="str">
        <f>HYPERLINK("http://www.uniprot.org/uniprot/Q9QY06", "Q9QY06")</f>
        <v>Q9QY06</v>
      </c>
      <c r="M3703" t="s">
        <v>41185</v>
      </c>
      <c r="N3703" t="str">
        <f>"Myo9b"</f>
        <v>Myo9b</v>
      </c>
      <c r="O3703" s="3" t="str">
        <f>HYPERLINK("http://www.informatics.jax.org/marker/MGI:106624", "MGI:106624")</f>
        <v>MGI:106624</v>
      </c>
      <c r="P3703" t="s">
        <v>41186</v>
      </c>
      <c r="Q3703" t="s">
        <v>32</v>
      </c>
      <c r="R3703" t="s">
        <v>186</v>
      </c>
      <c r="S3703" t="s">
        <v>41</v>
      </c>
      <c r="T3703" t="s">
        <v>32</v>
      </c>
      <c r="U3703" t="s">
        <v>32</v>
      </c>
      <c r="V3703" t="s">
        <v>12028</v>
      </c>
      <c r="W3703" t="s">
        <v>2325</v>
      </c>
      <c r="X3703" t="s">
        <v>41187</v>
      </c>
      <c r="Y3703" t="s">
        <v>157</v>
      </c>
      <c r="Z3703" t="s">
        <v>32</v>
      </c>
      <c r="AA3703" t="s">
        <v>41188</v>
      </c>
      <c r="AB3703" t="s">
        <v>41189</v>
      </c>
      <c r="AC3703" t="s">
        <v>41190</v>
      </c>
      <c r="AD3703" t="s">
        <v>32</v>
      </c>
      <c r="AE3703" t="s">
        <v>41191</v>
      </c>
      <c r="AF3703" t="s">
        <v>46835</v>
      </c>
    </row>
    <row r="3704" spans="1:33" x14ac:dyDescent="0.2">
      <c r="A3704">
        <v>3699</v>
      </c>
      <c r="B3704" t="s">
        <v>41192</v>
      </c>
      <c r="C3704" t="s">
        <v>41193</v>
      </c>
      <c r="D3704" t="s">
        <v>41194</v>
      </c>
      <c r="E3704" t="s">
        <v>41195</v>
      </c>
      <c r="F3704" t="s">
        <v>41196</v>
      </c>
      <c r="G3704" t="s">
        <v>32</v>
      </c>
      <c r="H3704" t="str">
        <f>"Exosc8"</f>
        <v>Exosc8</v>
      </c>
      <c r="I3704" t="s">
        <v>41197</v>
      </c>
      <c r="J3704" t="s">
        <v>37</v>
      </c>
      <c r="K3704">
        <v>10090</v>
      </c>
      <c r="L3704" s="3" t="str">
        <f>HYPERLINK("http://www.uniprot.org/uniprot/Q9D753", "Q9D753")</f>
        <v>Q9D753</v>
      </c>
      <c r="M3704" t="s">
        <v>41198</v>
      </c>
      <c r="N3704" t="str">
        <f>"Exosc8"</f>
        <v>Exosc8</v>
      </c>
      <c r="O3704" s="3" t="str">
        <f>HYPERLINK("http://www.informatics.jax.org/marker/MGI:1916889", "MGI:1916889")</f>
        <v>MGI:1916889</v>
      </c>
      <c r="P3704" t="s">
        <v>32126</v>
      </c>
      <c r="Q3704" t="s">
        <v>15770</v>
      </c>
      <c r="R3704" t="s">
        <v>28476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1282</v>
      </c>
      <c r="Y3704" t="s">
        <v>78</v>
      </c>
      <c r="Z3704" t="s">
        <v>32</v>
      </c>
      <c r="AA3704" t="s">
        <v>32127</v>
      </c>
      <c r="AB3704" t="s">
        <v>41199</v>
      </c>
      <c r="AC3704" t="s">
        <v>41200</v>
      </c>
      <c r="AD3704" t="s">
        <v>32</v>
      </c>
      <c r="AE3704" t="s">
        <v>28479</v>
      </c>
      <c r="AF3704" t="s">
        <v>46835</v>
      </c>
    </row>
    <row r="3705" spans="1:33" x14ac:dyDescent="0.2">
      <c r="A3705">
        <v>3700</v>
      </c>
      <c r="B3705" t="s">
        <v>41201</v>
      </c>
      <c r="C3705" t="s">
        <v>47207</v>
      </c>
      <c r="D3705" t="s">
        <v>32</v>
      </c>
      <c r="E3705" t="s">
        <v>47052</v>
      </c>
      <c r="F3705" t="s">
        <v>47051</v>
      </c>
      <c r="G3705" t="s">
        <v>32</v>
      </c>
      <c r="H3705" t="s">
        <v>47339</v>
      </c>
      <c r="I3705" t="s">
        <v>32</v>
      </c>
      <c r="J3705" t="s">
        <v>37</v>
      </c>
      <c r="K3705">
        <v>10090</v>
      </c>
      <c r="L3705" s="3" t="str">
        <f>HYPERLINK(CONCATENATE("https://www.uniprot.org/uniprotkb/", AG3705, "/entry"), AG3705)</f>
        <v>E9PUR0</v>
      </c>
      <c r="M3705" t="s">
        <v>32</v>
      </c>
      <c r="N3705" t="s">
        <v>32</v>
      </c>
      <c r="O3705" s="3" t="s">
        <v>32</v>
      </c>
      <c r="P3705" t="s">
        <v>32</v>
      </c>
      <c r="Q3705" t="s">
        <v>32</v>
      </c>
      <c r="R3705" t="s">
        <v>32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32</v>
      </c>
      <c r="Y3705" t="s">
        <v>32</v>
      </c>
      <c r="Z3705" t="s">
        <v>32</v>
      </c>
      <c r="AA3705" t="s">
        <v>32</v>
      </c>
      <c r="AB3705" t="s">
        <v>32</v>
      </c>
      <c r="AC3705" t="s">
        <v>32</v>
      </c>
      <c r="AD3705" t="s">
        <v>32</v>
      </c>
      <c r="AE3705" t="s">
        <v>32</v>
      </c>
      <c r="AF3705" t="s">
        <v>46835</v>
      </c>
      <c r="AG3705" t="s">
        <v>47051</v>
      </c>
    </row>
    <row r="3706" spans="1:33" x14ac:dyDescent="0.2">
      <c r="A3706">
        <v>3701</v>
      </c>
      <c r="B3706" t="s">
        <v>41202</v>
      </c>
      <c r="C3706" t="s">
        <v>41203</v>
      </c>
      <c r="D3706" t="s">
        <v>41204</v>
      </c>
      <c r="E3706" t="s">
        <v>41205</v>
      </c>
      <c r="F3706" t="s">
        <v>41206</v>
      </c>
      <c r="G3706" t="s">
        <v>41207</v>
      </c>
      <c r="H3706" t="str">
        <f>"Kdm5b"</f>
        <v>Kdm5b</v>
      </c>
      <c r="I3706" t="s">
        <v>41208</v>
      </c>
      <c r="J3706" t="s">
        <v>37</v>
      </c>
      <c r="K3706">
        <v>10090</v>
      </c>
      <c r="L3706" s="3" t="str">
        <f>HYPERLINK("http://www.uniprot.org/uniprot/Q80Y84", "Q80Y84")</f>
        <v>Q80Y84</v>
      </c>
      <c r="M3706" t="s">
        <v>41209</v>
      </c>
      <c r="N3706" t="str">
        <f>"Kdm5b"</f>
        <v>Kdm5b</v>
      </c>
      <c r="O3706" s="3" t="str">
        <f>HYPERLINK("http://www.informatics.jax.org/marker/MGI:1922855", "MGI:1922855")</f>
        <v>MGI:1922855</v>
      </c>
      <c r="P3706" t="s">
        <v>41210</v>
      </c>
      <c r="Q3706" t="s">
        <v>1992</v>
      </c>
      <c r="R3706" t="s">
        <v>2279</v>
      </c>
      <c r="S3706" t="s">
        <v>41</v>
      </c>
      <c r="T3706" t="s">
        <v>32</v>
      </c>
      <c r="U3706" t="s">
        <v>32</v>
      </c>
      <c r="V3706" t="s">
        <v>3791</v>
      </c>
      <c r="W3706" t="s">
        <v>18878</v>
      </c>
      <c r="X3706" t="s">
        <v>41211</v>
      </c>
      <c r="Y3706" t="s">
        <v>516</v>
      </c>
      <c r="Z3706" t="s">
        <v>126</v>
      </c>
      <c r="AA3706" t="s">
        <v>41212</v>
      </c>
      <c r="AB3706" t="s">
        <v>8281</v>
      </c>
      <c r="AC3706" t="s">
        <v>41213</v>
      </c>
      <c r="AD3706" t="s">
        <v>32</v>
      </c>
      <c r="AE3706" t="s">
        <v>41214</v>
      </c>
      <c r="AF3706" t="s">
        <v>46835</v>
      </c>
    </row>
    <row r="3707" spans="1:33" x14ac:dyDescent="0.2">
      <c r="A3707">
        <v>3702</v>
      </c>
      <c r="B3707" t="s">
        <v>41215</v>
      </c>
      <c r="C3707" t="s">
        <v>41216</v>
      </c>
      <c r="D3707" t="s">
        <v>41217</v>
      </c>
      <c r="E3707" t="s">
        <v>41218</v>
      </c>
      <c r="F3707" t="s">
        <v>41219</v>
      </c>
      <c r="G3707" t="s">
        <v>41220</v>
      </c>
      <c r="H3707" t="str">
        <f>"Trim9"</f>
        <v>Trim9</v>
      </c>
      <c r="I3707" t="s">
        <v>41221</v>
      </c>
      <c r="J3707" t="s">
        <v>37</v>
      </c>
      <c r="K3707">
        <v>10090</v>
      </c>
      <c r="L3707" s="3" t="str">
        <f>HYPERLINK("http://www.uniprot.org/uniprot/Q8C7M3", "Q8C7M3")</f>
        <v>Q8C7M3</v>
      </c>
      <c r="M3707" t="s">
        <v>41222</v>
      </c>
      <c r="N3707" t="str">
        <f>"Trim9"</f>
        <v>Trim9</v>
      </c>
      <c r="O3707" s="3" t="str">
        <f>HYPERLINK("http://www.informatics.jax.org/marker/MGI:2137354", "MGI:2137354")</f>
        <v>MGI:2137354</v>
      </c>
      <c r="P3707" t="s">
        <v>41223</v>
      </c>
      <c r="Q3707" t="s">
        <v>1020</v>
      </c>
      <c r="R3707" t="s">
        <v>41224</v>
      </c>
      <c r="S3707" t="s">
        <v>41</v>
      </c>
      <c r="T3707" t="s">
        <v>32</v>
      </c>
      <c r="U3707" t="s">
        <v>32</v>
      </c>
      <c r="V3707" t="s">
        <v>12028</v>
      </c>
      <c r="W3707" t="s">
        <v>42</v>
      </c>
      <c r="X3707" t="s">
        <v>515</v>
      </c>
      <c r="Y3707" t="s">
        <v>2836</v>
      </c>
      <c r="Z3707" t="s">
        <v>32</v>
      </c>
      <c r="AA3707" t="s">
        <v>41225</v>
      </c>
      <c r="AB3707" t="s">
        <v>41226</v>
      </c>
      <c r="AC3707" t="s">
        <v>41227</v>
      </c>
      <c r="AD3707" t="s">
        <v>1027</v>
      </c>
      <c r="AE3707" t="s">
        <v>4220</v>
      </c>
      <c r="AF3707" t="s">
        <v>46835</v>
      </c>
    </row>
    <row r="3708" spans="1:33" x14ac:dyDescent="0.2">
      <c r="A3708">
        <v>3703</v>
      </c>
      <c r="B3708" t="s">
        <v>41228</v>
      </c>
      <c r="C3708" t="s">
        <v>41229</v>
      </c>
      <c r="D3708" t="s">
        <v>32</v>
      </c>
      <c r="E3708" t="s">
        <v>41230</v>
      </c>
      <c r="F3708" t="s">
        <v>41231</v>
      </c>
      <c r="G3708" t="s">
        <v>41232</v>
      </c>
      <c r="H3708" t="str">
        <f>"Uap1"</f>
        <v>Uap1</v>
      </c>
      <c r="I3708" t="s">
        <v>32</v>
      </c>
      <c r="J3708" t="s">
        <v>37</v>
      </c>
      <c r="K3708">
        <v>10090</v>
      </c>
      <c r="L3708" s="3" t="str">
        <f>HYPERLINK("http://www.uniprot.org/uniprot/Q91YN5", "Q91YN5")</f>
        <v>Q91YN5</v>
      </c>
      <c r="M3708" t="s">
        <v>41233</v>
      </c>
      <c r="N3708" t="str">
        <f>"Uap1"</f>
        <v>Uap1</v>
      </c>
      <c r="O3708" s="3" t="str">
        <f>HYPERLINK("http://www.informatics.jax.org/marker/MGI:1334459", "MGI:1334459")</f>
        <v>MGI:1334459</v>
      </c>
      <c r="P3708" t="s">
        <v>41234</v>
      </c>
      <c r="Q3708" t="s">
        <v>32</v>
      </c>
      <c r="R3708" t="s">
        <v>418</v>
      </c>
      <c r="S3708" t="s">
        <v>41</v>
      </c>
      <c r="T3708" t="s">
        <v>32</v>
      </c>
      <c r="U3708" t="s">
        <v>32</v>
      </c>
      <c r="V3708" t="s">
        <v>32</v>
      </c>
      <c r="W3708" t="s">
        <v>32</v>
      </c>
      <c r="X3708" t="s">
        <v>7489</v>
      </c>
      <c r="Y3708" t="s">
        <v>32</v>
      </c>
      <c r="Z3708" t="s">
        <v>126</v>
      </c>
      <c r="AA3708" t="s">
        <v>41235</v>
      </c>
      <c r="AB3708" t="s">
        <v>2689</v>
      </c>
      <c r="AC3708" t="s">
        <v>41236</v>
      </c>
      <c r="AD3708" t="s">
        <v>41237</v>
      </c>
      <c r="AE3708" t="s">
        <v>13835</v>
      </c>
      <c r="AF3708" t="s">
        <v>46835</v>
      </c>
    </row>
    <row r="3709" spans="1:33" x14ac:dyDescent="0.2">
      <c r="A3709">
        <v>3704</v>
      </c>
      <c r="B3709" t="s">
        <v>41238</v>
      </c>
      <c r="C3709" t="s">
        <v>41239</v>
      </c>
      <c r="D3709" t="s">
        <v>41240</v>
      </c>
      <c r="E3709" t="s">
        <v>41241</v>
      </c>
      <c r="F3709" t="s">
        <v>41242</v>
      </c>
      <c r="G3709" t="s">
        <v>41243</v>
      </c>
      <c r="H3709" t="str">
        <f>"Vti1a"</f>
        <v>Vti1a</v>
      </c>
      <c r="I3709" t="s">
        <v>41244</v>
      </c>
      <c r="J3709" t="s">
        <v>37</v>
      </c>
      <c r="K3709">
        <v>10090</v>
      </c>
      <c r="L3709" s="3" t="str">
        <f>HYPERLINK("http://www.uniprot.org/uniprot/O89116", "O89116")</f>
        <v>O89116</v>
      </c>
      <c r="M3709" t="s">
        <v>41245</v>
      </c>
      <c r="N3709" t="str">
        <f>"Vti1a"</f>
        <v>Vti1a</v>
      </c>
      <c r="O3709" s="3" t="str">
        <f>HYPERLINK("http://www.informatics.jax.org/marker/MGI:1855699", "MGI:1855699")</f>
        <v>MGI:1855699</v>
      </c>
      <c r="P3709" t="s">
        <v>41246</v>
      </c>
      <c r="Q3709" t="s">
        <v>434</v>
      </c>
      <c r="R3709" t="s">
        <v>13904</v>
      </c>
      <c r="S3709" t="s">
        <v>32</v>
      </c>
      <c r="T3709" t="s">
        <v>32</v>
      </c>
      <c r="U3709" t="s">
        <v>32</v>
      </c>
      <c r="V3709" t="s">
        <v>6500</v>
      </c>
      <c r="W3709" t="s">
        <v>32</v>
      </c>
      <c r="X3709" t="s">
        <v>32</v>
      </c>
      <c r="Y3709" t="s">
        <v>32</v>
      </c>
      <c r="Z3709" t="s">
        <v>126</v>
      </c>
      <c r="AA3709" t="s">
        <v>41247</v>
      </c>
      <c r="AB3709" t="s">
        <v>41248</v>
      </c>
      <c r="AC3709" t="s">
        <v>22904</v>
      </c>
      <c r="AD3709" t="s">
        <v>32</v>
      </c>
      <c r="AE3709" t="s">
        <v>39500</v>
      </c>
      <c r="AF3709" t="s">
        <v>46835</v>
      </c>
    </row>
    <row r="3710" spans="1:33" x14ac:dyDescent="0.2">
      <c r="A3710">
        <v>3705</v>
      </c>
      <c r="B3710" t="s">
        <v>41249</v>
      </c>
      <c r="C3710" t="s">
        <v>41250</v>
      </c>
      <c r="D3710" t="s">
        <v>32</v>
      </c>
      <c r="E3710" t="s">
        <v>41251</v>
      </c>
      <c r="F3710" t="s">
        <v>41252</v>
      </c>
      <c r="G3710" t="s">
        <v>41253</v>
      </c>
      <c r="H3710" t="str">
        <f>"Col5a1"</f>
        <v>Col5a1</v>
      </c>
      <c r="I3710" t="s">
        <v>32</v>
      </c>
      <c r="J3710" t="s">
        <v>37</v>
      </c>
      <c r="K3710">
        <v>10090</v>
      </c>
      <c r="L3710" s="3" t="str">
        <f>HYPERLINK("http://www.uniprot.org/uniprot/O88207", "O88207")</f>
        <v>O88207</v>
      </c>
      <c r="M3710" t="s">
        <v>41254</v>
      </c>
      <c r="N3710" t="str">
        <f>"Col5a1"</f>
        <v>Col5a1</v>
      </c>
      <c r="O3710" s="3" t="str">
        <f>HYPERLINK("http://www.informatics.jax.org/marker/MGI:88457", "MGI:88457")</f>
        <v>MGI:88457</v>
      </c>
      <c r="P3710" t="s">
        <v>41255</v>
      </c>
      <c r="Q3710" t="s">
        <v>32</v>
      </c>
      <c r="R3710" t="s">
        <v>5586</v>
      </c>
      <c r="S3710" t="s">
        <v>41</v>
      </c>
      <c r="T3710" t="s">
        <v>32</v>
      </c>
      <c r="U3710" t="s">
        <v>32</v>
      </c>
      <c r="V3710" t="s">
        <v>8152</v>
      </c>
      <c r="W3710" t="s">
        <v>32</v>
      </c>
      <c r="X3710" t="s">
        <v>5246</v>
      </c>
      <c r="Y3710" t="s">
        <v>41256</v>
      </c>
      <c r="Z3710" t="s">
        <v>32</v>
      </c>
      <c r="AA3710" t="s">
        <v>41257</v>
      </c>
      <c r="AB3710" t="s">
        <v>41258</v>
      </c>
      <c r="AC3710" t="s">
        <v>41259</v>
      </c>
      <c r="AD3710" t="s">
        <v>32</v>
      </c>
      <c r="AE3710" t="s">
        <v>41260</v>
      </c>
      <c r="AF3710" t="s">
        <v>46835</v>
      </c>
    </row>
    <row r="3711" spans="1:33" x14ac:dyDescent="0.2">
      <c r="A3711">
        <v>3706</v>
      </c>
      <c r="B3711" t="s">
        <v>41261</v>
      </c>
      <c r="C3711" t="s">
        <v>41262</v>
      </c>
      <c r="D3711" t="s">
        <v>32</v>
      </c>
      <c r="E3711" t="s">
        <v>41263</v>
      </c>
      <c r="F3711" t="s">
        <v>41264</v>
      </c>
      <c r="G3711" t="s">
        <v>32</v>
      </c>
      <c r="H3711" t="str">
        <f>"Reep2"</f>
        <v>Reep2</v>
      </c>
      <c r="I3711" t="s">
        <v>32</v>
      </c>
      <c r="J3711" t="s">
        <v>37</v>
      </c>
      <c r="K3711">
        <v>10090</v>
      </c>
      <c r="L3711" s="3" t="str">
        <f>HYPERLINK("http://www.uniprot.org/uniprot/Q8VCD6", "Q8VCD6")</f>
        <v>Q8VCD6</v>
      </c>
      <c r="M3711" t="s">
        <v>41265</v>
      </c>
      <c r="N3711" t="str">
        <f>"Reep2"</f>
        <v>Reep2</v>
      </c>
      <c r="O3711" s="3" t="str">
        <f>HYPERLINK("http://www.informatics.jax.org/marker/MGI:2385070", "MGI:2385070")</f>
        <v>MGI:2385070</v>
      </c>
      <c r="P3711" t="s">
        <v>13368</v>
      </c>
      <c r="Q3711" t="s">
        <v>32</v>
      </c>
      <c r="R3711" t="s">
        <v>5989</v>
      </c>
      <c r="S3711" t="s">
        <v>32</v>
      </c>
      <c r="T3711" t="s">
        <v>32</v>
      </c>
      <c r="U3711" t="s">
        <v>32</v>
      </c>
      <c r="V3711" t="s">
        <v>493</v>
      </c>
      <c r="W3711" t="s">
        <v>32</v>
      </c>
      <c r="X3711" t="s">
        <v>32</v>
      </c>
      <c r="Y3711" t="s">
        <v>618</v>
      </c>
      <c r="Z3711" t="s">
        <v>32</v>
      </c>
      <c r="AA3711" t="s">
        <v>41266</v>
      </c>
      <c r="AB3711" t="s">
        <v>41267</v>
      </c>
      <c r="AC3711" t="s">
        <v>41268</v>
      </c>
      <c r="AD3711" t="s">
        <v>32</v>
      </c>
      <c r="AE3711" t="s">
        <v>32</v>
      </c>
      <c r="AF3711" t="s">
        <v>46835</v>
      </c>
    </row>
    <row r="3712" spans="1:33" x14ac:dyDescent="0.2">
      <c r="A3712">
        <v>3707</v>
      </c>
      <c r="B3712" t="s">
        <v>41269</v>
      </c>
      <c r="C3712" t="s">
        <v>41270</v>
      </c>
      <c r="D3712" t="s">
        <v>41271</v>
      </c>
      <c r="E3712" t="s">
        <v>41272</v>
      </c>
      <c r="F3712" t="s">
        <v>41273</v>
      </c>
      <c r="G3712" t="s">
        <v>32</v>
      </c>
      <c r="H3712" t="str">
        <f>"Ca14"</f>
        <v>Ca14</v>
      </c>
      <c r="I3712" t="s">
        <v>41274</v>
      </c>
      <c r="J3712" t="s">
        <v>37</v>
      </c>
      <c r="K3712">
        <v>10090</v>
      </c>
      <c r="L3712" s="3" t="str">
        <f>HYPERLINK("http://www.uniprot.org/uniprot/Q9WVT6", "Q9WVT6")</f>
        <v>Q9WVT6</v>
      </c>
      <c r="M3712" t="s">
        <v>41275</v>
      </c>
      <c r="N3712" t="str">
        <f>"Car14"</f>
        <v>Car14</v>
      </c>
      <c r="O3712" s="3" t="str">
        <f>HYPERLINK("http://www.informatics.jax.org/marker/MGI:1344341", "MGI:1344341")</f>
        <v>MGI:1344341</v>
      </c>
      <c r="P3712" t="s">
        <v>41276</v>
      </c>
      <c r="Q3712" t="s">
        <v>32</v>
      </c>
      <c r="R3712" t="s">
        <v>5989</v>
      </c>
      <c r="S3712" t="s">
        <v>32</v>
      </c>
      <c r="T3712" t="s">
        <v>32</v>
      </c>
      <c r="U3712" t="s">
        <v>32</v>
      </c>
      <c r="V3712" t="s">
        <v>3948</v>
      </c>
      <c r="W3712" t="s">
        <v>42</v>
      </c>
      <c r="X3712" t="s">
        <v>224</v>
      </c>
      <c r="Y3712" t="s">
        <v>2865</v>
      </c>
      <c r="Z3712" t="s">
        <v>126</v>
      </c>
      <c r="AA3712" t="s">
        <v>41277</v>
      </c>
      <c r="AB3712" t="s">
        <v>29625</v>
      </c>
      <c r="AC3712" t="s">
        <v>41278</v>
      </c>
      <c r="AD3712" t="s">
        <v>32</v>
      </c>
      <c r="AE3712" t="s">
        <v>41279</v>
      </c>
      <c r="AF3712" t="s">
        <v>46835</v>
      </c>
    </row>
    <row r="3713" spans="1:32" x14ac:dyDescent="0.2">
      <c r="A3713">
        <v>3708</v>
      </c>
      <c r="B3713" t="s">
        <v>41280</v>
      </c>
      <c r="C3713" t="s">
        <v>41281</v>
      </c>
      <c r="D3713" t="s">
        <v>41282</v>
      </c>
      <c r="E3713" t="s">
        <v>41283</v>
      </c>
      <c r="F3713" t="s">
        <v>41284</v>
      </c>
      <c r="G3713" t="s">
        <v>41285</v>
      </c>
      <c r="H3713" t="str">
        <f>"Znf830"</f>
        <v>Znf830</v>
      </c>
      <c r="I3713" t="s">
        <v>32</v>
      </c>
      <c r="J3713" t="s">
        <v>37</v>
      </c>
      <c r="K3713">
        <v>10090</v>
      </c>
      <c r="L3713" s="3" t="str">
        <f>HYPERLINK("http://www.uniprot.org/uniprot/Q8R1N0", "Q8R1N0")</f>
        <v>Q8R1N0</v>
      </c>
      <c r="M3713" t="s">
        <v>41286</v>
      </c>
      <c r="N3713" t="str">
        <f>"Zfp830"</f>
        <v>Zfp830</v>
      </c>
      <c r="O3713" s="3" t="str">
        <f>HYPERLINK("http://www.informatics.jax.org/marker/MGI:1914233", "MGI:1914233")</f>
        <v>MGI:1914233</v>
      </c>
      <c r="P3713" t="s">
        <v>41287</v>
      </c>
      <c r="Q3713" t="s">
        <v>32429</v>
      </c>
      <c r="R3713" t="s">
        <v>41288</v>
      </c>
      <c r="S3713" t="s">
        <v>32</v>
      </c>
      <c r="T3713" t="s">
        <v>32</v>
      </c>
      <c r="U3713" t="s">
        <v>32</v>
      </c>
      <c r="V3713" t="s">
        <v>11171</v>
      </c>
      <c r="W3713" t="s">
        <v>42</v>
      </c>
      <c r="X3713" t="s">
        <v>2029</v>
      </c>
      <c r="Y3713" t="s">
        <v>157</v>
      </c>
      <c r="Z3713" t="s">
        <v>32</v>
      </c>
      <c r="AA3713" t="s">
        <v>41289</v>
      </c>
      <c r="AB3713" t="s">
        <v>41290</v>
      </c>
      <c r="AC3713" t="s">
        <v>27845</v>
      </c>
      <c r="AD3713" t="s">
        <v>32</v>
      </c>
      <c r="AE3713" t="s">
        <v>35265</v>
      </c>
      <c r="AF3713" t="s">
        <v>46835</v>
      </c>
    </row>
    <row r="3714" spans="1:32" x14ac:dyDescent="0.2">
      <c r="A3714">
        <v>3709</v>
      </c>
      <c r="B3714" t="s">
        <v>41291</v>
      </c>
      <c r="C3714" t="s">
        <v>41292</v>
      </c>
      <c r="D3714" t="s">
        <v>41293</v>
      </c>
      <c r="E3714" t="s">
        <v>41294</v>
      </c>
      <c r="F3714" t="s">
        <v>41295</v>
      </c>
      <c r="G3714" t="s">
        <v>41296</v>
      </c>
      <c r="H3714" t="str">
        <f>"Taco1"</f>
        <v>Taco1</v>
      </c>
      <c r="I3714" t="s">
        <v>41297</v>
      </c>
      <c r="J3714" t="s">
        <v>37</v>
      </c>
      <c r="K3714">
        <v>10090</v>
      </c>
      <c r="L3714" s="3" t="str">
        <f>HYPERLINK("http://www.uniprot.org/uniprot/Q8K0Z7", "Q8K0Z7")</f>
        <v>Q8K0Z7</v>
      </c>
      <c r="M3714" t="s">
        <v>41298</v>
      </c>
      <c r="N3714" t="str">
        <f>"Taco1"</f>
        <v>Taco1</v>
      </c>
      <c r="O3714" s="3" t="str">
        <f>HYPERLINK("http://www.informatics.jax.org/marker/MGI:1917457", "MGI:1917457")</f>
        <v>MGI:1917457</v>
      </c>
      <c r="P3714" t="s">
        <v>41299</v>
      </c>
      <c r="Q3714" t="s">
        <v>1680</v>
      </c>
      <c r="R3714" t="s">
        <v>1038</v>
      </c>
      <c r="S3714" t="s">
        <v>32</v>
      </c>
      <c r="T3714" t="s">
        <v>32</v>
      </c>
      <c r="U3714" t="s">
        <v>32</v>
      </c>
      <c r="V3714" t="s">
        <v>290</v>
      </c>
      <c r="W3714" t="s">
        <v>32</v>
      </c>
      <c r="X3714" t="s">
        <v>2602</v>
      </c>
      <c r="Y3714" t="s">
        <v>78</v>
      </c>
      <c r="Z3714" t="s">
        <v>126</v>
      </c>
      <c r="AA3714" t="s">
        <v>41300</v>
      </c>
      <c r="AB3714" t="s">
        <v>3721</v>
      </c>
      <c r="AC3714" t="s">
        <v>41301</v>
      </c>
      <c r="AD3714" t="s">
        <v>32</v>
      </c>
      <c r="AE3714" t="s">
        <v>3863</v>
      </c>
      <c r="AF3714" t="s">
        <v>46835</v>
      </c>
    </row>
    <row r="3715" spans="1:32" x14ac:dyDescent="0.2">
      <c r="A3715">
        <v>3710</v>
      </c>
      <c r="B3715" t="s">
        <v>41302</v>
      </c>
      <c r="C3715" t="s">
        <v>41303</v>
      </c>
      <c r="D3715" t="s">
        <v>41304</v>
      </c>
      <c r="E3715" t="s">
        <v>41305</v>
      </c>
      <c r="F3715" t="s">
        <v>41306</v>
      </c>
      <c r="G3715" t="s">
        <v>41307</v>
      </c>
      <c r="H3715" t="str">
        <f>"Trim33"</f>
        <v>Trim33</v>
      </c>
      <c r="I3715" t="s">
        <v>41308</v>
      </c>
      <c r="J3715" t="s">
        <v>37</v>
      </c>
      <c r="K3715">
        <v>10090</v>
      </c>
      <c r="L3715" s="3" t="str">
        <f>HYPERLINK("http://www.uniprot.org/uniprot/Q99PP7", "Q99PP7")</f>
        <v>Q99PP7</v>
      </c>
      <c r="M3715" t="s">
        <v>41309</v>
      </c>
      <c r="N3715" t="str">
        <f>"Trim33"</f>
        <v>Trim33</v>
      </c>
      <c r="O3715" s="3" t="str">
        <f>HYPERLINK("http://www.informatics.jax.org/marker/MGI:2137357", "MGI:2137357")</f>
        <v>MGI:2137357</v>
      </c>
      <c r="P3715" t="s">
        <v>41310</v>
      </c>
      <c r="Q3715" t="s">
        <v>2278</v>
      </c>
      <c r="R3715" t="s">
        <v>2279</v>
      </c>
      <c r="S3715" t="s">
        <v>41</v>
      </c>
      <c r="T3715" t="s">
        <v>32</v>
      </c>
      <c r="U3715" t="s">
        <v>32</v>
      </c>
      <c r="V3715" t="s">
        <v>2280</v>
      </c>
      <c r="W3715" t="s">
        <v>42</v>
      </c>
      <c r="X3715" t="s">
        <v>41311</v>
      </c>
      <c r="Y3715" t="s">
        <v>207</v>
      </c>
      <c r="Z3715" t="s">
        <v>32</v>
      </c>
      <c r="AA3715" t="s">
        <v>41312</v>
      </c>
      <c r="AB3715" t="s">
        <v>3606</v>
      </c>
      <c r="AC3715" t="s">
        <v>41313</v>
      </c>
      <c r="AD3715" t="s">
        <v>1027</v>
      </c>
      <c r="AE3715" t="s">
        <v>41314</v>
      </c>
      <c r="AF3715" t="s">
        <v>46835</v>
      </c>
    </row>
    <row r="3716" spans="1:32" x14ac:dyDescent="0.2">
      <c r="A3716">
        <v>3711</v>
      </c>
      <c r="B3716" t="s">
        <v>41315</v>
      </c>
      <c r="C3716" t="s">
        <v>41316</v>
      </c>
      <c r="D3716" t="s">
        <v>32</v>
      </c>
      <c r="E3716" t="s">
        <v>41317</v>
      </c>
      <c r="F3716" t="s">
        <v>41318</v>
      </c>
      <c r="G3716" t="s">
        <v>41319</v>
      </c>
      <c r="H3716" t="str">
        <f>"Sec14l1"</f>
        <v>Sec14l1</v>
      </c>
      <c r="I3716" t="s">
        <v>32</v>
      </c>
      <c r="J3716" t="s">
        <v>37</v>
      </c>
      <c r="K3716">
        <v>10090</v>
      </c>
      <c r="L3716" s="3" t="str">
        <f>HYPERLINK("http://www.uniprot.org/uniprot/A8Y5H7", "A8Y5H7")</f>
        <v>A8Y5H7</v>
      </c>
      <c r="M3716" t="s">
        <v>41320</v>
      </c>
      <c r="N3716" t="str">
        <f>"Sec14l1"</f>
        <v>Sec14l1</v>
      </c>
      <c r="O3716" s="3" t="str">
        <f>HYPERLINK("http://www.informatics.jax.org/marker/MGI:1921386", "MGI:1921386")</f>
        <v>MGI:1921386</v>
      </c>
      <c r="P3716" t="s">
        <v>41321</v>
      </c>
      <c r="Q3716" t="s">
        <v>5475</v>
      </c>
      <c r="R3716" t="s">
        <v>8179</v>
      </c>
      <c r="S3716" t="s">
        <v>41</v>
      </c>
      <c r="T3716" t="s">
        <v>32</v>
      </c>
      <c r="U3716" t="s">
        <v>32</v>
      </c>
      <c r="V3716" t="s">
        <v>32</v>
      </c>
      <c r="W3716" t="s">
        <v>32</v>
      </c>
      <c r="X3716" t="s">
        <v>26333</v>
      </c>
      <c r="Y3716" t="s">
        <v>618</v>
      </c>
      <c r="Z3716" t="s">
        <v>32</v>
      </c>
      <c r="AA3716" t="s">
        <v>41322</v>
      </c>
      <c r="AB3716" t="s">
        <v>41323</v>
      </c>
      <c r="AC3716" t="s">
        <v>41324</v>
      </c>
      <c r="AD3716" t="s">
        <v>32</v>
      </c>
      <c r="AE3716" t="s">
        <v>32</v>
      </c>
      <c r="AF3716" t="s">
        <v>46835</v>
      </c>
    </row>
    <row r="3717" spans="1:32" x14ac:dyDescent="0.2">
      <c r="A3717">
        <v>3712</v>
      </c>
      <c r="B3717" t="s">
        <v>41325</v>
      </c>
      <c r="C3717" t="s">
        <v>41326</v>
      </c>
      <c r="D3717" t="s">
        <v>41327</v>
      </c>
      <c r="E3717" t="s">
        <v>41328</v>
      </c>
      <c r="F3717" t="s">
        <v>41329</v>
      </c>
      <c r="G3717" t="s">
        <v>41330</v>
      </c>
      <c r="H3717" t="str">
        <f>"Vipas39"</f>
        <v>Vipas39</v>
      </c>
      <c r="I3717" t="s">
        <v>41331</v>
      </c>
      <c r="J3717" t="s">
        <v>37</v>
      </c>
      <c r="K3717">
        <v>10090</v>
      </c>
      <c r="L3717" s="3" t="str">
        <f>HYPERLINK("http://www.uniprot.org/uniprot/Q8BGQ1", "Q8BGQ1")</f>
        <v>Q8BGQ1</v>
      </c>
      <c r="M3717" t="s">
        <v>41332</v>
      </c>
      <c r="N3717" t="str">
        <f>"Vipas39"</f>
        <v>Vipas39</v>
      </c>
      <c r="O3717" s="3" t="str">
        <f>HYPERLINK("http://www.informatics.jax.org/marker/MGI:2144805", "MGI:2144805")</f>
        <v>MGI:2144805</v>
      </c>
      <c r="P3717" t="s">
        <v>41333</v>
      </c>
      <c r="Q3717" t="s">
        <v>41334</v>
      </c>
      <c r="R3717" t="s">
        <v>21155</v>
      </c>
      <c r="S3717" t="s">
        <v>41</v>
      </c>
      <c r="T3717" t="s">
        <v>32</v>
      </c>
      <c r="U3717" t="s">
        <v>32</v>
      </c>
      <c r="V3717" t="s">
        <v>32</v>
      </c>
      <c r="W3717" t="s">
        <v>32</v>
      </c>
      <c r="X3717" t="s">
        <v>32</v>
      </c>
      <c r="Y3717" t="s">
        <v>618</v>
      </c>
      <c r="Z3717" t="s">
        <v>32</v>
      </c>
      <c r="AA3717" t="s">
        <v>41335</v>
      </c>
      <c r="AB3717" t="s">
        <v>41336</v>
      </c>
      <c r="AC3717" t="s">
        <v>9779</v>
      </c>
      <c r="AD3717" t="s">
        <v>32</v>
      </c>
      <c r="AE3717" t="s">
        <v>32</v>
      </c>
      <c r="AF3717" t="s">
        <v>46835</v>
      </c>
    </row>
    <row r="3718" spans="1:32" x14ac:dyDescent="0.2">
      <c r="A3718">
        <v>3713</v>
      </c>
      <c r="B3718" t="s">
        <v>41337</v>
      </c>
      <c r="C3718" t="s">
        <v>41338</v>
      </c>
      <c r="D3718" t="s">
        <v>32</v>
      </c>
      <c r="E3718" t="s">
        <v>41339</v>
      </c>
      <c r="F3718" t="s">
        <v>41340</v>
      </c>
      <c r="G3718" t="s">
        <v>41341</v>
      </c>
      <c r="H3718" t="str">
        <f>"Ell2"</f>
        <v>Ell2</v>
      </c>
      <c r="I3718" t="s">
        <v>32</v>
      </c>
      <c r="J3718" t="s">
        <v>37</v>
      </c>
      <c r="K3718">
        <v>10090</v>
      </c>
      <c r="L3718" s="3" t="str">
        <f>HYPERLINK("http://www.uniprot.org/uniprot/Q3UKU1", "Q3UKU1")</f>
        <v>Q3UKU1</v>
      </c>
      <c r="M3718" t="s">
        <v>41342</v>
      </c>
      <c r="N3718" t="str">
        <f>"Ell2"</f>
        <v>Ell2</v>
      </c>
      <c r="O3718" s="3" t="str">
        <f>HYPERLINK("http://www.informatics.jax.org/marker/MGI:2183438", "MGI:2183438")</f>
        <v>MGI:2183438</v>
      </c>
      <c r="P3718" t="s">
        <v>41343</v>
      </c>
      <c r="Q3718" t="s">
        <v>4152</v>
      </c>
      <c r="R3718" t="s">
        <v>2279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32</v>
      </c>
      <c r="Y3718" t="s">
        <v>2836</v>
      </c>
      <c r="Z3718" t="s">
        <v>32</v>
      </c>
      <c r="AA3718" t="s">
        <v>41344</v>
      </c>
      <c r="AB3718" t="s">
        <v>41345</v>
      </c>
      <c r="AC3718" t="s">
        <v>41346</v>
      </c>
      <c r="AD3718" t="s">
        <v>32</v>
      </c>
      <c r="AE3718" t="s">
        <v>22679</v>
      </c>
      <c r="AF3718" t="s">
        <v>46835</v>
      </c>
    </row>
    <row r="3719" spans="1:32" x14ac:dyDescent="0.2">
      <c r="A3719">
        <v>3714</v>
      </c>
      <c r="B3719" t="s">
        <v>41347</v>
      </c>
      <c r="C3719" t="s">
        <v>41348</v>
      </c>
      <c r="D3719" t="s">
        <v>41349</v>
      </c>
      <c r="E3719" t="s">
        <v>41350</v>
      </c>
      <c r="F3719" t="s">
        <v>41351</v>
      </c>
      <c r="G3719" t="s">
        <v>41352</v>
      </c>
      <c r="H3719" t="str">
        <f>"Atp6ap2"</f>
        <v>Atp6ap2</v>
      </c>
      <c r="I3719" t="s">
        <v>41353</v>
      </c>
      <c r="J3719" t="s">
        <v>37</v>
      </c>
      <c r="K3719">
        <v>10090</v>
      </c>
      <c r="L3719" s="3" t="str">
        <f>HYPERLINK("http://www.uniprot.org/uniprot/Q9CYN9", "Q9CYN9")</f>
        <v>Q9CYN9</v>
      </c>
      <c r="M3719" t="s">
        <v>41354</v>
      </c>
      <c r="N3719" t="str">
        <f>"Atp6ap2"</f>
        <v>Atp6ap2</v>
      </c>
      <c r="O3719" s="3" t="str">
        <f>HYPERLINK("http://www.informatics.jax.org/marker/MGI:1917745", "MGI:1917745")</f>
        <v>MGI:1917745</v>
      </c>
      <c r="P3719" t="s">
        <v>41355</v>
      </c>
      <c r="Q3719" t="s">
        <v>32</v>
      </c>
      <c r="R3719" t="s">
        <v>41356</v>
      </c>
      <c r="S3719" t="s">
        <v>32</v>
      </c>
      <c r="T3719" t="s">
        <v>32</v>
      </c>
      <c r="U3719" t="s">
        <v>32</v>
      </c>
      <c r="V3719" t="s">
        <v>3948</v>
      </c>
      <c r="W3719" t="s">
        <v>32</v>
      </c>
      <c r="X3719" t="s">
        <v>6983</v>
      </c>
      <c r="Y3719" t="s">
        <v>34546</v>
      </c>
      <c r="Z3719" t="s">
        <v>32</v>
      </c>
      <c r="AA3719" t="s">
        <v>41357</v>
      </c>
      <c r="AB3719" t="s">
        <v>41358</v>
      </c>
      <c r="AC3719" t="s">
        <v>26637</v>
      </c>
      <c r="AD3719" t="s">
        <v>32</v>
      </c>
      <c r="AE3719" t="s">
        <v>41359</v>
      </c>
      <c r="AF3719" t="s">
        <v>46835</v>
      </c>
    </row>
    <row r="3720" spans="1:32" x14ac:dyDescent="0.2">
      <c r="A3720">
        <v>3715</v>
      </c>
      <c r="B3720" t="s">
        <v>41360</v>
      </c>
      <c r="C3720" t="s">
        <v>41361</v>
      </c>
      <c r="D3720" t="s">
        <v>41362</v>
      </c>
      <c r="E3720" t="s">
        <v>41363</v>
      </c>
      <c r="F3720" t="s">
        <v>41364</v>
      </c>
      <c r="G3720" t="s">
        <v>41365</v>
      </c>
      <c r="H3720" t="str">
        <f>"Cnot2"</f>
        <v>Cnot2</v>
      </c>
      <c r="I3720" t="s">
        <v>32</v>
      </c>
      <c r="J3720" t="s">
        <v>37</v>
      </c>
      <c r="K3720">
        <v>10090</v>
      </c>
      <c r="L3720" s="3" t="str">
        <f>HYPERLINK("http://www.uniprot.org/uniprot/Q8C5L3", "Q8C5L3")</f>
        <v>Q8C5L3</v>
      </c>
      <c r="M3720" t="s">
        <v>41366</v>
      </c>
      <c r="N3720" t="str">
        <f>"Cnot2"</f>
        <v>Cnot2</v>
      </c>
      <c r="O3720" s="3" t="str">
        <f>HYPERLINK("http://www.informatics.jax.org/marker/MGI:1919318", "MGI:1919318")</f>
        <v>MGI:1919318</v>
      </c>
      <c r="P3720" t="s">
        <v>18936</v>
      </c>
      <c r="Q3720" t="s">
        <v>18937</v>
      </c>
      <c r="R3720" t="s">
        <v>40</v>
      </c>
      <c r="S3720" t="s">
        <v>41</v>
      </c>
      <c r="T3720" t="s">
        <v>32</v>
      </c>
      <c r="U3720" t="s">
        <v>32</v>
      </c>
      <c r="V3720" t="s">
        <v>32</v>
      </c>
      <c r="W3720" t="s">
        <v>32</v>
      </c>
      <c r="X3720" t="s">
        <v>18938</v>
      </c>
      <c r="Y3720" t="s">
        <v>618</v>
      </c>
      <c r="Z3720" t="s">
        <v>32</v>
      </c>
      <c r="AA3720" t="s">
        <v>41367</v>
      </c>
      <c r="AB3720" t="s">
        <v>41368</v>
      </c>
      <c r="AC3720" t="s">
        <v>41369</v>
      </c>
      <c r="AD3720" t="s">
        <v>32</v>
      </c>
      <c r="AE3720" t="s">
        <v>18942</v>
      </c>
      <c r="AF3720" t="s">
        <v>46835</v>
      </c>
    </row>
    <row r="3721" spans="1:32" x14ac:dyDescent="0.2">
      <c r="A3721">
        <v>3716</v>
      </c>
      <c r="B3721" t="s">
        <v>41370</v>
      </c>
      <c r="C3721" t="s">
        <v>41371</v>
      </c>
      <c r="D3721" t="s">
        <v>41372</v>
      </c>
      <c r="E3721" t="s">
        <v>41373</v>
      </c>
      <c r="F3721" t="s">
        <v>41374</v>
      </c>
      <c r="G3721" t="s">
        <v>41375</v>
      </c>
      <c r="H3721" t="str">
        <f>"Stambpl1"</f>
        <v>Stambpl1</v>
      </c>
      <c r="I3721" t="s">
        <v>41376</v>
      </c>
      <c r="J3721" t="s">
        <v>37</v>
      </c>
      <c r="K3721">
        <v>10090</v>
      </c>
      <c r="L3721" s="3" t="str">
        <f>HYPERLINK("http://www.uniprot.org/uniprot/Q76N33", "Q76N33")</f>
        <v>Q76N33</v>
      </c>
      <c r="M3721" t="s">
        <v>41377</v>
      </c>
      <c r="N3721" t="str">
        <f>"Stambpl1"</f>
        <v>Stambpl1</v>
      </c>
      <c r="O3721" s="3" t="str">
        <f>HYPERLINK("http://www.informatics.jax.org/marker/MGI:1923880", "MGI:1923880")</f>
        <v>MGI:1923880</v>
      </c>
      <c r="P3721" t="s">
        <v>41378</v>
      </c>
      <c r="Q3721" t="s">
        <v>1020</v>
      </c>
      <c r="R3721" t="s">
        <v>32</v>
      </c>
      <c r="S3721" t="s">
        <v>41</v>
      </c>
      <c r="T3721" t="s">
        <v>32</v>
      </c>
      <c r="U3721" t="s">
        <v>32</v>
      </c>
      <c r="V3721" t="s">
        <v>32</v>
      </c>
      <c r="W3721" t="s">
        <v>42</v>
      </c>
      <c r="X3721" t="s">
        <v>4882</v>
      </c>
      <c r="Y3721" t="s">
        <v>157</v>
      </c>
      <c r="Z3721" t="s">
        <v>32</v>
      </c>
      <c r="AA3721" t="s">
        <v>41379</v>
      </c>
      <c r="AB3721" t="s">
        <v>37674</v>
      </c>
      <c r="AC3721" t="s">
        <v>41380</v>
      </c>
      <c r="AD3721" t="s">
        <v>32</v>
      </c>
      <c r="AE3721" t="s">
        <v>37610</v>
      </c>
      <c r="AF3721" t="s">
        <v>46835</v>
      </c>
    </row>
    <row r="3722" spans="1:32" x14ac:dyDescent="0.2">
      <c r="A3722">
        <v>3717</v>
      </c>
      <c r="B3722" t="s">
        <v>41381</v>
      </c>
      <c r="C3722" t="s">
        <v>41382</v>
      </c>
      <c r="D3722" t="s">
        <v>41383</v>
      </c>
      <c r="E3722" t="s">
        <v>41384</v>
      </c>
      <c r="F3722" t="s">
        <v>41385</v>
      </c>
      <c r="G3722" t="s">
        <v>41386</v>
      </c>
      <c r="H3722" t="str">
        <f>"Morf4l2"</f>
        <v>Morf4l2</v>
      </c>
      <c r="I3722" t="s">
        <v>41387</v>
      </c>
      <c r="J3722" t="s">
        <v>37</v>
      </c>
      <c r="K3722">
        <v>10090</v>
      </c>
      <c r="L3722" s="3" t="str">
        <f>HYPERLINK("http://www.uniprot.org/uniprot/Q9R0Q4", "Q9R0Q4")</f>
        <v>Q9R0Q4</v>
      </c>
      <c r="M3722" t="s">
        <v>41388</v>
      </c>
      <c r="N3722" t="str">
        <f>"Morf4l2"</f>
        <v>Morf4l2</v>
      </c>
      <c r="O3722" s="3" t="str">
        <f>HYPERLINK("http://www.informatics.jax.org/marker/MGI:1927167", "MGI:1927167")</f>
        <v>MGI:1927167</v>
      </c>
      <c r="P3722" t="s">
        <v>41389</v>
      </c>
      <c r="Q3722" t="s">
        <v>41390</v>
      </c>
      <c r="R3722" t="s">
        <v>2279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9988</v>
      </c>
      <c r="Y3722" t="s">
        <v>618</v>
      </c>
      <c r="Z3722" t="s">
        <v>32</v>
      </c>
      <c r="AA3722" t="s">
        <v>41391</v>
      </c>
      <c r="AB3722" t="s">
        <v>41392</v>
      </c>
      <c r="AC3722" t="s">
        <v>32</v>
      </c>
      <c r="AD3722" t="s">
        <v>32</v>
      </c>
      <c r="AE3722" t="s">
        <v>32</v>
      </c>
      <c r="AF3722" t="s">
        <v>46835</v>
      </c>
    </row>
    <row r="3723" spans="1:32" x14ac:dyDescent="0.2">
      <c r="A3723">
        <v>3718</v>
      </c>
      <c r="B3723" t="s">
        <v>41393</v>
      </c>
      <c r="C3723" t="s">
        <v>41394</v>
      </c>
      <c r="D3723" t="s">
        <v>41395</v>
      </c>
      <c r="E3723" t="s">
        <v>41396</v>
      </c>
      <c r="F3723" t="s">
        <v>41397</v>
      </c>
      <c r="G3723" t="s">
        <v>41398</v>
      </c>
      <c r="H3723" t="str">
        <f>"Stxbp4"</f>
        <v>Stxbp4</v>
      </c>
      <c r="I3723" t="s">
        <v>32</v>
      </c>
      <c r="J3723" t="s">
        <v>37</v>
      </c>
      <c r="K3723">
        <v>10090</v>
      </c>
      <c r="L3723" s="3" t="str">
        <f>HYPERLINK("http://www.uniprot.org/uniprot/Q9WV89", "Q9WV89")</f>
        <v>Q9WV89</v>
      </c>
      <c r="M3723" t="s">
        <v>41399</v>
      </c>
      <c r="N3723" t="str">
        <f>"Stxbp4"</f>
        <v>Stxbp4</v>
      </c>
      <c r="O3723" s="3" t="str">
        <f>HYPERLINK("http://www.informatics.jax.org/marker/MGI:1342296", "MGI:1342296")</f>
        <v>MGI:1342296</v>
      </c>
      <c r="P3723" t="s">
        <v>41400</v>
      </c>
      <c r="Q3723" t="s">
        <v>32</v>
      </c>
      <c r="R3723" t="s">
        <v>418</v>
      </c>
      <c r="S3723" t="s">
        <v>41</v>
      </c>
      <c r="T3723" t="s">
        <v>32</v>
      </c>
      <c r="U3723" t="s">
        <v>32</v>
      </c>
      <c r="V3723" t="s">
        <v>137</v>
      </c>
      <c r="W3723" t="s">
        <v>32</v>
      </c>
      <c r="X3723" t="s">
        <v>32</v>
      </c>
      <c r="Y3723" t="s">
        <v>618</v>
      </c>
      <c r="Z3723" t="s">
        <v>126</v>
      </c>
      <c r="AA3723" t="s">
        <v>41401</v>
      </c>
      <c r="AB3723" t="s">
        <v>41402</v>
      </c>
      <c r="AC3723" t="s">
        <v>20273</v>
      </c>
      <c r="AD3723" t="s">
        <v>32</v>
      </c>
      <c r="AE3723" t="s">
        <v>32</v>
      </c>
      <c r="AF3723" t="s">
        <v>46835</v>
      </c>
    </row>
    <row r="3724" spans="1:32" x14ac:dyDescent="0.2">
      <c r="A3724">
        <v>3719</v>
      </c>
      <c r="B3724" t="s">
        <v>41403</v>
      </c>
      <c r="C3724" t="s">
        <v>41404</v>
      </c>
      <c r="D3724" t="s">
        <v>41405</v>
      </c>
      <c r="E3724" t="s">
        <v>41406</v>
      </c>
      <c r="F3724" t="s">
        <v>41407</v>
      </c>
      <c r="G3724" t="s">
        <v>32</v>
      </c>
      <c r="H3724" t="str">
        <f>"Nubp2"</f>
        <v>Nubp2</v>
      </c>
      <c r="I3724" t="s">
        <v>32</v>
      </c>
      <c r="J3724" t="s">
        <v>37</v>
      </c>
      <c r="K3724">
        <v>10090</v>
      </c>
      <c r="L3724" s="3" t="str">
        <f>HYPERLINK("http://www.uniprot.org/uniprot/Q9R061", "Q9R061")</f>
        <v>Q9R061</v>
      </c>
      <c r="M3724" t="s">
        <v>41408</v>
      </c>
      <c r="N3724" t="str">
        <f>"Nubp2"</f>
        <v>Nubp2</v>
      </c>
      <c r="O3724" s="3" t="str">
        <f>HYPERLINK("http://www.informatics.jax.org/marker/MGI:1347072", "MGI:1347072")</f>
        <v>MGI:1347072</v>
      </c>
      <c r="P3724" t="s">
        <v>41409</v>
      </c>
      <c r="Q3724" t="s">
        <v>475</v>
      </c>
      <c r="R3724" t="s">
        <v>21918</v>
      </c>
      <c r="S3724" t="s">
        <v>32</v>
      </c>
      <c r="T3724" t="s">
        <v>32</v>
      </c>
      <c r="U3724" t="s">
        <v>32</v>
      </c>
      <c r="V3724" t="s">
        <v>32</v>
      </c>
      <c r="W3724" t="s">
        <v>6067</v>
      </c>
      <c r="X3724" t="s">
        <v>32</v>
      </c>
      <c r="Y3724" t="s">
        <v>78</v>
      </c>
      <c r="Z3724" t="s">
        <v>32</v>
      </c>
      <c r="AA3724" t="s">
        <v>41410</v>
      </c>
      <c r="AB3724" t="s">
        <v>41411</v>
      </c>
      <c r="AC3724" t="s">
        <v>21921</v>
      </c>
      <c r="AD3724" t="s">
        <v>32</v>
      </c>
      <c r="AE3724" t="s">
        <v>32</v>
      </c>
      <c r="AF3724" t="s">
        <v>46835</v>
      </c>
    </row>
    <row r="3725" spans="1:32" x14ac:dyDescent="0.2">
      <c r="A3725">
        <v>3720</v>
      </c>
      <c r="B3725" t="s">
        <v>41412</v>
      </c>
      <c r="C3725" t="s">
        <v>41413</v>
      </c>
      <c r="D3725" t="s">
        <v>41414</v>
      </c>
      <c r="E3725" t="s">
        <v>41415</v>
      </c>
      <c r="F3725" t="s">
        <v>41416</v>
      </c>
      <c r="G3725" t="s">
        <v>32</v>
      </c>
      <c r="H3725" t="str">
        <f>"Dhcr7"</f>
        <v>Dhcr7</v>
      </c>
      <c r="I3725" t="s">
        <v>32</v>
      </c>
      <c r="J3725" t="s">
        <v>37</v>
      </c>
      <c r="K3725">
        <v>10090</v>
      </c>
      <c r="L3725" s="3" t="str">
        <f>HYPERLINK("http://www.uniprot.org/uniprot/O88455", "O88455")</f>
        <v>O88455</v>
      </c>
      <c r="M3725" t="s">
        <v>41417</v>
      </c>
      <c r="N3725" t="str">
        <f>"Dhcr7"</f>
        <v>Dhcr7</v>
      </c>
      <c r="O3725" s="3" t="str">
        <f>HYPERLINK("http://www.informatics.jax.org/marker/MGI:1298378", "MGI:1298378")</f>
        <v>MGI:1298378</v>
      </c>
      <c r="P3725" t="s">
        <v>41418</v>
      </c>
      <c r="Q3725" t="s">
        <v>10614</v>
      </c>
      <c r="R3725" t="s">
        <v>1664</v>
      </c>
      <c r="S3725" t="s">
        <v>32</v>
      </c>
      <c r="T3725" t="s">
        <v>32</v>
      </c>
      <c r="U3725" t="s">
        <v>32</v>
      </c>
      <c r="V3725" t="s">
        <v>493</v>
      </c>
      <c r="W3725" t="s">
        <v>3204</v>
      </c>
      <c r="X3725" t="s">
        <v>600</v>
      </c>
      <c r="Y3725" t="s">
        <v>618</v>
      </c>
      <c r="Z3725" t="s">
        <v>32</v>
      </c>
      <c r="AA3725" t="s">
        <v>41419</v>
      </c>
      <c r="AB3725" t="s">
        <v>41420</v>
      </c>
      <c r="AC3725" t="s">
        <v>41421</v>
      </c>
      <c r="AD3725" t="s">
        <v>24240</v>
      </c>
      <c r="AE3725" t="s">
        <v>37337</v>
      </c>
      <c r="AF3725" t="s">
        <v>46835</v>
      </c>
    </row>
    <row r="3726" spans="1:32" x14ac:dyDescent="0.2">
      <c r="A3726">
        <v>3721</v>
      </c>
      <c r="B3726" t="s">
        <v>41422</v>
      </c>
      <c r="C3726" t="s">
        <v>41423</v>
      </c>
      <c r="D3726" t="s">
        <v>32</v>
      </c>
      <c r="E3726" t="s">
        <v>41424</v>
      </c>
      <c r="F3726" t="s">
        <v>41425</v>
      </c>
      <c r="G3726" t="s">
        <v>41426</v>
      </c>
      <c r="H3726" t="str">
        <f>"Swap70"</f>
        <v>Swap70</v>
      </c>
      <c r="I3726" t="s">
        <v>41427</v>
      </c>
      <c r="J3726" t="s">
        <v>37</v>
      </c>
      <c r="K3726">
        <v>10090</v>
      </c>
      <c r="L3726" s="3" t="str">
        <f>HYPERLINK("http://www.uniprot.org/uniprot/Q6A028", "Q6A028")</f>
        <v>Q6A028</v>
      </c>
      <c r="M3726" t="s">
        <v>41428</v>
      </c>
      <c r="N3726" t="str">
        <f>"Swap70"</f>
        <v>Swap70</v>
      </c>
      <c r="O3726" s="3" t="str">
        <f>HYPERLINK("http://www.informatics.jax.org/marker/MGI:1298390", "MGI:1298390")</f>
        <v>MGI:1298390</v>
      </c>
      <c r="P3726" t="s">
        <v>41429</v>
      </c>
      <c r="Q3726" t="s">
        <v>32</v>
      </c>
      <c r="R3726" t="s">
        <v>2265</v>
      </c>
      <c r="S3726" t="s">
        <v>32</v>
      </c>
      <c r="T3726" t="s">
        <v>32</v>
      </c>
      <c r="U3726" t="s">
        <v>32</v>
      </c>
      <c r="V3726" t="s">
        <v>290</v>
      </c>
      <c r="W3726" t="s">
        <v>32</v>
      </c>
      <c r="X3726" t="s">
        <v>247</v>
      </c>
      <c r="Y3726" t="s">
        <v>618</v>
      </c>
      <c r="Z3726" t="s">
        <v>32</v>
      </c>
      <c r="AA3726" t="s">
        <v>41430</v>
      </c>
      <c r="AB3726" t="s">
        <v>41431</v>
      </c>
      <c r="AC3726" t="s">
        <v>41432</v>
      </c>
      <c r="AD3726" t="s">
        <v>32</v>
      </c>
      <c r="AE3726" t="s">
        <v>41433</v>
      </c>
      <c r="AF3726" t="s">
        <v>46835</v>
      </c>
    </row>
    <row r="3727" spans="1:32" x14ac:dyDescent="0.2">
      <c r="A3727">
        <v>3722</v>
      </c>
      <c r="B3727" t="s">
        <v>41434</v>
      </c>
      <c r="C3727" t="s">
        <v>41435</v>
      </c>
      <c r="D3727" t="s">
        <v>32</v>
      </c>
      <c r="E3727" t="s">
        <v>41436</v>
      </c>
      <c r="F3727" t="s">
        <v>41437</v>
      </c>
      <c r="G3727" t="s">
        <v>41438</v>
      </c>
      <c r="H3727" t="str">
        <f>"Stx5"</f>
        <v>Stx5</v>
      </c>
      <c r="I3727" t="s">
        <v>41439</v>
      </c>
      <c r="J3727" t="s">
        <v>37</v>
      </c>
      <c r="K3727">
        <v>10090</v>
      </c>
      <c r="L3727" s="3" t="str">
        <f>HYPERLINK("http://www.uniprot.org/uniprot/Q8K1E0", "Q8K1E0")</f>
        <v>Q8K1E0</v>
      </c>
      <c r="M3727" t="s">
        <v>41440</v>
      </c>
      <c r="N3727" t="str">
        <f>"Stx5a"</f>
        <v>Stx5a</v>
      </c>
      <c r="O3727" s="3" t="str">
        <f>HYPERLINK("http://www.informatics.jax.org/marker/MGI:1928483", "MGI:1928483")</f>
        <v>MGI:1928483</v>
      </c>
      <c r="P3727" t="s">
        <v>41441</v>
      </c>
      <c r="Q3727" t="s">
        <v>4425</v>
      </c>
      <c r="R3727" t="s">
        <v>13904</v>
      </c>
      <c r="S3727" t="s">
        <v>477</v>
      </c>
      <c r="T3727" t="s">
        <v>32</v>
      </c>
      <c r="U3727" t="s">
        <v>32</v>
      </c>
      <c r="V3727" t="s">
        <v>6500</v>
      </c>
      <c r="W3727" t="s">
        <v>32</v>
      </c>
      <c r="X3727" t="s">
        <v>32</v>
      </c>
      <c r="Y3727" t="s">
        <v>32</v>
      </c>
      <c r="Z3727" t="s">
        <v>32</v>
      </c>
      <c r="AA3727" t="s">
        <v>41442</v>
      </c>
      <c r="AB3727" t="s">
        <v>41443</v>
      </c>
      <c r="AC3727" t="s">
        <v>41444</v>
      </c>
      <c r="AD3727" t="s">
        <v>32</v>
      </c>
      <c r="AE3727" t="s">
        <v>41445</v>
      </c>
      <c r="AF3727" t="s">
        <v>46835</v>
      </c>
    </row>
    <row r="3728" spans="1:32" x14ac:dyDescent="0.2">
      <c r="A3728">
        <v>3723</v>
      </c>
      <c r="B3728" t="s">
        <v>41446</v>
      </c>
      <c r="C3728" t="s">
        <v>41447</v>
      </c>
      <c r="D3728" t="s">
        <v>32</v>
      </c>
      <c r="E3728" t="s">
        <v>41448</v>
      </c>
      <c r="F3728" t="s">
        <v>41449</v>
      </c>
      <c r="G3728" t="s">
        <v>32</v>
      </c>
      <c r="H3728" t="str">
        <f>"Mrps5"</f>
        <v>Mrps5</v>
      </c>
      <c r="I3728" t="s">
        <v>32</v>
      </c>
      <c r="J3728" t="s">
        <v>37</v>
      </c>
      <c r="K3728">
        <v>10090</v>
      </c>
      <c r="L3728" s="3" t="str">
        <f>HYPERLINK("http://www.uniprot.org/uniprot/Q99N87", "Q99N87")</f>
        <v>Q99N87</v>
      </c>
      <c r="M3728" t="s">
        <v>41450</v>
      </c>
      <c r="N3728" t="str">
        <f>"Mrps5"</f>
        <v>Mrps5</v>
      </c>
      <c r="O3728" s="3" t="str">
        <f>HYPERLINK("http://www.informatics.jax.org/marker/MGI:1924971", "MGI:1924971")</f>
        <v>MGI:1924971</v>
      </c>
      <c r="P3728" t="s">
        <v>30889</v>
      </c>
      <c r="Q3728" t="s">
        <v>32</v>
      </c>
      <c r="R3728" t="s">
        <v>1038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447</v>
      </c>
      <c r="Y3728" t="s">
        <v>32</v>
      </c>
      <c r="Z3728" t="s">
        <v>32</v>
      </c>
      <c r="AA3728" t="s">
        <v>37796</v>
      </c>
      <c r="AB3728" t="s">
        <v>23520</v>
      </c>
      <c r="AC3728" t="s">
        <v>1056</v>
      </c>
      <c r="AD3728" t="s">
        <v>32</v>
      </c>
      <c r="AE3728" t="s">
        <v>17271</v>
      </c>
      <c r="AF3728" t="s">
        <v>46835</v>
      </c>
    </row>
    <row r="3729" spans="1:33" x14ac:dyDescent="0.2">
      <c r="A3729">
        <v>3724</v>
      </c>
      <c r="B3729" t="s">
        <v>41451</v>
      </c>
      <c r="C3729" t="s">
        <v>47188</v>
      </c>
      <c r="D3729" t="s">
        <v>32</v>
      </c>
      <c r="E3729" t="s">
        <v>47054</v>
      </c>
      <c r="F3729" t="s">
        <v>47053</v>
      </c>
      <c r="G3729" t="s">
        <v>32</v>
      </c>
      <c r="H3729" t="s">
        <v>47319</v>
      </c>
      <c r="I3729" t="s">
        <v>32</v>
      </c>
      <c r="J3729" t="s">
        <v>37</v>
      </c>
      <c r="K3729">
        <v>10090</v>
      </c>
      <c r="L3729" s="3" t="str">
        <f>HYPERLINK(CONCATENATE("https://www.uniprot.org/uniprotkb/", AG3729, "/entry"), AG3729)</f>
        <v>E9Q5E2</v>
      </c>
      <c r="M3729" t="s">
        <v>32</v>
      </c>
      <c r="N3729" t="s">
        <v>32</v>
      </c>
      <c r="O3729" s="3" t="s">
        <v>32</v>
      </c>
      <c r="P3729" t="s">
        <v>32</v>
      </c>
      <c r="Q3729" t="s">
        <v>32</v>
      </c>
      <c r="R3729" t="s">
        <v>32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32</v>
      </c>
      <c r="Y3729" t="s">
        <v>32</v>
      </c>
      <c r="Z3729" t="s">
        <v>32</v>
      </c>
      <c r="AA3729" t="s">
        <v>32</v>
      </c>
      <c r="AB3729" t="s">
        <v>32</v>
      </c>
      <c r="AC3729" t="s">
        <v>32</v>
      </c>
      <c r="AD3729" t="s">
        <v>32</v>
      </c>
      <c r="AE3729" t="s">
        <v>32</v>
      </c>
      <c r="AF3729" t="s">
        <v>46835</v>
      </c>
      <c r="AG3729" t="s">
        <v>47053</v>
      </c>
    </row>
    <row r="3730" spans="1:33" x14ac:dyDescent="0.2">
      <c r="A3730">
        <v>3725</v>
      </c>
      <c r="B3730" t="s">
        <v>41452</v>
      </c>
      <c r="C3730" t="s">
        <v>41453</v>
      </c>
      <c r="D3730" t="s">
        <v>41454</v>
      </c>
      <c r="E3730" t="s">
        <v>41455</v>
      </c>
      <c r="F3730" t="s">
        <v>41456</v>
      </c>
      <c r="G3730" t="s">
        <v>32</v>
      </c>
      <c r="H3730" t="str">
        <f>"Tigar"</f>
        <v>Tigar</v>
      </c>
      <c r="I3730" t="s">
        <v>32</v>
      </c>
      <c r="J3730" t="s">
        <v>37</v>
      </c>
      <c r="K3730">
        <v>10090</v>
      </c>
      <c r="L3730" s="3" t="str">
        <f>HYPERLINK("http://www.uniprot.org/uniprot/Q8BZA9", "Q8BZA9")</f>
        <v>Q8BZA9</v>
      </c>
      <c r="M3730" t="s">
        <v>41457</v>
      </c>
      <c r="N3730" t="str">
        <f>"Tigar"</f>
        <v>Tigar</v>
      </c>
      <c r="O3730" s="3" t="str">
        <f>HYPERLINK("http://www.informatics.jax.org/marker/MGI:2442752", "MGI:2442752")</f>
        <v>MGI:2442752</v>
      </c>
      <c r="P3730" t="s">
        <v>41458</v>
      </c>
      <c r="Q3730" t="s">
        <v>41459</v>
      </c>
      <c r="R3730" t="s">
        <v>1021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343</v>
      </c>
      <c r="Y3730" t="s">
        <v>32</v>
      </c>
      <c r="Z3730" t="s">
        <v>32</v>
      </c>
      <c r="AA3730" t="s">
        <v>41460</v>
      </c>
      <c r="AB3730" t="s">
        <v>41461</v>
      </c>
      <c r="AC3730" t="s">
        <v>41462</v>
      </c>
      <c r="AD3730" t="s">
        <v>32</v>
      </c>
      <c r="AE3730" t="s">
        <v>28769</v>
      </c>
      <c r="AF3730" t="s">
        <v>46835</v>
      </c>
    </row>
    <row r="3731" spans="1:33" x14ac:dyDescent="0.2">
      <c r="A3731">
        <v>3726</v>
      </c>
      <c r="B3731" t="s">
        <v>41463</v>
      </c>
      <c r="C3731" t="s">
        <v>41464</v>
      </c>
      <c r="D3731" t="s">
        <v>41465</v>
      </c>
      <c r="E3731" t="s">
        <v>41466</v>
      </c>
      <c r="F3731" t="s">
        <v>41467</v>
      </c>
      <c r="G3731" t="s">
        <v>41468</v>
      </c>
      <c r="H3731" t="str">
        <f>"Nbn"</f>
        <v>Nbn</v>
      </c>
      <c r="I3731" t="s">
        <v>41469</v>
      </c>
      <c r="J3731" t="s">
        <v>37</v>
      </c>
      <c r="K3731">
        <v>10090</v>
      </c>
      <c r="L3731" s="3" t="str">
        <f>HYPERLINK("http://www.uniprot.org/uniprot/Q9R207", "Q9R207")</f>
        <v>Q9R207</v>
      </c>
      <c r="M3731" t="s">
        <v>41470</v>
      </c>
      <c r="N3731" t="str">
        <f>"Nbn"</f>
        <v>Nbn</v>
      </c>
      <c r="O3731" s="3" t="str">
        <f>HYPERLINK("http://www.informatics.jax.org/marker/MGI:1351625", "MGI:1351625")</f>
        <v>MGI:1351625</v>
      </c>
      <c r="P3731" t="s">
        <v>41471</v>
      </c>
      <c r="Q3731" t="s">
        <v>25380</v>
      </c>
      <c r="R3731" t="s">
        <v>9085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32</v>
      </c>
      <c r="Y3731" t="s">
        <v>1007</v>
      </c>
      <c r="Z3731" t="s">
        <v>32</v>
      </c>
      <c r="AA3731" t="s">
        <v>41472</v>
      </c>
      <c r="AB3731" t="s">
        <v>41473</v>
      </c>
      <c r="AC3731" t="s">
        <v>41474</v>
      </c>
      <c r="AD3731" t="s">
        <v>32</v>
      </c>
      <c r="AE3731" t="s">
        <v>25384</v>
      </c>
      <c r="AF3731" t="s">
        <v>46835</v>
      </c>
    </row>
    <row r="3732" spans="1:33" x14ac:dyDescent="0.2">
      <c r="A3732">
        <v>3727</v>
      </c>
      <c r="B3732" t="s">
        <v>41475</v>
      </c>
      <c r="C3732" t="s">
        <v>41476</v>
      </c>
      <c r="D3732" t="s">
        <v>32</v>
      </c>
      <c r="E3732" t="s">
        <v>41477</v>
      </c>
      <c r="F3732" t="s">
        <v>41478</v>
      </c>
      <c r="G3732" t="s">
        <v>41479</v>
      </c>
      <c r="H3732" t="str">
        <f>"Gfap"</f>
        <v>Gfap</v>
      </c>
      <c r="I3732" t="s">
        <v>32</v>
      </c>
      <c r="J3732" t="s">
        <v>37</v>
      </c>
      <c r="K3732">
        <v>10090</v>
      </c>
      <c r="L3732" s="3" t="str">
        <f>HYPERLINK("http://www.uniprot.org/uniprot/P03995", "P03995")</f>
        <v>P03995</v>
      </c>
      <c r="M3732" t="s">
        <v>41480</v>
      </c>
      <c r="N3732" t="str">
        <f>"Gfap"</f>
        <v>Gfap</v>
      </c>
      <c r="O3732" s="3" t="str">
        <f>HYPERLINK("http://www.informatics.jax.org/marker/MGI:95697", "MGI:95697")</f>
        <v>MGI:95697</v>
      </c>
      <c r="P3732" t="s">
        <v>41481</v>
      </c>
      <c r="Q3732" t="s">
        <v>32</v>
      </c>
      <c r="R3732" t="s">
        <v>41482</v>
      </c>
      <c r="S3732" t="s">
        <v>41</v>
      </c>
      <c r="T3732" t="s">
        <v>32</v>
      </c>
      <c r="U3732" t="s">
        <v>32</v>
      </c>
      <c r="V3732" t="s">
        <v>290</v>
      </c>
      <c r="W3732" t="s">
        <v>32</v>
      </c>
      <c r="X3732" t="s">
        <v>32</v>
      </c>
      <c r="Y3732" t="s">
        <v>41483</v>
      </c>
      <c r="Z3732" t="s">
        <v>32</v>
      </c>
      <c r="AA3732" t="s">
        <v>41484</v>
      </c>
      <c r="AB3732" t="s">
        <v>41485</v>
      </c>
      <c r="AC3732" t="s">
        <v>41486</v>
      </c>
      <c r="AD3732" t="s">
        <v>32</v>
      </c>
      <c r="AE3732" t="s">
        <v>32</v>
      </c>
      <c r="AF3732" t="s">
        <v>46835</v>
      </c>
    </row>
    <row r="3733" spans="1:33" x14ac:dyDescent="0.2">
      <c r="A3733">
        <v>3728</v>
      </c>
      <c r="B3733" t="s">
        <v>41487</v>
      </c>
      <c r="C3733" t="s">
        <v>41488</v>
      </c>
      <c r="D3733" t="s">
        <v>32</v>
      </c>
      <c r="E3733" t="s">
        <v>41489</v>
      </c>
      <c r="F3733" t="s">
        <v>41490</v>
      </c>
      <c r="G3733" t="s">
        <v>41491</v>
      </c>
      <c r="H3733" t="str">
        <f>"Rusf1"</f>
        <v>Rusf1</v>
      </c>
      <c r="I3733" t="s">
        <v>32</v>
      </c>
      <c r="J3733" t="s">
        <v>37</v>
      </c>
      <c r="K3733">
        <v>10090</v>
      </c>
      <c r="L3733" s="3" t="str">
        <f>HYPERLINK("http://www.uniprot.org/uniprot/Q91W34", "Q91W34")</f>
        <v>Q91W34</v>
      </c>
      <c r="M3733" t="s">
        <v>41492</v>
      </c>
      <c r="N3733" t="str">
        <f>"Rusf1"</f>
        <v>Rusf1</v>
      </c>
      <c r="O3733" s="3" t="str">
        <f>HYPERLINK("http://www.informatics.jax.org/marker/MGI:2384572", "MGI:2384572")</f>
        <v>MGI:2384572</v>
      </c>
      <c r="P3733" t="s">
        <v>41493</v>
      </c>
      <c r="Q3733" t="s">
        <v>32</v>
      </c>
      <c r="R3733" t="s">
        <v>5989</v>
      </c>
      <c r="S3733" t="s">
        <v>41</v>
      </c>
      <c r="T3733" t="s">
        <v>32</v>
      </c>
      <c r="U3733" t="s">
        <v>32</v>
      </c>
      <c r="V3733" t="s">
        <v>493</v>
      </c>
      <c r="W3733" t="s">
        <v>32</v>
      </c>
      <c r="X3733" t="s">
        <v>32</v>
      </c>
      <c r="Y3733" t="s">
        <v>78</v>
      </c>
      <c r="Z3733" t="s">
        <v>32</v>
      </c>
      <c r="AA3733" t="s">
        <v>32</v>
      </c>
      <c r="AB3733" t="s">
        <v>14923</v>
      </c>
      <c r="AC3733" t="s">
        <v>32</v>
      </c>
      <c r="AD3733" t="s">
        <v>32</v>
      </c>
      <c r="AE3733" t="s">
        <v>32</v>
      </c>
      <c r="AF3733" t="s">
        <v>46835</v>
      </c>
    </row>
    <row r="3734" spans="1:33" x14ac:dyDescent="0.2">
      <c r="A3734">
        <v>3729</v>
      </c>
      <c r="B3734" t="s">
        <v>41494</v>
      </c>
      <c r="C3734" t="s">
        <v>41495</v>
      </c>
      <c r="D3734" t="s">
        <v>32</v>
      </c>
      <c r="E3734" t="s">
        <v>41496</v>
      </c>
      <c r="F3734" t="s">
        <v>41497</v>
      </c>
      <c r="G3734" t="s">
        <v>32</v>
      </c>
      <c r="H3734" t="str">
        <f>"Gan"</f>
        <v>Gan</v>
      </c>
      <c r="I3734" t="s">
        <v>32</v>
      </c>
      <c r="J3734" t="s">
        <v>37</v>
      </c>
      <c r="K3734">
        <v>10090</v>
      </c>
      <c r="L3734" s="3" t="str">
        <f>HYPERLINK("http://www.uniprot.org/uniprot/Q8CA72", "Q8CA72")</f>
        <v>Q8CA72</v>
      </c>
      <c r="M3734" t="s">
        <v>41498</v>
      </c>
      <c r="N3734" t="str">
        <f>"Gan"</f>
        <v>Gan</v>
      </c>
      <c r="O3734" s="3" t="str">
        <f>HYPERLINK("http://www.informatics.jax.org/marker/MGI:1890619", "MGI:1890619")</f>
        <v>MGI:1890619</v>
      </c>
      <c r="P3734" t="s">
        <v>41499</v>
      </c>
      <c r="Q3734" t="s">
        <v>1020</v>
      </c>
      <c r="R3734" t="s">
        <v>186</v>
      </c>
      <c r="S3734" t="s">
        <v>32</v>
      </c>
      <c r="T3734" t="s">
        <v>32</v>
      </c>
      <c r="U3734" t="s">
        <v>6515</v>
      </c>
      <c r="V3734" t="s">
        <v>11766</v>
      </c>
      <c r="W3734" t="s">
        <v>32</v>
      </c>
      <c r="X3734" t="s">
        <v>32</v>
      </c>
      <c r="Y3734" t="s">
        <v>5599</v>
      </c>
      <c r="Z3734" t="s">
        <v>32</v>
      </c>
      <c r="AA3734" t="s">
        <v>41500</v>
      </c>
      <c r="AB3734" t="s">
        <v>41501</v>
      </c>
      <c r="AC3734" t="s">
        <v>32</v>
      </c>
      <c r="AD3734" t="s">
        <v>1027</v>
      </c>
      <c r="AE3734" t="s">
        <v>23932</v>
      </c>
      <c r="AF3734" t="s">
        <v>46835</v>
      </c>
    </row>
    <row r="3735" spans="1:33" x14ac:dyDescent="0.2">
      <c r="A3735">
        <v>3730</v>
      </c>
      <c r="B3735" t="s">
        <v>41502</v>
      </c>
      <c r="C3735" t="s">
        <v>41503</v>
      </c>
      <c r="D3735" t="s">
        <v>41504</v>
      </c>
      <c r="E3735" t="s">
        <v>41505</v>
      </c>
      <c r="F3735" t="s">
        <v>41506</v>
      </c>
      <c r="G3735" t="s">
        <v>41507</v>
      </c>
      <c r="H3735" t="str">
        <f>"Myo1e"</f>
        <v>Myo1e</v>
      </c>
      <c r="I3735" t="s">
        <v>41508</v>
      </c>
      <c r="J3735" t="s">
        <v>37</v>
      </c>
      <c r="K3735">
        <v>10090</v>
      </c>
      <c r="L3735" s="3" t="str">
        <f>HYPERLINK("http://www.uniprot.org/uniprot/E9Q634", "E9Q634")</f>
        <v>E9Q634</v>
      </c>
      <c r="M3735" t="s">
        <v>41509</v>
      </c>
      <c r="N3735" t="str">
        <f>"Myo1e"</f>
        <v>Myo1e</v>
      </c>
      <c r="O3735" s="3" t="str">
        <f>HYPERLINK("http://www.informatics.jax.org/marker/MGI:106621", "MGI:106621")</f>
        <v>MGI:106621</v>
      </c>
      <c r="P3735" t="s">
        <v>41510</v>
      </c>
      <c r="Q3735" t="s">
        <v>32</v>
      </c>
      <c r="R3735" t="s">
        <v>41511</v>
      </c>
      <c r="S3735" t="s">
        <v>32</v>
      </c>
      <c r="T3735" t="s">
        <v>32</v>
      </c>
      <c r="U3735" t="s">
        <v>32</v>
      </c>
      <c r="V3735" t="s">
        <v>10640</v>
      </c>
      <c r="W3735" t="s">
        <v>730</v>
      </c>
      <c r="X3735" t="s">
        <v>1366</v>
      </c>
      <c r="Y3735" t="s">
        <v>618</v>
      </c>
      <c r="Z3735" t="s">
        <v>126</v>
      </c>
      <c r="AA3735" t="s">
        <v>41512</v>
      </c>
      <c r="AB3735" t="s">
        <v>41513</v>
      </c>
      <c r="AC3735" t="s">
        <v>41514</v>
      </c>
      <c r="AD3735" t="s">
        <v>32</v>
      </c>
      <c r="AE3735" t="s">
        <v>32</v>
      </c>
      <c r="AF3735" t="s">
        <v>46835</v>
      </c>
    </row>
    <row r="3736" spans="1:33" x14ac:dyDescent="0.2">
      <c r="A3736">
        <v>3731</v>
      </c>
      <c r="B3736" t="s">
        <v>41515</v>
      </c>
      <c r="C3736" t="s">
        <v>41516</v>
      </c>
      <c r="D3736" t="s">
        <v>32</v>
      </c>
      <c r="E3736" t="s">
        <v>41517</v>
      </c>
      <c r="F3736" t="s">
        <v>41518</v>
      </c>
      <c r="G3736" t="s">
        <v>41519</v>
      </c>
      <c r="H3736" t="str">
        <f>"Mphosph8"</f>
        <v>Mphosph8</v>
      </c>
      <c r="I3736" t="s">
        <v>32</v>
      </c>
      <c r="J3736" t="s">
        <v>37</v>
      </c>
      <c r="K3736">
        <v>10090</v>
      </c>
      <c r="L3736" s="3" t="str">
        <f>HYPERLINK("http://www.uniprot.org/uniprot/Q3TYA6", "Q3TYA6")</f>
        <v>Q3TYA6</v>
      </c>
      <c r="M3736" t="s">
        <v>41520</v>
      </c>
      <c r="N3736" t="str">
        <f>"Mphosph8"</f>
        <v>Mphosph8</v>
      </c>
      <c r="O3736" s="3" t="str">
        <f>HYPERLINK("http://www.informatics.jax.org/marker/MGI:1922589", "MGI:1922589")</f>
        <v>MGI:1922589</v>
      </c>
      <c r="P3736" t="s">
        <v>41521</v>
      </c>
      <c r="Q3736" t="s">
        <v>4152</v>
      </c>
      <c r="R3736" t="s">
        <v>1939</v>
      </c>
      <c r="S3736" t="s">
        <v>32</v>
      </c>
      <c r="T3736" t="s">
        <v>32</v>
      </c>
      <c r="U3736" t="s">
        <v>32</v>
      </c>
      <c r="V3736" t="s">
        <v>912</v>
      </c>
      <c r="W3736" t="s">
        <v>32</v>
      </c>
      <c r="X3736" t="s">
        <v>32</v>
      </c>
      <c r="Y3736" t="s">
        <v>618</v>
      </c>
      <c r="Z3736" t="s">
        <v>32</v>
      </c>
      <c r="AA3736" t="s">
        <v>41522</v>
      </c>
      <c r="AB3736" t="s">
        <v>41523</v>
      </c>
      <c r="AC3736" t="s">
        <v>41524</v>
      </c>
      <c r="AD3736" t="s">
        <v>32</v>
      </c>
      <c r="AE3736" t="s">
        <v>32</v>
      </c>
      <c r="AF3736" t="s">
        <v>46835</v>
      </c>
    </row>
    <row r="3737" spans="1:33" x14ac:dyDescent="0.2">
      <c r="A3737">
        <v>3732</v>
      </c>
      <c r="B3737" t="s">
        <v>41525</v>
      </c>
      <c r="C3737" t="s">
        <v>41526</v>
      </c>
      <c r="D3737" t="s">
        <v>32</v>
      </c>
      <c r="E3737" t="s">
        <v>41527</v>
      </c>
      <c r="F3737" t="s">
        <v>41528</v>
      </c>
      <c r="G3737" t="s">
        <v>41529</v>
      </c>
      <c r="H3737" t="str">
        <f>"Szrd1"</f>
        <v>Szrd1</v>
      </c>
      <c r="I3737" t="s">
        <v>41530</v>
      </c>
      <c r="J3737" t="s">
        <v>37</v>
      </c>
      <c r="K3737">
        <v>10090</v>
      </c>
      <c r="L3737" s="3" t="str">
        <f>HYPERLINK("http://www.uniprot.org/uniprot/Q6NXN1", "Q6NXN1")</f>
        <v>Q6NXN1</v>
      </c>
      <c r="M3737" t="s">
        <v>41531</v>
      </c>
      <c r="N3737" t="str">
        <f>"Szrd1"</f>
        <v>Szrd1</v>
      </c>
      <c r="O3737" s="3" t="str">
        <f>HYPERLINK("http://www.informatics.jax.org/marker/MGI:1098672", "MGI:1098672")</f>
        <v>MGI:1098672</v>
      </c>
      <c r="P3737" t="s">
        <v>41532</v>
      </c>
      <c r="Q3737" t="s">
        <v>32</v>
      </c>
      <c r="R3737" t="s">
        <v>32</v>
      </c>
      <c r="S3737" t="s">
        <v>41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t="s">
        <v>157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t="s">
        <v>46835</v>
      </c>
    </row>
    <row r="3738" spans="1:33" x14ac:dyDescent="0.2">
      <c r="A3738">
        <v>3733</v>
      </c>
      <c r="B3738" t="s">
        <v>41533</v>
      </c>
      <c r="C3738" t="s">
        <v>41534</v>
      </c>
      <c r="D3738" t="s">
        <v>41535</v>
      </c>
      <c r="E3738" t="s">
        <v>41536</v>
      </c>
      <c r="F3738" t="s">
        <v>41537</v>
      </c>
      <c r="G3738" t="s">
        <v>41538</v>
      </c>
      <c r="H3738" t="str">
        <f>"Utp11"</f>
        <v>Utp11</v>
      </c>
      <c r="I3738" t="s">
        <v>41539</v>
      </c>
      <c r="J3738" t="s">
        <v>37</v>
      </c>
      <c r="K3738">
        <v>10090</v>
      </c>
      <c r="L3738" s="3" t="str">
        <f>HYPERLINK("http://www.uniprot.org/uniprot/Q9CZJ1", "Q9CZJ1")</f>
        <v>Q9CZJ1</v>
      </c>
      <c r="M3738" t="s">
        <v>41540</v>
      </c>
      <c r="N3738" t="str">
        <f>"Utp11"</f>
        <v>Utp11</v>
      </c>
      <c r="O3738" s="3" t="str">
        <f>HYPERLINK("http://www.informatics.jax.org/marker/MGI:1914455", "MGI:1914455")</f>
        <v>MGI:1914455</v>
      </c>
      <c r="P3738" t="s">
        <v>41541</v>
      </c>
      <c r="Q3738" t="s">
        <v>15770</v>
      </c>
      <c r="R3738" t="s">
        <v>2279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32</v>
      </c>
      <c r="Y3738" t="s">
        <v>1007</v>
      </c>
      <c r="Z3738" t="s">
        <v>32</v>
      </c>
      <c r="AA3738" t="s">
        <v>41542</v>
      </c>
      <c r="AB3738" t="s">
        <v>41543</v>
      </c>
      <c r="AC3738" t="s">
        <v>32</v>
      </c>
      <c r="AD3738" t="s">
        <v>32</v>
      </c>
      <c r="AE3738" t="s">
        <v>960</v>
      </c>
      <c r="AF3738" t="s">
        <v>46835</v>
      </c>
    </row>
    <row r="3739" spans="1:33" x14ac:dyDescent="0.2">
      <c r="A3739">
        <v>3734</v>
      </c>
      <c r="B3739" t="s">
        <v>41544</v>
      </c>
      <c r="C3739" t="s">
        <v>41545</v>
      </c>
      <c r="D3739" t="s">
        <v>41546</v>
      </c>
      <c r="E3739" t="s">
        <v>41547</v>
      </c>
      <c r="F3739" t="s">
        <v>41548</v>
      </c>
      <c r="G3739" t="s">
        <v>41549</v>
      </c>
      <c r="H3739" t="str">
        <f>"Nelfe"</f>
        <v>Nelfe</v>
      </c>
      <c r="I3739" t="s">
        <v>41550</v>
      </c>
      <c r="J3739" t="s">
        <v>37</v>
      </c>
      <c r="K3739">
        <v>10090</v>
      </c>
      <c r="L3739" s="3" t="str">
        <f>HYPERLINK("http://www.uniprot.org/uniprot/P19426", "P19426")</f>
        <v>P19426</v>
      </c>
      <c r="M3739" t="s">
        <v>41551</v>
      </c>
      <c r="N3739" t="str">
        <f>"Nelfe"</f>
        <v>Nelfe</v>
      </c>
      <c r="O3739" s="3" t="str">
        <f>HYPERLINK("http://www.informatics.jax.org/marker/MGI:102744", "MGI:102744")</f>
        <v>MGI:102744</v>
      </c>
      <c r="P3739" t="s">
        <v>41552</v>
      </c>
      <c r="Q3739" t="s">
        <v>4152</v>
      </c>
      <c r="R3739" t="s">
        <v>1939</v>
      </c>
      <c r="S3739" t="s">
        <v>41</v>
      </c>
      <c r="T3739" t="s">
        <v>32</v>
      </c>
      <c r="U3739" t="s">
        <v>32</v>
      </c>
      <c r="V3739" t="s">
        <v>137</v>
      </c>
      <c r="W3739" t="s">
        <v>32</v>
      </c>
      <c r="X3739" t="s">
        <v>9766</v>
      </c>
      <c r="Y3739" t="s">
        <v>23483</v>
      </c>
      <c r="Z3739" t="s">
        <v>32</v>
      </c>
      <c r="AA3739" t="s">
        <v>41553</v>
      </c>
      <c r="AB3739" t="s">
        <v>41554</v>
      </c>
      <c r="AC3739" t="s">
        <v>21273</v>
      </c>
      <c r="AD3739" t="s">
        <v>32</v>
      </c>
      <c r="AE3739" t="s">
        <v>30187</v>
      </c>
      <c r="AF3739" t="s">
        <v>46835</v>
      </c>
    </row>
    <row r="3740" spans="1:33" x14ac:dyDescent="0.2">
      <c r="A3740">
        <v>3735</v>
      </c>
      <c r="B3740" t="s">
        <v>41555</v>
      </c>
      <c r="C3740" t="s">
        <v>41556</v>
      </c>
      <c r="D3740" t="s">
        <v>32</v>
      </c>
      <c r="E3740" t="s">
        <v>41557</v>
      </c>
      <c r="F3740" t="s">
        <v>41558</v>
      </c>
      <c r="G3740" t="s">
        <v>32</v>
      </c>
      <c r="H3740" t="str">
        <f>"Shq1"</f>
        <v>Shq1</v>
      </c>
      <c r="I3740" t="s">
        <v>32</v>
      </c>
      <c r="J3740" t="s">
        <v>37</v>
      </c>
      <c r="K3740">
        <v>10090</v>
      </c>
      <c r="L3740" s="3" t="str">
        <f>HYPERLINK("http://www.uniprot.org/uniprot/Q7TMX5", "Q7TMX5")</f>
        <v>Q7TMX5</v>
      </c>
      <c r="M3740" t="s">
        <v>41559</v>
      </c>
      <c r="N3740" t="str">
        <f>"Shq1"</f>
        <v>Shq1</v>
      </c>
      <c r="O3740" s="3" t="str">
        <f>HYPERLINK("http://www.informatics.jax.org/marker/MGI:1919421", "MGI:1919421")</f>
        <v>MGI:1919421</v>
      </c>
      <c r="P3740" t="s">
        <v>41560</v>
      </c>
      <c r="Q3740" t="s">
        <v>32</v>
      </c>
      <c r="R3740" t="s">
        <v>40</v>
      </c>
      <c r="S3740" t="s">
        <v>41</v>
      </c>
      <c r="T3740" t="s">
        <v>32</v>
      </c>
      <c r="U3740" t="s">
        <v>32</v>
      </c>
      <c r="V3740" t="s">
        <v>32</v>
      </c>
      <c r="W3740" t="s">
        <v>32</v>
      </c>
      <c r="X3740" t="s">
        <v>32</v>
      </c>
      <c r="Y3740" t="s">
        <v>32</v>
      </c>
      <c r="Z3740" t="s">
        <v>32</v>
      </c>
      <c r="AA3740" t="s">
        <v>41561</v>
      </c>
      <c r="AB3740" t="s">
        <v>2364</v>
      </c>
      <c r="AC3740" t="s">
        <v>2972</v>
      </c>
      <c r="AD3740" t="s">
        <v>32</v>
      </c>
      <c r="AE3740" t="s">
        <v>13786</v>
      </c>
      <c r="AF3740" t="s">
        <v>46835</v>
      </c>
    </row>
    <row r="3741" spans="1:33" x14ac:dyDescent="0.2">
      <c r="A3741">
        <v>3736</v>
      </c>
      <c r="B3741" t="s">
        <v>41562</v>
      </c>
      <c r="C3741" t="s">
        <v>41563</v>
      </c>
      <c r="D3741" t="s">
        <v>41564</v>
      </c>
      <c r="E3741" t="s">
        <v>41565</v>
      </c>
      <c r="F3741" t="s">
        <v>41566</v>
      </c>
      <c r="G3741" t="s">
        <v>41567</v>
      </c>
      <c r="H3741" t="str">
        <f>"Pam16"</f>
        <v>Pam16</v>
      </c>
      <c r="I3741" t="s">
        <v>41568</v>
      </c>
      <c r="J3741" t="s">
        <v>37</v>
      </c>
      <c r="K3741">
        <v>10090</v>
      </c>
      <c r="L3741" s="3" t="str">
        <f>HYPERLINK("http://www.uniprot.org/uniprot/Q9CQV1", "Q9CQV1")</f>
        <v>Q9CQV1</v>
      </c>
      <c r="M3741" t="s">
        <v>41569</v>
      </c>
      <c r="N3741" t="str">
        <f>"Pam16"</f>
        <v>Pam16</v>
      </c>
      <c r="O3741" s="3" t="str">
        <f>HYPERLINK("http://www.informatics.jax.org/marker/MGI:1913699", "MGI:1913699")</f>
        <v>MGI:1913699</v>
      </c>
      <c r="P3741" t="s">
        <v>41570</v>
      </c>
      <c r="Q3741" t="s">
        <v>4270</v>
      </c>
      <c r="R3741" t="s">
        <v>3858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32</v>
      </c>
      <c r="Y3741" t="s">
        <v>618</v>
      </c>
      <c r="Z3741" t="s">
        <v>32</v>
      </c>
      <c r="AA3741" t="s">
        <v>41571</v>
      </c>
      <c r="AB3741" t="s">
        <v>41572</v>
      </c>
      <c r="AC3741" t="s">
        <v>32</v>
      </c>
      <c r="AD3741" t="s">
        <v>32</v>
      </c>
      <c r="AE3741" t="s">
        <v>32</v>
      </c>
      <c r="AF3741" t="s">
        <v>46835</v>
      </c>
    </row>
    <row r="3742" spans="1:33" x14ac:dyDescent="0.2">
      <c r="A3742">
        <v>3737</v>
      </c>
      <c r="B3742" t="s">
        <v>41573</v>
      </c>
      <c r="C3742" t="s">
        <v>41574</v>
      </c>
      <c r="D3742" t="s">
        <v>41575</v>
      </c>
      <c r="E3742" t="s">
        <v>41576</v>
      </c>
      <c r="F3742" t="s">
        <v>41577</v>
      </c>
      <c r="G3742" t="s">
        <v>41578</v>
      </c>
      <c r="H3742" t="str">
        <f>"Clgn"</f>
        <v>Clgn</v>
      </c>
      <c r="I3742" t="s">
        <v>26973</v>
      </c>
      <c r="J3742" t="s">
        <v>37</v>
      </c>
      <c r="K3742">
        <v>10090</v>
      </c>
      <c r="L3742" s="3" t="str">
        <f>HYPERLINK("http://www.uniprot.org/uniprot/P52194", "P52194")</f>
        <v>P52194</v>
      </c>
      <c r="M3742" t="s">
        <v>41579</v>
      </c>
      <c r="N3742" t="str">
        <f>"Clgn"</f>
        <v>Clgn</v>
      </c>
      <c r="O3742" s="3" t="str">
        <f>HYPERLINK("http://www.informatics.jax.org/marker/MGI:107472", "MGI:107472")</f>
        <v>MGI:107472</v>
      </c>
      <c r="P3742" t="s">
        <v>41580</v>
      </c>
      <c r="Q3742" t="s">
        <v>41581</v>
      </c>
      <c r="R3742" t="s">
        <v>1664</v>
      </c>
      <c r="S3742" t="s">
        <v>32</v>
      </c>
      <c r="T3742" t="s">
        <v>32</v>
      </c>
      <c r="U3742" t="s">
        <v>32</v>
      </c>
      <c r="V3742" t="s">
        <v>1665</v>
      </c>
      <c r="W3742" t="s">
        <v>1380</v>
      </c>
      <c r="X3742" t="s">
        <v>6278</v>
      </c>
      <c r="Y3742" t="s">
        <v>480</v>
      </c>
      <c r="Z3742" t="s">
        <v>32</v>
      </c>
      <c r="AA3742" t="s">
        <v>41582</v>
      </c>
      <c r="AB3742" t="s">
        <v>16952</v>
      </c>
      <c r="AC3742" t="s">
        <v>41583</v>
      </c>
      <c r="AD3742" t="s">
        <v>32</v>
      </c>
      <c r="AE3742" t="s">
        <v>32</v>
      </c>
      <c r="AF3742" t="s">
        <v>46835</v>
      </c>
    </row>
    <row r="3743" spans="1:33" x14ac:dyDescent="0.2">
      <c r="A3743">
        <v>3738</v>
      </c>
      <c r="B3743" t="s">
        <v>41584</v>
      </c>
      <c r="C3743" t="s">
        <v>41585</v>
      </c>
      <c r="D3743" t="s">
        <v>41586</v>
      </c>
      <c r="E3743" t="s">
        <v>41587</v>
      </c>
      <c r="F3743" t="s">
        <v>41588</v>
      </c>
      <c r="G3743" t="s">
        <v>41589</v>
      </c>
      <c r="H3743" t="str">
        <f>"Pnkp"</f>
        <v>Pnkp</v>
      </c>
      <c r="I3743" t="s">
        <v>32</v>
      </c>
      <c r="J3743" t="s">
        <v>37</v>
      </c>
      <c r="K3743">
        <v>10090</v>
      </c>
      <c r="L3743" s="3" t="str">
        <f>HYPERLINK("http://www.uniprot.org/uniprot/Q9JLV6", "Q9JLV6")</f>
        <v>Q9JLV6</v>
      </c>
      <c r="M3743" t="s">
        <v>41590</v>
      </c>
      <c r="N3743" t="str">
        <f>"Pnkp"</f>
        <v>Pnkp</v>
      </c>
      <c r="O3743" s="3" t="str">
        <f>HYPERLINK("http://www.informatics.jax.org/marker/MGI:1891698", "MGI:1891698")</f>
        <v>MGI:1891698</v>
      </c>
      <c r="P3743" t="s">
        <v>41591</v>
      </c>
      <c r="Q3743" t="s">
        <v>11886</v>
      </c>
      <c r="R3743" t="s">
        <v>2279</v>
      </c>
      <c r="S3743" t="s">
        <v>41</v>
      </c>
      <c r="T3743" t="s">
        <v>32</v>
      </c>
      <c r="U3743" t="s">
        <v>32</v>
      </c>
      <c r="V3743" t="s">
        <v>32</v>
      </c>
      <c r="W3743" t="s">
        <v>205</v>
      </c>
      <c r="X3743" t="s">
        <v>41592</v>
      </c>
      <c r="Y3743" t="s">
        <v>157</v>
      </c>
      <c r="Z3743" t="s">
        <v>126</v>
      </c>
      <c r="AA3743" t="s">
        <v>41593</v>
      </c>
      <c r="AB3743" t="s">
        <v>41594</v>
      </c>
      <c r="AC3743" t="s">
        <v>41595</v>
      </c>
      <c r="AD3743" t="s">
        <v>32</v>
      </c>
      <c r="AE3743" t="s">
        <v>41596</v>
      </c>
      <c r="AF3743" t="s">
        <v>46835</v>
      </c>
    </row>
    <row r="3744" spans="1:33" x14ac:dyDescent="0.2">
      <c r="A3744">
        <v>3739</v>
      </c>
      <c r="B3744" t="s">
        <v>41597</v>
      </c>
      <c r="C3744" t="s">
        <v>41598</v>
      </c>
      <c r="D3744" t="s">
        <v>32</v>
      </c>
      <c r="E3744" t="s">
        <v>41599</v>
      </c>
      <c r="F3744" t="s">
        <v>41600</v>
      </c>
      <c r="G3744" t="s">
        <v>41601</v>
      </c>
      <c r="H3744" t="str">
        <f>"Aven"</f>
        <v>Aven</v>
      </c>
      <c r="I3744" t="s">
        <v>32</v>
      </c>
      <c r="J3744" t="s">
        <v>37</v>
      </c>
      <c r="K3744">
        <v>10090</v>
      </c>
      <c r="L3744" s="3" t="str">
        <f>HYPERLINK("http://www.uniprot.org/uniprot/Q9D9K3", "Q9D9K3")</f>
        <v>Q9D9K3</v>
      </c>
      <c r="M3744" t="s">
        <v>41602</v>
      </c>
      <c r="N3744" t="str">
        <f>"Aven"</f>
        <v>Aven</v>
      </c>
      <c r="O3744" s="3" t="str">
        <f>HYPERLINK("http://www.informatics.jax.org/marker/MGI:1921518", "MGI:1921518")</f>
        <v>MGI:1921518</v>
      </c>
      <c r="P3744" t="s">
        <v>41603</v>
      </c>
      <c r="Q3744" t="s">
        <v>541</v>
      </c>
      <c r="R3744" t="s">
        <v>5989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32</v>
      </c>
      <c r="Y3744" t="s">
        <v>618</v>
      </c>
      <c r="Z3744" t="s">
        <v>32</v>
      </c>
      <c r="AA3744" t="s">
        <v>41604</v>
      </c>
      <c r="AB3744" t="s">
        <v>41605</v>
      </c>
      <c r="AC3744" t="s">
        <v>32</v>
      </c>
      <c r="AD3744" t="s">
        <v>32</v>
      </c>
      <c r="AE3744" t="s">
        <v>14482</v>
      </c>
      <c r="AF3744" t="s">
        <v>46835</v>
      </c>
    </row>
    <row r="3745" spans="1:32" x14ac:dyDescent="0.2">
      <c r="A3745">
        <v>3740</v>
      </c>
      <c r="B3745" t="s">
        <v>41606</v>
      </c>
      <c r="C3745" t="s">
        <v>41607</v>
      </c>
      <c r="D3745" t="s">
        <v>41608</v>
      </c>
      <c r="E3745" t="s">
        <v>41609</v>
      </c>
      <c r="F3745" t="s">
        <v>41610</v>
      </c>
      <c r="G3745" t="s">
        <v>41611</v>
      </c>
      <c r="H3745" t="str">
        <f>"Rbbp6"</f>
        <v>Rbbp6</v>
      </c>
      <c r="I3745" t="s">
        <v>41612</v>
      </c>
      <c r="J3745" t="s">
        <v>37</v>
      </c>
      <c r="K3745">
        <v>10090</v>
      </c>
      <c r="L3745" s="3" t="str">
        <f>HYPERLINK("http://www.uniprot.org/uniprot/P97868", "P97868")</f>
        <v>P97868</v>
      </c>
      <c r="M3745" t="s">
        <v>41613</v>
      </c>
      <c r="N3745" t="str">
        <f>"Rbbp6"</f>
        <v>Rbbp6</v>
      </c>
      <c r="O3745" s="3" t="str">
        <f>HYPERLINK("http://www.informatics.jax.org/marker/MGI:894835", "MGI:894835")</f>
        <v>MGI:894835</v>
      </c>
      <c r="P3745" t="s">
        <v>41614</v>
      </c>
      <c r="Q3745" t="s">
        <v>41615</v>
      </c>
      <c r="R3745" t="s">
        <v>39439</v>
      </c>
      <c r="S3745" t="s">
        <v>41</v>
      </c>
      <c r="T3745" t="s">
        <v>32</v>
      </c>
      <c r="U3745" t="s">
        <v>32</v>
      </c>
      <c r="V3745" t="s">
        <v>446</v>
      </c>
      <c r="W3745" t="s">
        <v>42</v>
      </c>
      <c r="X3745" t="s">
        <v>515</v>
      </c>
      <c r="Y3745" t="s">
        <v>516</v>
      </c>
      <c r="Z3745" t="s">
        <v>32</v>
      </c>
      <c r="AA3745" t="s">
        <v>41616</v>
      </c>
      <c r="AB3745" t="s">
        <v>41617</v>
      </c>
      <c r="AC3745" t="s">
        <v>41618</v>
      </c>
      <c r="AD3745" t="s">
        <v>1027</v>
      </c>
      <c r="AE3745" t="s">
        <v>41619</v>
      </c>
      <c r="AF3745" t="s">
        <v>46835</v>
      </c>
    </row>
    <row r="3746" spans="1:32" x14ac:dyDescent="0.2">
      <c r="A3746">
        <v>3741</v>
      </c>
      <c r="B3746" t="s">
        <v>41620</v>
      </c>
      <c r="C3746" t="s">
        <v>41621</v>
      </c>
      <c r="D3746" t="s">
        <v>41622</v>
      </c>
      <c r="E3746" t="s">
        <v>41623</v>
      </c>
      <c r="F3746" t="s">
        <v>41624</v>
      </c>
      <c r="G3746" t="s">
        <v>41625</v>
      </c>
      <c r="H3746" t="str">
        <f>"Uhrf2"</f>
        <v>Uhrf2</v>
      </c>
      <c r="I3746" t="s">
        <v>41626</v>
      </c>
      <c r="J3746" t="s">
        <v>37</v>
      </c>
      <c r="K3746">
        <v>10090</v>
      </c>
      <c r="L3746" s="3" t="str">
        <f>HYPERLINK("http://www.uniprot.org/uniprot/Q7TMI3", "Q7TMI3")</f>
        <v>Q7TMI3</v>
      </c>
      <c r="M3746" t="s">
        <v>41627</v>
      </c>
      <c r="N3746" t="str">
        <f>"Uhrf2"</f>
        <v>Uhrf2</v>
      </c>
      <c r="O3746" s="3" t="str">
        <f>HYPERLINK("http://www.informatics.jax.org/marker/MGI:1923718", "MGI:1923718")</f>
        <v>MGI:1923718</v>
      </c>
      <c r="P3746" t="s">
        <v>41628</v>
      </c>
      <c r="Q3746" t="s">
        <v>13618</v>
      </c>
      <c r="R3746" t="s">
        <v>1939</v>
      </c>
      <c r="S3746" t="s">
        <v>41</v>
      </c>
      <c r="T3746" t="s">
        <v>32</v>
      </c>
      <c r="U3746" t="s">
        <v>32</v>
      </c>
      <c r="V3746" t="s">
        <v>446</v>
      </c>
      <c r="W3746" t="s">
        <v>42</v>
      </c>
      <c r="X3746" t="s">
        <v>13439</v>
      </c>
      <c r="Y3746" t="s">
        <v>9438</v>
      </c>
      <c r="Z3746" t="s">
        <v>32</v>
      </c>
      <c r="AA3746" t="s">
        <v>41629</v>
      </c>
      <c r="AB3746" t="s">
        <v>41630</v>
      </c>
      <c r="AC3746" t="s">
        <v>41631</v>
      </c>
      <c r="AD3746" t="s">
        <v>1027</v>
      </c>
      <c r="AE3746" t="s">
        <v>8802</v>
      </c>
      <c r="AF3746" t="s">
        <v>46835</v>
      </c>
    </row>
    <row r="3747" spans="1:32" x14ac:dyDescent="0.2">
      <c r="A3747">
        <v>3742</v>
      </c>
      <c r="B3747" t="s">
        <v>41632</v>
      </c>
      <c r="C3747" t="s">
        <v>41633</v>
      </c>
      <c r="D3747" t="s">
        <v>32</v>
      </c>
      <c r="E3747" t="s">
        <v>41634</v>
      </c>
      <c r="F3747" t="s">
        <v>41635</v>
      </c>
      <c r="G3747" t="s">
        <v>41636</v>
      </c>
      <c r="H3747" t="str">
        <f>"Znf687"</f>
        <v>Znf687</v>
      </c>
      <c r="I3747" t="s">
        <v>41637</v>
      </c>
      <c r="J3747" t="s">
        <v>37</v>
      </c>
      <c r="K3747">
        <v>10090</v>
      </c>
      <c r="L3747" s="3" t="str">
        <f>HYPERLINK("http://www.uniprot.org/uniprot/Q9D2D7", "Q9D2D7")</f>
        <v>Q9D2D7</v>
      </c>
      <c r="M3747" t="s">
        <v>41638</v>
      </c>
      <c r="N3747" t="str">
        <f>"Zfp687"</f>
        <v>Zfp687</v>
      </c>
      <c r="O3747" s="3" t="str">
        <f>HYPERLINK("http://www.informatics.jax.org/marker/MGI:1925516", "MGI:1925516")</f>
        <v>MGI:1925516</v>
      </c>
      <c r="P3747" t="s">
        <v>41639</v>
      </c>
      <c r="Q3747" t="s">
        <v>4152</v>
      </c>
      <c r="R3747" t="s">
        <v>40</v>
      </c>
      <c r="S3747" t="s">
        <v>41</v>
      </c>
      <c r="T3747" t="s">
        <v>32</v>
      </c>
      <c r="U3747" t="s">
        <v>32</v>
      </c>
      <c r="V3747" t="s">
        <v>3791</v>
      </c>
      <c r="W3747" t="s">
        <v>42</v>
      </c>
      <c r="X3747" t="s">
        <v>247</v>
      </c>
      <c r="Y3747" t="s">
        <v>2192</v>
      </c>
      <c r="Z3747" t="s">
        <v>32</v>
      </c>
      <c r="AA3747" t="s">
        <v>32</v>
      </c>
      <c r="AB3747" t="s">
        <v>4202</v>
      </c>
      <c r="AC3747" t="s">
        <v>21239</v>
      </c>
      <c r="AD3747" t="s">
        <v>32</v>
      </c>
      <c r="AE3747" t="s">
        <v>32</v>
      </c>
      <c r="AF3747" t="s">
        <v>46835</v>
      </c>
    </row>
    <row r="3748" spans="1:32" x14ac:dyDescent="0.2">
      <c r="A3748">
        <v>3743</v>
      </c>
      <c r="B3748" t="s">
        <v>41640</v>
      </c>
      <c r="C3748" t="s">
        <v>41641</v>
      </c>
      <c r="D3748" t="s">
        <v>32</v>
      </c>
      <c r="E3748" t="s">
        <v>41642</v>
      </c>
      <c r="F3748" t="s">
        <v>41643</v>
      </c>
      <c r="G3748" t="s">
        <v>41644</v>
      </c>
      <c r="H3748" t="str">
        <f>"Mepce"</f>
        <v>Mepce</v>
      </c>
      <c r="I3748" t="s">
        <v>32</v>
      </c>
      <c r="J3748" t="s">
        <v>37</v>
      </c>
      <c r="K3748">
        <v>10090</v>
      </c>
      <c r="L3748" s="3" t="str">
        <f>HYPERLINK("http://www.uniprot.org/uniprot/Q8K3A9", "Q8K3A9")</f>
        <v>Q8K3A9</v>
      </c>
      <c r="M3748" t="s">
        <v>41645</v>
      </c>
      <c r="N3748" t="str">
        <f>"Mepce"</f>
        <v>Mepce</v>
      </c>
      <c r="O3748" s="3" t="str">
        <f>HYPERLINK("http://www.informatics.jax.org/marker/MGI:106477", "MGI:106477")</f>
        <v>MGI:106477</v>
      </c>
      <c r="P3748" t="s">
        <v>41646</v>
      </c>
      <c r="Q3748" t="s">
        <v>32</v>
      </c>
      <c r="R3748" t="s">
        <v>2279</v>
      </c>
      <c r="S3748" t="s">
        <v>32</v>
      </c>
      <c r="T3748" t="s">
        <v>32</v>
      </c>
      <c r="U3748" t="s">
        <v>32</v>
      </c>
      <c r="V3748" t="s">
        <v>32</v>
      </c>
      <c r="W3748" t="s">
        <v>1705</v>
      </c>
      <c r="X3748" t="s">
        <v>1706</v>
      </c>
      <c r="Y3748" t="s">
        <v>207</v>
      </c>
      <c r="Z3748" t="s">
        <v>32</v>
      </c>
      <c r="AA3748" t="s">
        <v>41647</v>
      </c>
      <c r="AB3748" t="s">
        <v>41648</v>
      </c>
      <c r="AC3748" t="s">
        <v>41649</v>
      </c>
      <c r="AD3748" t="s">
        <v>32</v>
      </c>
      <c r="AE3748" t="s">
        <v>32</v>
      </c>
      <c r="AF3748" t="s">
        <v>46835</v>
      </c>
    </row>
    <row r="3749" spans="1:32" x14ac:dyDescent="0.2">
      <c r="A3749">
        <v>3744</v>
      </c>
      <c r="B3749" t="s">
        <v>41650</v>
      </c>
      <c r="C3749" t="s">
        <v>41651</v>
      </c>
      <c r="D3749" t="s">
        <v>41652</v>
      </c>
      <c r="E3749" t="s">
        <v>41653</v>
      </c>
      <c r="F3749" t="s">
        <v>41654</v>
      </c>
      <c r="G3749" t="s">
        <v>32</v>
      </c>
      <c r="H3749" t="str">
        <f>"Abhd14b"</f>
        <v>Abhd14b</v>
      </c>
      <c r="I3749" t="s">
        <v>32</v>
      </c>
      <c r="J3749" t="s">
        <v>37</v>
      </c>
      <c r="K3749">
        <v>10090</v>
      </c>
      <c r="L3749" s="3" t="str">
        <f>HYPERLINK("http://www.uniprot.org/uniprot/Q8VCR7", "Q8VCR7")</f>
        <v>Q8VCR7</v>
      </c>
      <c r="M3749" t="s">
        <v>41655</v>
      </c>
      <c r="N3749" t="str">
        <f>"Abhd14b"</f>
        <v>Abhd14b</v>
      </c>
      <c r="O3749" s="3" t="str">
        <f>HYPERLINK("http://www.informatics.jax.org/marker/MGI:1923741", "MGI:1923741")</f>
        <v>MGI:1923741</v>
      </c>
      <c r="P3749" t="s">
        <v>41656</v>
      </c>
      <c r="Q3749" t="s">
        <v>32</v>
      </c>
      <c r="R3749" t="s">
        <v>40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7304</v>
      </c>
      <c r="Y3749" t="s">
        <v>618</v>
      </c>
      <c r="Z3749" t="s">
        <v>32</v>
      </c>
      <c r="AA3749" t="s">
        <v>41657</v>
      </c>
      <c r="AB3749" t="s">
        <v>13868</v>
      </c>
      <c r="AC3749" t="s">
        <v>41658</v>
      </c>
      <c r="AD3749" t="s">
        <v>32</v>
      </c>
      <c r="AE3749" t="s">
        <v>3580</v>
      </c>
      <c r="AF3749" t="s">
        <v>46835</v>
      </c>
    </row>
    <row r="3750" spans="1:32" x14ac:dyDescent="0.2">
      <c r="A3750">
        <v>3745</v>
      </c>
      <c r="B3750" t="s">
        <v>41659</v>
      </c>
      <c r="C3750" t="s">
        <v>41660</v>
      </c>
      <c r="D3750" t="s">
        <v>32</v>
      </c>
      <c r="E3750" t="s">
        <v>41661</v>
      </c>
      <c r="F3750" t="s">
        <v>41662</v>
      </c>
      <c r="G3750" t="s">
        <v>41663</v>
      </c>
      <c r="H3750" t="str">
        <f>"Tfcp2"</f>
        <v>Tfcp2</v>
      </c>
      <c r="I3750" t="s">
        <v>41664</v>
      </c>
      <c r="J3750" t="s">
        <v>37</v>
      </c>
      <c r="K3750">
        <v>10090</v>
      </c>
      <c r="L3750" s="3" t="str">
        <f>HYPERLINK("http://www.uniprot.org/uniprot/Q9ERA0", "Q9ERA0")</f>
        <v>Q9ERA0</v>
      </c>
      <c r="M3750" t="s">
        <v>41665</v>
      </c>
      <c r="N3750" t="str">
        <f>"Tfcp2"</f>
        <v>Tfcp2</v>
      </c>
      <c r="O3750" s="3" t="str">
        <f>HYPERLINK("http://www.informatics.jax.org/marker/MGI:98509", "MGI:98509")</f>
        <v>MGI:98509</v>
      </c>
      <c r="P3750" t="s">
        <v>41666</v>
      </c>
      <c r="Q3750" t="s">
        <v>4152</v>
      </c>
      <c r="R3750" t="s">
        <v>2279</v>
      </c>
      <c r="S3750" t="s">
        <v>41</v>
      </c>
      <c r="T3750" t="s">
        <v>32</v>
      </c>
      <c r="U3750" t="s">
        <v>32</v>
      </c>
      <c r="V3750" t="s">
        <v>32</v>
      </c>
      <c r="W3750" t="s">
        <v>32</v>
      </c>
      <c r="X3750" t="s">
        <v>247</v>
      </c>
      <c r="Y3750" t="s">
        <v>618</v>
      </c>
      <c r="Z3750" t="s">
        <v>32</v>
      </c>
      <c r="AA3750" t="s">
        <v>41667</v>
      </c>
      <c r="AB3750" t="s">
        <v>41668</v>
      </c>
      <c r="AC3750" t="s">
        <v>41669</v>
      </c>
      <c r="AD3750" t="s">
        <v>32</v>
      </c>
      <c r="AE3750" t="s">
        <v>32</v>
      </c>
      <c r="AF3750" t="s">
        <v>46835</v>
      </c>
    </row>
    <row r="3751" spans="1:32" x14ac:dyDescent="0.2">
      <c r="A3751">
        <v>3746</v>
      </c>
      <c r="B3751" t="s">
        <v>41670</v>
      </c>
      <c r="C3751" t="s">
        <v>41671</v>
      </c>
      <c r="D3751" t="s">
        <v>41672</v>
      </c>
      <c r="E3751" t="s">
        <v>41673</v>
      </c>
      <c r="F3751" t="s">
        <v>41674</v>
      </c>
      <c r="G3751" t="s">
        <v>41675</v>
      </c>
      <c r="H3751" t="str">
        <f>"Stambp"</f>
        <v>Stambp</v>
      </c>
      <c r="I3751" t="s">
        <v>41676</v>
      </c>
      <c r="J3751" t="s">
        <v>37</v>
      </c>
      <c r="K3751">
        <v>10090</v>
      </c>
      <c r="L3751" s="3" t="str">
        <f>HYPERLINK("http://www.uniprot.org/uniprot/Q9CQ26", "Q9CQ26")</f>
        <v>Q9CQ26</v>
      </c>
      <c r="M3751" t="s">
        <v>41677</v>
      </c>
      <c r="N3751" t="str">
        <f>"Stambp"</f>
        <v>Stambp</v>
      </c>
      <c r="O3751" s="3" t="str">
        <f>HYPERLINK("http://www.informatics.jax.org/marker/MGI:1917777", "MGI:1917777")</f>
        <v>MGI:1917777</v>
      </c>
      <c r="P3751" t="s">
        <v>41678</v>
      </c>
      <c r="Q3751" t="s">
        <v>1020</v>
      </c>
      <c r="R3751" t="s">
        <v>7802</v>
      </c>
      <c r="S3751" t="s">
        <v>32</v>
      </c>
      <c r="T3751" t="s">
        <v>32</v>
      </c>
      <c r="U3751" t="s">
        <v>32</v>
      </c>
      <c r="V3751" t="s">
        <v>32</v>
      </c>
      <c r="W3751" t="s">
        <v>42</v>
      </c>
      <c r="X3751" t="s">
        <v>4882</v>
      </c>
      <c r="Y3751" t="s">
        <v>2836</v>
      </c>
      <c r="Z3751" t="s">
        <v>32</v>
      </c>
      <c r="AA3751" t="s">
        <v>41679</v>
      </c>
      <c r="AB3751" t="s">
        <v>41680</v>
      </c>
      <c r="AC3751" t="s">
        <v>41681</v>
      </c>
      <c r="AD3751" t="s">
        <v>32</v>
      </c>
      <c r="AE3751" t="s">
        <v>37610</v>
      </c>
      <c r="AF3751" t="s">
        <v>46835</v>
      </c>
    </row>
    <row r="3752" spans="1:32" x14ac:dyDescent="0.2">
      <c r="A3752">
        <v>3747</v>
      </c>
      <c r="B3752" t="s">
        <v>41682</v>
      </c>
      <c r="C3752" t="s">
        <v>41683</v>
      </c>
      <c r="D3752" t="s">
        <v>32</v>
      </c>
      <c r="E3752" t="s">
        <v>41684</v>
      </c>
      <c r="F3752" t="s">
        <v>41685</v>
      </c>
      <c r="G3752" t="s">
        <v>32</v>
      </c>
      <c r="H3752" t="str">
        <f>"Dsp"</f>
        <v>Dsp</v>
      </c>
      <c r="I3752" t="s">
        <v>32</v>
      </c>
      <c r="J3752" t="s">
        <v>37</v>
      </c>
      <c r="K3752">
        <v>10090</v>
      </c>
      <c r="L3752" s="3" t="str">
        <f>HYPERLINK("http://www.uniprot.org/uniprot/E9Q557", "E9Q557")</f>
        <v>E9Q557</v>
      </c>
      <c r="M3752" t="s">
        <v>41686</v>
      </c>
      <c r="N3752" t="str">
        <f>"Dsp"</f>
        <v>Dsp</v>
      </c>
      <c r="O3752" s="3" t="str">
        <f>HYPERLINK("http://www.informatics.jax.org/marker/MGI:109611", "MGI:109611")</f>
        <v>MGI:109611</v>
      </c>
      <c r="P3752" t="s">
        <v>41687</v>
      </c>
      <c r="Q3752" t="s">
        <v>32</v>
      </c>
      <c r="R3752" t="s">
        <v>3015</v>
      </c>
      <c r="S3752" t="s">
        <v>32</v>
      </c>
      <c r="T3752" t="s">
        <v>32</v>
      </c>
      <c r="U3752" t="s">
        <v>41688</v>
      </c>
      <c r="V3752" t="s">
        <v>404</v>
      </c>
      <c r="W3752" t="s">
        <v>32</v>
      </c>
      <c r="X3752" t="s">
        <v>32</v>
      </c>
      <c r="Y3752" t="s">
        <v>41689</v>
      </c>
      <c r="Z3752" t="s">
        <v>32</v>
      </c>
      <c r="AA3752" t="s">
        <v>41690</v>
      </c>
      <c r="AB3752" t="s">
        <v>41691</v>
      </c>
      <c r="AC3752" t="s">
        <v>41692</v>
      </c>
      <c r="AD3752" t="s">
        <v>32</v>
      </c>
      <c r="AE3752" t="s">
        <v>41693</v>
      </c>
      <c r="AF3752" t="s">
        <v>46835</v>
      </c>
    </row>
    <row r="3753" spans="1:32" x14ac:dyDescent="0.2">
      <c r="A3753">
        <v>3748</v>
      </c>
      <c r="B3753" t="s">
        <v>41694</v>
      </c>
      <c r="C3753" t="s">
        <v>41695</v>
      </c>
      <c r="D3753" t="s">
        <v>41696</v>
      </c>
      <c r="E3753" t="s">
        <v>41697</v>
      </c>
      <c r="F3753" t="s">
        <v>41698</v>
      </c>
      <c r="G3753" t="s">
        <v>41699</v>
      </c>
      <c r="H3753" t="str">
        <f>"Golim4"</f>
        <v>Golim4</v>
      </c>
      <c r="I3753" t="s">
        <v>41700</v>
      </c>
      <c r="J3753" t="s">
        <v>37</v>
      </c>
      <c r="K3753">
        <v>10090</v>
      </c>
      <c r="L3753" s="3" t="str">
        <f>HYPERLINK("http://www.uniprot.org/uniprot/Q8BXA1", "Q8BXA1")</f>
        <v>Q8BXA1</v>
      </c>
      <c r="M3753" t="s">
        <v>41701</v>
      </c>
      <c r="N3753" t="str">
        <f>"Golim4"</f>
        <v>Golim4</v>
      </c>
      <c r="O3753" s="3" t="str">
        <f>HYPERLINK("http://www.informatics.jax.org/marker/MGI:1920374", "MGI:1920374")</f>
        <v>MGI:1920374</v>
      </c>
      <c r="P3753" t="s">
        <v>41702</v>
      </c>
      <c r="Q3753" t="s">
        <v>4425</v>
      </c>
      <c r="R3753" t="s">
        <v>6982</v>
      </c>
      <c r="S3753" t="s">
        <v>32</v>
      </c>
      <c r="T3753" t="s">
        <v>32</v>
      </c>
      <c r="U3753" t="s">
        <v>32</v>
      </c>
      <c r="V3753" t="s">
        <v>3078</v>
      </c>
      <c r="W3753" t="s">
        <v>32</v>
      </c>
      <c r="X3753" t="s">
        <v>32</v>
      </c>
      <c r="Y3753" t="s">
        <v>41703</v>
      </c>
      <c r="Z3753" t="s">
        <v>32</v>
      </c>
      <c r="AA3753" t="s">
        <v>32</v>
      </c>
      <c r="AB3753" t="s">
        <v>41704</v>
      </c>
      <c r="AC3753" t="s">
        <v>32</v>
      </c>
      <c r="AD3753" t="s">
        <v>32</v>
      </c>
      <c r="AE3753" t="s">
        <v>32</v>
      </c>
      <c r="AF3753" t="s">
        <v>46835</v>
      </c>
    </row>
    <row r="3754" spans="1:32" x14ac:dyDescent="0.2">
      <c r="A3754">
        <v>3749</v>
      </c>
      <c r="B3754" t="s">
        <v>41705</v>
      </c>
      <c r="C3754" t="s">
        <v>41706</v>
      </c>
      <c r="D3754" t="s">
        <v>41707</v>
      </c>
      <c r="E3754" t="s">
        <v>41708</v>
      </c>
      <c r="F3754" t="s">
        <v>41709</v>
      </c>
      <c r="G3754" t="s">
        <v>41710</v>
      </c>
      <c r="H3754" t="str">
        <f>"Anapc4"</f>
        <v>Anapc4</v>
      </c>
      <c r="I3754" t="s">
        <v>41711</v>
      </c>
      <c r="J3754" t="s">
        <v>37</v>
      </c>
      <c r="K3754">
        <v>10090</v>
      </c>
      <c r="L3754" s="3" t="str">
        <f>HYPERLINK("http://www.uniprot.org/uniprot/Q91W96", "Q91W96")</f>
        <v>Q91W96</v>
      </c>
      <c r="M3754" t="s">
        <v>41712</v>
      </c>
      <c r="N3754" t="str">
        <f>"Anapc4"</f>
        <v>Anapc4</v>
      </c>
      <c r="O3754" s="3" t="str">
        <f>HYPERLINK("http://www.informatics.jax.org/marker/MGI:1098673", "MGI:1098673")</f>
        <v>MGI:1098673</v>
      </c>
      <c r="P3754" t="s">
        <v>41713</v>
      </c>
      <c r="Q3754" t="s">
        <v>19695</v>
      </c>
      <c r="R3754" t="s">
        <v>2279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32</v>
      </c>
      <c r="Y3754" t="s">
        <v>1007</v>
      </c>
      <c r="Z3754" t="s">
        <v>32</v>
      </c>
      <c r="AA3754" t="s">
        <v>41714</v>
      </c>
      <c r="AB3754" t="s">
        <v>41715</v>
      </c>
      <c r="AC3754" t="s">
        <v>28406</v>
      </c>
      <c r="AD3754" t="s">
        <v>1027</v>
      </c>
      <c r="AE3754" t="s">
        <v>19698</v>
      </c>
      <c r="AF3754" t="s">
        <v>46835</v>
      </c>
    </row>
    <row r="3755" spans="1:32" x14ac:dyDescent="0.2">
      <c r="A3755">
        <v>3750</v>
      </c>
      <c r="B3755" t="s">
        <v>41716</v>
      </c>
      <c r="C3755" t="s">
        <v>41717</v>
      </c>
      <c r="D3755" t="s">
        <v>41718</v>
      </c>
      <c r="E3755" t="s">
        <v>41719</v>
      </c>
      <c r="F3755" t="s">
        <v>41720</v>
      </c>
      <c r="G3755" t="s">
        <v>41721</v>
      </c>
      <c r="H3755" t="str">
        <f>"Mon2"</f>
        <v>Mon2</v>
      </c>
      <c r="I3755" t="s">
        <v>41722</v>
      </c>
      <c r="J3755" t="s">
        <v>37</v>
      </c>
      <c r="K3755">
        <v>10090</v>
      </c>
      <c r="L3755" s="3" t="str">
        <f>HYPERLINK("http://www.uniprot.org/uniprot/Q80TL7", "Q80TL7")</f>
        <v>Q80TL7</v>
      </c>
      <c r="M3755" t="s">
        <v>41723</v>
      </c>
      <c r="N3755" t="str">
        <f>"Mon2"</f>
        <v>Mon2</v>
      </c>
      <c r="O3755" s="3" t="str">
        <f>HYPERLINK("http://www.informatics.jax.org/marker/MGI:1914324", "MGI:1914324")</f>
        <v>MGI:1914324</v>
      </c>
      <c r="P3755" t="s">
        <v>41724</v>
      </c>
      <c r="Q3755" t="s">
        <v>434</v>
      </c>
      <c r="R3755" t="s">
        <v>24832</v>
      </c>
      <c r="S3755" t="s">
        <v>41</v>
      </c>
      <c r="T3755" t="s">
        <v>32</v>
      </c>
      <c r="U3755" t="s">
        <v>32</v>
      </c>
      <c r="V3755" t="s">
        <v>32</v>
      </c>
      <c r="W3755" t="s">
        <v>32</v>
      </c>
      <c r="X3755" t="s">
        <v>32</v>
      </c>
      <c r="Y3755" t="s">
        <v>157</v>
      </c>
      <c r="Z3755" t="s">
        <v>32</v>
      </c>
      <c r="AA3755" t="s">
        <v>41725</v>
      </c>
      <c r="AB3755" t="s">
        <v>41726</v>
      </c>
      <c r="AC3755" t="s">
        <v>32</v>
      </c>
      <c r="AD3755" t="s">
        <v>32</v>
      </c>
      <c r="AE3755" t="s">
        <v>32</v>
      </c>
      <c r="AF3755" t="s">
        <v>46835</v>
      </c>
    </row>
    <row r="3756" spans="1:32" x14ac:dyDescent="0.2">
      <c r="A3756">
        <v>3751</v>
      </c>
      <c r="B3756" t="s">
        <v>41727</v>
      </c>
      <c r="C3756" t="s">
        <v>41728</v>
      </c>
      <c r="D3756" t="s">
        <v>41729</v>
      </c>
      <c r="E3756" t="s">
        <v>41730</v>
      </c>
      <c r="F3756" t="s">
        <v>41731</v>
      </c>
      <c r="G3756" t="s">
        <v>32</v>
      </c>
      <c r="H3756" t="str">
        <f>"Cdc26"</f>
        <v>Cdc26</v>
      </c>
      <c r="I3756" t="s">
        <v>32</v>
      </c>
      <c r="J3756" t="s">
        <v>37</v>
      </c>
      <c r="K3756">
        <v>10090</v>
      </c>
      <c r="L3756" s="3" t="str">
        <f>HYPERLINK("http://www.uniprot.org/uniprot/Q99JP4", "Q99JP4")</f>
        <v>Q99JP4</v>
      </c>
      <c r="M3756" t="s">
        <v>41732</v>
      </c>
      <c r="N3756" t="str">
        <f>"Cdc26"</f>
        <v>Cdc26</v>
      </c>
      <c r="O3756" s="3" t="str">
        <f>HYPERLINK("http://www.informatics.jax.org/marker/MGI:1913690", "MGI:1913690")</f>
        <v>MGI:1913690</v>
      </c>
      <c r="P3756" t="s">
        <v>41733</v>
      </c>
      <c r="Q3756" t="s">
        <v>19695</v>
      </c>
      <c r="R3756" t="s">
        <v>2279</v>
      </c>
      <c r="S3756" t="s">
        <v>32</v>
      </c>
      <c r="T3756" t="s">
        <v>32</v>
      </c>
      <c r="U3756" t="s">
        <v>32</v>
      </c>
      <c r="V3756" t="s">
        <v>290</v>
      </c>
      <c r="W3756" t="s">
        <v>32</v>
      </c>
      <c r="X3756" t="s">
        <v>32</v>
      </c>
      <c r="Y3756" t="s">
        <v>618</v>
      </c>
      <c r="Z3756" t="s">
        <v>32</v>
      </c>
      <c r="AA3756" t="s">
        <v>41734</v>
      </c>
      <c r="AB3756" t="s">
        <v>41735</v>
      </c>
      <c r="AC3756" t="s">
        <v>32</v>
      </c>
      <c r="AD3756" t="s">
        <v>1027</v>
      </c>
      <c r="AE3756" t="s">
        <v>19698</v>
      </c>
      <c r="AF3756" t="s">
        <v>46835</v>
      </c>
    </row>
    <row r="3757" spans="1:32" x14ac:dyDescent="0.2">
      <c r="A3757">
        <v>3752</v>
      </c>
      <c r="B3757" t="s">
        <v>41736</v>
      </c>
      <c r="C3757" t="s">
        <v>41737</v>
      </c>
      <c r="D3757" t="s">
        <v>41738</v>
      </c>
      <c r="E3757" t="s">
        <v>41739</v>
      </c>
      <c r="F3757" t="s">
        <v>41740</v>
      </c>
      <c r="G3757" t="s">
        <v>32</v>
      </c>
      <c r="H3757" t="str">
        <f>"Galm"</f>
        <v>Galm</v>
      </c>
      <c r="I3757" t="s">
        <v>32</v>
      </c>
      <c r="J3757" t="s">
        <v>37</v>
      </c>
      <c r="K3757">
        <v>10090</v>
      </c>
      <c r="L3757" s="3" t="str">
        <f>HYPERLINK("http://www.uniprot.org/uniprot/Q8K157", "Q8K157")</f>
        <v>Q8K157</v>
      </c>
      <c r="M3757" t="s">
        <v>41741</v>
      </c>
      <c r="N3757" t="str">
        <f>"Galm"</f>
        <v>Galm</v>
      </c>
      <c r="O3757" s="3" t="str">
        <f>HYPERLINK("http://www.informatics.jax.org/marker/MGI:2442420", "MGI:2442420")</f>
        <v>MGI:2442420</v>
      </c>
      <c r="P3757" t="s">
        <v>41742</v>
      </c>
      <c r="Q3757" t="s">
        <v>2170</v>
      </c>
      <c r="R3757" t="s">
        <v>418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673</v>
      </c>
      <c r="Y3757" t="s">
        <v>618</v>
      </c>
      <c r="Z3757" t="s">
        <v>32</v>
      </c>
      <c r="AA3757" t="s">
        <v>41743</v>
      </c>
      <c r="AB3757" t="s">
        <v>2172</v>
      </c>
      <c r="AC3757" t="s">
        <v>41744</v>
      </c>
      <c r="AD3757" t="s">
        <v>11607</v>
      </c>
      <c r="AE3757" t="s">
        <v>32</v>
      </c>
      <c r="AF3757" t="s">
        <v>46835</v>
      </c>
    </row>
    <row r="3758" spans="1:32" x14ac:dyDescent="0.2">
      <c r="A3758">
        <v>3753</v>
      </c>
      <c r="B3758" t="s">
        <v>41745</v>
      </c>
      <c r="C3758" t="s">
        <v>41746</v>
      </c>
      <c r="D3758" t="s">
        <v>41747</v>
      </c>
      <c r="E3758" t="s">
        <v>41748</v>
      </c>
      <c r="F3758" t="s">
        <v>41749</v>
      </c>
      <c r="G3758" t="s">
        <v>41750</v>
      </c>
      <c r="H3758" t="str">
        <f>"Dcaf13"</f>
        <v>Dcaf13</v>
      </c>
      <c r="I3758" t="s">
        <v>41751</v>
      </c>
      <c r="J3758" t="s">
        <v>37</v>
      </c>
      <c r="K3758">
        <v>10090</v>
      </c>
      <c r="L3758" s="3" t="str">
        <f>HYPERLINK("http://www.uniprot.org/uniprot/Q6PAC3", "Q6PAC3")</f>
        <v>Q6PAC3</v>
      </c>
      <c r="M3758" t="s">
        <v>41752</v>
      </c>
      <c r="N3758" t="str">
        <f>"Dcaf13"</f>
        <v>Dcaf13</v>
      </c>
      <c r="O3758" s="3" t="str">
        <f>HYPERLINK("http://www.informatics.jax.org/marker/MGI:2684929", "MGI:2684929")</f>
        <v>MGI:2684929</v>
      </c>
      <c r="P3758" t="s">
        <v>41753</v>
      </c>
      <c r="Q3758" t="s">
        <v>41754</v>
      </c>
      <c r="R3758" t="s">
        <v>2279</v>
      </c>
      <c r="S3758" t="s">
        <v>32</v>
      </c>
      <c r="T3758" t="s">
        <v>32</v>
      </c>
      <c r="U3758" t="s">
        <v>32</v>
      </c>
      <c r="V3758" t="s">
        <v>1910</v>
      </c>
      <c r="W3758" t="s">
        <v>32</v>
      </c>
      <c r="X3758" t="s">
        <v>7646</v>
      </c>
      <c r="Y3758" t="s">
        <v>78</v>
      </c>
      <c r="Z3758" t="s">
        <v>32</v>
      </c>
      <c r="AA3758" t="s">
        <v>41755</v>
      </c>
      <c r="AB3758" t="s">
        <v>41756</v>
      </c>
      <c r="AC3758" t="s">
        <v>41757</v>
      </c>
      <c r="AD3758" t="s">
        <v>1027</v>
      </c>
      <c r="AE3758" t="s">
        <v>41758</v>
      </c>
      <c r="AF3758" t="s">
        <v>46835</v>
      </c>
    </row>
    <row r="3759" spans="1:32" x14ac:dyDescent="0.2">
      <c r="A3759">
        <v>3754</v>
      </c>
      <c r="B3759" t="s">
        <v>41759</v>
      </c>
      <c r="C3759" t="s">
        <v>41760</v>
      </c>
      <c r="D3759" t="s">
        <v>41761</v>
      </c>
      <c r="E3759" t="s">
        <v>41762</v>
      </c>
      <c r="F3759" t="s">
        <v>41763</v>
      </c>
      <c r="G3759" t="s">
        <v>41764</v>
      </c>
      <c r="H3759" t="str">
        <f>"Cdkal1"</f>
        <v>Cdkal1</v>
      </c>
      <c r="I3759" t="s">
        <v>32</v>
      </c>
      <c r="J3759" t="s">
        <v>37</v>
      </c>
      <c r="K3759">
        <v>10090</v>
      </c>
      <c r="L3759" s="3" t="str">
        <f>HYPERLINK("http://www.uniprot.org/uniprot/Q91WE6", "Q91WE6")</f>
        <v>Q91WE6</v>
      </c>
      <c r="M3759" t="s">
        <v>41765</v>
      </c>
      <c r="N3759" t="str">
        <f>"Cdkal1"</f>
        <v>Cdkal1</v>
      </c>
      <c r="O3759" s="3" t="str">
        <f>HYPERLINK("http://www.informatics.jax.org/marker/MGI:1921765", "MGI:1921765")</f>
        <v>MGI:1921765</v>
      </c>
      <c r="P3759" t="s">
        <v>41766</v>
      </c>
      <c r="Q3759" t="s">
        <v>4386</v>
      </c>
      <c r="R3759" t="s">
        <v>1664</v>
      </c>
      <c r="S3759" t="s">
        <v>41</v>
      </c>
      <c r="T3759" t="s">
        <v>32</v>
      </c>
      <c r="U3759" t="s">
        <v>32</v>
      </c>
      <c r="V3759" t="s">
        <v>493</v>
      </c>
      <c r="W3759" t="s">
        <v>14310</v>
      </c>
      <c r="X3759" t="s">
        <v>515</v>
      </c>
      <c r="Y3759" t="s">
        <v>618</v>
      </c>
      <c r="Z3759" t="s">
        <v>32</v>
      </c>
      <c r="AA3759" t="s">
        <v>41767</v>
      </c>
      <c r="AB3759" t="s">
        <v>41768</v>
      </c>
      <c r="AC3759" t="s">
        <v>41769</v>
      </c>
      <c r="AD3759" t="s">
        <v>32</v>
      </c>
      <c r="AE3759" t="s">
        <v>32</v>
      </c>
      <c r="AF3759" t="s">
        <v>46835</v>
      </c>
    </row>
    <row r="3760" spans="1:32" x14ac:dyDescent="0.2">
      <c r="A3760">
        <v>3755</v>
      </c>
      <c r="B3760" t="s">
        <v>41770</v>
      </c>
      <c r="C3760" t="s">
        <v>41771</v>
      </c>
      <c r="D3760" t="s">
        <v>32</v>
      </c>
      <c r="E3760" t="s">
        <v>41772</v>
      </c>
      <c r="F3760" t="s">
        <v>41773</v>
      </c>
      <c r="G3760" t="s">
        <v>41774</v>
      </c>
      <c r="H3760" t="str">
        <f>"Dnttip2"</f>
        <v>Dnttip2</v>
      </c>
      <c r="I3760" t="s">
        <v>32</v>
      </c>
      <c r="J3760" t="s">
        <v>37</v>
      </c>
      <c r="K3760">
        <v>10090</v>
      </c>
      <c r="L3760" s="3" t="str">
        <f>HYPERLINK("http://www.uniprot.org/uniprot/Q8R2M2", "Q8R2M2")</f>
        <v>Q8R2M2</v>
      </c>
      <c r="M3760" t="s">
        <v>41775</v>
      </c>
      <c r="N3760" t="str">
        <f>"Dnttip2"</f>
        <v>Dnttip2</v>
      </c>
      <c r="O3760" s="3" t="str">
        <f>HYPERLINK("http://www.informatics.jax.org/marker/MGI:1923173", "MGI:1923173")</f>
        <v>MGI:1923173</v>
      </c>
      <c r="P3760" t="s">
        <v>41776</v>
      </c>
      <c r="Q3760" t="s">
        <v>4152</v>
      </c>
      <c r="R3760" t="s">
        <v>2279</v>
      </c>
      <c r="S3760" t="s">
        <v>32</v>
      </c>
      <c r="T3760" t="s">
        <v>32</v>
      </c>
      <c r="U3760" t="s">
        <v>32</v>
      </c>
      <c r="V3760" t="s">
        <v>290</v>
      </c>
      <c r="W3760" t="s">
        <v>32</v>
      </c>
      <c r="X3760" t="s">
        <v>32</v>
      </c>
      <c r="Y3760" t="s">
        <v>1007</v>
      </c>
      <c r="Z3760" t="s">
        <v>32</v>
      </c>
      <c r="AA3760" t="s">
        <v>21039</v>
      </c>
      <c r="AB3760" t="s">
        <v>41777</v>
      </c>
      <c r="AC3760" t="s">
        <v>32</v>
      </c>
      <c r="AD3760" t="s">
        <v>32</v>
      </c>
      <c r="AE3760" t="s">
        <v>32</v>
      </c>
      <c r="AF3760" t="s">
        <v>46835</v>
      </c>
    </row>
    <row r="3761" spans="1:33" x14ac:dyDescent="0.2">
      <c r="A3761">
        <v>3756</v>
      </c>
      <c r="B3761" t="s">
        <v>41778</v>
      </c>
      <c r="C3761" t="s">
        <v>41779</v>
      </c>
      <c r="D3761" t="s">
        <v>41780</v>
      </c>
      <c r="E3761" t="s">
        <v>41781</v>
      </c>
      <c r="F3761" t="s">
        <v>41782</v>
      </c>
      <c r="G3761" t="s">
        <v>41783</v>
      </c>
      <c r="H3761" t="str">
        <f>"Rmc1"</f>
        <v>Rmc1</v>
      </c>
      <c r="I3761" t="s">
        <v>41784</v>
      </c>
      <c r="J3761" t="s">
        <v>37</v>
      </c>
      <c r="K3761">
        <v>10090</v>
      </c>
      <c r="L3761" s="3" t="str">
        <f>HYPERLINK("http://www.uniprot.org/uniprot/Q8VC42", "Q8VC42")</f>
        <v>Q8VC42</v>
      </c>
      <c r="M3761" t="s">
        <v>41785</v>
      </c>
      <c r="N3761" t="str">
        <f>"Rmc1"</f>
        <v>Rmc1</v>
      </c>
      <c r="O3761" s="3" t="str">
        <f>HYPERLINK("http://www.informatics.jax.org/marker/MGI:1916528", "MGI:1916528")</f>
        <v>MGI:1916528</v>
      </c>
      <c r="P3761" t="s">
        <v>41786</v>
      </c>
      <c r="Q3761" t="s">
        <v>11661</v>
      </c>
      <c r="R3761" t="s">
        <v>20648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32</v>
      </c>
      <c r="Y3761" t="s">
        <v>32</v>
      </c>
      <c r="Z3761" t="s">
        <v>32</v>
      </c>
      <c r="AA3761" t="s">
        <v>41787</v>
      </c>
      <c r="AB3761" t="s">
        <v>41788</v>
      </c>
      <c r="AC3761" t="s">
        <v>32</v>
      </c>
      <c r="AD3761" t="s">
        <v>32</v>
      </c>
      <c r="AE3761" t="s">
        <v>32</v>
      </c>
      <c r="AF3761" t="s">
        <v>46835</v>
      </c>
    </row>
    <row r="3762" spans="1:33" x14ac:dyDescent="0.2">
      <c r="A3762">
        <v>3757</v>
      </c>
      <c r="B3762" t="s">
        <v>41789</v>
      </c>
      <c r="C3762" t="s">
        <v>41790</v>
      </c>
      <c r="D3762" t="s">
        <v>41791</v>
      </c>
      <c r="E3762" t="s">
        <v>41792</v>
      </c>
      <c r="F3762" t="s">
        <v>41793</v>
      </c>
      <c r="G3762" t="s">
        <v>41794</v>
      </c>
      <c r="H3762" t="str">
        <f>"Rhoj"</f>
        <v>Rhoj</v>
      </c>
      <c r="I3762" t="s">
        <v>32</v>
      </c>
      <c r="J3762" t="s">
        <v>37</v>
      </c>
      <c r="K3762">
        <v>10090</v>
      </c>
      <c r="L3762" s="3" t="str">
        <f>HYPERLINK("http://www.uniprot.org/uniprot/Q9ER71", "Q9ER71")</f>
        <v>Q9ER71</v>
      </c>
      <c r="M3762" t="s">
        <v>41795</v>
      </c>
      <c r="N3762" t="str">
        <f>"Rhoj"</f>
        <v>Rhoj</v>
      </c>
      <c r="O3762" s="3" t="str">
        <f>HYPERLINK("http://www.informatics.jax.org/marker/MGI:1931551", "MGI:1931551")</f>
        <v>MGI:1931551</v>
      </c>
      <c r="P3762" t="s">
        <v>41796</v>
      </c>
      <c r="Q3762" t="s">
        <v>4227</v>
      </c>
      <c r="R3762" t="s">
        <v>2474</v>
      </c>
      <c r="S3762" t="s">
        <v>41</v>
      </c>
      <c r="T3762" t="s">
        <v>32</v>
      </c>
      <c r="U3762" t="s">
        <v>32</v>
      </c>
      <c r="V3762" t="s">
        <v>32</v>
      </c>
      <c r="W3762" t="s">
        <v>261</v>
      </c>
      <c r="X3762" t="s">
        <v>32</v>
      </c>
      <c r="Y3762" t="s">
        <v>25436</v>
      </c>
      <c r="Z3762" t="s">
        <v>32</v>
      </c>
      <c r="AA3762" t="s">
        <v>41797</v>
      </c>
      <c r="AB3762" t="s">
        <v>3099</v>
      </c>
      <c r="AC3762" t="s">
        <v>15410</v>
      </c>
      <c r="AD3762" t="s">
        <v>32</v>
      </c>
      <c r="AE3762" t="s">
        <v>41798</v>
      </c>
      <c r="AF3762" t="s">
        <v>46835</v>
      </c>
    </row>
    <row r="3763" spans="1:33" x14ac:dyDescent="0.2">
      <c r="A3763">
        <v>3758</v>
      </c>
      <c r="B3763" t="s">
        <v>41799</v>
      </c>
      <c r="C3763" t="s">
        <v>41800</v>
      </c>
      <c r="D3763" t="s">
        <v>32</v>
      </c>
      <c r="E3763" t="s">
        <v>41801</v>
      </c>
      <c r="F3763" t="s">
        <v>41802</v>
      </c>
      <c r="G3763" t="s">
        <v>41803</v>
      </c>
      <c r="H3763" t="str">
        <f>"Ints9"</f>
        <v>Ints9</v>
      </c>
      <c r="I3763" t="s">
        <v>41804</v>
      </c>
      <c r="J3763" t="s">
        <v>37</v>
      </c>
      <c r="K3763">
        <v>10090</v>
      </c>
      <c r="L3763" s="3" t="str">
        <f>HYPERLINK("http://www.uniprot.org/uniprot/Q8K114", "Q8K114")</f>
        <v>Q8K114</v>
      </c>
      <c r="M3763" t="s">
        <v>41805</v>
      </c>
      <c r="N3763" t="str">
        <f>"Ints9"</f>
        <v>Ints9</v>
      </c>
      <c r="O3763" s="3" t="str">
        <f>HYPERLINK("http://www.informatics.jax.org/marker/MGI:1098533", "MGI:1098533")</f>
        <v>MGI:1098533</v>
      </c>
      <c r="P3763" t="s">
        <v>41806</v>
      </c>
      <c r="Q3763" t="s">
        <v>32</v>
      </c>
      <c r="R3763" t="s">
        <v>2279</v>
      </c>
      <c r="S3763" t="s">
        <v>41</v>
      </c>
      <c r="T3763" t="s">
        <v>32</v>
      </c>
      <c r="U3763" t="s">
        <v>32</v>
      </c>
      <c r="V3763" t="s">
        <v>32</v>
      </c>
      <c r="W3763" t="s">
        <v>32</v>
      </c>
      <c r="X3763" t="s">
        <v>32</v>
      </c>
      <c r="Y3763" t="s">
        <v>7792</v>
      </c>
      <c r="Z3763" t="s">
        <v>32</v>
      </c>
      <c r="AA3763" t="s">
        <v>33915</v>
      </c>
      <c r="AB3763" t="s">
        <v>41807</v>
      </c>
      <c r="AC3763" t="s">
        <v>32</v>
      </c>
      <c r="AD3763" t="s">
        <v>32</v>
      </c>
      <c r="AE3763" t="s">
        <v>22679</v>
      </c>
      <c r="AF3763" t="s">
        <v>46835</v>
      </c>
    </row>
    <row r="3764" spans="1:33" x14ac:dyDescent="0.2">
      <c r="A3764">
        <v>3759</v>
      </c>
      <c r="B3764" t="s">
        <v>41808</v>
      </c>
      <c r="C3764" t="s">
        <v>41809</v>
      </c>
      <c r="D3764" t="s">
        <v>32</v>
      </c>
      <c r="E3764" t="s">
        <v>41810</v>
      </c>
      <c r="F3764" t="s">
        <v>41811</v>
      </c>
      <c r="G3764" t="s">
        <v>32</v>
      </c>
      <c r="H3764" t="str">
        <f>"Tmem245"</f>
        <v>Tmem245</v>
      </c>
      <c r="I3764" t="s">
        <v>32</v>
      </c>
      <c r="J3764" t="s">
        <v>37</v>
      </c>
      <c r="K3764">
        <v>10090</v>
      </c>
      <c r="L3764" s="3" t="str">
        <f>HYPERLINK("http://www.uniprot.org/uniprot/B1AZA5", "B1AZA5")</f>
        <v>B1AZA5</v>
      </c>
      <c r="M3764" t="s">
        <v>41812</v>
      </c>
      <c r="N3764" t="str">
        <f>"Tmem245"</f>
        <v>Tmem245</v>
      </c>
      <c r="O3764" s="3" t="str">
        <f>HYPERLINK("http://www.informatics.jax.org/marker/MGI:2445107", "MGI:2445107")</f>
        <v>MGI:2445107</v>
      </c>
      <c r="P3764" t="s">
        <v>41813</v>
      </c>
      <c r="Q3764" t="s">
        <v>32</v>
      </c>
      <c r="R3764" t="s">
        <v>5989</v>
      </c>
      <c r="S3764" t="s">
        <v>32</v>
      </c>
      <c r="T3764" t="s">
        <v>32</v>
      </c>
      <c r="U3764" t="s">
        <v>32</v>
      </c>
      <c r="V3764" t="s">
        <v>493</v>
      </c>
      <c r="W3764" t="s">
        <v>32</v>
      </c>
      <c r="X3764" t="s">
        <v>32</v>
      </c>
      <c r="Y3764" t="s">
        <v>372</v>
      </c>
      <c r="Z3764" t="s">
        <v>32</v>
      </c>
      <c r="AA3764" t="s">
        <v>32</v>
      </c>
      <c r="AB3764" t="s">
        <v>14923</v>
      </c>
      <c r="AC3764" t="s">
        <v>32</v>
      </c>
      <c r="AD3764" t="s">
        <v>32</v>
      </c>
      <c r="AE3764" t="s">
        <v>32</v>
      </c>
      <c r="AF3764" t="s">
        <v>46835</v>
      </c>
    </row>
    <row r="3765" spans="1:33" x14ac:dyDescent="0.2">
      <c r="A3765">
        <v>3760</v>
      </c>
      <c r="B3765" t="s">
        <v>41814</v>
      </c>
      <c r="C3765" t="s">
        <v>41815</v>
      </c>
      <c r="D3765" t="s">
        <v>41816</v>
      </c>
      <c r="E3765" t="s">
        <v>41817</v>
      </c>
      <c r="F3765" t="s">
        <v>41818</v>
      </c>
      <c r="G3765" t="s">
        <v>41819</v>
      </c>
      <c r="H3765" t="str">
        <f>"Lmf1"</f>
        <v>Lmf1</v>
      </c>
      <c r="I3765" t="s">
        <v>41820</v>
      </c>
      <c r="J3765" t="s">
        <v>37</v>
      </c>
      <c r="K3765">
        <v>10090</v>
      </c>
      <c r="L3765" s="3" t="str">
        <f>HYPERLINK("http://www.uniprot.org/uniprot/Q3U3R4", "Q3U3R4")</f>
        <v>Q3U3R4</v>
      </c>
      <c r="M3765" t="s">
        <v>41821</v>
      </c>
      <c r="N3765" t="str">
        <f>"Lmf1"</f>
        <v>Lmf1</v>
      </c>
      <c r="O3765" s="3" t="str">
        <f>HYPERLINK("http://www.informatics.jax.org/marker/MGI:1923733", "MGI:1923733")</f>
        <v>MGI:1923733</v>
      </c>
      <c r="P3765" t="s">
        <v>41822</v>
      </c>
      <c r="Q3765" t="s">
        <v>32</v>
      </c>
      <c r="R3765" t="s">
        <v>1664</v>
      </c>
      <c r="S3765" t="s">
        <v>41</v>
      </c>
      <c r="T3765" t="s">
        <v>32</v>
      </c>
      <c r="U3765" t="s">
        <v>32</v>
      </c>
      <c r="V3765" t="s">
        <v>493</v>
      </c>
      <c r="W3765" t="s">
        <v>32</v>
      </c>
      <c r="X3765" t="s">
        <v>388</v>
      </c>
      <c r="Y3765" t="s">
        <v>32</v>
      </c>
      <c r="Z3765" t="s">
        <v>32</v>
      </c>
      <c r="AA3765" t="s">
        <v>41823</v>
      </c>
      <c r="AB3765" t="s">
        <v>31529</v>
      </c>
      <c r="AC3765" t="s">
        <v>32</v>
      </c>
      <c r="AD3765" t="s">
        <v>32</v>
      </c>
      <c r="AE3765" t="s">
        <v>41824</v>
      </c>
      <c r="AF3765" t="s">
        <v>46835</v>
      </c>
    </row>
    <row r="3766" spans="1:33" x14ac:dyDescent="0.2">
      <c r="A3766">
        <v>3761</v>
      </c>
      <c r="B3766" t="s">
        <v>41825</v>
      </c>
      <c r="C3766" t="s">
        <v>47170</v>
      </c>
      <c r="D3766" t="s">
        <v>32</v>
      </c>
      <c r="E3766" t="s">
        <v>47056</v>
      </c>
      <c r="F3766" t="s">
        <v>47055</v>
      </c>
      <c r="G3766" t="s">
        <v>32</v>
      </c>
      <c r="H3766" t="s">
        <v>47301</v>
      </c>
      <c r="I3766" t="s">
        <v>32</v>
      </c>
      <c r="J3766" t="s">
        <v>37</v>
      </c>
      <c r="K3766">
        <v>10090</v>
      </c>
      <c r="L3766" s="3" t="str">
        <f>HYPERLINK(CONCATENATE("https://www.uniprot.org/uniprotkb/", AG3766, "/entry"), AG3766)</f>
        <v>G3X9B1</v>
      </c>
      <c r="M3766" t="s">
        <v>32</v>
      </c>
      <c r="N3766" t="s">
        <v>32</v>
      </c>
      <c r="O3766" s="3" t="s">
        <v>32</v>
      </c>
      <c r="P3766" t="s">
        <v>32</v>
      </c>
      <c r="Q3766" t="s">
        <v>32</v>
      </c>
      <c r="R3766" t="s">
        <v>32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32</v>
      </c>
      <c r="Y3766" t="s">
        <v>32</v>
      </c>
      <c r="Z3766" t="s">
        <v>32</v>
      </c>
      <c r="AA3766" t="s">
        <v>32</v>
      </c>
      <c r="AB3766" t="s">
        <v>32</v>
      </c>
      <c r="AC3766" t="s">
        <v>32</v>
      </c>
      <c r="AD3766" t="s">
        <v>32</v>
      </c>
      <c r="AE3766" t="s">
        <v>32</v>
      </c>
      <c r="AF3766" t="s">
        <v>46835</v>
      </c>
      <c r="AG3766" t="s">
        <v>47055</v>
      </c>
    </row>
    <row r="3767" spans="1:33" x14ac:dyDescent="0.2">
      <c r="A3767">
        <v>3762</v>
      </c>
      <c r="B3767" t="s">
        <v>41826</v>
      </c>
      <c r="C3767" t="s">
        <v>41827</v>
      </c>
      <c r="D3767" t="s">
        <v>41828</v>
      </c>
      <c r="E3767" t="s">
        <v>41829</v>
      </c>
      <c r="F3767" t="s">
        <v>41830</v>
      </c>
      <c r="G3767" t="s">
        <v>41831</v>
      </c>
      <c r="H3767" t="str">
        <f>"Brix1"</f>
        <v>Brix1</v>
      </c>
      <c r="I3767" t="s">
        <v>41832</v>
      </c>
      <c r="J3767" t="s">
        <v>37</v>
      </c>
      <c r="K3767">
        <v>10090</v>
      </c>
      <c r="L3767" s="3" t="str">
        <f>HYPERLINK("http://www.uniprot.org/uniprot/Q9DCA5", "Q9DCA5")</f>
        <v>Q9DCA5</v>
      </c>
      <c r="M3767" t="s">
        <v>41833</v>
      </c>
      <c r="N3767" t="str">
        <f>"Brix1"</f>
        <v>Brix1</v>
      </c>
      <c r="O3767" s="3" t="str">
        <f>HYPERLINK("http://www.informatics.jax.org/marker/MGI:1915082", "MGI:1915082")</f>
        <v>MGI:1915082</v>
      </c>
      <c r="P3767" t="s">
        <v>41834</v>
      </c>
      <c r="Q3767" t="s">
        <v>6400</v>
      </c>
      <c r="R3767" t="s">
        <v>2279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32</v>
      </c>
      <c r="Y3767" t="s">
        <v>516</v>
      </c>
      <c r="Z3767" t="s">
        <v>32</v>
      </c>
      <c r="AA3767" t="s">
        <v>41835</v>
      </c>
      <c r="AB3767" t="s">
        <v>29243</v>
      </c>
      <c r="AC3767" t="s">
        <v>41836</v>
      </c>
      <c r="AD3767" t="s">
        <v>32</v>
      </c>
      <c r="AE3767" t="s">
        <v>32</v>
      </c>
      <c r="AF3767" t="s">
        <v>46835</v>
      </c>
    </row>
    <row r="3768" spans="1:33" x14ac:dyDescent="0.2">
      <c r="A3768">
        <v>3763</v>
      </c>
      <c r="B3768" t="s">
        <v>41837</v>
      </c>
      <c r="C3768" t="s">
        <v>41838</v>
      </c>
      <c r="D3768" t="s">
        <v>41839</v>
      </c>
      <c r="E3768" t="s">
        <v>41840</v>
      </c>
      <c r="F3768" t="s">
        <v>41841</v>
      </c>
      <c r="G3768" t="s">
        <v>32</v>
      </c>
      <c r="H3768" t="str">
        <f>"H3-5"</f>
        <v>H3-5</v>
      </c>
      <c r="I3768" t="s">
        <v>32</v>
      </c>
      <c r="J3768" t="s">
        <v>37</v>
      </c>
      <c r="K3768">
        <v>10090</v>
      </c>
      <c r="L3768" s="3" t="str">
        <f>HYPERLINK("http://www.uniprot.org/uniprot/P02301", "P02301")</f>
        <v>P02301</v>
      </c>
      <c r="M3768" t="s">
        <v>41842</v>
      </c>
      <c r="N3768" t="str">
        <f>"H3f3c"</f>
        <v>H3f3c</v>
      </c>
      <c r="O3768" s="3" t="str">
        <f>HYPERLINK("http://www.informatics.jax.org/marker/MGI:3650546", "MGI:3650546")</f>
        <v>MGI:3650546</v>
      </c>
      <c r="P3768" t="s">
        <v>41843</v>
      </c>
      <c r="Q3768" t="s">
        <v>32</v>
      </c>
      <c r="R3768" t="s">
        <v>246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247</v>
      </c>
      <c r="Y3768" t="s">
        <v>18962</v>
      </c>
      <c r="Z3768" t="s">
        <v>32</v>
      </c>
      <c r="AA3768" t="s">
        <v>249</v>
      </c>
      <c r="AB3768" t="s">
        <v>12602</v>
      </c>
      <c r="AC3768" t="s">
        <v>251</v>
      </c>
      <c r="AD3768" t="s">
        <v>32</v>
      </c>
      <c r="AE3768" t="s">
        <v>32</v>
      </c>
      <c r="AF3768" t="s">
        <v>46835</v>
      </c>
    </row>
    <row r="3769" spans="1:33" x14ac:dyDescent="0.2">
      <c r="A3769">
        <v>3764</v>
      </c>
      <c r="B3769" t="s">
        <v>41844</v>
      </c>
      <c r="C3769" t="s">
        <v>41845</v>
      </c>
      <c r="D3769" t="s">
        <v>41846</v>
      </c>
      <c r="E3769" t="s">
        <v>41847</v>
      </c>
      <c r="F3769" t="s">
        <v>41848</v>
      </c>
      <c r="G3769" t="s">
        <v>41849</v>
      </c>
      <c r="H3769" t="str">
        <f>"Ddx24"</f>
        <v>Ddx24</v>
      </c>
      <c r="I3769" t="s">
        <v>32</v>
      </c>
      <c r="J3769" t="s">
        <v>37</v>
      </c>
      <c r="K3769">
        <v>10090</v>
      </c>
      <c r="L3769" s="3" t="str">
        <f>HYPERLINK("http://www.uniprot.org/uniprot/Q9ESV0", "Q9ESV0")</f>
        <v>Q9ESV0</v>
      </c>
      <c r="M3769" t="s">
        <v>41850</v>
      </c>
      <c r="N3769" t="str">
        <f>"Ddx24"</f>
        <v>Ddx24</v>
      </c>
      <c r="O3769" s="3" t="str">
        <f>HYPERLINK("http://www.informatics.jax.org/marker/MGI:1351337", "MGI:1351337")</f>
        <v>MGI:1351337</v>
      </c>
      <c r="P3769" t="s">
        <v>41851</v>
      </c>
      <c r="Q3769" t="s">
        <v>32</v>
      </c>
      <c r="R3769" t="s">
        <v>32</v>
      </c>
      <c r="S3769" t="s">
        <v>32</v>
      </c>
      <c r="T3769" t="s">
        <v>32</v>
      </c>
      <c r="U3769" t="s">
        <v>32</v>
      </c>
      <c r="V3769" t="s">
        <v>32</v>
      </c>
      <c r="W3769" t="s">
        <v>205</v>
      </c>
      <c r="X3769" t="s">
        <v>5050</v>
      </c>
      <c r="Y3769" t="s">
        <v>1007</v>
      </c>
      <c r="Z3769" t="s">
        <v>32</v>
      </c>
      <c r="AA3769" t="s">
        <v>32</v>
      </c>
      <c r="AB3769" t="s">
        <v>6402</v>
      </c>
      <c r="AC3769" t="s">
        <v>5185</v>
      </c>
      <c r="AD3769" t="s">
        <v>32</v>
      </c>
      <c r="AE3769" t="s">
        <v>32</v>
      </c>
      <c r="AF3769" t="s">
        <v>46835</v>
      </c>
    </row>
    <row r="3770" spans="1:33" x14ac:dyDescent="0.2">
      <c r="A3770">
        <v>3765</v>
      </c>
      <c r="B3770" t="s">
        <v>41852</v>
      </c>
      <c r="C3770" t="s">
        <v>41853</v>
      </c>
      <c r="D3770" t="s">
        <v>32</v>
      </c>
      <c r="E3770" t="s">
        <v>41854</v>
      </c>
      <c r="F3770" t="s">
        <v>41855</v>
      </c>
      <c r="G3770" t="s">
        <v>41856</v>
      </c>
      <c r="H3770" t="str">
        <f>"Kti12"</f>
        <v>Kti12</v>
      </c>
      <c r="I3770" t="s">
        <v>32</v>
      </c>
      <c r="J3770" t="s">
        <v>37</v>
      </c>
      <c r="K3770">
        <v>10090</v>
      </c>
      <c r="L3770" s="3" t="str">
        <f>HYPERLINK("http://www.uniprot.org/uniprot/Q9D1R2", "Q9D1R2")</f>
        <v>Q9D1R2</v>
      </c>
      <c r="M3770" t="s">
        <v>41857</v>
      </c>
      <c r="N3770" t="str">
        <f>"Kti12"</f>
        <v>Kti12</v>
      </c>
      <c r="O3770" s="3" t="str">
        <f>HYPERLINK("http://www.informatics.jax.org/marker/MGI:1923547", "MGI:1923547")</f>
        <v>MGI:1923547</v>
      </c>
      <c r="P3770" t="s">
        <v>41858</v>
      </c>
      <c r="Q3770" t="s">
        <v>32</v>
      </c>
      <c r="R3770" t="s">
        <v>32</v>
      </c>
      <c r="S3770" t="s">
        <v>32</v>
      </c>
      <c r="T3770" t="s">
        <v>32</v>
      </c>
      <c r="U3770" t="s">
        <v>32</v>
      </c>
      <c r="V3770" t="s">
        <v>32</v>
      </c>
      <c r="W3770" t="s">
        <v>205</v>
      </c>
      <c r="X3770" t="s">
        <v>32</v>
      </c>
      <c r="Y3770" t="s">
        <v>157</v>
      </c>
      <c r="Z3770" t="s">
        <v>32</v>
      </c>
      <c r="AA3770" t="s">
        <v>21942</v>
      </c>
      <c r="AB3770" t="s">
        <v>32</v>
      </c>
      <c r="AC3770" t="s">
        <v>12108</v>
      </c>
      <c r="AD3770" t="s">
        <v>32</v>
      </c>
      <c r="AE3770" t="s">
        <v>32</v>
      </c>
      <c r="AF3770" t="s">
        <v>46835</v>
      </c>
    </row>
    <row r="3771" spans="1:33" x14ac:dyDescent="0.2">
      <c r="A3771">
        <v>3766</v>
      </c>
      <c r="B3771" t="s">
        <v>41859</v>
      </c>
      <c r="C3771" t="s">
        <v>41860</v>
      </c>
      <c r="D3771" t="s">
        <v>41861</v>
      </c>
      <c r="E3771" t="s">
        <v>41862</v>
      </c>
      <c r="F3771" t="s">
        <v>41863</v>
      </c>
      <c r="G3771" t="s">
        <v>41864</v>
      </c>
      <c r="H3771" t="str">
        <f>"Tfip11"</f>
        <v>Tfip11</v>
      </c>
      <c r="I3771" t="s">
        <v>41865</v>
      </c>
      <c r="J3771" t="s">
        <v>37</v>
      </c>
      <c r="K3771">
        <v>10090</v>
      </c>
      <c r="L3771" s="3" t="str">
        <f>HYPERLINK("http://www.uniprot.org/uniprot/Q9ERA6", "Q9ERA6")</f>
        <v>Q9ERA6</v>
      </c>
      <c r="M3771" t="s">
        <v>41866</v>
      </c>
      <c r="N3771" t="str">
        <f>"Tfip11"</f>
        <v>Tfip11</v>
      </c>
      <c r="O3771" s="3" t="str">
        <f>HYPERLINK("http://www.informatics.jax.org/marker/MGI:1930075", "MGI:1930075")</f>
        <v>MGI:1930075</v>
      </c>
      <c r="P3771" t="s">
        <v>41867</v>
      </c>
      <c r="Q3771" t="s">
        <v>41868</v>
      </c>
      <c r="R3771" t="s">
        <v>2219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32</v>
      </c>
      <c r="Y3771" t="s">
        <v>618</v>
      </c>
      <c r="Z3771" t="s">
        <v>32</v>
      </c>
      <c r="AA3771" t="s">
        <v>41869</v>
      </c>
      <c r="AB3771" t="s">
        <v>41870</v>
      </c>
      <c r="AC3771" t="s">
        <v>10795</v>
      </c>
      <c r="AD3771" t="s">
        <v>32</v>
      </c>
      <c r="AE3771" t="s">
        <v>32</v>
      </c>
      <c r="AF3771" t="s">
        <v>46835</v>
      </c>
    </row>
    <row r="3772" spans="1:33" x14ac:dyDescent="0.2">
      <c r="A3772">
        <v>3767</v>
      </c>
      <c r="B3772" t="s">
        <v>41871</v>
      </c>
      <c r="C3772" t="s">
        <v>41872</v>
      </c>
      <c r="D3772" t="s">
        <v>41873</v>
      </c>
      <c r="E3772" t="s">
        <v>41874</v>
      </c>
      <c r="F3772" t="s">
        <v>41875</v>
      </c>
      <c r="G3772" t="s">
        <v>41876</v>
      </c>
      <c r="H3772" t="str">
        <f>"Atf7ip"</f>
        <v>Atf7ip</v>
      </c>
      <c r="I3772" t="s">
        <v>41877</v>
      </c>
      <c r="J3772" t="s">
        <v>37</v>
      </c>
      <c r="K3772">
        <v>10090</v>
      </c>
      <c r="L3772" s="3" t="str">
        <f>HYPERLINK("http://www.uniprot.org/uniprot/Q7TT18", "Q7TT18")</f>
        <v>Q7TT18</v>
      </c>
      <c r="M3772" t="s">
        <v>41878</v>
      </c>
      <c r="N3772" t="str">
        <f>"Atf7ip"</f>
        <v>Atf7ip</v>
      </c>
      <c r="O3772" s="3" t="str">
        <f>HYPERLINK("http://www.informatics.jax.org/marker/MGI:1858965", "MGI:1858965")</f>
        <v>MGI:1858965</v>
      </c>
      <c r="P3772" t="s">
        <v>41879</v>
      </c>
      <c r="Q3772" t="s">
        <v>4152</v>
      </c>
      <c r="R3772" t="s">
        <v>2279</v>
      </c>
      <c r="S3772" t="s">
        <v>41</v>
      </c>
      <c r="T3772" t="s">
        <v>32</v>
      </c>
      <c r="U3772" t="s">
        <v>32</v>
      </c>
      <c r="V3772" t="s">
        <v>137</v>
      </c>
      <c r="W3772" t="s">
        <v>32</v>
      </c>
      <c r="X3772" t="s">
        <v>6736</v>
      </c>
      <c r="Y3772" t="s">
        <v>516</v>
      </c>
      <c r="Z3772" t="s">
        <v>32</v>
      </c>
      <c r="AA3772" t="s">
        <v>41880</v>
      </c>
      <c r="AB3772" t="s">
        <v>41881</v>
      </c>
      <c r="AC3772" t="s">
        <v>41882</v>
      </c>
      <c r="AD3772" t="s">
        <v>32</v>
      </c>
      <c r="AE3772" t="s">
        <v>19097</v>
      </c>
      <c r="AF3772" t="s">
        <v>46835</v>
      </c>
    </row>
    <row r="3773" spans="1:33" x14ac:dyDescent="0.2">
      <c r="A3773">
        <v>3768</v>
      </c>
      <c r="B3773" t="s">
        <v>41883</v>
      </c>
      <c r="C3773" t="s">
        <v>41884</v>
      </c>
      <c r="D3773" t="s">
        <v>41885</v>
      </c>
      <c r="E3773" t="s">
        <v>41886</v>
      </c>
      <c r="F3773" t="s">
        <v>41887</v>
      </c>
      <c r="G3773" t="s">
        <v>41888</v>
      </c>
      <c r="H3773" t="str">
        <f>"Riox2"</f>
        <v>Riox2</v>
      </c>
      <c r="I3773" t="s">
        <v>32</v>
      </c>
      <c r="J3773" t="s">
        <v>37</v>
      </c>
      <c r="K3773">
        <v>10090</v>
      </c>
      <c r="L3773" s="3" t="str">
        <f>HYPERLINK("http://www.uniprot.org/uniprot/Q8CD15", "Q8CD15")</f>
        <v>Q8CD15</v>
      </c>
      <c r="M3773" t="s">
        <v>41889</v>
      </c>
      <c r="N3773" t="str">
        <f>"Riox2"</f>
        <v>Riox2</v>
      </c>
      <c r="O3773" s="3" t="str">
        <f>HYPERLINK("http://www.informatics.jax.org/marker/MGI:1914264", "MGI:1914264")</f>
        <v>MGI:1914264</v>
      </c>
      <c r="P3773" t="s">
        <v>41890</v>
      </c>
      <c r="Q3773" t="s">
        <v>20559</v>
      </c>
      <c r="R3773" t="s">
        <v>2279</v>
      </c>
      <c r="S3773" t="s">
        <v>32</v>
      </c>
      <c r="T3773" t="s">
        <v>32</v>
      </c>
      <c r="U3773" t="s">
        <v>32</v>
      </c>
      <c r="V3773" t="s">
        <v>32</v>
      </c>
      <c r="W3773" t="s">
        <v>845</v>
      </c>
      <c r="X3773" t="s">
        <v>3732</v>
      </c>
      <c r="Y3773" t="s">
        <v>618</v>
      </c>
      <c r="Z3773" t="s">
        <v>32</v>
      </c>
      <c r="AA3773" t="s">
        <v>41891</v>
      </c>
      <c r="AB3773" t="s">
        <v>41892</v>
      </c>
      <c r="AC3773" t="s">
        <v>41893</v>
      </c>
      <c r="AD3773" t="s">
        <v>32</v>
      </c>
      <c r="AE3773" t="s">
        <v>24689</v>
      </c>
      <c r="AF3773" t="s">
        <v>46835</v>
      </c>
    </row>
    <row r="3774" spans="1:33" x14ac:dyDescent="0.2">
      <c r="A3774">
        <v>3769</v>
      </c>
      <c r="B3774" t="s">
        <v>41894</v>
      </c>
      <c r="C3774" t="s">
        <v>41895</v>
      </c>
      <c r="D3774" t="s">
        <v>41896</v>
      </c>
      <c r="E3774" t="s">
        <v>41897</v>
      </c>
      <c r="F3774" t="s">
        <v>41898</v>
      </c>
      <c r="G3774" t="s">
        <v>41899</v>
      </c>
      <c r="H3774" t="str">
        <f>"Riox1"</f>
        <v>Riox1</v>
      </c>
      <c r="I3774" t="s">
        <v>32</v>
      </c>
      <c r="J3774" t="s">
        <v>37</v>
      </c>
      <c r="K3774">
        <v>10090</v>
      </c>
      <c r="L3774" s="3" t="str">
        <f>HYPERLINK("http://www.uniprot.org/uniprot/Q9JJF3", "Q9JJF3")</f>
        <v>Q9JJF3</v>
      </c>
      <c r="M3774" t="s">
        <v>41900</v>
      </c>
      <c r="N3774" t="str">
        <f>"Riox1"</f>
        <v>Riox1</v>
      </c>
      <c r="O3774" s="3" t="str">
        <f>HYPERLINK("http://www.informatics.jax.org/marker/MGI:1919202", "MGI:1919202")</f>
        <v>MGI:1919202</v>
      </c>
      <c r="P3774" t="s">
        <v>41901</v>
      </c>
      <c r="Q3774" t="s">
        <v>4152</v>
      </c>
      <c r="R3774" t="s">
        <v>2279</v>
      </c>
      <c r="S3774" t="s">
        <v>32</v>
      </c>
      <c r="T3774" t="s">
        <v>32</v>
      </c>
      <c r="U3774" t="s">
        <v>32</v>
      </c>
      <c r="V3774" t="s">
        <v>32</v>
      </c>
      <c r="W3774" t="s">
        <v>845</v>
      </c>
      <c r="X3774" t="s">
        <v>41211</v>
      </c>
      <c r="Y3774" t="s">
        <v>157</v>
      </c>
      <c r="Z3774" t="s">
        <v>32</v>
      </c>
      <c r="AA3774" t="s">
        <v>41902</v>
      </c>
      <c r="AB3774" t="s">
        <v>35588</v>
      </c>
      <c r="AC3774" t="s">
        <v>41903</v>
      </c>
      <c r="AD3774" t="s">
        <v>32</v>
      </c>
      <c r="AE3774" t="s">
        <v>32</v>
      </c>
      <c r="AF3774" t="s">
        <v>46835</v>
      </c>
    </row>
    <row r="3775" spans="1:33" x14ac:dyDescent="0.2">
      <c r="A3775">
        <v>3770</v>
      </c>
      <c r="B3775" t="s">
        <v>41904</v>
      </c>
      <c r="C3775" t="s">
        <v>41905</v>
      </c>
      <c r="D3775" t="s">
        <v>32</v>
      </c>
      <c r="E3775" t="s">
        <v>41906</v>
      </c>
      <c r="F3775" t="s">
        <v>41907</v>
      </c>
      <c r="G3775" t="s">
        <v>41908</v>
      </c>
      <c r="H3775" t="str">
        <f>"Ints5"</f>
        <v>Ints5</v>
      </c>
      <c r="I3775" t="s">
        <v>32</v>
      </c>
      <c r="J3775" t="s">
        <v>37</v>
      </c>
      <c r="K3775">
        <v>10090</v>
      </c>
      <c r="L3775" s="3" t="str">
        <f>HYPERLINK("http://www.uniprot.org/uniprot/Q8CHT3", "Q8CHT3")</f>
        <v>Q8CHT3</v>
      </c>
      <c r="M3775" t="s">
        <v>41909</v>
      </c>
      <c r="N3775" t="str">
        <f>"Ints5"</f>
        <v>Ints5</v>
      </c>
      <c r="O3775" s="3" t="str">
        <f>HYPERLINK("http://www.informatics.jax.org/marker/MGI:1923578", "MGI:1923578")</f>
        <v>MGI:1923578</v>
      </c>
      <c r="P3775" t="s">
        <v>41910</v>
      </c>
      <c r="Q3775" t="s">
        <v>32</v>
      </c>
      <c r="R3775" t="s">
        <v>5943</v>
      </c>
      <c r="S3775" t="s">
        <v>32</v>
      </c>
      <c r="T3775" t="s">
        <v>32</v>
      </c>
      <c r="U3775" t="s">
        <v>32</v>
      </c>
      <c r="V3775" t="s">
        <v>493</v>
      </c>
      <c r="W3775" t="s">
        <v>32</v>
      </c>
      <c r="X3775" t="s">
        <v>32</v>
      </c>
      <c r="Y3775" t="s">
        <v>157</v>
      </c>
      <c r="Z3775" t="s">
        <v>32</v>
      </c>
      <c r="AA3775" t="s">
        <v>33915</v>
      </c>
      <c r="AB3775" t="s">
        <v>41911</v>
      </c>
      <c r="AC3775" t="s">
        <v>32</v>
      </c>
      <c r="AD3775" t="s">
        <v>32</v>
      </c>
      <c r="AE3775" t="s">
        <v>22679</v>
      </c>
      <c r="AF3775" t="s">
        <v>46835</v>
      </c>
    </row>
    <row r="3776" spans="1:33" x14ac:dyDescent="0.2">
      <c r="A3776">
        <v>3771</v>
      </c>
      <c r="B3776" t="s">
        <v>41912</v>
      </c>
      <c r="C3776" t="s">
        <v>41913</v>
      </c>
      <c r="D3776" t="s">
        <v>41914</v>
      </c>
      <c r="E3776" t="s">
        <v>41915</v>
      </c>
      <c r="F3776" t="s">
        <v>41916</v>
      </c>
      <c r="G3776" t="s">
        <v>41917</v>
      </c>
      <c r="H3776" t="str">
        <f>"Ehmt1"</f>
        <v>Ehmt1</v>
      </c>
      <c r="I3776" t="s">
        <v>41918</v>
      </c>
      <c r="J3776" t="s">
        <v>37</v>
      </c>
      <c r="K3776">
        <v>10090</v>
      </c>
      <c r="L3776" s="3" t="str">
        <f>HYPERLINK("http://www.uniprot.org/uniprot/Q5DW34", "Q5DW34")</f>
        <v>Q5DW34</v>
      </c>
      <c r="M3776" t="s">
        <v>41919</v>
      </c>
      <c r="N3776" t="str">
        <f>"Ehmt1"</f>
        <v>Ehmt1</v>
      </c>
      <c r="O3776" s="3" t="str">
        <f>HYPERLINK("http://www.informatics.jax.org/marker/MGI:1924933", "MGI:1924933")</f>
        <v>MGI:1924933</v>
      </c>
      <c r="P3776" t="s">
        <v>41920</v>
      </c>
      <c r="Q3776" t="s">
        <v>32</v>
      </c>
      <c r="R3776" t="s">
        <v>1939</v>
      </c>
      <c r="S3776" t="s">
        <v>41</v>
      </c>
      <c r="T3776" t="s">
        <v>32</v>
      </c>
      <c r="U3776" t="s">
        <v>32</v>
      </c>
      <c r="V3776" t="s">
        <v>912</v>
      </c>
      <c r="W3776" t="s">
        <v>15120</v>
      </c>
      <c r="X3776" t="s">
        <v>17918</v>
      </c>
      <c r="Y3776" t="s">
        <v>516</v>
      </c>
      <c r="Z3776" t="s">
        <v>32</v>
      </c>
      <c r="AA3776" t="s">
        <v>41921</v>
      </c>
      <c r="AB3776" t="s">
        <v>41922</v>
      </c>
      <c r="AC3776" t="s">
        <v>41923</v>
      </c>
      <c r="AD3776" t="s">
        <v>32</v>
      </c>
      <c r="AE3776" t="s">
        <v>41924</v>
      </c>
      <c r="AF3776" t="s">
        <v>46835</v>
      </c>
    </row>
    <row r="3777" spans="1:33" x14ac:dyDescent="0.2">
      <c r="A3777">
        <v>3772</v>
      </c>
      <c r="B3777" t="s">
        <v>41925</v>
      </c>
      <c r="C3777" t="s">
        <v>41926</v>
      </c>
      <c r="D3777" t="s">
        <v>32</v>
      </c>
      <c r="E3777" t="s">
        <v>41927</v>
      </c>
      <c r="F3777" t="s">
        <v>41928</v>
      </c>
      <c r="G3777" t="s">
        <v>41929</v>
      </c>
      <c r="H3777" t="str">
        <f>"Paip2"</f>
        <v>Paip2</v>
      </c>
      <c r="I3777" t="s">
        <v>32</v>
      </c>
      <c r="J3777" t="s">
        <v>37</v>
      </c>
      <c r="K3777">
        <v>10090</v>
      </c>
      <c r="L3777" s="3" t="str">
        <f>HYPERLINK("http://www.uniprot.org/uniprot/Q9D6V8", "Q9D6V8")</f>
        <v>Q9D6V8</v>
      </c>
      <c r="M3777" t="s">
        <v>41930</v>
      </c>
      <c r="N3777" t="str">
        <f>"Paip2"</f>
        <v>Paip2</v>
      </c>
      <c r="O3777" s="3" t="str">
        <f>HYPERLINK("http://www.informatics.jax.org/marker/MGI:1915119", "MGI:1915119")</f>
        <v>MGI:1915119</v>
      </c>
      <c r="P3777" t="s">
        <v>41931</v>
      </c>
      <c r="Q3777" t="s">
        <v>1680</v>
      </c>
      <c r="R3777" t="s">
        <v>418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32</v>
      </c>
      <c r="Y3777" t="s">
        <v>5599</v>
      </c>
      <c r="Z3777" t="s">
        <v>32</v>
      </c>
      <c r="AA3777" t="s">
        <v>41932</v>
      </c>
      <c r="AB3777" t="s">
        <v>2172</v>
      </c>
      <c r="AC3777" t="s">
        <v>41933</v>
      </c>
      <c r="AD3777" t="s">
        <v>32</v>
      </c>
      <c r="AE3777" t="s">
        <v>32</v>
      </c>
      <c r="AF3777" t="s">
        <v>46835</v>
      </c>
    </row>
    <row r="3778" spans="1:33" x14ac:dyDescent="0.2">
      <c r="A3778">
        <v>3773</v>
      </c>
      <c r="B3778" t="s">
        <v>41934</v>
      </c>
      <c r="C3778" t="s">
        <v>41935</v>
      </c>
      <c r="D3778" t="s">
        <v>41936</v>
      </c>
      <c r="E3778" t="s">
        <v>41937</v>
      </c>
      <c r="F3778" t="s">
        <v>41938</v>
      </c>
      <c r="G3778" t="s">
        <v>41939</v>
      </c>
      <c r="H3778" t="str">
        <f>"Spata5"</f>
        <v>Spata5</v>
      </c>
      <c r="I3778" t="s">
        <v>32</v>
      </c>
      <c r="J3778" t="s">
        <v>37</v>
      </c>
      <c r="K3778">
        <v>10090</v>
      </c>
      <c r="L3778" s="3" t="str">
        <f>HYPERLINK("http://www.uniprot.org/uniprot/Q3UMC0", "Q3UMC0")</f>
        <v>Q3UMC0</v>
      </c>
      <c r="M3778" t="s">
        <v>41940</v>
      </c>
      <c r="N3778" t="str">
        <f>"Spata5"</f>
        <v>Spata5</v>
      </c>
      <c r="O3778" s="3" t="str">
        <f>HYPERLINK("http://www.informatics.jax.org/marker/MGI:1927170", "MGI:1927170")</f>
        <v>MGI:1927170</v>
      </c>
      <c r="P3778" t="s">
        <v>41941</v>
      </c>
      <c r="Q3778" t="s">
        <v>41942</v>
      </c>
      <c r="R3778" t="s">
        <v>41943</v>
      </c>
      <c r="S3778" t="s">
        <v>32</v>
      </c>
      <c r="T3778" t="s">
        <v>32</v>
      </c>
      <c r="U3778" t="s">
        <v>32</v>
      </c>
      <c r="V3778" t="s">
        <v>55</v>
      </c>
      <c r="W3778" t="s">
        <v>205</v>
      </c>
      <c r="X3778" t="s">
        <v>41944</v>
      </c>
      <c r="Y3778" t="s">
        <v>1007</v>
      </c>
      <c r="Z3778" t="s">
        <v>32</v>
      </c>
      <c r="AA3778" t="s">
        <v>41945</v>
      </c>
      <c r="AB3778" t="s">
        <v>41946</v>
      </c>
      <c r="AC3778" t="s">
        <v>23294</v>
      </c>
      <c r="AD3778" t="s">
        <v>32</v>
      </c>
      <c r="AE3778" t="s">
        <v>32</v>
      </c>
      <c r="AF3778" t="s">
        <v>46835</v>
      </c>
    </row>
    <row r="3779" spans="1:33" x14ac:dyDescent="0.2">
      <c r="A3779">
        <v>3774</v>
      </c>
      <c r="B3779" t="s">
        <v>41947</v>
      </c>
      <c r="C3779" t="s">
        <v>41948</v>
      </c>
      <c r="D3779" t="s">
        <v>32</v>
      </c>
      <c r="E3779" t="s">
        <v>41949</v>
      </c>
      <c r="F3779" t="s">
        <v>41950</v>
      </c>
      <c r="G3779" t="s">
        <v>41951</v>
      </c>
      <c r="H3779" t="str">
        <f>"Phka1"</f>
        <v>Phka1</v>
      </c>
      <c r="I3779" t="s">
        <v>32</v>
      </c>
      <c r="J3779" t="s">
        <v>37</v>
      </c>
      <c r="K3779">
        <v>10090</v>
      </c>
      <c r="L3779" s="3" t="str">
        <f>HYPERLINK("http://www.uniprot.org/uniprot/P18826", "P18826")</f>
        <v>P18826</v>
      </c>
      <c r="M3779" t="s">
        <v>41952</v>
      </c>
      <c r="N3779" t="str">
        <f>"Phka1"</f>
        <v>Phka1</v>
      </c>
      <c r="O3779" s="3" t="str">
        <f>HYPERLINK("http://www.informatics.jax.org/marker/MGI:97576", "MGI:97576")</f>
        <v>MGI:97576</v>
      </c>
      <c r="P3779" t="s">
        <v>41953</v>
      </c>
      <c r="Q3779" t="s">
        <v>1718</v>
      </c>
      <c r="R3779" t="s">
        <v>2474</v>
      </c>
      <c r="S3779" t="s">
        <v>41</v>
      </c>
      <c r="T3779" t="s">
        <v>32</v>
      </c>
      <c r="U3779" t="s">
        <v>32</v>
      </c>
      <c r="V3779" t="s">
        <v>32</v>
      </c>
      <c r="W3779" t="s">
        <v>32</v>
      </c>
      <c r="X3779" t="s">
        <v>41954</v>
      </c>
      <c r="Y3779" t="s">
        <v>17897</v>
      </c>
      <c r="Z3779" t="s">
        <v>32</v>
      </c>
      <c r="AA3779" t="s">
        <v>41955</v>
      </c>
      <c r="AB3779" t="s">
        <v>32748</v>
      </c>
      <c r="AC3779" t="s">
        <v>32749</v>
      </c>
      <c r="AD3779" t="s">
        <v>32750</v>
      </c>
      <c r="AE3779" t="s">
        <v>1724</v>
      </c>
      <c r="AF3779" t="s">
        <v>46835</v>
      </c>
    </row>
    <row r="3780" spans="1:33" x14ac:dyDescent="0.2">
      <c r="A3780">
        <v>3775</v>
      </c>
      <c r="B3780" t="s">
        <v>41956</v>
      </c>
      <c r="C3780" t="s">
        <v>41957</v>
      </c>
      <c r="D3780" t="s">
        <v>41958</v>
      </c>
      <c r="E3780" t="s">
        <v>41959</v>
      </c>
      <c r="F3780" t="s">
        <v>41960</v>
      </c>
      <c r="G3780" t="s">
        <v>41961</v>
      </c>
      <c r="H3780" t="str">
        <f>"Abcb6"</f>
        <v>Abcb6</v>
      </c>
      <c r="I3780" t="s">
        <v>32</v>
      </c>
      <c r="J3780" t="s">
        <v>37</v>
      </c>
      <c r="K3780">
        <v>10090</v>
      </c>
      <c r="L3780" s="3" t="str">
        <f>HYPERLINK("http://www.uniprot.org/uniprot/Q9DC29", "Q9DC29")</f>
        <v>Q9DC29</v>
      </c>
      <c r="M3780" t="s">
        <v>41962</v>
      </c>
      <c r="N3780" t="str">
        <f>"Abcb6"</f>
        <v>Abcb6</v>
      </c>
      <c r="O3780" s="3" t="str">
        <f>HYPERLINK("http://www.informatics.jax.org/marker/MGI:1921354", "MGI:1921354")</f>
        <v>MGI:1921354</v>
      </c>
      <c r="P3780" t="s">
        <v>41963</v>
      </c>
      <c r="Q3780" t="s">
        <v>4425</v>
      </c>
      <c r="R3780" t="s">
        <v>41964</v>
      </c>
      <c r="S3780" t="s">
        <v>32</v>
      </c>
      <c r="T3780" t="s">
        <v>32</v>
      </c>
      <c r="U3780" t="s">
        <v>32</v>
      </c>
      <c r="V3780" t="s">
        <v>493</v>
      </c>
      <c r="W3780" t="s">
        <v>205</v>
      </c>
      <c r="X3780" t="s">
        <v>1506</v>
      </c>
      <c r="Y3780" t="s">
        <v>494</v>
      </c>
      <c r="Z3780" t="s">
        <v>32</v>
      </c>
      <c r="AA3780" t="s">
        <v>41965</v>
      </c>
      <c r="AB3780" t="s">
        <v>41966</v>
      </c>
      <c r="AC3780" t="s">
        <v>41967</v>
      </c>
      <c r="AD3780" t="s">
        <v>32</v>
      </c>
      <c r="AE3780" t="s">
        <v>37549</v>
      </c>
      <c r="AF3780" t="s">
        <v>46835</v>
      </c>
    </row>
    <row r="3781" spans="1:33" x14ac:dyDescent="0.2">
      <c r="A3781">
        <v>3776</v>
      </c>
      <c r="B3781" t="s">
        <v>41968</v>
      </c>
      <c r="C3781" t="s">
        <v>41969</v>
      </c>
      <c r="D3781" t="s">
        <v>32</v>
      </c>
      <c r="E3781" t="s">
        <v>41970</v>
      </c>
      <c r="F3781" t="s">
        <v>41971</v>
      </c>
      <c r="G3781" t="s">
        <v>41972</v>
      </c>
      <c r="H3781" t="str">
        <f>"Hspb2"</f>
        <v>Hspb2</v>
      </c>
      <c r="I3781" t="s">
        <v>32</v>
      </c>
      <c r="J3781" t="s">
        <v>37</v>
      </c>
      <c r="K3781">
        <v>10090</v>
      </c>
      <c r="L3781" s="3" t="str">
        <f>HYPERLINK("http://www.uniprot.org/uniprot/Q99PR8", "Q99PR8")</f>
        <v>Q99PR8</v>
      </c>
      <c r="M3781" t="s">
        <v>41973</v>
      </c>
      <c r="N3781" t="str">
        <f>"Hspb2"</f>
        <v>Hspb2</v>
      </c>
      <c r="O3781" s="3" t="str">
        <f>HYPERLINK("http://www.informatics.jax.org/marker/MGI:1916503", "MGI:1916503")</f>
        <v>MGI:1916503</v>
      </c>
      <c r="P3781" t="s">
        <v>41974</v>
      </c>
      <c r="Q3781" t="s">
        <v>386</v>
      </c>
      <c r="R3781" t="s">
        <v>40</v>
      </c>
      <c r="S3781" t="s">
        <v>41</v>
      </c>
      <c r="T3781" t="s">
        <v>32</v>
      </c>
      <c r="U3781" t="s">
        <v>32</v>
      </c>
      <c r="V3781" t="s">
        <v>32</v>
      </c>
      <c r="W3781" t="s">
        <v>32</v>
      </c>
      <c r="X3781" t="s">
        <v>32</v>
      </c>
      <c r="Y3781" t="s">
        <v>32</v>
      </c>
      <c r="Z3781" t="s">
        <v>32</v>
      </c>
      <c r="AA3781" t="s">
        <v>41975</v>
      </c>
      <c r="AB3781" t="s">
        <v>110</v>
      </c>
      <c r="AC3781" t="s">
        <v>41976</v>
      </c>
      <c r="AD3781" t="s">
        <v>32</v>
      </c>
      <c r="AE3781" t="s">
        <v>32</v>
      </c>
      <c r="AF3781" t="s">
        <v>46835</v>
      </c>
    </row>
    <row r="3782" spans="1:33" x14ac:dyDescent="0.2">
      <c r="A3782">
        <v>3777</v>
      </c>
      <c r="B3782" t="s">
        <v>41977</v>
      </c>
      <c r="C3782" t="s">
        <v>41978</v>
      </c>
      <c r="D3782" t="s">
        <v>41979</v>
      </c>
      <c r="E3782" t="s">
        <v>41980</v>
      </c>
      <c r="F3782" t="s">
        <v>41981</v>
      </c>
      <c r="G3782" t="s">
        <v>41982</v>
      </c>
      <c r="H3782" t="str">
        <f>"Gle1"</f>
        <v>Gle1</v>
      </c>
      <c r="I3782" t="s">
        <v>41983</v>
      </c>
      <c r="J3782" t="s">
        <v>37</v>
      </c>
      <c r="K3782">
        <v>10090</v>
      </c>
      <c r="L3782" s="3" t="str">
        <f>HYPERLINK("http://www.uniprot.org/uniprot/Q8R322", "Q8R322")</f>
        <v>Q8R322</v>
      </c>
      <c r="M3782" t="s">
        <v>41984</v>
      </c>
      <c r="N3782" t="str">
        <f>"Gle1"</f>
        <v>Gle1</v>
      </c>
      <c r="O3782" s="3" t="str">
        <f>HYPERLINK("http://www.informatics.jax.org/marker/MGI:1921662", "MGI:1921662")</f>
        <v>MGI:1921662</v>
      </c>
      <c r="P3782" t="s">
        <v>41985</v>
      </c>
      <c r="Q3782" t="s">
        <v>6423</v>
      </c>
      <c r="R3782" t="s">
        <v>21668</v>
      </c>
      <c r="S3782" t="s">
        <v>32</v>
      </c>
      <c r="T3782" t="s">
        <v>32</v>
      </c>
      <c r="U3782" t="s">
        <v>32</v>
      </c>
      <c r="V3782" t="s">
        <v>290</v>
      </c>
      <c r="W3782" t="s">
        <v>32</v>
      </c>
      <c r="X3782" t="s">
        <v>32</v>
      </c>
      <c r="Y3782" t="s">
        <v>618</v>
      </c>
      <c r="Z3782" t="s">
        <v>32</v>
      </c>
      <c r="AA3782" t="s">
        <v>41986</v>
      </c>
      <c r="AB3782" t="s">
        <v>41987</v>
      </c>
      <c r="AC3782" t="s">
        <v>41988</v>
      </c>
      <c r="AD3782" t="s">
        <v>32</v>
      </c>
      <c r="AE3782" t="s">
        <v>41989</v>
      </c>
      <c r="AF3782" t="s">
        <v>46835</v>
      </c>
    </row>
    <row r="3783" spans="1:33" x14ac:dyDescent="0.2">
      <c r="A3783">
        <v>3778</v>
      </c>
      <c r="B3783" t="s">
        <v>41990</v>
      </c>
      <c r="C3783" t="s">
        <v>47164</v>
      </c>
      <c r="D3783" t="s">
        <v>32</v>
      </c>
      <c r="E3783" t="s">
        <v>47058</v>
      </c>
      <c r="F3783" t="s">
        <v>47057</v>
      </c>
      <c r="G3783" t="s">
        <v>32</v>
      </c>
      <c r="H3783" t="s">
        <v>47295</v>
      </c>
      <c r="I3783" t="s">
        <v>32</v>
      </c>
      <c r="J3783" t="s">
        <v>37</v>
      </c>
      <c r="K3783">
        <v>10090</v>
      </c>
      <c r="L3783" s="3" t="str">
        <f>HYPERLINK(CONCATENATE("https://www.uniprot.org/uniprotkb/", AG3783, "/entry"), AG3783)</f>
        <v>P97820</v>
      </c>
      <c r="M3783" t="s">
        <v>32</v>
      </c>
      <c r="N3783" t="s">
        <v>32</v>
      </c>
      <c r="O3783" s="3" t="s">
        <v>32</v>
      </c>
      <c r="P3783" t="s">
        <v>32</v>
      </c>
      <c r="Q3783" t="s">
        <v>32</v>
      </c>
      <c r="R3783" t="s">
        <v>32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  <c r="AE3783" t="s">
        <v>32</v>
      </c>
      <c r="AF3783" t="s">
        <v>46835</v>
      </c>
      <c r="AG3783" t="s">
        <v>47057</v>
      </c>
    </row>
    <row r="3784" spans="1:33" x14ac:dyDescent="0.2">
      <c r="A3784">
        <v>3779</v>
      </c>
      <c r="B3784" t="s">
        <v>41991</v>
      </c>
      <c r="C3784" t="s">
        <v>41992</v>
      </c>
      <c r="D3784" t="s">
        <v>41993</v>
      </c>
      <c r="E3784" t="s">
        <v>41994</v>
      </c>
      <c r="F3784" t="s">
        <v>41995</v>
      </c>
      <c r="G3784" t="s">
        <v>41996</v>
      </c>
      <c r="H3784" t="str">
        <f>"Txlng"</f>
        <v>Txlng</v>
      </c>
      <c r="I3784" t="s">
        <v>41997</v>
      </c>
      <c r="J3784" t="s">
        <v>37</v>
      </c>
      <c r="K3784">
        <v>10090</v>
      </c>
      <c r="L3784" s="3" t="str">
        <f>HYPERLINK("http://www.uniprot.org/uniprot/Q8BHN1", "Q8BHN1")</f>
        <v>Q8BHN1</v>
      </c>
      <c r="M3784" t="s">
        <v>41998</v>
      </c>
      <c r="N3784" t="str">
        <f>"Txlng"</f>
        <v>Txlng</v>
      </c>
      <c r="O3784" s="3" t="str">
        <f>HYPERLINK("http://www.informatics.jax.org/marker/MGI:3590652", "MGI:3590652")</f>
        <v>MGI:3590652</v>
      </c>
      <c r="P3784" t="s">
        <v>41999</v>
      </c>
      <c r="Q3784" t="s">
        <v>36993</v>
      </c>
      <c r="R3784" t="s">
        <v>5943</v>
      </c>
      <c r="S3784" t="s">
        <v>41</v>
      </c>
      <c r="T3784" t="s">
        <v>32</v>
      </c>
      <c r="U3784" t="s">
        <v>32</v>
      </c>
      <c r="V3784" t="s">
        <v>290</v>
      </c>
      <c r="W3784" t="s">
        <v>32</v>
      </c>
      <c r="X3784" t="s">
        <v>32</v>
      </c>
      <c r="Y3784" t="s">
        <v>2734</v>
      </c>
      <c r="Z3784" t="s">
        <v>32</v>
      </c>
      <c r="AA3784" t="s">
        <v>42000</v>
      </c>
      <c r="AB3784" t="s">
        <v>7671</v>
      </c>
      <c r="AC3784" t="s">
        <v>42001</v>
      </c>
      <c r="AD3784" t="s">
        <v>32</v>
      </c>
      <c r="AE3784" t="s">
        <v>32</v>
      </c>
      <c r="AF3784" t="s">
        <v>46835</v>
      </c>
    </row>
    <row r="3785" spans="1:33" x14ac:dyDescent="0.2">
      <c r="A3785">
        <v>3780</v>
      </c>
      <c r="B3785" t="s">
        <v>42002</v>
      </c>
      <c r="C3785" t="s">
        <v>42003</v>
      </c>
      <c r="D3785" t="s">
        <v>42004</v>
      </c>
      <c r="E3785" t="s">
        <v>42005</v>
      </c>
      <c r="F3785" t="s">
        <v>42006</v>
      </c>
      <c r="G3785" t="s">
        <v>42007</v>
      </c>
      <c r="H3785" t="str">
        <f>"Stat3"</f>
        <v>Stat3</v>
      </c>
      <c r="I3785" t="s">
        <v>32</v>
      </c>
      <c r="J3785" t="s">
        <v>37</v>
      </c>
      <c r="K3785">
        <v>10090</v>
      </c>
      <c r="L3785" s="3" t="str">
        <f>HYPERLINK("http://www.uniprot.org/uniprot/P42227", "P42227")</f>
        <v>P42227</v>
      </c>
      <c r="M3785" t="s">
        <v>42008</v>
      </c>
      <c r="N3785" t="str">
        <f>"Stat3"</f>
        <v>Stat3</v>
      </c>
      <c r="O3785" s="3" t="str">
        <f>HYPERLINK("http://www.informatics.jax.org/marker/MGI:103038", "MGI:103038")</f>
        <v>MGI:103038</v>
      </c>
      <c r="P3785" t="s">
        <v>42009</v>
      </c>
      <c r="Q3785" t="s">
        <v>42010</v>
      </c>
      <c r="R3785" t="s">
        <v>40</v>
      </c>
      <c r="S3785" t="s">
        <v>41</v>
      </c>
      <c r="T3785" t="s">
        <v>32</v>
      </c>
      <c r="U3785" t="s">
        <v>32</v>
      </c>
      <c r="V3785" t="s">
        <v>12625</v>
      </c>
      <c r="W3785" t="s">
        <v>32</v>
      </c>
      <c r="X3785" t="s">
        <v>2350</v>
      </c>
      <c r="Y3785" t="s">
        <v>157</v>
      </c>
      <c r="Z3785" t="s">
        <v>126</v>
      </c>
      <c r="AA3785" t="s">
        <v>42011</v>
      </c>
      <c r="AB3785" t="s">
        <v>42012</v>
      </c>
      <c r="AC3785" t="s">
        <v>42013</v>
      </c>
      <c r="AD3785" t="s">
        <v>32</v>
      </c>
      <c r="AE3785" t="s">
        <v>42014</v>
      </c>
      <c r="AF3785" t="s">
        <v>46835</v>
      </c>
    </row>
    <row r="3786" spans="1:33" x14ac:dyDescent="0.2">
      <c r="A3786">
        <v>3781</v>
      </c>
      <c r="B3786" t="s">
        <v>42015</v>
      </c>
      <c r="C3786" t="s">
        <v>42016</v>
      </c>
      <c r="D3786" t="s">
        <v>32</v>
      </c>
      <c r="E3786" t="s">
        <v>42017</v>
      </c>
      <c r="F3786" t="s">
        <v>42018</v>
      </c>
      <c r="G3786" t="s">
        <v>42019</v>
      </c>
      <c r="H3786" t="str">
        <f>"Cntfr"</f>
        <v>Cntfr</v>
      </c>
      <c r="I3786" t="s">
        <v>32</v>
      </c>
      <c r="J3786" t="s">
        <v>37</v>
      </c>
      <c r="K3786">
        <v>10090</v>
      </c>
      <c r="L3786" s="3" t="str">
        <f>HYPERLINK("http://www.uniprot.org/uniprot/O88507", "O88507")</f>
        <v>O88507</v>
      </c>
      <c r="M3786" t="s">
        <v>42020</v>
      </c>
      <c r="N3786" t="str">
        <f>"Cntfr"</f>
        <v>Cntfr</v>
      </c>
      <c r="O3786" s="3" t="str">
        <f>HYPERLINK("http://www.informatics.jax.org/marker/MGI:99605", "MGI:99605")</f>
        <v>MGI:99605</v>
      </c>
      <c r="P3786" t="s">
        <v>42021</v>
      </c>
      <c r="Q3786" t="s">
        <v>32</v>
      </c>
      <c r="R3786" t="s">
        <v>2474</v>
      </c>
      <c r="S3786" t="s">
        <v>32</v>
      </c>
      <c r="T3786" t="s">
        <v>32</v>
      </c>
      <c r="U3786" t="s">
        <v>32</v>
      </c>
      <c r="V3786" t="s">
        <v>18527</v>
      </c>
      <c r="W3786" t="s">
        <v>32</v>
      </c>
      <c r="X3786" t="s">
        <v>6983</v>
      </c>
      <c r="Y3786" t="s">
        <v>25929</v>
      </c>
      <c r="Z3786" t="s">
        <v>32</v>
      </c>
      <c r="AA3786" t="s">
        <v>42022</v>
      </c>
      <c r="AB3786" t="s">
        <v>42023</v>
      </c>
      <c r="AC3786" t="s">
        <v>42024</v>
      </c>
      <c r="AD3786" t="s">
        <v>32</v>
      </c>
      <c r="AE3786" t="s">
        <v>42025</v>
      </c>
      <c r="AF3786" t="s">
        <v>46835</v>
      </c>
    </row>
    <row r="3787" spans="1:33" x14ac:dyDescent="0.2">
      <c r="A3787">
        <v>3782</v>
      </c>
      <c r="B3787" t="s">
        <v>42026</v>
      </c>
      <c r="C3787" t="s">
        <v>42027</v>
      </c>
      <c r="D3787" t="s">
        <v>42028</v>
      </c>
      <c r="E3787" t="s">
        <v>42029</v>
      </c>
      <c r="F3787" t="s">
        <v>42030</v>
      </c>
      <c r="G3787" t="s">
        <v>42031</v>
      </c>
      <c r="H3787" t="str">
        <f>"Ephb3"</f>
        <v>Ephb3</v>
      </c>
      <c r="I3787" t="s">
        <v>42032</v>
      </c>
      <c r="J3787" t="s">
        <v>37</v>
      </c>
      <c r="K3787">
        <v>10090</v>
      </c>
      <c r="L3787" s="3" t="str">
        <f>HYPERLINK("http://www.uniprot.org/uniprot/P54754", "P54754")</f>
        <v>P54754</v>
      </c>
      <c r="M3787" t="s">
        <v>42033</v>
      </c>
      <c r="N3787" t="str">
        <f>"Ephb3"</f>
        <v>Ephb3</v>
      </c>
      <c r="O3787" s="3" t="str">
        <f>HYPERLINK("http://www.informatics.jax.org/marker/MGI:104770", "MGI:104770")</f>
        <v>MGI:104770</v>
      </c>
      <c r="P3787" t="s">
        <v>42034</v>
      </c>
      <c r="Q3787" t="s">
        <v>42035</v>
      </c>
      <c r="R3787" t="s">
        <v>2943</v>
      </c>
      <c r="S3787" t="s">
        <v>32</v>
      </c>
      <c r="T3787" t="s">
        <v>32</v>
      </c>
      <c r="U3787" t="s">
        <v>32</v>
      </c>
      <c r="V3787" t="s">
        <v>1665</v>
      </c>
      <c r="W3787" t="s">
        <v>205</v>
      </c>
      <c r="X3787" t="s">
        <v>39399</v>
      </c>
      <c r="Y3787" t="s">
        <v>17081</v>
      </c>
      <c r="Z3787" t="s">
        <v>32</v>
      </c>
      <c r="AA3787" t="s">
        <v>42036</v>
      </c>
      <c r="AB3787" t="s">
        <v>42037</v>
      </c>
      <c r="AC3787" t="s">
        <v>42038</v>
      </c>
      <c r="AD3787" t="s">
        <v>32</v>
      </c>
      <c r="AE3787" t="s">
        <v>35470</v>
      </c>
      <c r="AF3787" t="s">
        <v>46835</v>
      </c>
    </row>
    <row r="3788" spans="1:33" x14ac:dyDescent="0.2">
      <c r="A3788">
        <v>3783</v>
      </c>
      <c r="B3788" t="s">
        <v>42039</v>
      </c>
      <c r="C3788" t="s">
        <v>42040</v>
      </c>
      <c r="D3788" t="s">
        <v>42041</v>
      </c>
      <c r="E3788" t="s">
        <v>42042</v>
      </c>
      <c r="F3788" t="s">
        <v>42043</v>
      </c>
      <c r="G3788" t="s">
        <v>42044</v>
      </c>
      <c r="H3788" t="str">
        <f>"Smcr8"</f>
        <v>Smcr8</v>
      </c>
      <c r="I3788" t="s">
        <v>32</v>
      </c>
      <c r="J3788" t="s">
        <v>37</v>
      </c>
      <c r="K3788">
        <v>10090</v>
      </c>
      <c r="L3788" s="3" t="str">
        <f>HYPERLINK("http://www.uniprot.org/uniprot/Q3UMB5", "Q3UMB5")</f>
        <v>Q3UMB5</v>
      </c>
      <c r="M3788" t="s">
        <v>42045</v>
      </c>
      <c r="N3788" t="str">
        <f>"Smcr8"</f>
        <v>Smcr8</v>
      </c>
      <c r="O3788" s="3" t="str">
        <f>HYPERLINK("http://www.informatics.jax.org/marker/MGI:2444720", "MGI:2444720")</f>
        <v>MGI:2444720</v>
      </c>
      <c r="P3788" t="s">
        <v>42046</v>
      </c>
      <c r="Q3788" t="s">
        <v>42047</v>
      </c>
      <c r="R3788" t="s">
        <v>3277</v>
      </c>
      <c r="S3788" t="s">
        <v>41</v>
      </c>
      <c r="T3788" t="s">
        <v>32</v>
      </c>
      <c r="U3788" t="s">
        <v>32</v>
      </c>
      <c r="V3788" t="s">
        <v>32</v>
      </c>
      <c r="W3788" t="s">
        <v>32</v>
      </c>
      <c r="X3788" t="s">
        <v>5011</v>
      </c>
      <c r="Y3788" t="s">
        <v>618</v>
      </c>
      <c r="Z3788" t="s">
        <v>32</v>
      </c>
      <c r="AA3788" t="s">
        <v>42048</v>
      </c>
      <c r="AB3788" t="s">
        <v>42049</v>
      </c>
      <c r="AC3788" t="s">
        <v>42050</v>
      </c>
      <c r="AD3788" t="s">
        <v>32</v>
      </c>
      <c r="AE3788" t="s">
        <v>32</v>
      </c>
      <c r="AF3788" t="s">
        <v>46835</v>
      </c>
    </row>
    <row r="3789" spans="1:33" x14ac:dyDescent="0.2">
      <c r="A3789">
        <v>3784</v>
      </c>
      <c r="B3789" t="s">
        <v>42051</v>
      </c>
      <c r="C3789" t="s">
        <v>42052</v>
      </c>
      <c r="D3789" t="s">
        <v>32</v>
      </c>
      <c r="E3789" t="s">
        <v>42053</v>
      </c>
      <c r="F3789" t="s">
        <v>42054</v>
      </c>
      <c r="G3789" t="s">
        <v>42055</v>
      </c>
      <c r="H3789" t="str">
        <f>"Mrps25"</f>
        <v>Mrps25</v>
      </c>
      <c r="I3789" t="s">
        <v>42056</v>
      </c>
      <c r="J3789" t="s">
        <v>37</v>
      </c>
      <c r="K3789">
        <v>10090</v>
      </c>
      <c r="L3789" s="3" t="str">
        <f>HYPERLINK("http://www.uniprot.org/uniprot/Q9D125", "Q9D125")</f>
        <v>Q9D125</v>
      </c>
      <c r="M3789" t="s">
        <v>42057</v>
      </c>
      <c r="N3789" t="str">
        <f>"Mrps25"</f>
        <v>Mrps25</v>
      </c>
      <c r="O3789" s="3" t="str">
        <f>HYPERLINK("http://www.informatics.jax.org/marker/MGI:1928140", "MGI:1928140")</f>
        <v>MGI:1928140</v>
      </c>
      <c r="P3789" t="s">
        <v>30889</v>
      </c>
      <c r="Q3789" t="s">
        <v>32</v>
      </c>
      <c r="R3789" t="s">
        <v>1038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447</v>
      </c>
      <c r="Y3789" t="s">
        <v>32</v>
      </c>
      <c r="Z3789" t="s">
        <v>32</v>
      </c>
      <c r="AA3789" t="s">
        <v>23519</v>
      </c>
      <c r="AB3789" t="s">
        <v>23520</v>
      </c>
      <c r="AC3789" t="s">
        <v>1010</v>
      </c>
      <c r="AD3789" t="s">
        <v>32</v>
      </c>
      <c r="AE3789" t="s">
        <v>17271</v>
      </c>
      <c r="AF3789" t="s">
        <v>46835</v>
      </c>
    </row>
    <row r="3790" spans="1:33" x14ac:dyDescent="0.2">
      <c r="A3790">
        <v>3785</v>
      </c>
      <c r="B3790" t="s">
        <v>42058</v>
      </c>
      <c r="C3790" t="s">
        <v>42059</v>
      </c>
      <c r="D3790" t="s">
        <v>42060</v>
      </c>
      <c r="E3790" t="s">
        <v>42061</v>
      </c>
      <c r="F3790" t="s">
        <v>42062</v>
      </c>
      <c r="G3790" t="s">
        <v>42063</v>
      </c>
      <c r="H3790" t="str">
        <f>"Ptges2"</f>
        <v>Ptges2</v>
      </c>
      <c r="I3790" t="s">
        <v>42064</v>
      </c>
      <c r="J3790" t="s">
        <v>37</v>
      </c>
      <c r="K3790">
        <v>10090</v>
      </c>
      <c r="L3790" s="3" t="str">
        <f>HYPERLINK("http://www.uniprot.org/uniprot/Q8BWM0", "Q8BWM0")</f>
        <v>Q8BWM0</v>
      </c>
      <c r="M3790" t="s">
        <v>42065</v>
      </c>
      <c r="N3790" t="str">
        <f>"Ptges2"</f>
        <v>Ptges2</v>
      </c>
      <c r="O3790" s="3" t="str">
        <f>HYPERLINK("http://www.informatics.jax.org/marker/MGI:1917592", "MGI:1917592")</f>
        <v>MGI:1917592</v>
      </c>
      <c r="P3790" t="s">
        <v>42066</v>
      </c>
      <c r="Q3790" t="s">
        <v>7462</v>
      </c>
      <c r="R3790" t="s">
        <v>34902</v>
      </c>
      <c r="S3790" t="s">
        <v>32</v>
      </c>
      <c r="T3790" t="s">
        <v>32</v>
      </c>
      <c r="U3790" t="s">
        <v>32</v>
      </c>
      <c r="V3790" t="s">
        <v>493</v>
      </c>
      <c r="W3790" t="s">
        <v>32</v>
      </c>
      <c r="X3790" t="s">
        <v>673</v>
      </c>
      <c r="Y3790" t="s">
        <v>32</v>
      </c>
      <c r="Z3790" t="s">
        <v>32</v>
      </c>
      <c r="AA3790" t="s">
        <v>42067</v>
      </c>
      <c r="AB3790" t="s">
        <v>42068</v>
      </c>
      <c r="AC3790" t="s">
        <v>42069</v>
      </c>
      <c r="AD3790" t="s">
        <v>7466</v>
      </c>
      <c r="AE3790" t="s">
        <v>42070</v>
      </c>
      <c r="AF3790" t="s">
        <v>46835</v>
      </c>
    </row>
    <row r="3791" spans="1:33" x14ac:dyDescent="0.2">
      <c r="A3791">
        <v>3786</v>
      </c>
      <c r="B3791" t="s">
        <v>42071</v>
      </c>
      <c r="C3791" t="s">
        <v>42072</v>
      </c>
      <c r="D3791" t="s">
        <v>42073</v>
      </c>
      <c r="E3791" t="s">
        <v>42074</v>
      </c>
      <c r="F3791" t="s">
        <v>42075</v>
      </c>
      <c r="G3791" t="s">
        <v>32</v>
      </c>
      <c r="H3791" t="str">
        <f>"Dyrk1a"</f>
        <v>Dyrk1a</v>
      </c>
      <c r="I3791" t="s">
        <v>42076</v>
      </c>
      <c r="J3791" t="s">
        <v>37</v>
      </c>
      <c r="K3791">
        <v>10090</v>
      </c>
      <c r="L3791" s="3" t="str">
        <f>HYPERLINK("http://www.uniprot.org/uniprot/Q61214", "Q61214")</f>
        <v>Q61214</v>
      </c>
      <c r="M3791" t="s">
        <v>42077</v>
      </c>
      <c r="N3791" t="str">
        <f>"Dyrk1a"</f>
        <v>Dyrk1a</v>
      </c>
      <c r="O3791" s="3" t="str">
        <f>HYPERLINK("http://www.informatics.jax.org/marker/MGI:1330299", "MGI:1330299")</f>
        <v>MGI:1330299</v>
      </c>
      <c r="P3791" t="s">
        <v>42078</v>
      </c>
      <c r="Q3791" t="s">
        <v>4152</v>
      </c>
      <c r="R3791" t="s">
        <v>2279</v>
      </c>
      <c r="S3791" t="s">
        <v>32</v>
      </c>
      <c r="T3791" t="s">
        <v>32</v>
      </c>
      <c r="U3791" t="s">
        <v>32</v>
      </c>
      <c r="V3791" t="s">
        <v>32</v>
      </c>
      <c r="W3791" t="s">
        <v>205</v>
      </c>
      <c r="X3791" t="s">
        <v>16915</v>
      </c>
      <c r="Y3791" t="s">
        <v>618</v>
      </c>
      <c r="Z3791" t="s">
        <v>32</v>
      </c>
      <c r="AA3791" t="s">
        <v>42079</v>
      </c>
      <c r="AB3791" t="s">
        <v>42080</v>
      </c>
      <c r="AC3791" t="s">
        <v>42081</v>
      </c>
      <c r="AD3791" t="s">
        <v>32</v>
      </c>
      <c r="AE3791" t="s">
        <v>42082</v>
      </c>
      <c r="AF3791" t="s">
        <v>46835</v>
      </c>
    </row>
    <row r="3792" spans="1:33" x14ac:dyDescent="0.2">
      <c r="A3792">
        <v>3787</v>
      </c>
      <c r="B3792" t="s">
        <v>42083</v>
      </c>
      <c r="C3792" t="s">
        <v>42084</v>
      </c>
      <c r="D3792" t="s">
        <v>32</v>
      </c>
      <c r="E3792" t="s">
        <v>42085</v>
      </c>
      <c r="F3792" t="s">
        <v>42086</v>
      </c>
      <c r="G3792" t="s">
        <v>42087</v>
      </c>
      <c r="H3792" t="str">
        <f>"Focad"</f>
        <v>Focad</v>
      </c>
      <c r="I3792" t="s">
        <v>42088</v>
      </c>
      <c r="J3792" t="s">
        <v>37</v>
      </c>
      <c r="K3792">
        <v>10090</v>
      </c>
      <c r="L3792" s="3" t="str">
        <f>HYPERLINK("http://www.uniprot.org/uniprot/A2AKG8", "A2AKG8")</f>
        <v>A2AKG8</v>
      </c>
      <c r="M3792" t="s">
        <v>42089</v>
      </c>
      <c r="N3792" t="str">
        <f>"Focad"</f>
        <v>Focad</v>
      </c>
      <c r="O3792" s="3" t="str">
        <f>HYPERLINK("http://www.informatics.jax.org/marker/MGI:2676921", "MGI:2676921")</f>
        <v>MGI:2676921</v>
      </c>
      <c r="P3792" t="s">
        <v>42090</v>
      </c>
      <c r="Q3792" t="s">
        <v>32</v>
      </c>
      <c r="R3792" t="s">
        <v>24334</v>
      </c>
      <c r="S3792" t="s">
        <v>41</v>
      </c>
      <c r="T3792" t="s">
        <v>32</v>
      </c>
      <c r="U3792" t="s">
        <v>32</v>
      </c>
      <c r="V3792" t="s">
        <v>493</v>
      </c>
      <c r="W3792" t="s">
        <v>32</v>
      </c>
      <c r="X3792" t="s">
        <v>32</v>
      </c>
      <c r="Y3792" t="s">
        <v>78</v>
      </c>
      <c r="Z3792" t="s">
        <v>32</v>
      </c>
      <c r="AA3792" t="s">
        <v>42091</v>
      </c>
      <c r="AB3792" t="s">
        <v>42092</v>
      </c>
      <c r="AC3792" t="s">
        <v>32</v>
      </c>
      <c r="AD3792" t="s">
        <v>32</v>
      </c>
      <c r="AE3792" t="s">
        <v>32</v>
      </c>
      <c r="AF3792" t="s">
        <v>46835</v>
      </c>
    </row>
    <row r="3793" spans="1:33" x14ac:dyDescent="0.2">
      <c r="A3793">
        <v>3788</v>
      </c>
      <c r="B3793" t="s">
        <v>42093</v>
      </c>
      <c r="C3793" t="s">
        <v>42094</v>
      </c>
      <c r="D3793" t="s">
        <v>42095</v>
      </c>
      <c r="E3793" t="s">
        <v>42096</v>
      </c>
      <c r="F3793" t="s">
        <v>42097</v>
      </c>
      <c r="G3793" t="s">
        <v>42098</v>
      </c>
      <c r="H3793" t="str">
        <f>"Csnk1d"</f>
        <v>Csnk1d</v>
      </c>
      <c r="I3793" t="s">
        <v>42099</v>
      </c>
      <c r="J3793" t="s">
        <v>37</v>
      </c>
      <c r="K3793">
        <v>10090</v>
      </c>
      <c r="L3793" s="3" t="str">
        <f>HYPERLINK("http://www.uniprot.org/uniprot/Q9DC28", "Q9DC28")</f>
        <v>Q9DC28</v>
      </c>
      <c r="M3793" t="s">
        <v>42100</v>
      </c>
      <c r="N3793" t="str">
        <f>"Csnk1d"</f>
        <v>Csnk1d</v>
      </c>
      <c r="O3793" s="3" t="str">
        <f>HYPERLINK("http://www.informatics.jax.org/marker/MGI:1355272", "MGI:1355272")</f>
        <v>MGI:1355272</v>
      </c>
      <c r="P3793" t="s">
        <v>42101</v>
      </c>
      <c r="Q3793" t="s">
        <v>42102</v>
      </c>
      <c r="R3793" t="s">
        <v>42103</v>
      </c>
      <c r="S3793" t="s">
        <v>41</v>
      </c>
      <c r="T3793" t="s">
        <v>32</v>
      </c>
      <c r="U3793" t="s">
        <v>32</v>
      </c>
      <c r="V3793" t="s">
        <v>32</v>
      </c>
      <c r="W3793" t="s">
        <v>205</v>
      </c>
      <c r="X3793" t="s">
        <v>5419</v>
      </c>
      <c r="Y3793" t="s">
        <v>2734</v>
      </c>
      <c r="Z3793" t="s">
        <v>126</v>
      </c>
      <c r="AA3793" t="s">
        <v>42104</v>
      </c>
      <c r="AB3793" t="s">
        <v>42105</v>
      </c>
      <c r="AC3793" t="s">
        <v>42106</v>
      </c>
      <c r="AD3793" t="s">
        <v>32</v>
      </c>
      <c r="AE3793" t="s">
        <v>42107</v>
      </c>
      <c r="AF3793" t="s">
        <v>46835</v>
      </c>
    </row>
    <row r="3794" spans="1:33" x14ac:dyDescent="0.2">
      <c r="A3794">
        <v>3789</v>
      </c>
      <c r="B3794" t="s">
        <v>42108</v>
      </c>
      <c r="C3794" t="s">
        <v>42109</v>
      </c>
      <c r="D3794" t="s">
        <v>32</v>
      </c>
      <c r="E3794" t="s">
        <v>42110</v>
      </c>
      <c r="F3794" t="s">
        <v>42111</v>
      </c>
      <c r="G3794" t="s">
        <v>42112</v>
      </c>
      <c r="H3794" t="str">
        <f>"Plxna1"</f>
        <v>Plxna1</v>
      </c>
      <c r="I3794" t="s">
        <v>42113</v>
      </c>
      <c r="J3794" t="s">
        <v>37</v>
      </c>
      <c r="K3794">
        <v>10090</v>
      </c>
      <c r="L3794" s="3" t="str">
        <f>HYPERLINK("http://www.uniprot.org/uniprot/P70206", "P70206")</f>
        <v>P70206</v>
      </c>
      <c r="M3794" t="s">
        <v>42114</v>
      </c>
      <c r="N3794" t="str">
        <f>"Plxna1"</f>
        <v>Plxna1</v>
      </c>
      <c r="O3794" s="3" t="str">
        <f>HYPERLINK("http://www.informatics.jax.org/marker/MGI:107685", "MGI:107685")</f>
        <v>MGI:107685</v>
      </c>
      <c r="P3794" t="s">
        <v>42115</v>
      </c>
      <c r="Q3794" t="s">
        <v>32</v>
      </c>
      <c r="R3794" t="s">
        <v>2474</v>
      </c>
      <c r="S3794" t="s">
        <v>32</v>
      </c>
      <c r="T3794" t="s">
        <v>32</v>
      </c>
      <c r="U3794" t="s">
        <v>32</v>
      </c>
      <c r="V3794" t="s">
        <v>42116</v>
      </c>
      <c r="W3794" t="s">
        <v>32</v>
      </c>
      <c r="X3794" t="s">
        <v>32</v>
      </c>
      <c r="Y3794" t="s">
        <v>5275</v>
      </c>
      <c r="Z3794" t="s">
        <v>126</v>
      </c>
      <c r="AA3794" t="s">
        <v>42117</v>
      </c>
      <c r="AB3794" t="s">
        <v>42118</v>
      </c>
      <c r="AC3794" t="s">
        <v>16480</v>
      </c>
      <c r="AD3794" t="s">
        <v>32</v>
      </c>
      <c r="AE3794" t="s">
        <v>42119</v>
      </c>
      <c r="AF3794" t="s">
        <v>46835</v>
      </c>
    </row>
    <row r="3795" spans="1:33" x14ac:dyDescent="0.2">
      <c r="A3795">
        <v>3790</v>
      </c>
      <c r="B3795" t="s">
        <v>42120</v>
      </c>
      <c r="C3795" t="s">
        <v>42121</v>
      </c>
      <c r="D3795" t="s">
        <v>32</v>
      </c>
      <c r="E3795" t="s">
        <v>42122</v>
      </c>
      <c r="F3795" t="s">
        <v>42123</v>
      </c>
      <c r="G3795" t="s">
        <v>42124</v>
      </c>
      <c r="H3795" t="str">
        <f>"Hs2st1"</f>
        <v>Hs2st1</v>
      </c>
      <c r="I3795" t="s">
        <v>42125</v>
      </c>
      <c r="J3795" t="s">
        <v>37</v>
      </c>
      <c r="K3795">
        <v>10090</v>
      </c>
      <c r="L3795" s="3" t="str">
        <f>HYPERLINK("http://www.uniprot.org/uniprot/Q8R3H7", "Q8R3H7")</f>
        <v>Q8R3H7</v>
      </c>
      <c r="M3795" t="s">
        <v>42126</v>
      </c>
      <c r="N3795" t="str">
        <f>"Hs2st1"</f>
        <v>Hs2st1</v>
      </c>
      <c r="O3795" s="3" t="str">
        <f>HYPERLINK("http://www.informatics.jax.org/marker/MGI:1346049", "MGI:1346049")</f>
        <v>MGI:1346049</v>
      </c>
      <c r="P3795" t="s">
        <v>42127</v>
      </c>
      <c r="Q3795" t="s">
        <v>32</v>
      </c>
      <c r="R3795" t="s">
        <v>13904</v>
      </c>
      <c r="S3795" t="s">
        <v>32</v>
      </c>
      <c r="T3795" t="s">
        <v>32</v>
      </c>
      <c r="U3795" t="s">
        <v>32</v>
      </c>
      <c r="V3795" t="s">
        <v>1550</v>
      </c>
      <c r="W3795" t="s">
        <v>32</v>
      </c>
      <c r="X3795" t="s">
        <v>515</v>
      </c>
      <c r="Y3795" t="s">
        <v>5275</v>
      </c>
      <c r="Z3795" t="s">
        <v>32</v>
      </c>
      <c r="AA3795" t="s">
        <v>42128</v>
      </c>
      <c r="AB3795" t="s">
        <v>34945</v>
      </c>
      <c r="AC3795" t="s">
        <v>42129</v>
      </c>
      <c r="AD3795" t="s">
        <v>32</v>
      </c>
      <c r="AE3795" t="s">
        <v>42130</v>
      </c>
      <c r="AF3795" t="s">
        <v>46835</v>
      </c>
    </row>
    <row r="3796" spans="1:33" x14ac:dyDescent="0.2">
      <c r="A3796">
        <v>3791</v>
      </c>
      <c r="B3796" t="s">
        <v>42131</v>
      </c>
      <c r="C3796" t="s">
        <v>42132</v>
      </c>
      <c r="D3796" t="s">
        <v>32</v>
      </c>
      <c r="E3796" t="s">
        <v>42133</v>
      </c>
      <c r="F3796" t="s">
        <v>42134</v>
      </c>
      <c r="G3796" t="s">
        <v>42135</v>
      </c>
      <c r="H3796" t="str">
        <f>"Ppwd1"</f>
        <v>Ppwd1</v>
      </c>
      <c r="I3796" t="s">
        <v>32</v>
      </c>
      <c r="J3796" t="s">
        <v>37</v>
      </c>
      <c r="K3796">
        <v>10090</v>
      </c>
      <c r="L3796" s="3" t="str">
        <f>HYPERLINK("http://www.uniprot.org/uniprot/Q8CEC6", "Q8CEC6")</f>
        <v>Q8CEC6</v>
      </c>
      <c r="M3796" t="s">
        <v>42136</v>
      </c>
      <c r="N3796" t="str">
        <f>"Ppwd1"</f>
        <v>Ppwd1</v>
      </c>
      <c r="O3796" s="3" t="str">
        <f>HYPERLINK("http://www.informatics.jax.org/marker/MGI:2443069", "MGI:2443069")</f>
        <v>MGI:2443069</v>
      </c>
      <c r="P3796" t="s">
        <v>42137</v>
      </c>
      <c r="Q3796" t="s">
        <v>2139</v>
      </c>
      <c r="R3796" t="s">
        <v>2140</v>
      </c>
      <c r="S3796" t="s">
        <v>32</v>
      </c>
      <c r="T3796" t="s">
        <v>32</v>
      </c>
      <c r="U3796" t="s">
        <v>32</v>
      </c>
      <c r="V3796" t="s">
        <v>1910</v>
      </c>
      <c r="W3796" t="s">
        <v>32</v>
      </c>
      <c r="X3796" t="s">
        <v>543</v>
      </c>
      <c r="Y3796" t="s">
        <v>78</v>
      </c>
      <c r="Z3796" t="s">
        <v>32</v>
      </c>
      <c r="AA3796" t="s">
        <v>42138</v>
      </c>
      <c r="AB3796" t="s">
        <v>42139</v>
      </c>
      <c r="AC3796" t="s">
        <v>30861</v>
      </c>
      <c r="AD3796" t="s">
        <v>32</v>
      </c>
      <c r="AE3796" t="s">
        <v>946</v>
      </c>
      <c r="AF3796" t="s">
        <v>46835</v>
      </c>
    </row>
    <row r="3797" spans="1:33" x14ac:dyDescent="0.2">
      <c r="A3797">
        <v>3792</v>
      </c>
      <c r="B3797" t="s">
        <v>42140</v>
      </c>
      <c r="C3797" t="s">
        <v>42141</v>
      </c>
      <c r="D3797" t="s">
        <v>42142</v>
      </c>
      <c r="E3797" t="s">
        <v>42143</v>
      </c>
      <c r="F3797" t="s">
        <v>42144</v>
      </c>
      <c r="G3797" t="s">
        <v>42145</v>
      </c>
      <c r="H3797" t="str">
        <f>"Tmf1"</f>
        <v>Tmf1</v>
      </c>
      <c r="I3797" t="s">
        <v>42146</v>
      </c>
      <c r="J3797" t="s">
        <v>37</v>
      </c>
      <c r="K3797">
        <v>10090</v>
      </c>
      <c r="L3797" s="3" t="str">
        <f>HYPERLINK("http://www.uniprot.org/uniprot/B9EKI3", "B9EKI3")</f>
        <v>B9EKI3</v>
      </c>
      <c r="M3797" t="s">
        <v>42147</v>
      </c>
      <c r="N3797" t="str">
        <f>"Tmf1"</f>
        <v>Tmf1</v>
      </c>
      <c r="O3797" s="3" t="str">
        <f>HYPERLINK("http://www.informatics.jax.org/marker/MGI:2684999", "MGI:2684999")</f>
        <v>MGI:2684999</v>
      </c>
      <c r="P3797" t="s">
        <v>42148</v>
      </c>
      <c r="Q3797" t="s">
        <v>4152</v>
      </c>
      <c r="R3797" t="s">
        <v>34902</v>
      </c>
      <c r="S3797" t="s">
        <v>32</v>
      </c>
      <c r="T3797" t="s">
        <v>32</v>
      </c>
      <c r="U3797" t="s">
        <v>32</v>
      </c>
      <c r="V3797" t="s">
        <v>290</v>
      </c>
      <c r="W3797" t="s">
        <v>32</v>
      </c>
      <c r="X3797" t="s">
        <v>7046</v>
      </c>
      <c r="Y3797" t="s">
        <v>618</v>
      </c>
      <c r="Z3797" t="s">
        <v>32</v>
      </c>
      <c r="AA3797" t="s">
        <v>42149</v>
      </c>
      <c r="AB3797" t="s">
        <v>42150</v>
      </c>
      <c r="AC3797" t="s">
        <v>42151</v>
      </c>
      <c r="AD3797" t="s">
        <v>32</v>
      </c>
      <c r="AE3797" t="s">
        <v>10808</v>
      </c>
      <c r="AF3797" t="s">
        <v>46835</v>
      </c>
    </row>
    <row r="3798" spans="1:33" x14ac:dyDescent="0.2">
      <c r="A3798">
        <v>3793</v>
      </c>
      <c r="B3798" t="s">
        <v>42152</v>
      </c>
      <c r="C3798" t="s">
        <v>42153</v>
      </c>
      <c r="D3798" t="s">
        <v>42154</v>
      </c>
      <c r="E3798" t="s">
        <v>42155</v>
      </c>
      <c r="F3798" t="s">
        <v>42156</v>
      </c>
      <c r="G3798" t="s">
        <v>42157</v>
      </c>
      <c r="H3798" t="str">
        <f>"Ccdc91"</f>
        <v>Ccdc91</v>
      </c>
      <c r="I3798" t="s">
        <v>42158</v>
      </c>
      <c r="J3798" t="s">
        <v>37</v>
      </c>
      <c r="K3798">
        <v>10090</v>
      </c>
      <c r="L3798" s="3" t="str">
        <f>HYPERLINK("http://www.uniprot.org/uniprot/Q9D8L5", "Q9D8L5")</f>
        <v>Q9D8L5</v>
      </c>
      <c r="M3798" t="s">
        <v>42159</v>
      </c>
      <c r="N3798" t="str">
        <f>"Ccdc91"</f>
        <v>Ccdc91</v>
      </c>
      <c r="O3798" s="3" t="str">
        <f>HYPERLINK("http://www.informatics.jax.org/marker/MGI:1914265", "MGI:1914265")</f>
        <v>MGI:1914265</v>
      </c>
      <c r="P3798" t="s">
        <v>42160</v>
      </c>
      <c r="Q3798" t="s">
        <v>434</v>
      </c>
      <c r="R3798" t="s">
        <v>13904</v>
      </c>
      <c r="S3798" t="s">
        <v>41</v>
      </c>
      <c r="T3798" t="s">
        <v>32</v>
      </c>
      <c r="U3798" t="s">
        <v>32</v>
      </c>
      <c r="V3798" t="s">
        <v>290</v>
      </c>
      <c r="W3798" t="s">
        <v>32</v>
      </c>
      <c r="X3798" t="s">
        <v>32</v>
      </c>
      <c r="Y3798" t="s">
        <v>618</v>
      </c>
      <c r="Z3798" t="s">
        <v>32</v>
      </c>
      <c r="AA3798" t="s">
        <v>42161</v>
      </c>
      <c r="AB3798" t="s">
        <v>24387</v>
      </c>
      <c r="AC3798" t="s">
        <v>32</v>
      </c>
      <c r="AD3798" t="s">
        <v>32</v>
      </c>
      <c r="AE3798" t="s">
        <v>32</v>
      </c>
      <c r="AF3798" t="s">
        <v>46835</v>
      </c>
    </row>
    <row r="3799" spans="1:33" x14ac:dyDescent="0.2">
      <c r="A3799">
        <v>3794</v>
      </c>
      <c r="B3799" t="s">
        <v>42162</v>
      </c>
      <c r="C3799" t="s">
        <v>42163</v>
      </c>
      <c r="D3799" t="s">
        <v>42164</v>
      </c>
      <c r="E3799" t="s">
        <v>42165</v>
      </c>
      <c r="F3799" t="s">
        <v>42166</v>
      </c>
      <c r="G3799" t="s">
        <v>42167</v>
      </c>
      <c r="H3799" t="str">
        <f>"Ints11"</f>
        <v>Ints11</v>
      </c>
      <c r="I3799" t="s">
        <v>42168</v>
      </c>
      <c r="J3799" t="s">
        <v>37</v>
      </c>
      <c r="K3799">
        <v>10090</v>
      </c>
      <c r="L3799" s="3" t="str">
        <f>HYPERLINK("http://www.uniprot.org/uniprot/Q9CWS4", "Q9CWS4")</f>
        <v>Q9CWS4</v>
      </c>
      <c r="M3799" t="s">
        <v>42169</v>
      </c>
      <c r="N3799" t="str">
        <f>"Ints11"</f>
        <v>Ints11</v>
      </c>
      <c r="O3799" s="3" t="str">
        <f>HYPERLINK("http://www.informatics.jax.org/marker/MGI:1919207", "MGI:1919207")</f>
        <v>MGI:1919207</v>
      </c>
      <c r="P3799" t="s">
        <v>42170</v>
      </c>
      <c r="Q3799" t="s">
        <v>32</v>
      </c>
      <c r="R3799" t="s">
        <v>40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343</v>
      </c>
      <c r="Y3799" t="s">
        <v>32</v>
      </c>
      <c r="Z3799" t="s">
        <v>32</v>
      </c>
      <c r="AA3799" t="s">
        <v>42171</v>
      </c>
      <c r="AB3799" t="s">
        <v>42172</v>
      </c>
      <c r="AC3799" t="s">
        <v>6403</v>
      </c>
      <c r="AD3799" t="s">
        <v>32</v>
      </c>
      <c r="AE3799" t="s">
        <v>22679</v>
      </c>
      <c r="AF3799" t="s">
        <v>46835</v>
      </c>
    </row>
    <row r="3800" spans="1:33" x14ac:dyDescent="0.2">
      <c r="A3800">
        <v>3795</v>
      </c>
      <c r="B3800" t="s">
        <v>42173</v>
      </c>
      <c r="C3800" t="s">
        <v>42174</v>
      </c>
      <c r="D3800" t="s">
        <v>42175</v>
      </c>
      <c r="E3800" t="s">
        <v>42176</v>
      </c>
      <c r="F3800" t="s">
        <v>42177</v>
      </c>
      <c r="G3800" t="s">
        <v>42178</v>
      </c>
      <c r="H3800" t="str">
        <f>"Pih1d1"</f>
        <v>Pih1d1</v>
      </c>
      <c r="I3800" t="s">
        <v>42179</v>
      </c>
      <c r="J3800" t="s">
        <v>37</v>
      </c>
      <c r="K3800">
        <v>10090</v>
      </c>
      <c r="L3800" s="3" t="str">
        <f>HYPERLINK("http://www.uniprot.org/uniprot/Q9CQJ2", "Q9CQJ2")</f>
        <v>Q9CQJ2</v>
      </c>
      <c r="M3800" t="s">
        <v>42180</v>
      </c>
      <c r="N3800" t="str">
        <f>"Pih1d1"</f>
        <v>Pih1d1</v>
      </c>
      <c r="O3800" s="3" t="str">
        <f>HYPERLINK("http://www.informatics.jax.org/marker/MGI:1916095", "MGI:1916095")</f>
        <v>MGI:1916095</v>
      </c>
      <c r="P3800" t="s">
        <v>42181</v>
      </c>
      <c r="Q3800" t="s">
        <v>4152</v>
      </c>
      <c r="R3800" t="s">
        <v>2279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32</v>
      </c>
      <c r="Y3800" t="s">
        <v>618</v>
      </c>
      <c r="Z3800" t="s">
        <v>126</v>
      </c>
      <c r="AA3800" t="s">
        <v>42182</v>
      </c>
      <c r="AB3800" t="s">
        <v>42183</v>
      </c>
      <c r="AC3800" t="s">
        <v>42184</v>
      </c>
      <c r="AD3800" t="s">
        <v>32</v>
      </c>
      <c r="AE3800" t="s">
        <v>32</v>
      </c>
      <c r="AF3800" t="s">
        <v>46835</v>
      </c>
    </row>
    <row r="3801" spans="1:33" x14ac:dyDescent="0.2">
      <c r="A3801">
        <v>3796</v>
      </c>
      <c r="B3801" t="s">
        <v>42185</v>
      </c>
      <c r="C3801" t="s">
        <v>42186</v>
      </c>
      <c r="D3801" t="s">
        <v>32</v>
      </c>
      <c r="E3801" t="s">
        <v>42187</v>
      </c>
      <c r="F3801" t="s">
        <v>42188</v>
      </c>
      <c r="G3801" t="s">
        <v>42189</v>
      </c>
      <c r="H3801" t="str">
        <f>"Coq9"</f>
        <v>Coq9</v>
      </c>
      <c r="I3801" t="s">
        <v>32</v>
      </c>
      <c r="J3801" t="s">
        <v>37</v>
      </c>
      <c r="K3801">
        <v>10090</v>
      </c>
      <c r="L3801" s="3" t="str">
        <f>HYPERLINK("http://www.uniprot.org/uniprot/Q8K1Z0", "Q8K1Z0")</f>
        <v>Q8K1Z0</v>
      </c>
      <c r="M3801" t="s">
        <v>42190</v>
      </c>
      <c r="N3801" t="str">
        <f>"Coq9"</f>
        <v>Coq9</v>
      </c>
      <c r="O3801" s="3" t="str">
        <f>HYPERLINK("http://www.informatics.jax.org/marker/MGI:1915164", "MGI:1915164")</f>
        <v>MGI:1915164</v>
      </c>
      <c r="P3801" t="s">
        <v>42191</v>
      </c>
      <c r="Q3801" t="s">
        <v>42192</v>
      </c>
      <c r="R3801" t="s">
        <v>1038</v>
      </c>
      <c r="S3801" t="s">
        <v>32</v>
      </c>
      <c r="T3801" t="s">
        <v>32</v>
      </c>
      <c r="U3801" t="s">
        <v>32</v>
      </c>
      <c r="V3801" t="s">
        <v>1039</v>
      </c>
      <c r="W3801" t="s">
        <v>584</v>
      </c>
      <c r="X3801" t="s">
        <v>32</v>
      </c>
      <c r="Y3801" t="s">
        <v>157</v>
      </c>
      <c r="Z3801" t="s">
        <v>32</v>
      </c>
      <c r="AA3801" t="s">
        <v>42193</v>
      </c>
      <c r="AB3801" t="s">
        <v>42194</v>
      </c>
      <c r="AC3801" t="s">
        <v>42195</v>
      </c>
      <c r="AD3801" t="s">
        <v>42196</v>
      </c>
      <c r="AE3801" t="s">
        <v>32</v>
      </c>
      <c r="AF3801" t="s">
        <v>46835</v>
      </c>
    </row>
    <row r="3802" spans="1:33" x14ac:dyDescent="0.2">
      <c r="A3802">
        <v>3797</v>
      </c>
      <c r="B3802" t="s">
        <v>42197</v>
      </c>
      <c r="C3802" t="s">
        <v>42198</v>
      </c>
      <c r="D3802" t="s">
        <v>32</v>
      </c>
      <c r="E3802" t="s">
        <v>42199</v>
      </c>
      <c r="F3802" t="s">
        <v>42200</v>
      </c>
      <c r="G3802" t="s">
        <v>42201</v>
      </c>
      <c r="H3802" t="str">
        <f>"Commd5"</f>
        <v>Commd5</v>
      </c>
      <c r="I3802" t="s">
        <v>32</v>
      </c>
      <c r="J3802" t="s">
        <v>37</v>
      </c>
      <c r="K3802">
        <v>10090</v>
      </c>
      <c r="L3802" s="3" t="str">
        <f>HYPERLINK("http://www.uniprot.org/uniprot/Q8R395", "Q8R395")</f>
        <v>Q8R395</v>
      </c>
      <c r="M3802" t="s">
        <v>42202</v>
      </c>
      <c r="N3802" t="str">
        <f>"Commd5"</f>
        <v>Commd5</v>
      </c>
      <c r="O3802" s="3" t="str">
        <f>HYPERLINK("http://www.informatics.jax.org/marker/MGI:1913648", "MGI:1913648")</f>
        <v>MGI:1913648</v>
      </c>
      <c r="P3802" t="s">
        <v>21513</v>
      </c>
      <c r="Q3802" t="s">
        <v>2278</v>
      </c>
      <c r="R3802" t="s">
        <v>40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32</v>
      </c>
      <c r="Y3802" t="s">
        <v>78</v>
      </c>
      <c r="Z3802" t="s">
        <v>32</v>
      </c>
      <c r="AA3802" t="s">
        <v>42203</v>
      </c>
      <c r="AB3802" t="s">
        <v>8281</v>
      </c>
      <c r="AC3802" t="s">
        <v>32</v>
      </c>
      <c r="AD3802" t="s">
        <v>32</v>
      </c>
      <c r="AE3802" t="s">
        <v>14635</v>
      </c>
      <c r="AF3802" t="s">
        <v>46835</v>
      </c>
    </row>
    <row r="3803" spans="1:33" x14ac:dyDescent="0.2">
      <c r="A3803">
        <v>3798</v>
      </c>
      <c r="B3803" t="s">
        <v>42204</v>
      </c>
      <c r="C3803" t="s">
        <v>42205</v>
      </c>
      <c r="D3803" t="s">
        <v>32</v>
      </c>
      <c r="E3803" t="s">
        <v>42206</v>
      </c>
      <c r="F3803" t="s">
        <v>42207</v>
      </c>
      <c r="G3803" t="s">
        <v>42208</v>
      </c>
      <c r="H3803" t="str">
        <f>"Ankib1"</f>
        <v>Ankib1</v>
      </c>
      <c r="I3803" t="s">
        <v>42209</v>
      </c>
      <c r="J3803" t="s">
        <v>37</v>
      </c>
      <c r="K3803">
        <v>10090</v>
      </c>
      <c r="L3803" s="3" t="str">
        <f>HYPERLINK("http://www.uniprot.org/uniprot/Q6ZPS6", "Q6ZPS6")</f>
        <v>Q6ZPS6</v>
      </c>
      <c r="M3803" t="s">
        <v>42210</v>
      </c>
      <c r="N3803" t="str">
        <f>"Ankib1"</f>
        <v>Ankib1</v>
      </c>
      <c r="O3803" s="3" t="str">
        <f>HYPERLINK("http://www.informatics.jax.org/marker/MGI:1918047", "MGI:1918047")</f>
        <v>MGI:1918047</v>
      </c>
      <c r="P3803" t="s">
        <v>42211</v>
      </c>
      <c r="Q3803" t="s">
        <v>1020</v>
      </c>
      <c r="R3803" t="s">
        <v>32</v>
      </c>
      <c r="S3803" t="s">
        <v>32</v>
      </c>
      <c r="T3803" t="s">
        <v>32</v>
      </c>
      <c r="U3803" t="s">
        <v>32</v>
      </c>
      <c r="V3803" t="s">
        <v>22545</v>
      </c>
      <c r="W3803" t="s">
        <v>42</v>
      </c>
      <c r="X3803" t="s">
        <v>515</v>
      </c>
      <c r="Y3803" t="s">
        <v>5562</v>
      </c>
      <c r="Z3803" t="s">
        <v>32</v>
      </c>
      <c r="AA3803" t="s">
        <v>42212</v>
      </c>
      <c r="AB3803" t="s">
        <v>42213</v>
      </c>
      <c r="AC3803" t="s">
        <v>40268</v>
      </c>
      <c r="AD3803" t="s">
        <v>32</v>
      </c>
      <c r="AE3803" t="s">
        <v>32</v>
      </c>
      <c r="AF3803" t="s">
        <v>46835</v>
      </c>
    </row>
    <row r="3804" spans="1:33" x14ac:dyDescent="0.2">
      <c r="A3804">
        <v>3799</v>
      </c>
      <c r="B3804" t="s">
        <v>42214</v>
      </c>
      <c r="C3804" t="s">
        <v>42215</v>
      </c>
      <c r="D3804" t="s">
        <v>32</v>
      </c>
      <c r="E3804" t="s">
        <v>42216</v>
      </c>
      <c r="F3804" t="s">
        <v>42217</v>
      </c>
      <c r="G3804" t="s">
        <v>42218</v>
      </c>
      <c r="H3804" t="str">
        <f>"Golph3l"</f>
        <v>Golph3l</v>
      </c>
      <c r="I3804" t="s">
        <v>32</v>
      </c>
      <c r="J3804" t="s">
        <v>37</v>
      </c>
      <c r="K3804">
        <v>10090</v>
      </c>
      <c r="L3804" s="3" t="str">
        <f>HYPERLINK("http://www.uniprot.org/uniprot/Q8R088", "Q8R088")</f>
        <v>Q8R088</v>
      </c>
      <c r="M3804" t="s">
        <v>42219</v>
      </c>
      <c r="N3804" t="str">
        <f>"Golph3l"</f>
        <v>Golph3l</v>
      </c>
      <c r="O3804" s="3" t="str">
        <f>HYPERLINK("http://www.informatics.jax.org/marker/MGI:1917129", "MGI:1917129")</f>
        <v>MGI:1917129</v>
      </c>
      <c r="P3804" t="s">
        <v>42220</v>
      </c>
      <c r="Q3804" t="s">
        <v>32</v>
      </c>
      <c r="R3804" t="s">
        <v>13904</v>
      </c>
      <c r="S3804" t="s">
        <v>41</v>
      </c>
      <c r="T3804" t="s">
        <v>32</v>
      </c>
      <c r="U3804" t="s">
        <v>32</v>
      </c>
      <c r="V3804" t="s">
        <v>32</v>
      </c>
      <c r="W3804" t="s">
        <v>584</v>
      </c>
      <c r="X3804" t="s">
        <v>32</v>
      </c>
      <c r="Y3804" t="s">
        <v>618</v>
      </c>
      <c r="Z3804" t="s">
        <v>32</v>
      </c>
      <c r="AA3804" t="s">
        <v>42221</v>
      </c>
      <c r="AB3804" t="s">
        <v>42222</v>
      </c>
      <c r="AC3804" t="s">
        <v>42223</v>
      </c>
      <c r="AD3804" t="s">
        <v>32</v>
      </c>
      <c r="AE3804" t="s">
        <v>32</v>
      </c>
      <c r="AF3804" t="s">
        <v>46835</v>
      </c>
    </row>
    <row r="3805" spans="1:33" x14ac:dyDescent="0.2">
      <c r="A3805">
        <v>3800</v>
      </c>
      <c r="B3805" t="s">
        <v>42224</v>
      </c>
      <c r="C3805" t="s">
        <v>42225</v>
      </c>
      <c r="D3805" t="s">
        <v>42226</v>
      </c>
      <c r="E3805" t="s">
        <v>42227</v>
      </c>
      <c r="F3805" t="s">
        <v>42228</v>
      </c>
      <c r="G3805" t="s">
        <v>32</v>
      </c>
      <c r="H3805" t="str">
        <f>"Dnajc1"</f>
        <v>Dnajc1</v>
      </c>
      <c r="I3805" t="s">
        <v>42229</v>
      </c>
      <c r="J3805" t="s">
        <v>37</v>
      </c>
      <c r="K3805">
        <v>10090</v>
      </c>
      <c r="L3805" s="3" t="str">
        <f>HYPERLINK("http://www.uniprot.org/uniprot/Q61712", "Q61712")</f>
        <v>Q61712</v>
      </c>
      <c r="M3805" t="s">
        <v>42230</v>
      </c>
      <c r="N3805" t="str">
        <f>"Dnajc1"</f>
        <v>Dnajc1</v>
      </c>
      <c r="O3805" s="3" t="str">
        <f>HYPERLINK("http://www.informatics.jax.org/marker/MGI:103268", "MGI:103268")</f>
        <v>MGI:103268</v>
      </c>
      <c r="P3805" t="s">
        <v>42231</v>
      </c>
      <c r="Q3805" t="s">
        <v>32</v>
      </c>
      <c r="R3805" t="s">
        <v>5723</v>
      </c>
      <c r="S3805" t="s">
        <v>32</v>
      </c>
      <c r="T3805" t="s">
        <v>32</v>
      </c>
      <c r="U3805" t="s">
        <v>32</v>
      </c>
      <c r="V3805" t="s">
        <v>1665</v>
      </c>
      <c r="W3805" t="s">
        <v>32</v>
      </c>
      <c r="X3805" t="s">
        <v>3301</v>
      </c>
      <c r="Y3805" t="s">
        <v>618</v>
      </c>
      <c r="Z3805" t="s">
        <v>32</v>
      </c>
      <c r="AA3805" t="s">
        <v>42232</v>
      </c>
      <c r="AB3805" t="s">
        <v>42233</v>
      </c>
      <c r="AC3805" t="s">
        <v>42234</v>
      </c>
      <c r="AD3805" t="s">
        <v>32</v>
      </c>
      <c r="AE3805" t="s">
        <v>32</v>
      </c>
      <c r="AF3805" t="s">
        <v>46835</v>
      </c>
    </row>
    <row r="3806" spans="1:33" x14ac:dyDescent="0.2">
      <c r="A3806">
        <v>3801</v>
      </c>
      <c r="B3806" t="s">
        <v>42235</v>
      </c>
      <c r="C3806" t="s">
        <v>47135</v>
      </c>
      <c r="D3806" t="s">
        <v>32</v>
      </c>
      <c r="E3806" t="s">
        <v>47060</v>
      </c>
      <c r="F3806" t="s">
        <v>47059</v>
      </c>
      <c r="G3806" t="s">
        <v>32</v>
      </c>
      <c r="H3806" t="s">
        <v>47266</v>
      </c>
      <c r="I3806" t="s">
        <v>32</v>
      </c>
      <c r="J3806" t="s">
        <v>37</v>
      </c>
      <c r="K3806">
        <v>10090</v>
      </c>
      <c r="L3806" s="3" t="str">
        <f>HYPERLINK(CONCATENATE("https://www.uniprot.org/uniprotkb/", AG3806, "/entry"), AG3806)</f>
        <v>Q8CBC7</v>
      </c>
      <c r="M3806" t="s">
        <v>32</v>
      </c>
      <c r="N3806" t="s">
        <v>32</v>
      </c>
      <c r="O3806" s="3" t="s">
        <v>32</v>
      </c>
      <c r="P3806" t="s">
        <v>32</v>
      </c>
      <c r="Q3806" t="s">
        <v>32</v>
      </c>
      <c r="R3806" t="s">
        <v>32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32</v>
      </c>
      <c r="Y3806" t="s">
        <v>32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  <c r="AE3806" t="s">
        <v>32</v>
      </c>
      <c r="AF3806" t="s">
        <v>46835</v>
      </c>
      <c r="AG3806" t="s">
        <v>47059</v>
      </c>
    </row>
    <row r="3807" spans="1:33" x14ac:dyDescent="0.2">
      <c r="A3807">
        <v>3802</v>
      </c>
      <c r="B3807" t="s">
        <v>42236</v>
      </c>
      <c r="C3807" t="s">
        <v>42237</v>
      </c>
      <c r="D3807" t="s">
        <v>42238</v>
      </c>
      <c r="E3807" t="s">
        <v>42239</v>
      </c>
      <c r="F3807" t="s">
        <v>42240</v>
      </c>
      <c r="G3807" t="s">
        <v>42241</v>
      </c>
      <c r="H3807" t="str">
        <f>"Bag4"</f>
        <v>Bag4</v>
      </c>
      <c r="I3807" t="s">
        <v>42242</v>
      </c>
      <c r="J3807" t="s">
        <v>37</v>
      </c>
      <c r="K3807">
        <v>10090</v>
      </c>
      <c r="L3807" s="3" t="str">
        <f>HYPERLINK("http://www.uniprot.org/uniprot/Q8CI61", "Q8CI61")</f>
        <v>Q8CI61</v>
      </c>
      <c r="M3807" t="s">
        <v>42243</v>
      </c>
      <c r="N3807" t="str">
        <f>"Bag4"</f>
        <v>Bag4</v>
      </c>
      <c r="O3807" s="3" t="str">
        <f>HYPERLINK("http://www.informatics.jax.org/marker/MGI:1914634", "MGI:1914634")</f>
        <v>MGI:1914634</v>
      </c>
      <c r="P3807" t="s">
        <v>42244</v>
      </c>
      <c r="Q3807" t="s">
        <v>32</v>
      </c>
      <c r="R3807" t="s">
        <v>418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388</v>
      </c>
      <c r="Y3807" t="s">
        <v>2734</v>
      </c>
      <c r="Z3807" t="s">
        <v>32</v>
      </c>
      <c r="AA3807" t="s">
        <v>42245</v>
      </c>
      <c r="AB3807" t="s">
        <v>42246</v>
      </c>
      <c r="AC3807" t="s">
        <v>42247</v>
      </c>
      <c r="AD3807" t="s">
        <v>32</v>
      </c>
      <c r="AE3807" t="s">
        <v>42248</v>
      </c>
      <c r="AF3807" t="s">
        <v>46835</v>
      </c>
    </row>
    <row r="3808" spans="1:33" x14ac:dyDescent="0.2">
      <c r="A3808">
        <v>3803</v>
      </c>
      <c r="B3808" t="s">
        <v>42249</v>
      </c>
      <c r="C3808" t="s">
        <v>42250</v>
      </c>
      <c r="D3808" t="s">
        <v>32</v>
      </c>
      <c r="E3808" t="s">
        <v>42251</v>
      </c>
      <c r="F3808" t="s">
        <v>42252</v>
      </c>
      <c r="G3808" t="s">
        <v>42253</v>
      </c>
      <c r="H3808" t="str">
        <f>"Oxnad1"</f>
        <v>Oxnad1</v>
      </c>
      <c r="I3808" t="s">
        <v>32</v>
      </c>
      <c r="J3808" t="s">
        <v>37</v>
      </c>
      <c r="K3808">
        <v>10090</v>
      </c>
      <c r="L3808" s="3" t="str">
        <f>HYPERLINK("http://www.uniprot.org/uniprot/Q8VE38", "Q8VE38")</f>
        <v>Q8VE38</v>
      </c>
      <c r="M3808" t="s">
        <v>42254</v>
      </c>
      <c r="N3808" t="str">
        <f>"Oxnad1"</f>
        <v>Oxnad1</v>
      </c>
      <c r="O3808" s="3" t="str">
        <f>HYPERLINK("http://www.informatics.jax.org/marker/MGI:1916953", "MGI:1916953")</f>
        <v>MGI:1916953</v>
      </c>
      <c r="P3808" t="s">
        <v>42255</v>
      </c>
      <c r="Q3808" t="s">
        <v>32</v>
      </c>
      <c r="R3808" t="s">
        <v>32</v>
      </c>
      <c r="S3808" t="s">
        <v>41</v>
      </c>
      <c r="T3808" t="s">
        <v>32</v>
      </c>
      <c r="U3808" t="s">
        <v>32</v>
      </c>
      <c r="V3808" t="s">
        <v>811</v>
      </c>
      <c r="W3808" t="s">
        <v>325</v>
      </c>
      <c r="X3808" t="s">
        <v>600</v>
      </c>
      <c r="Y3808" t="s">
        <v>32</v>
      </c>
      <c r="Z3808" t="s">
        <v>32</v>
      </c>
      <c r="AA3808" t="s">
        <v>32</v>
      </c>
      <c r="AB3808" t="s">
        <v>3721</v>
      </c>
      <c r="AC3808" t="s">
        <v>11250</v>
      </c>
      <c r="AD3808" t="s">
        <v>32</v>
      </c>
      <c r="AE3808" t="s">
        <v>32</v>
      </c>
      <c r="AF3808" t="s">
        <v>46835</v>
      </c>
    </row>
    <row r="3809" spans="1:33" x14ac:dyDescent="0.2">
      <c r="A3809">
        <v>3804</v>
      </c>
      <c r="B3809" t="s">
        <v>42256</v>
      </c>
      <c r="C3809" t="s">
        <v>42257</v>
      </c>
      <c r="D3809" t="s">
        <v>42258</v>
      </c>
      <c r="E3809" t="s">
        <v>42259</v>
      </c>
      <c r="F3809" t="s">
        <v>42260</v>
      </c>
      <c r="G3809" t="s">
        <v>32</v>
      </c>
      <c r="H3809" t="str">
        <f>"Agps"</f>
        <v>Agps</v>
      </c>
      <c r="I3809" t="s">
        <v>32</v>
      </c>
      <c r="J3809" t="s">
        <v>37</v>
      </c>
      <c r="K3809">
        <v>10090</v>
      </c>
      <c r="L3809" s="3" t="str">
        <f>HYPERLINK("http://www.uniprot.org/uniprot/Q8C0I1", "Q8C0I1")</f>
        <v>Q8C0I1</v>
      </c>
      <c r="M3809" t="s">
        <v>42261</v>
      </c>
      <c r="N3809" t="str">
        <f>"Agps"</f>
        <v>Agps</v>
      </c>
      <c r="O3809" s="3" t="str">
        <f>HYPERLINK("http://www.informatics.jax.org/marker/MGI:2443065", "MGI:2443065")</f>
        <v>MGI:2443065</v>
      </c>
      <c r="P3809" t="s">
        <v>42262</v>
      </c>
      <c r="Q3809" t="s">
        <v>5334</v>
      </c>
      <c r="R3809" t="s">
        <v>23835</v>
      </c>
      <c r="S3809" t="s">
        <v>32</v>
      </c>
      <c r="T3809" t="s">
        <v>32</v>
      </c>
      <c r="U3809" t="s">
        <v>32</v>
      </c>
      <c r="V3809" t="s">
        <v>1039</v>
      </c>
      <c r="W3809" t="s">
        <v>4600</v>
      </c>
      <c r="X3809" t="s">
        <v>515</v>
      </c>
      <c r="Y3809" t="s">
        <v>157</v>
      </c>
      <c r="Z3809" t="s">
        <v>32</v>
      </c>
      <c r="AA3809" t="s">
        <v>42263</v>
      </c>
      <c r="AB3809" t="s">
        <v>42264</v>
      </c>
      <c r="AC3809" t="s">
        <v>42265</v>
      </c>
      <c r="AD3809" t="s">
        <v>42266</v>
      </c>
      <c r="AE3809" t="s">
        <v>42267</v>
      </c>
      <c r="AF3809" t="s">
        <v>46835</v>
      </c>
    </row>
    <row r="3810" spans="1:33" x14ac:dyDescent="0.2">
      <c r="A3810">
        <v>3805</v>
      </c>
      <c r="B3810" t="s">
        <v>42268</v>
      </c>
      <c r="C3810" t="s">
        <v>47152</v>
      </c>
      <c r="D3810" t="s">
        <v>32</v>
      </c>
      <c r="E3810" t="s">
        <v>47062</v>
      </c>
      <c r="F3810" t="s">
        <v>47061</v>
      </c>
      <c r="G3810" t="s">
        <v>32</v>
      </c>
      <c r="H3810" t="s">
        <v>47283</v>
      </c>
      <c r="I3810" t="s">
        <v>32</v>
      </c>
      <c r="J3810" t="s">
        <v>37</v>
      </c>
      <c r="K3810">
        <v>10090</v>
      </c>
      <c r="L3810" s="3" t="str">
        <f>HYPERLINK(CONCATENATE("https://www.uniprot.org/uniprotkb/", AG3810, "/entry"), AG3810)</f>
        <v>Q6IQX8</v>
      </c>
      <c r="M3810" t="s">
        <v>32</v>
      </c>
      <c r="N3810" t="s">
        <v>32</v>
      </c>
      <c r="O3810" s="3" t="s">
        <v>32</v>
      </c>
      <c r="P3810" t="s">
        <v>32</v>
      </c>
      <c r="Q3810" t="s">
        <v>32</v>
      </c>
      <c r="R3810" t="s">
        <v>32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32</v>
      </c>
      <c r="Y3810" t="s">
        <v>32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  <c r="AE3810" t="s">
        <v>32</v>
      </c>
      <c r="AF3810" t="s">
        <v>46835</v>
      </c>
      <c r="AG3810" t="s">
        <v>47061</v>
      </c>
    </row>
    <row r="3811" spans="1:33" x14ac:dyDescent="0.2">
      <c r="A3811">
        <v>3806</v>
      </c>
      <c r="B3811" t="s">
        <v>42269</v>
      </c>
      <c r="C3811" t="s">
        <v>42270</v>
      </c>
      <c r="D3811" t="s">
        <v>42271</v>
      </c>
      <c r="E3811" t="s">
        <v>42272</v>
      </c>
      <c r="F3811" t="s">
        <v>42273</v>
      </c>
      <c r="G3811" t="s">
        <v>42274</v>
      </c>
      <c r="H3811" t="str">
        <f>"Ntmt1"</f>
        <v>Ntmt1</v>
      </c>
      <c r="I3811" t="s">
        <v>42275</v>
      </c>
      <c r="J3811" t="s">
        <v>37</v>
      </c>
      <c r="K3811">
        <v>10090</v>
      </c>
      <c r="L3811" s="3" t="str">
        <f>HYPERLINK("http://www.uniprot.org/uniprot/Q8R2U4", "Q8R2U4")</f>
        <v>Q8R2U4</v>
      </c>
      <c r="M3811" t="s">
        <v>42276</v>
      </c>
      <c r="N3811" t="str">
        <f>"Ntmt1"</f>
        <v>Ntmt1</v>
      </c>
      <c r="O3811" s="3" t="str">
        <f>HYPERLINK("http://www.informatics.jax.org/marker/MGI:1913867", "MGI:1913867")</f>
        <v>MGI:1913867</v>
      </c>
      <c r="P3811" t="s">
        <v>42277</v>
      </c>
      <c r="Q3811" t="s">
        <v>32</v>
      </c>
      <c r="R3811" t="s">
        <v>2279</v>
      </c>
      <c r="S3811" t="s">
        <v>32</v>
      </c>
      <c r="T3811" t="s">
        <v>32</v>
      </c>
      <c r="U3811" t="s">
        <v>32</v>
      </c>
      <c r="V3811" t="s">
        <v>32</v>
      </c>
      <c r="W3811" t="s">
        <v>1705</v>
      </c>
      <c r="X3811" t="s">
        <v>1706</v>
      </c>
      <c r="Y3811" t="s">
        <v>78</v>
      </c>
      <c r="Z3811" t="s">
        <v>32</v>
      </c>
      <c r="AA3811" t="s">
        <v>42278</v>
      </c>
      <c r="AB3811" t="s">
        <v>4884</v>
      </c>
      <c r="AC3811" t="s">
        <v>42279</v>
      </c>
      <c r="AD3811" t="s">
        <v>32</v>
      </c>
      <c r="AE3811" t="s">
        <v>32</v>
      </c>
      <c r="AF3811" t="s">
        <v>46835</v>
      </c>
    </row>
    <row r="3812" spans="1:33" x14ac:dyDescent="0.2">
      <c r="A3812">
        <v>3807</v>
      </c>
      <c r="B3812" t="s">
        <v>42280</v>
      </c>
      <c r="C3812" t="s">
        <v>42281</v>
      </c>
      <c r="D3812" t="s">
        <v>42282</v>
      </c>
      <c r="E3812" t="s">
        <v>42283</v>
      </c>
      <c r="F3812" t="s">
        <v>42284</v>
      </c>
      <c r="G3812" t="s">
        <v>32</v>
      </c>
      <c r="H3812" t="str">
        <f>"P3h4"</f>
        <v>P3h4</v>
      </c>
      <c r="I3812" t="s">
        <v>32</v>
      </c>
      <c r="J3812" t="s">
        <v>37</v>
      </c>
      <c r="K3812">
        <v>10090</v>
      </c>
      <c r="L3812" s="3" t="str">
        <f>HYPERLINK("http://www.uniprot.org/uniprot/Q8K2B0", "Q8K2B0")</f>
        <v>Q8K2B0</v>
      </c>
      <c r="M3812" t="s">
        <v>42285</v>
      </c>
      <c r="N3812" t="str">
        <f>"P3h4"</f>
        <v>P3h4</v>
      </c>
      <c r="O3812" s="3" t="str">
        <f>HYPERLINK("http://www.informatics.jax.org/marker/MGI:1913430", "MGI:1913430")</f>
        <v>MGI:1913430</v>
      </c>
      <c r="P3812" t="s">
        <v>42286</v>
      </c>
      <c r="Q3812" t="s">
        <v>32</v>
      </c>
      <c r="R3812" t="s">
        <v>671</v>
      </c>
      <c r="S3812" t="s">
        <v>32</v>
      </c>
      <c r="T3812" t="s">
        <v>32</v>
      </c>
      <c r="U3812" t="s">
        <v>32</v>
      </c>
      <c r="V3812" t="s">
        <v>811</v>
      </c>
      <c r="W3812" t="s">
        <v>32</v>
      </c>
      <c r="X3812" t="s">
        <v>32</v>
      </c>
      <c r="Y3812" t="s">
        <v>3733</v>
      </c>
      <c r="Z3812" t="s">
        <v>32</v>
      </c>
      <c r="AA3812" t="s">
        <v>42287</v>
      </c>
      <c r="AB3812" t="s">
        <v>42288</v>
      </c>
      <c r="AC3812" t="s">
        <v>32</v>
      </c>
      <c r="AD3812" t="s">
        <v>32</v>
      </c>
      <c r="AE3812" t="s">
        <v>32</v>
      </c>
      <c r="AF3812" t="s">
        <v>46835</v>
      </c>
    </row>
    <row r="3813" spans="1:33" x14ac:dyDescent="0.2">
      <c r="A3813">
        <v>3808</v>
      </c>
      <c r="B3813" t="s">
        <v>42289</v>
      </c>
      <c r="C3813" t="s">
        <v>42290</v>
      </c>
      <c r="D3813" t="s">
        <v>32</v>
      </c>
      <c r="E3813" t="s">
        <v>42291</v>
      </c>
      <c r="F3813" t="s">
        <v>42292</v>
      </c>
      <c r="G3813" t="s">
        <v>42293</v>
      </c>
      <c r="H3813" t="str">
        <f>"Bod1l"</f>
        <v>Bod1l</v>
      </c>
      <c r="I3813" t="s">
        <v>32</v>
      </c>
      <c r="J3813" t="s">
        <v>37</v>
      </c>
      <c r="K3813">
        <v>10090</v>
      </c>
      <c r="L3813" s="3" t="str">
        <f>HYPERLINK("http://www.uniprot.org/uniprot/E9Q6J5", "E9Q6J5")</f>
        <v>E9Q6J5</v>
      </c>
      <c r="M3813" t="s">
        <v>42294</v>
      </c>
      <c r="N3813" t="str">
        <f>"Bod1l"</f>
        <v>Bod1l</v>
      </c>
      <c r="O3813" s="3" t="str">
        <f>HYPERLINK("http://www.informatics.jax.org/marker/MGI:2444804", "MGI:2444804")</f>
        <v>MGI:2444804</v>
      </c>
      <c r="P3813" t="s">
        <v>42295</v>
      </c>
      <c r="Q3813" t="s">
        <v>11886</v>
      </c>
      <c r="R3813" t="s">
        <v>18622</v>
      </c>
      <c r="S3813" t="s">
        <v>41</v>
      </c>
      <c r="T3813" t="s">
        <v>32</v>
      </c>
      <c r="U3813" t="s">
        <v>32</v>
      </c>
      <c r="V3813" t="s">
        <v>32</v>
      </c>
      <c r="W3813" t="s">
        <v>32</v>
      </c>
      <c r="X3813" t="s">
        <v>247</v>
      </c>
      <c r="Y3813" t="s">
        <v>516</v>
      </c>
      <c r="Z3813" t="s">
        <v>32</v>
      </c>
      <c r="AA3813" t="s">
        <v>42296</v>
      </c>
      <c r="AB3813" t="s">
        <v>42297</v>
      </c>
      <c r="AC3813" t="s">
        <v>42298</v>
      </c>
      <c r="AD3813" t="s">
        <v>32</v>
      </c>
      <c r="AE3813" t="s">
        <v>32</v>
      </c>
      <c r="AF3813" t="s">
        <v>46835</v>
      </c>
    </row>
    <row r="3814" spans="1:33" x14ac:dyDescent="0.2">
      <c r="A3814">
        <v>3809</v>
      </c>
      <c r="B3814" t="s">
        <v>42299</v>
      </c>
      <c r="C3814" t="s">
        <v>42300</v>
      </c>
      <c r="D3814" t="s">
        <v>42301</v>
      </c>
      <c r="E3814" t="s">
        <v>42302</v>
      </c>
      <c r="F3814" t="s">
        <v>42303</v>
      </c>
      <c r="G3814" t="s">
        <v>42304</v>
      </c>
      <c r="H3814" t="str">
        <f>"Magi3"</f>
        <v>Magi3</v>
      </c>
      <c r="I3814" t="s">
        <v>42305</v>
      </c>
      <c r="J3814" t="s">
        <v>37</v>
      </c>
      <c r="K3814">
        <v>10090</v>
      </c>
      <c r="L3814" s="3" t="str">
        <f>HYPERLINK("http://www.uniprot.org/uniprot/Q9EQJ9", "Q9EQJ9")</f>
        <v>Q9EQJ9</v>
      </c>
      <c r="M3814" t="s">
        <v>42306</v>
      </c>
      <c r="N3814" t="str">
        <f>"Magi3"</f>
        <v>Magi3</v>
      </c>
      <c r="O3814" s="3" t="str">
        <f>HYPERLINK("http://www.informatics.jax.org/marker/MGI:1923484", "MGI:1923484")</f>
        <v>MGI:1923484</v>
      </c>
      <c r="P3814" t="s">
        <v>42307</v>
      </c>
      <c r="Q3814" t="s">
        <v>32</v>
      </c>
      <c r="R3814" t="s">
        <v>17236</v>
      </c>
      <c r="S3814" t="s">
        <v>41</v>
      </c>
      <c r="T3814" t="s">
        <v>32</v>
      </c>
      <c r="U3814" t="s">
        <v>32</v>
      </c>
      <c r="V3814" t="s">
        <v>55</v>
      </c>
      <c r="W3814" t="s">
        <v>205</v>
      </c>
      <c r="X3814" t="s">
        <v>32</v>
      </c>
      <c r="Y3814" t="s">
        <v>618</v>
      </c>
      <c r="Z3814" t="s">
        <v>32</v>
      </c>
      <c r="AA3814" t="s">
        <v>42308</v>
      </c>
      <c r="AB3814" t="s">
        <v>42309</v>
      </c>
      <c r="AC3814" t="s">
        <v>42310</v>
      </c>
      <c r="AD3814" t="s">
        <v>32</v>
      </c>
      <c r="AE3814" t="s">
        <v>32</v>
      </c>
      <c r="AF3814" t="s">
        <v>46835</v>
      </c>
    </row>
    <row r="3815" spans="1:33" x14ac:dyDescent="0.2">
      <c r="A3815">
        <v>3810</v>
      </c>
      <c r="B3815" t="s">
        <v>42311</v>
      </c>
      <c r="C3815" t="s">
        <v>42312</v>
      </c>
      <c r="D3815" t="s">
        <v>42313</v>
      </c>
      <c r="E3815" t="s">
        <v>42314</v>
      </c>
      <c r="F3815" t="s">
        <v>42315</v>
      </c>
      <c r="G3815" t="s">
        <v>42316</v>
      </c>
      <c r="H3815" t="str">
        <f>"Dus2"</f>
        <v>Dus2</v>
      </c>
      <c r="I3815" t="s">
        <v>42317</v>
      </c>
      <c r="J3815" t="s">
        <v>37</v>
      </c>
      <c r="K3815">
        <v>10090</v>
      </c>
      <c r="L3815" s="3" t="str">
        <f>HYPERLINK("http://www.uniprot.org/uniprot/Q9D7B1", "Q9D7B1")</f>
        <v>Q9D7B1</v>
      </c>
      <c r="M3815" t="s">
        <v>42318</v>
      </c>
      <c r="N3815" t="str">
        <f>"Dus2"</f>
        <v>Dus2</v>
      </c>
      <c r="O3815" s="3" t="str">
        <f>HYPERLINK("http://www.informatics.jax.org/marker/MGI:1913619", "MGI:1913619")</f>
        <v>MGI:1913619</v>
      </c>
      <c r="P3815" t="s">
        <v>42319</v>
      </c>
      <c r="Q3815" t="s">
        <v>4386</v>
      </c>
      <c r="R3815" t="s">
        <v>874</v>
      </c>
      <c r="S3815" t="s">
        <v>32</v>
      </c>
      <c r="T3815" t="s">
        <v>32</v>
      </c>
      <c r="U3815" t="s">
        <v>32</v>
      </c>
      <c r="V3815" t="s">
        <v>32</v>
      </c>
      <c r="W3815" t="s">
        <v>42320</v>
      </c>
      <c r="X3815" t="s">
        <v>9477</v>
      </c>
      <c r="Y3815" t="s">
        <v>618</v>
      </c>
      <c r="Z3815" t="s">
        <v>126</v>
      </c>
      <c r="AA3815" t="s">
        <v>42321</v>
      </c>
      <c r="AB3815" t="s">
        <v>42322</v>
      </c>
      <c r="AC3815" t="s">
        <v>42323</v>
      </c>
      <c r="AD3815" t="s">
        <v>32</v>
      </c>
      <c r="AE3815" t="s">
        <v>32</v>
      </c>
      <c r="AF3815" t="s">
        <v>46835</v>
      </c>
    </row>
    <row r="3816" spans="1:33" x14ac:dyDescent="0.2">
      <c r="A3816">
        <v>3811</v>
      </c>
      <c r="B3816" t="s">
        <v>42324</v>
      </c>
      <c r="C3816" t="s">
        <v>42325</v>
      </c>
      <c r="D3816" t="s">
        <v>32</v>
      </c>
      <c r="E3816" t="s">
        <v>42326</v>
      </c>
      <c r="F3816" t="s">
        <v>42327</v>
      </c>
      <c r="G3816" t="s">
        <v>42328</v>
      </c>
      <c r="H3816" t="str">
        <f>"Vps8"</f>
        <v>Vps8</v>
      </c>
      <c r="I3816" t="s">
        <v>42329</v>
      </c>
      <c r="J3816" t="s">
        <v>37</v>
      </c>
      <c r="K3816">
        <v>10090</v>
      </c>
      <c r="L3816" s="3" t="str">
        <f>HYPERLINK("http://www.uniprot.org/uniprot/Q0P5W1", "Q0P5W1")</f>
        <v>Q0P5W1</v>
      </c>
      <c r="M3816" t="s">
        <v>42330</v>
      </c>
      <c r="N3816" t="str">
        <f>"Vps8"</f>
        <v>Vps8</v>
      </c>
      <c r="O3816" s="3" t="str">
        <f>HYPERLINK("http://www.informatics.jax.org/marker/MGI:2146407", "MGI:2146407")</f>
        <v>MGI:2146407</v>
      </c>
      <c r="P3816" t="s">
        <v>42331</v>
      </c>
      <c r="Q3816" t="s">
        <v>32</v>
      </c>
      <c r="R3816" t="s">
        <v>32</v>
      </c>
      <c r="S3816" t="s">
        <v>41</v>
      </c>
      <c r="T3816" t="s">
        <v>32</v>
      </c>
      <c r="U3816" t="s">
        <v>32</v>
      </c>
      <c r="V3816" t="s">
        <v>42332</v>
      </c>
      <c r="W3816" t="s">
        <v>42</v>
      </c>
      <c r="X3816" t="s">
        <v>32</v>
      </c>
      <c r="Y3816" t="s">
        <v>618</v>
      </c>
      <c r="Z3816" t="s">
        <v>32</v>
      </c>
      <c r="AA3816" t="s">
        <v>42333</v>
      </c>
      <c r="AB3816" t="s">
        <v>42334</v>
      </c>
      <c r="AC3816" t="s">
        <v>4525</v>
      </c>
      <c r="AD3816" t="s">
        <v>32</v>
      </c>
      <c r="AE3816" t="s">
        <v>32</v>
      </c>
      <c r="AF3816" t="s">
        <v>46835</v>
      </c>
    </row>
    <row r="3817" spans="1:33" x14ac:dyDescent="0.2">
      <c r="A3817">
        <v>3812</v>
      </c>
      <c r="B3817" t="s">
        <v>42335</v>
      </c>
      <c r="C3817" t="s">
        <v>42336</v>
      </c>
      <c r="D3817" t="s">
        <v>32</v>
      </c>
      <c r="E3817" t="s">
        <v>42337</v>
      </c>
      <c r="F3817" t="s">
        <v>42338</v>
      </c>
      <c r="G3817" t="s">
        <v>42339</v>
      </c>
      <c r="H3817" t="str">
        <f>"Mrps30"</f>
        <v>Mrps30</v>
      </c>
      <c r="I3817" t="s">
        <v>32</v>
      </c>
      <c r="J3817" t="s">
        <v>37</v>
      </c>
      <c r="K3817">
        <v>10090</v>
      </c>
      <c r="L3817" s="3" t="str">
        <f>HYPERLINK("http://www.uniprot.org/uniprot/Q9D0G0", "Q9D0G0")</f>
        <v>Q9D0G0</v>
      </c>
      <c r="M3817" t="s">
        <v>42340</v>
      </c>
      <c r="N3817" t="str">
        <f>"Mrps30"</f>
        <v>Mrps30</v>
      </c>
      <c r="O3817" s="3" t="str">
        <f>HYPERLINK("http://www.informatics.jax.org/marker/MGI:1926237", "MGI:1926237")</f>
        <v>MGI:1926237</v>
      </c>
      <c r="P3817" t="s">
        <v>30889</v>
      </c>
      <c r="Q3817" t="s">
        <v>32</v>
      </c>
      <c r="R3817" t="s">
        <v>1038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447</v>
      </c>
      <c r="Y3817" t="s">
        <v>32</v>
      </c>
      <c r="Z3817" t="s">
        <v>32</v>
      </c>
      <c r="AA3817" t="s">
        <v>23519</v>
      </c>
      <c r="AB3817" t="s">
        <v>27223</v>
      </c>
      <c r="AC3817" t="s">
        <v>1010</v>
      </c>
      <c r="AD3817" t="s">
        <v>32</v>
      </c>
      <c r="AE3817" t="s">
        <v>17271</v>
      </c>
      <c r="AF3817" t="s">
        <v>46835</v>
      </c>
    </row>
    <row r="3818" spans="1:33" x14ac:dyDescent="0.2">
      <c r="A3818">
        <v>3813</v>
      </c>
      <c r="B3818" t="s">
        <v>42341</v>
      </c>
      <c r="C3818" t="s">
        <v>42342</v>
      </c>
      <c r="D3818" t="s">
        <v>32</v>
      </c>
      <c r="E3818" t="s">
        <v>42343</v>
      </c>
      <c r="F3818" t="s">
        <v>42344</v>
      </c>
      <c r="G3818" t="s">
        <v>32</v>
      </c>
      <c r="H3818" t="str">
        <f>"Wdr53"</f>
        <v>Wdr53</v>
      </c>
      <c r="I3818" t="s">
        <v>32</v>
      </c>
      <c r="J3818" t="s">
        <v>37</v>
      </c>
      <c r="K3818">
        <v>10090</v>
      </c>
      <c r="L3818" s="3" t="str">
        <f>HYPERLINK("http://www.uniprot.org/uniprot/Q9DB94", "Q9DB94")</f>
        <v>Q9DB94</v>
      </c>
      <c r="M3818" t="s">
        <v>42345</v>
      </c>
      <c r="N3818" t="str">
        <f>"Wdr53"</f>
        <v>Wdr53</v>
      </c>
      <c r="O3818" s="3" t="str">
        <f>HYPERLINK("http://www.informatics.jax.org/marker/MGI:1916230", "MGI:1916230")</f>
        <v>MGI:1916230</v>
      </c>
      <c r="P3818" t="s">
        <v>1910</v>
      </c>
      <c r="Q3818" t="s">
        <v>32</v>
      </c>
      <c r="R3818" t="s">
        <v>32</v>
      </c>
      <c r="S3818" t="s">
        <v>32</v>
      </c>
      <c r="T3818" t="s">
        <v>32</v>
      </c>
      <c r="U3818" t="s">
        <v>32</v>
      </c>
      <c r="V3818" t="s">
        <v>1910</v>
      </c>
      <c r="W3818" t="s">
        <v>32</v>
      </c>
      <c r="X3818" t="s">
        <v>32</v>
      </c>
      <c r="Y3818" t="s">
        <v>32</v>
      </c>
      <c r="Z3818" t="s">
        <v>32</v>
      </c>
      <c r="AA3818" t="s">
        <v>32</v>
      </c>
      <c r="AB3818" t="s">
        <v>32</v>
      </c>
      <c r="AC3818" t="s">
        <v>32</v>
      </c>
      <c r="AD3818" t="s">
        <v>32</v>
      </c>
      <c r="AE3818" t="s">
        <v>32</v>
      </c>
      <c r="AF3818" t="s">
        <v>46835</v>
      </c>
    </row>
    <row r="3819" spans="1:33" x14ac:dyDescent="0.2">
      <c r="A3819">
        <v>3814</v>
      </c>
      <c r="B3819" t="s">
        <v>42346</v>
      </c>
      <c r="C3819" t="s">
        <v>47113</v>
      </c>
      <c r="D3819" t="s">
        <v>32</v>
      </c>
      <c r="E3819" t="s">
        <v>47064</v>
      </c>
      <c r="F3819" t="s">
        <v>47063</v>
      </c>
      <c r="G3819" t="s">
        <v>32</v>
      </c>
      <c r="H3819" t="s">
        <v>47244</v>
      </c>
      <c r="I3819" t="s">
        <v>32</v>
      </c>
      <c r="J3819" t="s">
        <v>37</v>
      </c>
      <c r="K3819">
        <v>10090</v>
      </c>
      <c r="L3819" s="3" t="str">
        <f>HYPERLINK(CONCATENATE("https://www.uniprot.org/uniprotkb/", AG3819, "/entry"), AG3819)</f>
        <v>Q9DAY6</v>
      </c>
      <c r="M3819" t="s">
        <v>32</v>
      </c>
      <c r="N3819" t="s">
        <v>32</v>
      </c>
      <c r="O3819" s="3" t="s">
        <v>32</v>
      </c>
      <c r="P3819" t="s">
        <v>32</v>
      </c>
      <c r="Q3819" t="s">
        <v>32</v>
      </c>
      <c r="R3819" t="s">
        <v>32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32</v>
      </c>
      <c r="Y3819" t="s">
        <v>32</v>
      </c>
      <c r="Z3819" t="s">
        <v>32</v>
      </c>
      <c r="AA3819" t="s">
        <v>32</v>
      </c>
      <c r="AB3819" t="s">
        <v>32</v>
      </c>
      <c r="AC3819" t="s">
        <v>32</v>
      </c>
      <c r="AD3819" t="s">
        <v>32</v>
      </c>
      <c r="AE3819" t="s">
        <v>32</v>
      </c>
      <c r="AF3819" t="s">
        <v>46835</v>
      </c>
      <c r="AG3819" t="s">
        <v>47063</v>
      </c>
    </row>
    <row r="3820" spans="1:33" x14ac:dyDescent="0.2">
      <c r="A3820">
        <v>3815</v>
      </c>
      <c r="B3820" t="s">
        <v>42347</v>
      </c>
      <c r="C3820" t="s">
        <v>42348</v>
      </c>
      <c r="D3820" t="s">
        <v>32</v>
      </c>
      <c r="E3820" t="s">
        <v>42349</v>
      </c>
      <c r="F3820" t="s">
        <v>42350</v>
      </c>
      <c r="G3820" t="s">
        <v>42351</v>
      </c>
      <c r="H3820" t="str">
        <f>"Ece1"</f>
        <v>Ece1</v>
      </c>
      <c r="I3820" t="s">
        <v>32</v>
      </c>
      <c r="J3820" t="s">
        <v>37</v>
      </c>
      <c r="K3820">
        <v>10090</v>
      </c>
      <c r="L3820" s="3" t="str">
        <f>HYPERLINK("http://www.uniprot.org/uniprot/Q4PZA2", "Q4PZA2")</f>
        <v>Q4PZA2</v>
      </c>
      <c r="M3820" t="s">
        <v>42352</v>
      </c>
      <c r="N3820" t="str">
        <f>"Ece1"</f>
        <v>Ece1</v>
      </c>
      <c r="O3820" s="3" t="str">
        <f>HYPERLINK("http://www.informatics.jax.org/marker/MGI:1101357", "MGI:1101357")</f>
        <v>MGI:1101357</v>
      </c>
      <c r="P3820" t="s">
        <v>42353</v>
      </c>
      <c r="Q3820" t="s">
        <v>32</v>
      </c>
      <c r="R3820" t="s">
        <v>2474</v>
      </c>
      <c r="S3820" t="s">
        <v>41</v>
      </c>
      <c r="T3820" t="s">
        <v>32</v>
      </c>
      <c r="U3820" t="s">
        <v>32</v>
      </c>
      <c r="V3820" t="s">
        <v>1550</v>
      </c>
      <c r="W3820" t="s">
        <v>42</v>
      </c>
      <c r="X3820" t="s">
        <v>4882</v>
      </c>
      <c r="Y3820" t="s">
        <v>2865</v>
      </c>
      <c r="Z3820" t="s">
        <v>32</v>
      </c>
      <c r="AA3820" t="s">
        <v>42354</v>
      </c>
      <c r="AB3820" t="s">
        <v>42355</v>
      </c>
      <c r="AC3820" t="s">
        <v>42356</v>
      </c>
      <c r="AD3820" t="s">
        <v>32</v>
      </c>
      <c r="AE3820" t="s">
        <v>40483</v>
      </c>
      <c r="AF3820" t="s">
        <v>46835</v>
      </c>
    </row>
    <row r="3821" spans="1:33" x14ac:dyDescent="0.2">
      <c r="A3821">
        <v>3816</v>
      </c>
      <c r="B3821" t="s">
        <v>42357</v>
      </c>
      <c r="C3821" t="s">
        <v>42358</v>
      </c>
      <c r="D3821" t="s">
        <v>42359</v>
      </c>
      <c r="E3821" t="s">
        <v>42360</v>
      </c>
      <c r="F3821" t="s">
        <v>42361</v>
      </c>
      <c r="G3821" t="s">
        <v>42362</v>
      </c>
      <c r="H3821" t="str">
        <f>"Epn2"</f>
        <v>Epn2</v>
      </c>
      <c r="I3821" t="s">
        <v>32</v>
      </c>
      <c r="J3821" t="s">
        <v>37</v>
      </c>
      <c r="K3821">
        <v>10090</v>
      </c>
      <c r="L3821" s="3" t="str">
        <f>HYPERLINK("http://www.uniprot.org/uniprot/Q8CHU3", "Q8CHU3")</f>
        <v>Q8CHU3</v>
      </c>
      <c r="M3821" t="s">
        <v>42363</v>
      </c>
      <c r="N3821" t="str">
        <f>"Epn2"</f>
        <v>Epn2</v>
      </c>
      <c r="O3821" s="3" t="str">
        <f>HYPERLINK("http://www.informatics.jax.org/marker/MGI:1333766", "MGI:1333766")</f>
        <v>MGI:1333766</v>
      </c>
      <c r="P3821" t="s">
        <v>42364</v>
      </c>
      <c r="Q3821" t="s">
        <v>2822</v>
      </c>
      <c r="R3821" t="s">
        <v>418</v>
      </c>
      <c r="S3821" t="s">
        <v>41</v>
      </c>
      <c r="T3821" t="s">
        <v>32</v>
      </c>
      <c r="U3821" t="s">
        <v>32</v>
      </c>
      <c r="V3821" t="s">
        <v>55</v>
      </c>
      <c r="W3821" t="s">
        <v>584</v>
      </c>
      <c r="X3821" t="s">
        <v>32</v>
      </c>
      <c r="Y3821" t="s">
        <v>18842</v>
      </c>
      <c r="Z3821" t="s">
        <v>32</v>
      </c>
      <c r="AA3821" t="s">
        <v>42365</v>
      </c>
      <c r="AB3821" t="s">
        <v>42366</v>
      </c>
      <c r="AC3821" t="s">
        <v>14607</v>
      </c>
      <c r="AD3821" t="s">
        <v>32</v>
      </c>
      <c r="AE3821" t="s">
        <v>13103</v>
      </c>
      <c r="AF3821" t="s">
        <v>46835</v>
      </c>
    </row>
    <row r="3822" spans="1:33" x14ac:dyDescent="0.2">
      <c r="A3822">
        <v>3817</v>
      </c>
      <c r="B3822" t="s">
        <v>42367</v>
      </c>
      <c r="C3822" t="s">
        <v>42368</v>
      </c>
      <c r="D3822" t="s">
        <v>42369</v>
      </c>
      <c r="E3822" t="s">
        <v>42370</v>
      </c>
      <c r="F3822" t="s">
        <v>42371</v>
      </c>
      <c r="G3822" t="s">
        <v>42372</v>
      </c>
      <c r="H3822" t="str">
        <f>"Mob3b"</f>
        <v>Mob3b</v>
      </c>
      <c r="I3822" t="s">
        <v>42373</v>
      </c>
      <c r="J3822" t="s">
        <v>37</v>
      </c>
      <c r="K3822">
        <v>10090</v>
      </c>
      <c r="L3822" s="3" t="str">
        <f>HYPERLINK("http://www.uniprot.org/uniprot/Q8VE04", "Q8VE04")</f>
        <v>Q8VE04</v>
      </c>
      <c r="M3822" t="s">
        <v>42374</v>
      </c>
      <c r="N3822" t="str">
        <f>"Mob3b"</f>
        <v>Mob3b</v>
      </c>
      <c r="O3822" s="3" t="str">
        <f>HYPERLINK("http://www.informatics.jax.org/marker/MGI:2664539", "MGI:2664539")</f>
        <v>MGI:2664539</v>
      </c>
      <c r="P3822" t="s">
        <v>42</v>
      </c>
      <c r="Q3822" t="s">
        <v>32</v>
      </c>
      <c r="R3822" t="s">
        <v>32</v>
      </c>
      <c r="S3822" t="s">
        <v>32</v>
      </c>
      <c r="T3822" t="s">
        <v>32</v>
      </c>
      <c r="U3822" t="s">
        <v>32</v>
      </c>
      <c r="V3822" t="s">
        <v>32</v>
      </c>
      <c r="W3822" t="s">
        <v>42</v>
      </c>
      <c r="X3822" t="s">
        <v>32</v>
      </c>
      <c r="Y3822" t="s">
        <v>32</v>
      </c>
      <c r="Z3822" t="s">
        <v>32</v>
      </c>
      <c r="AA3822" t="s">
        <v>42375</v>
      </c>
      <c r="AB3822" t="s">
        <v>110</v>
      </c>
      <c r="AC3822" t="s">
        <v>22862</v>
      </c>
      <c r="AD3822" t="s">
        <v>32</v>
      </c>
      <c r="AE3822" t="s">
        <v>32</v>
      </c>
      <c r="AF3822" t="s">
        <v>46835</v>
      </c>
    </row>
    <row r="3823" spans="1:33" x14ac:dyDescent="0.2">
      <c r="A3823">
        <v>3818</v>
      </c>
      <c r="B3823" t="s">
        <v>42376</v>
      </c>
      <c r="C3823" t="s">
        <v>42377</v>
      </c>
      <c r="D3823" t="s">
        <v>32</v>
      </c>
      <c r="E3823" t="s">
        <v>42378</v>
      </c>
      <c r="F3823" t="s">
        <v>42379</v>
      </c>
      <c r="G3823" t="s">
        <v>42380</v>
      </c>
      <c r="H3823" t="str">
        <f>"Atg2b"</f>
        <v>Atg2b</v>
      </c>
      <c r="I3823" t="s">
        <v>32</v>
      </c>
      <c r="J3823" t="s">
        <v>37</v>
      </c>
      <c r="K3823">
        <v>10090</v>
      </c>
      <c r="L3823" s="3" t="str">
        <f>HYPERLINK("http://www.uniprot.org/uniprot/Q80XK6", "Q80XK6")</f>
        <v>Q80XK6</v>
      </c>
      <c r="M3823" t="s">
        <v>42381</v>
      </c>
      <c r="N3823" t="str">
        <f>"Atg2b"</f>
        <v>Atg2b</v>
      </c>
      <c r="O3823" s="3" t="str">
        <f>HYPERLINK("http://www.informatics.jax.org/marker/MGI:1923809", "MGI:1923809")</f>
        <v>MGI:1923809</v>
      </c>
      <c r="P3823" t="s">
        <v>42382</v>
      </c>
      <c r="Q3823" t="s">
        <v>42383</v>
      </c>
      <c r="R3823" t="s">
        <v>17470</v>
      </c>
      <c r="S3823" t="s">
        <v>41</v>
      </c>
      <c r="T3823" t="s">
        <v>32</v>
      </c>
      <c r="U3823" t="s">
        <v>32</v>
      </c>
      <c r="V3823" t="s">
        <v>32</v>
      </c>
      <c r="W3823" t="s">
        <v>32</v>
      </c>
      <c r="X3823" t="s">
        <v>32</v>
      </c>
      <c r="Y3823" t="s">
        <v>618</v>
      </c>
      <c r="Z3823" t="s">
        <v>32</v>
      </c>
      <c r="AA3823" t="s">
        <v>42384</v>
      </c>
      <c r="AB3823" t="s">
        <v>42385</v>
      </c>
      <c r="AC3823" t="s">
        <v>42386</v>
      </c>
      <c r="AD3823" t="s">
        <v>32</v>
      </c>
      <c r="AE3823" t="s">
        <v>32</v>
      </c>
      <c r="AF3823" t="s">
        <v>46835</v>
      </c>
    </row>
    <row r="3824" spans="1:33" x14ac:dyDescent="0.2">
      <c r="A3824">
        <v>3819</v>
      </c>
      <c r="B3824" t="s">
        <v>42387</v>
      </c>
      <c r="C3824" t="s">
        <v>42388</v>
      </c>
      <c r="D3824" t="s">
        <v>32</v>
      </c>
      <c r="E3824" t="s">
        <v>42389</v>
      </c>
      <c r="F3824" t="s">
        <v>42390</v>
      </c>
      <c r="G3824" t="s">
        <v>42391</v>
      </c>
      <c r="H3824" t="str">
        <f>"Surf6"</f>
        <v>Surf6</v>
      </c>
      <c r="I3824" t="s">
        <v>42392</v>
      </c>
      <c r="J3824" t="s">
        <v>37</v>
      </c>
      <c r="K3824">
        <v>10090</v>
      </c>
      <c r="L3824" s="3" t="str">
        <f>HYPERLINK("http://www.uniprot.org/uniprot/P70279", "P70279")</f>
        <v>P70279</v>
      </c>
      <c r="M3824" t="s">
        <v>42393</v>
      </c>
      <c r="N3824" t="str">
        <f>"Surf6"</f>
        <v>Surf6</v>
      </c>
      <c r="O3824" s="3" t="str">
        <f>HYPERLINK("http://www.informatics.jax.org/marker/MGI:98447", "MGI:98447")</f>
        <v>MGI:98447</v>
      </c>
      <c r="P3824" t="s">
        <v>42394</v>
      </c>
      <c r="Q3824" t="s">
        <v>32</v>
      </c>
      <c r="R3824" t="s">
        <v>2279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956</v>
      </c>
      <c r="Y3824" t="s">
        <v>42395</v>
      </c>
      <c r="Z3824" t="s">
        <v>32</v>
      </c>
      <c r="AA3824" t="s">
        <v>42396</v>
      </c>
      <c r="AB3824" t="s">
        <v>42397</v>
      </c>
      <c r="AC3824" t="s">
        <v>39009</v>
      </c>
      <c r="AD3824" t="s">
        <v>32</v>
      </c>
      <c r="AE3824" t="s">
        <v>32</v>
      </c>
      <c r="AF3824" t="s">
        <v>46835</v>
      </c>
    </row>
    <row r="3825" spans="1:32" x14ac:dyDescent="0.2">
      <c r="A3825">
        <v>3820</v>
      </c>
      <c r="B3825" t="s">
        <v>42398</v>
      </c>
      <c r="C3825" t="s">
        <v>42399</v>
      </c>
      <c r="D3825" t="s">
        <v>42400</v>
      </c>
      <c r="E3825" t="s">
        <v>42401</v>
      </c>
      <c r="F3825" t="s">
        <v>42402</v>
      </c>
      <c r="G3825" t="s">
        <v>42403</v>
      </c>
      <c r="H3825" t="str">
        <f>"Txnrd3"</f>
        <v>Txnrd3</v>
      </c>
      <c r="I3825" t="s">
        <v>32</v>
      </c>
      <c r="J3825" t="s">
        <v>37</v>
      </c>
      <c r="K3825">
        <v>10090</v>
      </c>
      <c r="L3825" s="3" t="str">
        <f>HYPERLINK("http://www.uniprot.org/uniprot/Q99MD6", "Q99MD6")</f>
        <v>Q99MD6</v>
      </c>
      <c r="M3825" t="s">
        <v>42404</v>
      </c>
      <c r="N3825" t="str">
        <f>"Txnrd3"</f>
        <v>Txnrd3</v>
      </c>
      <c r="O3825" s="3" t="str">
        <f>HYPERLINK("http://www.informatics.jax.org/marker/MGI:2386711", "MGI:2386711")</f>
        <v>MGI:2386711</v>
      </c>
      <c r="P3825" t="s">
        <v>42405</v>
      </c>
      <c r="Q3825" t="s">
        <v>42406</v>
      </c>
      <c r="R3825" t="s">
        <v>42407</v>
      </c>
      <c r="S3825" t="s">
        <v>8573</v>
      </c>
      <c r="T3825" t="s">
        <v>32</v>
      </c>
      <c r="U3825" t="s">
        <v>32</v>
      </c>
      <c r="V3825" t="s">
        <v>1090</v>
      </c>
      <c r="W3825" t="s">
        <v>9437</v>
      </c>
      <c r="X3825" t="s">
        <v>12568</v>
      </c>
      <c r="Y3825" t="s">
        <v>42408</v>
      </c>
      <c r="Z3825" t="s">
        <v>126</v>
      </c>
      <c r="AA3825" t="s">
        <v>42409</v>
      </c>
      <c r="AB3825" t="s">
        <v>38661</v>
      </c>
      <c r="AC3825" t="s">
        <v>42410</v>
      </c>
      <c r="AD3825" t="s">
        <v>32</v>
      </c>
      <c r="AE3825" t="s">
        <v>32</v>
      </c>
      <c r="AF3825" t="s">
        <v>46835</v>
      </c>
    </row>
    <row r="3826" spans="1:32" x14ac:dyDescent="0.2">
      <c r="A3826">
        <v>3821</v>
      </c>
      <c r="B3826" t="s">
        <v>42411</v>
      </c>
      <c r="C3826" t="s">
        <v>42412</v>
      </c>
      <c r="D3826" t="s">
        <v>42413</v>
      </c>
      <c r="E3826" t="s">
        <v>42414</v>
      </c>
      <c r="F3826" t="s">
        <v>42415</v>
      </c>
      <c r="G3826" t="s">
        <v>42416</v>
      </c>
      <c r="H3826" t="str">
        <f>"Glipr2"</f>
        <v>Glipr2</v>
      </c>
      <c r="I3826" t="s">
        <v>42417</v>
      </c>
      <c r="J3826" t="s">
        <v>37</v>
      </c>
      <c r="K3826">
        <v>10090</v>
      </c>
      <c r="L3826" s="3" t="str">
        <f>HYPERLINK("http://www.uniprot.org/uniprot/Q9CYL5", "Q9CYL5")</f>
        <v>Q9CYL5</v>
      </c>
      <c r="M3826" t="s">
        <v>42418</v>
      </c>
      <c r="N3826" t="str">
        <f>"Glipr2"</f>
        <v>Glipr2</v>
      </c>
      <c r="O3826" s="3" t="str">
        <f>HYPERLINK("http://www.informatics.jax.org/marker/MGI:1917770", "MGI:1917770")</f>
        <v>MGI:1917770</v>
      </c>
      <c r="P3826" t="s">
        <v>42419</v>
      </c>
      <c r="Q3826" t="s">
        <v>32</v>
      </c>
      <c r="R3826" t="s">
        <v>13904</v>
      </c>
      <c r="S3826" t="s">
        <v>32</v>
      </c>
      <c r="T3826" t="s">
        <v>32</v>
      </c>
      <c r="U3826" t="s">
        <v>32</v>
      </c>
      <c r="V3826" t="s">
        <v>290</v>
      </c>
      <c r="W3826" t="s">
        <v>32</v>
      </c>
      <c r="X3826" t="s">
        <v>32</v>
      </c>
      <c r="Y3826" t="s">
        <v>15432</v>
      </c>
      <c r="Z3826" t="s">
        <v>32</v>
      </c>
      <c r="AA3826" t="s">
        <v>42420</v>
      </c>
      <c r="AB3826" t="s">
        <v>42421</v>
      </c>
      <c r="AC3826" t="s">
        <v>15310</v>
      </c>
      <c r="AD3826" t="s">
        <v>32</v>
      </c>
      <c r="AE3826" t="s">
        <v>32</v>
      </c>
      <c r="AF3826" t="s">
        <v>46835</v>
      </c>
    </row>
    <row r="3827" spans="1:32" x14ac:dyDescent="0.2">
      <c r="A3827">
        <v>3822</v>
      </c>
      <c r="B3827" t="s">
        <v>42422</v>
      </c>
      <c r="C3827" t="s">
        <v>42423</v>
      </c>
      <c r="D3827" t="s">
        <v>42424</v>
      </c>
      <c r="E3827" t="s">
        <v>42425</v>
      </c>
      <c r="F3827" t="s">
        <v>42426</v>
      </c>
      <c r="G3827" t="s">
        <v>42427</v>
      </c>
      <c r="H3827" t="str">
        <f>"Ace"</f>
        <v>Ace</v>
      </c>
      <c r="I3827" t="s">
        <v>32</v>
      </c>
      <c r="J3827" t="s">
        <v>37</v>
      </c>
      <c r="K3827">
        <v>10090</v>
      </c>
      <c r="L3827" s="3" t="str">
        <f>HYPERLINK("http://www.uniprot.org/uniprot/P09470", "P09470")</f>
        <v>P09470</v>
      </c>
      <c r="M3827" t="s">
        <v>42428</v>
      </c>
      <c r="N3827" t="str">
        <f>"Ace"</f>
        <v>Ace</v>
      </c>
      <c r="O3827" s="3" t="str">
        <f>HYPERLINK("http://www.informatics.jax.org/marker/MGI:87874", "MGI:87874")</f>
        <v>MGI:87874</v>
      </c>
      <c r="P3827" t="s">
        <v>42429</v>
      </c>
      <c r="Q3827" t="s">
        <v>32</v>
      </c>
      <c r="R3827" t="s">
        <v>4931</v>
      </c>
      <c r="S3827" t="s">
        <v>10616</v>
      </c>
      <c r="T3827" t="s">
        <v>32</v>
      </c>
      <c r="U3827" t="s">
        <v>32</v>
      </c>
      <c r="V3827" t="s">
        <v>1665</v>
      </c>
      <c r="W3827" t="s">
        <v>42</v>
      </c>
      <c r="X3827" t="s">
        <v>42430</v>
      </c>
      <c r="Y3827" t="s">
        <v>2865</v>
      </c>
      <c r="Z3827" t="s">
        <v>32</v>
      </c>
      <c r="AA3827" t="s">
        <v>42431</v>
      </c>
      <c r="AB3827" t="s">
        <v>42432</v>
      </c>
      <c r="AC3827" t="s">
        <v>42433</v>
      </c>
      <c r="AD3827" t="s">
        <v>32</v>
      </c>
      <c r="AE3827" t="s">
        <v>42434</v>
      </c>
      <c r="AF3827" t="s">
        <v>46835</v>
      </c>
    </row>
    <row r="3828" spans="1:32" x14ac:dyDescent="0.2">
      <c r="A3828">
        <v>3823</v>
      </c>
      <c r="B3828" t="s">
        <v>42435</v>
      </c>
      <c r="C3828" t="s">
        <v>42436</v>
      </c>
      <c r="D3828" t="s">
        <v>32</v>
      </c>
      <c r="E3828" t="s">
        <v>42437</v>
      </c>
      <c r="F3828" t="s">
        <v>42438</v>
      </c>
      <c r="G3828" t="s">
        <v>32</v>
      </c>
      <c r="H3828" t="str">
        <f>"Gpc6"</f>
        <v>Gpc6</v>
      </c>
      <c r="I3828" t="s">
        <v>32</v>
      </c>
      <c r="J3828" t="s">
        <v>37</v>
      </c>
      <c r="K3828">
        <v>10090</v>
      </c>
      <c r="L3828" s="3" t="str">
        <f>HYPERLINK("http://www.uniprot.org/uniprot/Q9R087", "Q9R087")</f>
        <v>Q9R087</v>
      </c>
      <c r="M3828" t="s">
        <v>42439</v>
      </c>
      <c r="N3828" t="str">
        <f>"Gpc6"</f>
        <v>Gpc6</v>
      </c>
      <c r="O3828" s="3" t="str">
        <f>HYPERLINK("http://www.informatics.jax.org/marker/MGI:1346322", "MGI:1346322")</f>
        <v>MGI:1346322</v>
      </c>
      <c r="P3828" t="s">
        <v>42440</v>
      </c>
      <c r="Q3828" t="s">
        <v>32</v>
      </c>
      <c r="R3828" t="s">
        <v>30458</v>
      </c>
      <c r="S3828" t="s">
        <v>32</v>
      </c>
      <c r="T3828" t="s">
        <v>32</v>
      </c>
      <c r="U3828" t="s">
        <v>32</v>
      </c>
      <c r="V3828" t="s">
        <v>811</v>
      </c>
      <c r="W3828" t="s">
        <v>32</v>
      </c>
      <c r="X3828" t="s">
        <v>32</v>
      </c>
      <c r="Y3828" t="s">
        <v>42441</v>
      </c>
      <c r="Z3828" t="s">
        <v>32</v>
      </c>
      <c r="AA3828" t="s">
        <v>42442</v>
      </c>
      <c r="AB3828" t="s">
        <v>42443</v>
      </c>
      <c r="AC3828" t="s">
        <v>32</v>
      </c>
      <c r="AD3828" t="s">
        <v>32</v>
      </c>
      <c r="AE3828" t="s">
        <v>42444</v>
      </c>
      <c r="AF3828" t="s">
        <v>46835</v>
      </c>
    </row>
    <row r="3829" spans="1:32" x14ac:dyDescent="0.2">
      <c r="A3829">
        <v>3824</v>
      </c>
      <c r="B3829" t="s">
        <v>42445</v>
      </c>
      <c r="C3829" t="s">
        <v>42446</v>
      </c>
      <c r="D3829" t="s">
        <v>42447</v>
      </c>
      <c r="E3829" t="s">
        <v>42448</v>
      </c>
      <c r="F3829" t="s">
        <v>42449</v>
      </c>
      <c r="G3829" t="s">
        <v>42450</v>
      </c>
      <c r="H3829" t="str">
        <f>"Calcoco1"</f>
        <v>Calcoco1</v>
      </c>
      <c r="I3829" t="s">
        <v>42451</v>
      </c>
      <c r="J3829" t="s">
        <v>37</v>
      </c>
      <c r="K3829">
        <v>10090</v>
      </c>
      <c r="L3829" s="3" t="str">
        <f>HYPERLINK("http://www.uniprot.org/uniprot/Q8CGU1", "Q8CGU1")</f>
        <v>Q8CGU1</v>
      </c>
      <c r="M3829" t="s">
        <v>42452</v>
      </c>
      <c r="N3829" t="str">
        <f>"Calcoco1"</f>
        <v>Calcoco1</v>
      </c>
      <c r="O3829" s="3" t="str">
        <f>HYPERLINK("http://www.informatics.jax.org/marker/MGI:1914738", "MGI:1914738")</f>
        <v>MGI:1914738</v>
      </c>
      <c r="P3829" t="s">
        <v>42453</v>
      </c>
      <c r="Q3829" t="s">
        <v>17650</v>
      </c>
      <c r="R3829" t="s">
        <v>40</v>
      </c>
      <c r="S3829" t="s">
        <v>32</v>
      </c>
      <c r="T3829" t="s">
        <v>32</v>
      </c>
      <c r="U3829" t="s">
        <v>32</v>
      </c>
      <c r="V3829" t="s">
        <v>11171</v>
      </c>
      <c r="W3829" t="s">
        <v>42</v>
      </c>
      <c r="X3829" t="s">
        <v>2602</v>
      </c>
      <c r="Y3829" t="s">
        <v>618</v>
      </c>
      <c r="Z3829" t="s">
        <v>32</v>
      </c>
      <c r="AA3829" t="s">
        <v>42454</v>
      </c>
      <c r="AB3829" t="s">
        <v>42455</v>
      </c>
      <c r="AC3829" t="s">
        <v>42456</v>
      </c>
      <c r="AD3829" t="s">
        <v>32</v>
      </c>
      <c r="AE3829" t="s">
        <v>32</v>
      </c>
      <c r="AF3829" t="s">
        <v>46835</v>
      </c>
    </row>
    <row r="3830" spans="1:32" x14ac:dyDescent="0.2">
      <c r="A3830">
        <v>3825</v>
      </c>
      <c r="B3830" t="s">
        <v>42457</v>
      </c>
      <c r="C3830" t="s">
        <v>42458</v>
      </c>
      <c r="D3830" t="s">
        <v>42459</v>
      </c>
      <c r="E3830" t="s">
        <v>42460</v>
      </c>
      <c r="F3830" t="s">
        <v>42461</v>
      </c>
      <c r="G3830" t="s">
        <v>42462</v>
      </c>
      <c r="H3830" t="str">
        <f>"Cmss1"</f>
        <v>Cmss1</v>
      </c>
      <c r="I3830" t="s">
        <v>32</v>
      </c>
      <c r="J3830" t="s">
        <v>37</v>
      </c>
      <c r="K3830">
        <v>10090</v>
      </c>
      <c r="L3830" s="3" t="str">
        <f>HYPERLINK("http://www.uniprot.org/uniprot/Q9CZT6", "Q9CZT6")</f>
        <v>Q9CZT6</v>
      </c>
      <c r="M3830" t="s">
        <v>42463</v>
      </c>
      <c r="N3830" t="str">
        <f>"Cmss1"</f>
        <v>Cmss1</v>
      </c>
      <c r="O3830" s="3" t="str">
        <f>HYPERLINK("http://www.informatics.jax.org/marker/MGI:1913747", "MGI:1913747")</f>
        <v>MGI:1913747</v>
      </c>
      <c r="P3830" t="s">
        <v>2734</v>
      </c>
      <c r="Q3830" t="s">
        <v>32</v>
      </c>
      <c r="R3830" t="s">
        <v>32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32</v>
      </c>
      <c r="Y3830" t="s">
        <v>2734</v>
      </c>
      <c r="Z3830" t="s">
        <v>32</v>
      </c>
      <c r="AA3830" t="s">
        <v>32</v>
      </c>
      <c r="AB3830" t="s">
        <v>32</v>
      </c>
      <c r="AC3830" t="s">
        <v>32</v>
      </c>
      <c r="AD3830" t="s">
        <v>32</v>
      </c>
      <c r="AE3830" t="s">
        <v>32</v>
      </c>
      <c r="AF3830" t="s">
        <v>46835</v>
      </c>
    </row>
    <row r="3831" spans="1:32" x14ac:dyDescent="0.2">
      <c r="A3831">
        <v>3826</v>
      </c>
      <c r="B3831" t="s">
        <v>42464</v>
      </c>
      <c r="C3831" t="s">
        <v>42465</v>
      </c>
      <c r="D3831" t="s">
        <v>32</v>
      </c>
      <c r="E3831" t="s">
        <v>42466</v>
      </c>
      <c r="F3831" t="s">
        <v>42467</v>
      </c>
      <c r="G3831" t="s">
        <v>42468</v>
      </c>
      <c r="H3831" t="str">
        <f>"Rdh13"</f>
        <v>Rdh13</v>
      </c>
      <c r="I3831" t="s">
        <v>32</v>
      </c>
      <c r="J3831" t="s">
        <v>37</v>
      </c>
      <c r="K3831">
        <v>10090</v>
      </c>
      <c r="L3831" s="3" t="str">
        <f>HYPERLINK("http://www.uniprot.org/uniprot/Q8CEE7", "Q8CEE7")</f>
        <v>Q8CEE7</v>
      </c>
      <c r="M3831" t="s">
        <v>42469</v>
      </c>
      <c r="N3831" t="str">
        <f>"Rdh13"</f>
        <v>Rdh13</v>
      </c>
      <c r="O3831" s="3" t="str">
        <f>HYPERLINK("http://www.informatics.jax.org/marker/MGI:1918732", "MGI:1918732")</f>
        <v>MGI:1918732</v>
      </c>
      <c r="P3831" t="s">
        <v>42470</v>
      </c>
      <c r="Q3831" t="s">
        <v>598</v>
      </c>
      <c r="R3831" t="s">
        <v>3858</v>
      </c>
      <c r="S3831" t="s">
        <v>32</v>
      </c>
      <c r="T3831" t="s">
        <v>32</v>
      </c>
      <c r="U3831" t="s">
        <v>32</v>
      </c>
      <c r="V3831" t="s">
        <v>32</v>
      </c>
      <c r="W3831" t="s">
        <v>3204</v>
      </c>
      <c r="X3831" t="s">
        <v>600</v>
      </c>
      <c r="Y3831" t="s">
        <v>78</v>
      </c>
      <c r="Z3831" t="s">
        <v>32</v>
      </c>
      <c r="AA3831" t="s">
        <v>42471</v>
      </c>
      <c r="AB3831" t="s">
        <v>34328</v>
      </c>
      <c r="AC3831" t="s">
        <v>42472</v>
      </c>
      <c r="AD3831" t="s">
        <v>604</v>
      </c>
      <c r="AE3831" t="s">
        <v>17814</v>
      </c>
      <c r="AF3831" t="s">
        <v>46835</v>
      </c>
    </row>
    <row r="3832" spans="1:32" x14ac:dyDescent="0.2">
      <c r="A3832">
        <v>3827</v>
      </c>
      <c r="B3832" t="s">
        <v>42473</v>
      </c>
      <c r="C3832" t="s">
        <v>42474</v>
      </c>
      <c r="D3832" t="s">
        <v>42475</v>
      </c>
      <c r="E3832" t="s">
        <v>42476</v>
      </c>
      <c r="F3832" t="s">
        <v>42477</v>
      </c>
      <c r="G3832" t="s">
        <v>42478</v>
      </c>
      <c r="H3832" t="str">
        <f>"Scaf1"</f>
        <v>Scaf1</v>
      </c>
      <c r="I3832" t="s">
        <v>42479</v>
      </c>
      <c r="J3832" t="s">
        <v>37</v>
      </c>
      <c r="K3832">
        <v>10090</v>
      </c>
      <c r="L3832" s="3" t="str">
        <f>HYPERLINK("http://www.uniprot.org/uniprot/Q5U4C3", "Q5U4C3")</f>
        <v>Q5U4C3</v>
      </c>
      <c r="M3832" t="s">
        <v>42480</v>
      </c>
      <c r="N3832" t="str">
        <f>"Scaf1"</f>
        <v>Scaf1</v>
      </c>
      <c r="O3832" s="3" t="str">
        <f>HYPERLINK("http://www.informatics.jax.org/marker/MGI:2141980", "MGI:2141980")</f>
        <v>MGI:2141980</v>
      </c>
      <c r="P3832" t="s">
        <v>42481</v>
      </c>
      <c r="Q3832" t="s">
        <v>2139</v>
      </c>
      <c r="R3832" t="s">
        <v>2279</v>
      </c>
      <c r="S3832" t="s">
        <v>41</v>
      </c>
      <c r="T3832" t="s">
        <v>32</v>
      </c>
      <c r="U3832" t="s">
        <v>32</v>
      </c>
      <c r="V3832" t="s">
        <v>55</v>
      </c>
      <c r="W3832" t="s">
        <v>32</v>
      </c>
      <c r="X3832" t="s">
        <v>1282</v>
      </c>
      <c r="Y3832" t="s">
        <v>1007</v>
      </c>
      <c r="Z3832" t="s">
        <v>32</v>
      </c>
      <c r="AA3832" t="s">
        <v>42482</v>
      </c>
      <c r="AB3832" t="s">
        <v>3606</v>
      </c>
      <c r="AC3832" t="s">
        <v>42483</v>
      </c>
      <c r="AD3832" t="s">
        <v>32</v>
      </c>
      <c r="AE3832" t="s">
        <v>32</v>
      </c>
      <c r="AF3832" t="s">
        <v>46835</v>
      </c>
    </row>
    <row r="3833" spans="1:32" x14ac:dyDescent="0.2">
      <c r="A3833">
        <v>3828</v>
      </c>
      <c r="B3833" t="s">
        <v>42484</v>
      </c>
      <c r="C3833" t="s">
        <v>42485</v>
      </c>
      <c r="D3833" t="s">
        <v>32</v>
      </c>
      <c r="E3833" t="s">
        <v>42486</v>
      </c>
      <c r="F3833" t="s">
        <v>42487</v>
      </c>
      <c r="G3833" t="s">
        <v>42488</v>
      </c>
      <c r="H3833" t="str">
        <f>"Rab2b"</f>
        <v>Rab2b</v>
      </c>
      <c r="I3833" t="s">
        <v>32</v>
      </c>
      <c r="J3833" t="s">
        <v>37</v>
      </c>
      <c r="K3833">
        <v>10090</v>
      </c>
      <c r="L3833" s="3" t="str">
        <f>HYPERLINK("http://www.uniprot.org/uniprot/P59279", "P59279")</f>
        <v>P59279</v>
      </c>
      <c r="M3833" t="s">
        <v>42489</v>
      </c>
      <c r="N3833" t="str">
        <f>"Rab2b"</f>
        <v>Rab2b</v>
      </c>
      <c r="O3833" s="3" t="str">
        <f>HYPERLINK("http://www.informatics.jax.org/marker/MGI:1923588", "MGI:1923588")</f>
        <v>MGI:1923588</v>
      </c>
      <c r="P3833" t="s">
        <v>42490</v>
      </c>
      <c r="Q3833" t="s">
        <v>2916</v>
      </c>
      <c r="R3833" t="s">
        <v>9029</v>
      </c>
      <c r="S3833" t="s">
        <v>32</v>
      </c>
      <c r="T3833" t="s">
        <v>32</v>
      </c>
      <c r="U3833" t="s">
        <v>32</v>
      </c>
      <c r="V3833" t="s">
        <v>32</v>
      </c>
      <c r="W3833" t="s">
        <v>261</v>
      </c>
      <c r="X3833" t="s">
        <v>343</v>
      </c>
      <c r="Y3833" t="s">
        <v>42491</v>
      </c>
      <c r="Z3833" t="s">
        <v>32</v>
      </c>
      <c r="AA3833" t="s">
        <v>42492</v>
      </c>
      <c r="AB3833" t="s">
        <v>42493</v>
      </c>
      <c r="AC3833" t="s">
        <v>15410</v>
      </c>
      <c r="AD3833" t="s">
        <v>32</v>
      </c>
      <c r="AE3833" t="s">
        <v>31451</v>
      </c>
      <c r="AF3833" t="s">
        <v>46835</v>
      </c>
    </row>
    <row r="3834" spans="1:32" x14ac:dyDescent="0.2">
      <c r="A3834">
        <v>3829</v>
      </c>
      <c r="B3834" t="s">
        <v>42494</v>
      </c>
      <c r="C3834" t="s">
        <v>42495</v>
      </c>
      <c r="D3834" t="s">
        <v>42496</v>
      </c>
      <c r="E3834" t="s">
        <v>42497</v>
      </c>
      <c r="F3834" t="s">
        <v>42498</v>
      </c>
      <c r="G3834" t="s">
        <v>32</v>
      </c>
      <c r="H3834" t="str">
        <f>"Stk24"</f>
        <v>Stk24</v>
      </c>
      <c r="I3834" t="s">
        <v>42499</v>
      </c>
      <c r="J3834" t="s">
        <v>37</v>
      </c>
      <c r="K3834">
        <v>10090</v>
      </c>
      <c r="L3834" s="3" t="str">
        <f>HYPERLINK("http://www.uniprot.org/uniprot/Q99KH8", "Q99KH8")</f>
        <v>Q99KH8</v>
      </c>
      <c r="M3834" t="s">
        <v>42500</v>
      </c>
      <c r="N3834" t="str">
        <f>"Stk24"</f>
        <v>Stk24</v>
      </c>
      <c r="O3834" s="3" t="str">
        <f>HYPERLINK("http://www.informatics.jax.org/marker/MGI:2385007", "MGI:2385007")</f>
        <v>MGI:2385007</v>
      </c>
      <c r="P3834" t="s">
        <v>42501</v>
      </c>
      <c r="Q3834" t="s">
        <v>541</v>
      </c>
      <c r="R3834" t="s">
        <v>5943</v>
      </c>
      <c r="S3834" t="s">
        <v>32</v>
      </c>
      <c r="T3834" t="s">
        <v>32</v>
      </c>
      <c r="U3834" t="s">
        <v>32</v>
      </c>
      <c r="V3834" t="s">
        <v>32</v>
      </c>
      <c r="W3834" t="s">
        <v>1266</v>
      </c>
      <c r="X3834" t="s">
        <v>5419</v>
      </c>
      <c r="Y3834" t="s">
        <v>157</v>
      </c>
      <c r="Z3834" t="s">
        <v>32</v>
      </c>
      <c r="AA3834" t="s">
        <v>42502</v>
      </c>
      <c r="AB3834" t="s">
        <v>42503</v>
      </c>
      <c r="AC3834" t="s">
        <v>18927</v>
      </c>
      <c r="AD3834" t="s">
        <v>32</v>
      </c>
      <c r="AE3834" t="s">
        <v>42504</v>
      </c>
      <c r="AF3834" t="s">
        <v>46835</v>
      </c>
    </row>
    <row r="3835" spans="1:32" x14ac:dyDescent="0.2">
      <c r="A3835">
        <v>3830</v>
      </c>
      <c r="B3835" t="s">
        <v>42505</v>
      </c>
      <c r="C3835" t="s">
        <v>42506</v>
      </c>
      <c r="D3835" t="s">
        <v>32</v>
      </c>
      <c r="E3835" t="s">
        <v>42507</v>
      </c>
      <c r="F3835" t="s">
        <v>42508</v>
      </c>
      <c r="G3835" t="s">
        <v>42509</v>
      </c>
      <c r="H3835" t="str">
        <f>"Jagn1"</f>
        <v>Jagn1</v>
      </c>
      <c r="I3835" t="s">
        <v>32</v>
      </c>
      <c r="J3835" t="s">
        <v>37</v>
      </c>
      <c r="K3835">
        <v>10090</v>
      </c>
      <c r="L3835" s="3" t="str">
        <f>HYPERLINK("http://www.uniprot.org/uniprot/Q5XKN4", "Q5XKN4")</f>
        <v>Q5XKN4</v>
      </c>
      <c r="M3835" t="s">
        <v>42510</v>
      </c>
      <c r="N3835" t="str">
        <f>"Jagn1"</f>
        <v>Jagn1</v>
      </c>
      <c r="O3835" s="3" t="str">
        <f>HYPERLINK("http://www.informatics.jax.org/marker/MGI:1915017", "MGI:1915017")</f>
        <v>MGI:1915017</v>
      </c>
      <c r="P3835" t="s">
        <v>42511</v>
      </c>
      <c r="Q3835" t="s">
        <v>42512</v>
      </c>
      <c r="R3835" t="s">
        <v>1664</v>
      </c>
      <c r="S3835" t="s">
        <v>32</v>
      </c>
      <c r="T3835" t="s">
        <v>32</v>
      </c>
      <c r="U3835" t="s">
        <v>32</v>
      </c>
      <c r="V3835" t="s">
        <v>493</v>
      </c>
      <c r="W3835" t="s">
        <v>32</v>
      </c>
      <c r="X3835" t="s">
        <v>32</v>
      </c>
      <c r="Y3835" t="s">
        <v>618</v>
      </c>
      <c r="Z3835" t="s">
        <v>32</v>
      </c>
      <c r="AA3835" t="s">
        <v>42513</v>
      </c>
      <c r="AB3835" t="s">
        <v>16952</v>
      </c>
      <c r="AC3835" t="s">
        <v>32</v>
      </c>
      <c r="AD3835" t="s">
        <v>32</v>
      </c>
      <c r="AE3835" t="s">
        <v>32</v>
      </c>
      <c r="AF3835" t="s">
        <v>46835</v>
      </c>
    </row>
    <row r="3836" spans="1:32" x14ac:dyDescent="0.2">
      <c r="A3836">
        <v>3831</v>
      </c>
      <c r="B3836" t="s">
        <v>42514</v>
      </c>
      <c r="C3836" t="s">
        <v>42515</v>
      </c>
      <c r="D3836" t="s">
        <v>42516</v>
      </c>
      <c r="E3836" t="s">
        <v>42517</v>
      </c>
      <c r="F3836" t="s">
        <v>42518</v>
      </c>
      <c r="G3836" t="s">
        <v>42519</v>
      </c>
      <c r="H3836" t="str">
        <f>"Coro1a"</f>
        <v>Coro1a</v>
      </c>
      <c r="I3836" t="s">
        <v>42520</v>
      </c>
      <c r="J3836" t="s">
        <v>37</v>
      </c>
      <c r="K3836">
        <v>10090</v>
      </c>
      <c r="L3836" s="3" t="str">
        <f>HYPERLINK("http://www.uniprot.org/uniprot/O89053", "O89053")</f>
        <v>O89053</v>
      </c>
      <c r="M3836" t="s">
        <v>42521</v>
      </c>
      <c r="N3836" t="str">
        <f>"Coro1a"</f>
        <v>Coro1a</v>
      </c>
      <c r="O3836" s="3" t="str">
        <f>HYPERLINK("http://www.informatics.jax.org/marker/MGI:1345961", "MGI:1345961")</f>
        <v>MGI:1345961</v>
      </c>
      <c r="P3836" t="s">
        <v>42522</v>
      </c>
      <c r="Q3836" t="s">
        <v>32</v>
      </c>
      <c r="R3836" t="s">
        <v>42523</v>
      </c>
      <c r="S3836" t="s">
        <v>32</v>
      </c>
      <c r="T3836" t="s">
        <v>32</v>
      </c>
      <c r="U3836" t="s">
        <v>32</v>
      </c>
      <c r="V3836" t="s">
        <v>3167</v>
      </c>
      <c r="W3836" t="s">
        <v>32</v>
      </c>
      <c r="X3836" t="s">
        <v>405</v>
      </c>
      <c r="Y3836" t="s">
        <v>1023</v>
      </c>
      <c r="Z3836" t="s">
        <v>126</v>
      </c>
      <c r="AA3836" t="s">
        <v>42524</v>
      </c>
      <c r="AB3836" t="s">
        <v>42525</v>
      </c>
      <c r="AC3836" t="s">
        <v>42526</v>
      </c>
      <c r="AD3836" t="s">
        <v>32</v>
      </c>
      <c r="AE3836" t="s">
        <v>32</v>
      </c>
      <c r="AF3836" t="s">
        <v>46835</v>
      </c>
    </row>
    <row r="3837" spans="1:32" x14ac:dyDescent="0.2">
      <c r="A3837">
        <v>3832</v>
      </c>
      <c r="B3837" t="s">
        <v>42527</v>
      </c>
      <c r="C3837" t="s">
        <v>42528</v>
      </c>
      <c r="D3837" t="s">
        <v>42529</v>
      </c>
      <c r="E3837" t="s">
        <v>42530</v>
      </c>
      <c r="F3837" t="s">
        <v>42531</v>
      </c>
      <c r="G3837" t="s">
        <v>42532</v>
      </c>
      <c r="H3837" t="str">
        <f>"Ube2b"</f>
        <v>Ube2b</v>
      </c>
      <c r="I3837" t="s">
        <v>42533</v>
      </c>
      <c r="J3837" t="s">
        <v>37</v>
      </c>
      <c r="K3837">
        <v>10090</v>
      </c>
      <c r="L3837" s="3" t="str">
        <f>HYPERLINK("http://www.uniprot.org/uniprot/P63147", "P63147")</f>
        <v>P63147</v>
      </c>
      <c r="M3837" t="s">
        <v>42534</v>
      </c>
      <c r="N3837" t="str">
        <f>"Ube2b"</f>
        <v>Ube2b</v>
      </c>
      <c r="O3837" s="3" t="str">
        <f>HYPERLINK("http://www.informatics.jax.org/marker/MGI:102944", "MGI:102944")</f>
        <v>MGI:102944</v>
      </c>
      <c r="P3837" t="s">
        <v>42535</v>
      </c>
      <c r="Q3837" t="s">
        <v>3400</v>
      </c>
      <c r="R3837" t="s">
        <v>13681</v>
      </c>
      <c r="S3837" t="s">
        <v>32</v>
      </c>
      <c r="T3837" t="s">
        <v>32</v>
      </c>
      <c r="U3837" t="s">
        <v>32</v>
      </c>
      <c r="V3837" t="s">
        <v>32</v>
      </c>
      <c r="W3837" t="s">
        <v>205</v>
      </c>
      <c r="X3837" t="s">
        <v>515</v>
      </c>
      <c r="Y3837" t="s">
        <v>32</v>
      </c>
      <c r="Z3837" t="s">
        <v>32</v>
      </c>
      <c r="AA3837" t="s">
        <v>42536</v>
      </c>
      <c r="AB3837" t="s">
        <v>42537</v>
      </c>
      <c r="AC3837" t="s">
        <v>22497</v>
      </c>
      <c r="AD3837" t="s">
        <v>1027</v>
      </c>
      <c r="AE3837" t="s">
        <v>42538</v>
      </c>
      <c r="AF3837" t="s">
        <v>46835</v>
      </c>
    </row>
    <row r="3838" spans="1:32" x14ac:dyDescent="0.2">
      <c r="A3838">
        <v>3833</v>
      </c>
      <c r="B3838" t="s">
        <v>42539</v>
      </c>
      <c r="C3838" t="s">
        <v>42540</v>
      </c>
      <c r="D3838" t="s">
        <v>32</v>
      </c>
      <c r="E3838" t="s">
        <v>42541</v>
      </c>
      <c r="F3838" t="s">
        <v>42542</v>
      </c>
      <c r="G3838" t="s">
        <v>42543</v>
      </c>
      <c r="H3838" t="str">
        <f>"Cluh"</f>
        <v>Cluh</v>
      </c>
      <c r="I3838" t="s">
        <v>42544</v>
      </c>
      <c r="J3838" t="s">
        <v>37</v>
      </c>
      <c r="K3838">
        <v>10090</v>
      </c>
      <c r="L3838" s="3" t="str">
        <f>HYPERLINK("http://www.uniprot.org/uniprot/Q5SW19", "Q5SW19")</f>
        <v>Q5SW19</v>
      </c>
      <c r="M3838" t="s">
        <v>42545</v>
      </c>
      <c r="N3838" t="str">
        <f>"Cluh"</f>
        <v>Cluh</v>
      </c>
      <c r="O3838" s="3" t="str">
        <f>HYPERLINK("http://www.informatics.jax.org/marker/MGI:1921398", "MGI:1921398")</f>
        <v>MGI:1921398</v>
      </c>
      <c r="P3838" t="s">
        <v>42546</v>
      </c>
      <c r="Q3838" t="s">
        <v>32</v>
      </c>
      <c r="R3838" t="s">
        <v>418</v>
      </c>
      <c r="S3838" t="s">
        <v>41</v>
      </c>
      <c r="T3838" t="s">
        <v>32</v>
      </c>
      <c r="U3838" t="s">
        <v>32</v>
      </c>
      <c r="V3838" t="s">
        <v>995</v>
      </c>
      <c r="W3838" t="s">
        <v>32</v>
      </c>
      <c r="X3838" t="s">
        <v>32</v>
      </c>
      <c r="Y3838" t="s">
        <v>618</v>
      </c>
      <c r="Z3838" t="s">
        <v>32</v>
      </c>
      <c r="AA3838" t="s">
        <v>42547</v>
      </c>
      <c r="AB3838" t="s">
        <v>2172</v>
      </c>
      <c r="AC3838" t="s">
        <v>4168</v>
      </c>
      <c r="AD3838" t="s">
        <v>32</v>
      </c>
      <c r="AE3838" t="s">
        <v>32</v>
      </c>
      <c r="AF3838" t="s">
        <v>46835</v>
      </c>
    </row>
    <row r="3839" spans="1:32" x14ac:dyDescent="0.2">
      <c r="A3839">
        <v>3834</v>
      </c>
      <c r="B3839" t="s">
        <v>42548</v>
      </c>
      <c r="C3839" t="s">
        <v>42549</v>
      </c>
      <c r="D3839" t="s">
        <v>32</v>
      </c>
      <c r="E3839" t="s">
        <v>42550</v>
      </c>
      <c r="F3839" t="s">
        <v>42551</v>
      </c>
      <c r="G3839" t="s">
        <v>42552</v>
      </c>
      <c r="H3839" t="str">
        <f>"Arhgef17"</f>
        <v>Arhgef17</v>
      </c>
      <c r="I3839" t="s">
        <v>42553</v>
      </c>
      <c r="J3839" t="s">
        <v>37</v>
      </c>
      <c r="K3839">
        <v>10090</v>
      </c>
      <c r="L3839" s="3" t="str">
        <f>HYPERLINK("http://www.uniprot.org/uniprot/Q80U35", "Q80U35")</f>
        <v>Q80U35</v>
      </c>
      <c r="M3839" t="s">
        <v>42554</v>
      </c>
      <c r="N3839" t="str">
        <f>"Arhgef17"</f>
        <v>Arhgef17</v>
      </c>
      <c r="O3839" s="3" t="str">
        <f>HYPERLINK("http://www.informatics.jax.org/marker/MGI:2673002", "MGI:2673002")</f>
        <v>MGI:2673002</v>
      </c>
      <c r="P3839" t="s">
        <v>42555</v>
      </c>
      <c r="Q3839" t="s">
        <v>32</v>
      </c>
      <c r="R3839" t="s">
        <v>32</v>
      </c>
      <c r="S3839" t="s">
        <v>41</v>
      </c>
      <c r="T3839" t="s">
        <v>32</v>
      </c>
      <c r="U3839" t="s">
        <v>32</v>
      </c>
      <c r="V3839" t="s">
        <v>32</v>
      </c>
      <c r="W3839" t="s">
        <v>32</v>
      </c>
      <c r="X3839" t="s">
        <v>5011</v>
      </c>
      <c r="Y3839" t="s">
        <v>618</v>
      </c>
      <c r="Z3839" t="s">
        <v>32</v>
      </c>
      <c r="AA3839" t="s">
        <v>8057</v>
      </c>
      <c r="AB3839" t="s">
        <v>32</v>
      </c>
      <c r="AC3839" t="s">
        <v>12942</v>
      </c>
      <c r="AD3839" t="s">
        <v>32</v>
      </c>
      <c r="AE3839" t="s">
        <v>42556</v>
      </c>
      <c r="AF3839" t="s">
        <v>46835</v>
      </c>
    </row>
    <row r="3840" spans="1:32" x14ac:dyDescent="0.2">
      <c r="A3840">
        <v>3835</v>
      </c>
      <c r="B3840" t="s">
        <v>42557</v>
      </c>
      <c r="C3840" t="s">
        <v>42558</v>
      </c>
      <c r="D3840" t="s">
        <v>42559</v>
      </c>
      <c r="E3840" t="s">
        <v>42560</v>
      </c>
      <c r="F3840" t="s">
        <v>42561</v>
      </c>
      <c r="G3840" t="s">
        <v>42562</v>
      </c>
      <c r="H3840" t="str">
        <f>"Cryzl2"</f>
        <v>Cryzl2</v>
      </c>
      <c r="I3840" t="s">
        <v>32</v>
      </c>
      <c r="J3840" t="s">
        <v>37</v>
      </c>
      <c r="K3840">
        <v>10090</v>
      </c>
      <c r="L3840" s="3" t="str">
        <f>HYPERLINK("http://www.uniprot.org/uniprot/Q3UNZ8", "Q3UNZ8")</f>
        <v>Q3UNZ8</v>
      </c>
      <c r="M3840" t="s">
        <v>42563</v>
      </c>
      <c r="N3840" t="str">
        <f>"Cryzl2"</f>
        <v>Cryzl2</v>
      </c>
      <c r="O3840" s="3" t="str">
        <f>HYPERLINK("http://www.informatics.jax.org/marker/MGI:2448516", "MGI:2448516")</f>
        <v>MGI:2448516</v>
      </c>
      <c r="P3840" t="s">
        <v>42564</v>
      </c>
      <c r="Q3840" t="s">
        <v>32</v>
      </c>
      <c r="R3840" t="s">
        <v>32</v>
      </c>
      <c r="S3840" t="s">
        <v>41</v>
      </c>
      <c r="T3840" t="s">
        <v>32</v>
      </c>
      <c r="U3840" t="s">
        <v>32</v>
      </c>
      <c r="V3840" t="s">
        <v>32</v>
      </c>
      <c r="W3840" t="s">
        <v>32</v>
      </c>
      <c r="X3840" t="s">
        <v>600</v>
      </c>
      <c r="Y3840" t="s">
        <v>78</v>
      </c>
      <c r="Z3840" t="s">
        <v>32</v>
      </c>
      <c r="AA3840" t="s">
        <v>32</v>
      </c>
      <c r="AB3840" t="s">
        <v>3721</v>
      </c>
      <c r="AC3840" t="s">
        <v>42565</v>
      </c>
      <c r="AD3840" t="s">
        <v>32</v>
      </c>
      <c r="AE3840" t="s">
        <v>32</v>
      </c>
      <c r="AF3840" t="s">
        <v>46835</v>
      </c>
    </row>
    <row r="3841" spans="1:32" x14ac:dyDescent="0.2">
      <c r="A3841">
        <v>3836</v>
      </c>
      <c r="B3841" t="s">
        <v>42566</v>
      </c>
      <c r="C3841" t="s">
        <v>42567</v>
      </c>
      <c r="D3841" t="s">
        <v>42568</v>
      </c>
      <c r="E3841" t="s">
        <v>42569</v>
      </c>
      <c r="F3841" t="s">
        <v>42570</v>
      </c>
      <c r="G3841" t="s">
        <v>42571</v>
      </c>
      <c r="H3841" t="str">
        <f>"Apoa2"</f>
        <v>Apoa2</v>
      </c>
      <c r="I3841" t="s">
        <v>32</v>
      </c>
      <c r="J3841" t="s">
        <v>37</v>
      </c>
      <c r="K3841">
        <v>10090</v>
      </c>
      <c r="L3841" s="3" t="str">
        <f>HYPERLINK("http://www.uniprot.org/uniprot/P09813", "P09813")</f>
        <v>P09813</v>
      </c>
      <c r="M3841" t="s">
        <v>42572</v>
      </c>
      <c r="N3841" t="str">
        <f>"Apoa2"</f>
        <v>Apoa2</v>
      </c>
      <c r="O3841" s="3" t="str">
        <f>HYPERLINK("http://www.informatics.jax.org/marker/MGI:88050", "MGI:88050")</f>
        <v>MGI:88050</v>
      </c>
      <c r="P3841" t="s">
        <v>42573</v>
      </c>
      <c r="Q3841" t="s">
        <v>582</v>
      </c>
      <c r="R3841" t="s">
        <v>42574</v>
      </c>
      <c r="S3841" t="s">
        <v>32</v>
      </c>
      <c r="T3841" t="s">
        <v>32</v>
      </c>
      <c r="U3841" t="s">
        <v>829</v>
      </c>
      <c r="V3841" t="s">
        <v>811</v>
      </c>
      <c r="W3841" t="s">
        <v>32</v>
      </c>
      <c r="X3841" t="s">
        <v>32</v>
      </c>
      <c r="Y3841" t="s">
        <v>42575</v>
      </c>
      <c r="Z3841" t="s">
        <v>32</v>
      </c>
      <c r="AA3841" t="s">
        <v>42576</v>
      </c>
      <c r="AB3841" t="s">
        <v>42577</v>
      </c>
      <c r="AC3841" t="s">
        <v>42578</v>
      </c>
      <c r="AD3841" t="s">
        <v>32</v>
      </c>
      <c r="AE3841" t="s">
        <v>42579</v>
      </c>
      <c r="AF3841" t="s">
        <v>46835</v>
      </c>
    </row>
    <row r="3842" spans="1:32" x14ac:dyDescent="0.2">
      <c r="A3842">
        <v>3837</v>
      </c>
      <c r="B3842" t="s">
        <v>42580</v>
      </c>
      <c r="C3842" t="s">
        <v>42581</v>
      </c>
      <c r="D3842" t="s">
        <v>32</v>
      </c>
      <c r="E3842" t="s">
        <v>42582</v>
      </c>
      <c r="F3842" t="s">
        <v>42583</v>
      </c>
      <c r="G3842" t="s">
        <v>42584</v>
      </c>
      <c r="H3842" t="str">
        <f>"Bmp2k"</f>
        <v>Bmp2k</v>
      </c>
      <c r="I3842" t="s">
        <v>42585</v>
      </c>
      <c r="J3842" t="s">
        <v>37</v>
      </c>
      <c r="K3842">
        <v>10090</v>
      </c>
      <c r="L3842" s="3" t="str">
        <f>HYPERLINK("http://www.uniprot.org/uniprot/Q91Z96", "Q91Z96")</f>
        <v>Q91Z96</v>
      </c>
      <c r="M3842" t="s">
        <v>42586</v>
      </c>
      <c r="N3842" t="str">
        <f>"Bmp2k"</f>
        <v>Bmp2k</v>
      </c>
      <c r="O3842" s="3" t="str">
        <f>HYPERLINK("http://www.informatics.jax.org/marker/MGI:2155456", "MGI:2155456")</f>
        <v>MGI:2155456</v>
      </c>
      <c r="P3842" t="s">
        <v>42587</v>
      </c>
      <c r="Q3842" t="s">
        <v>32</v>
      </c>
      <c r="R3842" t="s">
        <v>2279</v>
      </c>
      <c r="S3842" t="s">
        <v>41</v>
      </c>
      <c r="T3842" t="s">
        <v>32</v>
      </c>
      <c r="U3842" t="s">
        <v>32</v>
      </c>
      <c r="V3842" t="s">
        <v>32</v>
      </c>
      <c r="W3842" t="s">
        <v>205</v>
      </c>
      <c r="X3842" t="s">
        <v>5419</v>
      </c>
      <c r="Y3842" t="s">
        <v>618</v>
      </c>
      <c r="Z3842" t="s">
        <v>32</v>
      </c>
      <c r="AA3842" t="s">
        <v>42588</v>
      </c>
      <c r="AB3842" t="s">
        <v>9671</v>
      </c>
      <c r="AC3842" t="s">
        <v>42589</v>
      </c>
      <c r="AD3842" t="s">
        <v>32</v>
      </c>
      <c r="AE3842" t="s">
        <v>32</v>
      </c>
      <c r="AF3842" t="s">
        <v>46835</v>
      </c>
    </row>
    <row r="3843" spans="1:32" x14ac:dyDescent="0.2">
      <c r="A3843">
        <v>3838</v>
      </c>
      <c r="B3843" t="s">
        <v>42590</v>
      </c>
      <c r="C3843" t="s">
        <v>42591</v>
      </c>
      <c r="D3843" t="s">
        <v>32</v>
      </c>
      <c r="E3843" t="s">
        <v>42592</v>
      </c>
      <c r="F3843" t="s">
        <v>42593</v>
      </c>
      <c r="G3843" t="s">
        <v>42594</v>
      </c>
      <c r="H3843" t="str">
        <f>"Ankrd52"</f>
        <v>Ankrd52</v>
      </c>
      <c r="I3843" t="s">
        <v>32</v>
      </c>
      <c r="J3843" t="s">
        <v>37</v>
      </c>
      <c r="K3843">
        <v>10090</v>
      </c>
      <c r="L3843" s="3" t="str">
        <f>HYPERLINK("http://www.uniprot.org/uniprot/Q8BTI7", "Q8BTI7")</f>
        <v>Q8BTI7</v>
      </c>
      <c r="M3843" t="s">
        <v>42595</v>
      </c>
      <c r="N3843" t="str">
        <f>"Ankrd52"</f>
        <v>Ankrd52</v>
      </c>
      <c r="O3843" s="3" t="str">
        <f>HYPERLINK("http://www.informatics.jax.org/marker/MGI:2444029", "MGI:2444029")</f>
        <v>MGI:2444029</v>
      </c>
      <c r="P3843" t="s">
        <v>42596</v>
      </c>
      <c r="Q3843" t="s">
        <v>32</v>
      </c>
      <c r="R3843" t="s">
        <v>32</v>
      </c>
      <c r="S3843" t="s">
        <v>32</v>
      </c>
      <c r="T3843" t="s">
        <v>32</v>
      </c>
      <c r="U3843" t="s">
        <v>32</v>
      </c>
      <c r="V3843" t="s">
        <v>912</v>
      </c>
      <c r="W3843" t="s">
        <v>32</v>
      </c>
      <c r="X3843" t="s">
        <v>32</v>
      </c>
      <c r="Y3843" t="s">
        <v>618</v>
      </c>
      <c r="Z3843" t="s">
        <v>32</v>
      </c>
      <c r="AA3843" t="s">
        <v>32</v>
      </c>
      <c r="AB3843" t="s">
        <v>32</v>
      </c>
      <c r="AC3843" t="s">
        <v>32</v>
      </c>
      <c r="AD3843" t="s">
        <v>32</v>
      </c>
      <c r="AE3843" t="s">
        <v>32</v>
      </c>
      <c r="AF3843" t="s">
        <v>46835</v>
      </c>
    </row>
    <row r="3844" spans="1:32" x14ac:dyDescent="0.2">
      <c r="A3844">
        <v>3839</v>
      </c>
      <c r="B3844" t="s">
        <v>42597</v>
      </c>
      <c r="C3844" t="s">
        <v>42598</v>
      </c>
      <c r="D3844" t="s">
        <v>42599</v>
      </c>
      <c r="E3844" t="s">
        <v>42600</v>
      </c>
      <c r="F3844" t="s">
        <v>42601</v>
      </c>
      <c r="G3844" t="s">
        <v>42602</v>
      </c>
      <c r="H3844" t="str">
        <f>"Actn3"</f>
        <v>Actn3</v>
      </c>
      <c r="I3844" t="s">
        <v>32</v>
      </c>
      <c r="J3844" t="s">
        <v>37</v>
      </c>
      <c r="K3844">
        <v>10090</v>
      </c>
      <c r="L3844" s="3" t="str">
        <f>HYPERLINK("http://www.uniprot.org/uniprot/O88990", "O88990")</f>
        <v>O88990</v>
      </c>
      <c r="M3844" t="s">
        <v>42603</v>
      </c>
      <c r="N3844" t="str">
        <f>"Actn3"</f>
        <v>Actn3</v>
      </c>
      <c r="O3844" s="3" t="str">
        <f>HYPERLINK("http://www.informatics.jax.org/marker/MGI:99678", "MGI:99678")</f>
        <v>MGI:99678</v>
      </c>
      <c r="P3844" t="s">
        <v>42604</v>
      </c>
      <c r="Q3844" t="s">
        <v>32</v>
      </c>
      <c r="R3844" t="s">
        <v>32</v>
      </c>
      <c r="S3844" t="s">
        <v>32</v>
      </c>
      <c r="T3844" t="s">
        <v>32</v>
      </c>
      <c r="U3844" t="s">
        <v>32</v>
      </c>
      <c r="V3844" t="s">
        <v>55</v>
      </c>
      <c r="W3844" t="s">
        <v>188</v>
      </c>
      <c r="X3844" t="s">
        <v>405</v>
      </c>
      <c r="Y3844" t="s">
        <v>78</v>
      </c>
      <c r="Z3844" t="s">
        <v>32</v>
      </c>
      <c r="AA3844" t="s">
        <v>42605</v>
      </c>
      <c r="AB3844" t="s">
        <v>42606</v>
      </c>
      <c r="AC3844" t="s">
        <v>42607</v>
      </c>
      <c r="AD3844" t="s">
        <v>32</v>
      </c>
      <c r="AE3844" t="s">
        <v>10605</v>
      </c>
      <c r="AF3844" t="s">
        <v>46835</v>
      </c>
    </row>
    <row r="3845" spans="1:32" x14ac:dyDescent="0.2">
      <c r="A3845">
        <v>3840</v>
      </c>
      <c r="B3845" t="s">
        <v>42608</v>
      </c>
      <c r="C3845" t="s">
        <v>42609</v>
      </c>
      <c r="D3845" t="s">
        <v>42610</v>
      </c>
      <c r="E3845" t="s">
        <v>42611</v>
      </c>
      <c r="F3845" t="s">
        <v>42612</v>
      </c>
      <c r="G3845" t="s">
        <v>42613</v>
      </c>
      <c r="H3845" t="str">
        <f>"Smarcal1"</f>
        <v>Smarcal1</v>
      </c>
      <c r="I3845" t="s">
        <v>42614</v>
      </c>
      <c r="J3845" t="s">
        <v>37</v>
      </c>
      <c r="K3845">
        <v>10090</v>
      </c>
      <c r="L3845" s="3" t="str">
        <f>HYPERLINK("http://www.uniprot.org/uniprot/Q8BJL0", "Q8BJL0")</f>
        <v>Q8BJL0</v>
      </c>
      <c r="M3845" t="s">
        <v>42615</v>
      </c>
      <c r="N3845" t="str">
        <f>"Smarcal1"</f>
        <v>Smarcal1</v>
      </c>
      <c r="O3845" s="3" t="str">
        <f>HYPERLINK("http://www.informatics.jax.org/marker/MGI:1859183", "MGI:1859183")</f>
        <v>MGI:1859183</v>
      </c>
      <c r="P3845" t="s">
        <v>42616</v>
      </c>
      <c r="Q3845" t="s">
        <v>32</v>
      </c>
      <c r="R3845" t="s">
        <v>2279</v>
      </c>
      <c r="S3845" t="s">
        <v>41</v>
      </c>
      <c r="T3845" t="s">
        <v>32</v>
      </c>
      <c r="U3845" t="s">
        <v>32</v>
      </c>
      <c r="V3845" t="s">
        <v>137</v>
      </c>
      <c r="W3845" t="s">
        <v>205</v>
      </c>
      <c r="X3845" t="s">
        <v>16991</v>
      </c>
      <c r="Y3845" t="s">
        <v>157</v>
      </c>
      <c r="Z3845" t="s">
        <v>126</v>
      </c>
      <c r="AA3845" t="s">
        <v>42617</v>
      </c>
      <c r="AB3845" t="s">
        <v>42618</v>
      </c>
      <c r="AC3845" t="s">
        <v>42619</v>
      </c>
      <c r="AD3845" t="s">
        <v>32</v>
      </c>
      <c r="AE3845" t="s">
        <v>32</v>
      </c>
      <c r="AF3845" t="s">
        <v>46835</v>
      </c>
    </row>
    <row r="3846" spans="1:32" x14ac:dyDescent="0.2">
      <c r="A3846">
        <v>3841</v>
      </c>
      <c r="B3846" t="s">
        <v>42620</v>
      </c>
      <c r="C3846" t="s">
        <v>42621</v>
      </c>
      <c r="D3846" t="s">
        <v>42622</v>
      </c>
      <c r="E3846" t="s">
        <v>42623</v>
      </c>
      <c r="F3846" t="s">
        <v>42624</v>
      </c>
      <c r="G3846" t="s">
        <v>42625</v>
      </c>
      <c r="H3846" t="str">
        <f>"Slc7a1"</f>
        <v>Slc7a1</v>
      </c>
      <c r="I3846" t="s">
        <v>42626</v>
      </c>
      <c r="J3846" t="s">
        <v>37</v>
      </c>
      <c r="K3846">
        <v>10090</v>
      </c>
      <c r="L3846" s="3" t="str">
        <f>HYPERLINK("http://www.uniprot.org/uniprot/Q09143", "Q09143")</f>
        <v>Q09143</v>
      </c>
      <c r="M3846" t="s">
        <v>42627</v>
      </c>
      <c r="N3846" t="str">
        <f>"Slc7a1"</f>
        <v>Slc7a1</v>
      </c>
      <c r="O3846" s="3" t="str">
        <f>HYPERLINK("http://www.informatics.jax.org/marker/MGI:88117", "MGI:88117")</f>
        <v>MGI:88117</v>
      </c>
      <c r="P3846" t="s">
        <v>42628</v>
      </c>
      <c r="Q3846" t="s">
        <v>1548</v>
      </c>
      <c r="R3846" t="s">
        <v>2474</v>
      </c>
      <c r="S3846" t="s">
        <v>32</v>
      </c>
      <c r="T3846" t="s">
        <v>32</v>
      </c>
      <c r="U3846" t="s">
        <v>32</v>
      </c>
      <c r="V3846" t="s">
        <v>493</v>
      </c>
      <c r="W3846" t="s">
        <v>32</v>
      </c>
      <c r="X3846" t="s">
        <v>6983</v>
      </c>
      <c r="Y3846" t="s">
        <v>4720</v>
      </c>
      <c r="Z3846" t="s">
        <v>32</v>
      </c>
      <c r="AA3846" t="s">
        <v>42629</v>
      </c>
      <c r="AB3846" t="s">
        <v>42630</v>
      </c>
      <c r="AC3846" t="s">
        <v>42631</v>
      </c>
      <c r="AD3846" t="s">
        <v>32</v>
      </c>
      <c r="AE3846" t="s">
        <v>29338</v>
      </c>
      <c r="AF3846" t="s">
        <v>46835</v>
      </c>
    </row>
    <row r="3847" spans="1:32" x14ac:dyDescent="0.2">
      <c r="A3847">
        <v>3842</v>
      </c>
      <c r="B3847" t="s">
        <v>42632</v>
      </c>
      <c r="C3847" t="s">
        <v>42633</v>
      </c>
      <c r="D3847" t="s">
        <v>42634</v>
      </c>
      <c r="E3847" t="s">
        <v>42635</v>
      </c>
      <c r="F3847" t="s">
        <v>42636</v>
      </c>
      <c r="G3847" t="s">
        <v>42637</v>
      </c>
      <c r="H3847" t="str">
        <f>"Loxl3"</f>
        <v>Loxl3</v>
      </c>
      <c r="I3847" t="s">
        <v>32</v>
      </c>
      <c r="J3847" t="s">
        <v>37</v>
      </c>
      <c r="K3847">
        <v>10090</v>
      </c>
      <c r="L3847" s="3" t="str">
        <f>HYPERLINK("http://www.uniprot.org/uniprot/Q9Z175", "Q9Z175")</f>
        <v>Q9Z175</v>
      </c>
      <c r="M3847" t="s">
        <v>42638</v>
      </c>
      <c r="N3847" t="str">
        <f>"Loxl3"</f>
        <v>Loxl3</v>
      </c>
      <c r="O3847" s="3" t="str">
        <f>HYPERLINK("http://www.informatics.jax.org/marker/MGI:1337004", "MGI:1337004")</f>
        <v>MGI:1337004</v>
      </c>
      <c r="P3847" t="s">
        <v>42639</v>
      </c>
      <c r="Q3847" t="s">
        <v>32</v>
      </c>
      <c r="R3847" t="s">
        <v>542</v>
      </c>
      <c r="S3847" t="s">
        <v>32</v>
      </c>
      <c r="T3847" t="s">
        <v>32</v>
      </c>
      <c r="U3847" t="s">
        <v>32</v>
      </c>
      <c r="V3847" t="s">
        <v>478</v>
      </c>
      <c r="W3847" t="s">
        <v>11627</v>
      </c>
      <c r="X3847" t="s">
        <v>600</v>
      </c>
      <c r="Y3847" t="s">
        <v>42640</v>
      </c>
      <c r="Z3847" t="s">
        <v>32</v>
      </c>
      <c r="AA3847" t="s">
        <v>42641</v>
      </c>
      <c r="AB3847" t="s">
        <v>42642</v>
      </c>
      <c r="AC3847" t="s">
        <v>42643</v>
      </c>
      <c r="AD3847" t="s">
        <v>32</v>
      </c>
      <c r="AE3847" t="s">
        <v>42644</v>
      </c>
      <c r="AF3847" t="s">
        <v>46835</v>
      </c>
    </row>
    <row r="3848" spans="1:32" x14ac:dyDescent="0.2">
      <c r="A3848">
        <v>3843</v>
      </c>
      <c r="B3848" t="s">
        <v>42645</v>
      </c>
      <c r="C3848" t="s">
        <v>42646</v>
      </c>
      <c r="D3848" t="s">
        <v>32</v>
      </c>
      <c r="E3848" t="s">
        <v>42647</v>
      </c>
      <c r="F3848" t="s">
        <v>42648</v>
      </c>
      <c r="G3848" t="s">
        <v>42649</v>
      </c>
      <c r="H3848" t="str">
        <f>"Paip2b"</f>
        <v>Paip2b</v>
      </c>
      <c r="I3848" t="s">
        <v>42650</v>
      </c>
      <c r="J3848" t="s">
        <v>37</v>
      </c>
      <c r="K3848">
        <v>10090</v>
      </c>
      <c r="L3848" s="3" t="str">
        <f>HYPERLINK("http://www.uniprot.org/uniprot/Q91W45", "Q91W45")</f>
        <v>Q91W45</v>
      </c>
      <c r="M3848" t="s">
        <v>42651</v>
      </c>
      <c r="N3848" t="str">
        <f>"Paip2b"</f>
        <v>Paip2b</v>
      </c>
      <c r="O3848" s="3" t="str">
        <f>HYPERLINK("http://www.informatics.jax.org/marker/MGI:2386865", "MGI:2386865")</f>
        <v>MGI:2386865</v>
      </c>
      <c r="P3848" t="s">
        <v>42652</v>
      </c>
      <c r="Q3848" t="s">
        <v>1680</v>
      </c>
      <c r="R3848" t="s">
        <v>32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5195</v>
      </c>
      <c r="Y3848" t="s">
        <v>5599</v>
      </c>
      <c r="Z3848" t="s">
        <v>32</v>
      </c>
      <c r="AA3848" t="s">
        <v>42653</v>
      </c>
      <c r="AB3848" t="s">
        <v>2172</v>
      </c>
      <c r="AC3848" t="s">
        <v>42654</v>
      </c>
      <c r="AD3848" t="s">
        <v>32</v>
      </c>
      <c r="AE3848" t="s">
        <v>32</v>
      </c>
      <c r="AF3848" t="s">
        <v>46835</v>
      </c>
    </row>
    <row r="3849" spans="1:32" x14ac:dyDescent="0.2">
      <c r="A3849">
        <v>3844</v>
      </c>
      <c r="B3849" t="s">
        <v>42655</v>
      </c>
      <c r="C3849" t="s">
        <v>42656</v>
      </c>
      <c r="D3849" t="s">
        <v>42657</v>
      </c>
      <c r="E3849" t="s">
        <v>42658</v>
      </c>
      <c r="F3849" t="s">
        <v>42659</v>
      </c>
      <c r="G3849" t="s">
        <v>32</v>
      </c>
      <c r="H3849" t="str">
        <f>"Cdh4"</f>
        <v>Cdh4</v>
      </c>
      <c r="I3849" t="s">
        <v>32</v>
      </c>
      <c r="J3849" t="s">
        <v>37</v>
      </c>
      <c r="K3849">
        <v>10090</v>
      </c>
      <c r="L3849" s="3" t="str">
        <f>HYPERLINK("http://www.uniprot.org/uniprot/P39038", "P39038")</f>
        <v>P39038</v>
      </c>
      <c r="M3849" t="s">
        <v>42660</v>
      </c>
      <c r="N3849" t="str">
        <f>"Cdh4"</f>
        <v>Cdh4</v>
      </c>
      <c r="O3849" s="3" t="str">
        <f>HYPERLINK("http://www.informatics.jax.org/marker/MGI:99218", "MGI:99218")</f>
        <v>MGI:99218</v>
      </c>
      <c r="P3849" t="s">
        <v>42661</v>
      </c>
      <c r="Q3849" t="s">
        <v>2784</v>
      </c>
      <c r="R3849" t="s">
        <v>2474</v>
      </c>
      <c r="S3849" t="s">
        <v>32</v>
      </c>
      <c r="T3849" t="s">
        <v>32</v>
      </c>
      <c r="U3849" t="s">
        <v>32</v>
      </c>
      <c r="V3849" t="s">
        <v>1665</v>
      </c>
      <c r="W3849" t="s">
        <v>188</v>
      </c>
      <c r="X3849" t="s">
        <v>32</v>
      </c>
      <c r="Y3849" t="s">
        <v>42662</v>
      </c>
      <c r="Z3849" t="s">
        <v>32</v>
      </c>
      <c r="AA3849" t="s">
        <v>42663</v>
      </c>
      <c r="AB3849" t="s">
        <v>42664</v>
      </c>
      <c r="AC3849" t="s">
        <v>42665</v>
      </c>
      <c r="AD3849" t="s">
        <v>32</v>
      </c>
      <c r="AE3849" t="s">
        <v>42666</v>
      </c>
      <c r="AF3849" t="s">
        <v>46835</v>
      </c>
    </row>
    <row r="3850" spans="1:32" x14ac:dyDescent="0.2">
      <c r="A3850">
        <v>3845</v>
      </c>
      <c r="B3850" t="s">
        <v>42667</v>
      </c>
      <c r="C3850" t="s">
        <v>42668</v>
      </c>
      <c r="D3850" t="s">
        <v>42669</v>
      </c>
      <c r="E3850" t="s">
        <v>42670</v>
      </c>
      <c r="F3850" t="s">
        <v>42671</v>
      </c>
      <c r="G3850" t="s">
        <v>42672</v>
      </c>
      <c r="H3850" t="str">
        <f>"Jup"</f>
        <v>Jup</v>
      </c>
      <c r="I3850" t="s">
        <v>32</v>
      </c>
      <c r="J3850" t="s">
        <v>37</v>
      </c>
      <c r="K3850">
        <v>10090</v>
      </c>
      <c r="L3850" s="3" t="str">
        <f>HYPERLINK("http://www.uniprot.org/uniprot/Q02257", "Q02257")</f>
        <v>Q02257</v>
      </c>
      <c r="M3850" t="s">
        <v>42673</v>
      </c>
      <c r="N3850" t="str">
        <f>"Jup"</f>
        <v>Jup</v>
      </c>
      <c r="O3850" s="3" t="str">
        <f>HYPERLINK("http://www.informatics.jax.org/marker/MGI:96650", "MGI:96650")</f>
        <v>MGI:96650</v>
      </c>
      <c r="P3850" t="s">
        <v>42674</v>
      </c>
      <c r="Q3850" t="s">
        <v>2784</v>
      </c>
      <c r="R3850" t="s">
        <v>42675</v>
      </c>
      <c r="S3850" t="s">
        <v>32</v>
      </c>
      <c r="T3850" t="s">
        <v>32</v>
      </c>
      <c r="U3850" t="s">
        <v>32</v>
      </c>
      <c r="V3850" t="s">
        <v>55</v>
      </c>
      <c r="W3850" t="s">
        <v>32</v>
      </c>
      <c r="X3850" t="s">
        <v>32</v>
      </c>
      <c r="Y3850" t="s">
        <v>372</v>
      </c>
      <c r="Z3850" t="s">
        <v>32</v>
      </c>
      <c r="AA3850" t="s">
        <v>42676</v>
      </c>
      <c r="AB3850" t="s">
        <v>42677</v>
      </c>
      <c r="AC3850" t="s">
        <v>42678</v>
      </c>
      <c r="AD3850" t="s">
        <v>32</v>
      </c>
      <c r="AE3850" t="s">
        <v>42679</v>
      </c>
      <c r="AF3850" t="s">
        <v>46835</v>
      </c>
    </row>
    <row r="3851" spans="1:32" x14ac:dyDescent="0.2">
      <c r="A3851">
        <v>3846</v>
      </c>
      <c r="B3851" t="s">
        <v>42680</v>
      </c>
      <c r="C3851" t="s">
        <v>42681</v>
      </c>
      <c r="D3851" t="s">
        <v>42682</v>
      </c>
      <c r="E3851" t="s">
        <v>42683</v>
      </c>
      <c r="F3851" t="s">
        <v>42684</v>
      </c>
      <c r="G3851" t="s">
        <v>42685</v>
      </c>
      <c r="H3851" t="str">
        <f>"Dock9"</f>
        <v>Dock9</v>
      </c>
      <c r="I3851" t="s">
        <v>32</v>
      </c>
      <c r="J3851" t="s">
        <v>37</v>
      </c>
      <c r="K3851">
        <v>10090</v>
      </c>
      <c r="L3851" s="3" t="str">
        <f>HYPERLINK("http://www.uniprot.org/uniprot/Q8BIK4", "Q8BIK4")</f>
        <v>Q8BIK4</v>
      </c>
      <c r="M3851" t="s">
        <v>42686</v>
      </c>
      <c r="N3851" t="str">
        <f>"Dock9"</f>
        <v>Dock9</v>
      </c>
      <c r="O3851" s="3" t="str">
        <f>HYPERLINK("http://www.informatics.jax.org/marker/MGI:106321", "MGI:106321")</f>
        <v>MGI:106321</v>
      </c>
      <c r="P3851" t="s">
        <v>42687</v>
      </c>
      <c r="Q3851" t="s">
        <v>32</v>
      </c>
      <c r="R3851" t="s">
        <v>5989</v>
      </c>
      <c r="S3851" t="s">
        <v>41</v>
      </c>
      <c r="T3851" t="s">
        <v>32</v>
      </c>
      <c r="U3851" t="s">
        <v>32</v>
      </c>
      <c r="V3851" t="s">
        <v>32</v>
      </c>
      <c r="W3851" t="s">
        <v>32</v>
      </c>
      <c r="X3851" t="s">
        <v>5011</v>
      </c>
      <c r="Y3851" t="s">
        <v>618</v>
      </c>
      <c r="Z3851" t="s">
        <v>32</v>
      </c>
      <c r="AA3851" t="s">
        <v>39222</v>
      </c>
      <c r="AB3851" t="s">
        <v>41605</v>
      </c>
      <c r="AC3851" t="s">
        <v>20605</v>
      </c>
      <c r="AD3851" t="s">
        <v>32</v>
      </c>
      <c r="AE3851" t="s">
        <v>39224</v>
      </c>
      <c r="AF3851" t="s">
        <v>46835</v>
      </c>
    </row>
    <row r="3852" spans="1:32" x14ac:dyDescent="0.2">
      <c r="A3852">
        <v>3847</v>
      </c>
      <c r="B3852" t="s">
        <v>42688</v>
      </c>
      <c r="C3852" t="s">
        <v>42689</v>
      </c>
      <c r="D3852" t="s">
        <v>42690</v>
      </c>
      <c r="E3852" t="s">
        <v>42691</v>
      </c>
      <c r="F3852" t="s">
        <v>42692</v>
      </c>
      <c r="G3852" t="s">
        <v>42693</v>
      </c>
      <c r="H3852" t="str">
        <f>"Mb21d2"</f>
        <v>Mb21d2</v>
      </c>
      <c r="I3852" t="s">
        <v>32</v>
      </c>
      <c r="J3852" t="s">
        <v>37</v>
      </c>
      <c r="K3852">
        <v>10090</v>
      </c>
      <c r="L3852" s="3" t="str">
        <f>HYPERLINK("http://www.uniprot.org/uniprot/Q8C525", "Q8C525")</f>
        <v>Q8C525</v>
      </c>
      <c r="M3852" t="s">
        <v>42694</v>
      </c>
      <c r="N3852" t="str">
        <f>"Mb21d2"</f>
        <v>Mb21d2</v>
      </c>
      <c r="O3852" s="3" t="str">
        <f>HYPERLINK("http://www.informatics.jax.org/marker/MGI:1917028", "MGI:1917028")</f>
        <v>MGI:1917028</v>
      </c>
      <c r="P3852" t="s">
        <v>42695</v>
      </c>
      <c r="Q3852" t="s">
        <v>32</v>
      </c>
      <c r="R3852" t="s">
        <v>32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7489</v>
      </c>
      <c r="Y3852" t="s">
        <v>618</v>
      </c>
      <c r="Z3852" t="s">
        <v>32</v>
      </c>
      <c r="AA3852" t="s">
        <v>32</v>
      </c>
      <c r="AB3852" t="s">
        <v>32</v>
      </c>
      <c r="AC3852" t="s">
        <v>42696</v>
      </c>
      <c r="AD3852" t="s">
        <v>32</v>
      </c>
      <c r="AE3852" t="s">
        <v>32</v>
      </c>
      <c r="AF3852" t="s">
        <v>46835</v>
      </c>
    </row>
    <row r="3853" spans="1:32" x14ac:dyDescent="0.2">
      <c r="A3853">
        <v>3848</v>
      </c>
      <c r="B3853" t="s">
        <v>42697</v>
      </c>
      <c r="C3853" t="s">
        <v>42698</v>
      </c>
      <c r="D3853" t="s">
        <v>42699</v>
      </c>
      <c r="E3853" t="s">
        <v>42700</v>
      </c>
      <c r="F3853" t="s">
        <v>42701</v>
      </c>
      <c r="G3853" t="s">
        <v>42702</v>
      </c>
      <c r="H3853" t="str">
        <f>"Dbt"</f>
        <v>Dbt</v>
      </c>
      <c r="I3853" t="s">
        <v>32</v>
      </c>
      <c r="J3853" t="s">
        <v>37</v>
      </c>
      <c r="K3853">
        <v>10090</v>
      </c>
      <c r="L3853" s="3" t="str">
        <f>HYPERLINK("http://www.uniprot.org/uniprot/P53395", "P53395")</f>
        <v>P53395</v>
      </c>
      <c r="M3853" t="s">
        <v>42703</v>
      </c>
      <c r="N3853" t="str">
        <f>"Dbt"</f>
        <v>Dbt</v>
      </c>
      <c r="O3853" s="3" t="str">
        <f>HYPERLINK("http://www.informatics.jax.org/marker/MGI:105386", "MGI:105386")</f>
        <v>MGI:105386</v>
      </c>
      <c r="P3853" t="s">
        <v>42704</v>
      </c>
      <c r="Q3853" t="s">
        <v>32</v>
      </c>
      <c r="R3853" t="s">
        <v>1038</v>
      </c>
      <c r="S3853" t="s">
        <v>32</v>
      </c>
      <c r="T3853" t="s">
        <v>32</v>
      </c>
      <c r="U3853" t="s">
        <v>32</v>
      </c>
      <c r="V3853" t="s">
        <v>10652</v>
      </c>
      <c r="W3853" t="s">
        <v>32</v>
      </c>
      <c r="X3853" t="s">
        <v>7304</v>
      </c>
      <c r="Y3853" t="s">
        <v>157</v>
      </c>
      <c r="Z3853" t="s">
        <v>32</v>
      </c>
      <c r="AA3853" t="s">
        <v>35284</v>
      </c>
      <c r="AB3853" t="s">
        <v>42705</v>
      </c>
      <c r="AC3853" t="s">
        <v>42706</v>
      </c>
      <c r="AD3853" t="s">
        <v>32</v>
      </c>
      <c r="AE3853" t="s">
        <v>42707</v>
      </c>
      <c r="AF3853" t="s">
        <v>46835</v>
      </c>
    </row>
    <row r="3854" spans="1:32" x14ac:dyDescent="0.2">
      <c r="A3854">
        <v>3849</v>
      </c>
      <c r="B3854" t="s">
        <v>42708</v>
      </c>
      <c r="C3854" t="s">
        <v>42709</v>
      </c>
      <c r="D3854" t="s">
        <v>32</v>
      </c>
      <c r="E3854" t="s">
        <v>42710</v>
      </c>
      <c r="F3854" t="s">
        <v>42711</v>
      </c>
      <c r="G3854" t="s">
        <v>32</v>
      </c>
      <c r="H3854" t="s">
        <v>32</v>
      </c>
      <c r="I3854" t="s">
        <v>32</v>
      </c>
      <c r="J3854" t="s">
        <v>37</v>
      </c>
      <c r="K3854">
        <v>10090</v>
      </c>
      <c r="L3854" s="3" t="str">
        <f>HYPERLINK("http://www.uniprot.org/uniprot/Q9D7E4", "Q9D7E4")</f>
        <v>Q9D7E4</v>
      </c>
      <c r="M3854" t="s">
        <v>42712</v>
      </c>
      <c r="N3854" t="str">
        <f>"2310011J03Rik"</f>
        <v>2310011J03Rik</v>
      </c>
      <c r="O3854" s="3" t="str">
        <f>HYPERLINK("http://www.informatics.jax.org/marker/MGI:1913624", "MGI:1913624")</f>
        <v>MGI:1913624</v>
      </c>
      <c r="P3854" t="s">
        <v>34878</v>
      </c>
      <c r="Q3854" t="s">
        <v>32</v>
      </c>
      <c r="R3854" t="s">
        <v>32</v>
      </c>
      <c r="S3854" t="s">
        <v>32</v>
      </c>
      <c r="T3854" t="s">
        <v>32</v>
      </c>
      <c r="U3854" t="s">
        <v>32</v>
      </c>
      <c r="V3854" t="s">
        <v>290</v>
      </c>
      <c r="W3854" t="s">
        <v>32</v>
      </c>
      <c r="X3854" t="s">
        <v>32</v>
      </c>
      <c r="Y3854" t="s">
        <v>618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  <c r="AE3854" t="s">
        <v>32</v>
      </c>
      <c r="AF3854" t="s">
        <v>46835</v>
      </c>
    </row>
    <row r="3855" spans="1:32" x14ac:dyDescent="0.2">
      <c r="A3855">
        <v>3850</v>
      </c>
      <c r="B3855" t="s">
        <v>42713</v>
      </c>
      <c r="C3855" t="s">
        <v>42714</v>
      </c>
      <c r="D3855" t="s">
        <v>32</v>
      </c>
      <c r="E3855" t="s">
        <v>42715</v>
      </c>
      <c r="F3855" t="s">
        <v>42716</v>
      </c>
      <c r="G3855" t="s">
        <v>32</v>
      </c>
      <c r="H3855" t="str">
        <f>"Hspa12b"</f>
        <v>Hspa12b</v>
      </c>
      <c r="I3855" t="s">
        <v>32</v>
      </c>
      <c r="J3855" t="s">
        <v>37</v>
      </c>
      <c r="K3855">
        <v>10090</v>
      </c>
      <c r="L3855" s="3" t="str">
        <f>HYPERLINK("http://www.uniprot.org/uniprot/Q9CZJ2", "Q9CZJ2")</f>
        <v>Q9CZJ2</v>
      </c>
      <c r="M3855" t="s">
        <v>42717</v>
      </c>
      <c r="N3855" t="str">
        <f>"Hspa12b"</f>
        <v>Hspa12b</v>
      </c>
      <c r="O3855" s="3" t="str">
        <f>HYPERLINK("http://www.informatics.jax.org/marker/MGI:1919880", "MGI:1919880")</f>
        <v>MGI:1919880</v>
      </c>
      <c r="P3855" t="s">
        <v>42718</v>
      </c>
      <c r="Q3855" t="s">
        <v>32</v>
      </c>
      <c r="R3855" t="s">
        <v>32</v>
      </c>
      <c r="S3855" t="s">
        <v>32</v>
      </c>
      <c r="T3855" t="s">
        <v>32</v>
      </c>
      <c r="U3855" t="s">
        <v>32</v>
      </c>
      <c r="V3855" t="s">
        <v>32</v>
      </c>
      <c r="W3855" t="s">
        <v>205</v>
      </c>
      <c r="X3855" t="s">
        <v>32</v>
      </c>
      <c r="Y3855" t="s">
        <v>618</v>
      </c>
      <c r="Z3855" t="s">
        <v>32</v>
      </c>
      <c r="AA3855" t="s">
        <v>32</v>
      </c>
      <c r="AB3855" t="s">
        <v>32</v>
      </c>
      <c r="AC3855" t="s">
        <v>12108</v>
      </c>
      <c r="AD3855" t="s">
        <v>32</v>
      </c>
      <c r="AE3855" t="s">
        <v>1445</v>
      </c>
      <c r="AF3855" t="s">
        <v>46835</v>
      </c>
    </row>
    <row r="3856" spans="1:32" x14ac:dyDescent="0.2">
      <c r="A3856">
        <v>3851</v>
      </c>
      <c r="B3856" t="s">
        <v>42719</v>
      </c>
      <c r="C3856" t="s">
        <v>42720</v>
      </c>
      <c r="D3856" t="s">
        <v>42721</v>
      </c>
      <c r="E3856" t="s">
        <v>42722</v>
      </c>
      <c r="F3856" t="s">
        <v>42723</v>
      </c>
      <c r="G3856" t="s">
        <v>42724</v>
      </c>
      <c r="H3856" t="str">
        <f>"Cwc27"</f>
        <v>Cwc27</v>
      </c>
      <c r="I3856" t="s">
        <v>42725</v>
      </c>
      <c r="J3856" t="s">
        <v>37</v>
      </c>
      <c r="K3856">
        <v>10090</v>
      </c>
      <c r="L3856" s="3" t="str">
        <f>HYPERLINK("http://www.uniprot.org/uniprot/Q3TKY6", "Q3TKY6")</f>
        <v>Q3TKY6</v>
      </c>
      <c r="M3856" t="s">
        <v>42726</v>
      </c>
      <c r="N3856" t="str">
        <f>"Cwc27"</f>
        <v>Cwc27</v>
      </c>
      <c r="O3856" s="3" t="str">
        <f>HYPERLINK("http://www.informatics.jax.org/marker/MGI:1914535", "MGI:1914535")</f>
        <v>MGI:1914535</v>
      </c>
      <c r="P3856" t="s">
        <v>42727</v>
      </c>
      <c r="Q3856" t="s">
        <v>32</v>
      </c>
      <c r="R3856" t="s">
        <v>2279</v>
      </c>
      <c r="S3856" t="s">
        <v>32</v>
      </c>
      <c r="T3856" t="s">
        <v>32</v>
      </c>
      <c r="U3856" t="s">
        <v>32</v>
      </c>
      <c r="V3856" t="s">
        <v>290</v>
      </c>
      <c r="W3856" t="s">
        <v>32</v>
      </c>
      <c r="X3856" t="s">
        <v>32</v>
      </c>
      <c r="Y3856" t="s">
        <v>78</v>
      </c>
      <c r="Z3856" t="s">
        <v>32</v>
      </c>
      <c r="AA3856" t="s">
        <v>30859</v>
      </c>
      <c r="AB3856" t="s">
        <v>42728</v>
      </c>
      <c r="AC3856" t="s">
        <v>3607</v>
      </c>
      <c r="AD3856" t="s">
        <v>32</v>
      </c>
      <c r="AE3856" t="s">
        <v>946</v>
      </c>
      <c r="AF3856" t="s">
        <v>46835</v>
      </c>
    </row>
    <row r="3857" spans="1:32" x14ac:dyDescent="0.2">
      <c r="A3857">
        <v>3852</v>
      </c>
      <c r="B3857" t="s">
        <v>42729</v>
      </c>
      <c r="C3857" t="s">
        <v>42730</v>
      </c>
      <c r="D3857" t="s">
        <v>42731</v>
      </c>
      <c r="E3857" t="s">
        <v>42732</v>
      </c>
      <c r="F3857" t="s">
        <v>42733</v>
      </c>
      <c r="G3857" t="s">
        <v>42734</v>
      </c>
      <c r="H3857" t="str">
        <f>"Unk"</f>
        <v>Unk</v>
      </c>
      <c r="I3857" t="s">
        <v>42735</v>
      </c>
      <c r="J3857" t="s">
        <v>37</v>
      </c>
      <c r="K3857">
        <v>10090</v>
      </c>
      <c r="L3857" s="3" t="str">
        <f>HYPERLINK("http://www.uniprot.org/uniprot/Q8BL48", "Q8BL48")</f>
        <v>Q8BL48</v>
      </c>
      <c r="M3857" t="s">
        <v>42736</v>
      </c>
      <c r="N3857" t="str">
        <f>"Unk"</f>
        <v>Unk</v>
      </c>
      <c r="O3857" s="3" t="str">
        <f>HYPERLINK("http://www.informatics.jax.org/marker/MGI:2442456", "MGI:2442456")</f>
        <v>MGI:2442456</v>
      </c>
      <c r="P3857" t="s">
        <v>42737</v>
      </c>
      <c r="Q3857" t="s">
        <v>1680</v>
      </c>
      <c r="R3857" t="s">
        <v>418</v>
      </c>
      <c r="S3857" t="s">
        <v>41</v>
      </c>
      <c r="T3857" t="s">
        <v>32</v>
      </c>
      <c r="U3857" t="s">
        <v>32</v>
      </c>
      <c r="V3857" t="s">
        <v>12028</v>
      </c>
      <c r="W3857" t="s">
        <v>42</v>
      </c>
      <c r="X3857" t="s">
        <v>9766</v>
      </c>
      <c r="Y3857" t="s">
        <v>618</v>
      </c>
      <c r="Z3857" t="s">
        <v>126</v>
      </c>
      <c r="AA3857" t="s">
        <v>42738</v>
      </c>
      <c r="AB3857" t="s">
        <v>25615</v>
      </c>
      <c r="AC3857" t="s">
        <v>42739</v>
      </c>
      <c r="AD3857" t="s">
        <v>32</v>
      </c>
      <c r="AE3857" t="s">
        <v>32</v>
      </c>
      <c r="AF3857" t="s">
        <v>46835</v>
      </c>
    </row>
    <row r="3858" spans="1:32" x14ac:dyDescent="0.2">
      <c r="A3858">
        <v>3853</v>
      </c>
      <c r="B3858" t="s">
        <v>42740</v>
      </c>
      <c r="C3858" t="s">
        <v>42741</v>
      </c>
      <c r="D3858" t="s">
        <v>32</v>
      </c>
      <c r="E3858" t="s">
        <v>42742</v>
      </c>
      <c r="F3858" t="s">
        <v>42743</v>
      </c>
      <c r="G3858" t="s">
        <v>42744</v>
      </c>
      <c r="H3858" t="str">
        <f>"Zgpat"</f>
        <v>Zgpat</v>
      </c>
      <c r="I3858" t="s">
        <v>42745</v>
      </c>
      <c r="J3858" t="s">
        <v>37</v>
      </c>
      <c r="K3858">
        <v>10090</v>
      </c>
      <c r="L3858" s="3" t="str">
        <f>HYPERLINK("http://www.uniprot.org/uniprot/Q8VDM1", "Q8VDM1")</f>
        <v>Q8VDM1</v>
      </c>
      <c r="M3858" t="s">
        <v>42746</v>
      </c>
      <c r="N3858" t="str">
        <f>"Zgpat"</f>
        <v>Zgpat</v>
      </c>
      <c r="O3858" s="3" t="str">
        <f>HYPERLINK("http://www.informatics.jax.org/marker/MGI:2449939", "MGI:2449939")</f>
        <v>MGI:2449939</v>
      </c>
      <c r="P3858" t="s">
        <v>42747</v>
      </c>
      <c r="Q3858" t="s">
        <v>4152</v>
      </c>
      <c r="R3858" t="s">
        <v>2279</v>
      </c>
      <c r="S3858" t="s">
        <v>32</v>
      </c>
      <c r="T3858" t="s">
        <v>32</v>
      </c>
      <c r="U3858" t="s">
        <v>32</v>
      </c>
      <c r="V3858" t="s">
        <v>446</v>
      </c>
      <c r="W3858" t="s">
        <v>42</v>
      </c>
      <c r="X3858" t="s">
        <v>7046</v>
      </c>
      <c r="Y3858" t="s">
        <v>157</v>
      </c>
      <c r="Z3858" t="s">
        <v>32</v>
      </c>
      <c r="AA3858" t="s">
        <v>42748</v>
      </c>
      <c r="AB3858" t="s">
        <v>42749</v>
      </c>
      <c r="AC3858" t="s">
        <v>42750</v>
      </c>
      <c r="AD3858" t="s">
        <v>32</v>
      </c>
      <c r="AE3858" t="s">
        <v>32</v>
      </c>
      <c r="AF3858" t="s">
        <v>46835</v>
      </c>
    </row>
    <row r="3859" spans="1:32" x14ac:dyDescent="0.2">
      <c r="A3859">
        <v>3854</v>
      </c>
      <c r="B3859" t="s">
        <v>42751</v>
      </c>
      <c r="C3859" t="s">
        <v>42752</v>
      </c>
      <c r="D3859" t="s">
        <v>42753</v>
      </c>
      <c r="E3859" t="s">
        <v>42754</v>
      </c>
      <c r="F3859" t="s">
        <v>42755</v>
      </c>
      <c r="G3859" t="s">
        <v>42756</v>
      </c>
      <c r="H3859" t="str">
        <f>"Mapk7"</f>
        <v>Mapk7</v>
      </c>
      <c r="I3859" t="s">
        <v>42757</v>
      </c>
      <c r="J3859" t="s">
        <v>37</v>
      </c>
      <c r="K3859">
        <v>10090</v>
      </c>
      <c r="L3859" s="3" t="str">
        <f>HYPERLINK("http://www.uniprot.org/uniprot/Q9WVS8", "Q9WVS8")</f>
        <v>Q9WVS8</v>
      </c>
      <c r="M3859" t="s">
        <v>42758</v>
      </c>
      <c r="N3859" t="str">
        <f>"Mapk7"</f>
        <v>Mapk7</v>
      </c>
      <c r="O3859" s="3" t="str">
        <f>HYPERLINK("http://www.informatics.jax.org/marker/MGI:1346347", "MGI:1346347")</f>
        <v>MGI:1346347</v>
      </c>
      <c r="P3859" t="s">
        <v>42759</v>
      </c>
      <c r="Q3859" t="s">
        <v>42760</v>
      </c>
      <c r="R3859" t="s">
        <v>40</v>
      </c>
      <c r="S3859" t="s">
        <v>41</v>
      </c>
      <c r="T3859" t="s">
        <v>32</v>
      </c>
      <c r="U3859" t="s">
        <v>32</v>
      </c>
      <c r="V3859" t="s">
        <v>32</v>
      </c>
      <c r="W3859" t="s">
        <v>205</v>
      </c>
      <c r="X3859" t="s">
        <v>5419</v>
      </c>
      <c r="Y3859" t="s">
        <v>157</v>
      </c>
      <c r="Z3859" t="s">
        <v>32</v>
      </c>
      <c r="AA3859" t="s">
        <v>42761</v>
      </c>
      <c r="AB3859" t="s">
        <v>42762</v>
      </c>
      <c r="AC3859" t="s">
        <v>42763</v>
      </c>
      <c r="AD3859" t="s">
        <v>32</v>
      </c>
      <c r="AE3859" t="s">
        <v>42764</v>
      </c>
      <c r="AF3859" t="s">
        <v>46835</v>
      </c>
    </row>
    <row r="3860" spans="1:32" x14ac:dyDescent="0.2">
      <c r="A3860">
        <v>3855</v>
      </c>
      <c r="B3860" t="s">
        <v>42765</v>
      </c>
      <c r="C3860" t="s">
        <v>42766</v>
      </c>
      <c r="D3860" t="s">
        <v>42767</v>
      </c>
      <c r="E3860" t="s">
        <v>42768</v>
      </c>
      <c r="F3860" t="s">
        <v>42769</v>
      </c>
      <c r="G3860" t="s">
        <v>42770</v>
      </c>
      <c r="H3860" t="str">
        <f>"Hdac3"</f>
        <v>Hdac3</v>
      </c>
      <c r="I3860" t="s">
        <v>32</v>
      </c>
      <c r="J3860" t="s">
        <v>37</v>
      </c>
      <c r="K3860">
        <v>10090</v>
      </c>
      <c r="L3860" s="3" t="str">
        <f>HYPERLINK("http://www.uniprot.org/uniprot/O88895", "O88895")</f>
        <v>O88895</v>
      </c>
      <c r="M3860" t="s">
        <v>42771</v>
      </c>
      <c r="N3860" t="str">
        <f>"Hdac3"</f>
        <v>Hdac3</v>
      </c>
      <c r="O3860" s="3" t="str">
        <f>HYPERLINK("http://www.informatics.jax.org/marker/MGI:1343091", "MGI:1343091")</f>
        <v>MGI:1343091</v>
      </c>
      <c r="P3860" t="s">
        <v>42772</v>
      </c>
      <c r="Q3860" t="s">
        <v>1992</v>
      </c>
      <c r="R3860" t="s">
        <v>40</v>
      </c>
      <c r="S3860" t="s">
        <v>41</v>
      </c>
      <c r="T3860" t="s">
        <v>32</v>
      </c>
      <c r="U3860" t="s">
        <v>32</v>
      </c>
      <c r="V3860" t="s">
        <v>32</v>
      </c>
      <c r="W3860" t="s">
        <v>32</v>
      </c>
      <c r="X3860" t="s">
        <v>24179</v>
      </c>
      <c r="Y3860" t="s">
        <v>2836</v>
      </c>
      <c r="Z3860" t="s">
        <v>32</v>
      </c>
      <c r="AA3860" t="s">
        <v>42773</v>
      </c>
      <c r="AB3860" t="s">
        <v>42774</v>
      </c>
      <c r="AC3860" t="s">
        <v>42775</v>
      </c>
      <c r="AD3860" t="s">
        <v>32</v>
      </c>
      <c r="AE3860" t="s">
        <v>42776</v>
      </c>
      <c r="AF3860" t="s">
        <v>46835</v>
      </c>
    </row>
    <row r="3861" spans="1:32" x14ac:dyDescent="0.2">
      <c r="A3861">
        <v>3856</v>
      </c>
      <c r="B3861" t="s">
        <v>42777</v>
      </c>
      <c r="C3861" t="s">
        <v>42778</v>
      </c>
      <c r="D3861" t="s">
        <v>32</v>
      </c>
      <c r="E3861" t="s">
        <v>42779</v>
      </c>
      <c r="F3861" t="s">
        <v>42780</v>
      </c>
      <c r="G3861" t="s">
        <v>42781</v>
      </c>
      <c r="H3861" t="str">
        <f>"Commd7"</f>
        <v>Commd7</v>
      </c>
      <c r="I3861" t="s">
        <v>32</v>
      </c>
      <c r="J3861" t="s">
        <v>37</v>
      </c>
      <c r="K3861">
        <v>10090</v>
      </c>
      <c r="L3861" s="3" t="str">
        <f>HYPERLINK("http://www.uniprot.org/uniprot/Q8BG94", "Q8BG94")</f>
        <v>Q8BG94</v>
      </c>
      <c r="M3861" t="s">
        <v>42782</v>
      </c>
      <c r="N3861" t="str">
        <f>"Commd7"</f>
        <v>Commd7</v>
      </c>
      <c r="O3861" s="3" t="str">
        <f>HYPERLINK("http://www.informatics.jax.org/marker/MGI:1914197", "MGI:1914197")</f>
        <v>MGI:1914197</v>
      </c>
      <c r="P3861" t="s">
        <v>42783</v>
      </c>
      <c r="Q3861" t="s">
        <v>2278</v>
      </c>
      <c r="R3861" t="s">
        <v>27789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32</v>
      </c>
      <c r="Y3861" t="s">
        <v>32</v>
      </c>
      <c r="Z3861" t="s">
        <v>32</v>
      </c>
      <c r="AA3861" t="s">
        <v>42784</v>
      </c>
      <c r="AB3861" t="s">
        <v>42785</v>
      </c>
      <c r="AC3861" t="s">
        <v>21515</v>
      </c>
      <c r="AD3861" t="s">
        <v>32</v>
      </c>
      <c r="AE3861" t="s">
        <v>14635</v>
      </c>
      <c r="AF3861" t="s">
        <v>46835</v>
      </c>
    </row>
    <row r="3862" spans="1:32" x14ac:dyDescent="0.2">
      <c r="A3862">
        <v>3857</v>
      </c>
      <c r="B3862" t="s">
        <v>42786</v>
      </c>
      <c r="C3862" t="s">
        <v>42787</v>
      </c>
      <c r="D3862" t="s">
        <v>42788</v>
      </c>
      <c r="E3862" t="s">
        <v>42789</v>
      </c>
      <c r="F3862" t="s">
        <v>42790</v>
      </c>
      <c r="G3862" t="s">
        <v>42791</v>
      </c>
      <c r="H3862" t="str">
        <f>"Cuta"</f>
        <v>Cuta</v>
      </c>
      <c r="I3862" t="s">
        <v>32</v>
      </c>
      <c r="J3862" t="s">
        <v>37</v>
      </c>
      <c r="K3862">
        <v>10090</v>
      </c>
      <c r="L3862" s="3" t="str">
        <f>HYPERLINK("http://www.uniprot.org/uniprot/Q9CQ89", "Q9CQ89")</f>
        <v>Q9CQ89</v>
      </c>
      <c r="M3862" t="s">
        <v>42792</v>
      </c>
      <c r="N3862" t="str">
        <f>"Cuta"</f>
        <v>Cuta</v>
      </c>
      <c r="O3862" s="3" t="str">
        <f>HYPERLINK("http://www.informatics.jax.org/marker/MGI:1914925", "MGI:1914925")</f>
        <v>MGI:1914925</v>
      </c>
      <c r="P3862" t="s">
        <v>42793</v>
      </c>
      <c r="Q3862" t="s">
        <v>32</v>
      </c>
      <c r="R3862" t="s">
        <v>32</v>
      </c>
      <c r="S3862" t="s">
        <v>41</v>
      </c>
      <c r="T3862" t="s">
        <v>32</v>
      </c>
      <c r="U3862" t="s">
        <v>32</v>
      </c>
      <c r="V3862" t="s">
        <v>811</v>
      </c>
      <c r="W3862" t="s">
        <v>32</v>
      </c>
      <c r="X3862" t="s">
        <v>32</v>
      </c>
      <c r="Y3862" t="s">
        <v>32</v>
      </c>
      <c r="Z3862" t="s">
        <v>32</v>
      </c>
      <c r="AA3862" t="s">
        <v>42794</v>
      </c>
      <c r="AB3862" t="s">
        <v>20478</v>
      </c>
      <c r="AC3862" t="s">
        <v>18235</v>
      </c>
      <c r="AD3862" t="s">
        <v>32</v>
      </c>
      <c r="AE3862" t="s">
        <v>32</v>
      </c>
      <c r="AF3862" t="s">
        <v>46835</v>
      </c>
    </row>
    <row r="3863" spans="1:32" x14ac:dyDescent="0.2">
      <c r="A3863">
        <v>3858</v>
      </c>
      <c r="B3863" t="s">
        <v>42795</v>
      </c>
      <c r="C3863" t="s">
        <v>42796</v>
      </c>
      <c r="D3863" t="s">
        <v>42797</v>
      </c>
      <c r="E3863" t="s">
        <v>42798</v>
      </c>
      <c r="F3863" t="s">
        <v>42799</v>
      </c>
      <c r="G3863" t="s">
        <v>42800</v>
      </c>
      <c r="H3863" t="str">
        <f>"Mvb12b"</f>
        <v>Mvb12b</v>
      </c>
      <c r="I3863" t="s">
        <v>42801</v>
      </c>
      <c r="J3863" t="s">
        <v>37</v>
      </c>
      <c r="K3863">
        <v>10090</v>
      </c>
      <c r="L3863" s="3" t="str">
        <f>HYPERLINK("http://www.uniprot.org/uniprot/Q6KAU4", "Q6KAU4")</f>
        <v>Q6KAU4</v>
      </c>
      <c r="M3863" t="s">
        <v>42802</v>
      </c>
      <c r="N3863" t="str">
        <f>"Mvb12b"</f>
        <v>Mvb12b</v>
      </c>
      <c r="O3863" s="3" t="str">
        <f>HYPERLINK("http://www.informatics.jax.org/marker/MGI:1919793", "MGI:1919793")</f>
        <v>MGI:1919793</v>
      </c>
      <c r="P3863" t="s">
        <v>42803</v>
      </c>
      <c r="Q3863" t="s">
        <v>434</v>
      </c>
      <c r="R3863" t="s">
        <v>24832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32</v>
      </c>
      <c r="Y3863" t="s">
        <v>618</v>
      </c>
      <c r="Z3863" t="s">
        <v>32</v>
      </c>
      <c r="AA3863" t="s">
        <v>42804</v>
      </c>
      <c r="AB3863" t="s">
        <v>42805</v>
      </c>
      <c r="AC3863" t="s">
        <v>37924</v>
      </c>
      <c r="AD3863" t="s">
        <v>32</v>
      </c>
      <c r="AE3863" t="s">
        <v>14055</v>
      </c>
      <c r="AF3863" t="s">
        <v>46835</v>
      </c>
    </row>
    <row r="3864" spans="1:32" x14ac:dyDescent="0.2">
      <c r="A3864">
        <v>3859</v>
      </c>
      <c r="B3864" t="s">
        <v>42806</v>
      </c>
      <c r="C3864" t="s">
        <v>42807</v>
      </c>
      <c r="D3864" t="s">
        <v>42808</v>
      </c>
      <c r="E3864" t="s">
        <v>42809</v>
      </c>
      <c r="F3864" t="s">
        <v>42810</v>
      </c>
      <c r="G3864" t="s">
        <v>42811</v>
      </c>
      <c r="H3864" t="str">
        <f>"Unc45a"</f>
        <v>Unc45a</v>
      </c>
      <c r="I3864" t="s">
        <v>42812</v>
      </c>
      <c r="J3864" t="s">
        <v>37</v>
      </c>
      <c r="K3864">
        <v>10090</v>
      </c>
      <c r="L3864" s="3" t="str">
        <f>HYPERLINK("http://www.uniprot.org/uniprot/Q99KD5", "Q99KD5")</f>
        <v>Q99KD5</v>
      </c>
      <c r="M3864" t="s">
        <v>42813</v>
      </c>
      <c r="N3864" t="str">
        <f>"Unc45a"</f>
        <v>Unc45a</v>
      </c>
      <c r="O3864" s="3" t="str">
        <f>HYPERLINK("http://www.informatics.jax.org/marker/MGI:2142246", "MGI:2142246")</f>
        <v>MGI:2142246</v>
      </c>
      <c r="P3864" t="s">
        <v>42814</v>
      </c>
      <c r="Q3864" t="s">
        <v>7352</v>
      </c>
      <c r="R3864" t="s">
        <v>40</v>
      </c>
      <c r="S3864" t="s">
        <v>32</v>
      </c>
      <c r="T3864" t="s">
        <v>32</v>
      </c>
      <c r="U3864" t="s">
        <v>32</v>
      </c>
      <c r="V3864" t="s">
        <v>995</v>
      </c>
      <c r="W3864" t="s">
        <v>32</v>
      </c>
      <c r="X3864" t="s">
        <v>6278</v>
      </c>
      <c r="Y3864" t="s">
        <v>78</v>
      </c>
      <c r="Z3864" t="s">
        <v>32</v>
      </c>
      <c r="AA3864" t="s">
        <v>42815</v>
      </c>
      <c r="AB3864" t="s">
        <v>42816</v>
      </c>
      <c r="AC3864" t="s">
        <v>42817</v>
      </c>
      <c r="AD3864" t="s">
        <v>32</v>
      </c>
      <c r="AE3864" t="s">
        <v>32</v>
      </c>
      <c r="AF3864" t="s">
        <v>46835</v>
      </c>
    </row>
    <row r="3865" spans="1:32" x14ac:dyDescent="0.2">
      <c r="A3865">
        <v>3860</v>
      </c>
      <c r="B3865" t="s">
        <v>42818</v>
      </c>
      <c r="C3865" t="s">
        <v>42819</v>
      </c>
      <c r="D3865" t="s">
        <v>42820</v>
      </c>
      <c r="E3865" t="s">
        <v>42821</v>
      </c>
      <c r="F3865" t="s">
        <v>42822</v>
      </c>
      <c r="G3865" t="s">
        <v>32</v>
      </c>
      <c r="H3865" t="str">
        <f>"Setd1a"</f>
        <v>Setd1a</v>
      </c>
      <c r="I3865" t="s">
        <v>32</v>
      </c>
      <c r="J3865" t="s">
        <v>37</v>
      </c>
      <c r="K3865">
        <v>10090</v>
      </c>
      <c r="L3865" s="3" t="str">
        <f>HYPERLINK("http://www.uniprot.org/uniprot/E9PYH6", "E9PYH6")</f>
        <v>E9PYH6</v>
      </c>
      <c r="M3865" t="s">
        <v>42823</v>
      </c>
      <c r="N3865" t="str">
        <f>"Setd1a"</f>
        <v>Setd1a</v>
      </c>
      <c r="O3865" s="3" t="str">
        <f>HYPERLINK("http://www.informatics.jax.org/marker/MGI:2446244", "MGI:2446244")</f>
        <v>MGI:2446244</v>
      </c>
      <c r="P3865" t="s">
        <v>42824</v>
      </c>
      <c r="Q3865" t="s">
        <v>17339</v>
      </c>
      <c r="R3865" t="s">
        <v>1939</v>
      </c>
      <c r="S3865" t="s">
        <v>32</v>
      </c>
      <c r="T3865" t="s">
        <v>32</v>
      </c>
      <c r="U3865" t="s">
        <v>32</v>
      </c>
      <c r="V3865" t="s">
        <v>32</v>
      </c>
      <c r="W3865" t="s">
        <v>1705</v>
      </c>
      <c r="X3865" t="s">
        <v>42825</v>
      </c>
      <c r="Y3865" t="s">
        <v>618</v>
      </c>
      <c r="Z3865" t="s">
        <v>32</v>
      </c>
      <c r="AA3865" t="s">
        <v>42826</v>
      </c>
      <c r="AB3865" t="s">
        <v>42827</v>
      </c>
      <c r="AC3865" t="s">
        <v>42828</v>
      </c>
      <c r="AD3865" t="s">
        <v>32</v>
      </c>
      <c r="AE3865" t="s">
        <v>42829</v>
      </c>
      <c r="AF3865" t="s">
        <v>46835</v>
      </c>
    </row>
    <row r="3866" spans="1:32" x14ac:dyDescent="0.2">
      <c r="A3866">
        <v>3861</v>
      </c>
      <c r="B3866" t="s">
        <v>42830</v>
      </c>
      <c r="C3866" t="s">
        <v>42831</v>
      </c>
      <c r="D3866" t="s">
        <v>42832</v>
      </c>
      <c r="E3866" t="s">
        <v>42833</v>
      </c>
      <c r="F3866" t="s">
        <v>42834</v>
      </c>
      <c r="G3866" t="s">
        <v>42835</v>
      </c>
      <c r="H3866" t="str">
        <f>"Ralgapa1"</f>
        <v>Ralgapa1</v>
      </c>
      <c r="I3866" t="s">
        <v>42836</v>
      </c>
      <c r="J3866" t="s">
        <v>37</v>
      </c>
      <c r="K3866">
        <v>10090</v>
      </c>
      <c r="L3866" s="3" t="str">
        <f>HYPERLINK("http://www.uniprot.org/uniprot/Q6GYP7", "Q6GYP7")</f>
        <v>Q6GYP7</v>
      </c>
      <c r="M3866" t="s">
        <v>42837</v>
      </c>
      <c r="N3866" t="str">
        <f>"Ralgapa1"</f>
        <v>Ralgapa1</v>
      </c>
      <c r="O3866" s="3" t="str">
        <f>HYPERLINK("http://www.informatics.jax.org/marker/MGI:1931050", "MGI:1931050")</f>
        <v>MGI:1931050</v>
      </c>
      <c r="P3866" t="s">
        <v>42838</v>
      </c>
      <c r="Q3866" t="s">
        <v>32</v>
      </c>
      <c r="R3866" t="s">
        <v>40</v>
      </c>
      <c r="S3866" t="s">
        <v>41</v>
      </c>
      <c r="T3866" t="s">
        <v>32</v>
      </c>
      <c r="U3866" t="s">
        <v>32</v>
      </c>
      <c r="V3866" t="s">
        <v>290</v>
      </c>
      <c r="W3866" t="s">
        <v>32</v>
      </c>
      <c r="X3866" t="s">
        <v>715</v>
      </c>
      <c r="Y3866" t="s">
        <v>618</v>
      </c>
      <c r="Z3866" t="s">
        <v>32</v>
      </c>
      <c r="AA3866" t="s">
        <v>42839</v>
      </c>
      <c r="AB3866" t="s">
        <v>110</v>
      </c>
      <c r="AC3866" t="s">
        <v>42840</v>
      </c>
      <c r="AD3866" t="s">
        <v>32</v>
      </c>
      <c r="AE3866" t="s">
        <v>4969</v>
      </c>
      <c r="AF3866" t="s">
        <v>46835</v>
      </c>
    </row>
    <row r="3867" spans="1:32" x14ac:dyDescent="0.2">
      <c r="A3867">
        <v>3862</v>
      </c>
      <c r="B3867" t="s">
        <v>42841</v>
      </c>
      <c r="C3867" t="s">
        <v>42842</v>
      </c>
      <c r="D3867" t="s">
        <v>32</v>
      </c>
      <c r="E3867" t="s">
        <v>42843</v>
      </c>
      <c r="F3867" t="s">
        <v>42844</v>
      </c>
      <c r="G3867" t="s">
        <v>42845</v>
      </c>
      <c r="H3867" t="str">
        <f>"Retreg3"</f>
        <v>Retreg3</v>
      </c>
      <c r="I3867" t="s">
        <v>42846</v>
      </c>
      <c r="J3867" t="s">
        <v>37</v>
      </c>
      <c r="K3867">
        <v>10090</v>
      </c>
      <c r="L3867" s="3" t="str">
        <f>HYPERLINK("http://www.uniprot.org/uniprot/Q9CQV4", "Q9CQV4")</f>
        <v>Q9CQV4</v>
      </c>
      <c r="M3867" t="s">
        <v>42847</v>
      </c>
      <c r="N3867" t="str">
        <f>"Retreg3"</f>
        <v>Retreg3</v>
      </c>
      <c r="O3867" s="3" t="str">
        <f>HYPERLINK("http://www.informatics.jax.org/marker/MGI:1915248", "MGI:1915248")</f>
        <v>MGI:1915248</v>
      </c>
      <c r="P3867" t="s">
        <v>42848</v>
      </c>
      <c r="Q3867" t="s">
        <v>32</v>
      </c>
      <c r="R3867" t="s">
        <v>5989</v>
      </c>
      <c r="S3867" t="s">
        <v>41</v>
      </c>
      <c r="T3867" t="s">
        <v>32</v>
      </c>
      <c r="U3867" t="s">
        <v>32</v>
      </c>
      <c r="V3867" t="s">
        <v>493</v>
      </c>
      <c r="W3867" t="s">
        <v>32</v>
      </c>
      <c r="X3867" t="s">
        <v>32</v>
      </c>
      <c r="Y3867" t="s">
        <v>618</v>
      </c>
      <c r="Z3867" t="s">
        <v>32</v>
      </c>
      <c r="AA3867" t="s">
        <v>42849</v>
      </c>
      <c r="AB3867" t="s">
        <v>42850</v>
      </c>
      <c r="AC3867" t="s">
        <v>42851</v>
      </c>
      <c r="AD3867" t="s">
        <v>32</v>
      </c>
      <c r="AE3867" t="s">
        <v>32</v>
      </c>
      <c r="AF3867" t="s">
        <v>46835</v>
      </c>
    </row>
    <row r="3868" spans="1:32" x14ac:dyDescent="0.2">
      <c r="A3868">
        <v>3863</v>
      </c>
      <c r="B3868" t="s">
        <v>42852</v>
      </c>
      <c r="C3868" t="s">
        <v>42853</v>
      </c>
      <c r="D3868" t="s">
        <v>42854</v>
      </c>
      <c r="E3868" t="s">
        <v>42855</v>
      </c>
      <c r="F3868" t="s">
        <v>42856</v>
      </c>
      <c r="G3868" t="s">
        <v>42857</v>
      </c>
      <c r="H3868" t="str">
        <f>"Nfx1"</f>
        <v>Nfx1</v>
      </c>
      <c r="I3868" t="s">
        <v>32</v>
      </c>
      <c r="J3868" t="s">
        <v>37</v>
      </c>
      <c r="K3868">
        <v>10090</v>
      </c>
      <c r="L3868" s="3" t="str">
        <f>HYPERLINK("http://www.uniprot.org/uniprot/B1AY10", "B1AY10")</f>
        <v>B1AY10</v>
      </c>
      <c r="M3868" t="s">
        <v>42858</v>
      </c>
      <c r="N3868" t="str">
        <f>"Nfx1"</f>
        <v>Nfx1</v>
      </c>
      <c r="O3868" s="3" t="str">
        <f>HYPERLINK("http://www.informatics.jax.org/marker/MGI:1921414", "MGI:1921414")</f>
        <v>MGI:1921414</v>
      </c>
      <c r="P3868" t="s">
        <v>42859</v>
      </c>
      <c r="Q3868" t="s">
        <v>2278</v>
      </c>
      <c r="R3868" t="s">
        <v>2279</v>
      </c>
      <c r="S3868" t="s">
        <v>41</v>
      </c>
      <c r="T3868" t="s">
        <v>32</v>
      </c>
      <c r="U3868" t="s">
        <v>32</v>
      </c>
      <c r="V3868" t="s">
        <v>3791</v>
      </c>
      <c r="W3868" t="s">
        <v>42</v>
      </c>
      <c r="X3868" t="s">
        <v>41311</v>
      </c>
      <c r="Y3868" t="s">
        <v>618</v>
      </c>
      <c r="Z3868" t="s">
        <v>32</v>
      </c>
      <c r="AA3868" t="s">
        <v>42860</v>
      </c>
      <c r="AB3868" t="s">
        <v>42861</v>
      </c>
      <c r="AC3868" t="s">
        <v>42862</v>
      </c>
      <c r="AD3868" t="s">
        <v>32</v>
      </c>
      <c r="AE3868" t="s">
        <v>32</v>
      </c>
      <c r="AF3868" t="s">
        <v>46835</v>
      </c>
    </row>
    <row r="3869" spans="1:32" x14ac:dyDescent="0.2">
      <c r="A3869">
        <v>3864</v>
      </c>
      <c r="B3869" t="s">
        <v>42863</v>
      </c>
      <c r="C3869" t="s">
        <v>42864</v>
      </c>
      <c r="D3869" t="s">
        <v>42865</v>
      </c>
      <c r="E3869" t="s">
        <v>42866</v>
      </c>
      <c r="F3869" t="s">
        <v>42867</v>
      </c>
      <c r="G3869" t="s">
        <v>42868</v>
      </c>
      <c r="H3869" t="str">
        <f>"Dpp7"</f>
        <v>Dpp7</v>
      </c>
      <c r="I3869" t="s">
        <v>42869</v>
      </c>
      <c r="J3869" t="s">
        <v>37</v>
      </c>
      <c r="K3869">
        <v>10090</v>
      </c>
      <c r="L3869" s="3" t="str">
        <f>HYPERLINK("http://www.uniprot.org/uniprot/Q9ET22", "Q9ET22")</f>
        <v>Q9ET22</v>
      </c>
      <c r="M3869" t="s">
        <v>42870</v>
      </c>
      <c r="N3869" t="str">
        <f>"Dpp7"</f>
        <v>Dpp7</v>
      </c>
      <c r="O3869" s="3" t="str">
        <f>HYPERLINK("http://www.informatics.jax.org/marker/MGI:1933213", "MGI:1933213")</f>
        <v>MGI:1933213</v>
      </c>
      <c r="P3869" t="s">
        <v>42871</v>
      </c>
      <c r="Q3869" t="s">
        <v>32</v>
      </c>
      <c r="R3869" t="s">
        <v>42872</v>
      </c>
      <c r="S3869" t="s">
        <v>32</v>
      </c>
      <c r="T3869" t="s">
        <v>32</v>
      </c>
      <c r="U3869" t="s">
        <v>32</v>
      </c>
      <c r="V3869" t="s">
        <v>811</v>
      </c>
      <c r="W3869" t="s">
        <v>32</v>
      </c>
      <c r="X3869" t="s">
        <v>5700</v>
      </c>
      <c r="Y3869" t="s">
        <v>30075</v>
      </c>
      <c r="Z3869" t="s">
        <v>32</v>
      </c>
      <c r="AA3869" t="s">
        <v>42873</v>
      </c>
      <c r="AB3869" t="s">
        <v>42874</v>
      </c>
      <c r="AC3869" t="s">
        <v>23473</v>
      </c>
      <c r="AD3869" t="s">
        <v>32</v>
      </c>
      <c r="AE3869" t="s">
        <v>548</v>
      </c>
      <c r="AF3869" t="s">
        <v>46835</v>
      </c>
    </row>
    <row r="3870" spans="1:32" x14ac:dyDescent="0.2">
      <c r="A3870">
        <v>3865</v>
      </c>
      <c r="B3870" t="s">
        <v>42875</v>
      </c>
      <c r="C3870" t="s">
        <v>42876</v>
      </c>
      <c r="D3870" t="s">
        <v>42877</v>
      </c>
      <c r="E3870" t="s">
        <v>42878</v>
      </c>
      <c r="F3870" t="s">
        <v>42879</v>
      </c>
      <c r="G3870" t="s">
        <v>42880</v>
      </c>
      <c r="H3870" t="str">
        <f>"Smg6"</f>
        <v>Smg6</v>
      </c>
      <c r="I3870" t="s">
        <v>32</v>
      </c>
      <c r="J3870" t="s">
        <v>37</v>
      </c>
      <c r="K3870">
        <v>10090</v>
      </c>
      <c r="L3870" s="3" t="str">
        <f>HYPERLINK("http://www.uniprot.org/uniprot/P61406", "P61406")</f>
        <v>P61406</v>
      </c>
      <c r="M3870" t="s">
        <v>42881</v>
      </c>
      <c r="N3870" t="str">
        <f>"Smg6"</f>
        <v>Smg6</v>
      </c>
      <c r="O3870" s="3" t="str">
        <f>HYPERLINK("http://www.informatics.jax.org/marker/MGI:2144117", "MGI:2144117")</f>
        <v>MGI:2144117</v>
      </c>
      <c r="P3870" t="s">
        <v>42882</v>
      </c>
      <c r="Q3870" t="s">
        <v>8713</v>
      </c>
      <c r="R3870" t="s">
        <v>42883</v>
      </c>
      <c r="S3870" t="s">
        <v>32</v>
      </c>
      <c r="T3870" t="s">
        <v>32</v>
      </c>
      <c r="U3870" t="s">
        <v>32</v>
      </c>
      <c r="V3870" t="s">
        <v>290</v>
      </c>
      <c r="W3870" t="s">
        <v>5883</v>
      </c>
      <c r="X3870" t="s">
        <v>42884</v>
      </c>
      <c r="Y3870" t="s">
        <v>2734</v>
      </c>
      <c r="Z3870" t="s">
        <v>32</v>
      </c>
      <c r="AA3870" t="s">
        <v>42885</v>
      </c>
      <c r="AB3870" t="s">
        <v>42886</v>
      </c>
      <c r="AC3870" t="s">
        <v>42887</v>
      </c>
      <c r="AD3870" t="s">
        <v>32</v>
      </c>
      <c r="AE3870" t="s">
        <v>38973</v>
      </c>
      <c r="AF3870" t="s">
        <v>46835</v>
      </c>
    </row>
    <row r="3871" spans="1:32" x14ac:dyDescent="0.2">
      <c r="A3871">
        <v>3866</v>
      </c>
      <c r="B3871" t="s">
        <v>42888</v>
      </c>
      <c r="C3871" t="s">
        <v>42889</v>
      </c>
      <c r="D3871" t="s">
        <v>32</v>
      </c>
      <c r="E3871" t="s">
        <v>42890</v>
      </c>
      <c r="F3871" t="s">
        <v>42891</v>
      </c>
      <c r="G3871" t="s">
        <v>42892</v>
      </c>
      <c r="H3871" t="str">
        <f>"Lrrfip2"</f>
        <v>Lrrfip2</v>
      </c>
      <c r="I3871" t="s">
        <v>32</v>
      </c>
      <c r="J3871" t="s">
        <v>37</v>
      </c>
      <c r="K3871">
        <v>10090</v>
      </c>
      <c r="L3871" s="3" t="str">
        <f>HYPERLINK("http://www.uniprot.org/uniprot/Q91WK0", "Q91WK0")</f>
        <v>Q91WK0</v>
      </c>
      <c r="M3871" t="s">
        <v>42893</v>
      </c>
      <c r="N3871" t="str">
        <f>"Lrrfip2"</f>
        <v>Lrrfip2</v>
      </c>
      <c r="O3871" s="3" t="str">
        <f>HYPERLINK("http://www.informatics.jax.org/marker/MGI:1918518", "MGI:1918518")</f>
        <v>MGI:1918518</v>
      </c>
      <c r="P3871" t="s">
        <v>42894</v>
      </c>
      <c r="Q3871" t="s">
        <v>3043</v>
      </c>
      <c r="R3871" t="s">
        <v>32</v>
      </c>
      <c r="S3871" t="s">
        <v>41</v>
      </c>
      <c r="T3871" t="s">
        <v>32</v>
      </c>
      <c r="U3871" t="s">
        <v>32</v>
      </c>
      <c r="V3871" t="s">
        <v>290</v>
      </c>
      <c r="W3871" t="s">
        <v>32</v>
      </c>
      <c r="X3871" t="s">
        <v>32</v>
      </c>
      <c r="Y3871" t="s">
        <v>618</v>
      </c>
      <c r="Z3871" t="s">
        <v>32</v>
      </c>
      <c r="AA3871" t="s">
        <v>42895</v>
      </c>
      <c r="AB3871" t="s">
        <v>32</v>
      </c>
      <c r="AC3871" t="s">
        <v>42896</v>
      </c>
      <c r="AD3871" t="s">
        <v>32</v>
      </c>
      <c r="AE3871" t="s">
        <v>32</v>
      </c>
      <c r="AF3871" t="s">
        <v>46835</v>
      </c>
    </row>
    <row r="3872" spans="1:32" x14ac:dyDescent="0.2">
      <c r="A3872">
        <v>3867</v>
      </c>
      <c r="B3872" t="s">
        <v>42897</v>
      </c>
      <c r="C3872" t="s">
        <v>42898</v>
      </c>
      <c r="D3872" t="s">
        <v>42899</v>
      </c>
      <c r="E3872" t="s">
        <v>42900</v>
      </c>
      <c r="F3872" t="s">
        <v>42901</v>
      </c>
      <c r="G3872" t="s">
        <v>42902</v>
      </c>
      <c r="H3872" t="str">
        <f>"Med21"</f>
        <v>Med21</v>
      </c>
      <c r="I3872" t="s">
        <v>42903</v>
      </c>
      <c r="J3872" t="s">
        <v>37</v>
      </c>
      <c r="K3872">
        <v>10090</v>
      </c>
      <c r="L3872" s="3" t="str">
        <f>HYPERLINK("http://www.uniprot.org/uniprot/Q9CQ39", "Q9CQ39")</f>
        <v>Q9CQ39</v>
      </c>
      <c r="M3872" t="s">
        <v>42904</v>
      </c>
      <c r="N3872" t="str">
        <f>"Med21"</f>
        <v>Med21</v>
      </c>
      <c r="O3872" s="3" t="str">
        <f>HYPERLINK("http://www.informatics.jax.org/marker/MGI:1347064", "MGI:1347064")</f>
        <v>MGI:1347064</v>
      </c>
      <c r="P3872" t="s">
        <v>42905</v>
      </c>
      <c r="Q3872" t="s">
        <v>4152</v>
      </c>
      <c r="R3872" t="s">
        <v>2279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2602</v>
      </c>
      <c r="Y3872" t="s">
        <v>32</v>
      </c>
      <c r="Z3872" t="s">
        <v>126</v>
      </c>
      <c r="AA3872" t="s">
        <v>42906</v>
      </c>
      <c r="AB3872" t="s">
        <v>42907</v>
      </c>
      <c r="AC3872" t="s">
        <v>42908</v>
      </c>
      <c r="AD3872" t="s">
        <v>32</v>
      </c>
      <c r="AE3872" t="s">
        <v>32</v>
      </c>
      <c r="AF3872" t="s">
        <v>46835</v>
      </c>
    </row>
    <row r="3873" spans="1:32" x14ac:dyDescent="0.2">
      <c r="A3873">
        <v>3868</v>
      </c>
      <c r="B3873" t="s">
        <v>42909</v>
      </c>
      <c r="C3873" t="s">
        <v>42910</v>
      </c>
      <c r="D3873" t="s">
        <v>42911</v>
      </c>
      <c r="E3873" t="s">
        <v>42912</v>
      </c>
      <c r="F3873" t="s">
        <v>42913</v>
      </c>
      <c r="G3873" t="s">
        <v>42914</v>
      </c>
      <c r="H3873" t="str">
        <f>"Tbc1d10b"</f>
        <v>Tbc1d10b</v>
      </c>
      <c r="I3873" t="s">
        <v>32</v>
      </c>
      <c r="J3873" t="s">
        <v>37</v>
      </c>
      <c r="K3873">
        <v>10090</v>
      </c>
      <c r="L3873" s="3" t="str">
        <f>HYPERLINK("http://www.uniprot.org/uniprot/Q8BHL3", "Q8BHL3")</f>
        <v>Q8BHL3</v>
      </c>
      <c r="M3873" t="s">
        <v>42915</v>
      </c>
      <c r="N3873" t="str">
        <f>"Tbc1d10b"</f>
        <v>Tbc1d10b</v>
      </c>
      <c r="O3873" s="3" t="str">
        <f>HYPERLINK("http://www.informatics.jax.org/marker/MGI:1915699", "MGI:1915699")</f>
        <v>MGI:1915699</v>
      </c>
      <c r="P3873" t="s">
        <v>42916</v>
      </c>
      <c r="Q3873" t="s">
        <v>32</v>
      </c>
      <c r="R3873" t="s">
        <v>418</v>
      </c>
      <c r="S3873" t="s">
        <v>32</v>
      </c>
      <c r="T3873" t="s">
        <v>32</v>
      </c>
      <c r="U3873" t="s">
        <v>32</v>
      </c>
      <c r="V3873" t="s">
        <v>290</v>
      </c>
      <c r="W3873" t="s">
        <v>32</v>
      </c>
      <c r="X3873" t="s">
        <v>715</v>
      </c>
      <c r="Y3873" t="s">
        <v>2734</v>
      </c>
      <c r="Z3873" t="s">
        <v>32</v>
      </c>
      <c r="AA3873" t="s">
        <v>42917</v>
      </c>
      <c r="AB3873" t="s">
        <v>25438</v>
      </c>
      <c r="AC3873" t="s">
        <v>14857</v>
      </c>
      <c r="AD3873" t="s">
        <v>32</v>
      </c>
      <c r="AE3873" t="s">
        <v>20884</v>
      </c>
      <c r="AF3873" t="s">
        <v>46835</v>
      </c>
    </row>
    <row r="3874" spans="1:32" x14ac:dyDescent="0.2">
      <c r="A3874">
        <v>3869</v>
      </c>
      <c r="B3874" t="s">
        <v>42918</v>
      </c>
      <c r="C3874" t="s">
        <v>42919</v>
      </c>
      <c r="D3874" t="s">
        <v>42920</v>
      </c>
      <c r="E3874" t="s">
        <v>42921</v>
      </c>
      <c r="F3874" t="s">
        <v>42922</v>
      </c>
      <c r="G3874" t="s">
        <v>42923</v>
      </c>
      <c r="H3874" t="str">
        <f>"Dvl3"</f>
        <v>Dvl3</v>
      </c>
      <c r="I3874" t="s">
        <v>32</v>
      </c>
      <c r="J3874" t="s">
        <v>37</v>
      </c>
      <c r="K3874">
        <v>10090</v>
      </c>
      <c r="L3874" s="3" t="str">
        <f>HYPERLINK("http://www.uniprot.org/uniprot/Q61062", "Q61062")</f>
        <v>Q61062</v>
      </c>
      <c r="M3874" t="s">
        <v>42924</v>
      </c>
      <c r="N3874" t="str">
        <f>"Dvl3"</f>
        <v>Dvl3</v>
      </c>
      <c r="O3874" s="3" t="str">
        <f>HYPERLINK("http://www.informatics.jax.org/marker/MGI:108100", "MGI:108100")</f>
        <v>MGI:108100</v>
      </c>
      <c r="P3874" t="s">
        <v>42925</v>
      </c>
      <c r="Q3874" t="s">
        <v>3043</v>
      </c>
      <c r="R3874" t="s">
        <v>418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2029</v>
      </c>
      <c r="Y3874" t="s">
        <v>18842</v>
      </c>
      <c r="Z3874" t="s">
        <v>32</v>
      </c>
      <c r="AA3874" t="s">
        <v>42926</v>
      </c>
      <c r="AB3874" t="s">
        <v>42927</v>
      </c>
      <c r="AC3874" t="s">
        <v>42928</v>
      </c>
      <c r="AD3874" t="s">
        <v>32</v>
      </c>
      <c r="AE3874" t="s">
        <v>42929</v>
      </c>
      <c r="AF3874" t="s">
        <v>46835</v>
      </c>
    </row>
    <row r="3875" spans="1:32" x14ac:dyDescent="0.2">
      <c r="A3875">
        <v>3870</v>
      </c>
      <c r="B3875" t="s">
        <v>42930</v>
      </c>
      <c r="C3875" t="s">
        <v>42931</v>
      </c>
      <c r="D3875" t="s">
        <v>42932</v>
      </c>
      <c r="E3875" t="s">
        <v>42933</v>
      </c>
      <c r="F3875" t="s">
        <v>42934</v>
      </c>
      <c r="G3875" t="s">
        <v>32</v>
      </c>
      <c r="H3875" t="str">
        <f>"F2"</f>
        <v>F2</v>
      </c>
      <c r="I3875" t="s">
        <v>42935</v>
      </c>
      <c r="J3875" t="s">
        <v>37</v>
      </c>
      <c r="K3875">
        <v>10090</v>
      </c>
      <c r="L3875" s="3" t="str">
        <f>HYPERLINK("http://www.uniprot.org/uniprot/P19221", "P19221")</f>
        <v>P19221</v>
      </c>
      <c r="M3875" t="s">
        <v>42936</v>
      </c>
      <c r="N3875" t="str">
        <f>"F2"</f>
        <v>F2</v>
      </c>
      <c r="O3875" s="3" t="str">
        <f>HYPERLINK("http://www.informatics.jax.org/marker/MGI:88380", "MGI:88380")</f>
        <v>MGI:88380</v>
      </c>
      <c r="P3875" t="s">
        <v>42937</v>
      </c>
      <c r="Q3875" t="s">
        <v>42938</v>
      </c>
      <c r="R3875" t="s">
        <v>32</v>
      </c>
      <c r="S3875" t="s">
        <v>32</v>
      </c>
      <c r="T3875" t="s">
        <v>32</v>
      </c>
      <c r="U3875" t="s">
        <v>32</v>
      </c>
      <c r="V3875" t="s">
        <v>34627</v>
      </c>
      <c r="W3875" t="s">
        <v>1380</v>
      </c>
      <c r="X3875" t="s">
        <v>4493</v>
      </c>
      <c r="Y3875" t="s">
        <v>42939</v>
      </c>
      <c r="Z3875" t="s">
        <v>126</v>
      </c>
      <c r="AA3875" t="s">
        <v>42940</v>
      </c>
      <c r="AB3875" t="s">
        <v>42941</v>
      </c>
      <c r="AC3875" t="s">
        <v>42942</v>
      </c>
      <c r="AD3875" t="s">
        <v>32</v>
      </c>
      <c r="AE3875" t="s">
        <v>42943</v>
      </c>
      <c r="AF3875" t="s">
        <v>46835</v>
      </c>
    </row>
    <row r="3876" spans="1:32" x14ac:dyDescent="0.2">
      <c r="A3876">
        <v>3871</v>
      </c>
      <c r="B3876" t="s">
        <v>42944</v>
      </c>
      <c r="C3876" t="s">
        <v>42945</v>
      </c>
      <c r="D3876" t="s">
        <v>42946</v>
      </c>
      <c r="E3876" t="s">
        <v>42947</v>
      </c>
      <c r="F3876" t="s">
        <v>42948</v>
      </c>
      <c r="G3876" t="s">
        <v>42949</v>
      </c>
      <c r="H3876" t="str">
        <f>"Mrfap1"</f>
        <v>Mrfap1</v>
      </c>
      <c r="I3876" t="s">
        <v>42950</v>
      </c>
      <c r="J3876" t="s">
        <v>37</v>
      </c>
      <c r="K3876">
        <v>10090</v>
      </c>
      <c r="L3876" s="3" t="str">
        <f>HYPERLINK("http://www.uniprot.org/uniprot/Q9CQL7", "Q9CQL7")</f>
        <v>Q9CQL7</v>
      </c>
      <c r="M3876" t="s">
        <v>42951</v>
      </c>
      <c r="N3876" t="str">
        <f>"Mrfap1"</f>
        <v>Mrfap1</v>
      </c>
      <c r="O3876" s="3" t="str">
        <f>HYPERLINK("http://www.informatics.jax.org/marker/MGI:1914818", "MGI:1914818")</f>
        <v>MGI:1914818</v>
      </c>
      <c r="P3876" t="s">
        <v>42952</v>
      </c>
      <c r="Q3876" t="s">
        <v>32</v>
      </c>
      <c r="R3876" t="s">
        <v>40</v>
      </c>
      <c r="S3876" t="s">
        <v>32</v>
      </c>
      <c r="T3876" t="s">
        <v>32</v>
      </c>
      <c r="U3876" t="s">
        <v>32</v>
      </c>
      <c r="V3876" t="s">
        <v>290</v>
      </c>
      <c r="W3876" t="s">
        <v>32</v>
      </c>
      <c r="X3876" t="s">
        <v>32</v>
      </c>
      <c r="Y3876" t="s">
        <v>32</v>
      </c>
      <c r="Z3876" t="s">
        <v>32</v>
      </c>
      <c r="AA3876" t="s">
        <v>32</v>
      </c>
      <c r="AB3876" t="s">
        <v>11829</v>
      </c>
      <c r="AC3876" t="s">
        <v>4516</v>
      </c>
      <c r="AD3876" t="s">
        <v>32</v>
      </c>
      <c r="AE3876" t="s">
        <v>32</v>
      </c>
      <c r="AF3876" t="s">
        <v>46835</v>
      </c>
    </row>
    <row r="3877" spans="1:32" x14ac:dyDescent="0.2">
      <c r="A3877">
        <v>3872</v>
      </c>
      <c r="B3877" t="s">
        <v>42953</v>
      </c>
      <c r="C3877" t="s">
        <v>42954</v>
      </c>
      <c r="D3877" t="s">
        <v>42955</v>
      </c>
      <c r="E3877" t="s">
        <v>42956</v>
      </c>
      <c r="F3877" t="s">
        <v>42957</v>
      </c>
      <c r="G3877" t="s">
        <v>42958</v>
      </c>
      <c r="H3877" t="str">
        <f>"Med12l"</f>
        <v>Med12l</v>
      </c>
      <c r="I3877" t="s">
        <v>42959</v>
      </c>
      <c r="J3877" t="s">
        <v>37</v>
      </c>
      <c r="K3877">
        <v>10090</v>
      </c>
      <c r="L3877" s="3" t="str">
        <f>HYPERLINK("http://www.uniprot.org/uniprot/Q8BQM9", "Q8BQM9")</f>
        <v>Q8BQM9</v>
      </c>
      <c r="M3877" t="s">
        <v>42960</v>
      </c>
      <c r="N3877" t="str">
        <f>"Med12l"</f>
        <v>Med12l</v>
      </c>
      <c r="O3877" s="3" t="str">
        <f>HYPERLINK("http://www.informatics.jax.org/marker/MGI:2139916", "MGI:2139916")</f>
        <v>MGI:2139916</v>
      </c>
      <c r="P3877" t="s">
        <v>42961</v>
      </c>
      <c r="Q3877" t="s">
        <v>4152</v>
      </c>
      <c r="R3877" t="s">
        <v>2279</v>
      </c>
      <c r="S3877" t="s">
        <v>41</v>
      </c>
      <c r="T3877" t="s">
        <v>32</v>
      </c>
      <c r="U3877" t="s">
        <v>32</v>
      </c>
      <c r="V3877" t="s">
        <v>32</v>
      </c>
      <c r="W3877" t="s">
        <v>32</v>
      </c>
      <c r="X3877" t="s">
        <v>6736</v>
      </c>
      <c r="Y3877" t="s">
        <v>618</v>
      </c>
      <c r="Z3877" t="s">
        <v>32</v>
      </c>
      <c r="AA3877" t="s">
        <v>41657</v>
      </c>
      <c r="AB3877" t="s">
        <v>42962</v>
      </c>
      <c r="AC3877" t="s">
        <v>42963</v>
      </c>
      <c r="AD3877" t="s">
        <v>32</v>
      </c>
      <c r="AE3877" t="s">
        <v>32</v>
      </c>
      <c r="AF3877" t="s">
        <v>46835</v>
      </c>
    </row>
    <row r="3878" spans="1:32" x14ac:dyDescent="0.2">
      <c r="A3878">
        <v>3873</v>
      </c>
      <c r="B3878" t="s">
        <v>42964</v>
      </c>
      <c r="C3878" t="s">
        <v>42965</v>
      </c>
      <c r="D3878" t="s">
        <v>42966</v>
      </c>
      <c r="E3878" t="s">
        <v>42967</v>
      </c>
      <c r="F3878" t="s">
        <v>42968</v>
      </c>
      <c r="G3878" t="s">
        <v>42969</v>
      </c>
      <c r="H3878" t="str">
        <f>"Acox3"</f>
        <v>Acox3</v>
      </c>
      <c r="I3878" t="s">
        <v>32</v>
      </c>
      <c r="J3878" t="s">
        <v>37</v>
      </c>
      <c r="K3878">
        <v>10090</v>
      </c>
      <c r="L3878" s="3" t="str">
        <f>HYPERLINK("http://www.uniprot.org/uniprot/Q9EPL9", "Q9EPL9")</f>
        <v>Q9EPL9</v>
      </c>
      <c r="M3878" t="s">
        <v>42970</v>
      </c>
      <c r="N3878" t="str">
        <f>"Acox3"</f>
        <v>Acox3</v>
      </c>
      <c r="O3878" s="3" t="str">
        <f>HYPERLINK("http://www.informatics.jax.org/marker/MGI:1933156", "MGI:1933156")</f>
        <v>MGI:1933156</v>
      </c>
      <c r="P3878" t="s">
        <v>42971</v>
      </c>
      <c r="Q3878" t="s">
        <v>6214</v>
      </c>
      <c r="R3878" t="s">
        <v>5745</v>
      </c>
      <c r="S3878" t="s">
        <v>32</v>
      </c>
      <c r="T3878" t="s">
        <v>32</v>
      </c>
      <c r="U3878" t="s">
        <v>32</v>
      </c>
      <c r="V3878" t="s">
        <v>32</v>
      </c>
      <c r="W3878" t="s">
        <v>4600</v>
      </c>
      <c r="X3878" t="s">
        <v>600</v>
      </c>
      <c r="Y3878" t="s">
        <v>618</v>
      </c>
      <c r="Z3878" t="s">
        <v>32</v>
      </c>
      <c r="AA3878" t="s">
        <v>42972</v>
      </c>
      <c r="AB3878" t="s">
        <v>11103</v>
      </c>
      <c r="AC3878" t="s">
        <v>42973</v>
      </c>
      <c r="AD3878" t="s">
        <v>18713</v>
      </c>
      <c r="AE3878" t="s">
        <v>28673</v>
      </c>
      <c r="AF3878" t="s">
        <v>46835</v>
      </c>
    </row>
    <row r="3879" spans="1:32" x14ac:dyDescent="0.2">
      <c r="A3879">
        <v>3874</v>
      </c>
      <c r="B3879" t="s">
        <v>42974</v>
      </c>
      <c r="C3879" t="s">
        <v>42975</v>
      </c>
      <c r="D3879" t="s">
        <v>42976</v>
      </c>
      <c r="E3879" t="s">
        <v>42977</v>
      </c>
      <c r="F3879" t="s">
        <v>42978</v>
      </c>
      <c r="G3879" t="s">
        <v>42979</v>
      </c>
      <c r="H3879" t="str">
        <f>"Kcnab2"</f>
        <v>Kcnab2</v>
      </c>
      <c r="I3879" t="s">
        <v>42980</v>
      </c>
      <c r="J3879" t="s">
        <v>37</v>
      </c>
      <c r="K3879">
        <v>10090</v>
      </c>
      <c r="L3879" s="3" t="str">
        <f>HYPERLINK("http://www.uniprot.org/uniprot/P62482", "P62482")</f>
        <v>P62482</v>
      </c>
      <c r="M3879" t="s">
        <v>42981</v>
      </c>
      <c r="N3879" t="str">
        <f>"Kcnab2"</f>
        <v>Kcnab2</v>
      </c>
      <c r="O3879" s="3" t="str">
        <f>HYPERLINK("http://www.informatics.jax.org/marker/MGI:109239", "MGI:109239")</f>
        <v>MGI:109239</v>
      </c>
      <c r="P3879" t="s">
        <v>42982</v>
      </c>
      <c r="Q3879" t="s">
        <v>42983</v>
      </c>
      <c r="R3879" t="s">
        <v>42984</v>
      </c>
      <c r="S3879" t="s">
        <v>32</v>
      </c>
      <c r="T3879" t="s">
        <v>32</v>
      </c>
      <c r="U3879" t="s">
        <v>32</v>
      </c>
      <c r="V3879" t="s">
        <v>32</v>
      </c>
      <c r="W3879" t="s">
        <v>42985</v>
      </c>
      <c r="X3879" t="s">
        <v>42986</v>
      </c>
      <c r="Y3879" t="s">
        <v>97</v>
      </c>
      <c r="Z3879" t="s">
        <v>32</v>
      </c>
      <c r="AA3879" t="s">
        <v>42987</v>
      </c>
      <c r="AB3879" t="s">
        <v>42988</v>
      </c>
      <c r="AC3879" t="s">
        <v>42989</v>
      </c>
      <c r="AD3879" t="s">
        <v>32</v>
      </c>
      <c r="AE3879" t="s">
        <v>42990</v>
      </c>
      <c r="AF3879" t="s">
        <v>46835</v>
      </c>
    </row>
    <row r="3880" spans="1:32" x14ac:dyDescent="0.2">
      <c r="A3880">
        <v>3875</v>
      </c>
      <c r="B3880" t="s">
        <v>42991</v>
      </c>
      <c r="C3880" t="s">
        <v>42992</v>
      </c>
      <c r="D3880" t="s">
        <v>42993</v>
      </c>
      <c r="E3880" t="s">
        <v>42994</v>
      </c>
      <c r="F3880" t="s">
        <v>42995</v>
      </c>
      <c r="G3880" t="s">
        <v>42996</v>
      </c>
      <c r="H3880" t="str">
        <f>"Katnb1"</f>
        <v>Katnb1</v>
      </c>
      <c r="I3880" t="s">
        <v>32</v>
      </c>
      <c r="J3880" t="s">
        <v>37</v>
      </c>
      <c r="K3880">
        <v>10090</v>
      </c>
      <c r="L3880" s="3" t="str">
        <f>HYPERLINK("http://www.uniprot.org/uniprot/Q8BG40", "Q8BG40")</f>
        <v>Q8BG40</v>
      </c>
      <c r="M3880" t="s">
        <v>42997</v>
      </c>
      <c r="N3880" t="str">
        <f>"Katnb1"</f>
        <v>Katnb1</v>
      </c>
      <c r="O3880" s="3" t="str">
        <f>HYPERLINK("http://www.informatics.jax.org/marker/MGI:1921437", "MGI:1921437")</f>
        <v>MGI:1921437</v>
      </c>
      <c r="P3880" t="s">
        <v>42998</v>
      </c>
      <c r="Q3880" t="s">
        <v>2968</v>
      </c>
      <c r="R3880" t="s">
        <v>341</v>
      </c>
      <c r="S3880" t="s">
        <v>32</v>
      </c>
      <c r="T3880" t="s">
        <v>32</v>
      </c>
      <c r="U3880" t="s">
        <v>32</v>
      </c>
      <c r="V3880" t="s">
        <v>1910</v>
      </c>
      <c r="W3880" t="s">
        <v>32</v>
      </c>
      <c r="X3880" t="s">
        <v>32</v>
      </c>
      <c r="Y3880" t="s">
        <v>618</v>
      </c>
      <c r="Z3880" t="s">
        <v>126</v>
      </c>
      <c r="AA3880" t="s">
        <v>42999</v>
      </c>
      <c r="AB3880" t="s">
        <v>43000</v>
      </c>
      <c r="AC3880" t="s">
        <v>43001</v>
      </c>
      <c r="AD3880" t="s">
        <v>32</v>
      </c>
      <c r="AE3880" t="s">
        <v>32</v>
      </c>
      <c r="AF3880" t="s">
        <v>46835</v>
      </c>
    </row>
    <row r="3881" spans="1:32" x14ac:dyDescent="0.2">
      <c r="A3881">
        <v>3876</v>
      </c>
      <c r="B3881" t="s">
        <v>43002</v>
      </c>
      <c r="C3881" t="s">
        <v>43003</v>
      </c>
      <c r="D3881" t="s">
        <v>43004</v>
      </c>
      <c r="E3881" t="s">
        <v>43005</v>
      </c>
      <c r="F3881" t="s">
        <v>43006</v>
      </c>
      <c r="G3881" t="s">
        <v>43007</v>
      </c>
      <c r="H3881" t="str">
        <f>"Rrp9"</f>
        <v>Rrp9</v>
      </c>
      <c r="I3881" t="s">
        <v>43008</v>
      </c>
      <c r="J3881" t="s">
        <v>37</v>
      </c>
      <c r="K3881">
        <v>10090</v>
      </c>
      <c r="L3881" s="3" t="str">
        <f>HYPERLINK("http://www.uniprot.org/uniprot/Q91WM3", "Q91WM3")</f>
        <v>Q91WM3</v>
      </c>
      <c r="M3881" t="s">
        <v>43009</v>
      </c>
      <c r="N3881" t="str">
        <f>"Rrp9"</f>
        <v>Rrp9</v>
      </c>
      <c r="O3881" s="3" t="str">
        <f>HYPERLINK("http://www.informatics.jax.org/marker/MGI:2384313", "MGI:2384313")</f>
        <v>MGI:2384313</v>
      </c>
      <c r="P3881" t="s">
        <v>43010</v>
      </c>
      <c r="Q3881" t="s">
        <v>15770</v>
      </c>
      <c r="R3881" t="s">
        <v>2279</v>
      </c>
      <c r="S3881" t="s">
        <v>32</v>
      </c>
      <c r="T3881" t="s">
        <v>32</v>
      </c>
      <c r="U3881" t="s">
        <v>32</v>
      </c>
      <c r="V3881" t="s">
        <v>1910</v>
      </c>
      <c r="W3881" t="s">
        <v>32</v>
      </c>
      <c r="X3881" t="s">
        <v>1129</v>
      </c>
      <c r="Y3881" t="s">
        <v>207</v>
      </c>
      <c r="Z3881" t="s">
        <v>32</v>
      </c>
      <c r="AA3881" t="s">
        <v>25279</v>
      </c>
      <c r="AB3881" t="s">
        <v>43011</v>
      </c>
      <c r="AC3881" t="s">
        <v>43012</v>
      </c>
      <c r="AD3881" t="s">
        <v>32</v>
      </c>
      <c r="AE3881" t="s">
        <v>960</v>
      </c>
      <c r="AF3881" t="s">
        <v>46835</v>
      </c>
    </row>
    <row r="3882" spans="1:32" x14ac:dyDescent="0.2">
      <c r="A3882">
        <v>3877</v>
      </c>
      <c r="B3882" t="s">
        <v>43013</v>
      </c>
      <c r="C3882" t="s">
        <v>43014</v>
      </c>
      <c r="D3882" t="s">
        <v>43015</v>
      </c>
      <c r="E3882" t="s">
        <v>43016</v>
      </c>
      <c r="F3882" t="s">
        <v>43017</v>
      </c>
      <c r="G3882" t="s">
        <v>32</v>
      </c>
      <c r="H3882" t="str">
        <f>"Nfya"</f>
        <v>Nfya</v>
      </c>
      <c r="I3882" t="s">
        <v>32</v>
      </c>
      <c r="J3882" t="s">
        <v>37</v>
      </c>
      <c r="K3882">
        <v>10090</v>
      </c>
      <c r="L3882" s="3" t="str">
        <f>HYPERLINK("http://www.uniprot.org/uniprot/P23708", "P23708")</f>
        <v>P23708</v>
      </c>
      <c r="M3882" t="s">
        <v>43018</v>
      </c>
      <c r="N3882" t="str">
        <f>"Nfya"</f>
        <v>Nfya</v>
      </c>
      <c r="O3882" s="3" t="str">
        <f>HYPERLINK("http://www.informatics.jax.org/marker/MGI:97316", "MGI:97316")</f>
        <v>MGI:97316</v>
      </c>
      <c r="P3882" t="s">
        <v>43019</v>
      </c>
      <c r="Q3882" t="s">
        <v>1992</v>
      </c>
      <c r="R3882" t="s">
        <v>2279</v>
      </c>
      <c r="S3882" t="s">
        <v>41</v>
      </c>
      <c r="T3882" t="s">
        <v>32</v>
      </c>
      <c r="U3882" t="s">
        <v>32</v>
      </c>
      <c r="V3882" t="s">
        <v>32</v>
      </c>
      <c r="W3882" t="s">
        <v>32</v>
      </c>
      <c r="X3882" t="s">
        <v>2350</v>
      </c>
      <c r="Y3882" t="s">
        <v>618</v>
      </c>
      <c r="Z3882" t="s">
        <v>32</v>
      </c>
      <c r="AA3882" t="s">
        <v>43020</v>
      </c>
      <c r="AB3882" t="s">
        <v>43021</v>
      </c>
      <c r="AC3882" t="s">
        <v>43022</v>
      </c>
      <c r="AD3882" t="s">
        <v>32</v>
      </c>
      <c r="AE3882" t="s">
        <v>32</v>
      </c>
      <c r="AF3882" t="s">
        <v>46835</v>
      </c>
    </row>
    <row r="3883" spans="1:32" x14ac:dyDescent="0.2">
      <c r="A3883">
        <v>3878</v>
      </c>
      <c r="B3883" t="s">
        <v>43023</v>
      </c>
      <c r="C3883" t="s">
        <v>43024</v>
      </c>
      <c r="D3883" t="s">
        <v>43025</v>
      </c>
      <c r="E3883" t="s">
        <v>43026</v>
      </c>
      <c r="F3883" t="s">
        <v>43027</v>
      </c>
      <c r="G3883" t="s">
        <v>32</v>
      </c>
      <c r="H3883" t="str">
        <f>"Sntb2"</f>
        <v>Sntb2</v>
      </c>
      <c r="I3883" t="s">
        <v>43028</v>
      </c>
      <c r="J3883" t="s">
        <v>37</v>
      </c>
      <c r="K3883">
        <v>10090</v>
      </c>
      <c r="L3883" s="3" t="str">
        <f>HYPERLINK("http://www.uniprot.org/uniprot/Q61235", "Q61235")</f>
        <v>Q61235</v>
      </c>
      <c r="M3883" t="s">
        <v>43029</v>
      </c>
      <c r="N3883" t="str">
        <f>"Sntb2"</f>
        <v>Sntb2</v>
      </c>
      <c r="O3883" s="3" t="str">
        <f>HYPERLINK("http://www.informatics.jax.org/marker/MGI:101771", "MGI:101771")</f>
        <v>MGI:101771</v>
      </c>
      <c r="P3883" t="s">
        <v>43030</v>
      </c>
      <c r="Q3883" t="s">
        <v>32</v>
      </c>
      <c r="R3883" t="s">
        <v>43031</v>
      </c>
      <c r="S3883" t="s">
        <v>32</v>
      </c>
      <c r="T3883" t="s">
        <v>32</v>
      </c>
      <c r="U3883" t="s">
        <v>32</v>
      </c>
      <c r="V3883" t="s">
        <v>55</v>
      </c>
      <c r="W3883" t="s">
        <v>1380</v>
      </c>
      <c r="X3883" t="s">
        <v>5561</v>
      </c>
      <c r="Y3883" t="s">
        <v>618</v>
      </c>
      <c r="Z3883" t="s">
        <v>32</v>
      </c>
      <c r="AA3883" t="s">
        <v>32</v>
      </c>
      <c r="AB3883" t="s">
        <v>43032</v>
      </c>
      <c r="AC3883" t="s">
        <v>43033</v>
      </c>
      <c r="AD3883" t="s">
        <v>32</v>
      </c>
      <c r="AE3883" t="s">
        <v>32</v>
      </c>
      <c r="AF3883" t="s">
        <v>46835</v>
      </c>
    </row>
    <row r="3884" spans="1:32" x14ac:dyDescent="0.2">
      <c r="A3884">
        <v>3879</v>
      </c>
      <c r="B3884" t="s">
        <v>43034</v>
      </c>
      <c r="C3884" t="s">
        <v>43035</v>
      </c>
      <c r="D3884" t="s">
        <v>43036</v>
      </c>
      <c r="E3884" t="s">
        <v>43037</v>
      </c>
      <c r="F3884" t="s">
        <v>43038</v>
      </c>
      <c r="G3884" t="s">
        <v>32</v>
      </c>
      <c r="H3884" t="str">
        <f>"Dhx8"</f>
        <v>Dhx8</v>
      </c>
      <c r="I3884" t="s">
        <v>32</v>
      </c>
      <c r="J3884" t="s">
        <v>37</v>
      </c>
      <c r="K3884">
        <v>10090</v>
      </c>
      <c r="L3884" s="3" t="str">
        <f>HYPERLINK("http://www.uniprot.org/uniprot/A2A4P0", "A2A4P0")</f>
        <v>A2A4P0</v>
      </c>
      <c r="M3884" t="s">
        <v>43039</v>
      </c>
      <c r="N3884" t="str">
        <f>"Dhx8"</f>
        <v>Dhx8</v>
      </c>
      <c r="O3884" s="3" t="str">
        <f>HYPERLINK("http://www.informatics.jax.org/marker/MGI:1306823", "MGI:1306823")</f>
        <v>MGI:1306823</v>
      </c>
      <c r="P3884" t="s">
        <v>43040</v>
      </c>
      <c r="Q3884" t="s">
        <v>2139</v>
      </c>
      <c r="R3884" t="s">
        <v>2140</v>
      </c>
      <c r="S3884" t="s">
        <v>32</v>
      </c>
      <c r="T3884" t="s">
        <v>32</v>
      </c>
      <c r="U3884" t="s">
        <v>32</v>
      </c>
      <c r="V3884" t="s">
        <v>32</v>
      </c>
      <c r="W3884" t="s">
        <v>205</v>
      </c>
      <c r="X3884" t="s">
        <v>16991</v>
      </c>
      <c r="Y3884" t="s">
        <v>1007</v>
      </c>
      <c r="Z3884" t="s">
        <v>32</v>
      </c>
      <c r="AA3884" t="s">
        <v>43041</v>
      </c>
      <c r="AB3884" t="s">
        <v>43042</v>
      </c>
      <c r="AC3884" t="s">
        <v>18413</v>
      </c>
      <c r="AD3884" t="s">
        <v>32</v>
      </c>
      <c r="AE3884" t="s">
        <v>32</v>
      </c>
      <c r="AF3884" t="s">
        <v>46835</v>
      </c>
    </row>
    <row r="3885" spans="1:32" x14ac:dyDescent="0.2">
      <c r="A3885">
        <v>3880</v>
      </c>
      <c r="B3885" t="s">
        <v>43043</v>
      </c>
      <c r="C3885" t="s">
        <v>43044</v>
      </c>
      <c r="D3885" t="s">
        <v>43045</v>
      </c>
      <c r="E3885" t="s">
        <v>43046</v>
      </c>
      <c r="F3885" t="s">
        <v>43047</v>
      </c>
      <c r="G3885" t="s">
        <v>32</v>
      </c>
      <c r="H3885" t="str">
        <f>"Sec11c"</f>
        <v>Sec11c</v>
      </c>
      <c r="I3885" t="s">
        <v>43048</v>
      </c>
      <c r="J3885" t="s">
        <v>37</v>
      </c>
      <c r="K3885">
        <v>10090</v>
      </c>
      <c r="L3885" s="3" t="str">
        <f>HYPERLINK("http://www.uniprot.org/uniprot/Q9D8V7", "Q9D8V7")</f>
        <v>Q9D8V7</v>
      </c>
      <c r="M3885" t="s">
        <v>43049</v>
      </c>
      <c r="N3885" t="str">
        <f>"Sec11c"</f>
        <v>Sec11c</v>
      </c>
      <c r="O3885" s="3" t="str">
        <f>HYPERLINK("http://www.informatics.jax.org/marker/MGI:1913536", "MGI:1913536")</f>
        <v>MGI:1913536</v>
      </c>
      <c r="P3885" t="s">
        <v>15881</v>
      </c>
      <c r="Q3885" t="s">
        <v>32</v>
      </c>
      <c r="R3885" t="s">
        <v>1664</v>
      </c>
      <c r="S3885" t="s">
        <v>32</v>
      </c>
      <c r="T3885" t="s">
        <v>32</v>
      </c>
      <c r="U3885" t="s">
        <v>32</v>
      </c>
      <c r="V3885" t="s">
        <v>1550</v>
      </c>
      <c r="W3885" t="s">
        <v>32</v>
      </c>
      <c r="X3885" t="s">
        <v>13667</v>
      </c>
      <c r="Y3885" t="s">
        <v>32</v>
      </c>
      <c r="Z3885" t="s">
        <v>32</v>
      </c>
      <c r="AA3885" t="s">
        <v>15882</v>
      </c>
      <c r="AB3885" t="s">
        <v>15883</v>
      </c>
      <c r="AC3885" t="s">
        <v>15884</v>
      </c>
      <c r="AD3885" t="s">
        <v>32</v>
      </c>
      <c r="AE3885" t="s">
        <v>12787</v>
      </c>
      <c r="AF3885" t="s">
        <v>46835</v>
      </c>
    </row>
    <row r="3886" spans="1:32" x14ac:dyDescent="0.2">
      <c r="A3886">
        <v>3881</v>
      </c>
      <c r="B3886" t="s">
        <v>43050</v>
      </c>
      <c r="C3886" t="s">
        <v>43051</v>
      </c>
      <c r="D3886" t="s">
        <v>43052</v>
      </c>
      <c r="E3886" t="s">
        <v>43053</v>
      </c>
      <c r="F3886" t="s">
        <v>43054</v>
      </c>
      <c r="G3886" t="s">
        <v>43055</v>
      </c>
      <c r="H3886" t="str">
        <f>"Slc27a4"</f>
        <v>Slc27a4</v>
      </c>
      <c r="I3886" t="s">
        <v>32</v>
      </c>
      <c r="J3886" t="s">
        <v>37</v>
      </c>
      <c r="K3886">
        <v>10090</v>
      </c>
      <c r="L3886" s="3" t="str">
        <f>HYPERLINK("http://www.uniprot.org/uniprot/Q91VE0", "Q91VE0")</f>
        <v>Q91VE0</v>
      </c>
      <c r="M3886" t="s">
        <v>43056</v>
      </c>
      <c r="N3886" t="str">
        <f>"Slc27a4"</f>
        <v>Slc27a4</v>
      </c>
      <c r="O3886" s="3" t="str">
        <f>HYPERLINK("http://www.informatics.jax.org/marker/MGI:1347347", "MGI:1347347")</f>
        <v>MGI:1347347</v>
      </c>
      <c r="P3886" t="s">
        <v>43057</v>
      </c>
      <c r="Q3886" t="s">
        <v>43058</v>
      </c>
      <c r="R3886" t="s">
        <v>1664</v>
      </c>
      <c r="S3886" t="s">
        <v>32</v>
      </c>
      <c r="T3886" t="s">
        <v>32</v>
      </c>
      <c r="U3886" t="s">
        <v>32</v>
      </c>
      <c r="V3886" t="s">
        <v>493</v>
      </c>
      <c r="W3886" t="s">
        <v>5169</v>
      </c>
      <c r="X3886" t="s">
        <v>1022</v>
      </c>
      <c r="Y3886" t="s">
        <v>32</v>
      </c>
      <c r="Z3886" t="s">
        <v>32</v>
      </c>
      <c r="AA3886" t="s">
        <v>43059</v>
      </c>
      <c r="AB3886" t="s">
        <v>43060</v>
      </c>
      <c r="AC3886" t="s">
        <v>43061</v>
      </c>
      <c r="AD3886" t="s">
        <v>32</v>
      </c>
      <c r="AE3886" t="s">
        <v>43062</v>
      </c>
      <c r="AF3886" t="s">
        <v>46835</v>
      </c>
    </row>
    <row r="3887" spans="1:32" x14ac:dyDescent="0.2">
      <c r="A3887">
        <v>3882</v>
      </c>
      <c r="B3887" t="s">
        <v>43063</v>
      </c>
      <c r="C3887" t="s">
        <v>43064</v>
      </c>
      <c r="D3887" t="s">
        <v>43065</v>
      </c>
      <c r="E3887" t="s">
        <v>43066</v>
      </c>
      <c r="F3887" t="s">
        <v>43067</v>
      </c>
      <c r="G3887" t="s">
        <v>43068</v>
      </c>
      <c r="H3887" t="str">
        <f>"Tmtc3"</f>
        <v>Tmtc3</v>
      </c>
      <c r="I3887" t="s">
        <v>32</v>
      </c>
      <c r="J3887" t="s">
        <v>37</v>
      </c>
      <c r="K3887">
        <v>10090</v>
      </c>
      <c r="L3887" s="3" t="str">
        <f>HYPERLINK("http://www.uniprot.org/uniprot/Q8BRH0", "Q8BRH0")</f>
        <v>Q8BRH0</v>
      </c>
      <c r="M3887" t="s">
        <v>43069</v>
      </c>
      <c r="N3887" t="str">
        <f>"Tmtc3"</f>
        <v>Tmtc3</v>
      </c>
      <c r="O3887" s="3" t="str">
        <f>HYPERLINK("http://www.informatics.jax.org/marker/MGI:3036255", "MGI:3036255")</f>
        <v>MGI:3036255</v>
      </c>
      <c r="P3887" t="s">
        <v>43070</v>
      </c>
      <c r="Q3887" t="s">
        <v>32</v>
      </c>
      <c r="R3887" t="s">
        <v>1664</v>
      </c>
      <c r="S3887" t="s">
        <v>41</v>
      </c>
      <c r="T3887" t="s">
        <v>32</v>
      </c>
      <c r="U3887" t="s">
        <v>32</v>
      </c>
      <c r="V3887" t="s">
        <v>11059</v>
      </c>
      <c r="W3887" t="s">
        <v>32</v>
      </c>
      <c r="X3887" t="s">
        <v>515</v>
      </c>
      <c r="Y3887" t="s">
        <v>4720</v>
      </c>
      <c r="Z3887" t="s">
        <v>32</v>
      </c>
      <c r="AA3887" t="s">
        <v>43071</v>
      </c>
      <c r="AB3887" t="s">
        <v>13369</v>
      </c>
      <c r="AC3887" t="s">
        <v>43072</v>
      </c>
      <c r="AD3887" t="s">
        <v>3952</v>
      </c>
      <c r="AE3887" t="s">
        <v>32</v>
      </c>
      <c r="AF3887" t="s">
        <v>46835</v>
      </c>
    </row>
    <row r="3888" spans="1:32" x14ac:dyDescent="0.2">
      <c r="A3888">
        <v>3883</v>
      </c>
      <c r="B3888" t="s">
        <v>43073</v>
      </c>
      <c r="C3888" t="s">
        <v>43074</v>
      </c>
      <c r="D3888" t="s">
        <v>32</v>
      </c>
      <c r="E3888" t="s">
        <v>43075</v>
      </c>
      <c r="F3888" t="s">
        <v>43076</v>
      </c>
      <c r="G3888" t="s">
        <v>43077</v>
      </c>
      <c r="H3888" t="str">
        <f>"Spast"</f>
        <v>Spast</v>
      </c>
      <c r="I3888" t="s">
        <v>32</v>
      </c>
      <c r="J3888" t="s">
        <v>37</v>
      </c>
      <c r="K3888">
        <v>10090</v>
      </c>
      <c r="L3888" s="3" t="str">
        <f>HYPERLINK("http://www.uniprot.org/uniprot/Q9QYY8", "Q9QYY8")</f>
        <v>Q9QYY8</v>
      </c>
      <c r="M3888" t="s">
        <v>43078</v>
      </c>
      <c r="N3888" t="str">
        <f>"Spast"</f>
        <v>Spast</v>
      </c>
      <c r="O3888" s="3" t="str">
        <f>HYPERLINK("http://www.informatics.jax.org/marker/MGI:1858896", "MGI:1858896")</f>
        <v>MGI:1858896</v>
      </c>
      <c r="P3888" t="s">
        <v>43079</v>
      </c>
      <c r="Q3888" t="s">
        <v>43080</v>
      </c>
      <c r="R3888" t="s">
        <v>43081</v>
      </c>
      <c r="S3888" t="s">
        <v>41</v>
      </c>
      <c r="T3888" t="s">
        <v>32</v>
      </c>
      <c r="U3888" t="s">
        <v>32</v>
      </c>
      <c r="V3888" t="s">
        <v>32</v>
      </c>
      <c r="W3888" t="s">
        <v>205</v>
      </c>
      <c r="X3888" t="s">
        <v>43082</v>
      </c>
      <c r="Y3888" t="s">
        <v>618</v>
      </c>
      <c r="Z3888" t="s">
        <v>32</v>
      </c>
      <c r="AA3888" t="s">
        <v>43083</v>
      </c>
      <c r="AB3888" t="s">
        <v>43084</v>
      </c>
      <c r="AC3888" t="s">
        <v>43085</v>
      </c>
      <c r="AD3888" t="s">
        <v>32</v>
      </c>
      <c r="AE3888" t="s">
        <v>24072</v>
      </c>
      <c r="AF3888" t="s">
        <v>46835</v>
      </c>
    </row>
    <row r="3889" spans="1:33" x14ac:dyDescent="0.2">
      <c r="A3889">
        <v>3884</v>
      </c>
      <c r="B3889" t="s">
        <v>43086</v>
      </c>
      <c r="C3889" t="s">
        <v>43087</v>
      </c>
      <c r="D3889" t="s">
        <v>32</v>
      </c>
      <c r="E3889" t="s">
        <v>43088</v>
      </c>
      <c r="F3889" t="s">
        <v>43089</v>
      </c>
      <c r="G3889" t="s">
        <v>43090</v>
      </c>
      <c r="H3889" t="str">
        <f>"Grsf1"</f>
        <v>Grsf1</v>
      </c>
      <c r="I3889" t="s">
        <v>32</v>
      </c>
      <c r="J3889" t="s">
        <v>37</v>
      </c>
      <c r="K3889">
        <v>10090</v>
      </c>
      <c r="L3889" s="3" t="str">
        <f>HYPERLINK("http://www.uniprot.org/uniprot/Q8C5Q4", "Q8C5Q4")</f>
        <v>Q8C5Q4</v>
      </c>
      <c r="M3889" t="s">
        <v>43091</v>
      </c>
      <c r="N3889" t="str">
        <f>"Grsf1"</f>
        <v>Grsf1</v>
      </c>
      <c r="O3889" s="3" t="str">
        <f>HYPERLINK("http://www.informatics.jax.org/marker/MGI:106479", "MGI:106479")</f>
        <v>MGI:106479</v>
      </c>
      <c r="P3889" t="s">
        <v>43092</v>
      </c>
      <c r="Q3889" t="s">
        <v>28062</v>
      </c>
      <c r="R3889" t="s">
        <v>1038</v>
      </c>
      <c r="S3889" t="s">
        <v>32</v>
      </c>
      <c r="T3889" t="s">
        <v>32</v>
      </c>
      <c r="U3889" t="s">
        <v>32</v>
      </c>
      <c r="V3889" t="s">
        <v>6597</v>
      </c>
      <c r="W3889" t="s">
        <v>32</v>
      </c>
      <c r="X3889" t="s">
        <v>1282</v>
      </c>
      <c r="Y3889" t="s">
        <v>618</v>
      </c>
      <c r="Z3889" t="s">
        <v>32</v>
      </c>
      <c r="AA3889" t="s">
        <v>43093</v>
      </c>
      <c r="AB3889" t="s">
        <v>43094</v>
      </c>
      <c r="AC3889" t="s">
        <v>4711</v>
      </c>
      <c r="AD3889" t="s">
        <v>32</v>
      </c>
      <c r="AE3889" t="s">
        <v>32</v>
      </c>
      <c r="AF3889" t="s">
        <v>46835</v>
      </c>
    </row>
    <row r="3890" spans="1:33" x14ac:dyDescent="0.2">
      <c r="A3890">
        <v>3885</v>
      </c>
      <c r="B3890" t="s">
        <v>43095</v>
      </c>
      <c r="C3890" t="s">
        <v>43096</v>
      </c>
      <c r="D3890" t="s">
        <v>43097</v>
      </c>
      <c r="E3890" t="s">
        <v>43098</v>
      </c>
      <c r="F3890" t="s">
        <v>43099</v>
      </c>
      <c r="G3890" t="s">
        <v>43100</v>
      </c>
      <c r="H3890" t="str">
        <f>"Sirpa"</f>
        <v>Sirpa</v>
      </c>
      <c r="I3890" t="s">
        <v>43101</v>
      </c>
      <c r="J3890" t="s">
        <v>37</v>
      </c>
      <c r="K3890">
        <v>10090</v>
      </c>
      <c r="L3890" s="3" t="str">
        <f>HYPERLINK("http://www.uniprot.org/uniprot/P97797", "P97797")</f>
        <v>P97797</v>
      </c>
      <c r="M3890" t="s">
        <v>43102</v>
      </c>
      <c r="N3890" t="str">
        <f>"Sirpa"</f>
        <v>Sirpa</v>
      </c>
      <c r="O3890" s="3" t="str">
        <f>HYPERLINK("http://www.informatics.jax.org/marker/MGI:108563", "MGI:108563")</f>
        <v>MGI:108563</v>
      </c>
      <c r="P3890" t="s">
        <v>43103</v>
      </c>
      <c r="Q3890" t="s">
        <v>32</v>
      </c>
      <c r="R3890" t="s">
        <v>5989</v>
      </c>
      <c r="S3890" t="s">
        <v>41</v>
      </c>
      <c r="T3890" t="s">
        <v>32</v>
      </c>
      <c r="U3890" t="s">
        <v>32</v>
      </c>
      <c r="V3890" t="s">
        <v>43104</v>
      </c>
      <c r="W3890" t="s">
        <v>32</v>
      </c>
      <c r="X3890" t="s">
        <v>32</v>
      </c>
      <c r="Y3890" t="s">
        <v>2865</v>
      </c>
      <c r="Z3890" t="s">
        <v>126</v>
      </c>
      <c r="AA3890" t="s">
        <v>43105</v>
      </c>
      <c r="AB3890" t="s">
        <v>40188</v>
      </c>
      <c r="AC3890" t="s">
        <v>43106</v>
      </c>
      <c r="AD3890" t="s">
        <v>32</v>
      </c>
      <c r="AE3890" t="s">
        <v>43107</v>
      </c>
      <c r="AF3890" t="s">
        <v>46835</v>
      </c>
    </row>
    <row r="3891" spans="1:33" x14ac:dyDescent="0.2">
      <c r="A3891">
        <v>3886</v>
      </c>
      <c r="B3891" t="s">
        <v>43108</v>
      </c>
      <c r="C3891" t="s">
        <v>43109</v>
      </c>
      <c r="D3891" t="s">
        <v>43110</v>
      </c>
      <c r="E3891" t="s">
        <v>43111</v>
      </c>
      <c r="F3891" t="s">
        <v>43112</v>
      </c>
      <c r="G3891" t="s">
        <v>32</v>
      </c>
      <c r="H3891" t="str">
        <f>"Unc119"</f>
        <v>Unc119</v>
      </c>
      <c r="I3891" t="s">
        <v>43113</v>
      </c>
      <c r="J3891" t="s">
        <v>37</v>
      </c>
      <c r="K3891">
        <v>10090</v>
      </c>
      <c r="L3891" s="3" t="str">
        <f>HYPERLINK("http://www.uniprot.org/uniprot/Q9Z2R6", "Q9Z2R6")</f>
        <v>Q9Z2R6</v>
      </c>
      <c r="M3891" t="s">
        <v>43114</v>
      </c>
      <c r="N3891" t="str">
        <f>"Unc119"</f>
        <v>Unc119</v>
      </c>
      <c r="O3891" s="3" t="str">
        <f>HYPERLINK("http://www.informatics.jax.org/marker/MGI:1328357", "MGI:1328357")</f>
        <v>MGI:1328357</v>
      </c>
      <c r="P3891" t="s">
        <v>43115</v>
      </c>
      <c r="Q3891" t="s">
        <v>43116</v>
      </c>
      <c r="R3891" t="s">
        <v>186</v>
      </c>
      <c r="S3891" t="s">
        <v>32</v>
      </c>
      <c r="T3891" t="s">
        <v>32</v>
      </c>
      <c r="U3891" t="s">
        <v>43117</v>
      </c>
      <c r="V3891" t="s">
        <v>32</v>
      </c>
      <c r="W3891" t="s">
        <v>584</v>
      </c>
      <c r="X3891" t="s">
        <v>32</v>
      </c>
      <c r="Y3891" t="s">
        <v>618</v>
      </c>
      <c r="Z3891" t="s">
        <v>32</v>
      </c>
      <c r="AA3891" t="s">
        <v>43118</v>
      </c>
      <c r="AB3891" t="s">
        <v>43119</v>
      </c>
      <c r="AC3891" t="s">
        <v>37924</v>
      </c>
      <c r="AD3891" t="s">
        <v>32</v>
      </c>
      <c r="AE3891" t="s">
        <v>32</v>
      </c>
      <c r="AF3891" t="s">
        <v>46835</v>
      </c>
    </row>
    <row r="3892" spans="1:33" x14ac:dyDescent="0.2">
      <c r="A3892">
        <v>3887</v>
      </c>
      <c r="B3892" t="s">
        <v>43120</v>
      </c>
      <c r="C3892" t="s">
        <v>43121</v>
      </c>
      <c r="D3892" t="s">
        <v>32</v>
      </c>
      <c r="E3892" t="s">
        <v>43122</v>
      </c>
      <c r="F3892" t="s">
        <v>43123</v>
      </c>
      <c r="G3892" t="s">
        <v>43124</v>
      </c>
      <c r="H3892" t="str">
        <f>"Cpox"</f>
        <v>Cpox</v>
      </c>
      <c r="I3892" t="s">
        <v>43125</v>
      </c>
      <c r="J3892" t="s">
        <v>37</v>
      </c>
      <c r="K3892">
        <v>10090</v>
      </c>
      <c r="L3892" s="3" t="str">
        <f>HYPERLINK("http://www.uniprot.org/uniprot/P36552", "P36552")</f>
        <v>P36552</v>
      </c>
      <c r="M3892" t="s">
        <v>43126</v>
      </c>
      <c r="N3892" t="str">
        <f>"Cpox"</f>
        <v>Cpox</v>
      </c>
      <c r="O3892" s="3" t="str">
        <f>HYPERLINK("http://www.informatics.jax.org/marker/MGI:104841", "MGI:104841")</f>
        <v>MGI:104841</v>
      </c>
      <c r="P3892" t="s">
        <v>43127</v>
      </c>
      <c r="Q3892" t="s">
        <v>10156</v>
      </c>
      <c r="R3892" t="s">
        <v>1038</v>
      </c>
      <c r="S3892" t="s">
        <v>32</v>
      </c>
      <c r="T3892" t="s">
        <v>32</v>
      </c>
      <c r="U3892" t="s">
        <v>32</v>
      </c>
      <c r="V3892" t="s">
        <v>1039</v>
      </c>
      <c r="W3892" t="s">
        <v>32</v>
      </c>
      <c r="X3892" t="s">
        <v>600</v>
      </c>
      <c r="Y3892" t="s">
        <v>157</v>
      </c>
      <c r="Z3892" t="s">
        <v>32</v>
      </c>
      <c r="AA3892" t="s">
        <v>43128</v>
      </c>
      <c r="AB3892" t="s">
        <v>43129</v>
      </c>
      <c r="AC3892" t="s">
        <v>43130</v>
      </c>
      <c r="AD3892" t="s">
        <v>43131</v>
      </c>
      <c r="AE3892" t="s">
        <v>10161</v>
      </c>
      <c r="AF3892" t="s">
        <v>46835</v>
      </c>
    </row>
    <row r="3893" spans="1:33" x14ac:dyDescent="0.2">
      <c r="A3893">
        <v>3888</v>
      </c>
      <c r="B3893" t="s">
        <v>43132</v>
      </c>
      <c r="C3893" t="s">
        <v>43133</v>
      </c>
      <c r="D3893" t="s">
        <v>32</v>
      </c>
      <c r="E3893" t="s">
        <v>43134</v>
      </c>
      <c r="F3893" t="s">
        <v>43135</v>
      </c>
      <c r="G3893" t="s">
        <v>43136</v>
      </c>
      <c r="H3893" t="str">
        <f>"Fbxo3"</f>
        <v>Fbxo3</v>
      </c>
      <c r="I3893" t="s">
        <v>43137</v>
      </c>
      <c r="J3893" t="s">
        <v>37</v>
      </c>
      <c r="K3893">
        <v>10090</v>
      </c>
      <c r="L3893" s="3" t="str">
        <f>HYPERLINK("http://www.uniprot.org/uniprot/Q9DC63", "Q9DC63")</f>
        <v>Q9DC63</v>
      </c>
      <c r="M3893" t="s">
        <v>43138</v>
      </c>
      <c r="N3893" t="str">
        <f>"Fbxo3"</f>
        <v>Fbxo3</v>
      </c>
      <c r="O3893" s="3" t="str">
        <f>HYPERLINK("http://www.informatics.jax.org/marker/MGI:1929084", "MGI:1929084")</f>
        <v>MGI:1929084</v>
      </c>
      <c r="P3893" t="s">
        <v>43139</v>
      </c>
      <c r="Q3893" t="s">
        <v>1020</v>
      </c>
      <c r="R3893" t="s">
        <v>2279</v>
      </c>
      <c r="S3893" t="s">
        <v>41</v>
      </c>
      <c r="T3893" t="s">
        <v>32</v>
      </c>
      <c r="U3893" t="s">
        <v>32</v>
      </c>
      <c r="V3893" t="s">
        <v>32</v>
      </c>
      <c r="W3893" t="s">
        <v>32</v>
      </c>
      <c r="X3893" t="s">
        <v>32</v>
      </c>
      <c r="Y3893" t="s">
        <v>32</v>
      </c>
      <c r="Z3893" t="s">
        <v>32</v>
      </c>
      <c r="AA3893" t="s">
        <v>32</v>
      </c>
      <c r="AB3893" t="s">
        <v>2364</v>
      </c>
      <c r="AC3893" t="s">
        <v>32</v>
      </c>
      <c r="AD3893" t="s">
        <v>32</v>
      </c>
      <c r="AE3893" t="s">
        <v>32</v>
      </c>
      <c r="AF3893" t="s">
        <v>46835</v>
      </c>
    </row>
    <row r="3894" spans="1:33" x14ac:dyDescent="0.2">
      <c r="A3894">
        <v>3889</v>
      </c>
      <c r="B3894" t="s">
        <v>43140</v>
      </c>
      <c r="C3894" t="s">
        <v>43141</v>
      </c>
      <c r="D3894" t="s">
        <v>32</v>
      </c>
      <c r="E3894" t="s">
        <v>43142</v>
      </c>
      <c r="F3894" t="s">
        <v>43143</v>
      </c>
      <c r="G3894" t="s">
        <v>43144</v>
      </c>
      <c r="H3894" t="str">
        <f>"Mrpl48"</f>
        <v>Mrpl48</v>
      </c>
      <c r="I3894" t="s">
        <v>32</v>
      </c>
      <c r="J3894" t="s">
        <v>37</v>
      </c>
      <c r="K3894">
        <v>10090</v>
      </c>
      <c r="L3894" s="3" t="str">
        <f>HYPERLINK("http://www.uniprot.org/uniprot/Q8JZS9", "Q8JZS9")</f>
        <v>Q8JZS9</v>
      </c>
      <c r="M3894" t="s">
        <v>43145</v>
      </c>
      <c r="N3894" t="str">
        <f>"Mrpl48"</f>
        <v>Mrpl48</v>
      </c>
      <c r="O3894" s="3" t="str">
        <f>HYPERLINK("http://www.informatics.jax.org/marker/MGI:1289321", "MGI:1289321")</f>
        <v>MGI:1289321</v>
      </c>
      <c r="P3894" t="s">
        <v>24765</v>
      </c>
      <c r="Q3894" t="s">
        <v>32</v>
      </c>
      <c r="R3894" t="s">
        <v>1038</v>
      </c>
      <c r="S3894" t="s">
        <v>32</v>
      </c>
      <c r="T3894" t="s">
        <v>32</v>
      </c>
      <c r="U3894" t="s">
        <v>32</v>
      </c>
      <c r="V3894" t="s">
        <v>1039</v>
      </c>
      <c r="W3894" t="s">
        <v>32</v>
      </c>
      <c r="X3894" t="s">
        <v>447</v>
      </c>
      <c r="Y3894" t="s">
        <v>32</v>
      </c>
      <c r="Z3894" t="s">
        <v>32</v>
      </c>
      <c r="AA3894" t="s">
        <v>23519</v>
      </c>
      <c r="AB3894" t="s">
        <v>17270</v>
      </c>
      <c r="AC3894" t="s">
        <v>32</v>
      </c>
      <c r="AD3894" t="s">
        <v>32</v>
      </c>
      <c r="AE3894" t="s">
        <v>17271</v>
      </c>
      <c r="AF3894" t="s">
        <v>46835</v>
      </c>
    </row>
    <row r="3895" spans="1:33" x14ac:dyDescent="0.2">
      <c r="A3895">
        <v>3890</v>
      </c>
      <c r="B3895" t="s">
        <v>43146</v>
      </c>
      <c r="C3895" t="s">
        <v>43147</v>
      </c>
      <c r="D3895" t="s">
        <v>43148</v>
      </c>
      <c r="E3895" t="s">
        <v>43149</v>
      </c>
      <c r="F3895" t="s">
        <v>43150</v>
      </c>
      <c r="G3895" t="s">
        <v>43151</v>
      </c>
      <c r="H3895" t="str">
        <f>"Sephs2"</f>
        <v>Sephs2</v>
      </c>
      <c r="I3895" t="s">
        <v>43152</v>
      </c>
      <c r="J3895" t="s">
        <v>37</v>
      </c>
      <c r="K3895">
        <v>10090</v>
      </c>
      <c r="L3895" s="3" t="str">
        <f>HYPERLINK("http://www.uniprot.org/uniprot/P97364", "P97364")</f>
        <v>P97364</v>
      </c>
      <c r="M3895" t="s">
        <v>43153</v>
      </c>
      <c r="N3895" t="str">
        <f>"Sephs2"</f>
        <v>Sephs2</v>
      </c>
      <c r="O3895" s="3" t="str">
        <f>HYPERLINK("http://www.informatics.jax.org/marker/MGI:108388", "MGI:108388")</f>
        <v>MGI:108388</v>
      </c>
      <c r="P3895" t="s">
        <v>43154</v>
      </c>
      <c r="Q3895" t="s">
        <v>32</v>
      </c>
      <c r="R3895" t="s">
        <v>32</v>
      </c>
      <c r="S3895" t="s">
        <v>8573</v>
      </c>
      <c r="T3895" t="s">
        <v>32</v>
      </c>
      <c r="U3895" t="s">
        <v>32</v>
      </c>
      <c r="V3895" t="s">
        <v>32</v>
      </c>
      <c r="W3895" t="s">
        <v>13682</v>
      </c>
      <c r="X3895" t="s">
        <v>419</v>
      </c>
      <c r="Y3895" t="s">
        <v>1023</v>
      </c>
      <c r="Z3895" t="s">
        <v>32</v>
      </c>
      <c r="AA3895" t="s">
        <v>43155</v>
      </c>
      <c r="AB3895" t="s">
        <v>2172</v>
      </c>
      <c r="AC3895" t="s">
        <v>43156</v>
      </c>
      <c r="AD3895" t="s">
        <v>32</v>
      </c>
      <c r="AE3895" t="s">
        <v>43157</v>
      </c>
      <c r="AF3895" t="s">
        <v>46835</v>
      </c>
    </row>
    <row r="3896" spans="1:33" x14ac:dyDescent="0.2">
      <c r="A3896">
        <v>3891</v>
      </c>
      <c r="B3896" t="s">
        <v>43158</v>
      </c>
      <c r="C3896" t="s">
        <v>47184</v>
      </c>
      <c r="D3896" t="s">
        <v>32</v>
      </c>
      <c r="E3896" t="s">
        <v>47066</v>
      </c>
      <c r="F3896" t="s">
        <v>47065</v>
      </c>
      <c r="G3896" t="s">
        <v>32</v>
      </c>
      <c r="H3896" t="s">
        <v>47315</v>
      </c>
      <c r="I3896" t="s">
        <v>32</v>
      </c>
      <c r="J3896" t="s">
        <v>37</v>
      </c>
      <c r="K3896">
        <v>10090</v>
      </c>
      <c r="L3896" s="3" t="str">
        <f>HYPERLINK(CONCATENATE("https://www.uniprot.org/uniprotkb/", AG3896, "/entry"), AG3896)</f>
        <v>E9Q7M2</v>
      </c>
      <c r="M3896" t="s">
        <v>32</v>
      </c>
      <c r="N3896" t="s">
        <v>32</v>
      </c>
      <c r="O3896" s="3" t="s">
        <v>32</v>
      </c>
      <c r="P3896" t="s">
        <v>32</v>
      </c>
      <c r="Q3896" t="s">
        <v>32</v>
      </c>
      <c r="R3896" t="s">
        <v>32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32</v>
      </c>
      <c r="Y3896" t="s">
        <v>32</v>
      </c>
      <c r="Z3896" t="s">
        <v>32</v>
      </c>
      <c r="AA3896" t="s">
        <v>32</v>
      </c>
      <c r="AB3896" t="s">
        <v>32</v>
      </c>
      <c r="AC3896" t="s">
        <v>32</v>
      </c>
      <c r="AD3896" t="s">
        <v>32</v>
      </c>
      <c r="AE3896" t="s">
        <v>32</v>
      </c>
      <c r="AF3896" t="s">
        <v>46835</v>
      </c>
      <c r="AG3896" t="s">
        <v>47065</v>
      </c>
    </row>
    <row r="3897" spans="1:33" x14ac:dyDescent="0.2">
      <c r="A3897">
        <v>3892</v>
      </c>
      <c r="B3897" t="s">
        <v>43159</v>
      </c>
      <c r="C3897" t="s">
        <v>43160</v>
      </c>
      <c r="D3897" t="s">
        <v>43161</v>
      </c>
      <c r="E3897" t="s">
        <v>43162</v>
      </c>
      <c r="F3897" t="s">
        <v>43163</v>
      </c>
      <c r="G3897" t="s">
        <v>43164</v>
      </c>
      <c r="H3897" t="str">
        <f>"Grpel2"</f>
        <v>Grpel2</v>
      </c>
      <c r="I3897" t="s">
        <v>43165</v>
      </c>
      <c r="J3897" t="s">
        <v>37</v>
      </c>
      <c r="K3897">
        <v>10090</v>
      </c>
      <c r="L3897" s="3" t="str">
        <f>HYPERLINK("http://www.uniprot.org/uniprot/O88396", "O88396")</f>
        <v>O88396</v>
      </c>
      <c r="M3897" t="s">
        <v>43166</v>
      </c>
      <c r="N3897" t="str">
        <f>"Grpel2"</f>
        <v>Grpel2</v>
      </c>
      <c r="O3897" s="3" t="str">
        <f>HYPERLINK("http://www.informatics.jax.org/marker/MGI:1334416", "MGI:1334416")</f>
        <v>MGI:1334416</v>
      </c>
      <c r="P3897" t="s">
        <v>15937</v>
      </c>
      <c r="Q3897" t="s">
        <v>32</v>
      </c>
      <c r="R3897" t="s">
        <v>1038</v>
      </c>
      <c r="S3897" t="s">
        <v>32</v>
      </c>
      <c r="T3897" t="s">
        <v>32</v>
      </c>
      <c r="U3897" t="s">
        <v>32</v>
      </c>
      <c r="V3897" t="s">
        <v>1039</v>
      </c>
      <c r="W3897" t="s">
        <v>32</v>
      </c>
      <c r="X3897" t="s">
        <v>388</v>
      </c>
      <c r="Y3897" t="s">
        <v>78</v>
      </c>
      <c r="Z3897" t="s">
        <v>32</v>
      </c>
      <c r="AA3897" t="s">
        <v>15938</v>
      </c>
      <c r="AB3897" t="s">
        <v>43167</v>
      </c>
      <c r="AC3897" t="s">
        <v>43168</v>
      </c>
      <c r="AD3897" t="s">
        <v>32</v>
      </c>
      <c r="AE3897" t="s">
        <v>32</v>
      </c>
      <c r="AF3897" t="s">
        <v>46835</v>
      </c>
    </row>
    <row r="3898" spans="1:33" x14ac:dyDescent="0.2">
      <c r="A3898">
        <v>3893</v>
      </c>
      <c r="B3898" t="s">
        <v>43169</v>
      </c>
      <c r="C3898" t="s">
        <v>43170</v>
      </c>
      <c r="D3898" t="s">
        <v>43171</v>
      </c>
      <c r="E3898" t="s">
        <v>43172</v>
      </c>
      <c r="F3898" t="s">
        <v>43173</v>
      </c>
      <c r="G3898" t="s">
        <v>43174</v>
      </c>
      <c r="H3898" t="str">
        <f>"Trnau1ap"</f>
        <v>Trnau1ap</v>
      </c>
      <c r="I3898" t="s">
        <v>43175</v>
      </c>
      <c r="J3898" t="s">
        <v>37</v>
      </c>
      <c r="K3898">
        <v>10090</v>
      </c>
      <c r="L3898" s="3" t="str">
        <f>HYPERLINK("http://www.uniprot.org/uniprot/Q80VC6", "Q80VC6")</f>
        <v>Q80VC6</v>
      </c>
      <c r="M3898" t="s">
        <v>43176</v>
      </c>
      <c r="N3898" t="str">
        <f>"Trnau1ap"</f>
        <v>Trnau1ap</v>
      </c>
      <c r="O3898" s="3" t="str">
        <f>HYPERLINK("http://www.informatics.jax.org/marker/MGI:1919037", "MGI:1919037")</f>
        <v>MGI:1919037</v>
      </c>
      <c r="P3898" t="s">
        <v>43177</v>
      </c>
      <c r="Q3898" t="s">
        <v>260</v>
      </c>
      <c r="R3898" t="s">
        <v>40</v>
      </c>
      <c r="S3898" t="s">
        <v>32</v>
      </c>
      <c r="T3898" t="s">
        <v>32</v>
      </c>
      <c r="U3898" t="s">
        <v>32</v>
      </c>
      <c r="V3898" t="s">
        <v>55</v>
      </c>
      <c r="W3898" t="s">
        <v>32</v>
      </c>
      <c r="X3898" t="s">
        <v>1282</v>
      </c>
      <c r="Y3898" t="s">
        <v>32</v>
      </c>
      <c r="Z3898" t="s">
        <v>32</v>
      </c>
      <c r="AA3898" t="s">
        <v>43178</v>
      </c>
      <c r="AB3898" t="s">
        <v>110</v>
      </c>
      <c r="AC3898" t="s">
        <v>43179</v>
      </c>
      <c r="AD3898" t="s">
        <v>32</v>
      </c>
      <c r="AE3898" t="s">
        <v>32</v>
      </c>
      <c r="AF3898" t="s">
        <v>46835</v>
      </c>
    </row>
    <row r="3899" spans="1:33" x14ac:dyDescent="0.2">
      <c r="A3899">
        <v>3894</v>
      </c>
      <c r="B3899" t="s">
        <v>43180</v>
      </c>
      <c r="C3899" t="s">
        <v>43181</v>
      </c>
      <c r="D3899" t="s">
        <v>43182</v>
      </c>
      <c r="E3899" t="s">
        <v>43183</v>
      </c>
      <c r="F3899" t="s">
        <v>43184</v>
      </c>
      <c r="G3899" t="s">
        <v>43185</v>
      </c>
      <c r="H3899" t="str">
        <f>"Rint1"</f>
        <v>Rint1</v>
      </c>
      <c r="I3899" t="s">
        <v>32</v>
      </c>
      <c r="J3899" t="s">
        <v>37</v>
      </c>
      <c r="K3899">
        <v>10090</v>
      </c>
      <c r="L3899" s="3" t="str">
        <f>HYPERLINK("http://www.uniprot.org/uniprot/Q8BZ36", "Q8BZ36")</f>
        <v>Q8BZ36</v>
      </c>
      <c r="M3899" t="s">
        <v>43186</v>
      </c>
      <c r="N3899" t="str">
        <f>"Rint1"</f>
        <v>Rint1</v>
      </c>
      <c r="O3899" s="3" t="str">
        <f>HYPERLINK("http://www.informatics.jax.org/marker/MGI:1916233", "MGI:1916233")</f>
        <v>MGI:1916233</v>
      </c>
      <c r="P3899" t="s">
        <v>43187</v>
      </c>
      <c r="Q3899" t="s">
        <v>43188</v>
      </c>
      <c r="R3899" t="s">
        <v>1893</v>
      </c>
      <c r="S3899" t="s">
        <v>41</v>
      </c>
      <c r="T3899" t="s">
        <v>32</v>
      </c>
      <c r="U3899" t="s">
        <v>32</v>
      </c>
      <c r="V3899" t="s">
        <v>290</v>
      </c>
      <c r="W3899" t="s">
        <v>32</v>
      </c>
      <c r="X3899" t="s">
        <v>32</v>
      </c>
      <c r="Y3899" t="s">
        <v>32</v>
      </c>
      <c r="Z3899" t="s">
        <v>32</v>
      </c>
      <c r="AA3899" t="s">
        <v>43189</v>
      </c>
      <c r="AB3899" t="s">
        <v>43190</v>
      </c>
      <c r="AC3899" t="s">
        <v>32</v>
      </c>
      <c r="AD3899" t="s">
        <v>32</v>
      </c>
      <c r="AE3899" t="s">
        <v>25748</v>
      </c>
      <c r="AF3899" t="s">
        <v>46835</v>
      </c>
    </row>
    <row r="3900" spans="1:33" x14ac:dyDescent="0.2">
      <c r="A3900">
        <v>3895</v>
      </c>
      <c r="B3900" t="s">
        <v>43191</v>
      </c>
      <c r="C3900" t="s">
        <v>43192</v>
      </c>
      <c r="D3900" t="s">
        <v>43193</v>
      </c>
      <c r="E3900" t="s">
        <v>43194</v>
      </c>
      <c r="F3900" t="s">
        <v>43195</v>
      </c>
      <c r="G3900" t="s">
        <v>43196</v>
      </c>
      <c r="H3900" t="str">
        <f>"Nup35"</f>
        <v>Nup35</v>
      </c>
      <c r="I3900" t="s">
        <v>43197</v>
      </c>
      <c r="J3900" t="s">
        <v>37</v>
      </c>
      <c r="K3900">
        <v>10090</v>
      </c>
      <c r="L3900" s="3" t="str">
        <f>HYPERLINK("http://www.uniprot.org/uniprot/Q8R4R6", "Q8R4R6")</f>
        <v>Q8R4R6</v>
      </c>
      <c r="M3900" t="s">
        <v>43198</v>
      </c>
      <c r="N3900" t="str">
        <f>"Nup35"</f>
        <v>Nup35</v>
      </c>
      <c r="O3900" s="3" t="str">
        <f>HYPERLINK("http://www.informatics.jax.org/marker/MGI:1916732", "MGI:1916732")</f>
        <v>MGI:1916732</v>
      </c>
      <c r="P3900" t="s">
        <v>43199</v>
      </c>
      <c r="Q3900" t="s">
        <v>6423</v>
      </c>
      <c r="R3900" t="s">
        <v>8238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32</v>
      </c>
      <c r="Y3900" t="s">
        <v>618</v>
      </c>
      <c r="Z3900" t="s">
        <v>126</v>
      </c>
      <c r="AA3900" t="s">
        <v>43200</v>
      </c>
      <c r="AB3900" t="s">
        <v>43201</v>
      </c>
      <c r="AC3900" t="s">
        <v>43202</v>
      </c>
      <c r="AD3900" t="s">
        <v>32</v>
      </c>
      <c r="AE3900" t="s">
        <v>12316</v>
      </c>
      <c r="AF3900" t="s">
        <v>46835</v>
      </c>
    </row>
    <row r="3901" spans="1:33" x14ac:dyDescent="0.2">
      <c r="A3901">
        <v>3896</v>
      </c>
      <c r="B3901" t="s">
        <v>43203</v>
      </c>
      <c r="C3901" t="s">
        <v>43204</v>
      </c>
      <c r="D3901" t="s">
        <v>43205</v>
      </c>
      <c r="E3901" t="s">
        <v>43206</v>
      </c>
      <c r="F3901" t="s">
        <v>43207</v>
      </c>
      <c r="G3901" t="s">
        <v>43208</v>
      </c>
      <c r="H3901" t="str">
        <f>"Mtnd1"</f>
        <v>Mtnd1</v>
      </c>
      <c r="I3901" t="s">
        <v>43209</v>
      </c>
      <c r="J3901" t="s">
        <v>37</v>
      </c>
      <c r="K3901">
        <v>10090</v>
      </c>
      <c r="L3901" s="3" t="str">
        <f>HYPERLINK("http://www.uniprot.org/uniprot/P03888", "P03888")</f>
        <v>P03888</v>
      </c>
      <c r="M3901" t="s">
        <v>43210</v>
      </c>
      <c r="N3901" t="str">
        <f>"mt-Nd1"</f>
        <v>mt-Nd1</v>
      </c>
      <c r="O3901" s="3" t="str">
        <f>HYPERLINK("http://www.informatics.jax.org/marker/MGI:101787", "MGI:101787")</f>
        <v>MGI:101787</v>
      </c>
      <c r="P3901" t="s">
        <v>43211</v>
      </c>
      <c r="Q3901" t="s">
        <v>6888</v>
      </c>
      <c r="R3901" t="s">
        <v>3858</v>
      </c>
      <c r="S3901" t="s">
        <v>32</v>
      </c>
      <c r="T3901" t="s">
        <v>32</v>
      </c>
      <c r="U3901" t="s">
        <v>32</v>
      </c>
      <c r="V3901" t="s">
        <v>493</v>
      </c>
      <c r="W3901" t="s">
        <v>13533</v>
      </c>
      <c r="X3901" t="s">
        <v>1506</v>
      </c>
      <c r="Y3901" t="s">
        <v>32</v>
      </c>
      <c r="Z3901" t="s">
        <v>126</v>
      </c>
      <c r="AA3901" t="s">
        <v>43212</v>
      </c>
      <c r="AB3901" t="s">
        <v>43213</v>
      </c>
      <c r="AC3901" t="s">
        <v>10892</v>
      </c>
      <c r="AD3901" t="s">
        <v>32</v>
      </c>
      <c r="AE3901" t="s">
        <v>10470</v>
      </c>
      <c r="AF3901" t="s">
        <v>46835</v>
      </c>
    </row>
    <row r="3902" spans="1:33" x14ac:dyDescent="0.2">
      <c r="A3902">
        <v>3897</v>
      </c>
      <c r="B3902" t="s">
        <v>43214</v>
      </c>
      <c r="C3902" t="s">
        <v>43215</v>
      </c>
      <c r="D3902" t="s">
        <v>43216</v>
      </c>
      <c r="E3902" t="s">
        <v>43217</v>
      </c>
      <c r="F3902" t="s">
        <v>43218</v>
      </c>
      <c r="G3902" t="s">
        <v>43219</v>
      </c>
      <c r="H3902" t="str">
        <f>"Pter"</f>
        <v>Pter</v>
      </c>
      <c r="I3902" t="s">
        <v>32</v>
      </c>
      <c r="J3902" t="s">
        <v>37</v>
      </c>
      <c r="K3902">
        <v>10090</v>
      </c>
      <c r="L3902" s="3" t="str">
        <f>HYPERLINK("http://www.uniprot.org/uniprot/Q60866", "Q60866")</f>
        <v>Q60866</v>
      </c>
      <c r="M3902" t="s">
        <v>43220</v>
      </c>
      <c r="N3902" t="str">
        <f>"Pter"</f>
        <v>Pter</v>
      </c>
      <c r="O3902" s="3" t="str">
        <f>HYPERLINK("http://www.informatics.jax.org/marker/MGI:107372", "MGI:107372")</f>
        <v>MGI:107372</v>
      </c>
      <c r="P3902" t="s">
        <v>43221</v>
      </c>
      <c r="Q3902" t="s">
        <v>32</v>
      </c>
      <c r="R3902" t="s">
        <v>32</v>
      </c>
      <c r="S3902" t="s">
        <v>41</v>
      </c>
      <c r="T3902" t="s">
        <v>32</v>
      </c>
      <c r="U3902" t="s">
        <v>32</v>
      </c>
      <c r="V3902" t="s">
        <v>32</v>
      </c>
      <c r="W3902" t="s">
        <v>8683</v>
      </c>
      <c r="X3902" t="s">
        <v>343</v>
      </c>
      <c r="Y3902" t="s">
        <v>32</v>
      </c>
      <c r="Z3902" t="s">
        <v>32</v>
      </c>
      <c r="AA3902" t="s">
        <v>43222</v>
      </c>
      <c r="AB3902" t="s">
        <v>32</v>
      </c>
      <c r="AC3902" t="s">
        <v>19945</v>
      </c>
      <c r="AD3902" t="s">
        <v>32</v>
      </c>
      <c r="AE3902" t="s">
        <v>32</v>
      </c>
      <c r="AF3902" t="s">
        <v>46835</v>
      </c>
    </row>
    <row r="3903" spans="1:33" x14ac:dyDescent="0.2">
      <c r="A3903">
        <v>3898</v>
      </c>
      <c r="B3903" t="s">
        <v>43223</v>
      </c>
      <c r="C3903" t="s">
        <v>43224</v>
      </c>
      <c r="D3903" t="s">
        <v>32</v>
      </c>
      <c r="E3903" t="s">
        <v>43225</v>
      </c>
      <c r="F3903" t="s">
        <v>43226</v>
      </c>
      <c r="G3903" t="s">
        <v>43227</v>
      </c>
      <c r="H3903" t="str">
        <f>"Filip1"</f>
        <v>Filip1</v>
      </c>
      <c r="I3903" t="s">
        <v>32</v>
      </c>
      <c r="J3903" t="s">
        <v>37</v>
      </c>
      <c r="K3903">
        <v>10090</v>
      </c>
      <c r="L3903" s="3" t="str">
        <f>HYPERLINK("http://www.uniprot.org/uniprot/Q9CS72", "Q9CS72")</f>
        <v>Q9CS72</v>
      </c>
      <c r="M3903" t="s">
        <v>43228</v>
      </c>
      <c r="N3903" t="str">
        <f>"Filip1"</f>
        <v>Filip1</v>
      </c>
      <c r="O3903" s="3" t="str">
        <f>HYPERLINK("http://www.informatics.jax.org/marker/MGI:1917848", "MGI:1917848")</f>
        <v>MGI:1917848</v>
      </c>
      <c r="P3903" t="s">
        <v>43229</v>
      </c>
      <c r="Q3903" t="s">
        <v>32</v>
      </c>
      <c r="R3903" t="s">
        <v>186</v>
      </c>
      <c r="S3903" t="s">
        <v>32</v>
      </c>
      <c r="T3903" t="s">
        <v>32</v>
      </c>
      <c r="U3903" t="s">
        <v>32</v>
      </c>
      <c r="V3903" t="s">
        <v>290</v>
      </c>
      <c r="W3903" t="s">
        <v>32</v>
      </c>
      <c r="X3903" t="s">
        <v>32</v>
      </c>
      <c r="Y3903" t="s">
        <v>618</v>
      </c>
      <c r="Z3903" t="s">
        <v>32</v>
      </c>
      <c r="AA3903" t="s">
        <v>43230</v>
      </c>
      <c r="AB3903" t="s">
        <v>43231</v>
      </c>
      <c r="AC3903" t="s">
        <v>32</v>
      </c>
      <c r="AD3903" t="s">
        <v>32</v>
      </c>
      <c r="AE3903" t="s">
        <v>15538</v>
      </c>
      <c r="AF3903" t="s">
        <v>46835</v>
      </c>
    </row>
    <row r="3904" spans="1:33" x14ac:dyDescent="0.2">
      <c r="A3904">
        <v>3899</v>
      </c>
      <c r="B3904" t="s">
        <v>43232</v>
      </c>
      <c r="C3904" t="s">
        <v>43233</v>
      </c>
      <c r="D3904" t="s">
        <v>32</v>
      </c>
      <c r="E3904" t="s">
        <v>43234</v>
      </c>
      <c r="F3904" t="s">
        <v>43235</v>
      </c>
      <c r="G3904" t="s">
        <v>32</v>
      </c>
      <c r="H3904" t="str">
        <f>"Ecd"</f>
        <v>Ecd</v>
      </c>
      <c r="I3904" t="s">
        <v>32</v>
      </c>
      <c r="J3904" t="s">
        <v>37</v>
      </c>
      <c r="K3904">
        <v>10090</v>
      </c>
      <c r="L3904" s="3" t="str">
        <f>HYPERLINK("http://www.uniprot.org/uniprot/Q9CS74", "Q9CS74")</f>
        <v>Q9CS74</v>
      </c>
      <c r="M3904" t="s">
        <v>43236</v>
      </c>
      <c r="N3904" t="str">
        <f>"Ecd"</f>
        <v>Ecd</v>
      </c>
      <c r="O3904" s="3" t="str">
        <f>HYPERLINK("http://www.informatics.jax.org/marker/MGI:1917851", "MGI:1917851")</f>
        <v>MGI:1917851</v>
      </c>
      <c r="P3904" t="s">
        <v>43237</v>
      </c>
      <c r="Q3904" t="s">
        <v>1348</v>
      </c>
      <c r="R3904" t="s">
        <v>40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2602</v>
      </c>
      <c r="Y3904" t="s">
        <v>618</v>
      </c>
      <c r="Z3904" t="s">
        <v>32</v>
      </c>
      <c r="AA3904" t="s">
        <v>43238</v>
      </c>
      <c r="AB3904" t="s">
        <v>4884</v>
      </c>
      <c r="AC3904" t="s">
        <v>43239</v>
      </c>
      <c r="AD3904" t="s">
        <v>32</v>
      </c>
      <c r="AE3904" t="s">
        <v>32</v>
      </c>
      <c r="AF3904" t="s">
        <v>46835</v>
      </c>
    </row>
    <row r="3905" spans="1:33" x14ac:dyDescent="0.2">
      <c r="A3905">
        <v>3900</v>
      </c>
      <c r="B3905" t="s">
        <v>43240</v>
      </c>
      <c r="C3905" t="s">
        <v>43241</v>
      </c>
      <c r="D3905" t="s">
        <v>43242</v>
      </c>
      <c r="E3905" t="s">
        <v>43243</v>
      </c>
      <c r="F3905" t="s">
        <v>43244</v>
      </c>
      <c r="G3905" t="s">
        <v>43245</v>
      </c>
      <c r="H3905" t="str">
        <f>"Vps26c"</f>
        <v>Vps26c</v>
      </c>
      <c r="I3905" t="s">
        <v>43246</v>
      </c>
      <c r="J3905" t="s">
        <v>37</v>
      </c>
      <c r="K3905">
        <v>10090</v>
      </c>
      <c r="L3905" s="3" t="str">
        <f>HYPERLINK("http://www.uniprot.org/uniprot/O35075", "O35075")</f>
        <v>O35075</v>
      </c>
      <c r="M3905" t="s">
        <v>43247</v>
      </c>
      <c r="N3905" t="str">
        <f>"Vps26c"</f>
        <v>Vps26c</v>
      </c>
      <c r="O3905" s="3" t="str">
        <f>HYPERLINK("http://www.informatics.jax.org/marker/MGI:1206040", "MGI:1206040")</f>
        <v>MGI:1206040</v>
      </c>
      <c r="P3905" t="s">
        <v>11451</v>
      </c>
      <c r="Q3905" t="s">
        <v>32</v>
      </c>
      <c r="R3905" t="s">
        <v>11451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  <c r="Z3905" t="s">
        <v>32</v>
      </c>
      <c r="AA3905" t="s">
        <v>43248</v>
      </c>
      <c r="AB3905" t="s">
        <v>31944</v>
      </c>
      <c r="AC3905" t="s">
        <v>32</v>
      </c>
      <c r="AD3905" t="s">
        <v>32</v>
      </c>
      <c r="AE3905" t="s">
        <v>32</v>
      </c>
      <c r="AF3905" t="s">
        <v>46835</v>
      </c>
    </row>
    <row r="3906" spans="1:33" x14ac:dyDescent="0.2">
      <c r="A3906">
        <v>3901</v>
      </c>
      <c r="B3906" t="s">
        <v>43249</v>
      </c>
      <c r="C3906" t="s">
        <v>43250</v>
      </c>
      <c r="D3906" t="s">
        <v>43251</v>
      </c>
      <c r="E3906" t="s">
        <v>43252</v>
      </c>
      <c r="F3906" t="s">
        <v>43253</v>
      </c>
      <c r="G3906" t="s">
        <v>32</v>
      </c>
      <c r="H3906" t="str">
        <f>"Rngtt"</f>
        <v>Rngtt</v>
      </c>
      <c r="I3906" t="s">
        <v>43254</v>
      </c>
      <c r="J3906" t="s">
        <v>37</v>
      </c>
      <c r="K3906">
        <v>10090</v>
      </c>
      <c r="L3906" s="3" t="str">
        <f>HYPERLINK("http://www.uniprot.org/uniprot/O55236", "O55236")</f>
        <v>O55236</v>
      </c>
      <c r="M3906" t="s">
        <v>43255</v>
      </c>
      <c r="N3906" t="str">
        <f>"Rngtt"</f>
        <v>Rngtt</v>
      </c>
      <c r="O3906" s="3" t="str">
        <f>HYPERLINK("http://www.informatics.jax.org/marker/MGI:1329041", "MGI:1329041")</f>
        <v>MGI:1329041</v>
      </c>
      <c r="P3906" t="s">
        <v>43256</v>
      </c>
      <c r="Q3906" t="s">
        <v>17596</v>
      </c>
      <c r="R3906" t="s">
        <v>2279</v>
      </c>
      <c r="S3906" t="s">
        <v>32</v>
      </c>
      <c r="T3906" t="s">
        <v>32</v>
      </c>
      <c r="U3906" t="s">
        <v>32</v>
      </c>
      <c r="V3906" t="s">
        <v>32</v>
      </c>
      <c r="W3906" t="s">
        <v>261</v>
      </c>
      <c r="X3906" t="s">
        <v>43257</v>
      </c>
      <c r="Y3906" t="s">
        <v>32</v>
      </c>
      <c r="Z3906" t="s">
        <v>126</v>
      </c>
      <c r="AA3906" t="s">
        <v>43258</v>
      </c>
      <c r="AB3906" t="s">
        <v>3606</v>
      </c>
      <c r="AC3906" t="s">
        <v>43259</v>
      </c>
      <c r="AD3906" t="s">
        <v>32</v>
      </c>
      <c r="AE3906" t="s">
        <v>17601</v>
      </c>
      <c r="AF3906" t="s">
        <v>46835</v>
      </c>
    </row>
    <row r="3907" spans="1:33" x14ac:dyDescent="0.2">
      <c r="A3907">
        <v>3902</v>
      </c>
      <c r="B3907" t="s">
        <v>43260</v>
      </c>
      <c r="C3907" t="s">
        <v>43261</v>
      </c>
      <c r="D3907" t="s">
        <v>43262</v>
      </c>
      <c r="E3907" t="s">
        <v>43263</v>
      </c>
      <c r="F3907" t="s">
        <v>43264</v>
      </c>
      <c r="G3907" t="s">
        <v>43265</v>
      </c>
      <c r="H3907" t="str">
        <f>"Poglut3"</f>
        <v>Poglut3</v>
      </c>
      <c r="I3907" t="s">
        <v>43266</v>
      </c>
      <c r="J3907" t="s">
        <v>37</v>
      </c>
      <c r="K3907">
        <v>10090</v>
      </c>
      <c r="L3907" s="3" t="str">
        <f>HYPERLINK("http://www.uniprot.org/uniprot/G5E897", "G5E897")</f>
        <v>G5E897</v>
      </c>
      <c r="M3907" t="s">
        <v>43267</v>
      </c>
      <c r="N3907" t="str">
        <f>"Poglut3"</f>
        <v>Poglut3</v>
      </c>
      <c r="O3907" s="3" t="str">
        <f>HYPERLINK("http://www.informatics.jax.org/marker/MGI:1923765", "MGI:1923765")</f>
        <v>MGI:1923765</v>
      </c>
      <c r="P3907" t="s">
        <v>18796</v>
      </c>
      <c r="Q3907" t="s">
        <v>32</v>
      </c>
      <c r="R3907" t="s">
        <v>671</v>
      </c>
      <c r="S3907" t="s">
        <v>32</v>
      </c>
      <c r="T3907" t="s">
        <v>32</v>
      </c>
      <c r="U3907" t="s">
        <v>32</v>
      </c>
      <c r="V3907" t="s">
        <v>811</v>
      </c>
      <c r="W3907" t="s">
        <v>32</v>
      </c>
      <c r="X3907" t="s">
        <v>2362</v>
      </c>
      <c r="Y3907" t="s">
        <v>3733</v>
      </c>
      <c r="Z3907" t="s">
        <v>32</v>
      </c>
      <c r="AA3907" t="s">
        <v>34218</v>
      </c>
      <c r="AB3907" t="s">
        <v>43268</v>
      </c>
      <c r="AC3907" t="s">
        <v>17488</v>
      </c>
      <c r="AD3907" t="s">
        <v>3952</v>
      </c>
      <c r="AE3907" t="s">
        <v>32</v>
      </c>
      <c r="AF3907" t="s">
        <v>46835</v>
      </c>
    </row>
    <row r="3908" spans="1:33" x14ac:dyDescent="0.2">
      <c r="A3908">
        <v>3903</v>
      </c>
      <c r="B3908" t="s">
        <v>43269</v>
      </c>
      <c r="C3908" t="s">
        <v>43270</v>
      </c>
      <c r="D3908" t="s">
        <v>32</v>
      </c>
      <c r="E3908" t="s">
        <v>43271</v>
      </c>
      <c r="F3908" t="s">
        <v>43272</v>
      </c>
      <c r="G3908" t="s">
        <v>43273</v>
      </c>
      <c r="H3908" t="str">
        <f>"Ccdc97"</f>
        <v>Ccdc97</v>
      </c>
      <c r="I3908" t="s">
        <v>43274</v>
      </c>
      <c r="J3908" t="s">
        <v>37</v>
      </c>
      <c r="K3908">
        <v>10090</v>
      </c>
      <c r="L3908" s="3" t="str">
        <f>HYPERLINK("http://www.uniprot.org/uniprot/Q9DBT3", "Q9DBT3")</f>
        <v>Q9DBT3</v>
      </c>
      <c r="M3908" t="s">
        <v>43275</v>
      </c>
      <c r="N3908" t="str">
        <f>"Ccdc97"</f>
        <v>Ccdc97</v>
      </c>
      <c r="O3908" s="3" t="str">
        <f>HYPERLINK("http://www.informatics.jax.org/marker/MGI:1196455", "MGI:1196455")</f>
        <v>MGI:1196455</v>
      </c>
      <c r="P3908" t="s">
        <v>15308</v>
      </c>
      <c r="Q3908" t="s">
        <v>32</v>
      </c>
      <c r="R3908" t="s">
        <v>32</v>
      </c>
      <c r="S3908" t="s">
        <v>32</v>
      </c>
      <c r="T3908" t="s">
        <v>32</v>
      </c>
      <c r="U3908" t="s">
        <v>32</v>
      </c>
      <c r="V3908" t="s">
        <v>290</v>
      </c>
      <c r="W3908" t="s">
        <v>32</v>
      </c>
      <c r="X3908" t="s">
        <v>32</v>
      </c>
      <c r="Y3908" t="s">
        <v>157</v>
      </c>
      <c r="Z3908" t="s">
        <v>32</v>
      </c>
      <c r="AA3908" t="s">
        <v>32</v>
      </c>
      <c r="AB3908" t="s">
        <v>32</v>
      </c>
      <c r="AC3908" t="s">
        <v>32</v>
      </c>
      <c r="AD3908" t="s">
        <v>32</v>
      </c>
      <c r="AE3908" t="s">
        <v>32</v>
      </c>
      <c r="AF3908" t="s">
        <v>46835</v>
      </c>
    </row>
    <row r="3909" spans="1:33" x14ac:dyDescent="0.2">
      <c r="A3909">
        <v>3904</v>
      </c>
      <c r="B3909" t="s">
        <v>43276</v>
      </c>
      <c r="C3909" t="s">
        <v>43277</v>
      </c>
      <c r="D3909" t="s">
        <v>43278</v>
      </c>
      <c r="E3909" t="s">
        <v>43279</v>
      </c>
      <c r="F3909" t="s">
        <v>43280</v>
      </c>
      <c r="G3909" t="s">
        <v>43281</v>
      </c>
      <c r="H3909" t="str">
        <f>"Aplp2"</f>
        <v>Aplp2</v>
      </c>
      <c r="I3909" t="s">
        <v>43282</v>
      </c>
      <c r="J3909" t="s">
        <v>37</v>
      </c>
      <c r="K3909">
        <v>10090</v>
      </c>
      <c r="L3909" s="3" t="str">
        <f>HYPERLINK("http://www.uniprot.org/uniprot/Q06335", "Q06335")</f>
        <v>Q06335</v>
      </c>
      <c r="M3909" t="s">
        <v>43283</v>
      </c>
      <c r="N3909" t="str">
        <f>"Aplp2"</f>
        <v>Aplp2</v>
      </c>
      <c r="O3909" s="3" t="str">
        <f>HYPERLINK("http://www.informatics.jax.org/marker/MGI:88047", "MGI:88047")</f>
        <v>MGI:88047</v>
      </c>
      <c r="P3909" t="s">
        <v>43284</v>
      </c>
      <c r="Q3909" t="s">
        <v>32</v>
      </c>
      <c r="R3909" t="s">
        <v>13681</v>
      </c>
      <c r="S3909" t="s">
        <v>41</v>
      </c>
      <c r="T3909" t="s">
        <v>32</v>
      </c>
      <c r="U3909" t="s">
        <v>32</v>
      </c>
      <c r="V3909" t="s">
        <v>3948</v>
      </c>
      <c r="W3909" t="s">
        <v>11627</v>
      </c>
      <c r="X3909" t="s">
        <v>247</v>
      </c>
      <c r="Y3909" t="s">
        <v>2865</v>
      </c>
      <c r="Z3909" t="s">
        <v>32</v>
      </c>
      <c r="AA3909" t="s">
        <v>43285</v>
      </c>
      <c r="AB3909" t="s">
        <v>43286</v>
      </c>
      <c r="AC3909" t="s">
        <v>43287</v>
      </c>
      <c r="AD3909" t="s">
        <v>32</v>
      </c>
      <c r="AE3909" t="s">
        <v>43288</v>
      </c>
      <c r="AF3909" t="s">
        <v>46835</v>
      </c>
    </row>
    <row r="3910" spans="1:33" x14ac:dyDescent="0.2">
      <c r="A3910">
        <v>3905</v>
      </c>
      <c r="B3910" t="s">
        <v>43289</v>
      </c>
      <c r="C3910" t="s">
        <v>43290</v>
      </c>
      <c r="D3910" t="s">
        <v>43291</v>
      </c>
      <c r="E3910" t="s">
        <v>43292</v>
      </c>
      <c r="F3910" t="s">
        <v>43293</v>
      </c>
      <c r="G3910" t="s">
        <v>43294</v>
      </c>
      <c r="H3910" t="str">
        <f>"Sun1"</f>
        <v>Sun1</v>
      </c>
      <c r="I3910" t="s">
        <v>43295</v>
      </c>
      <c r="J3910" t="s">
        <v>37</v>
      </c>
      <c r="K3910">
        <v>10090</v>
      </c>
      <c r="L3910" s="3" t="str">
        <f>HYPERLINK("http://www.uniprot.org/uniprot/Q9D666", "Q9D666")</f>
        <v>Q9D666</v>
      </c>
      <c r="M3910" t="s">
        <v>43296</v>
      </c>
      <c r="N3910" t="str">
        <f>"Sun1"</f>
        <v>Sun1</v>
      </c>
      <c r="O3910" s="3" t="str">
        <f>HYPERLINK("http://www.informatics.jax.org/marker/MGI:1924303", "MGI:1924303")</f>
        <v>MGI:1924303</v>
      </c>
      <c r="P3910" t="s">
        <v>43297</v>
      </c>
      <c r="Q3910" t="s">
        <v>41581</v>
      </c>
      <c r="R3910" t="s">
        <v>43298</v>
      </c>
      <c r="S3910" t="s">
        <v>41</v>
      </c>
      <c r="T3910" t="s">
        <v>32</v>
      </c>
      <c r="U3910" t="s">
        <v>32</v>
      </c>
      <c r="V3910" t="s">
        <v>3078</v>
      </c>
      <c r="W3910" t="s">
        <v>32</v>
      </c>
      <c r="X3910" t="s">
        <v>32</v>
      </c>
      <c r="Y3910" t="s">
        <v>2080</v>
      </c>
      <c r="Z3910" t="s">
        <v>126</v>
      </c>
      <c r="AA3910" t="s">
        <v>43299</v>
      </c>
      <c r="AB3910" t="s">
        <v>43300</v>
      </c>
      <c r="AC3910" t="s">
        <v>43301</v>
      </c>
      <c r="AD3910" t="s">
        <v>32</v>
      </c>
      <c r="AE3910" t="s">
        <v>32</v>
      </c>
      <c r="AF3910" t="s">
        <v>46835</v>
      </c>
    </row>
    <row r="3911" spans="1:33" x14ac:dyDescent="0.2">
      <c r="A3911">
        <v>3906</v>
      </c>
      <c r="B3911" t="s">
        <v>43302</v>
      </c>
      <c r="C3911" t="s">
        <v>43303</v>
      </c>
      <c r="D3911" t="s">
        <v>43304</v>
      </c>
      <c r="E3911" t="s">
        <v>43305</v>
      </c>
      <c r="F3911" t="s">
        <v>43306</v>
      </c>
      <c r="G3911" t="s">
        <v>43307</v>
      </c>
      <c r="H3911" t="str">
        <f>"Eng"</f>
        <v>Eng</v>
      </c>
      <c r="I3911" t="s">
        <v>43308</v>
      </c>
      <c r="J3911" t="s">
        <v>37</v>
      </c>
      <c r="K3911">
        <v>10090</v>
      </c>
      <c r="L3911" s="3" t="str">
        <f>HYPERLINK("http://www.uniprot.org/uniprot/Q63961", "Q63961")</f>
        <v>Q63961</v>
      </c>
      <c r="M3911" t="s">
        <v>43309</v>
      </c>
      <c r="N3911" t="str">
        <f>"Eng"</f>
        <v>Eng</v>
      </c>
      <c r="O3911" s="3" t="str">
        <f>HYPERLINK("http://www.informatics.jax.org/marker/MGI:95392", "MGI:95392")</f>
        <v>MGI:95392</v>
      </c>
      <c r="P3911" t="s">
        <v>43310</v>
      </c>
      <c r="Q3911" t="s">
        <v>43311</v>
      </c>
      <c r="R3911" t="s">
        <v>2474</v>
      </c>
      <c r="S3911" t="s">
        <v>32</v>
      </c>
      <c r="T3911" t="s">
        <v>32</v>
      </c>
      <c r="U3911" t="s">
        <v>32</v>
      </c>
      <c r="V3911" t="s">
        <v>3948</v>
      </c>
      <c r="W3911" t="s">
        <v>32</v>
      </c>
      <c r="X3911" t="s">
        <v>32</v>
      </c>
      <c r="Y3911" t="s">
        <v>2865</v>
      </c>
      <c r="Z3911" t="s">
        <v>32</v>
      </c>
      <c r="AA3911" t="s">
        <v>43312</v>
      </c>
      <c r="AB3911" t="s">
        <v>43313</v>
      </c>
      <c r="AC3911" t="s">
        <v>43314</v>
      </c>
      <c r="AD3911" t="s">
        <v>32</v>
      </c>
      <c r="AE3911" t="s">
        <v>32</v>
      </c>
      <c r="AF3911" t="s">
        <v>46835</v>
      </c>
    </row>
    <row r="3912" spans="1:33" x14ac:dyDescent="0.2">
      <c r="A3912">
        <v>3907</v>
      </c>
      <c r="B3912" t="s">
        <v>43315</v>
      </c>
      <c r="C3912" t="s">
        <v>43316</v>
      </c>
      <c r="D3912" t="s">
        <v>43317</v>
      </c>
      <c r="E3912" t="s">
        <v>43318</v>
      </c>
      <c r="F3912" t="s">
        <v>43319</v>
      </c>
      <c r="G3912" t="s">
        <v>43320</v>
      </c>
      <c r="H3912" t="str">
        <f>"Farp2"</f>
        <v>Farp2</v>
      </c>
      <c r="I3912" t="s">
        <v>43321</v>
      </c>
      <c r="J3912" t="s">
        <v>37</v>
      </c>
      <c r="K3912">
        <v>10090</v>
      </c>
      <c r="L3912" s="3" t="str">
        <f>HYPERLINK("http://www.uniprot.org/uniprot/Q91VS8", "Q91VS8")</f>
        <v>Q91VS8</v>
      </c>
      <c r="M3912" t="s">
        <v>43322</v>
      </c>
      <c r="N3912" t="str">
        <f>"Farp2"</f>
        <v>Farp2</v>
      </c>
      <c r="O3912" s="3" t="str">
        <f>HYPERLINK("http://www.informatics.jax.org/marker/MGI:2385126", "MGI:2385126")</f>
        <v>MGI:2385126</v>
      </c>
      <c r="P3912" t="s">
        <v>43323</v>
      </c>
      <c r="Q3912" t="s">
        <v>32</v>
      </c>
      <c r="R3912" t="s">
        <v>32</v>
      </c>
      <c r="S3912" t="s">
        <v>32</v>
      </c>
      <c r="T3912" t="s">
        <v>32</v>
      </c>
      <c r="U3912" t="s">
        <v>32</v>
      </c>
      <c r="V3912" t="s">
        <v>55</v>
      </c>
      <c r="W3912" t="s">
        <v>32</v>
      </c>
      <c r="X3912" t="s">
        <v>5011</v>
      </c>
      <c r="Y3912" t="s">
        <v>618</v>
      </c>
      <c r="Z3912" t="s">
        <v>126</v>
      </c>
      <c r="AA3912" t="s">
        <v>43324</v>
      </c>
      <c r="AB3912" t="s">
        <v>43325</v>
      </c>
      <c r="AC3912" t="s">
        <v>43326</v>
      </c>
      <c r="AD3912" t="s">
        <v>32</v>
      </c>
      <c r="AE3912" t="s">
        <v>43327</v>
      </c>
      <c r="AF3912" t="s">
        <v>46835</v>
      </c>
    </row>
    <row r="3913" spans="1:33" x14ac:dyDescent="0.2">
      <c r="A3913">
        <v>3908</v>
      </c>
      <c r="B3913" t="s">
        <v>43328</v>
      </c>
      <c r="C3913" t="s">
        <v>47173</v>
      </c>
      <c r="D3913" t="s">
        <v>32</v>
      </c>
      <c r="E3913" t="s">
        <v>47068</v>
      </c>
      <c r="F3913" t="s">
        <v>47067</v>
      </c>
      <c r="G3913" t="s">
        <v>32</v>
      </c>
      <c r="H3913" t="s">
        <v>47304</v>
      </c>
      <c r="I3913" t="s">
        <v>32</v>
      </c>
      <c r="J3913" t="s">
        <v>37</v>
      </c>
      <c r="K3913">
        <v>10090</v>
      </c>
      <c r="L3913" s="3" t="str">
        <f>HYPERLINK(CONCATENATE("https://www.uniprot.org/uniprotkb/", AG3913, "/entry"), AG3913)</f>
        <v>G3UW40</v>
      </c>
      <c r="M3913" t="s">
        <v>32</v>
      </c>
      <c r="N3913" t="s">
        <v>32</v>
      </c>
      <c r="O3913" s="3" t="s">
        <v>32</v>
      </c>
      <c r="P3913" t="s">
        <v>32</v>
      </c>
      <c r="Q3913" t="s">
        <v>32</v>
      </c>
      <c r="R3913" t="s">
        <v>32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32</v>
      </c>
      <c r="Y3913" t="s">
        <v>32</v>
      </c>
      <c r="Z3913" t="s">
        <v>32</v>
      </c>
      <c r="AA3913" t="s">
        <v>32</v>
      </c>
      <c r="AB3913" t="s">
        <v>32</v>
      </c>
      <c r="AC3913" t="s">
        <v>32</v>
      </c>
      <c r="AD3913" t="s">
        <v>32</v>
      </c>
      <c r="AE3913" t="s">
        <v>32</v>
      </c>
      <c r="AF3913" t="s">
        <v>46835</v>
      </c>
      <c r="AG3913" t="s">
        <v>47067</v>
      </c>
    </row>
    <row r="3914" spans="1:33" x14ac:dyDescent="0.2">
      <c r="A3914">
        <v>3909</v>
      </c>
      <c r="B3914" t="s">
        <v>43329</v>
      </c>
      <c r="C3914" t="s">
        <v>43330</v>
      </c>
      <c r="D3914" t="s">
        <v>32</v>
      </c>
      <c r="E3914" t="s">
        <v>43331</v>
      </c>
      <c r="F3914" t="s">
        <v>43332</v>
      </c>
      <c r="G3914" t="s">
        <v>43333</v>
      </c>
      <c r="H3914" t="str">
        <f>"Scoc"</f>
        <v>Scoc</v>
      </c>
      <c r="I3914" t="s">
        <v>43334</v>
      </c>
      <c r="J3914" t="s">
        <v>37</v>
      </c>
      <c r="K3914">
        <v>10090</v>
      </c>
      <c r="L3914" s="3" t="str">
        <f>HYPERLINK("http://www.uniprot.org/uniprot/Q78YZ6", "Q78YZ6")</f>
        <v>Q78YZ6</v>
      </c>
      <c r="M3914" t="s">
        <v>43335</v>
      </c>
      <c r="N3914" t="str">
        <f>"Scoc"</f>
        <v>Scoc</v>
      </c>
      <c r="O3914" s="3" t="str">
        <f>HYPERLINK("http://www.informatics.jax.org/marker/MGI:1927654", "MGI:1927654")</f>
        <v>MGI:1927654</v>
      </c>
      <c r="P3914" t="s">
        <v>43336</v>
      </c>
      <c r="Q3914" t="s">
        <v>32</v>
      </c>
      <c r="R3914" t="s">
        <v>7998</v>
      </c>
      <c r="S3914" t="s">
        <v>41</v>
      </c>
      <c r="T3914" t="s">
        <v>32</v>
      </c>
      <c r="U3914" t="s">
        <v>32</v>
      </c>
      <c r="V3914" t="s">
        <v>290</v>
      </c>
      <c r="W3914" t="s">
        <v>32</v>
      </c>
      <c r="X3914" t="s">
        <v>32</v>
      </c>
      <c r="Y3914" t="s">
        <v>32</v>
      </c>
      <c r="Z3914" t="s">
        <v>32</v>
      </c>
      <c r="AA3914" t="s">
        <v>43337</v>
      </c>
      <c r="AB3914" t="s">
        <v>43338</v>
      </c>
      <c r="AC3914" t="s">
        <v>32</v>
      </c>
      <c r="AD3914" t="s">
        <v>32</v>
      </c>
      <c r="AE3914" t="s">
        <v>10808</v>
      </c>
      <c r="AF3914" t="s">
        <v>46835</v>
      </c>
    </row>
    <row r="3915" spans="1:33" x14ac:dyDescent="0.2">
      <c r="A3915">
        <v>3910</v>
      </c>
      <c r="B3915" t="s">
        <v>43339</v>
      </c>
      <c r="C3915" t="s">
        <v>43340</v>
      </c>
      <c r="D3915" t="s">
        <v>32</v>
      </c>
      <c r="E3915" t="s">
        <v>43341</v>
      </c>
      <c r="F3915" t="s">
        <v>43342</v>
      </c>
      <c r="G3915" t="s">
        <v>43343</v>
      </c>
      <c r="H3915" t="str">
        <f>"Plxnb1"</f>
        <v>Plxnb1</v>
      </c>
      <c r="I3915" t="s">
        <v>43344</v>
      </c>
      <c r="J3915" t="s">
        <v>37</v>
      </c>
      <c r="K3915">
        <v>10090</v>
      </c>
      <c r="L3915" s="3" t="str">
        <f>HYPERLINK("http://www.uniprot.org/uniprot/Q8CJH3", "Q8CJH3")</f>
        <v>Q8CJH3</v>
      </c>
      <c r="M3915" t="s">
        <v>43345</v>
      </c>
      <c r="N3915" t="str">
        <f>"Plxnb1"</f>
        <v>Plxnb1</v>
      </c>
      <c r="O3915" s="3" t="str">
        <f>HYPERLINK("http://www.informatics.jax.org/marker/MGI:2154238", "MGI:2154238")</f>
        <v>MGI:2154238</v>
      </c>
      <c r="P3915" t="s">
        <v>43346</v>
      </c>
      <c r="Q3915" t="s">
        <v>32</v>
      </c>
      <c r="R3915" t="s">
        <v>2474</v>
      </c>
      <c r="S3915" t="s">
        <v>32</v>
      </c>
      <c r="T3915" t="s">
        <v>32</v>
      </c>
      <c r="U3915" t="s">
        <v>32</v>
      </c>
      <c r="V3915" t="s">
        <v>42116</v>
      </c>
      <c r="W3915" t="s">
        <v>32</v>
      </c>
      <c r="X3915" t="s">
        <v>6983</v>
      </c>
      <c r="Y3915" t="s">
        <v>2865</v>
      </c>
      <c r="Z3915" t="s">
        <v>32</v>
      </c>
      <c r="AA3915" t="s">
        <v>43347</v>
      </c>
      <c r="AB3915" t="s">
        <v>43348</v>
      </c>
      <c r="AC3915" t="s">
        <v>43349</v>
      </c>
      <c r="AD3915" t="s">
        <v>32</v>
      </c>
      <c r="AE3915" t="s">
        <v>43350</v>
      </c>
      <c r="AF3915" t="s">
        <v>46835</v>
      </c>
    </row>
    <row r="3916" spans="1:33" x14ac:dyDescent="0.2">
      <c r="A3916">
        <v>3911</v>
      </c>
      <c r="B3916" t="s">
        <v>43351</v>
      </c>
      <c r="C3916" t="s">
        <v>43352</v>
      </c>
      <c r="D3916" t="s">
        <v>32</v>
      </c>
      <c r="E3916" t="s">
        <v>43353</v>
      </c>
      <c r="F3916" t="s">
        <v>43354</v>
      </c>
      <c r="G3916" t="s">
        <v>43355</v>
      </c>
      <c r="H3916" t="str">
        <f>"Inf2"</f>
        <v>Inf2</v>
      </c>
      <c r="I3916" t="s">
        <v>32</v>
      </c>
      <c r="J3916" t="s">
        <v>37</v>
      </c>
      <c r="K3916">
        <v>10090</v>
      </c>
      <c r="L3916" s="3" t="str">
        <f>HYPERLINK("http://www.uniprot.org/uniprot/Q0GNC1", "Q0GNC1")</f>
        <v>Q0GNC1</v>
      </c>
      <c r="M3916" t="s">
        <v>43356</v>
      </c>
      <c r="N3916" t="str">
        <f>"Inf2"</f>
        <v>Inf2</v>
      </c>
      <c r="O3916" s="3" t="str">
        <f>HYPERLINK("http://www.informatics.jax.org/marker/MGI:1917685", "MGI:1917685")</f>
        <v>MGI:1917685</v>
      </c>
      <c r="P3916" t="s">
        <v>43357</v>
      </c>
      <c r="Q3916" t="s">
        <v>32</v>
      </c>
      <c r="R3916" t="s">
        <v>418</v>
      </c>
      <c r="S3916" t="s">
        <v>41</v>
      </c>
      <c r="T3916" t="s">
        <v>32</v>
      </c>
      <c r="U3916" t="s">
        <v>32</v>
      </c>
      <c r="V3916" t="s">
        <v>290</v>
      </c>
      <c r="W3916" t="s">
        <v>32</v>
      </c>
      <c r="X3916" t="s">
        <v>405</v>
      </c>
      <c r="Y3916" t="s">
        <v>157</v>
      </c>
      <c r="Z3916" t="s">
        <v>32</v>
      </c>
      <c r="AA3916" t="s">
        <v>43358</v>
      </c>
      <c r="AB3916" t="s">
        <v>10481</v>
      </c>
      <c r="AC3916" t="s">
        <v>43359</v>
      </c>
      <c r="AD3916" t="s">
        <v>32</v>
      </c>
      <c r="AE3916" t="s">
        <v>32</v>
      </c>
      <c r="AF3916" t="s">
        <v>46835</v>
      </c>
    </row>
    <row r="3917" spans="1:33" x14ac:dyDescent="0.2">
      <c r="A3917">
        <v>3912</v>
      </c>
      <c r="B3917" t="s">
        <v>43360</v>
      </c>
      <c r="C3917" t="s">
        <v>43361</v>
      </c>
      <c r="D3917" t="s">
        <v>43362</v>
      </c>
      <c r="E3917" t="s">
        <v>43363</v>
      </c>
      <c r="F3917" t="s">
        <v>43364</v>
      </c>
      <c r="G3917" t="s">
        <v>43365</v>
      </c>
      <c r="H3917" t="str">
        <f>"Gfm2"</f>
        <v>Gfm2</v>
      </c>
      <c r="I3917" t="s">
        <v>43366</v>
      </c>
      <c r="J3917" t="s">
        <v>37</v>
      </c>
      <c r="K3917">
        <v>10090</v>
      </c>
      <c r="L3917" s="3" t="str">
        <f>HYPERLINK("http://www.uniprot.org/uniprot/Q8R2Q4", "Q8R2Q4")</f>
        <v>Q8R2Q4</v>
      </c>
      <c r="M3917" t="s">
        <v>43367</v>
      </c>
      <c r="N3917" t="str">
        <f>"Gfm2"</f>
        <v>Gfm2</v>
      </c>
      <c r="O3917" s="3" t="str">
        <f>HYPERLINK("http://www.informatics.jax.org/marker/MGI:2444783", "MGI:2444783")</f>
        <v>MGI:2444783</v>
      </c>
      <c r="P3917" t="s">
        <v>43368</v>
      </c>
      <c r="Q3917" t="s">
        <v>260</v>
      </c>
      <c r="R3917" t="s">
        <v>1038</v>
      </c>
      <c r="S3917" t="s">
        <v>41</v>
      </c>
      <c r="T3917" t="s">
        <v>32</v>
      </c>
      <c r="U3917" t="s">
        <v>32</v>
      </c>
      <c r="V3917" t="s">
        <v>32</v>
      </c>
      <c r="W3917" t="s">
        <v>261</v>
      </c>
      <c r="X3917" t="s">
        <v>32</v>
      </c>
      <c r="Y3917" t="s">
        <v>32</v>
      </c>
      <c r="Z3917" t="s">
        <v>32</v>
      </c>
      <c r="AA3917" t="s">
        <v>43369</v>
      </c>
      <c r="AB3917" t="s">
        <v>3721</v>
      </c>
      <c r="AC3917" t="s">
        <v>15410</v>
      </c>
      <c r="AD3917" t="s">
        <v>32</v>
      </c>
      <c r="AE3917" t="s">
        <v>36438</v>
      </c>
      <c r="AF3917" t="s">
        <v>46835</v>
      </c>
    </row>
    <row r="3918" spans="1:33" x14ac:dyDescent="0.2">
      <c r="A3918">
        <v>3913</v>
      </c>
      <c r="B3918" t="s">
        <v>43370</v>
      </c>
      <c r="C3918" t="s">
        <v>43371</v>
      </c>
      <c r="D3918" t="s">
        <v>32</v>
      </c>
      <c r="E3918" t="s">
        <v>43372</v>
      </c>
      <c r="F3918" t="s">
        <v>43373</v>
      </c>
      <c r="G3918" t="s">
        <v>43374</v>
      </c>
      <c r="H3918" t="str">
        <f>"Clcc1"</f>
        <v>Clcc1</v>
      </c>
      <c r="I3918" t="s">
        <v>32</v>
      </c>
      <c r="J3918" t="s">
        <v>37</v>
      </c>
      <c r="K3918">
        <v>10090</v>
      </c>
      <c r="L3918" s="3" t="str">
        <f>HYPERLINK("http://www.uniprot.org/uniprot/Q99LI2", "Q99LI2")</f>
        <v>Q99LI2</v>
      </c>
      <c r="M3918" t="s">
        <v>43375</v>
      </c>
      <c r="N3918" t="str">
        <f>"Clcc1"</f>
        <v>Clcc1</v>
      </c>
      <c r="O3918" s="3" t="str">
        <f>HYPERLINK("http://www.informatics.jax.org/marker/MGI:2385186", "MGI:2385186")</f>
        <v>MGI:2385186</v>
      </c>
      <c r="P3918" t="s">
        <v>43376</v>
      </c>
      <c r="Q3918" t="s">
        <v>6326</v>
      </c>
      <c r="R3918" t="s">
        <v>43377</v>
      </c>
      <c r="S3918" t="s">
        <v>32</v>
      </c>
      <c r="T3918" t="s">
        <v>32</v>
      </c>
      <c r="U3918" t="s">
        <v>32</v>
      </c>
      <c r="V3918" t="s">
        <v>3948</v>
      </c>
      <c r="W3918" t="s">
        <v>7618</v>
      </c>
      <c r="X3918" t="s">
        <v>43378</v>
      </c>
      <c r="Y3918" t="s">
        <v>618</v>
      </c>
      <c r="Z3918" t="s">
        <v>32</v>
      </c>
      <c r="AA3918" t="s">
        <v>43379</v>
      </c>
      <c r="AB3918" t="s">
        <v>43380</v>
      </c>
      <c r="AC3918" t="s">
        <v>43381</v>
      </c>
      <c r="AD3918" t="s">
        <v>32</v>
      </c>
      <c r="AE3918" t="s">
        <v>32</v>
      </c>
      <c r="AF3918" t="s">
        <v>46835</v>
      </c>
    </row>
    <row r="3919" spans="1:33" x14ac:dyDescent="0.2">
      <c r="A3919">
        <v>3914</v>
      </c>
      <c r="B3919" t="s">
        <v>43382</v>
      </c>
      <c r="C3919" t="s">
        <v>43383</v>
      </c>
      <c r="D3919" t="s">
        <v>43384</v>
      </c>
      <c r="E3919" t="s">
        <v>43385</v>
      </c>
      <c r="F3919" t="s">
        <v>43386</v>
      </c>
      <c r="G3919" t="s">
        <v>32</v>
      </c>
      <c r="H3919" t="str">
        <f>"Katnal1"</f>
        <v>Katnal1</v>
      </c>
      <c r="I3919" t="s">
        <v>32</v>
      </c>
      <c r="J3919" t="s">
        <v>37</v>
      </c>
      <c r="K3919">
        <v>10090</v>
      </c>
      <c r="L3919" s="3" t="str">
        <f>HYPERLINK("http://www.uniprot.org/uniprot/Q8K0T4", "Q8K0T4")</f>
        <v>Q8K0T4</v>
      </c>
      <c r="M3919" t="s">
        <v>43387</v>
      </c>
      <c r="N3919" t="str">
        <f>"Katnal1"</f>
        <v>Katnal1</v>
      </c>
      <c r="O3919" s="3" t="str">
        <f>HYPERLINK("http://www.informatics.jax.org/marker/MGI:2387638", "MGI:2387638")</f>
        <v>MGI:2387638</v>
      </c>
      <c r="P3919" t="s">
        <v>43388</v>
      </c>
      <c r="Q3919" t="s">
        <v>32</v>
      </c>
      <c r="R3919" t="s">
        <v>341</v>
      </c>
      <c r="S3919" t="s">
        <v>32</v>
      </c>
      <c r="T3919" t="s">
        <v>32</v>
      </c>
      <c r="U3919" t="s">
        <v>32</v>
      </c>
      <c r="V3919" t="s">
        <v>32</v>
      </c>
      <c r="W3919" t="s">
        <v>205</v>
      </c>
      <c r="X3919" t="s">
        <v>673</v>
      </c>
      <c r="Y3919" t="s">
        <v>157</v>
      </c>
      <c r="Z3919" t="s">
        <v>32</v>
      </c>
      <c r="AA3919" t="s">
        <v>43389</v>
      </c>
      <c r="AB3919" t="s">
        <v>43390</v>
      </c>
      <c r="AC3919" t="s">
        <v>43391</v>
      </c>
      <c r="AD3919" t="s">
        <v>32</v>
      </c>
      <c r="AE3919" t="s">
        <v>32</v>
      </c>
      <c r="AF3919" t="s">
        <v>46835</v>
      </c>
    </row>
    <row r="3920" spans="1:33" x14ac:dyDescent="0.2">
      <c r="A3920">
        <v>3915</v>
      </c>
      <c r="B3920" t="s">
        <v>43392</v>
      </c>
      <c r="C3920" t="s">
        <v>43393</v>
      </c>
      <c r="D3920" t="s">
        <v>43394</v>
      </c>
      <c r="E3920" t="s">
        <v>43395</v>
      </c>
      <c r="F3920" t="s">
        <v>43396</v>
      </c>
      <c r="G3920" t="s">
        <v>32</v>
      </c>
      <c r="H3920" t="str">
        <f>"Tspan14"</f>
        <v>Tspan14</v>
      </c>
      <c r="I3920" t="s">
        <v>43397</v>
      </c>
      <c r="J3920" t="s">
        <v>37</v>
      </c>
      <c r="K3920">
        <v>10090</v>
      </c>
      <c r="L3920" s="3" t="str">
        <f>HYPERLINK("http://www.uniprot.org/uniprot/Q8QZY6", "Q8QZY6")</f>
        <v>Q8QZY6</v>
      </c>
      <c r="M3920" t="s">
        <v>43398</v>
      </c>
      <c r="N3920" t="str">
        <f>"Tspan14"</f>
        <v>Tspan14</v>
      </c>
      <c r="O3920" s="3" t="str">
        <f>HYPERLINK("http://www.informatics.jax.org/marker/MGI:1196325", "MGI:1196325")</f>
        <v>MGI:1196325</v>
      </c>
      <c r="P3920" t="s">
        <v>43399</v>
      </c>
      <c r="Q3920" t="s">
        <v>32</v>
      </c>
      <c r="R3920" t="s">
        <v>2474</v>
      </c>
      <c r="S3920" t="s">
        <v>32</v>
      </c>
      <c r="T3920" t="s">
        <v>32</v>
      </c>
      <c r="U3920" t="s">
        <v>32</v>
      </c>
      <c r="V3920" t="s">
        <v>493</v>
      </c>
      <c r="W3920" t="s">
        <v>32</v>
      </c>
      <c r="X3920" t="s">
        <v>32</v>
      </c>
      <c r="Y3920" t="s">
        <v>3733</v>
      </c>
      <c r="Z3920" t="s">
        <v>32</v>
      </c>
      <c r="AA3920" t="s">
        <v>43400</v>
      </c>
      <c r="AB3920" t="s">
        <v>43401</v>
      </c>
      <c r="AC3920" t="s">
        <v>24312</v>
      </c>
      <c r="AD3920" t="s">
        <v>32</v>
      </c>
      <c r="AE3920" t="s">
        <v>548</v>
      </c>
      <c r="AF3920" t="s">
        <v>46835</v>
      </c>
    </row>
    <row r="3921" spans="1:33" x14ac:dyDescent="0.2">
      <c r="A3921">
        <v>3916</v>
      </c>
      <c r="B3921" t="s">
        <v>43402</v>
      </c>
      <c r="C3921" t="s">
        <v>43403</v>
      </c>
      <c r="D3921" t="s">
        <v>43404</v>
      </c>
      <c r="E3921" t="s">
        <v>43405</v>
      </c>
      <c r="F3921" t="s">
        <v>43406</v>
      </c>
      <c r="G3921" t="s">
        <v>32</v>
      </c>
      <c r="H3921" t="str">
        <f>"Pold3"</f>
        <v>Pold3</v>
      </c>
      <c r="I3921" t="s">
        <v>32</v>
      </c>
      <c r="J3921" t="s">
        <v>37</v>
      </c>
      <c r="K3921">
        <v>10090</v>
      </c>
      <c r="L3921" s="3" t="str">
        <f>HYPERLINK("http://www.uniprot.org/uniprot/Q9EQ28", "Q9EQ28")</f>
        <v>Q9EQ28</v>
      </c>
      <c r="M3921" t="s">
        <v>43407</v>
      </c>
      <c r="N3921" t="str">
        <f>"Pold3"</f>
        <v>Pold3</v>
      </c>
      <c r="O3921" s="3" t="str">
        <f>HYPERLINK("http://www.informatics.jax.org/marker/MGI:1915217", "MGI:1915217")</f>
        <v>MGI:1915217</v>
      </c>
      <c r="P3921" t="s">
        <v>43408</v>
      </c>
      <c r="Q3921" t="s">
        <v>28440</v>
      </c>
      <c r="R3921" t="s">
        <v>40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32</v>
      </c>
      <c r="Y3921" t="s">
        <v>516</v>
      </c>
      <c r="Z3921" t="s">
        <v>32</v>
      </c>
      <c r="AA3921" t="s">
        <v>43409</v>
      </c>
      <c r="AB3921" t="s">
        <v>43410</v>
      </c>
      <c r="AC3921" t="s">
        <v>43411</v>
      </c>
      <c r="AD3921" t="s">
        <v>32</v>
      </c>
      <c r="AE3921" t="s">
        <v>28446</v>
      </c>
      <c r="AF3921" t="s">
        <v>46835</v>
      </c>
    </row>
    <row r="3922" spans="1:33" x14ac:dyDescent="0.2">
      <c r="A3922">
        <v>3917</v>
      </c>
      <c r="B3922" t="s">
        <v>43412</v>
      </c>
      <c r="C3922" t="s">
        <v>43413</v>
      </c>
      <c r="D3922" t="s">
        <v>43414</v>
      </c>
      <c r="E3922" t="s">
        <v>43415</v>
      </c>
      <c r="F3922" t="s">
        <v>43416</v>
      </c>
      <c r="G3922" t="s">
        <v>43417</v>
      </c>
      <c r="H3922" t="str">
        <f>"Ssh1"</f>
        <v>Ssh1</v>
      </c>
      <c r="I3922" t="s">
        <v>43418</v>
      </c>
      <c r="J3922" t="s">
        <v>37</v>
      </c>
      <c r="K3922">
        <v>10090</v>
      </c>
      <c r="L3922" s="3" t="str">
        <f>HYPERLINK("http://www.uniprot.org/uniprot/Q76I79", "Q76I79")</f>
        <v>Q76I79</v>
      </c>
      <c r="M3922" t="s">
        <v>43419</v>
      </c>
      <c r="N3922" t="str">
        <f>"Ssh1"</f>
        <v>Ssh1</v>
      </c>
      <c r="O3922" s="3" t="str">
        <f>HYPERLINK("http://www.informatics.jax.org/marker/MGI:2686240", "MGI:2686240")</f>
        <v>MGI:2686240</v>
      </c>
      <c r="P3922" t="s">
        <v>43420</v>
      </c>
      <c r="Q3922" t="s">
        <v>32</v>
      </c>
      <c r="R3922" t="s">
        <v>186</v>
      </c>
      <c r="S3922" t="s">
        <v>41</v>
      </c>
      <c r="T3922" t="s">
        <v>32</v>
      </c>
      <c r="U3922" t="s">
        <v>32</v>
      </c>
      <c r="V3922" t="s">
        <v>32</v>
      </c>
      <c r="W3922" t="s">
        <v>32</v>
      </c>
      <c r="X3922" t="s">
        <v>43421</v>
      </c>
      <c r="Y3922" t="s">
        <v>157</v>
      </c>
      <c r="Z3922" t="s">
        <v>32</v>
      </c>
      <c r="AA3922" t="s">
        <v>43422</v>
      </c>
      <c r="AB3922" t="s">
        <v>43423</v>
      </c>
      <c r="AC3922" t="s">
        <v>43424</v>
      </c>
      <c r="AD3922" t="s">
        <v>32</v>
      </c>
      <c r="AE3922" t="s">
        <v>32</v>
      </c>
      <c r="AF3922" t="s">
        <v>46835</v>
      </c>
    </row>
    <row r="3923" spans="1:33" x14ac:dyDescent="0.2">
      <c r="A3923">
        <v>3918</v>
      </c>
      <c r="B3923" t="s">
        <v>43425</v>
      </c>
      <c r="C3923" t="s">
        <v>43426</v>
      </c>
      <c r="D3923" t="s">
        <v>43427</v>
      </c>
      <c r="E3923" t="s">
        <v>43428</v>
      </c>
      <c r="F3923" t="s">
        <v>43429</v>
      </c>
      <c r="G3923" t="s">
        <v>43430</v>
      </c>
      <c r="H3923" t="str">
        <f>"Pus3"</f>
        <v>Pus3</v>
      </c>
      <c r="I3923" t="s">
        <v>32</v>
      </c>
      <c r="J3923" t="s">
        <v>37</v>
      </c>
      <c r="K3923">
        <v>10090</v>
      </c>
      <c r="L3923" s="3" t="str">
        <f>HYPERLINK("http://www.uniprot.org/uniprot/Q9JI38", "Q9JI38")</f>
        <v>Q9JI38</v>
      </c>
      <c r="M3923" t="s">
        <v>43431</v>
      </c>
      <c r="N3923" t="str">
        <f>"Pus3"</f>
        <v>Pus3</v>
      </c>
      <c r="O3923" s="3" t="str">
        <f>HYPERLINK("http://www.informatics.jax.org/marker/MGI:1914299", "MGI:1914299")</f>
        <v>MGI:1914299</v>
      </c>
      <c r="P3923" t="s">
        <v>43432</v>
      </c>
      <c r="Q3923" t="s">
        <v>4386</v>
      </c>
      <c r="R3923" t="s">
        <v>2279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673</v>
      </c>
      <c r="Y3923" t="s">
        <v>78</v>
      </c>
      <c r="Z3923" t="s">
        <v>32</v>
      </c>
      <c r="AA3923" t="s">
        <v>43433</v>
      </c>
      <c r="AB3923" t="s">
        <v>110</v>
      </c>
      <c r="AC3923" t="s">
        <v>43434</v>
      </c>
      <c r="AD3923" t="s">
        <v>32</v>
      </c>
      <c r="AE3923" t="s">
        <v>32</v>
      </c>
      <c r="AF3923" t="s">
        <v>46835</v>
      </c>
    </row>
    <row r="3924" spans="1:33" x14ac:dyDescent="0.2">
      <c r="A3924">
        <v>3919</v>
      </c>
      <c r="B3924" t="s">
        <v>43435</v>
      </c>
      <c r="C3924" t="s">
        <v>43436</v>
      </c>
      <c r="D3924" t="s">
        <v>32</v>
      </c>
      <c r="E3924" t="s">
        <v>43437</v>
      </c>
      <c r="F3924" t="s">
        <v>43438</v>
      </c>
      <c r="G3924" t="s">
        <v>43439</v>
      </c>
      <c r="H3924" t="str">
        <f>"Yod1"</f>
        <v>Yod1</v>
      </c>
      <c r="I3924" t="s">
        <v>32</v>
      </c>
      <c r="J3924" t="s">
        <v>37</v>
      </c>
      <c r="K3924">
        <v>10090</v>
      </c>
      <c r="L3924" s="3" t="str">
        <f>HYPERLINK("http://www.uniprot.org/uniprot/Q8CB27", "Q8CB27")</f>
        <v>Q8CB27</v>
      </c>
      <c r="M3924" t="s">
        <v>43440</v>
      </c>
      <c r="N3924" t="str">
        <f>"Yod1"</f>
        <v>Yod1</v>
      </c>
      <c r="O3924" s="3" t="str">
        <f>HYPERLINK("http://www.informatics.jax.org/marker/MGI:2442596", "MGI:2442596")</f>
        <v>MGI:2442596</v>
      </c>
      <c r="P3924" t="s">
        <v>43441</v>
      </c>
      <c r="Q3924" t="s">
        <v>43442</v>
      </c>
      <c r="R3924" t="s">
        <v>418</v>
      </c>
      <c r="S3924" t="s">
        <v>32</v>
      </c>
      <c r="T3924" t="s">
        <v>32</v>
      </c>
      <c r="U3924" t="s">
        <v>32</v>
      </c>
      <c r="V3924" t="s">
        <v>446</v>
      </c>
      <c r="W3924" t="s">
        <v>42</v>
      </c>
      <c r="X3924" t="s">
        <v>557</v>
      </c>
      <c r="Y3924" t="s">
        <v>32</v>
      </c>
      <c r="Z3924" t="s">
        <v>126</v>
      </c>
      <c r="AA3924" t="s">
        <v>43443</v>
      </c>
      <c r="AB3924" t="s">
        <v>2172</v>
      </c>
      <c r="AC3924" t="s">
        <v>43444</v>
      </c>
      <c r="AD3924" t="s">
        <v>32</v>
      </c>
      <c r="AE3924" t="s">
        <v>31146</v>
      </c>
      <c r="AF3924" t="s">
        <v>46835</v>
      </c>
    </row>
    <row r="3925" spans="1:33" x14ac:dyDescent="0.2">
      <c r="A3925">
        <v>3920</v>
      </c>
      <c r="B3925" t="s">
        <v>43445</v>
      </c>
      <c r="C3925" t="s">
        <v>43446</v>
      </c>
      <c r="D3925" t="s">
        <v>32</v>
      </c>
      <c r="E3925" t="s">
        <v>43447</v>
      </c>
      <c r="F3925" t="s">
        <v>43448</v>
      </c>
      <c r="G3925" t="s">
        <v>43449</v>
      </c>
      <c r="H3925" t="str">
        <f>"Zc3h13"</f>
        <v>Zc3h13</v>
      </c>
      <c r="I3925" t="s">
        <v>32</v>
      </c>
      <c r="J3925" t="s">
        <v>37</v>
      </c>
      <c r="K3925">
        <v>10090</v>
      </c>
      <c r="L3925" s="3" t="str">
        <f>HYPERLINK("http://www.uniprot.org/uniprot/E9Q784", "E9Q784")</f>
        <v>E9Q784</v>
      </c>
      <c r="M3925" t="s">
        <v>43450</v>
      </c>
      <c r="N3925" t="str">
        <f>"Zc3h13"</f>
        <v>Zc3h13</v>
      </c>
      <c r="O3925" s="3" t="str">
        <f>HYPERLINK("http://www.informatics.jax.org/marker/MGI:1914552", "MGI:1914552")</f>
        <v>MGI:1914552</v>
      </c>
      <c r="P3925" t="s">
        <v>43451</v>
      </c>
      <c r="Q3925" t="s">
        <v>2139</v>
      </c>
      <c r="R3925" t="s">
        <v>2279</v>
      </c>
      <c r="S3925" t="s">
        <v>32</v>
      </c>
      <c r="T3925" t="s">
        <v>32</v>
      </c>
      <c r="U3925" t="s">
        <v>32</v>
      </c>
      <c r="V3925" t="s">
        <v>12028</v>
      </c>
      <c r="W3925" t="s">
        <v>42</v>
      </c>
      <c r="X3925" t="s">
        <v>2029</v>
      </c>
      <c r="Y3925" t="s">
        <v>1007</v>
      </c>
      <c r="Z3925" t="s">
        <v>32</v>
      </c>
      <c r="AA3925" t="s">
        <v>43452</v>
      </c>
      <c r="AB3925" t="s">
        <v>43453</v>
      </c>
      <c r="AC3925" t="s">
        <v>4525</v>
      </c>
      <c r="AD3925" t="s">
        <v>32</v>
      </c>
      <c r="AE3925" t="s">
        <v>32</v>
      </c>
      <c r="AF3925" t="s">
        <v>46835</v>
      </c>
    </row>
    <row r="3926" spans="1:33" x14ac:dyDescent="0.2">
      <c r="A3926">
        <v>3921</v>
      </c>
      <c r="B3926" t="s">
        <v>43454</v>
      </c>
      <c r="C3926" t="s">
        <v>47162</v>
      </c>
      <c r="D3926" t="s">
        <v>32</v>
      </c>
      <c r="E3926" t="s">
        <v>47070</v>
      </c>
      <c r="F3926" t="s">
        <v>47069</v>
      </c>
      <c r="G3926" t="s">
        <v>32</v>
      </c>
      <c r="H3926" t="s">
        <v>47293</v>
      </c>
      <c r="I3926" t="s">
        <v>32</v>
      </c>
      <c r="J3926" t="s">
        <v>37</v>
      </c>
      <c r="K3926">
        <v>10090</v>
      </c>
      <c r="L3926" s="3" t="str">
        <f>HYPERLINK(CONCATENATE("https://www.uniprot.org/uniprotkb/", AG3926, "/entry"), AG3926)</f>
        <v>Q3TE80</v>
      </c>
      <c r="M3926" t="s">
        <v>32</v>
      </c>
      <c r="N3926" t="s">
        <v>32</v>
      </c>
      <c r="O3926" s="3" t="s">
        <v>32</v>
      </c>
      <c r="P3926" t="s">
        <v>32</v>
      </c>
      <c r="Q3926" t="s">
        <v>32</v>
      </c>
      <c r="R3926" t="s">
        <v>32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32</v>
      </c>
      <c r="Y3926" t="s">
        <v>32</v>
      </c>
      <c r="Z3926" t="s">
        <v>32</v>
      </c>
      <c r="AA3926" t="s">
        <v>32</v>
      </c>
      <c r="AB3926" t="s">
        <v>32</v>
      </c>
      <c r="AC3926" t="s">
        <v>32</v>
      </c>
      <c r="AD3926" t="s">
        <v>32</v>
      </c>
      <c r="AE3926" t="s">
        <v>32</v>
      </c>
      <c r="AF3926" t="s">
        <v>46835</v>
      </c>
      <c r="AG3926" t="s">
        <v>47069</v>
      </c>
    </row>
    <row r="3927" spans="1:33" x14ac:dyDescent="0.2">
      <c r="A3927">
        <v>3922</v>
      </c>
      <c r="B3927" t="s">
        <v>43455</v>
      </c>
      <c r="C3927" t="s">
        <v>43456</v>
      </c>
      <c r="D3927" t="s">
        <v>43457</v>
      </c>
      <c r="E3927" t="s">
        <v>43458</v>
      </c>
      <c r="F3927" t="s">
        <v>43459</v>
      </c>
      <c r="G3927" t="s">
        <v>43460</v>
      </c>
      <c r="H3927" t="str">
        <f>"Auh"</f>
        <v>Auh</v>
      </c>
      <c r="I3927" t="s">
        <v>32</v>
      </c>
      <c r="J3927" t="s">
        <v>37</v>
      </c>
      <c r="K3927">
        <v>10090</v>
      </c>
      <c r="L3927" s="3" t="str">
        <f>HYPERLINK("http://www.uniprot.org/uniprot/Q9JLZ3", "Q9JLZ3")</f>
        <v>Q9JLZ3</v>
      </c>
      <c r="M3927" t="s">
        <v>43461</v>
      </c>
      <c r="N3927" t="str">
        <f>"Auh"</f>
        <v>Auh</v>
      </c>
      <c r="O3927" s="3" t="str">
        <f>HYPERLINK("http://www.informatics.jax.org/marker/MGI:1338011", "MGI:1338011")</f>
        <v>MGI:1338011</v>
      </c>
      <c r="P3927" t="s">
        <v>43462</v>
      </c>
      <c r="Q3927" t="s">
        <v>25078</v>
      </c>
      <c r="R3927" t="s">
        <v>1038</v>
      </c>
      <c r="S3927" t="s">
        <v>41</v>
      </c>
      <c r="T3927" t="s">
        <v>32</v>
      </c>
      <c r="U3927" t="s">
        <v>32</v>
      </c>
      <c r="V3927" t="s">
        <v>1039</v>
      </c>
      <c r="W3927" t="s">
        <v>32</v>
      </c>
      <c r="X3927" t="s">
        <v>9549</v>
      </c>
      <c r="Y3927" t="s">
        <v>78</v>
      </c>
      <c r="Z3927" t="s">
        <v>32</v>
      </c>
      <c r="AA3927" t="s">
        <v>43463</v>
      </c>
      <c r="AB3927" t="s">
        <v>3721</v>
      </c>
      <c r="AC3927" t="s">
        <v>43464</v>
      </c>
      <c r="AD3927" t="s">
        <v>43465</v>
      </c>
      <c r="AE3927" t="s">
        <v>8652</v>
      </c>
      <c r="AF3927" t="s">
        <v>46835</v>
      </c>
    </row>
    <row r="3928" spans="1:33" x14ac:dyDescent="0.2">
      <c r="A3928">
        <v>3923</v>
      </c>
      <c r="B3928" t="s">
        <v>43466</v>
      </c>
      <c r="C3928" t="s">
        <v>43467</v>
      </c>
      <c r="D3928" t="s">
        <v>43468</v>
      </c>
      <c r="E3928" t="s">
        <v>43469</v>
      </c>
      <c r="F3928" t="s">
        <v>43470</v>
      </c>
      <c r="G3928" t="s">
        <v>43471</v>
      </c>
      <c r="H3928" t="str">
        <f>"Dmwd"</f>
        <v>Dmwd</v>
      </c>
      <c r="I3928" t="s">
        <v>43472</v>
      </c>
      <c r="J3928" t="s">
        <v>37</v>
      </c>
      <c r="K3928">
        <v>10090</v>
      </c>
      <c r="L3928" s="3" t="str">
        <f>HYPERLINK("http://www.uniprot.org/uniprot/Q08274", "Q08274")</f>
        <v>Q08274</v>
      </c>
      <c r="M3928" t="s">
        <v>43473</v>
      </c>
      <c r="N3928" t="str">
        <f>"Dmwd"</f>
        <v>Dmwd</v>
      </c>
      <c r="O3928" s="3" t="str">
        <f>HYPERLINK("http://www.informatics.jax.org/marker/MGI:94907", "MGI:94907")</f>
        <v>MGI:94907</v>
      </c>
      <c r="P3928" t="s">
        <v>43474</v>
      </c>
      <c r="Q3928" t="s">
        <v>32</v>
      </c>
      <c r="R3928" t="s">
        <v>43475</v>
      </c>
      <c r="S3928" t="s">
        <v>32</v>
      </c>
      <c r="T3928" t="s">
        <v>32</v>
      </c>
      <c r="U3928" t="s">
        <v>32</v>
      </c>
      <c r="V3928" t="s">
        <v>1910</v>
      </c>
      <c r="W3928" t="s">
        <v>32</v>
      </c>
      <c r="X3928" t="s">
        <v>32</v>
      </c>
      <c r="Y3928" t="s">
        <v>97</v>
      </c>
      <c r="Z3928" t="s">
        <v>32</v>
      </c>
      <c r="AA3928" t="s">
        <v>32</v>
      </c>
      <c r="AB3928" t="s">
        <v>43476</v>
      </c>
      <c r="AC3928" t="s">
        <v>32</v>
      </c>
      <c r="AD3928" t="s">
        <v>32</v>
      </c>
      <c r="AE3928" t="s">
        <v>32</v>
      </c>
      <c r="AF3928" t="s">
        <v>46835</v>
      </c>
    </row>
    <row r="3929" spans="1:33" x14ac:dyDescent="0.2">
      <c r="A3929">
        <v>3924</v>
      </c>
      <c r="B3929" t="s">
        <v>43477</v>
      </c>
      <c r="C3929" t="s">
        <v>43478</v>
      </c>
      <c r="D3929" t="s">
        <v>43479</v>
      </c>
      <c r="E3929" t="s">
        <v>43480</v>
      </c>
      <c r="F3929" t="s">
        <v>43481</v>
      </c>
      <c r="G3929" t="s">
        <v>43482</v>
      </c>
      <c r="H3929" t="str">
        <f>"Lrch3"</f>
        <v>Lrch3</v>
      </c>
      <c r="I3929" t="s">
        <v>32</v>
      </c>
      <c r="J3929" t="s">
        <v>37</v>
      </c>
      <c r="K3929">
        <v>10090</v>
      </c>
      <c r="L3929" s="3" t="str">
        <f>HYPERLINK("http://www.uniprot.org/uniprot/Q8BVU0", "Q8BVU0")</f>
        <v>Q8BVU0</v>
      </c>
      <c r="M3929" t="s">
        <v>43483</v>
      </c>
      <c r="N3929" t="str">
        <f>"Lrch3"</f>
        <v>Lrch3</v>
      </c>
      <c r="O3929" s="3" t="str">
        <f>HYPERLINK("http://www.informatics.jax.org/marker/MGI:1917394", "MGI:1917394")</f>
        <v>MGI:1917394</v>
      </c>
      <c r="P3929" t="s">
        <v>43484</v>
      </c>
      <c r="Q3929" t="s">
        <v>32</v>
      </c>
      <c r="R3929" t="s">
        <v>418</v>
      </c>
      <c r="S3929" t="s">
        <v>32</v>
      </c>
      <c r="T3929" t="s">
        <v>32</v>
      </c>
      <c r="U3929" t="s">
        <v>32</v>
      </c>
      <c r="V3929" t="s">
        <v>2701</v>
      </c>
      <c r="W3929" t="s">
        <v>32</v>
      </c>
      <c r="X3929" t="s">
        <v>32</v>
      </c>
      <c r="Y3929" t="s">
        <v>618</v>
      </c>
      <c r="Z3929" t="s">
        <v>32</v>
      </c>
      <c r="AA3929" t="s">
        <v>43485</v>
      </c>
      <c r="AB3929" t="s">
        <v>1268</v>
      </c>
      <c r="AC3929" t="s">
        <v>32</v>
      </c>
      <c r="AD3929" t="s">
        <v>32</v>
      </c>
      <c r="AE3929" t="s">
        <v>32</v>
      </c>
      <c r="AF3929" t="s">
        <v>46835</v>
      </c>
    </row>
    <row r="3930" spans="1:33" x14ac:dyDescent="0.2">
      <c r="A3930">
        <v>3925</v>
      </c>
      <c r="B3930" t="s">
        <v>43486</v>
      </c>
      <c r="C3930" t="s">
        <v>43487</v>
      </c>
      <c r="D3930" t="s">
        <v>32</v>
      </c>
      <c r="E3930" t="s">
        <v>43488</v>
      </c>
      <c r="F3930" t="s">
        <v>43489</v>
      </c>
      <c r="G3930" t="s">
        <v>32</v>
      </c>
      <c r="H3930" t="str">
        <f>"Sardh"</f>
        <v>Sardh</v>
      </c>
      <c r="I3930" t="s">
        <v>32</v>
      </c>
      <c r="J3930" t="s">
        <v>37</v>
      </c>
      <c r="K3930">
        <v>10090</v>
      </c>
      <c r="L3930" s="3" t="str">
        <f>HYPERLINK("http://www.uniprot.org/uniprot/Q99LB7", "Q99LB7")</f>
        <v>Q99LB7</v>
      </c>
      <c r="M3930" t="s">
        <v>43490</v>
      </c>
      <c r="N3930" t="str">
        <f>"Sardh"</f>
        <v>Sardh</v>
      </c>
      <c r="O3930" s="3" t="str">
        <f>HYPERLINK("http://www.informatics.jax.org/marker/MGI:2183102", "MGI:2183102")</f>
        <v>MGI:2183102</v>
      </c>
      <c r="P3930" t="s">
        <v>43491</v>
      </c>
      <c r="Q3930" t="s">
        <v>32</v>
      </c>
      <c r="R3930" t="s">
        <v>1038</v>
      </c>
      <c r="S3930" t="s">
        <v>32</v>
      </c>
      <c r="T3930" t="s">
        <v>32</v>
      </c>
      <c r="U3930" t="s">
        <v>32</v>
      </c>
      <c r="V3930" t="s">
        <v>1039</v>
      </c>
      <c r="W3930" t="s">
        <v>4600</v>
      </c>
      <c r="X3930" t="s">
        <v>600</v>
      </c>
      <c r="Y3930" t="s">
        <v>157</v>
      </c>
      <c r="Z3930" t="s">
        <v>32</v>
      </c>
      <c r="AA3930" t="s">
        <v>43492</v>
      </c>
      <c r="AB3930" t="s">
        <v>12327</v>
      </c>
      <c r="AC3930" t="s">
        <v>43493</v>
      </c>
      <c r="AD3930" t="s">
        <v>43494</v>
      </c>
      <c r="AE3930" t="s">
        <v>43495</v>
      </c>
      <c r="AF3930" t="s">
        <v>46835</v>
      </c>
    </row>
    <row r="3931" spans="1:33" x14ac:dyDescent="0.2">
      <c r="A3931">
        <v>3926</v>
      </c>
      <c r="B3931" t="s">
        <v>43496</v>
      </c>
      <c r="C3931" t="s">
        <v>47200</v>
      </c>
      <c r="D3931" t="s">
        <v>32</v>
      </c>
      <c r="E3931" t="s">
        <v>47072</v>
      </c>
      <c r="F3931" t="s">
        <v>47071</v>
      </c>
      <c r="G3931" t="s">
        <v>32</v>
      </c>
      <c r="H3931" t="s">
        <v>47331</v>
      </c>
      <c r="I3931" t="s">
        <v>32</v>
      </c>
      <c r="J3931" t="s">
        <v>37</v>
      </c>
      <c r="K3931">
        <v>10090</v>
      </c>
      <c r="L3931" s="3" t="str">
        <f>HYPERLINK(CONCATENATE("https://www.uniprot.org/uniprotkb/", AG3931, "/entry"), AG3931)</f>
        <v>E9PYD1</v>
      </c>
      <c r="M3931" t="s">
        <v>32</v>
      </c>
      <c r="N3931" t="s">
        <v>32</v>
      </c>
      <c r="O3931" s="3" t="s">
        <v>32</v>
      </c>
      <c r="P3931" t="s">
        <v>32</v>
      </c>
      <c r="Q3931" t="s">
        <v>32</v>
      </c>
      <c r="R3931" t="s">
        <v>32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32</v>
      </c>
      <c r="Y3931" t="s">
        <v>32</v>
      </c>
      <c r="Z3931" t="s">
        <v>32</v>
      </c>
      <c r="AA3931" t="s">
        <v>32</v>
      </c>
      <c r="AB3931" t="s">
        <v>32</v>
      </c>
      <c r="AC3931" t="s">
        <v>32</v>
      </c>
      <c r="AD3931" t="s">
        <v>32</v>
      </c>
      <c r="AE3931" t="s">
        <v>32</v>
      </c>
      <c r="AF3931" t="s">
        <v>46835</v>
      </c>
      <c r="AG3931" t="s">
        <v>47071</v>
      </c>
    </row>
    <row r="3932" spans="1:33" x14ac:dyDescent="0.2">
      <c r="A3932">
        <v>3927</v>
      </c>
      <c r="B3932" t="s">
        <v>43497</v>
      </c>
      <c r="C3932" t="s">
        <v>43498</v>
      </c>
      <c r="D3932" t="s">
        <v>43499</v>
      </c>
      <c r="E3932" t="s">
        <v>43500</v>
      </c>
      <c r="F3932" t="s">
        <v>43501</v>
      </c>
      <c r="G3932" t="s">
        <v>43502</v>
      </c>
      <c r="H3932" t="str">
        <f>"Urb1"</f>
        <v>Urb1</v>
      </c>
      <c r="I3932" t="s">
        <v>43503</v>
      </c>
      <c r="J3932" t="s">
        <v>37</v>
      </c>
      <c r="K3932">
        <v>10090</v>
      </c>
      <c r="L3932" s="3" t="str">
        <f>HYPERLINK("http://www.uniprot.org/uniprot/Q571H0", "Q571H0")</f>
        <v>Q571H0</v>
      </c>
      <c r="M3932" t="s">
        <v>43504</v>
      </c>
      <c r="N3932" t="str">
        <f>"Urb1"</f>
        <v>Urb1</v>
      </c>
      <c r="O3932" s="3" t="str">
        <f>HYPERLINK("http://www.informatics.jax.org/marker/MGI:2146468", "MGI:2146468")</f>
        <v>MGI:2146468</v>
      </c>
      <c r="P3932" t="s">
        <v>23881</v>
      </c>
      <c r="Q3932" t="s">
        <v>32</v>
      </c>
      <c r="R3932" t="s">
        <v>2279</v>
      </c>
      <c r="S3932" t="s">
        <v>41</v>
      </c>
      <c r="T3932" t="s">
        <v>32</v>
      </c>
      <c r="U3932" t="s">
        <v>32</v>
      </c>
      <c r="V3932" t="s">
        <v>32</v>
      </c>
      <c r="W3932" t="s">
        <v>32</v>
      </c>
      <c r="X3932" t="s">
        <v>32</v>
      </c>
      <c r="Y3932" t="s">
        <v>618</v>
      </c>
      <c r="Z3932" t="s">
        <v>32</v>
      </c>
      <c r="AA3932" t="s">
        <v>43505</v>
      </c>
      <c r="AB3932" t="s">
        <v>43506</v>
      </c>
      <c r="AC3932" t="s">
        <v>32</v>
      </c>
      <c r="AD3932" t="s">
        <v>32</v>
      </c>
      <c r="AE3932" t="s">
        <v>32</v>
      </c>
      <c r="AF3932" t="s">
        <v>46835</v>
      </c>
    </row>
    <row r="3933" spans="1:33" x14ac:dyDescent="0.2">
      <c r="A3933">
        <v>3928</v>
      </c>
      <c r="B3933" t="s">
        <v>43507</v>
      </c>
      <c r="C3933" t="s">
        <v>43508</v>
      </c>
      <c r="D3933" t="s">
        <v>32</v>
      </c>
      <c r="E3933" t="s">
        <v>43509</v>
      </c>
      <c r="F3933" t="s">
        <v>43510</v>
      </c>
      <c r="G3933" t="s">
        <v>43511</v>
      </c>
      <c r="H3933" t="str">
        <f>"Ccnd3"</f>
        <v>Ccnd3</v>
      </c>
      <c r="I3933" t="s">
        <v>32</v>
      </c>
      <c r="J3933" t="s">
        <v>37</v>
      </c>
      <c r="K3933">
        <v>10090</v>
      </c>
      <c r="L3933" s="3" t="str">
        <f>HYPERLINK("http://www.uniprot.org/uniprot/P30282", "P30282")</f>
        <v>P30282</v>
      </c>
      <c r="M3933" t="s">
        <v>43512</v>
      </c>
      <c r="N3933" t="str">
        <f>"Ccnd3"</f>
        <v>Ccnd3</v>
      </c>
      <c r="O3933" s="3" t="str">
        <f>HYPERLINK("http://www.informatics.jax.org/marker/MGI:88315", "MGI:88315")</f>
        <v>MGI:88315</v>
      </c>
      <c r="P3933" t="s">
        <v>43513</v>
      </c>
      <c r="Q3933" t="s">
        <v>38646</v>
      </c>
      <c r="R3933" t="s">
        <v>40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5656</v>
      </c>
      <c r="Y3933" t="s">
        <v>2836</v>
      </c>
      <c r="Z3933" t="s">
        <v>32</v>
      </c>
      <c r="AA3933" t="s">
        <v>43514</v>
      </c>
      <c r="AB3933" t="s">
        <v>43515</v>
      </c>
      <c r="AC3933" t="s">
        <v>43516</v>
      </c>
      <c r="AD3933" t="s">
        <v>32</v>
      </c>
      <c r="AE3933" t="s">
        <v>43517</v>
      </c>
      <c r="AF3933" t="s">
        <v>46835</v>
      </c>
    </row>
    <row r="3934" spans="1:33" x14ac:dyDescent="0.2">
      <c r="A3934">
        <v>3929</v>
      </c>
      <c r="B3934" t="s">
        <v>43518</v>
      </c>
      <c r="C3934" t="s">
        <v>43519</v>
      </c>
      <c r="D3934" t="s">
        <v>43520</v>
      </c>
      <c r="E3934" t="s">
        <v>43521</v>
      </c>
      <c r="F3934" t="s">
        <v>43522</v>
      </c>
      <c r="G3934" t="s">
        <v>43523</v>
      </c>
      <c r="H3934" t="str">
        <f>"Ebpl"</f>
        <v>Ebpl</v>
      </c>
      <c r="I3934" t="s">
        <v>43524</v>
      </c>
      <c r="J3934" t="s">
        <v>37</v>
      </c>
      <c r="K3934">
        <v>10090</v>
      </c>
      <c r="L3934" s="3" t="str">
        <f>HYPERLINK("http://www.uniprot.org/uniprot/Q9D0P0", "Q9D0P0")</f>
        <v>Q9D0P0</v>
      </c>
      <c r="M3934" t="s">
        <v>43525</v>
      </c>
      <c r="N3934" t="str">
        <f>"Ebpl"</f>
        <v>Ebpl</v>
      </c>
      <c r="O3934" s="3" t="str">
        <f>HYPERLINK("http://www.informatics.jax.org/marker/MGI:1915427", "MGI:1915427")</f>
        <v>MGI:1915427</v>
      </c>
      <c r="P3934" t="s">
        <v>20637</v>
      </c>
      <c r="Q3934" t="s">
        <v>32</v>
      </c>
      <c r="R3934" t="s">
        <v>1664</v>
      </c>
      <c r="S3934" t="s">
        <v>32</v>
      </c>
      <c r="T3934" t="s">
        <v>32</v>
      </c>
      <c r="U3934" t="s">
        <v>32</v>
      </c>
      <c r="V3934" t="s">
        <v>493</v>
      </c>
      <c r="W3934" t="s">
        <v>32</v>
      </c>
      <c r="X3934" t="s">
        <v>32</v>
      </c>
      <c r="Y3934" t="s">
        <v>32</v>
      </c>
      <c r="Z3934" t="s">
        <v>32</v>
      </c>
      <c r="AA3934" t="s">
        <v>43526</v>
      </c>
      <c r="AB3934" t="s">
        <v>16952</v>
      </c>
      <c r="AC3934" t="s">
        <v>43527</v>
      </c>
      <c r="AD3934" t="s">
        <v>32</v>
      </c>
      <c r="AE3934" t="s">
        <v>32</v>
      </c>
      <c r="AF3934" t="s">
        <v>46835</v>
      </c>
    </row>
    <row r="3935" spans="1:33" x14ac:dyDescent="0.2">
      <c r="A3935">
        <v>3930</v>
      </c>
      <c r="B3935" t="s">
        <v>43528</v>
      </c>
      <c r="C3935" t="s">
        <v>43529</v>
      </c>
      <c r="D3935" t="s">
        <v>43530</v>
      </c>
      <c r="E3935" t="s">
        <v>43531</v>
      </c>
      <c r="F3935" t="s">
        <v>43532</v>
      </c>
      <c r="G3935" t="s">
        <v>43533</v>
      </c>
      <c r="H3935" t="str">
        <f>"Tmco1"</f>
        <v>Tmco1</v>
      </c>
      <c r="I3935" t="s">
        <v>32</v>
      </c>
      <c r="J3935" t="s">
        <v>37</v>
      </c>
      <c r="K3935">
        <v>10090</v>
      </c>
      <c r="L3935" s="3" t="str">
        <f>HYPERLINK("http://www.uniprot.org/uniprot/Q921L3", "Q921L3")</f>
        <v>Q921L3</v>
      </c>
      <c r="M3935" t="s">
        <v>43534</v>
      </c>
      <c r="N3935" t="str">
        <f>"Tmco1"</f>
        <v>Tmco1</v>
      </c>
      <c r="O3935" s="3" t="str">
        <f>HYPERLINK("http://www.informatics.jax.org/marker/MGI:1921173", "MGI:1921173")</f>
        <v>MGI:1921173</v>
      </c>
      <c r="P3935" t="s">
        <v>43535</v>
      </c>
      <c r="Q3935" t="s">
        <v>4052</v>
      </c>
      <c r="R3935" t="s">
        <v>11259</v>
      </c>
      <c r="S3935" t="s">
        <v>32</v>
      </c>
      <c r="T3935" t="s">
        <v>32</v>
      </c>
      <c r="U3935" t="s">
        <v>32</v>
      </c>
      <c r="V3935" t="s">
        <v>6500</v>
      </c>
      <c r="W3935" t="s">
        <v>1380</v>
      </c>
      <c r="X3935" t="s">
        <v>37568</v>
      </c>
      <c r="Y3935" t="s">
        <v>618</v>
      </c>
      <c r="Z3935" t="s">
        <v>32</v>
      </c>
      <c r="AA3935" t="s">
        <v>43536</v>
      </c>
      <c r="AB3935" t="s">
        <v>43537</v>
      </c>
      <c r="AC3935" t="s">
        <v>43538</v>
      </c>
      <c r="AD3935" t="s">
        <v>32</v>
      </c>
      <c r="AE3935" t="s">
        <v>32</v>
      </c>
      <c r="AF3935" t="s">
        <v>46835</v>
      </c>
    </row>
    <row r="3936" spans="1:33" x14ac:dyDescent="0.2">
      <c r="A3936">
        <v>3931</v>
      </c>
      <c r="B3936" t="s">
        <v>43539</v>
      </c>
      <c r="C3936" t="s">
        <v>43540</v>
      </c>
      <c r="D3936" t="s">
        <v>43541</v>
      </c>
      <c r="E3936" t="s">
        <v>43542</v>
      </c>
      <c r="F3936" t="s">
        <v>43543</v>
      </c>
      <c r="G3936" t="s">
        <v>43544</v>
      </c>
      <c r="H3936" t="str">
        <f>"Rictor"</f>
        <v>Rictor</v>
      </c>
      <c r="I3936" t="s">
        <v>32</v>
      </c>
      <c r="J3936" t="s">
        <v>37</v>
      </c>
      <c r="K3936">
        <v>10090</v>
      </c>
      <c r="L3936" s="3" t="str">
        <f>HYPERLINK("http://www.uniprot.org/uniprot/Q6QI06", "Q6QI06")</f>
        <v>Q6QI06</v>
      </c>
      <c r="M3936" t="s">
        <v>43545</v>
      </c>
      <c r="N3936" t="str">
        <f>"Rictor"</f>
        <v>Rictor</v>
      </c>
      <c r="O3936" s="3" t="str">
        <f>HYPERLINK("http://www.informatics.jax.org/marker/MGI:1926007", "MGI:1926007")</f>
        <v>MGI:1926007</v>
      </c>
      <c r="P3936" t="s">
        <v>43546</v>
      </c>
      <c r="Q3936" t="s">
        <v>32</v>
      </c>
      <c r="R3936" t="s">
        <v>32</v>
      </c>
      <c r="S3936" t="s">
        <v>41</v>
      </c>
      <c r="T3936" t="s">
        <v>32</v>
      </c>
      <c r="U3936" t="s">
        <v>32</v>
      </c>
      <c r="V3936" t="s">
        <v>32</v>
      </c>
      <c r="W3936" t="s">
        <v>32</v>
      </c>
      <c r="X3936" t="s">
        <v>2029</v>
      </c>
      <c r="Y3936" t="s">
        <v>1007</v>
      </c>
      <c r="Z3936" t="s">
        <v>32</v>
      </c>
      <c r="AA3936" t="s">
        <v>43547</v>
      </c>
      <c r="AB3936" t="s">
        <v>43548</v>
      </c>
      <c r="AC3936" t="s">
        <v>43549</v>
      </c>
      <c r="AD3936" t="s">
        <v>32</v>
      </c>
      <c r="AE3936" t="s">
        <v>43550</v>
      </c>
      <c r="AF3936" t="s">
        <v>46835</v>
      </c>
    </row>
    <row r="3937" spans="1:33" x14ac:dyDescent="0.2">
      <c r="A3937">
        <v>3932</v>
      </c>
      <c r="B3937" t="s">
        <v>43551</v>
      </c>
      <c r="C3937" t="s">
        <v>47232</v>
      </c>
      <c r="D3937" t="s">
        <v>32</v>
      </c>
      <c r="E3937" t="s">
        <v>47074</v>
      </c>
      <c r="F3937" t="s">
        <v>47073</v>
      </c>
      <c r="G3937" t="s">
        <v>32</v>
      </c>
      <c r="H3937" t="s">
        <v>47365</v>
      </c>
      <c r="I3937" t="s">
        <v>32</v>
      </c>
      <c r="J3937" t="s">
        <v>37</v>
      </c>
      <c r="K3937">
        <v>10090</v>
      </c>
      <c r="L3937" s="3" t="str">
        <f>HYPERLINK(CONCATENATE("https://www.uniprot.org/uniprotkb/", AG3937, "/entry"), AG3937)</f>
        <v>A0A286YCV9</v>
      </c>
      <c r="M3937" t="s">
        <v>32</v>
      </c>
      <c r="N3937" t="s">
        <v>32</v>
      </c>
      <c r="O3937" s="3" t="s">
        <v>32</v>
      </c>
      <c r="P3937" t="s">
        <v>32</v>
      </c>
      <c r="Q3937" t="s">
        <v>32</v>
      </c>
      <c r="R3937" t="s">
        <v>32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32</v>
      </c>
      <c r="Y3937" t="s">
        <v>32</v>
      </c>
      <c r="Z3937" t="s">
        <v>32</v>
      </c>
      <c r="AA3937" t="s">
        <v>32</v>
      </c>
      <c r="AB3937" t="s">
        <v>32</v>
      </c>
      <c r="AC3937" t="s">
        <v>32</v>
      </c>
      <c r="AD3937" t="s">
        <v>32</v>
      </c>
      <c r="AE3937" t="s">
        <v>32</v>
      </c>
      <c r="AF3937" t="s">
        <v>46835</v>
      </c>
      <c r="AG3937" t="s">
        <v>47073</v>
      </c>
    </row>
    <row r="3938" spans="1:33" x14ac:dyDescent="0.2">
      <c r="A3938">
        <v>3933</v>
      </c>
      <c r="B3938" t="s">
        <v>43552</v>
      </c>
      <c r="C3938" t="s">
        <v>43553</v>
      </c>
      <c r="D3938" t="s">
        <v>32</v>
      </c>
      <c r="E3938" t="s">
        <v>43554</v>
      </c>
      <c r="F3938" t="s">
        <v>43555</v>
      </c>
      <c r="G3938" t="s">
        <v>43556</v>
      </c>
      <c r="H3938" t="str">
        <f>"Ints10"</f>
        <v>Ints10</v>
      </c>
      <c r="I3938" t="s">
        <v>32</v>
      </c>
      <c r="J3938" t="s">
        <v>37</v>
      </c>
      <c r="K3938">
        <v>10090</v>
      </c>
      <c r="L3938" s="3" t="str">
        <f>HYPERLINK("http://www.uniprot.org/uniprot/Q8K2A7", "Q8K2A7")</f>
        <v>Q8K2A7</v>
      </c>
      <c r="M3938" t="s">
        <v>43557</v>
      </c>
      <c r="N3938" t="str">
        <f>"Ints10"</f>
        <v>Ints10</v>
      </c>
      <c r="O3938" s="3" t="str">
        <f>HYPERLINK("http://www.informatics.jax.org/marker/MGI:1918135", "MGI:1918135")</f>
        <v>MGI:1918135</v>
      </c>
      <c r="P3938" t="s">
        <v>43558</v>
      </c>
      <c r="Q3938" t="s">
        <v>32</v>
      </c>
      <c r="R3938" t="s">
        <v>2279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32</v>
      </c>
      <c r="Y3938" t="s">
        <v>1007</v>
      </c>
      <c r="Z3938" t="s">
        <v>32</v>
      </c>
      <c r="AA3938" t="s">
        <v>42171</v>
      </c>
      <c r="AB3938" t="s">
        <v>33916</v>
      </c>
      <c r="AC3938" t="s">
        <v>32</v>
      </c>
      <c r="AD3938" t="s">
        <v>32</v>
      </c>
      <c r="AE3938" t="s">
        <v>22679</v>
      </c>
      <c r="AF3938" t="s">
        <v>46835</v>
      </c>
    </row>
    <row r="3939" spans="1:33" x14ac:dyDescent="0.2">
      <c r="A3939">
        <v>3934</v>
      </c>
      <c r="B3939" t="s">
        <v>43559</v>
      </c>
      <c r="C3939" t="s">
        <v>43560</v>
      </c>
      <c r="D3939" t="s">
        <v>32</v>
      </c>
      <c r="E3939" t="s">
        <v>43561</v>
      </c>
      <c r="F3939" t="s">
        <v>43562</v>
      </c>
      <c r="G3939" t="s">
        <v>32</v>
      </c>
      <c r="H3939" t="str">
        <f>"Tssc4"</f>
        <v>Tssc4</v>
      </c>
      <c r="I3939" t="s">
        <v>32</v>
      </c>
      <c r="J3939" t="s">
        <v>37</v>
      </c>
      <c r="K3939">
        <v>10090</v>
      </c>
      <c r="L3939" s="3" t="str">
        <f>HYPERLINK("http://www.uniprot.org/uniprot/Q9JHE7", "Q9JHE7")</f>
        <v>Q9JHE7</v>
      </c>
      <c r="M3939" t="s">
        <v>43563</v>
      </c>
      <c r="N3939" t="str">
        <f>"Tssc4"</f>
        <v>Tssc4</v>
      </c>
      <c r="O3939" s="3" t="str">
        <f>HYPERLINK("http://www.informatics.jax.org/marker/MGI:1861712", "MGI:1861712")</f>
        <v>MGI:1861712</v>
      </c>
      <c r="P3939" t="s">
        <v>41532</v>
      </c>
      <c r="Q3939" t="s">
        <v>32</v>
      </c>
      <c r="R3939" t="s">
        <v>32</v>
      </c>
      <c r="S3939" t="s">
        <v>41</v>
      </c>
      <c r="T3939" t="s">
        <v>32</v>
      </c>
      <c r="U3939" t="s">
        <v>32</v>
      </c>
      <c r="V3939" t="s">
        <v>32</v>
      </c>
      <c r="W3939" t="s">
        <v>32</v>
      </c>
      <c r="X3939" t="s">
        <v>32</v>
      </c>
      <c r="Y3939" t="s">
        <v>157</v>
      </c>
      <c r="Z3939" t="s">
        <v>32</v>
      </c>
      <c r="AA3939" t="s">
        <v>32</v>
      </c>
      <c r="AB3939" t="s">
        <v>32</v>
      </c>
      <c r="AC3939" t="s">
        <v>32</v>
      </c>
      <c r="AD3939" t="s">
        <v>32</v>
      </c>
      <c r="AE3939" t="s">
        <v>32</v>
      </c>
      <c r="AF3939" t="s">
        <v>46835</v>
      </c>
    </row>
    <row r="3940" spans="1:33" x14ac:dyDescent="0.2">
      <c r="A3940">
        <v>3935</v>
      </c>
      <c r="B3940" t="s">
        <v>43564</v>
      </c>
      <c r="C3940" t="s">
        <v>43565</v>
      </c>
      <c r="D3940" t="s">
        <v>32</v>
      </c>
      <c r="E3940" t="s">
        <v>43566</v>
      </c>
      <c r="F3940" t="s">
        <v>43567</v>
      </c>
      <c r="G3940" t="s">
        <v>32</v>
      </c>
      <c r="H3940" t="str">
        <f>"Fxn"</f>
        <v>Fxn</v>
      </c>
      <c r="I3940" t="s">
        <v>43568</v>
      </c>
      <c r="J3940" t="s">
        <v>37</v>
      </c>
      <c r="K3940">
        <v>10090</v>
      </c>
      <c r="L3940" s="3" t="str">
        <f>HYPERLINK("http://www.uniprot.org/uniprot/O35943", "O35943")</f>
        <v>O35943</v>
      </c>
      <c r="M3940" t="s">
        <v>43569</v>
      </c>
      <c r="N3940" t="str">
        <f>"Fxn"</f>
        <v>Fxn</v>
      </c>
      <c r="O3940" s="3" t="str">
        <f>HYPERLINK("http://www.informatics.jax.org/marker/MGI:1096879", "MGI:1096879")</f>
        <v>MGI:1096879</v>
      </c>
      <c r="P3940" t="s">
        <v>43570</v>
      </c>
      <c r="Q3940" t="s">
        <v>43571</v>
      </c>
      <c r="R3940" t="s">
        <v>1842</v>
      </c>
      <c r="S3940" t="s">
        <v>32</v>
      </c>
      <c r="T3940" t="s">
        <v>32</v>
      </c>
      <c r="U3940" t="s">
        <v>32</v>
      </c>
      <c r="V3940" t="s">
        <v>1039</v>
      </c>
      <c r="W3940" t="s">
        <v>845</v>
      </c>
      <c r="X3940" t="s">
        <v>600</v>
      </c>
      <c r="Y3940" t="s">
        <v>32</v>
      </c>
      <c r="Z3940" t="s">
        <v>32</v>
      </c>
      <c r="AA3940" t="s">
        <v>43572</v>
      </c>
      <c r="AB3940" t="s">
        <v>43573</v>
      </c>
      <c r="AC3940" t="s">
        <v>43574</v>
      </c>
      <c r="AD3940" t="s">
        <v>32</v>
      </c>
      <c r="AE3940" t="s">
        <v>43575</v>
      </c>
      <c r="AF3940" t="s">
        <v>46835</v>
      </c>
    </row>
    <row r="3941" spans="1:33" x14ac:dyDescent="0.2">
      <c r="A3941">
        <v>3936</v>
      </c>
      <c r="B3941" t="s">
        <v>43576</v>
      </c>
      <c r="C3941" t="s">
        <v>43577</v>
      </c>
      <c r="D3941" t="s">
        <v>43578</v>
      </c>
      <c r="E3941" t="s">
        <v>43579</v>
      </c>
      <c r="F3941" t="s">
        <v>43580</v>
      </c>
      <c r="G3941" t="s">
        <v>43581</v>
      </c>
      <c r="H3941" t="str">
        <f>"Raf1"</f>
        <v>Raf1</v>
      </c>
      <c r="I3941" t="s">
        <v>43582</v>
      </c>
      <c r="J3941" t="s">
        <v>37</v>
      </c>
      <c r="K3941">
        <v>10090</v>
      </c>
      <c r="L3941" s="3" t="str">
        <f>HYPERLINK("http://www.uniprot.org/uniprot/Q99N57", "Q99N57")</f>
        <v>Q99N57</v>
      </c>
      <c r="M3941" t="s">
        <v>43583</v>
      </c>
      <c r="N3941" t="str">
        <f>"Raf1"</f>
        <v>Raf1</v>
      </c>
      <c r="O3941" s="3" t="str">
        <f>HYPERLINK("http://www.informatics.jax.org/marker/MGI:97847", "MGI:97847")</f>
        <v>MGI:97847</v>
      </c>
      <c r="P3941" t="s">
        <v>43584</v>
      </c>
      <c r="Q3941" t="s">
        <v>32</v>
      </c>
      <c r="R3941" t="s">
        <v>859</v>
      </c>
      <c r="S3941" t="s">
        <v>41</v>
      </c>
      <c r="T3941" t="s">
        <v>32</v>
      </c>
      <c r="U3941" t="s">
        <v>4682</v>
      </c>
      <c r="V3941" t="s">
        <v>446</v>
      </c>
      <c r="W3941" t="s">
        <v>2325</v>
      </c>
      <c r="X3941" t="s">
        <v>5419</v>
      </c>
      <c r="Y3941" t="s">
        <v>2734</v>
      </c>
      <c r="Z3941" t="s">
        <v>32</v>
      </c>
      <c r="AA3941" t="s">
        <v>43585</v>
      </c>
      <c r="AB3941" t="s">
        <v>43586</v>
      </c>
      <c r="AC3941" t="s">
        <v>43587</v>
      </c>
      <c r="AD3941" t="s">
        <v>32</v>
      </c>
      <c r="AE3941" t="s">
        <v>43588</v>
      </c>
      <c r="AF3941" t="s">
        <v>46835</v>
      </c>
    </row>
    <row r="3942" spans="1:33" x14ac:dyDescent="0.2">
      <c r="A3942">
        <v>3937</v>
      </c>
      <c r="B3942" t="s">
        <v>43589</v>
      </c>
      <c r="C3942" t="s">
        <v>43590</v>
      </c>
      <c r="D3942" t="s">
        <v>43591</v>
      </c>
      <c r="E3942" t="s">
        <v>43592</v>
      </c>
      <c r="F3942" t="s">
        <v>43593</v>
      </c>
      <c r="G3942" t="s">
        <v>43594</v>
      </c>
      <c r="H3942" t="str">
        <f>"Rogdi"</f>
        <v>Rogdi</v>
      </c>
      <c r="I3942" t="s">
        <v>43595</v>
      </c>
      <c r="J3942" t="s">
        <v>37</v>
      </c>
      <c r="K3942">
        <v>10090</v>
      </c>
      <c r="L3942" s="3" t="str">
        <f>HYPERLINK("http://www.uniprot.org/uniprot/Q3TDK6", "Q3TDK6")</f>
        <v>Q3TDK6</v>
      </c>
      <c r="M3942" t="s">
        <v>43596</v>
      </c>
      <c r="N3942" t="str">
        <f>"Rogdi"</f>
        <v>Rogdi</v>
      </c>
      <c r="O3942" s="3" t="str">
        <f>HYPERLINK("http://www.informatics.jax.org/marker/MGI:1913299", "MGI:1913299")</f>
        <v>MGI:1913299</v>
      </c>
      <c r="P3942" t="s">
        <v>43597</v>
      </c>
      <c r="Q3942" t="s">
        <v>32</v>
      </c>
      <c r="R3942" t="s">
        <v>43598</v>
      </c>
      <c r="S3942" t="s">
        <v>41</v>
      </c>
      <c r="T3942" t="s">
        <v>32</v>
      </c>
      <c r="U3942" t="s">
        <v>32</v>
      </c>
      <c r="V3942" t="s">
        <v>32</v>
      </c>
      <c r="W3942" t="s">
        <v>32</v>
      </c>
      <c r="X3942" t="s">
        <v>32</v>
      </c>
      <c r="Y3942" t="s">
        <v>78</v>
      </c>
      <c r="Z3942" t="s">
        <v>32</v>
      </c>
      <c r="AA3942" t="s">
        <v>43599</v>
      </c>
      <c r="AB3942" t="s">
        <v>43600</v>
      </c>
      <c r="AC3942" t="s">
        <v>32</v>
      </c>
      <c r="AD3942" t="s">
        <v>32</v>
      </c>
      <c r="AE3942" t="s">
        <v>32</v>
      </c>
      <c r="AF3942" t="s">
        <v>46835</v>
      </c>
    </row>
    <row r="3943" spans="1:33" x14ac:dyDescent="0.2">
      <c r="A3943">
        <v>3938</v>
      </c>
      <c r="B3943" t="s">
        <v>43601</v>
      </c>
      <c r="C3943" t="s">
        <v>43602</v>
      </c>
      <c r="D3943" t="s">
        <v>43603</v>
      </c>
      <c r="E3943" t="s">
        <v>43604</v>
      </c>
      <c r="F3943" t="s">
        <v>43605</v>
      </c>
      <c r="G3943" t="s">
        <v>43606</v>
      </c>
      <c r="H3943" t="str">
        <f>"Src"</f>
        <v>Src</v>
      </c>
      <c r="I3943" t="s">
        <v>32</v>
      </c>
      <c r="J3943" t="s">
        <v>37</v>
      </c>
      <c r="K3943">
        <v>10090</v>
      </c>
      <c r="L3943" s="3" t="str">
        <f>HYPERLINK("http://www.uniprot.org/uniprot/P05480", "P05480")</f>
        <v>P05480</v>
      </c>
      <c r="M3943" t="s">
        <v>43607</v>
      </c>
      <c r="N3943" t="str">
        <f>"Src"</f>
        <v>Src</v>
      </c>
      <c r="O3943" s="3" t="str">
        <f>HYPERLINK("http://www.informatics.jax.org/marker/MGI:98397", "MGI:98397")</f>
        <v>MGI:98397</v>
      </c>
      <c r="P3943" t="s">
        <v>43608</v>
      </c>
      <c r="Q3943" t="s">
        <v>43609</v>
      </c>
      <c r="R3943" t="s">
        <v>43610</v>
      </c>
      <c r="S3943" t="s">
        <v>41</v>
      </c>
      <c r="T3943" t="s">
        <v>32</v>
      </c>
      <c r="U3943" t="s">
        <v>4682</v>
      </c>
      <c r="V3943" t="s">
        <v>16802</v>
      </c>
      <c r="W3943" t="s">
        <v>205</v>
      </c>
      <c r="X3943" t="s">
        <v>16803</v>
      </c>
      <c r="Y3943" t="s">
        <v>18362</v>
      </c>
      <c r="Z3943" t="s">
        <v>126</v>
      </c>
      <c r="AA3943" t="s">
        <v>43611</v>
      </c>
      <c r="AB3943" t="s">
        <v>43612</v>
      </c>
      <c r="AC3943" t="s">
        <v>43613</v>
      </c>
      <c r="AD3943" t="s">
        <v>32</v>
      </c>
      <c r="AE3943" t="s">
        <v>43614</v>
      </c>
      <c r="AF3943" t="s">
        <v>46835</v>
      </c>
    </row>
    <row r="3944" spans="1:33" x14ac:dyDescent="0.2">
      <c r="A3944">
        <v>3939</v>
      </c>
      <c r="B3944" t="s">
        <v>43615</v>
      </c>
      <c r="C3944" t="s">
        <v>43616</v>
      </c>
      <c r="D3944" t="s">
        <v>43617</v>
      </c>
      <c r="E3944" t="s">
        <v>43618</v>
      </c>
      <c r="F3944" t="s">
        <v>43619</v>
      </c>
      <c r="G3944" t="s">
        <v>43620</v>
      </c>
      <c r="H3944" t="str">
        <f>"Map2k3"</f>
        <v>Map2k3</v>
      </c>
      <c r="I3944" t="s">
        <v>43621</v>
      </c>
      <c r="J3944" t="s">
        <v>37</v>
      </c>
      <c r="K3944">
        <v>10090</v>
      </c>
      <c r="L3944" s="3" t="str">
        <f>HYPERLINK("http://www.uniprot.org/uniprot/O09110", "O09110")</f>
        <v>O09110</v>
      </c>
      <c r="M3944" t="s">
        <v>43622</v>
      </c>
      <c r="N3944" t="str">
        <f>"Map2k3"</f>
        <v>Map2k3</v>
      </c>
      <c r="O3944" s="3" t="str">
        <f>HYPERLINK("http://www.informatics.jax.org/marker/MGI:1346868", "MGI:1346868")</f>
        <v>MGI:1346868</v>
      </c>
      <c r="P3944" t="s">
        <v>43623</v>
      </c>
      <c r="Q3944" t="s">
        <v>32</v>
      </c>
      <c r="R3944" t="s">
        <v>32</v>
      </c>
      <c r="S3944" t="s">
        <v>41</v>
      </c>
      <c r="T3944" t="s">
        <v>32</v>
      </c>
      <c r="U3944" t="s">
        <v>32</v>
      </c>
      <c r="V3944" t="s">
        <v>32</v>
      </c>
      <c r="W3944" t="s">
        <v>205</v>
      </c>
      <c r="X3944" t="s">
        <v>16915</v>
      </c>
      <c r="Y3944" t="s">
        <v>157</v>
      </c>
      <c r="Z3944" t="s">
        <v>126</v>
      </c>
      <c r="AA3944" t="s">
        <v>43624</v>
      </c>
      <c r="AB3944" t="s">
        <v>1268</v>
      </c>
      <c r="AC3944" t="s">
        <v>43625</v>
      </c>
      <c r="AD3944" t="s">
        <v>32</v>
      </c>
      <c r="AE3944" t="s">
        <v>43626</v>
      </c>
      <c r="AF3944" t="s">
        <v>46835</v>
      </c>
    </row>
    <row r="3945" spans="1:33" x14ac:dyDescent="0.2">
      <c r="A3945">
        <v>3940</v>
      </c>
      <c r="B3945" t="s">
        <v>43627</v>
      </c>
      <c r="C3945" t="s">
        <v>43628</v>
      </c>
      <c r="D3945" t="s">
        <v>43629</v>
      </c>
      <c r="E3945" t="s">
        <v>43630</v>
      </c>
      <c r="F3945" t="s">
        <v>43631</v>
      </c>
      <c r="G3945" t="s">
        <v>43632</v>
      </c>
      <c r="H3945" t="str">
        <f>"Fam126a"</f>
        <v>Fam126a</v>
      </c>
      <c r="I3945" t="s">
        <v>43633</v>
      </c>
      <c r="J3945" t="s">
        <v>37</v>
      </c>
      <c r="K3945">
        <v>10090</v>
      </c>
      <c r="L3945" s="3" t="str">
        <f>HYPERLINK("http://www.uniprot.org/uniprot/Q6P9N1", "Q6P9N1")</f>
        <v>Q6P9N1</v>
      </c>
      <c r="M3945" t="s">
        <v>43634</v>
      </c>
      <c r="N3945" t="str">
        <f>"Fam126a"</f>
        <v>Fam126a</v>
      </c>
      <c r="O3945" s="3" t="str">
        <f>HYPERLINK("http://www.informatics.jax.org/marker/MGI:2149839", "MGI:2149839")</f>
        <v>MGI:2149839</v>
      </c>
      <c r="P3945" t="s">
        <v>43635</v>
      </c>
      <c r="Q3945" t="s">
        <v>32</v>
      </c>
      <c r="R3945" t="s">
        <v>222</v>
      </c>
      <c r="S3945" t="s">
        <v>41</v>
      </c>
      <c r="T3945" t="s">
        <v>32</v>
      </c>
      <c r="U3945" t="s">
        <v>32</v>
      </c>
      <c r="V3945" t="s">
        <v>32</v>
      </c>
      <c r="W3945" t="s">
        <v>32</v>
      </c>
      <c r="X3945" t="s">
        <v>32</v>
      </c>
      <c r="Y3945" t="s">
        <v>618</v>
      </c>
      <c r="Z3945" t="s">
        <v>32</v>
      </c>
      <c r="AA3945" t="s">
        <v>43636</v>
      </c>
      <c r="AB3945" t="s">
        <v>43637</v>
      </c>
      <c r="AC3945" t="s">
        <v>32</v>
      </c>
      <c r="AD3945" t="s">
        <v>32</v>
      </c>
      <c r="AE3945" t="s">
        <v>32</v>
      </c>
      <c r="AF3945" t="s">
        <v>46835</v>
      </c>
    </row>
    <row r="3946" spans="1:33" x14ac:dyDescent="0.2">
      <c r="A3946">
        <v>3941</v>
      </c>
      <c r="B3946" t="s">
        <v>43638</v>
      </c>
      <c r="C3946" t="s">
        <v>47132</v>
      </c>
      <c r="D3946" t="s">
        <v>32</v>
      </c>
      <c r="E3946" t="s">
        <v>47076</v>
      </c>
      <c r="F3946" t="s">
        <v>47075</v>
      </c>
      <c r="G3946" t="s">
        <v>32</v>
      </c>
      <c r="H3946" t="s">
        <v>47263</v>
      </c>
      <c r="I3946" t="s">
        <v>32</v>
      </c>
      <c r="J3946" t="s">
        <v>37</v>
      </c>
      <c r="K3946">
        <v>10090</v>
      </c>
      <c r="L3946" s="3" t="str">
        <f>HYPERLINK(CONCATENATE("https://www.uniprot.org/uniprotkb/", AG3946, "/entry"), AG3946)</f>
        <v>Q8K0U4</v>
      </c>
      <c r="M3946" t="s">
        <v>32</v>
      </c>
      <c r="N3946" t="s">
        <v>32</v>
      </c>
      <c r="O3946" s="3" t="s">
        <v>32</v>
      </c>
      <c r="P3946" t="s">
        <v>32</v>
      </c>
      <c r="Q3946" t="s">
        <v>32</v>
      </c>
      <c r="R3946" t="s">
        <v>32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32</v>
      </c>
      <c r="Y3946" t="s">
        <v>32</v>
      </c>
      <c r="Z3946" t="s">
        <v>32</v>
      </c>
      <c r="AA3946" t="s">
        <v>32</v>
      </c>
      <c r="AB3946" t="s">
        <v>32</v>
      </c>
      <c r="AC3946" t="s">
        <v>32</v>
      </c>
      <c r="AD3946" t="s">
        <v>32</v>
      </c>
      <c r="AE3946" t="s">
        <v>32</v>
      </c>
      <c r="AF3946" t="s">
        <v>46835</v>
      </c>
      <c r="AG3946" t="s">
        <v>47075</v>
      </c>
    </row>
    <row r="3947" spans="1:33" x14ac:dyDescent="0.2">
      <c r="A3947">
        <v>3942</v>
      </c>
      <c r="B3947" t="s">
        <v>43639</v>
      </c>
      <c r="C3947" t="s">
        <v>43640</v>
      </c>
      <c r="D3947" t="s">
        <v>43641</v>
      </c>
      <c r="E3947" t="s">
        <v>43642</v>
      </c>
      <c r="F3947" t="s">
        <v>43643</v>
      </c>
      <c r="G3947" t="s">
        <v>43644</v>
      </c>
      <c r="H3947" t="str">
        <f>"Rtf2"</f>
        <v>Rtf2</v>
      </c>
      <c r="I3947" t="s">
        <v>43645</v>
      </c>
      <c r="J3947" t="s">
        <v>37</v>
      </c>
      <c r="K3947">
        <v>10090</v>
      </c>
      <c r="L3947" s="3" t="str">
        <f>HYPERLINK("http://www.uniprot.org/uniprot/Q99K95", "Q99K95")</f>
        <v>Q99K95</v>
      </c>
      <c r="M3947" t="s">
        <v>43646</v>
      </c>
      <c r="N3947" t="str">
        <f>"Rtf2"</f>
        <v>Rtf2</v>
      </c>
      <c r="O3947" s="3" t="str">
        <f>HYPERLINK("http://www.informatics.jax.org/marker/MGI:1913654", "MGI:1913654")</f>
        <v>MGI:1913654</v>
      </c>
      <c r="P3947" t="s">
        <v>43647</v>
      </c>
      <c r="Q3947" t="s">
        <v>32</v>
      </c>
      <c r="R3947" t="s">
        <v>18622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32</v>
      </c>
      <c r="Y3947" t="s">
        <v>618</v>
      </c>
      <c r="Z3947" t="s">
        <v>32</v>
      </c>
      <c r="AA3947" t="s">
        <v>43648</v>
      </c>
      <c r="AB3947" t="s">
        <v>43649</v>
      </c>
      <c r="AC3947" t="s">
        <v>13572</v>
      </c>
      <c r="AD3947" t="s">
        <v>32</v>
      </c>
      <c r="AE3947" t="s">
        <v>32</v>
      </c>
      <c r="AF3947" t="s">
        <v>46835</v>
      </c>
    </row>
    <row r="3948" spans="1:33" x14ac:dyDescent="0.2">
      <c r="A3948">
        <v>3943</v>
      </c>
      <c r="B3948" t="s">
        <v>43650</v>
      </c>
      <c r="C3948" t="s">
        <v>43651</v>
      </c>
      <c r="D3948" t="s">
        <v>43652</v>
      </c>
      <c r="E3948" t="s">
        <v>43653</v>
      </c>
      <c r="F3948" t="s">
        <v>43654</v>
      </c>
      <c r="G3948" t="s">
        <v>43655</v>
      </c>
      <c r="H3948" t="str">
        <f>"Yipf6"</f>
        <v>Yipf6</v>
      </c>
      <c r="I3948" t="s">
        <v>32</v>
      </c>
      <c r="J3948" t="s">
        <v>37</v>
      </c>
      <c r="K3948">
        <v>10090</v>
      </c>
      <c r="L3948" s="3" t="str">
        <f>HYPERLINK("http://www.uniprot.org/uniprot/Q8BR70", "Q8BR70")</f>
        <v>Q8BR70</v>
      </c>
      <c r="M3948" t="s">
        <v>43656</v>
      </c>
      <c r="N3948" t="str">
        <f>"Yipf6"</f>
        <v>Yipf6</v>
      </c>
      <c r="O3948" s="3" t="str">
        <f>HYPERLINK("http://www.informatics.jax.org/marker/MGI:1925179", "MGI:1925179")</f>
        <v>MGI:1925179</v>
      </c>
      <c r="P3948" t="s">
        <v>39909</v>
      </c>
      <c r="Q3948" t="s">
        <v>32</v>
      </c>
      <c r="R3948" t="s">
        <v>13904</v>
      </c>
      <c r="S3948" t="s">
        <v>32</v>
      </c>
      <c r="T3948" t="s">
        <v>32</v>
      </c>
      <c r="U3948" t="s">
        <v>32</v>
      </c>
      <c r="V3948" t="s">
        <v>493</v>
      </c>
      <c r="W3948" t="s">
        <v>32</v>
      </c>
      <c r="X3948" t="s">
        <v>32</v>
      </c>
      <c r="Y3948" t="s">
        <v>157</v>
      </c>
      <c r="Z3948" t="s">
        <v>32</v>
      </c>
      <c r="AA3948" t="s">
        <v>43657</v>
      </c>
      <c r="AB3948" t="s">
        <v>43658</v>
      </c>
      <c r="AC3948" t="s">
        <v>4516</v>
      </c>
      <c r="AD3948" t="s">
        <v>32</v>
      </c>
      <c r="AE3948" t="s">
        <v>10968</v>
      </c>
      <c r="AF3948" t="s">
        <v>46835</v>
      </c>
    </row>
    <row r="3949" spans="1:33" x14ac:dyDescent="0.2">
      <c r="A3949">
        <v>3944</v>
      </c>
      <c r="B3949" t="s">
        <v>43659</v>
      </c>
      <c r="C3949" t="s">
        <v>43660</v>
      </c>
      <c r="D3949" t="s">
        <v>32</v>
      </c>
      <c r="E3949" t="s">
        <v>43661</v>
      </c>
      <c r="F3949" t="s">
        <v>43662</v>
      </c>
      <c r="G3949" t="s">
        <v>43663</v>
      </c>
      <c r="H3949" t="str">
        <f>"Ehbp1"</f>
        <v>Ehbp1</v>
      </c>
      <c r="I3949" t="s">
        <v>43664</v>
      </c>
      <c r="J3949" t="s">
        <v>37</v>
      </c>
      <c r="K3949">
        <v>10090</v>
      </c>
      <c r="L3949" s="3" t="str">
        <f>HYPERLINK("http://www.uniprot.org/uniprot/Q69ZW3", "Q69ZW3")</f>
        <v>Q69ZW3</v>
      </c>
      <c r="M3949" t="s">
        <v>43665</v>
      </c>
      <c r="N3949" t="str">
        <f>"Ehbp1"</f>
        <v>Ehbp1</v>
      </c>
      <c r="O3949" s="3" t="str">
        <f>HYPERLINK("http://www.informatics.jax.org/marker/MGI:2667252", "MGI:2667252")</f>
        <v>MGI:2667252</v>
      </c>
      <c r="P3949" t="s">
        <v>43666</v>
      </c>
      <c r="Q3949" t="s">
        <v>910</v>
      </c>
      <c r="R3949" t="s">
        <v>6558</v>
      </c>
      <c r="S3949" t="s">
        <v>41</v>
      </c>
      <c r="T3949" t="s">
        <v>32</v>
      </c>
      <c r="U3949" t="s">
        <v>32</v>
      </c>
      <c r="V3949" t="s">
        <v>290</v>
      </c>
      <c r="W3949" t="s">
        <v>32</v>
      </c>
      <c r="X3949" t="s">
        <v>32</v>
      </c>
      <c r="Y3949" t="s">
        <v>17897</v>
      </c>
      <c r="Z3949" t="s">
        <v>32</v>
      </c>
      <c r="AA3949" t="s">
        <v>43667</v>
      </c>
      <c r="AB3949" t="s">
        <v>43668</v>
      </c>
      <c r="AC3949" t="s">
        <v>32</v>
      </c>
      <c r="AD3949" t="s">
        <v>32</v>
      </c>
      <c r="AE3949" t="s">
        <v>32</v>
      </c>
      <c r="AF3949" t="s">
        <v>46835</v>
      </c>
    </row>
    <row r="3950" spans="1:33" x14ac:dyDescent="0.2">
      <c r="A3950">
        <v>3945</v>
      </c>
      <c r="B3950" t="s">
        <v>43669</v>
      </c>
      <c r="C3950" t="s">
        <v>43670</v>
      </c>
      <c r="D3950" t="s">
        <v>43671</v>
      </c>
      <c r="E3950" t="s">
        <v>43672</v>
      </c>
      <c r="F3950" t="s">
        <v>43673</v>
      </c>
      <c r="G3950" t="s">
        <v>43674</v>
      </c>
      <c r="H3950" t="str">
        <f>"Med6"</f>
        <v>Med6</v>
      </c>
      <c r="I3950" t="s">
        <v>32</v>
      </c>
      <c r="J3950" t="s">
        <v>37</v>
      </c>
      <c r="K3950">
        <v>10090</v>
      </c>
      <c r="L3950" s="3" t="str">
        <f>HYPERLINK("http://www.uniprot.org/uniprot/Q921D4", "Q921D4")</f>
        <v>Q921D4</v>
      </c>
      <c r="M3950" t="s">
        <v>43675</v>
      </c>
      <c r="N3950" t="str">
        <f>"Med6"</f>
        <v>Med6</v>
      </c>
      <c r="O3950" s="3" t="str">
        <f>HYPERLINK("http://www.informatics.jax.org/marker/MGI:1917042", "MGI:1917042")</f>
        <v>MGI:1917042</v>
      </c>
      <c r="P3950" t="s">
        <v>43676</v>
      </c>
      <c r="Q3950" t="s">
        <v>4152</v>
      </c>
      <c r="R3950" t="s">
        <v>2279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2602</v>
      </c>
      <c r="Y3950" t="s">
        <v>461</v>
      </c>
      <c r="Z3950" t="s">
        <v>126</v>
      </c>
      <c r="AA3950" t="s">
        <v>43677</v>
      </c>
      <c r="AB3950" t="s">
        <v>42907</v>
      </c>
      <c r="AC3950" t="s">
        <v>43678</v>
      </c>
      <c r="AD3950" t="s">
        <v>32</v>
      </c>
      <c r="AE3950" t="s">
        <v>32</v>
      </c>
      <c r="AF3950" t="s">
        <v>46835</v>
      </c>
    </row>
    <row r="3951" spans="1:33" x14ac:dyDescent="0.2">
      <c r="A3951">
        <v>3946</v>
      </c>
      <c r="B3951" t="s">
        <v>43679</v>
      </c>
      <c r="C3951" t="s">
        <v>43680</v>
      </c>
      <c r="D3951" t="s">
        <v>43681</v>
      </c>
      <c r="E3951" t="s">
        <v>43682</v>
      </c>
      <c r="F3951" t="s">
        <v>43683</v>
      </c>
      <c r="G3951" t="s">
        <v>32</v>
      </c>
      <c r="H3951" t="str">
        <f>"Sema5a"</f>
        <v>Sema5a</v>
      </c>
      <c r="I3951" t="s">
        <v>43684</v>
      </c>
      <c r="J3951" t="s">
        <v>37</v>
      </c>
      <c r="K3951">
        <v>10090</v>
      </c>
      <c r="L3951" s="3" t="str">
        <f>HYPERLINK("http://www.uniprot.org/uniprot/Q62217", "Q62217")</f>
        <v>Q62217</v>
      </c>
      <c r="M3951" t="s">
        <v>43685</v>
      </c>
      <c r="N3951" t="str">
        <f>"Sema5a"</f>
        <v>Sema5a</v>
      </c>
      <c r="O3951" s="3" t="str">
        <f>HYPERLINK("http://www.informatics.jax.org/marker/MGI:107556", "MGI:107556")</f>
        <v>MGI:107556</v>
      </c>
      <c r="P3951" t="s">
        <v>43686</v>
      </c>
      <c r="Q3951" t="s">
        <v>2027</v>
      </c>
      <c r="R3951" t="s">
        <v>5989</v>
      </c>
      <c r="S3951" t="s">
        <v>32</v>
      </c>
      <c r="T3951" t="s">
        <v>32</v>
      </c>
      <c r="U3951" t="s">
        <v>32</v>
      </c>
      <c r="V3951" t="s">
        <v>1665</v>
      </c>
      <c r="W3951" t="s">
        <v>32</v>
      </c>
      <c r="X3951" t="s">
        <v>2029</v>
      </c>
      <c r="Y3951" t="s">
        <v>5275</v>
      </c>
      <c r="Z3951" t="s">
        <v>32</v>
      </c>
      <c r="AA3951" t="s">
        <v>43687</v>
      </c>
      <c r="AB3951" t="s">
        <v>22153</v>
      </c>
      <c r="AC3951" t="s">
        <v>43688</v>
      </c>
      <c r="AD3951" t="s">
        <v>32</v>
      </c>
      <c r="AE3951" t="s">
        <v>43689</v>
      </c>
      <c r="AF3951" t="s">
        <v>46835</v>
      </c>
    </row>
    <row r="3952" spans="1:33" x14ac:dyDescent="0.2">
      <c r="A3952">
        <v>3947</v>
      </c>
      <c r="B3952" t="s">
        <v>43690</v>
      </c>
      <c r="C3952" t="s">
        <v>43691</v>
      </c>
      <c r="D3952" t="s">
        <v>43692</v>
      </c>
      <c r="E3952" t="s">
        <v>43693</v>
      </c>
      <c r="F3952" t="s">
        <v>43694</v>
      </c>
      <c r="G3952" t="s">
        <v>43695</v>
      </c>
      <c r="H3952" t="str">
        <f>"Flnc"</f>
        <v>Flnc</v>
      </c>
      <c r="I3952" t="s">
        <v>43696</v>
      </c>
      <c r="J3952" t="s">
        <v>37</v>
      </c>
      <c r="K3952">
        <v>10090</v>
      </c>
      <c r="L3952" s="3" t="str">
        <f>HYPERLINK("http://www.uniprot.org/uniprot/Q8VHX6", "Q8VHX6")</f>
        <v>Q8VHX6</v>
      </c>
      <c r="M3952" t="s">
        <v>43697</v>
      </c>
      <c r="N3952" t="str">
        <f>"Flnc"</f>
        <v>Flnc</v>
      </c>
      <c r="O3952" s="3" t="str">
        <f>HYPERLINK("http://www.informatics.jax.org/marker/MGI:95557", "MGI:95557")</f>
        <v>MGI:95557</v>
      </c>
      <c r="P3952" t="s">
        <v>43698</v>
      </c>
      <c r="Q3952" t="s">
        <v>32</v>
      </c>
      <c r="R3952" t="s">
        <v>2028</v>
      </c>
      <c r="S3952" t="s">
        <v>41</v>
      </c>
      <c r="T3952" t="s">
        <v>32</v>
      </c>
      <c r="U3952" t="s">
        <v>32</v>
      </c>
      <c r="V3952" t="s">
        <v>55</v>
      </c>
      <c r="W3952" t="s">
        <v>32</v>
      </c>
      <c r="X3952" t="s">
        <v>405</v>
      </c>
      <c r="Y3952" t="s">
        <v>18842</v>
      </c>
      <c r="Z3952" t="s">
        <v>32</v>
      </c>
      <c r="AA3952" t="s">
        <v>43699</v>
      </c>
      <c r="AB3952" t="s">
        <v>43700</v>
      </c>
      <c r="AC3952" t="s">
        <v>43701</v>
      </c>
      <c r="AD3952" t="s">
        <v>32</v>
      </c>
      <c r="AE3952" t="s">
        <v>43702</v>
      </c>
      <c r="AF3952" t="s">
        <v>46835</v>
      </c>
    </row>
    <row r="3953" spans="1:33" x14ac:dyDescent="0.2">
      <c r="A3953">
        <v>3948</v>
      </c>
      <c r="B3953" t="s">
        <v>43703</v>
      </c>
      <c r="C3953" t="s">
        <v>43704</v>
      </c>
      <c r="D3953" t="s">
        <v>43705</v>
      </c>
      <c r="E3953" t="s">
        <v>43706</v>
      </c>
      <c r="F3953" t="s">
        <v>43707</v>
      </c>
      <c r="G3953" t="s">
        <v>43708</v>
      </c>
      <c r="H3953" t="str">
        <f>"Sptlc1"</f>
        <v>Sptlc1</v>
      </c>
      <c r="I3953" t="s">
        <v>43709</v>
      </c>
      <c r="J3953" t="s">
        <v>37</v>
      </c>
      <c r="K3953">
        <v>10090</v>
      </c>
      <c r="L3953" s="3" t="str">
        <f>HYPERLINK("http://www.uniprot.org/uniprot/O35704", "O35704")</f>
        <v>O35704</v>
      </c>
      <c r="M3953" t="s">
        <v>43710</v>
      </c>
      <c r="N3953" t="str">
        <f>"Sptlc1"</f>
        <v>Sptlc1</v>
      </c>
      <c r="O3953" s="3" t="str">
        <f>HYPERLINK("http://www.informatics.jax.org/marker/MGI:1099431", "MGI:1099431")</f>
        <v>MGI:1099431</v>
      </c>
      <c r="P3953" t="s">
        <v>43711</v>
      </c>
      <c r="Q3953" t="s">
        <v>23187</v>
      </c>
      <c r="R3953" t="s">
        <v>1664</v>
      </c>
      <c r="S3953" t="s">
        <v>32</v>
      </c>
      <c r="T3953" t="s">
        <v>32</v>
      </c>
      <c r="U3953" t="s">
        <v>32</v>
      </c>
      <c r="V3953" t="s">
        <v>493</v>
      </c>
      <c r="W3953" t="s">
        <v>3373</v>
      </c>
      <c r="X3953" t="s">
        <v>7304</v>
      </c>
      <c r="Y3953" t="s">
        <v>618</v>
      </c>
      <c r="Z3953" t="s">
        <v>32</v>
      </c>
      <c r="AA3953" t="s">
        <v>43712</v>
      </c>
      <c r="AB3953" t="s">
        <v>43713</v>
      </c>
      <c r="AC3953" t="s">
        <v>41064</v>
      </c>
      <c r="AD3953" t="s">
        <v>9930</v>
      </c>
      <c r="AE3953" t="s">
        <v>31956</v>
      </c>
      <c r="AF3953" t="s">
        <v>46835</v>
      </c>
    </row>
    <row r="3954" spans="1:33" x14ac:dyDescent="0.2">
      <c r="A3954">
        <v>3949</v>
      </c>
      <c r="B3954" t="s">
        <v>43714</v>
      </c>
      <c r="C3954" t="s">
        <v>43715</v>
      </c>
      <c r="D3954" t="s">
        <v>43716</v>
      </c>
      <c r="E3954" t="s">
        <v>43717</v>
      </c>
      <c r="F3954" t="s">
        <v>43718</v>
      </c>
      <c r="G3954" t="s">
        <v>43719</v>
      </c>
      <c r="H3954" t="str">
        <f>"Mpp2"</f>
        <v>Mpp2</v>
      </c>
      <c r="I3954" t="s">
        <v>43720</v>
      </c>
      <c r="J3954" t="s">
        <v>37</v>
      </c>
      <c r="K3954">
        <v>10090</v>
      </c>
      <c r="L3954" s="3" t="str">
        <f>HYPERLINK("http://www.uniprot.org/uniprot/Q9WV34", "Q9WV34")</f>
        <v>Q9WV34</v>
      </c>
      <c r="M3954" t="s">
        <v>43721</v>
      </c>
      <c r="N3954" t="str">
        <f>"Mpp2"</f>
        <v>Mpp2</v>
      </c>
      <c r="O3954" s="3" t="str">
        <f>HYPERLINK("http://www.informatics.jax.org/marker/MGI:1858257", "MGI:1858257")</f>
        <v>MGI:1858257</v>
      </c>
      <c r="P3954" t="s">
        <v>43722</v>
      </c>
      <c r="Q3954" t="s">
        <v>32</v>
      </c>
      <c r="R3954" t="s">
        <v>43723</v>
      </c>
      <c r="S3954" t="s">
        <v>41</v>
      </c>
      <c r="T3954" t="s">
        <v>32</v>
      </c>
      <c r="U3954" t="s">
        <v>32</v>
      </c>
      <c r="V3954" t="s">
        <v>187</v>
      </c>
      <c r="W3954" t="s">
        <v>32</v>
      </c>
      <c r="X3954" t="s">
        <v>32</v>
      </c>
      <c r="Y3954" t="s">
        <v>618</v>
      </c>
      <c r="Z3954" t="s">
        <v>32</v>
      </c>
      <c r="AA3954" t="s">
        <v>43724</v>
      </c>
      <c r="AB3954" t="s">
        <v>43725</v>
      </c>
      <c r="AC3954" t="s">
        <v>43726</v>
      </c>
      <c r="AD3954" t="s">
        <v>32</v>
      </c>
      <c r="AE3954" t="s">
        <v>32</v>
      </c>
      <c r="AF3954" t="s">
        <v>46835</v>
      </c>
    </row>
    <row r="3955" spans="1:33" x14ac:dyDescent="0.2">
      <c r="A3955">
        <v>3950</v>
      </c>
      <c r="B3955" t="s">
        <v>43727</v>
      </c>
      <c r="C3955" t="s">
        <v>43728</v>
      </c>
      <c r="D3955" t="s">
        <v>43729</v>
      </c>
      <c r="E3955" t="s">
        <v>43730</v>
      </c>
      <c r="F3955" t="s">
        <v>43731</v>
      </c>
      <c r="G3955" t="s">
        <v>43732</v>
      </c>
      <c r="H3955" t="str">
        <f>"Lacc1"</f>
        <v>Lacc1</v>
      </c>
      <c r="I3955" t="s">
        <v>32</v>
      </c>
      <c r="J3955" t="s">
        <v>37</v>
      </c>
      <c r="K3955">
        <v>10090</v>
      </c>
      <c r="L3955" s="3" t="str">
        <f>HYPERLINK("http://www.uniprot.org/uniprot/Q8BZT9", "Q8BZT9")</f>
        <v>Q8BZT9</v>
      </c>
      <c r="M3955" t="s">
        <v>43733</v>
      </c>
      <c r="N3955" t="str">
        <f>"Lacc1"</f>
        <v>Lacc1</v>
      </c>
      <c r="O3955" s="3" t="str">
        <f>HYPERLINK("http://www.informatics.jax.org/marker/MGI:2445077", "MGI:2445077")</f>
        <v>MGI:2445077</v>
      </c>
      <c r="P3955" t="s">
        <v>43734</v>
      </c>
      <c r="Q3955" t="s">
        <v>3442</v>
      </c>
      <c r="R3955" t="s">
        <v>43735</v>
      </c>
      <c r="S3955" t="s">
        <v>32</v>
      </c>
      <c r="T3955" t="s">
        <v>32</v>
      </c>
      <c r="U3955" t="s">
        <v>32</v>
      </c>
      <c r="V3955" t="s">
        <v>32</v>
      </c>
      <c r="W3955" t="s">
        <v>42</v>
      </c>
      <c r="X3955" t="s">
        <v>5222</v>
      </c>
      <c r="Y3955" t="s">
        <v>157</v>
      </c>
      <c r="Z3955" t="s">
        <v>32</v>
      </c>
      <c r="AA3955" t="s">
        <v>43736</v>
      </c>
      <c r="AB3955" t="s">
        <v>43737</v>
      </c>
      <c r="AC3955" t="s">
        <v>43738</v>
      </c>
      <c r="AD3955" t="s">
        <v>32</v>
      </c>
      <c r="AE3955" t="s">
        <v>32</v>
      </c>
      <c r="AF3955" t="s">
        <v>46835</v>
      </c>
    </row>
    <row r="3956" spans="1:33" x14ac:dyDescent="0.2">
      <c r="A3956">
        <v>3951</v>
      </c>
      <c r="B3956" t="s">
        <v>43739</v>
      </c>
      <c r="C3956" t="s">
        <v>43740</v>
      </c>
      <c r="D3956" t="s">
        <v>43741</v>
      </c>
      <c r="E3956" t="s">
        <v>43742</v>
      </c>
      <c r="F3956" t="s">
        <v>43743</v>
      </c>
      <c r="G3956" t="s">
        <v>43744</v>
      </c>
      <c r="H3956" t="str">
        <f>"Tle3"</f>
        <v>Tle3</v>
      </c>
      <c r="I3956" t="s">
        <v>43745</v>
      </c>
      <c r="J3956" t="s">
        <v>37</v>
      </c>
      <c r="K3956">
        <v>10090</v>
      </c>
      <c r="L3956" s="3" t="str">
        <f>HYPERLINK("http://www.uniprot.org/uniprot/Q08122", "Q08122")</f>
        <v>Q08122</v>
      </c>
      <c r="M3956" t="s">
        <v>43746</v>
      </c>
      <c r="N3956" t="str">
        <f>"Tle3"</f>
        <v>Tle3</v>
      </c>
      <c r="O3956" s="3" t="str">
        <f>HYPERLINK("http://www.informatics.jax.org/marker/MGI:104634", "MGI:104634")</f>
        <v>MGI:104634</v>
      </c>
      <c r="P3956" t="s">
        <v>43747</v>
      </c>
      <c r="Q3956" t="s">
        <v>43748</v>
      </c>
      <c r="R3956" t="s">
        <v>2279</v>
      </c>
      <c r="S3956" t="s">
        <v>41</v>
      </c>
      <c r="T3956" t="s">
        <v>32</v>
      </c>
      <c r="U3956" t="s">
        <v>32</v>
      </c>
      <c r="V3956" t="s">
        <v>1910</v>
      </c>
      <c r="W3956" t="s">
        <v>32</v>
      </c>
      <c r="X3956" t="s">
        <v>18938</v>
      </c>
      <c r="Y3956" t="s">
        <v>1023</v>
      </c>
      <c r="Z3956" t="s">
        <v>32</v>
      </c>
      <c r="AA3956" t="s">
        <v>43749</v>
      </c>
      <c r="AB3956" t="s">
        <v>43750</v>
      </c>
      <c r="AC3956" t="s">
        <v>7414</v>
      </c>
      <c r="AD3956" t="s">
        <v>32</v>
      </c>
      <c r="AE3956" t="s">
        <v>43751</v>
      </c>
      <c r="AF3956" t="s">
        <v>46835</v>
      </c>
    </row>
    <row r="3957" spans="1:33" x14ac:dyDescent="0.2">
      <c r="A3957">
        <v>3952</v>
      </c>
      <c r="B3957" t="s">
        <v>43752</v>
      </c>
      <c r="C3957" t="s">
        <v>43753</v>
      </c>
      <c r="D3957" t="s">
        <v>32</v>
      </c>
      <c r="E3957" t="s">
        <v>43754</v>
      </c>
      <c r="F3957" t="s">
        <v>43755</v>
      </c>
      <c r="G3957" t="s">
        <v>43756</v>
      </c>
      <c r="H3957" t="str">
        <f>"Rraga"</f>
        <v>Rraga</v>
      </c>
      <c r="I3957" t="s">
        <v>32</v>
      </c>
      <c r="J3957" t="s">
        <v>37</v>
      </c>
      <c r="K3957">
        <v>10090</v>
      </c>
      <c r="L3957" s="3" t="str">
        <f>HYPERLINK("http://www.uniprot.org/uniprot/Q80X95", "Q80X95")</f>
        <v>Q80X95</v>
      </c>
      <c r="M3957" t="s">
        <v>43757</v>
      </c>
      <c r="N3957" t="str">
        <f>"Rraga"</f>
        <v>Rraga</v>
      </c>
      <c r="O3957" s="3" t="str">
        <f>HYPERLINK("http://www.informatics.jax.org/marker/MGI:1915691", "MGI:1915691")</f>
        <v>MGI:1915691</v>
      </c>
      <c r="P3957" t="s">
        <v>43758</v>
      </c>
      <c r="Q3957" t="s">
        <v>541</v>
      </c>
      <c r="R3957" t="s">
        <v>23368</v>
      </c>
      <c r="S3957" t="s">
        <v>32</v>
      </c>
      <c r="T3957" t="s">
        <v>32</v>
      </c>
      <c r="U3957" t="s">
        <v>32</v>
      </c>
      <c r="V3957" t="s">
        <v>32</v>
      </c>
      <c r="W3957" t="s">
        <v>261</v>
      </c>
      <c r="X3957" t="s">
        <v>343</v>
      </c>
      <c r="Y3957" t="s">
        <v>1007</v>
      </c>
      <c r="Z3957" t="s">
        <v>32</v>
      </c>
      <c r="AA3957" t="s">
        <v>43759</v>
      </c>
      <c r="AB3957" t="s">
        <v>43760</v>
      </c>
      <c r="AC3957" t="s">
        <v>43761</v>
      </c>
      <c r="AD3957" t="s">
        <v>32</v>
      </c>
      <c r="AE3957" t="s">
        <v>43762</v>
      </c>
      <c r="AF3957" t="s">
        <v>46835</v>
      </c>
    </row>
    <row r="3958" spans="1:33" x14ac:dyDescent="0.2">
      <c r="A3958">
        <v>3953</v>
      </c>
      <c r="B3958" t="s">
        <v>43763</v>
      </c>
      <c r="C3958" t="s">
        <v>43764</v>
      </c>
      <c r="D3958" t="s">
        <v>43765</v>
      </c>
      <c r="E3958" t="s">
        <v>43766</v>
      </c>
      <c r="F3958" t="s">
        <v>43767</v>
      </c>
      <c r="G3958" t="s">
        <v>43768</v>
      </c>
      <c r="H3958" t="str">
        <f>"Dph1"</f>
        <v>Dph1</v>
      </c>
      <c r="I3958" t="s">
        <v>32</v>
      </c>
      <c r="J3958" t="s">
        <v>37</v>
      </c>
      <c r="K3958">
        <v>10090</v>
      </c>
      <c r="L3958" s="3" t="str">
        <f>HYPERLINK("http://www.uniprot.org/uniprot/Q5NCQ5", "Q5NCQ5")</f>
        <v>Q5NCQ5</v>
      </c>
      <c r="M3958" t="s">
        <v>43769</v>
      </c>
      <c r="N3958" t="str">
        <f>"Dph1"</f>
        <v>Dph1</v>
      </c>
      <c r="O3958" s="3" t="str">
        <f>HYPERLINK("http://www.informatics.jax.org/marker/MGI:2151233", "MGI:2151233")</f>
        <v>MGI:2151233</v>
      </c>
      <c r="P3958" t="s">
        <v>43770</v>
      </c>
      <c r="Q3958" t="s">
        <v>32</v>
      </c>
      <c r="R3958" t="s">
        <v>40</v>
      </c>
      <c r="S3958" t="s">
        <v>32</v>
      </c>
      <c r="T3958" t="s">
        <v>32</v>
      </c>
      <c r="U3958" t="s">
        <v>1636</v>
      </c>
      <c r="V3958" t="s">
        <v>32</v>
      </c>
      <c r="W3958" t="s">
        <v>43771</v>
      </c>
      <c r="X3958" t="s">
        <v>515</v>
      </c>
      <c r="Y3958" t="s">
        <v>618</v>
      </c>
      <c r="Z3958" t="s">
        <v>32</v>
      </c>
      <c r="AA3958" t="s">
        <v>43772</v>
      </c>
      <c r="AB3958" t="s">
        <v>43773</v>
      </c>
      <c r="AC3958" t="s">
        <v>43774</v>
      </c>
      <c r="AD3958" t="s">
        <v>37426</v>
      </c>
      <c r="AE3958" t="s">
        <v>37427</v>
      </c>
      <c r="AF3958" t="s">
        <v>46835</v>
      </c>
    </row>
    <row r="3959" spans="1:33" x14ac:dyDescent="0.2">
      <c r="A3959">
        <v>3954</v>
      </c>
      <c r="B3959" t="s">
        <v>43775</v>
      </c>
      <c r="C3959" t="s">
        <v>43776</v>
      </c>
      <c r="D3959" t="s">
        <v>43777</v>
      </c>
      <c r="E3959" t="s">
        <v>43778</v>
      </c>
      <c r="F3959" t="s">
        <v>43779</v>
      </c>
      <c r="G3959" t="s">
        <v>43780</v>
      </c>
      <c r="H3959" t="str">
        <f>"Mief1"</f>
        <v>Mief1</v>
      </c>
      <c r="I3959" t="s">
        <v>43781</v>
      </c>
      <c r="J3959" t="s">
        <v>37</v>
      </c>
      <c r="K3959">
        <v>10090</v>
      </c>
      <c r="L3959" s="3" t="str">
        <f>HYPERLINK("http://www.uniprot.org/uniprot/Q8BGV8", "Q8BGV8")</f>
        <v>Q8BGV8</v>
      </c>
      <c r="M3959" t="s">
        <v>43782</v>
      </c>
      <c r="N3959" t="str">
        <f>"Mief1"</f>
        <v>Mief1</v>
      </c>
      <c r="O3959" s="3" t="str">
        <f>HYPERLINK("http://www.informatics.jax.org/marker/MGI:2146020", "MGI:2146020")</f>
        <v>MGI:2146020</v>
      </c>
      <c r="P3959" t="s">
        <v>43783</v>
      </c>
      <c r="Q3959" t="s">
        <v>32</v>
      </c>
      <c r="R3959" t="s">
        <v>4782</v>
      </c>
      <c r="S3959" t="s">
        <v>32</v>
      </c>
      <c r="T3959" t="s">
        <v>32</v>
      </c>
      <c r="U3959" t="s">
        <v>32</v>
      </c>
      <c r="V3959" t="s">
        <v>493</v>
      </c>
      <c r="W3959" t="s">
        <v>5169</v>
      </c>
      <c r="X3959" t="s">
        <v>32</v>
      </c>
      <c r="Y3959" t="s">
        <v>618</v>
      </c>
      <c r="Z3959" t="s">
        <v>126</v>
      </c>
      <c r="AA3959" t="s">
        <v>43784</v>
      </c>
      <c r="AB3959" t="s">
        <v>43785</v>
      </c>
      <c r="AC3959" t="s">
        <v>43786</v>
      </c>
      <c r="AD3959" t="s">
        <v>32</v>
      </c>
      <c r="AE3959" t="s">
        <v>32</v>
      </c>
      <c r="AF3959" t="s">
        <v>46835</v>
      </c>
    </row>
    <row r="3960" spans="1:33" x14ac:dyDescent="0.2">
      <c r="A3960">
        <v>3955</v>
      </c>
      <c r="B3960" t="s">
        <v>43787</v>
      </c>
      <c r="C3960" t="s">
        <v>43788</v>
      </c>
      <c r="D3960" t="s">
        <v>43789</v>
      </c>
      <c r="E3960" t="s">
        <v>43790</v>
      </c>
      <c r="F3960" t="s">
        <v>43791</v>
      </c>
      <c r="G3960" t="s">
        <v>43792</v>
      </c>
      <c r="H3960" t="str">
        <f>"Copz2"</f>
        <v>Copz2</v>
      </c>
      <c r="I3960" t="s">
        <v>32</v>
      </c>
      <c r="J3960" t="s">
        <v>37</v>
      </c>
      <c r="K3960">
        <v>10090</v>
      </c>
      <c r="L3960" s="3" t="str">
        <f>HYPERLINK("http://www.uniprot.org/uniprot/Q9JHH9", "Q9JHH9")</f>
        <v>Q9JHH9</v>
      </c>
      <c r="M3960" t="s">
        <v>43793</v>
      </c>
      <c r="N3960" t="str">
        <f>"Copz2"</f>
        <v>Copz2</v>
      </c>
      <c r="O3960" s="3" t="str">
        <f>HYPERLINK("http://www.informatics.jax.org/marker/MGI:1929008", "MGI:1929008")</f>
        <v>MGI:1929008</v>
      </c>
      <c r="P3960" t="s">
        <v>43794</v>
      </c>
      <c r="Q3960" t="s">
        <v>2916</v>
      </c>
      <c r="R3960" t="s">
        <v>3166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32</v>
      </c>
      <c r="Y3960" t="s">
        <v>32</v>
      </c>
      <c r="Z3960" t="s">
        <v>32</v>
      </c>
      <c r="AA3960" t="s">
        <v>43795</v>
      </c>
      <c r="AB3960" t="s">
        <v>43796</v>
      </c>
      <c r="AC3960" t="s">
        <v>32</v>
      </c>
      <c r="AD3960" t="s">
        <v>32</v>
      </c>
      <c r="AE3960" t="s">
        <v>3171</v>
      </c>
      <c r="AF3960" t="s">
        <v>46835</v>
      </c>
    </row>
    <row r="3961" spans="1:33" x14ac:dyDescent="0.2">
      <c r="A3961">
        <v>3956</v>
      </c>
      <c r="B3961" t="s">
        <v>43797</v>
      </c>
      <c r="C3961" t="s">
        <v>43798</v>
      </c>
      <c r="D3961" t="s">
        <v>43799</v>
      </c>
      <c r="E3961" t="s">
        <v>43800</v>
      </c>
      <c r="F3961" t="s">
        <v>43801</v>
      </c>
      <c r="G3961" t="s">
        <v>43802</v>
      </c>
      <c r="H3961" t="str">
        <f>"Map9"</f>
        <v>Map9</v>
      </c>
      <c r="I3961" t="s">
        <v>43803</v>
      </c>
      <c r="J3961" t="s">
        <v>37</v>
      </c>
      <c r="K3961">
        <v>10090</v>
      </c>
      <c r="L3961" s="3" t="str">
        <f>HYPERLINK("http://www.uniprot.org/uniprot/Q3TRR0", "Q3TRR0")</f>
        <v>Q3TRR0</v>
      </c>
      <c r="M3961" t="s">
        <v>43804</v>
      </c>
      <c r="N3961" t="str">
        <f>"Map9"</f>
        <v>Map9</v>
      </c>
      <c r="O3961" s="3" t="str">
        <f>HYPERLINK("http://www.informatics.jax.org/marker/MGI:2442208", "MGI:2442208")</f>
        <v>MGI:2442208</v>
      </c>
      <c r="P3961" t="s">
        <v>43805</v>
      </c>
      <c r="Q3961" t="s">
        <v>2968</v>
      </c>
      <c r="R3961" t="s">
        <v>341</v>
      </c>
      <c r="S3961" t="s">
        <v>41</v>
      </c>
      <c r="T3961" t="s">
        <v>32</v>
      </c>
      <c r="U3961" t="s">
        <v>32</v>
      </c>
      <c r="V3961" t="s">
        <v>290</v>
      </c>
      <c r="W3961" t="s">
        <v>32</v>
      </c>
      <c r="X3961" t="s">
        <v>32</v>
      </c>
      <c r="Y3961" t="s">
        <v>157</v>
      </c>
      <c r="Z3961" t="s">
        <v>32</v>
      </c>
      <c r="AA3961" t="s">
        <v>43806</v>
      </c>
      <c r="AB3961" t="s">
        <v>43807</v>
      </c>
      <c r="AC3961" t="s">
        <v>3132</v>
      </c>
      <c r="AD3961" t="s">
        <v>32</v>
      </c>
      <c r="AE3961" t="s">
        <v>32</v>
      </c>
      <c r="AF3961" t="s">
        <v>46835</v>
      </c>
    </row>
    <row r="3962" spans="1:33" x14ac:dyDescent="0.2">
      <c r="A3962">
        <v>3957</v>
      </c>
      <c r="B3962" t="s">
        <v>43808</v>
      </c>
      <c r="C3962" t="s">
        <v>43809</v>
      </c>
      <c r="D3962" t="s">
        <v>43810</v>
      </c>
      <c r="E3962" t="s">
        <v>43811</v>
      </c>
      <c r="F3962" t="s">
        <v>43812</v>
      </c>
      <c r="G3962" t="s">
        <v>43813</v>
      </c>
      <c r="H3962" t="str">
        <f>"Atg16l1"</f>
        <v>Atg16l1</v>
      </c>
      <c r="I3962" t="s">
        <v>32</v>
      </c>
      <c r="J3962" t="s">
        <v>37</v>
      </c>
      <c r="K3962">
        <v>10090</v>
      </c>
      <c r="L3962" s="3" t="str">
        <f>HYPERLINK("http://www.uniprot.org/uniprot/Q8C0J2", "Q8C0J2")</f>
        <v>Q8C0J2</v>
      </c>
      <c r="M3962" t="s">
        <v>43814</v>
      </c>
      <c r="N3962" t="str">
        <f>"Atg16l1"</f>
        <v>Atg16l1</v>
      </c>
      <c r="O3962" s="3" t="str">
        <f>HYPERLINK("http://www.informatics.jax.org/marker/MGI:1924290", "MGI:1924290")</f>
        <v>MGI:1924290</v>
      </c>
      <c r="P3962" t="s">
        <v>43815</v>
      </c>
      <c r="Q3962" t="s">
        <v>23025</v>
      </c>
      <c r="R3962" t="s">
        <v>43816</v>
      </c>
      <c r="S3962" t="s">
        <v>41</v>
      </c>
      <c r="T3962" t="s">
        <v>32</v>
      </c>
      <c r="U3962" t="s">
        <v>32</v>
      </c>
      <c r="V3962" t="s">
        <v>3167</v>
      </c>
      <c r="W3962" t="s">
        <v>32</v>
      </c>
      <c r="X3962" t="s">
        <v>32</v>
      </c>
      <c r="Y3962" t="s">
        <v>618</v>
      </c>
      <c r="Z3962" t="s">
        <v>126</v>
      </c>
      <c r="AA3962" t="s">
        <v>43817</v>
      </c>
      <c r="AB3962" t="s">
        <v>43818</v>
      </c>
      <c r="AC3962" t="s">
        <v>43819</v>
      </c>
      <c r="AD3962" t="s">
        <v>32</v>
      </c>
      <c r="AE3962" t="s">
        <v>11665</v>
      </c>
      <c r="AF3962" t="s">
        <v>46835</v>
      </c>
    </row>
    <row r="3963" spans="1:33" x14ac:dyDescent="0.2">
      <c r="A3963">
        <v>3958</v>
      </c>
      <c r="B3963" t="s">
        <v>43820</v>
      </c>
      <c r="C3963" t="s">
        <v>43821</v>
      </c>
      <c r="D3963" t="s">
        <v>43822</v>
      </c>
      <c r="E3963" t="s">
        <v>43823</v>
      </c>
      <c r="F3963" t="s">
        <v>43824</v>
      </c>
      <c r="G3963" t="s">
        <v>43825</v>
      </c>
      <c r="H3963" t="str">
        <f>"Arhgef40"</f>
        <v>Arhgef40</v>
      </c>
      <c r="I3963" t="s">
        <v>43826</v>
      </c>
      <c r="J3963" t="s">
        <v>37</v>
      </c>
      <c r="K3963">
        <v>10090</v>
      </c>
      <c r="L3963" s="3" t="str">
        <f>HYPERLINK("http://www.uniprot.org/uniprot/Q3UPH7", "Q3UPH7")</f>
        <v>Q3UPH7</v>
      </c>
      <c r="M3963" t="s">
        <v>43827</v>
      </c>
      <c r="N3963" t="str">
        <f>"Arhgef40"</f>
        <v>Arhgef40</v>
      </c>
      <c r="O3963" s="3" t="str">
        <f>HYPERLINK("http://www.informatics.jax.org/marker/MGI:2685515", "MGI:2685515")</f>
        <v>MGI:2685515</v>
      </c>
      <c r="P3963" t="s">
        <v>43828</v>
      </c>
      <c r="Q3963" t="s">
        <v>32</v>
      </c>
      <c r="R3963" t="s">
        <v>418</v>
      </c>
      <c r="S3963" t="s">
        <v>41</v>
      </c>
      <c r="T3963" t="s">
        <v>32</v>
      </c>
      <c r="U3963" t="s">
        <v>32</v>
      </c>
      <c r="V3963" t="s">
        <v>290</v>
      </c>
      <c r="W3963" t="s">
        <v>32</v>
      </c>
      <c r="X3963" t="s">
        <v>5011</v>
      </c>
      <c r="Y3963" t="s">
        <v>618</v>
      </c>
      <c r="Z3963" t="s">
        <v>32</v>
      </c>
      <c r="AA3963" t="s">
        <v>32</v>
      </c>
      <c r="AB3963" t="s">
        <v>25438</v>
      </c>
      <c r="AC3963" t="s">
        <v>12942</v>
      </c>
      <c r="AD3963" t="s">
        <v>32</v>
      </c>
      <c r="AE3963" t="s">
        <v>32</v>
      </c>
      <c r="AF3963" t="s">
        <v>46835</v>
      </c>
    </row>
    <row r="3964" spans="1:33" x14ac:dyDescent="0.2">
      <c r="A3964">
        <v>3959</v>
      </c>
      <c r="B3964" t="s">
        <v>43829</v>
      </c>
      <c r="C3964" t="s">
        <v>43830</v>
      </c>
      <c r="D3964" t="s">
        <v>43831</v>
      </c>
      <c r="E3964" t="s">
        <v>43832</v>
      </c>
      <c r="F3964" t="s">
        <v>43833</v>
      </c>
      <c r="G3964" t="s">
        <v>32</v>
      </c>
      <c r="H3964" t="str">
        <f>"Pla2g4a"</f>
        <v>Pla2g4a</v>
      </c>
      <c r="I3964" t="s">
        <v>43834</v>
      </c>
      <c r="J3964" t="s">
        <v>37</v>
      </c>
      <c r="K3964">
        <v>10090</v>
      </c>
      <c r="L3964" s="3" t="str">
        <f>HYPERLINK("http://www.uniprot.org/uniprot/P47713", "P47713")</f>
        <v>P47713</v>
      </c>
      <c r="M3964" t="s">
        <v>43835</v>
      </c>
      <c r="N3964" t="str">
        <f>"Pla2g4a"</f>
        <v>Pla2g4a</v>
      </c>
      <c r="O3964" s="3" t="str">
        <f>HYPERLINK("http://www.informatics.jax.org/marker/MGI:1195256", "MGI:1195256")</f>
        <v>MGI:1195256</v>
      </c>
      <c r="P3964" t="s">
        <v>43836</v>
      </c>
      <c r="Q3964" t="s">
        <v>43837</v>
      </c>
      <c r="R3964" t="s">
        <v>34902</v>
      </c>
      <c r="S3964" t="s">
        <v>32</v>
      </c>
      <c r="T3964" t="s">
        <v>32</v>
      </c>
      <c r="U3964" t="s">
        <v>32</v>
      </c>
      <c r="V3964" t="s">
        <v>32</v>
      </c>
      <c r="W3964" t="s">
        <v>38817</v>
      </c>
      <c r="X3964" t="s">
        <v>343</v>
      </c>
      <c r="Y3964" t="s">
        <v>1007</v>
      </c>
      <c r="Z3964" t="s">
        <v>32</v>
      </c>
      <c r="AA3964" t="s">
        <v>43838</v>
      </c>
      <c r="AB3964" t="s">
        <v>43839</v>
      </c>
      <c r="AC3964" t="s">
        <v>43840</v>
      </c>
      <c r="AD3964" t="s">
        <v>4886</v>
      </c>
      <c r="AE3964" t="s">
        <v>43841</v>
      </c>
      <c r="AF3964" t="s">
        <v>46835</v>
      </c>
    </row>
    <row r="3965" spans="1:33" x14ac:dyDescent="0.2">
      <c r="A3965">
        <v>3960</v>
      </c>
      <c r="B3965" t="s">
        <v>43842</v>
      </c>
      <c r="C3965" t="s">
        <v>47233</v>
      </c>
      <c r="D3965" t="s">
        <v>32</v>
      </c>
      <c r="E3965" t="s">
        <v>47078</v>
      </c>
      <c r="F3965" t="s">
        <v>47077</v>
      </c>
      <c r="G3965" t="s">
        <v>32</v>
      </c>
      <c r="H3965" t="s">
        <v>47366</v>
      </c>
      <c r="I3965" t="s">
        <v>32</v>
      </c>
      <c r="J3965" t="s">
        <v>37</v>
      </c>
      <c r="K3965">
        <v>10090</v>
      </c>
      <c r="L3965" s="3" t="str">
        <f>HYPERLINK(CONCATENATE("https://www.uniprot.org/uniprotkb/", AG3965, "/entry"), AG3965)</f>
        <v>A0A087WRT4</v>
      </c>
      <c r="M3965" t="s">
        <v>32</v>
      </c>
      <c r="N3965" t="s">
        <v>32</v>
      </c>
      <c r="O3965" s="3" t="s">
        <v>32</v>
      </c>
      <c r="P3965" t="s">
        <v>32</v>
      </c>
      <c r="Q3965" t="s">
        <v>32</v>
      </c>
      <c r="R3965" t="s">
        <v>32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32</v>
      </c>
      <c r="Y3965" t="s">
        <v>32</v>
      </c>
      <c r="Z3965" t="s">
        <v>32</v>
      </c>
      <c r="AA3965" t="s">
        <v>32</v>
      </c>
      <c r="AB3965" t="s">
        <v>32</v>
      </c>
      <c r="AC3965" t="s">
        <v>32</v>
      </c>
      <c r="AD3965" t="s">
        <v>32</v>
      </c>
      <c r="AE3965" t="s">
        <v>32</v>
      </c>
      <c r="AF3965" t="s">
        <v>46835</v>
      </c>
      <c r="AG3965" t="s">
        <v>47077</v>
      </c>
    </row>
    <row r="3966" spans="1:33" x14ac:dyDescent="0.2">
      <c r="A3966">
        <v>3961</v>
      </c>
      <c r="B3966" t="s">
        <v>43843</v>
      </c>
      <c r="C3966" t="s">
        <v>43844</v>
      </c>
      <c r="D3966" t="s">
        <v>32</v>
      </c>
      <c r="E3966" t="s">
        <v>43845</v>
      </c>
      <c r="F3966" t="s">
        <v>43846</v>
      </c>
      <c r="G3966" t="s">
        <v>43847</v>
      </c>
      <c r="H3966" t="str">
        <f>"Ankrd13a"</f>
        <v>Ankrd13a</v>
      </c>
      <c r="I3966" t="s">
        <v>43848</v>
      </c>
      <c r="J3966" t="s">
        <v>37</v>
      </c>
      <c r="K3966">
        <v>10090</v>
      </c>
      <c r="L3966" s="3" t="str">
        <f>HYPERLINK("http://www.uniprot.org/uniprot/Q80UP5", "Q80UP5")</f>
        <v>Q80UP5</v>
      </c>
      <c r="M3966" t="s">
        <v>43849</v>
      </c>
      <c r="N3966" t="str">
        <f>"Ankrd13a"</f>
        <v>Ankrd13a</v>
      </c>
      <c r="O3966" s="3" t="str">
        <f>HYPERLINK("http://www.informatics.jax.org/marker/MGI:1915670", "MGI:1915670")</f>
        <v>MGI:1915670</v>
      </c>
      <c r="P3966" t="s">
        <v>43850</v>
      </c>
      <c r="Q3966" t="s">
        <v>32</v>
      </c>
      <c r="R3966" t="s">
        <v>11564</v>
      </c>
      <c r="S3966" t="s">
        <v>32</v>
      </c>
      <c r="T3966" t="s">
        <v>32</v>
      </c>
      <c r="U3966" t="s">
        <v>32</v>
      </c>
      <c r="V3966" t="s">
        <v>912</v>
      </c>
      <c r="W3966" t="s">
        <v>32</v>
      </c>
      <c r="X3966" t="s">
        <v>32</v>
      </c>
      <c r="Y3966" t="s">
        <v>2836</v>
      </c>
      <c r="Z3966" t="s">
        <v>32</v>
      </c>
      <c r="AA3966" t="s">
        <v>43851</v>
      </c>
      <c r="AB3966" t="s">
        <v>43852</v>
      </c>
      <c r="AC3966" t="s">
        <v>43853</v>
      </c>
      <c r="AD3966" t="s">
        <v>32</v>
      </c>
      <c r="AE3966" t="s">
        <v>32</v>
      </c>
      <c r="AF3966" t="s">
        <v>46835</v>
      </c>
    </row>
    <row r="3967" spans="1:33" x14ac:dyDescent="0.2">
      <c r="A3967">
        <v>3962</v>
      </c>
      <c r="B3967" t="s">
        <v>43854</v>
      </c>
      <c r="C3967" t="s">
        <v>43855</v>
      </c>
      <c r="D3967" t="s">
        <v>43856</v>
      </c>
      <c r="E3967" t="s">
        <v>43857</v>
      </c>
      <c r="F3967" t="s">
        <v>43858</v>
      </c>
      <c r="G3967" t="s">
        <v>43859</v>
      </c>
      <c r="H3967" t="str">
        <f>"Utp4"</f>
        <v>Utp4</v>
      </c>
      <c r="I3967" t="s">
        <v>43860</v>
      </c>
      <c r="J3967" t="s">
        <v>37</v>
      </c>
      <c r="K3967">
        <v>10090</v>
      </c>
      <c r="L3967" s="3" t="str">
        <f>HYPERLINK("http://www.uniprot.org/uniprot/Q8R2N2", "Q8R2N2")</f>
        <v>Q8R2N2</v>
      </c>
      <c r="M3967" t="s">
        <v>43861</v>
      </c>
      <c r="N3967" t="str">
        <f>"Utp4"</f>
        <v>Utp4</v>
      </c>
      <c r="O3967" s="3" t="str">
        <f>HYPERLINK("http://www.informatics.jax.org/marker/MGI:1096573", "MGI:1096573")</f>
        <v>MGI:1096573</v>
      </c>
      <c r="P3967" t="s">
        <v>43862</v>
      </c>
      <c r="Q3967" t="s">
        <v>36791</v>
      </c>
      <c r="R3967" t="s">
        <v>1939</v>
      </c>
      <c r="S3967" t="s">
        <v>32</v>
      </c>
      <c r="T3967" t="s">
        <v>32</v>
      </c>
      <c r="U3967" t="s">
        <v>32</v>
      </c>
      <c r="V3967" t="s">
        <v>1910</v>
      </c>
      <c r="W3967" t="s">
        <v>32</v>
      </c>
      <c r="X3967" t="s">
        <v>32</v>
      </c>
      <c r="Y3967" t="s">
        <v>1007</v>
      </c>
      <c r="Z3967" t="s">
        <v>32</v>
      </c>
      <c r="AA3967" t="s">
        <v>43863</v>
      </c>
      <c r="AB3967" t="s">
        <v>43864</v>
      </c>
      <c r="AC3967" t="s">
        <v>32</v>
      </c>
      <c r="AD3967" t="s">
        <v>32</v>
      </c>
      <c r="AE3967" t="s">
        <v>960</v>
      </c>
      <c r="AF3967" t="s">
        <v>46835</v>
      </c>
    </row>
    <row r="3968" spans="1:33" x14ac:dyDescent="0.2">
      <c r="A3968">
        <v>3963</v>
      </c>
      <c r="B3968" t="s">
        <v>43865</v>
      </c>
      <c r="C3968" t="s">
        <v>43866</v>
      </c>
      <c r="D3968" t="s">
        <v>43867</v>
      </c>
      <c r="E3968" t="s">
        <v>43868</v>
      </c>
      <c r="F3968" t="s">
        <v>43869</v>
      </c>
      <c r="G3968" t="s">
        <v>43870</v>
      </c>
      <c r="H3968" t="str">
        <f>"Ube2g2"</f>
        <v>Ube2g2</v>
      </c>
      <c r="I3968" t="s">
        <v>32</v>
      </c>
      <c r="J3968" t="s">
        <v>37</v>
      </c>
      <c r="K3968">
        <v>10090</v>
      </c>
      <c r="L3968" s="3" t="str">
        <f>HYPERLINK("http://www.uniprot.org/uniprot/P60605", "P60605")</f>
        <v>P60605</v>
      </c>
      <c r="M3968" t="s">
        <v>43871</v>
      </c>
      <c r="N3968" t="str">
        <f>"Ube2g2"</f>
        <v>Ube2g2</v>
      </c>
      <c r="O3968" s="3" t="str">
        <f>HYPERLINK("http://www.informatics.jax.org/marker/MGI:1343188", "MGI:1343188")</f>
        <v>MGI:1343188</v>
      </c>
      <c r="P3968" t="s">
        <v>43872</v>
      </c>
      <c r="Q3968" t="s">
        <v>1020</v>
      </c>
      <c r="R3968" t="s">
        <v>20698</v>
      </c>
      <c r="S3968" t="s">
        <v>32</v>
      </c>
      <c r="T3968" t="s">
        <v>32</v>
      </c>
      <c r="U3968" t="s">
        <v>32</v>
      </c>
      <c r="V3968" t="s">
        <v>32</v>
      </c>
      <c r="W3968" t="s">
        <v>205</v>
      </c>
      <c r="X3968" t="s">
        <v>515</v>
      </c>
      <c r="Y3968" t="s">
        <v>78</v>
      </c>
      <c r="Z3968" t="s">
        <v>126</v>
      </c>
      <c r="AA3968" t="s">
        <v>43873</v>
      </c>
      <c r="AB3968" t="s">
        <v>43874</v>
      </c>
      <c r="AC3968" t="s">
        <v>43875</v>
      </c>
      <c r="AD3968" t="s">
        <v>1027</v>
      </c>
      <c r="AE3968" t="s">
        <v>1028</v>
      </c>
      <c r="AF3968" t="s">
        <v>46835</v>
      </c>
    </row>
    <row r="3969" spans="1:32" x14ac:dyDescent="0.2">
      <c r="A3969">
        <v>3964</v>
      </c>
      <c r="B3969" t="s">
        <v>43876</v>
      </c>
      <c r="C3969" t="s">
        <v>43877</v>
      </c>
      <c r="D3969" t="s">
        <v>32</v>
      </c>
      <c r="E3969" t="s">
        <v>43878</v>
      </c>
      <c r="F3969" t="s">
        <v>43879</v>
      </c>
      <c r="G3969" t="s">
        <v>43880</v>
      </c>
      <c r="H3969" t="str">
        <f>"Tdrd3"</f>
        <v>Tdrd3</v>
      </c>
      <c r="I3969" t="s">
        <v>32</v>
      </c>
      <c r="J3969" t="s">
        <v>37</v>
      </c>
      <c r="K3969">
        <v>10090</v>
      </c>
      <c r="L3969" s="3" t="str">
        <f>HYPERLINK("http://www.uniprot.org/uniprot/Q91W18", "Q91W18")</f>
        <v>Q91W18</v>
      </c>
      <c r="M3969" t="s">
        <v>43881</v>
      </c>
      <c r="N3969" t="str">
        <f>"Tdrd3"</f>
        <v>Tdrd3</v>
      </c>
      <c r="O3969" s="3" t="str">
        <f>HYPERLINK("http://www.informatics.jax.org/marker/MGI:2444023", "MGI:2444023")</f>
        <v>MGI:2444023</v>
      </c>
      <c r="P3969" t="s">
        <v>43882</v>
      </c>
      <c r="Q3969" t="s">
        <v>32</v>
      </c>
      <c r="R3969" t="s">
        <v>40</v>
      </c>
      <c r="S3969" t="s">
        <v>41</v>
      </c>
      <c r="T3969" t="s">
        <v>32</v>
      </c>
      <c r="U3969" t="s">
        <v>32</v>
      </c>
      <c r="V3969" t="s">
        <v>32</v>
      </c>
      <c r="W3969" t="s">
        <v>32</v>
      </c>
      <c r="X3969" t="s">
        <v>9988</v>
      </c>
      <c r="Y3969" t="s">
        <v>1007</v>
      </c>
      <c r="Z3969" t="s">
        <v>126</v>
      </c>
      <c r="AA3969" t="s">
        <v>43883</v>
      </c>
      <c r="AB3969" t="s">
        <v>43884</v>
      </c>
      <c r="AC3969" t="s">
        <v>43885</v>
      </c>
      <c r="AD3969" t="s">
        <v>32</v>
      </c>
      <c r="AE3969" t="s">
        <v>32</v>
      </c>
      <c r="AF3969" t="s">
        <v>46835</v>
      </c>
    </row>
    <row r="3970" spans="1:32" x14ac:dyDescent="0.2">
      <c r="A3970">
        <v>3965</v>
      </c>
      <c r="B3970" t="s">
        <v>43886</v>
      </c>
      <c r="C3970" t="s">
        <v>43887</v>
      </c>
      <c r="D3970" t="s">
        <v>43888</v>
      </c>
      <c r="E3970" t="s">
        <v>43889</v>
      </c>
      <c r="F3970" t="s">
        <v>43890</v>
      </c>
      <c r="G3970" t="s">
        <v>43891</v>
      </c>
      <c r="H3970" t="str">
        <f>"Utp20"</f>
        <v>Utp20</v>
      </c>
      <c r="I3970" t="s">
        <v>43892</v>
      </c>
      <c r="J3970" t="s">
        <v>37</v>
      </c>
      <c r="K3970">
        <v>10090</v>
      </c>
      <c r="L3970" s="3" t="str">
        <f>HYPERLINK("http://www.uniprot.org/uniprot/Q5XG71", "Q5XG71")</f>
        <v>Q5XG71</v>
      </c>
      <c r="M3970" t="s">
        <v>43893</v>
      </c>
      <c r="N3970" t="str">
        <f>"Utp20"</f>
        <v>Utp20</v>
      </c>
      <c r="O3970" s="3" t="str">
        <f>HYPERLINK("http://www.informatics.jax.org/marker/MGI:1917933", "MGI:1917933")</f>
        <v>MGI:1917933</v>
      </c>
      <c r="P3970" t="s">
        <v>43894</v>
      </c>
      <c r="Q3970" t="s">
        <v>15770</v>
      </c>
      <c r="R3970" t="s">
        <v>2279</v>
      </c>
      <c r="S3970" t="s">
        <v>32</v>
      </c>
      <c r="T3970" t="s">
        <v>32</v>
      </c>
      <c r="U3970" t="s">
        <v>32</v>
      </c>
      <c r="V3970" t="s">
        <v>137</v>
      </c>
      <c r="W3970" t="s">
        <v>32</v>
      </c>
      <c r="X3970" t="s">
        <v>32</v>
      </c>
      <c r="Y3970" t="s">
        <v>618</v>
      </c>
      <c r="Z3970" t="s">
        <v>32</v>
      </c>
      <c r="AA3970" t="s">
        <v>25279</v>
      </c>
      <c r="AB3970" t="s">
        <v>43895</v>
      </c>
      <c r="AC3970" t="s">
        <v>32</v>
      </c>
      <c r="AD3970" t="s">
        <v>32</v>
      </c>
      <c r="AE3970" t="s">
        <v>960</v>
      </c>
      <c r="AF3970" t="s">
        <v>46835</v>
      </c>
    </row>
    <row r="3971" spans="1:32" x14ac:dyDescent="0.2">
      <c r="A3971">
        <v>3966</v>
      </c>
      <c r="B3971" t="s">
        <v>43896</v>
      </c>
      <c r="C3971" t="s">
        <v>43897</v>
      </c>
      <c r="D3971" t="s">
        <v>43898</v>
      </c>
      <c r="E3971" t="s">
        <v>43899</v>
      </c>
      <c r="F3971" t="s">
        <v>43900</v>
      </c>
      <c r="G3971" t="s">
        <v>43901</v>
      </c>
      <c r="H3971" t="str">
        <f>"Spryd7"</f>
        <v>Spryd7</v>
      </c>
      <c r="I3971" t="s">
        <v>43902</v>
      </c>
      <c r="J3971" t="s">
        <v>37</v>
      </c>
      <c r="K3971">
        <v>10090</v>
      </c>
      <c r="L3971" s="3" t="str">
        <f>HYPERLINK("http://www.uniprot.org/uniprot/Q3TFQ1", "Q3TFQ1")</f>
        <v>Q3TFQ1</v>
      </c>
      <c r="M3971" t="s">
        <v>43903</v>
      </c>
      <c r="N3971" t="str">
        <f>"Spryd7"</f>
        <v>Spryd7</v>
      </c>
      <c r="O3971" s="3" t="str">
        <f>HYPERLINK("http://www.informatics.jax.org/marker/MGI:1913924", "MGI:1913924")</f>
        <v>MGI:1913924</v>
      </c>
      <c r="P3971" t="s">
        <v>78</v>
      </c>
      <c r="Q3971" t="s">
        <v>32</v>
      </c>
      <c r="R3971" t="s">
        <v>32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32</v>
      </c>
      <c r="Y3971" t="s">
        <v>78</v>
      </c>
      <c r="Z3971" t="s">
        <v>32</v>
      </c>
      <c r="AA3971" t="s">
        <v>32</v>
      </c>
      <c r="AB3971" t="s">
        <v>32</v>
      </c>
      <c r="AC3971" t="s">
        <v>32</v>
      </c>
      <c r="AD3971" t="s">
        <v>32</v>
      </c>
      <c r="AE3971" t="s">
        <v>32</v>
      </c>
      <c r="AF3971" t="s">
        <v>46835</v>
      </c>
    </row>
    <row r="3972" spans="1:32" x14ac:dyDescent="0.2">
      <c r="A3972">
        <v>3967</v>
      </c>
      <c r="B3972" t="s">
        <v>43904</v>
      </c>
      <c r="C3972" t="s">
        <v>43905</v>
      </c>
      <c r="D3972" t="s">
        <v>43906</v>
      </c>
      <c r="E3972" t="s">
        <v>43907</v>
      </c>
      <c r="F3972" t="s">
        <v>43908</v>
      </c>
      <c r="G3972" t="s">
        <v>43909</v>
      </c>
      <c r="H3972" t="str">
        <f>"Fam120c"</f>
        <v>Fam120c</v>
      </c>
      <c r="I3972" t="s">
        <v>43910</v>
      </c>
      <c r="J3972" t="s">
        <v>37</v>
      </c>
      <c r="K3972">
        <v>10090</v>
      </c>
      <c r="L3972" s="3" t="str">
        <f>HYPERLINK("http://www.uniprot.org/uniprot/Q8C3F2", "Q8C3F2")</f>
        <v>Q8C3F2</v>
      </c>
      <c r="M3972" t="s">
        <v>43911</v>
      </c>
      <c r="N3972" t="str">
        <f>"Fam120c"</f>
        <v>Fam120c</v>
      </c>
      <c r="O3972" s="3" t="str">
        <f>HYPERLINK("http://www.informatics.jax.org/marker/MGI:2387687", "MGI:2387687")</f>
        <v>MGI:2387687</v>
      </c>
      <c r="P3972" t="s">
        <v>43912</v>
      </c>
      <c r="Q3972" t="s">
        <v>32</v>
      </c>
      <c r="R3972" t="s">
        <v>32</v>
      </c>
      <c r="S3972" t="s">
        <v>41</v>
      </c>
      <c r="T3972" t="s">
        <v>32</v>
      </c>
      <c r="U3972" t="s">
        <v>32</v>
      </c>
      <c r="V3972" t="s">
        <v>32</v>
      </c>
      <c r="W3972" t="s">
        <v>32</v>
      </c>
      <c r="X3972" t="s">
        <v>32</v>
      </c>
      <c r="Y3972" t="s">
        <v>175</v>
      </c>
      <c r="Z3972" t="s">
        <v>32</v>
      </c>
      <c r="AA3972" t="s">
        <v>32</v>
      </c>
      <c r="AB3972" t="s">
        <v>3606</v>
      </c>
      <c r="AC3972" t="s">
        <v>32</v>
      </c>
      <c r="AD3972" t="s">
        <v>32</v>
      </c>
      <c r="AE3972" t="s">
        <v>32</v>
      </c>
      <c r="AF3972" t="s">
        <v>46835</v>
      </c>
    </row>
    <row r="3973" spans="1:32" x14ac:dyDescent="0.2">
      <c r="A3973">
        <v>3968</v>
      </c>
      <c r="B3973" t="s">
        <v>43913</v>
      </c>
      <c r="C3973" t="s">
        <v>43914</v>
      </c>
      <c r="D3973" t="s">
        <v>43915</v>
      </c>
      <c r="E3973" t="s">
        <v>43916</v>
      </c>
      <c r="F3973" t="s">
        <v>43917</v>
      </c>
      <c r="G3973" t="s">
        <v>43918</v>
      </c>
      <c r="H3973" t="str">
        <f>"Nectin2"</f>
        <v>Nectin2</v>
      </c>
      <c r="I3973" t="s">
        <v>43919</v>
      </c>
      <c r="J3973" t="s">
        <v>37</v>
      </c>
      <c r="K3973">
        <v>10090</v>
      </c>
      <c r="L3973" s="3" t="str">
        <f>HYPERLINK("http://www.uniprot.org/uniprot/P32507", "P32507")</f>
        <v>P32507</v>
      </c>
      <c r="M3973" t="s">
        <v>43920</v>
      </c>
      <c r="N3973" t="str">
        <f>"Nectin2"</f>
        <v>Nectin2</v>
      </c>
      <c r="O3973" s="3" t="str">
        <f>HYPERLINK("http://www.informatics.jax.org/marker/MGI:97822", "MGI:97822")</f>
        <v>MGI:97822</v>
      </c>
      <c r="P3973" t="s">
        <v>43921</v>
      </c>
      <c r="Q3973" t="s">
        <v>2784</v>
      </c>
      <c r="R3973" t="s">
        <v>2474</v>
      </c>
      <c r="S3973" t="s">
        <v>41</v>
      </c>
      <c r="T3973" t="s">
        <v>32</v>
      </c>
      <c r="U3973" t="s">
        <v>32</v>
      </c>
      <c r="V3973" t="s">
        <v>2864</v>
      </c>
      <c r="W3973" t="s">
        <v>32</v>
      </c>
      <c r="X3973" t="s">
        <v>6983</v>
      </c>
      <c r="Y3973" t="s">
        <v>2865</v>
      </c>
      <c r="Z3973" t="s">
        <v>126</v>
      </c>
      <c r="AA3973" t="s">
        <v>43922</v>
      </c>
      <c r="AB3973" t="s">
        <v>43923</v>
      </c>
      <c r="AC3973" t="s">
        <v>43924</v>
      </c>
      <c r="AD3973" t="s">
        <v>32</v>
      </c>
      <c r="AE3973" t="s">
        <v>43925</v>
      </c>
      <c r="AF3973" t="s">
        <v>46835</v>
      </c>
    </row>
    <row r="3974" spans="1:32" x14ac:dyDescent="0.2">
      <c r="A3974">
        <v>3969</v>
      </c>
      <c r="B3974" t="s">
        <v>43926</v>
      </c>
      <c r="C3974" t="s">
        <v>43927</v>
      </c>
      <c r="D3974" t="s">
        <v>32</v>
      </c>
      <c r="E3974" t="s">
        <v>43928</v>
      </c>
      <c r="F3974" t="s">
        <v>43929</v>
      </c>
      <c r="G3974" t="s">
        <v>43930</v>
      </c>
      <c r="H3974" t="str">
        <f>"Twsg1"</f>
        <v>Twsg1</v>
      </c>
      <c r="I3974" t="s">
        <v>43931</v>
      </c>
      <c r="J3974" t="s">
        <v>37</v>
      </c>
      <c r="K3974">
        <v>10090</v>
      </c>
      <c r="L3974" s="3" t="str">
        <f>HYPERLINK("http://www.uniprot.org/uniprot/Q9EP52", "Q9EP52")</f>
        <v>Q9EP52</v>
      </c>
      <c r="M3974" t="s">
        <v>43932</v>
      </c>
      <c r="N3974" t="str">
        <f>"Twsg1"</f>
        <v>Twsg1</v>
      </c>
      <c r="O3974" s="3" t="str">
        <f>HYPERLINK("http://www.informatics.jax.org/marker/MGI:2137520", "MGI:2137520")</f>
        <v>MGI:2137520</v>
      </c>
      <c r="P3974" t="s">
        <v>43933</v>
      </c>
      <c r="Q3974" t="s">
        <v>32</v>
      </c>
      <c r="R3974" t="s">
        <v>630</v>
      </c>
      <c r="S3974" t="s">
        <v>32</v>
      </c>
      <c r="T3974" t="s">
        <v>32</v>
      </c>
      <c r="U3974" t="s">
        <v>32</v>
      </c>
      <c r="V3974" t="s">
        <v>811</v>
      </c>
      <c r="W3974" t="s">
        <v>32</v>
      </c>
      <c r="X3974" t="s">
        <v>2029</v>
      </c>
      <c r="Y3974" t="s">
        <v>3733</v>
      </c>
      <c r="Z3974" t="s">
        <v>32</v>
      </c>
      <c r="AA3974" t="s">
        <v>43934</v>
      </c>
      <c r="AB3974" t="s">
        <v>9349</v>
      </c>
      <c r="AC3974" t="s">
        <v>43935</v>
      </c>
      <c r="AD3974" t="s">
        <v>32</v>
      </c>
      <c r="AE3974" t="s">
        <v>32</v>
      </c>
      <c r="AF3974" t="s">
        <v>46835</v>
      </c>
    </row>
    <row r="3975" spans="1:32" x14ac:dyDescent="0.2">
      <c r="A3975">
        <v>3970</v>
      </c>
      <c r="B3975" t="s">
        <v>43936</v>
      </c>
      <c r="C3975" t="s">
        <v>43937</v>
      </c>
      <c r="D3975" t="s">
        <v>32</v>
      </c>
      <c r="E3975" t="s">
        <v>43938</v>
      </c>
      <c r="F3975" t="s">
        <v>43939</v>
      </c>
      <c r="G3975" t="s">
        <v>43940</v>
      </c>
      <c r="H3975" t="str">
        <f>"Mrpl9"</f>
        <v>Mrpl9</v>
      </c>
      <c r="I3975" t="s">
        <v>32</v>
      </c>
      <c r="J3975" t="s">
        <v>37</v>
      </c>
      <c r="K3975">
        <v>10090</v>
      </c>
      <c r="L3975" s="3" t="str">
        <f>HYPERLINK("http://www.uniprot.org/uniprot/Q99N94", "Q99N94")</f>
        <v>Q99N94</v>
      </c>
      <c r="M3975" t="s">
        <v>43941</v>
      </c>
      <c r="N3975" t="str">
        <f>"Mrpl9"</f>
        <v>Mrpl9</v>
      </c>
      <c r="O3975" s="3" t="str">
        <f>HYPERLINK("http://www.informatics.jax.org/marker/MGI:2137211", "MGI:2137211")</f>
        <v>MGI:2137211</v>
      </c>
      <c r="P3975" t="s">
        <v>24765</v>
      </c>
      <c r="Q3975" t="s">
        <v>32</v>
      </c>
      <c r="R3975" t="s">
        <v>1038</v>
      </c>
      <c r="S3975" t="s">
        <v>32</v>
      </c>
      <c r="T3975" t="s">
        <v>32</v>
      </c>
      <c r="U3975" t="s">
        <v>32</v>
      </c>
      <c r="V3975" t="s">
        <v>1039</v>
      </c>
      <c r="W3975" t="s">
        <v>32</v>
      </c>
      <c r="X3975" t="s">
        <v>447</v>
      </c>
      <c r="Y3975" t="s">
        <v>32</v>
      </c>
      <c r="Z3975" t="s">
        <v>32</v>
      </c>
      <c r="AA3975" t="s">
        <v>23519</v>
      </c>
      <c r="AB3975" t="s">
        <v>27223</v>
      </c>
      <c r="AC3975" t="s">
        <v>1010</v>
      </c>
      <c r="AD3975" t="s">
        <v>32</v>
      </c>
      <c r="AE3975" t="s">
        <v>17271</v>
      </c>
      <c r="AF3975" t="s">
        <v>46835</v>
      </c>
    </row>
    <row r="3976" spans="1:32" x14ac:dyDescent="0.2">
      <c r="A3976">
        <v>3971</v>
      </c>
      <c r="B3976" t="s">
        <v>43942</v>
      </c>
      <c r="C3976" t="s">
        <v>43943</v>
      </c>
      <c r="D3976" t="s">
        <v>43944</v>
      </c>
      <c r="E3976" t="s">
        <v>43945</v>
      </c>
      <c r="F3976" t="s">
        <v>43946</v>
      </c>
      <c r="G3976" t="s">
        <v>43947</v>
      </c>
      <c r="H3976" t="str">
        <f>"Gga3"</f>
        <v>Gga3</v>
      </c>
      <c r="I3976" t="s">
        <v>43948</v>
      </c>
      <c r="J3976" t="s">
        <v>37</v>
      </c>
      <c r="K3976">
        <v>10090</v>
      </c>
      <c r="L3976" s="3" t="str">
        <f>HYPERLINK("http://www.uniprot.org/uniprot/Q8BMI3", "Q8BMI3")</f>
        <v>Q8BMI3</v>
      </c>
      <c r="M3976" t="s">
        <v>43949</v>
      </c>
      <c r="N3976" t="str">
        <f>"Gga3"</f>
        <v>Gga3</v>
      </c>
      <c r="O3976" s="3" t="str">
        <f>HYPERLINK("http://www.informatics.jax.org/marker/MGI:2384159", "MGI:2384159")</f>
        <v>MGI:2384159</v>
      </c>
      <c r="P3976" t="s">
        <v>43950</v>
      </c>
      <c r="Q3976" t="s">
        <v>434</v>
      </c>
      <c r="R3976" t="s">
        <v>6982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32</v>
      </c>
      <c r="Y3976" t="s">
        <v>2836</v>
      </c>
      <c r="Z3976" t="s">
        <v>32</v>
      </c>
      <c r="AA3976" t="s">
        <v>43951</v>
      </c>
      <c r="AB3976" t="s">
        <v>43952</v>
      </c>
      <c r="AC3976" t="s">
        <v>43953</v>
      </c>
      <c r="AD3976" t="s">
        <v>32</v>
      </c>
      <c r="AE3976" t="s">
        <v>43954</v>
      </c>
      <c r="AF3976" t="s">
        <v>46835</v>
      </c>
    </row>
    <row r="3977" spans="1:32" x14ac:dyDescent="0.2">
      <c r="A3977">
        <v>3972</v>
      </c>
      <c r="B3977" t="s">
        <v>43955</v>
      </c>
      <c r="C3977" t="s">
        <v>43956</v>
      </c>
      <c r="D3977" t="s">
        <v>43957</v>
      </c>
      <c r="E3977" t="s">
        <v>43958</v>
      </c>
      <c r="F3977" t="s">
        <v>43959</v>
      </c>
      <c r="G3977" t="s">
        <v>43960</v>
      </c>
      <c r="H3977" t="str">
        <f>"Trim3"</f>
        <v>Trim3</v>
      </c>
      <c r="I3977" t="s">
        <v>43961</v>
      </c>
      <c r="J3977" t="s">
        <v>37</v>
      </c>
      <c r="K3977">
        <v>10090</v>
      </c>
      <c r="L3977" s="3" t="str">
        <f>HYPERLINK("http://www.uniprot.org/uniprot/Q9R1R2", "Q9R1R2")</f>
        <v>Q9R1R2</v>
      </c>
      <c r="M3977" t="s">
        <v>43962</v>
      </c>
      <c r="N3977" t="str">
        <f>"Trim3"</f>
        <v>Trim3</v>
      </c>
      <c r="O3977" s="3" t="str">
        <f>HYPERLINK("http://www.informatics.jax.org/marker/MGI:1860040", "MGI:1860040")</f>
        <v>MGI:1860040</v>
      </c>
      <c r="P3977" t="s">
        <v>43963</v>
      </c>
      <c r="Q3977" t="s">
        <v>434</v>
      </c>
      <c r="R3977" t="s">
        <v>43964</v>
      </c>
      <c r="S3977" t="s">
        <v>32</v>
      </c>
      <c r="T3977" t="s">
        <v>32</v>
      </c>
      <c r="U3977" t="s">
        <v>32</v>
      </c>
      <c r="V3977" t="s">
        <v>12028</v>
      </c>
      <c r="W3977" t="s">
        <v>42</v>
      </c>
      <c r="X3977" t="s">
        <v>32</v>
      </c>
      <c r="Y3977" t="s">
        <v>157</v>
      </c>
      <c r="Z3977" t="s">
        <v>32</v>
      </c>
      <c r="AA3977" t="s">
        <v>43965</v>
      </c>
      <c r="AB3977" t="s">
        <v>43966</v>
      </c>
      <c r="AC3977" t="s">
        <v>43967</v>
      </c>
      <c r="AD3977" t="s">
        <v>32</v>
      </c>
      <c r="AE3977" t="s">
        <v>32</v>
      </c>
      <c r="AF3977" t="s">
        <v>46835</v>
      </c>
    </row>
    <row r="3978" spans="1:32" x14ac:dyDescent="0.2">
      <c r="A3978">
        <v>3973</v>
      </c>
      <c r="B3978" t="s">
        <v>43968</v>
      </c>
      <c r="C3978" t="s">
        <v>43969</v>
      </c>
      <c r="D3978" t="s">
        <v>43970</v>
      </c>
      <c r="E3978" t="s">
        <v>43971</v>
      </c>
      <c r="F3978" t="s">
        <v>43972</v>
      </c>
      <c r="G3978" t="s">
        <v>43973</v>
      </c>
      <c r="H3978" t="str">
        <f>"Mettl16"</f>
        <v>Mettl16</v>
      </c>
      <c r="I3978" t="s">
        <v>32</v>
      </c>
      <c r="J3978" t="s">
        <v>37</v>
      </c>
      <c r="K3978">
        <v>10090</v>
      </c>
      <c r="L3978" s="3" t="str">
        <f>HYPERLINK("http://www.uniprot.org/uniprot/Q9CQG2", "Q9CQG2")</f>
        <v>Q9CQG2</v>
      </c>
      <c r="M3978" t="s">
        <v>43974</v>
      </c>
      <c r="N3978" t="str">
        <f>"Mettl16"</f>
        <v>Mettl16</v>
      </c>
      <c r="O3978" s="3" t="str">
        <f>HYPERLINK("http://www.informatics.jax.org/marker/MGI:1914743", "MGI:1914743")</f>
        <v>MGI:1914743</v>
      </c>
      <c r="P3978" t="s">
        <v>43975</v>
      </c>
      <c r="Q3978" t="s">
        <v>32</v>
      </c>
      <c r="R3978" t="s">
        <v>40</v>
      </c>
      <c r="S3978" t="s">
        <v>41</v>
      </c>
      <c r="T3978" t="s">
        <v>32</v>
      </c>
      <c r="U3978" t="s">
        <v>32</v>
      </c>
      <c r="V3978" t="s">
        <v>32</v>
      </c>
      <c r="W3978" t="s">
        <v>1705</v>
      </c>
      <c r="X3978" t="s">
        <v>17597</v>
      </c>
      <c r="Y3978" t="s">
        <v>618</v>
      </c>
      <c r="Z3978" t="s">
        <v>32</v>
      </c>
      <c r="AA3978" t="s">
        <v>43976</v>
      </c>
      <c r="AB3978" t="s">
        <v>110</v>
      </c>
      <c r="AC3978" t="s">
        <v>43977</v>
      </c>
      <c r="AD3978" t="s">
        <v>32</v>
      </c>
      <c r="AE3978" t="s">
        <v>32</v>
      </c>
      <c r="AF3978" t="s">
        <v>46835</v>
      </c>
    </row>
    <row r="3979" spans="1:32" x14ac:dyDescent="0.2">
      <c r="A3979">
        <v>3974</v>
      </c>
      <c r="B3979" t="s">
        <v>43978</v>
      </c>
      <c r="C3979" t="s">
        <v>43979</v>
      </c>
      <c r="D3979" t="s">
        <v>32</v>
      </c>
      <c r="E3979" t="s">
        <v>43980</v>
      </c>
      <c r="F3979" t="s">
        <v>43981</v>
      </c>
      <c r="G3979" t="s">
        <v>32</v>
      </c>
      <c r="H3979" t="str">
        <f>"Wdr3"</f>
        <v>Wdr3</v>
      </c>
      <c r="I3979" t="s">
        <v>32</v>
      </c>
      <c r="J3979" t="s">
        <v>37</v>
      </c>
      <c r="K3979">
        <v>10090</v>
      </c>
      <c r="L3979" s="3" t="str">
        <f>HYPERLINK("http://www.uniprot.org/uniprot/Q8BHB4", "Q8BHB4")</f>
        <v>Q8BHB4</v>
      </c>
      <c r="M3979" t="s">
        <v>43982</v>
      </c>
      <c r="N3979" t="str">
        <f>"Wdr3"</f>
        <v>Wdr3</v>
      </c>
      <c r="O3979" s="3" t="str">
        <f>HYPERLINK("http://www.informatics.jax.org/marker/MGI:2443143", "MGI:2443143")</f>
        <v>MGI:2443143</v>
      </c>
      <c r="P3979" t="s">
        <v>43983</v>
      </c>
      <c r="Q3979" t="s">
        <v>32</v>
      </c>
      <c r="R3979" t="s">
        <v>2279</v>
      </c>
      <c r="S3979" t="s">
        <v>32</v>
      </c>
      <c r="T3979" t="s">
        <v>32</v>
      </c>
      <c r="U3979" t="s">
        <v>32</v>
      </c>
      <c r="V3979" t="s">
        <v>1910</v>
      </c>
      <c r="W3979" t="s">
        <v>32</v>
      </c>
      <c r="X3979" t="s">
        <v>32</v>
      </c>
      <c r="Y3979" t="s">
        <v>1007</v>
      </c>
      <c r="Z3979" t="s">
        <v>32</v>
      </c>
      <c r="AA3979" t="s">
        <v>43984</v>
      </c>
      <c r="AB3979" t="s">
        <v>43985</v>
      </c>
      <c r="AC3979" t="s">
        <v>23078</v>
      </c>
      <c r="AD3979" t="s">
        <v>32</v>
      </c>
      <c r="AE3979" t="s">
        <v>960</v>
      </c>
      <c r="AF3979" t="s">
        <v>46835</v>
      </c>
    </row>
    <row r="3980" spans="1:32" x14ac:dyDescent="0.2">
      <c r="A3980">
        <v>3975</v>
      </c>
      <c r="B3980" t="s">
        <v>43986</v>
      </c>
      <c r="C3980" t="s">
        <v>43987</v>
      </c>
      <c r="D3980" t="s">
        <v>43988</v>
      </c>
      <c r="E3980" t="s">
        <v>43989</v>
      </c>
      <c r="F3980" t="s">
        <v>43990</v>
      </c>
      <c r="G3980" t="s">
        <v>43991</v>
      </c>
      <c r="H3980" t="str">
        <f>"Akap10"</f>
        <v>Akap10</v>
      </c>
      <c r="I3980" t="s">
        <v>32</v>
      </c>
      <c r="J3980" t="s">
        <v>37</v>
      </c>
      <c r="K3980">
        <v>10090</v>
      </c>
      <c r="L3980" s="3" t="str">
        <f>HYPERLINK("http://www.uniprot.org/uniprot/O88845", "O88845")</f>
        <v>O88845</v>
      </c>
      <c r="M3980" t="s">
        <v>43992</v>
      </c>
      <c r="N3980" t="str">
        <f>"Akap10"</f>
        <v>Akap10</v>
      </c>
      <c r="O3980" s="3" t="str">
        <f>HYPERLINK("http://www.informatics.jax.org/marker/MGI:1890218", "MGI:1890218")</f>
        <v>MGI:1890218</v>
      </c>
      <c r="P3980" t="s">
        <v>43993</v>
      </c>
      <c r="Q3980" t="s">
        <v>32</v>
      </c>
      <c r="R3980" t="s">
        <v>25368</v>
      </c>
      <c r="S3980" t="s">
        <v>41</v>
      </c>
      <c r="T3980" t="s">
        <v>32</v>
      </c>
      <c r="U3980" t="s">
        <v>32</v>
      </c>
      <c r="V3980" t="s">
        <v>6597</v>
      </c>
      <c r="W3980" t="s">
        <v>32</v>
      </c>
      <c r="X3980" t="s">
        <v>32</v>
      </c>
      <c r="Y3980" t="s">
        <v>618</v>
      </c>
      <c r="Z3980" t="s">
        <v>32</v>
      </c>
      <c r="AA3980" t="s">
        <v>30287</v>
      </c>
      <c r="AB3980" t="s">
        <v>43994</v>
      </c>
      <c r="AC3980" t="s">
        <v>43995</v>
      </c>
      <c r="AD3980" t="s">
        <v>32</v>
      </c>
      <c r="AE3980" t="s">
        <v>7401</v>
      </c>
      <c r="AF3980" t="s">
        <v>46835</v>
      </c>
    </row>
    <row r="3981" spans="1:32" x14ac:dyDescent="0.2">
      <c r="A3981">
        <v>3976</v>
      </c>
      <c r="B3981" t="s">
        <v>43996</v>
      </c>
      <c r="C3981" t="s">
        <v>43997</v>
      </c>
      <c r="D3981" t="s">
        <v>43998</v>
      </c>
      <c r="E3981" t="s">
        <v>43999</v>
      </c>
      <c r="F3981" t="s">
        <v>44000</v>
      </c>
      <c r="G3981" t="s">
        <v>44001</v>
      </c>
      <c r="H3981" t="str">
        <f>"Nsmce2"</f>
        <v>Nsmce2</v>
      </c>
      <c r="I3981" t="s">
        <v>44002</v>
      </c>
      <c r="J3981" t="s">
        <v>37</v>
      </c>
      <c r="K3981">
        <v>10090</v>
      </c>
      <c r="L3981" s="3" t="str">
        <f>HYPERLINK("http://www.uniprot.org/uniprot/Q91VT1", "Q91VT1")</f>
        <v>Q91VT1</v>
      </c>
      <c r="M3981" t="s">
        <v>44003</v>
      </c>
      <c r="N3981" t="str">
        <f>"Nsmce2"</f>
        <v>Nsmce2</v>
      </c>
      <c r="O3981" s="3" t="str">
        <f>HYPERLINK("http://www.informatics.jax.org/marker/MGI:1915751", "MGI:1915751")</f>
        <v>MGI:1915751</v>
      </c>
      <c r="P3981" t="s">
        <v>44004</v>
      </c>
      <c r="Q3981" t="s">
        <v>44005</v>
      </c>
      <c r="R3981" t="s">
        <v>9085</v>
      </c>
      <c r="S3981" t="s">
        <v>41</v>
      </c>
      <c r="T3981" t="s">
        <v>32</v>
      </c>
      <c r="U3981" t="s">
        <v>32</v>
      </c>
      <c r="V3981" t="s">
        <v>446</v>
      </c>
      <c r="W3981" t="s">
        <v>42</v>
      </c>
      <c r="X3981" t="s">
        <v>515</v>
      </c>
      <c r="Y3981" t="s">
        <v>516</v>
      </c>
      <c r="Z3981" t="s">
        <v>32</v>
      </c>
      <c r="AA3981" t="s">
        <v>44006</v>
      </c>
      <c r="AB3981" t="s">
        <v>44007</v>
      </c>
      <c r="AC3981" t="s">
        <v>44008</v>
      </c>
      <c r="AD3981" t="s">
        <v>2286</v>
      </c>
      <c r="AE3981" t="s">
        <v>44009</v>
      </c>
      <c r="AF3981" t="s">
        <v>46835</v>
      </c>
    </row>
    <row r="3982" spans="1:32" x14ac:dyDescent="0.2">
      <c r="A3982">
        <v>3977</v>
      </c>
      <c r="B3982" t="s">
        <v>44010</v>
      </c>
      <c r="C3982" t="s">
        <v>44011</v>
      </c>
      <c r="D3982" t="s">
        <v>32</v>
      </c>
      <c r="E3982" t="s">
        <v>44012</v>
      </c>
      <c r="F3982" t="s">
        <v>44013</v>
      </c>
      <c r="G3982" t="s">
        <v>44014</v>
      </c>
      <c r="H3982" t="str">
        <f>"Cep68"</f>
        <v>Cep68</v>
      </c>
      <c r="I3982" t="s">
        <v>32</v>
      </c>
      <c r="J3982" t="s">
        <v>37</v>
      </c>
      <c r="K3982">
        <v>10090</v>
      </c>
      <c r="L3982" s="3" t="str">
        <f>HYPERLINK("http://www.uniprot.org/uniprot/Q8C0D9", "Q8C0D9")</f>
        <v>Q8C0D9</v>
      </c>
      <c r="M3982" t="s">
        <v>44015</v>
      </c>
      <c r="N3982" t="str">
        <f>"Cep68"</f>
        <v>Cep68</v>
      </c>
      <c r="O3982" s="3" t="str">
        <f>HYPERLINK("http://www.informatics.jax.org/marker/MGI:2667663", "MGI:2667663")</f>
        <v>MGI:2667663</v>
      </c>
      <c r="P3982" t="s">
        <v>44016</v>
      </c>
      <c r="Q3982" t="s">
        <v>32</v>
      </c>
      <c r="R3982" t="s">
        <v>186</v>
      </c>
      <c r="S3982" t="s">
        <v>41</v>
      </c>
      <c r="T3982" t="s">
        <v>32</v>
      </c>
      <c r="U3982" t="s">
        <v>32</v>
      </c>
      <c r="V3982" t="s">
        <v>32</v>
      </c>
      <c r="W3982" t="s">
        <v>32</v>
      </c>
      <c r="X3982" t="s">
        <v>32</v>
      </c>
      <c r="Y3982" t="s">
        <v>2836</v>
      </c>
      <c r="Z3982" t="s">
        <v>32</v>
      </c>
      <c r="AA3982" t="s">
        <v>44017</v>
      </c>
      <c r="AB3982" t="s">
        <v>44018</v>
      </c>
      <c r="AC3982" t="s">
        <v>44019</v>
      </c>
      <c r="AD3982" t="s">
        <v>32</v>
      </c>
      <c r="AE3982" t="s">
        <v>32</v>
      </c>
      <c r="AF3982" t="s">
        <v>46835</v>
      </c>
    </row>
    <row r="3983" spans="1:32" x14ac:dyDescent="0.2">
      <c r="A3983">
        <v>3978</v>
      </c>
      <c r="B3983" t="s">
        <v>44020</v>
      </c>
      <c r="C3983" t="s">
        <v>44021</v>
      </c>
      <c r="D3983" t="s">
        <v>32</v>
      </c>
      <c r="E3983" t="s">
        <v>44022</v>
      </c>
      <c r="F3983" t="s">
        <v>44023</v>
      </c>
      <c r="G3983" t="s">
        <v>32</v>
      </c>
      <c r="H3983" t="str">
        <f>"Secisbp2l"</f>
        <v>Secisbp2l</v>
      </c>
      <c r="I3983" t="s">
        <v>44024</v>
      </c>
      <c r="J3983" t="s">
        <v>37</v>
      </c>
      <c r="K3983">
        <v>10090</v>
      </c>
      <c r="L3983" s="3" t="str">
        <f>HYPERLINK("http://www.uniprot.org/uniprot/Q6A098", "Q6A098")</f>
        <v>Q6A098</v>
      </c>
      <c r="M3983" t="s">
        <v>44025</v>
      </c>
      <c r="N3983" t="str">
        <f>"Secisbp2l"</f>
        <v>Secisbp2l</v>
      </c>
      <c r="O3983" s="3" t="str">
        <f>HYPERLINK("http://www.informatics.jax.org/marker/MGI:1917604", "MGI:1917604")</f>
        <v>MGI:1917604</v>
      </c>
      <c r="P3983" t="s">
        <v>618</v>
      </c>
      <c r="Q3983" t="s">
        <v>32</v>
      </c>
      <c r="R3983" t="s">
        <v>32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32</v>
      </c>
      <c r="Y3983" t="s">
        <v>618</v>
      </c>
      <c r="Z3983" t="s">
        <v>32</v>
      </c>
      <c r="AA3983" t="s">
        <v>43178</v>
      </c>
      <c r="AB3983" t="s">
        <v>16085</v>
      </c>
      <c r="AC3983" t="s">
        <v>44026</v>
      </c>
      <c r="AD3983" t="s">
        <v>32</v>
      </c>
      <c r="AE3983" t="s">
        <v>32</v>
      </c>
      <c r="AF3983" t="s">
        <v>46835</v>
      </c>
    </row>
    <row r="3984" spans="1:32" x14ac:dyDescent="0.2">
      <c r="A3984">
        <v>3979</v>
      </c>
      <c r="B3984" t="s">
        <v>44027</v>
      </c>
      <c r="C3984" t="s">
        <v>44028</v>
      </c>
      <c r="D3984" t="s">
        <v>44029</v>
      </c>
      <c r="E3984" t="s">
        <v>44030</v>
      </c>
      <c r="F3984" t="s">
        <v>44031</v>
      </c>
      <c r="G3984" t="s">
        <v>44032</v>
      </c>
      <c r="H3984" t="str">
        <f>"Ccdc51"</f>
        <v>Ccdc51</v>
      </c>
      <c r="I3984" t="s">
        <v>32</v>
      </c>
      <c r="J3984" t="s">
        <v>37</v>
      </c>
      <c r="K3984">
        <v>10090</v>
      </c>
      <c r="L3984" s="3" t="str">
        <f>HYPERLINK("http://www.uniprot.org/uniprot/Q3URS9", "Q3URS9")</f>
        <v>Q3URS9</v>
      </c>
      <c r="M3984" t="s">
        <v>44033</v>
      </c>
      <c r="N3984" t="str">
        <f>"Ccdc51"</f>
        <v>Ccdc51</v>
      </c>
      <c r="O3984" s="3" t="str">
        <f>HYPERLINK("http://www.informatics.jax.org/marker/MGI:1913908", "MGI:1913908")</f>
        <v>MGI:1913908</v>
      </c>
      <c r="P3984" t="s">
        <v>44034</v>
      </c>
      <c r="Q3984" t="s">
        <v>42983</v>
      </c>
      <c r="R3984" t="s">
        <v>3858</v>
      </c>
      <c r="S3984" t="s">
        <v>41</v>
      </c>
      <c r="T3984" t="s">
        <v>32</v>
      </c>
      <c r="U3984" t="s">
        <v>32</v>
      </c>
      <c r="V3984" t="s">
        <v>5433</v>
      </c>
      <c r="W3984" t="s">
        <v>44035</v>
      </c>
      <c r="X3984" t="s">
        <v>44036</v>
      </c>
      <c r="Y3984" t="s">
        <v>32</v>
      </c>
      <c r="Z3984" t="s">
        <v>32</v>
      </c>
      <c r="AA3984" t="s">
        <v>44037</v>
      </c>
      <c r="AB3984" t="s">
        <v>44038</v>
      </c>
      <c r="AC3984" t="s">
        <v>44039</v>
      </c>
      <c r="AD3984" t="s">
        <v>32</v>
      </c>
      <c r="AE3984" t="s">
        <v>32</v>
      </c>
      <c r="AF3984" t="s">
        <v>46835</v>
      </c>
    </row>
    <row r="3985" spans="1:32" x14ac:dyDescent="0.2">
      <c r="A3985">
        <v>3980</v>
      </c>
      <c r="B3985" t="s">
        <v>44040</v>
      </c>
      <c r="C3985" t="s">
        <v>44041</v>
      </c>
      <c r="D3985" t="s">
        <v>44042</v>
      </c>
      <c r="E3985" t="s">
        <v>44043</v>
      </c>
      <c r="F3985" t="s">
        <v>44044</v>
      </c>
      <c r="G3985" t="s">
        <v>44045</v>
      </c>
      <c r="H3985" t="str">
        <f>"Crlf3"</f>
        <v>Crlf3</v>
      </c>
      <c r="I3985" t="s">
        <v>44046</v>
      </c>
      <c r="J3985" t="s">
        <v>37</v>
      </c>
      <c r="K3985">
        <v>10090</v>
      </c>
      <c r="L3985" s="3" t="str">
        <f>HYPERLINK("http://www.uniprot.org/uniprot/Q9Z2L7", "Q9Z2L7")</f>
        <v>Q9Z2L7</v>
      </c>
      <c r="M3985" t="s">
        <v>44047</v>
      </c>
      <c r="N3985" t="str">
        <f>"Crlf3"</f>
        <v>Crlf3</v>
      </c>
      <c r="O3985" s="3" t="str">
        <f>HYPERLINK("http://www.informatics.jax.org/marker/MGI:1860086", "MGI:1860086")</f>
        <v>MGI:1860086</v>
      </c>
      <c r="P3985" t="s">
        <v>44048</v>
      </c>
      <c r="Q3985" t="s">
        <v>32</v>
      </c>
      <c r="R3985" t="s">
        <v>418</v>
      </c>
      <c r="S3985" t="s">
        <v>41</v>
      </c>
      <c r="T3985" t="s">
        <v>32</v>
      </c>
      <c r="U3985" t="s">
        <v>32</v>
      </c>
      <c r="V3985" t="s">
        <v>290</v>
      </c>
      <c r="W3985" t="s">
        <v>32</v>
      </c>
      <c r="X3985" t="s">
        <v>32</v>
      </c>
      <c r="Y3985" t="s">
        <v>32</v>
      </c>
      <c r="Z3985" t="s">
        <v>126</v>
      </c>
      <c r="AA3985" t="s">
        <v>44049</v>
      </c>
      <c r="AB3985" t="s">
        <v>8034</v>
      </c>
      <c r="AC3985" t="s">
        <v>16904</v>
      </c>
      <c r="AD3985" t="s">
        <v>32</v>
      </c>
      <c r="AE3985" t="s">
        <v>32</v>
      </c>
      <c r="AF3985" t="s">
        <v>46835</v>
      </c>
    </row>
    <row r="3986" spans="1:32" x14ac:dyDescent="0.2">
      <c r="A3986">
        <v>3981</v>
      </c>
      <c r="B3986" t="s">
        <v>44050</v>
      </c>
      <c r="C3986" t="s">
        <v>44051</v>
      </c>
      <c r="D3986" t="s">
        <v>44052</v>
      </c>
      <c r="E3986" t="s">
        <v>44053</v>
      </c>
      <c r="F3986" t="s">
        <v>44054</v>
      </c>
      <c r="G3986" t="s">
        <v>44055</v>
      </c>
      <c r="H3986" t="str">
        <f>"Igf1r"</f>
        <v>Igf1r</v>
      </c>
      <c r="I3986" t="s">
        <v>32</v>
      </c>
      <c r="J3986" t="s">
        <v>37</v>
      </c>
      <c r="K3986">
        <v>10090</v>
      </c>
      <c r="L3986" s="3" t="str">
        <f>HYPERLINK("http://www.uniprot.org/uniprot/Q60751", "Q60751")</f>
        <v>Q60751</v>
      </c>
      <c r="M3986" t="s">
        <v>44056</v>
      </c>
      <c r="N3986" t="str">
        <f>"Igf1r"</f>
        <v>Igf1r</v>
      </c>
      <c r="O3986" s="3" t="str">
        <f>HYPERLINK("http://www.informatics.jax.org/marker/MGI:96433", "MGI:96433")</f>
        <v>MGI:96433</v>
      </c>
      <c r="P3986" t="s">
        <v>44057</v>
      </c>
      <c r="Q3986" t="s">
        <v>32</v>
      </c>
      <c r="R3986" t="s">
        <v>2474</v>
      </c>
      <c r="S3986" t="s">
        <v>32</v>
      </c>
      <c r="T3986" t="s">
        <v>32</v>
      </c>
      <c r="U3986" t="s">
        <v>32</v>
      </c>
      <c r="V3986" t="s">
        <v>1665</v>
      </c>
      <c r="W3986" t="s">
        <v>205</v>
      </c>
      <c r="X3986" t="s">
        <v>22288</v>
      </c>
      <c r="Y3986" t="s">
        <v>44058</v>
      </c>
      <c r="Z3986" t="s">
        <v>126</v>
      </c>
      <c r="AA3986" t="s">
        <v>44059</v>
      </c>
      <c r="AB3986" t="s">
        <v>44060</v>
      </c>
      <c r="AC3986" t="s">
        <v>44061</v>
      </c>
      <c r="AD3986" t="s">
        <v>32</v>
      </c>
      <c r="AE3986" t="s">
        <v>44062</v>
      </c>
      <c r="AF3986" t="s">
        <v>46835</v>
      </c>
    </row>
    <row r="3987" spans="1:32" x14ac:dyDescent="0.2">
      <c r="A3987">
        <v>3982</v>
      </c>
      <c r="B3987" t="s">
        <v>44063</v>
      </c>
      <c r="C3987" t="s">
        <v>44064</v>
      </c>
      <c r="D3987" t="s">
        <v>44065</v>
      </c>
      <c r="E3987" t="s">
        <v>44066</v>
      </c>
      <c r="F3987" t="s">
        <v>44067</v>
      </c>
      <c r="G3987" t="s">
        <v>44068</v>
      </c>
      <c r="H3987" t="str">
        <f>"Prkdc"</f>
        <v>Prkdc</v>
      </c>
      <c r="I3987" t="s">
        <v>44069</v>
      </c>
      <c r="J3987" t="s">
        <v>37</v>
      </c>
      <c r="K3987">
        <v>10090</v>
      </c>
      <c r="L3987" s="3" t="str">
        <f>HYPERLINK("http://www.uniprot.org/uniprot/P97313", "P97313")</f>
        <v>P97313</v>
      </c>
      <c r="M3987" t="s">
        <v>44070</v>
      </c>
      <c r="N3987" t="str">
        <f>"Prkdc"</f>
        <v>Prkdc</v>
      </c>
      <c r="O3987" s="3" t="str">
        <f>HYPERLINK("http://www.informatics.jax.org/marker/MGI:104779", "MGI:104779")</f>
        <v>MGI:104779</v>
      </c>
      <c r="P3987" t="s">
        <v>44071</v>
      </c>
      <c r="Q3987" t="s">
        <v>44072</v>
      </c>
      <c r="R3987" t="s">
        <v>2279</v>
      </c>
      <c r="S3987" t="s">
        <v>41</v>
      </c>
      <c r="T3987" t="s">
        <v>32</v>
      </c>
      <c r="U3987" t="s">
        <v>44073</v>
      </c>
      <c r="V3987" t="s">
        <v>995</v>
      </c>
      <c r="W3987" t="s">
        <v>205</v>
      </c>
      <c r="X3987" t="s">
        <v>5419</v>
      </c>
      <c r="Y3987" t="s">
        <v>861</v>
      </c>
      <c r="Z3987" t="s">
        <v>32</v>
      </c>
      <c r="AA3987" t="s">
        <v>44074</v>
      </c>
      <c r="AB3987" t="s">
        <v>44075</v>
      </c>
      <c r="AC3987" t="s">
        <v>44076</v>
      </c>
      <c r="AD3987" t="s">
        <v>32</v>
      </c>
      <c r="AE3987" t="s">
        <v>44077</v>
      </c>
      <c r="AF3987" t="s">
        <v>46835</v>
      </c>
    </row>
    <row r="3988" spans="1:32" x14ac:dyDescent="0.2">
      <c r="A3988">
        <v>3983</v>
      </c>
      <c r="B3988" t="s">
        <v>44078</v>
      </c>
      <c r="C3988" t="s">
        <v>44079</v>
      </c>
      <c r="D3988" t="s">
        <v>44080</v>
      </c>
      <c r="E3988" t="s">
        <v>44081</v>
      </c>
      <c r="F3988" t="s">
        <v>44082</v>
      </c>
      <c r="G3988" t="s">
        <v>44083</v>
      </c>
      <c r="H3988" t="str">
        <f>"Terf2"</f>
        <v>Terf2</v>
      </c>
      <c r="I3988" t="s">
        <v>44084</v>
      </c>
      <c r="J3988" t="s">
        <v>37</v>
      </c>
      <c r="K3988">
        <v>10090</v>
      </c>
      <c r="L3988" s="3" t="str">
        <f>HYPERLINK("http://www.uniprot.org/uniprot/O35144", "O35144")</f>
        <v>O35144</v>
      </c>
      <c r="M3988" t="s">
        <v>44085</v>
      </c>
      <c r="N3988" t="str">
        <f>"Terf2"</f>
        <v>Terf2</v>
      </c>
      <c r="O3988" s="3" t="str">
        <f>HYPERLINK("http://www.informatics.jax.org/marker/MGI:1195972", "MGI:1195972")</f>
        <v>MGI:1195972</v>
      </c>
      <c r="P3988" t="s">
        <v>44086</v>
      </c>
      <c r="Q3988" t="s">
        <v>9824</v>
      </c>
      <c r="R3988" t="s">
        <v>9085</v>
      </c>
      <c r="S3988" t="s">
        <v>41</v>
      </c>
      <c r="T3988" t="s">
        <v>32</v>
      </c>
      <c r="U3988" t="s">
        <v>32</v>
      </c>
      <c r="V3988" t="s">
        <v>32</v>
      </c>
      <c r="W3988" t="s">
        <v>32</v>
      </c>
      <c r="X3988" t="s">
        <v>247</v>
      </c>
      <c r="Y3988" t="s">
        <v>2192</v>
      </c>
      <c r="Z3988" t="s">
        <v>32</v>
      </c>
      <c r="AA3988" t="s">
        <v>44087</v>
      </c>
      <c r="AB3988" t="s">
        <v>44088</v>
      </c>
      <c r="AC3988" t="s">
        <v>44089</v>
      </c>
      <c r="AD3988" t="s">
        <v>32</v>
      </c>
      <c r="AE3988" t="s">
        <v>44090</v>
      </c>
      <c r="AF3988" t="s">
        <v>46835</v>
      </c>
    </row>
    <row r="3989" spans="1:32" x14ac:dyDescent="0.2">
      <c r="A3989">
        <v>3984</v>
      </c>
      <c r="B3989" t="s">
        <v>44091</v>
      </c>
      <c r="C3989" t="s">
        <v>44092</v>
      </c>
      <c r="D3989" t="s">
        <v>32</v>
      </c>
      <c r="E3989" t="s">
        <v>44093</v>
      </c>
      <c r="F3989" t="s">
        <v>44094</v>
      </c>
      <c r="G3989" t="s">
        <v>44095</v>
      </c>
      <c r="H3989" t="str">
        <f>"Btd"</f>
        <v>Btd</v>
      </c>
      <c r="I3989" t="s">
        <v>32</v>
      </c>
      <c r="J3989" t="s">
        <v>37</v>
      </c>
      <c r="K3989">
        <v>10090</v>
      </c>
      <c r="L3989" s="3" t="str">
        <f>HYPERLINK("http://www.uniprot.org/uniprot/Q8CIF4", "Q8CIF4")</f>
        <v>Q8CIF4</v>
      </c>
      <c r="M3989" t="s">
        <v>44096</v>
      </c>
      <c r="N3989" t="str">
        <f>"Btd"</f>
        <v>Btd</v>
      </c>
      <c r="O3989" s="3" t="str">
        <f>HYPERLINK("http://www.informatics.jax.org/marker/MGI:1347001", "MGI:1347001")</f>
        <v>MGI:1347001</v>
      </c>
      <c r="P3989" t="s">
        <v>44097</v>
      </c>
      <c r="Q3989" t="s">
        <v>32</v>
      </c>
      <c r="R3989" t="s">
        <v>630</v>
      </c>
      <c r="S3989" t="s">
        <v>32</v>
      </c>
      <c r="T3989" t="s">
        <v>32</v>
      </c>
      <c r="U3989" t="s">
        <v>32</v>
      </c>
      <c r="V3989" t="s">
        <v>811</v>
      </c>
      <c r="W3989" t="s">
        <v>32</v>
      </c>
      <c r="X3989" t="s">
        <v>343</v>
      </c>
      <c r="Y3989" t="s">
        <v>3733</v>
      </c>
      <c r="Z3989" t="s">
        <v>32</v>
      </c>
      <c r="AA3989" t="s">
        <v>44098</v>
      </c>
      <c r="AB3989" t="s">
        <v>44099</v>
      </c>
      <c r="AC3989" t="s">
        <v>44100</v>
      </c>
      <c r="AD3989" t="s">
        <v>32</v>
      </c>
      <c r="AE3989" t="s">
        <v>19411</v>
      </c>
      <c r="AF3989" t="s">
        <v>46835</v>
      </c>
    </row>
    <row r="3990" spans="1:32" x14ac:dyDescent="0.2">
      <c r="A3990">
        <v>3985</v>
      </c>
      <c r="B3990" t="s">
        <v>44101</v>
      </c>
      <c r="C3990" t="s">
        <v>44102</v>
      </c>
      <c r="D3990" t="s">
        <v>44103</v>
      </c>
      <c r="E3990" t="s">
        <v>44104</v>
      </c>
      <c r="F3990" t="s">
        <v>44105</v>
      </c>
      <c r="G3990" t="s">
        <v>32</v>
      </c>
      <c r="H3990" t="str">
        <f>"Tead1"</f>
        <v>Tead1</v>
      </c>
      <c r="I3990" t="s">
        <v>44106</v>
      </c>
      <c r="J3990" t="s">
        <v>37</v>
      </c>
      <c r="K3990">
        <v>10090</v>
      </c>
      <c r="L3990" s="3" t="str">
        <f>HYPERLINK("http://www.uniprot.org/uniprot/P30051", "P30051")</f>
        <v>P30051</v>
      </c>
      <c r="M3990" t="s">
        <v>44107</v>
      </c>
      <c r="N3990" t="str">
        <f>"Tead1"</f>
        <v>Tead1</v>
      </c>
      <c r="O3990" s="3" t="str">
        <f>HYPERLINK("http://www.informatics.jax.org/marker/MGI:101876", "MGI:101876")</f>
        <v>MGI:101876</v>
      </c>
      <c r="P3990" t="s">
        <v>13819</v>
      </c>
      <c r="Q3990" t="s">
        <v>4152</v>
      </c>
      <c r="R3990" t="s">
        <v>2279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2350</v>
      </c>
      <c r="Y3990" t="s">
        <v>157</v>
      </c>
      <c r="Z3990" t="s">
        <v>32</v>
      </c>
      <c r="AA3990" t="s">
        <v>44108</v>
      </c>
      <c r="AB3990" t="s">
        <v>44109</v>
      </c>
      <c r="AC3990" t="s">
        <v>44110</v>
      </c>
      <c r="AD3990" t="s">
        <v>32</v>
      </c>
      <c r="AE3990" t="s">
        <v>44111</v>
      </c>
      <c r="AF3990" t="s">
        <v>46835</v>
      </c>
    </row>
    <row r="3991" spans="1:32" x14ac:dyDescent="0.2">
      <c r="A3991">
        <v>3986</v>
      </c>
      <c r="B3991" t="s">
        <v>44112</v>
      </c>
      <c r="C3991" t="s">
        <v>44113</v>
      </c>
      <c r="D3991" t="s">
        <v>44114</v>
      </c>
      <c r="E3991" t="s">
        <v>44115</v>
      </c>
      <c r="F3991" t="s">
        <v>44116</v>
      </c>
      <c r="G3991" t="s">
        <v>44117</v>
      </c>
      <c r="H3991" t="str">
        <f>"Nkrf"</f>
        <v>Nkrf</v>
      </c>
      <c r="I3991" t="s">
        <v>44118</v>
      </c>
      <c r="J3991" t="s">
        <v>37</v>
      </c>
      <c r="K3991">
        <v>10090</v>
      </c>
      <c r="L3991" s="3" t="str">
        <f>HYPERLINK("http://www.uniprot.org/uniprot/Q8BY02", "Q8BY02")</f>
        <v>Q8BY02</v>
      </c>
      <c r="M3991" t="s">
        <v>44119</v>
      </c>
      <c r="N3991" t="str">
        <f>"Nkrf"</f>
        <v>Nkrf</v>
      </c>
      <c r="O3991" s="3" t="str">
        <f>HYPERLINK("http://www.informatics.jax.org/marker/MGI:1924536", "MGI:1924536")</f>
        <v>MGI:1924536</v>
      </c>
      <c r="P3991" t="s">
        <v>44120</v>
      </c>
      <c r="Q3991" t="s">
        <v>4152</v>
      </c>
      <c r="R3991" t="s">
        <v>2279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7046</v>
      </c>
      <c r="Y3991" t="s">
        <v>1007</v>
      </c>
      <c r="Z3991" t="s">
        <v>32</v>
      </c>
      <c r="AA3991" t="s">
        <v>44121</v>
      </c>
      <c r="AB3991" t="s">
        <v>35588</v>
      </c>
      <c r="AC3991" t="s">
        <v>44122</v>
      </c>
      <c r="AD3991" t="s">
        <v>32</v>
      </c>
      <c r="AE3991" t="s">
        <v>32</v>
      </c>
      <c r="AF3991" t="s">
        <v>46835</v>
      </c>
    </row>
    <row r="3992" spans="1:32" x14ac:dyDescent="0.2">
      <c r="A3992">
        <v>3987</v>
      </c>
      <c r="B3992" t="s">
        <v>44123</v>
      </c>
      <c r="C3992" t="s">
        <v>44124</v>
      </c>
      <c r="D3992" t="s">
        <v>44125</v>
      </c>
      <c r="E3992" t="s">
        <v>44126</v>
      </c>
      <c r="F3992" t="s">
        <v>44127</v>
      </c>
      <c r="G3992" t="s">
        <v>44128</v>
      </c>
      <c r="H3992" t="str">
        <f>"Zfyve16"</f>
        <v>Zfyve16</v>
      </c>
      <c r="I3992" t="s">
        <v>44129</v>
      </c>
      <c r="J3992" t="s">
        <v>37</v>
      </c>
      <c r="K3992">
        <v>10090</v>
      </c>
      <c r="L3992" s="3" t="str">
        <f>HYPERLINK("http://www.uniprot.org/uniprot/Q80U44", "Q80U44")</f>
        <v>Q80U44</v>
      </c>
      <c r="M3992" t="s">
        <v>44130</v>
      </c>
      <c r="N3992" t="str">
        <f>"Zfyve16"</f>
        <v>Zfyve16</v>
      </c>
      <c r="O3992" s="3" t="str">
        <f>HYPERLINK("http://www.informatics.jax.org/marker/MGI:2145181", "MGI:2145181")</f>
        <v>MGI:2145181</v>
      </c>
      <c r="P3992" t="s">
        <v>44131</v>
      </c>
      <c r="Q3992" t="s">
        <v>32</v>
      </c>
      <c r="R3992" t="s">
        <v>6558</v>
      </c>
      <c r="S3992" t="s">
        <v>32</v>
      </c>
      <c r="T3992" t="s">
        <v>32</v>
      </c>
      <c r="U3992" t="s">
        <v>32</v>
      </c>
      <c r="V3992" t="s">
        <v>446</v>
      </c>
      <c r="W3992" t="s">
        <v>42</v>
      </c>
      <c r="X3992" t="s">
        <v>32</v>
      </c>
      <c r="Y3992" t="s">
        <v>618</v>
      </c>
      <c r="Z3992" t="s">
        <v>32</v>
      </c>
      <c r="AA3992" t="s">
        <v>44132</v>
      </c>
      <c r="AB3992" t="s">
        <v>44133</v>
      </c>
      <c r="AC3992" t="s">
        <v>44134</v>
      </c>
      <c r="AD3992" t="s">
        <v>32</v>
      </c>
      <c r="AE3992" t="s">
        <v>44135</v>
      </c>
      <c r="AF3992" t="s">
        <v>46835</v>
      </c>
    </row>
    <row r="3993" spans="1:32" x14ac:dyDescent="0.2">
      <c r="A3993">
        <v>3988</v>
      </c>
      <c r="B3993" t="s">
        <v>44136</v>
      </c>
      <c r="C3993" t="s">
        <v>44137</v>
      </c>
      <c r="D3993" t="s">
        <v>32</v>
      </c>
      <c r="E3993" t="s">
        <v>44138</v>
      </c>
      <c r="F3993" t="s">
        <v>44139</v>
      </c>
      <c r="G3993" t="s">
        <v>44140</v>
      </c>
      <c r="H3993" t="str">
        <f>"Rpp40"</f>
        <v>Rpp40</v>
      </c>
      <c r="I3993" t="s">
        <v>32</v>
      </c>
      <c r="J3993" t="s">
        <v>37</v>
      </c>
      <c r="K3993">
        <v>10090</v>
      </c>
      <c r="L3993" s="3" t="str">
        <f>HYPERLINK("http://www.uniprot.org/uniprot/Q8R1F9", "Q8R1F9")</f>
        <v>Q8R1F9</v>
      </c>
      <c r="M3993" t="s">
        <v>44141</v>
      </c>
      <c r="N3993" t="str">
        <f>"Rpp40"</f>
        <v>Rpp40</v>
      </c>
      <c r="O3993" s="3" t="str">
        <f>HYPERLINK("http://www.informatics.jax.org/marker/MGI:1346084", "MGI:1346084")</f>
        <v>MGI:1346084</v>
      </c>
      <c r="P3993" t="s">
        <v>44142</v>
      </c>
      <c r="Q3993" t="s">
        <v>25844</v>
      </c>
      <c r="R3993" t="s">
        <v>2279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32</v>
      </c>
      <c r="Y3993" t="s">
        <v>32</v>
      </c>
      <c r="Z3993" t="s">
        <v>32</v>
      </c>
      <c r="AA3993" t="s">
        <v>44143</v>
      </c>
      <c r="AB3993" t="s">
        <v>44144</v>
      </c>
      <c r="AC3993" t="s">
        <v>44145</v>
      </c>
      <c r="AD3993" t="s">
        <v>32</v>
      </c>
      <c r="AE3993" t="s">
        <v>960</v>
      </c>
      <c r="AF3993" t="s">
        <v>46835</v>
      </c>
    </row>
    <row r="3994" spans="1:32" x14ac:dyDescent="0.2">
      <c r="A3994">
        <v>3989</v>
      </c>
      <c r="B3994" t="s">
        <v>44146</v>
      </c>
      <c r="C3994" t="s">
        <v>44147</v>
      </c>
      <c r="D3994" t="s">
        <v>44148</v>
      </c>
      <c r="E3994" t="s">
        <v>44149</v>
      </c>
      <c r="F3994" t="s">
        <v>44150</v>
      </c>
      <c r="G3994" t="s">
        <v>44151</v>
      </c>
      <c r="H3994" t="str">
        <f>"Wbp4"</f>
        <v>Wbp4</v>
      </c>
      <c r="I3994" t="s">
        <v>44152</v>
      </c>
      <c r="J3994" t="s">
        <v>37</v>
      </c>
      <c r="K3994">
        <v>10090</v>
      </c>
      <c r="L3994" s="3" t="str">
        <f>HYPERLINK("http://www.uniprot.org/uniprot/Q61048", "Q61048")</f>
        <v>Q61048</v>
      </c>
      <c r="M3994" t="s">
        <v>44153</v>
      </c>
      <c r="N3994" t="str">
        <f>"Wbp4"</f>
        <v>Wbp4</v>
      </c>
      <c r="O3994" s="3" t="str">
        <f>HYPERLINK("http://www.informatics.jax.org/marker/MGI:109568", "MGI:109568")</f>
        <v>MGI:109568</v>
      </c>
      <c r="P3994" t="s">
        <v>44154</v>
      </c>
      <c r="Q3994" t="s">
        <v>2139</v>
      </c>
      <c r="R3994" t="s">
        <v>2140</v>
      </c>
      <c r="S3994" t="s">
        <v>32</v>
      </c>
      <c r="T3994" t="s">
        <v>32</v>
      </c>
      <c r="U3994" t="s">
        <v>32</v>
      </c>
      <c r="V3994" t="s">
        <v>3791</v>
      </c>
      <c r="W3994" t="s">
        <v>42</v>
      </c>
      <c r="X3994" t="s">
        <v>32</v>
      </c>
      <c r="Y3994" t="s">
        <v>618</v>
      </c>
      <c r="Z3994" t="s">
        <v>32</v>
      </c>
      <c r="AA3994" t="s">
        <v>44155</v>
      </c>
      <c r="AB3994" t="s">
        <v>44156</v>
      </c>
      <c r="AC3994" t="s">
        <v>44157</v>
      </c>
      <c r="AD3994" t="s">
        <v>32</v>
      </c>
      <c r="AE3994" t="s">
        <v>946</v>
      </c>
      <c r="AF3994" t="s">
        <v>46835</v>
      </c>
    </row>
    <row r="3995" spans="1:32" x14ac:dyDescent="0.2">
      <c r="A3995">
        <v>3990</v>
      </c>
      <c r="B3995" t="s">
        <v>44158</v>
      </c>
      <c r="C3995" t="s">
        <v>44159</v>
      </c>
      <c r="D3995" t="s">
        <v>44160</v>
      </c>
      <c r="E3995" t="s">
        <v>44161</v>
      </c>
      <c r="F3995" t="s">
        <v>44162</v>
      </c>
      <c r="G3995" t="s">
        <v>44163</v>
      </c>
      <c r="H3995" t="str">
        <f>"Ezh2"</f>
        <v>Ezh2</v>
      </c>
      <c r="I3995" t="s">
        <v>44164</v>
      </c>
      <c r="J3995" t="s">
        <v>37</v>
      </c>
      <c r="K3995">
        <v>10090</v>
      </c>
      <c r="L3995" s="3" t="str">
        <f>HYPERLINK("http://www.uniprot.org/uniprot/Q61188", "Q61188")</f>
        <v>Q61188</v>
      </c>
      <c r="M3995" t="s">
        <v>44165</v>
      </c>
      <c r="N3995" t="str">
        <f>"Ezh2"</f>
        <v>Ezh2</v>
      </c>
      <c r="O3995" s="3" t="str">
        <f>HYPERLINK("http://www.informatics.jax.org/marker/MGI:107940", "MGI:107940")</f>
        <v>MGI:107940</v>
      </c>
      <c r="P3995" t="s">
        <v>44166</v>
      </c>
      <c r="Q3995" t="s">
        <v>1992</v>
      </c>
      <c r="R3995" t="s">
        <v>1939</v>
      </c>
      <c r="S3995" t="s">
        <v>41</v>
      </c>
      <c r="T3995" t="s">
        <v>32</v>
      </c>
      <c r="U3995" t="s">
        <v>32</v>
      </c>
      <c r="V3995" t="s">
        <v>32</v>
      </c>
      <c r="W3995" t="s">
        <v>1705</v>
      </c>
      <c r="X3995" t="s">
        <v>9393</v>
      </c>
      <c r="Y3995" t="s">
        <v>44167</v>
      </c>
      <c r="Z3995" t="s">
        <v>126</v>
      </c>
      <c r="AA3995" t="s">
        <v>44168</v>
      </c>
      <c r="AB3995" t="s">
        <v>44169</v>
      </c>
      <c r="AC3995" t="s">
        <v>44170</v>
      </c>
      <c r="AD3995" t="s">
        <v>32</v>
      </c>
      <c r="AE3995" t="s">
        <v>41177</v>
      </c>
      <c r="AF3995" t="s">
        <v>46835</v>
      </c>
    </row>
    <row r="3996" spans="1:32" x14ac:dyDescent="0.2">
      <c r="A3996">
        <v>3991</v>
      </c>
      <c r="B3996" t="s">
        <v>44171</v>
      </c>
      <c r="C3996" t="s">
        <v>44172</v>
      </c>
      <c r="D3996" t="s">
        <v>32</v>
      </c>
      <c r="E3996" t="s">
        <v>44173</v>
      </c>
      <c r="F3996" t="s">
        <v>44174</v>
      </c>
      <c r="G3996" t="s">
        <v>44175</v>
      </c>
      <c r="H3996" t="str">
        <f>"Nxt1"</f>
        <v>Nxt1</v>
      </c>
      <c r="I3996" t="s">
        <v>32</v>
      </c>
      <c r="J3996" t="s">
        <v>37</v>
      </c>
      <c r="K3996">
        <v>10090</v>
      </c>
      <c r="L3996" s="3" t="str">
        <f>HYPERLINK("http://www.uniprot.org/uniprot/Q9QZV9", "Q9QZV9")</f>
        <v>Q9QZV9</v>
      </c>
      <c r="M3996" t="s">
        <v>44176</v>
      </c>
      <c r="N3996" t="str">
        <f>"Nxt1"</f>
        <v>Nxt1</v>
      </c>
      <c r="O3996" s="3" t="str">
        <f>HYPERLINK("http://www.informatics.jax.org/marker/MGI:1929619", "MGI:1929619")</f>
        <v>MGI:1929619</v>
      </c>
      <c r="P3996" t="s">
        <v>44177</v>
      </c>
      <c r="Q3996" t="s">
        <v>7502</v>
      </c>
      <c r="R3996" t="s">
        <v>40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32</v>
      </c>
      <c r="Y3996" t="s">
        <v>78</v>
      </c>
      <c r="Z3996" t="s">
        <v>32</v>
      </c>
      <c r="AA3996" t="s">
        <v>44178</v>
      </c>
      <c r="AB3996" t="s">
        <v>44179</v>
      </c>
      <c r="AC3996" t="s">
        <v>10905</v>
      </c>
      <c r="AD3996" t="s">
        <v>32</v>
      </c>
      <c r="AE3996" t="s">
        <v>41989</v>
      </c>
      <c r="AF3996" t="s">
        <v>46835</v>
      </c>
    </row>
    <row r="3997" spans="1:32" x14ac:dyDescent="0.2">
      <c r="A3997">
        <v>3992</v>
      </c>
      <c r="B3997" t="s">
        <v>44180</v>
      </c>
      <c r="C3997" t="s">
        <v>44181</v>
      </c>
      <c r="D3997" t="s">
        <v>44182</v>
      </c>
      <c r="E3997" t="s">
        <v>44183</v>
      </c>
      <c r="F3997" t="s">
        <v>44184</v>
      </c>
      <c r="G3997" t="s">
        <v>44185</v>
      </c>
      <c r="H3997" t="str">
        <f>"Pdk1"</f>
        <v>Pdk1</v>
      </c>
      <c r="I3997" t="s">
        <v>32</v>
      </c>
      <c r="J3997" t="s">
        <v>37</v>
      </c>
      <c r="K3997">
        <v>10090</v>
      </c>
      <c r="L3997" s="3" t="str">
        <f>HYPERLINK("http://www.uniprot.org/uniprot/Q8BFP9", "Q8BFP9")</f>
        <v>Q8BFP9</v>
      </c>
      <c r="M3997" t="s">
        <v>44186</v>
      </c>
      <c r="N3997" t="str">
        <f>"Pdk1"</f>
        <v>Pdk1</v>
      </c>
      <c r="O3997" s="3" t="str">
        <f>HYPERLINK("http://www.informatics.jax.org/marker/MGI:1926119", "MGI:1926119")</f>
        <v>MGI:1926119</v>
      </c>
      <c r="P3997" t="s">
        <v>44187</v>
      </c>
      <c r="Q3997" t="s">
        <v>3553</v>
      </c>
      <c r="R3997" t="s">
        <v>1038</v>
      </c>
      <c r="S3997" t="s">
        <v>32</v>
      </c>
      <c r="T3997" t="s">
        <v>32</v>
      </c>
      <c r="U3997" t="s">
        <v>32</v>
      </c>
      <c r="V3997" t="s">
        <v>1039</v>
      </c>
      <c r="W3997" t="s">
        <v>205</v>
      </c>
      <c r="X3997" t="s">
        <v>419</v>
      </c>
      <c r="Y3997" t="s">
        <v>618</v>
      </c>
      <c r="Z3997" t="s">
        <v>32</v>
      </c>
      <c r="AA3997" t="s">
        <v>44188</v>
      </c>
      <c r="AB3997" t="s">
        <v>44189</v>
      </c>
      <c r="AC3997" t="s">
        <v>44190</v>
      </c>
      <c r="AD3997" t="s">
        <v>32</v>
      </c>
      <c r="AE3997" t="s">
        <v>29969</v>
      </c>
      <c r="AF3997" t="s">
        <v>46835</v>
      </c>
    </row>
    <row r="3998" spans="1:32" x14ac:dyDescent="0.2">
      <c r="A3998">
        <v>3993</v>
      </c>
      <c r="B3998" t="s">
        <v>44191</v>
      </c>
      <c r="C3998" t="s">
        <v>44192</v>
      </c>
      <c r="D3998" t="s">
        <v>44193</v>
      </c>
      <c r="E3998" t="s">
        <v>44194</v>
      </c>
      <c r="F3998" t="s">
        <v>44195</v>
      </c>
      <c r="G3998" t="s">
        <v>44196</v>
      </c>
      <c r="H3998" t="str">
        <f>"Senp7"</f>
        <v>Senp7</v>
      </c>
      <c r="I3998" t="s">
        <v>32</v>
      </c>
      <c r="J3998" t="s">
        <v>37</v>
      </c>
      <c r="K3998">
        <v>10090</v>
      </c>
      <c r="L3998" s="3" t="str">
        <f>HYPERLINK("http://www.uniprot.org/uniprot/Q8BUH8", "Q8BUH8")</f>
        <v>Q8BUH8</v>
      </c>
      <c r="M3998" t="s">
        <v>44197</v>
      </c>
      <c r="N3998" t="str">
        <f>"Senp7"</f>
        <v>Senp7</v>
      </c>
      <c r="O3998" s="3" t="str">
        <f>HYPERLINK("http://www.informatics.jax.org/marker/MGI:1913565", "MGI:1913565")</f>
        <v>MGI:1913565</v>
      </c>
      <c r="P3998" t="s">
        <v>44198</v>
      </c>
      <c r="Q3998" t="s">
        <v>12796</v>
      </c>
      <c r="R3998" t="s">
        <v>418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557</v>
      </c>
      <c r="Y3998" t="s">
        <v>618</v>
      </c>
      <c r="Z3998" t="s">
        <v>32</v>
      </c>
      <c r="AA3998" t="s">
        <v>44199</v>
      </c>
      <c r="AB3998" t="s">
        <v>110</v>
      </c>
      <c r="AC3998" t="s">
        <v>44200</v>
      </c>
      <c r="AD3998" t="s">
        <v>32</v>
      </c>
      <c r="AE3998" t="s">
        <v>32</v>
      </c>
      <c r="AF3998" t="s">
        <v>46835</v>
      </c>
    </row>
    <row r="3999" spans="1:32" x14ac:dyDescent="0.2">
      <c r="A3999">
        <v>3994</v>
      </c>
      <c r="B3999" t="s">
        <v>44201</v>
      </c>
      <c r="C3999" t="s">
        <v>44202</v>
      </c>
      <c r="D3999" t="s">
        <v>44203</v>
      </c>
      <c r="E3999" t="s">
        <v>44204</v>
      </c>
      <c r="F3999" t="s">
        <v>44205</v>
      </c>
      <c r="G3999" t="s">
        <v>44206</v>
      </c>
      <c r="H3999" t="str">
        <f>"Btbd1"</f>
        <v>Btbd1</v>
      </c>
      <c r="I3999" t="s">
        <v>44207</v>
      </c>
      <c r="J3999" t="s">
        <v>37</v>
      </c>
      <c r="K3999">
        <v>10090</v>
      </c>
      <c r="L3999" s="3" t="str">
        <f>HYPERLINK("http://www.uniprot.org/uniprot/P58544", "P58544")</f>
        <v>P58544</v>
      </c>
      <c r="M3999" t="s">
        <v>44208</v>
      </c>
      <c r="N3999" t="str">
        <f>"Btbd1"</f>
        <v>Btbd1</v>
      </c>
      <c r="O3999" s="3" t="str">
        <f>HYPERLINK("http://www.informatics.jax.org/marker/MGI:1933765", "MGI:1933765")</f>
        <v>MGI:1933765</v>
      </c>
      <c r="P3999" t="s">
        <v>44209</v>
      </c>
      <c r="Q3999" t="s">
        <v>44210</v>
      </c>
      <c r="R3999" t="s">
        <v>418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32</v>
      </c>
      <c r="Y3999" t="s">
        <v>175</v>
      </c>
      <c r="Z3999" t="s">
        <v>32</v>
      </c>
      <c r="AA3999" t="s">
        <v>44211</v>
      </c>
      <c r="AB3999" t="s">
        <v>44212</v>
      </c>
      <c r="AC3999" t="s">
        <v>44213</v>
      </c>
      <c r="AD3999" t="s">
        <v>1027</v>
      </c>
      <c r="AE3999" t="s">
        <v>23932</v>
      </c>
      <c r="AF3999" t="s">
        <v>46835</v>
      </c>
    </row>
    <row r="4000" spans="1:32" x14ac:dyDescent="0.2">
      <c r="A4000">
        <v>3995</v>
      </c>
      <c r="B4000" t="s">
        <v>44214</v>
      </c>
      <c r="C4000" t="s">
        <v>44215</v>
      </c>
      <c r="D4000" t="s">
        <v>44216</v>
      </c>
      <c r="E4000" t="s">
        <v>44217</v>
      </c>
      <c r="F4000" t="s">
        <v>44218</v>
      </c>
      <c r="G4000" t="s">
        <v>44219</v>
      </c>
      <c r="H4000" t="str">
        <f>"Agap1"</f>
        <v>Agap1</v>
      </c>
      <c r="I4000" t="s">
        <v>44220</v>
      </c>
      <c r="J4000" t="s">
        <v>37</v>
      </c>
      <c r="K4000">
        <v>10090</v>
      </c>
      <c r="L4000" s="3" t="str">
        <f>HYPERLINK("http://www.uniprot.org/uniprot/Q8BXK8", "Q8BXK8")</f>
        <v>Q8BXK8</v>
      </c>
      <c r="M4000" t="s">
        <v>44221</v>
      </c>
      <c r="N4000" t="str">
        <f>"Agap1"</f>
        <v>Agap1</v>
      </c>
      <c r="O4000" s="3" t="str">
        <f>HYPERLINK("http://www.informatics.jax.org/marker/MGI:2653690", "MGI:2653690")</f>
        <v>MGI:2653690</v>
      </c>
      <c r="P4000" t="s">
        <v>44222</v>
      </c>
      <c r="Q4000" t="s">
        <v>434</v>
      </c>
      <c r="R4000" t="s">
        <v>418</v>
      </c>
      <c r="S4000" t="s">
        <v>32</v>
      </c>
      <c r="T4000" t="s">
        <v>32</v>
      </c>
      <c r="U4000" t="s">
        <v>32</v>
      </c>
      <c r="V4000" t="s">
        <v>24776</v>
      </c>
      <c r="W4000" t="s">
        <v>34073</v>
      </c>
      <c r="X4000" t="s">
        <v>715</v>
      </c>
      <c r="Y4000" t="s">
        <v>157</v>
      </c>
      <c r="Z4000" t="s">
        <v>32</v>
      </c>
      <c r="AA4000" t="s">
        <v>44223</v>
      </c>
      <c r="AB4000" t="s">
        <v>1268</v>
      </c>
      <c r="AC4000" t="s">
        <v>44224</v>
      </c>
      <c r="AD4000" t="s">
        <v>32</v>
      </c>
      <c r="AE4000" t="s">
        <v>32</v>
      </c>
      <c r="AF4000" t="s">
        <v>46835</v>
      </c>
    </row>
    <row r="4001" spans="1:32" x14ac:dyDescent="0.2">
      <c r="A4001">
        <v>3996</v>
      </c>
      <c r="B4001" t="s">
        <v>44225</v>
      </c>
      <c r="C4001" t="s">
        <v>44226</v>
      </c>
      <c r="D4001" t="s">
        <v>32</v>
      </c>
      <c r="E4001" t="s">
        <v>44227</v>
      </c>
      <c r="F4001" t="s">
        <v>44228</v>
      </c>
      <c r="G4001" t="s">
        <v>32</v>
      </c>
      <c r="H4001" t="str">
        <f>"Tyms"</f>
        <v>Tyms</v>
      </c>
      <c r="I4001" t="s">
        <v>32</v>
      </c>
      <c r="J4001" t="s">
        <v>37</v>
      </c>
      <c r="K4001">
        <v>10090</v>
      </c>
      <c r="L4001" s="3" t="str">
        <f>HYPERLINK("http://www.uniprot.org/uniprot/P07607", "P07607")</f>
        <v>P07607</v>
      </c>
      <c r="M4001" t="s">
        <v>44229</v>
      </c>
      <c r="N4001" t="str">
        <f>"Tyms"</f>
        <v>Tyms</v>
      </c>
      <c r="O4001" s="3" t="str">
        <f>HYPERLINK("http://www.informatics.jax.org/marker/MGI:98878", "MGI:98878")</f>
        <v>MGI:98878</v>
      </c>
      <c r="P4001" t="s">
        <v>44230</v>
      </c>
      <c r="Q4001" t="s">
        <v>16817</v>
      </c>
      <c r="R4001" t="s">
        <v>15651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1706</v>
      </c>
      <c r="Y4001" t="s">
        <v>1007</v>
      </c>
      <c r="Z4001" t="s">
        <v>126</v>
      </c>
      <c r="AA4001" t="s">
        <v>44231</v>
      </c>
      <c r="AB4001" t="s">
        <v>44232</v>
      </c>
      <c r="AC4001" t="s">
        <v>44233</v>
      </c>
      <c r="AD4001" t="s">
        <v>16821</v>
      </c>
      <c r="AE4001" t="s">
        <v>6139</v>
      </c>
      <c r="AF4001" t="s">
        <v>46835</v>
      </c>
    </row>
    <row r="4002" spans="1:32" x14ac:dyDescent="0.2">
      <c r="A4002">
        <v>3997</v>
      </c>
      <c r="B4002" t="s">
        <v>44234</v>
      </c>
      <c r="C4002" t="s">
        <v>44235</v>
      </c>
      <c r="D4002" t="s">
        <v>44236</v>
      </c>
      <c r="E4002" t="s">
        <v>44237</v>
      </c>
      <c r="F4002" t="s">
        <v>44238</v>
      </c>
      <c r="G4002" t="s">
        <v>32</v>
      </c>
      <c r="H4002" t="str">
        <f>"Pdxp"</f>
        <v>Pdxp</v>
      </c>
      <c r="I4002" t="s">
        <v>32</v>
      </c>
      <c r="J4002" t="s">
        <v>37</v>
      </c>
      <c r="K4002">
        <v>10090</v>
      </c>
      <c r="L4002" s="3" t="str">
        <f>HYPERLINK("http://www.uniprot.org/uniprot/P60487", "P60487")</f>
        <v>P60487</v>
      </c>
      <c r="M4002" t="s">
        <v>44239</v>
      </c>
      <c r="N4002" t="str">
        <f>"Pdxp"</f>
        <v>Pdxp</v>
      </c>
      <c r="O4002" s="3" t="str">
        <f>HYPERLINK("http://www.informatics.jax.org/marker/MGI:1919282", "MGI:1919282")</f>
        <v>MGI:1919282</v>
      </c>
      <c r="P4002" t="s">
        <v>44240</v>
      </c>
      <c r="Q4002" t="s">
        <v>32</v>
      </c>
      <c r="R4002" t="s">
        <v>647</v>
      </c>
      <c r="S4002" t="s">
        <v>32</v>
      </c>
      <c r="T4002" t="s">
        <v>32</v>
      </c>
      <c r="U4002" t="s">
        <v>32</v>
      </c>
      <c r="V4002" t="s">
        <v>32</v>
      </c>
      <c r="W4002" t="s">
        <v>44241</v>
      </c>
      <c r="X4002" t="s">
        <v>343</v>
      </c>
      <c r="Y4002" t="s">
        <v>32</v>
      </c>
      <c r="Z4002" t="s">
        <v>126</v>
      </c>
      <c r="AA4002" t="s">
        <v>44242</v>
      </c>
      <c r="AB4002" t="s">
        <v>44243</v>
      </c>
      <c r="AC4002" t="s">
        <v>44244</v>
      </c>
      <c r="AD4002" t="s">
        <v>32</v>
      </c>
      <c r="AE4002" t="s">
        <v>32</v>
      </c>
      <c r="AF4002" t="s">
        <v>46835</v>
      </c>
    </row>
    <row r="4003" spans="1:32" x14ac:dyDescent="0.2">
      <c r="A4003">
        <v>3998</v>
      </c>
      <c r="B4003" t="s">
        <v>44245</v>
      </c>
      <c r="C4003" t="s">
        <v>44246</v>
      </c>
      <c r="D4003" t="s">
        <v>44247</v>
      </c>
      <c r="E4003" t="s">
        <v>44248</v>
      </c>
      <c r="F4003" t="s">
        <v>44249</v>
      </c>
      <c r="G4003" t="s">
        <v>44250</v>
      </c>
      <c r="H4003" t="str">
        <f>"Aars2"</f>
        <v>Aars2</v>
      </c>
      <c r="I4003" t="s">
        <v>44251</v>
      </c>
      <c r="J4003" t="s">
        <v>37</v>
      </c>
      <c r="K4003">
        <v>10090</v>
      </c>
      <c r="L4003" s="3" t="str">
        <f>HYPERLINK("http://www.uniprot.org/uniprot/Q14CH7", "Q14CH7")</f>
        <v>Q14CH7</v>
      </c>
      <c r="M4003" t="s">
        <v>44252</v>
      </c>
      <c r="N4003" t="str">
        <f>"Aars2"</f>
        <v>Aars2</v>
      </c>
      <c r="O4003" s="3" t="str">
        <f>HYPERLINK("http://www.informatics.jax.org/marker/MGI:2681839", "MGI:2681839")</f>
        <v>MGI:2681839</v>
      </c>
      <c r="P4003" t="s">
        <v>44253</v>
      </c>
      <c r="Q4003" t="s">
        <v>260</v>
      </c>
      <c r="R4003" t="s">
        <v>1038</v>
      </c>
      <c r="S4003" t="s">
        <v>32</v>
      </c>
      <c r="T4003" t="s">
        <v>32</v>
      </c>
      <c r="U4003" t="s">
        <v>32</v>
      </c>
      <c r="V4003" t="s">
        <v>1039</v>
      </c>
      <c r="W4003" t="s">
        <v>2325</v>
      </c>
      <c r="X4003" t="s">
        <v>3361</v>
      </c>
      <c r="Y4003" t="s">
        <v>32</v>
      </c>
      <c r="Z4003" t="s">
        <v>32</v>
      </c>
      <c r="AA4003" t="s">
        <v>44254</v>
      </c>
      <c r="AB4003" t="s">
        <v>3721</v>
      </c>
      <c r="AC4003" t="s">
        <v>44255</v>
      </c>
      <c r="AD4003" t="s">
        <v>32</v>
      </c>
      <c r="AE4003" t="s">
        <v>32</v>
      </c>
      <c r="AF4003" t="s">
        <v>46835</v>
      </c>
    </row>
    <row r="4004" spans="1:32" x14ac:dyDescent="0.2">
      <c r="A4004">
        <v>3999</v>
      </c>
      <c r="B4004" t="s">
        <v>44256</v>
      </c>
      <c r="C4004" t="s">
        <v>44257</v>
      </c>
      <c r="D4004" t="s">
        <v>44258</v>
      </c>
      <c r="E4004" t="s">
        <v>44259</v>
      </c>
      <c r="F4004" t="s">
        <v>44260</v>
      </c>
      <c r="G4004" t="s">
        <v>44261</v>
      </c>
      <c r="H4004" t="str">
        <f>"Haus7"</f>
        <v>Haus7</v>
      </c>
      <c r="I4004" t="s">
        <v>44262</v>
      </c>
      <c r="J4004" t="s">
        <v>37</v>
      </c>
      <c r="K4004">
        <v>10090</v>
      </c>
      <c r="L4004" s="3" t="str">
        <f>HYPERLINK("http://www.uniprot.org/uniprot/Q8BKT8", "Q8BKT8")</f>
        <v>Q8BKT8</v>
      </c>
      <c r="M4004" t="s">
        <v>44263</v>
      </c>
      <c r="N4004" t="str">
        <f>"Haus7"</f>
        <v>Haus7</v>
      </c>
      <c r="O4004" s="3" t="str">
        <f>HYPERLINK("http://www.informatics.jax.org/marker/MGI:1920988", "MGI:1920988")</f>
        <v>MGI:1920988</v>
      </c>
      <c r="P4004" t="s">
        <v>44264</v>
      </c>
      <c r="Q4004" t="s">
        <v>2968</v>
      </c>
      <c r="R4004" t="s">
        <v>341</v>
      </c>
      <c r="S4004" t="s">
        <v>41</v>
      </c>
      <c r="T4004" t="s">
        <v>32</v>
      </c>
      <c r="U4004" t="s">
        <v>32</v>
      </c>
      <c r="V4004" t="s">
        <v>32</v>
      </c>
      <c r="W4004" t="s">
        <v>32</v>
      </c>
      <c r="X4004" t="s">
        <v>32</v>
      </c>
      <c r="Y4004" t="s">
        <v>32</v>
      </c>
      <c r="Z4004" t="s">
        <v>32</v>
      </c>
      <c r="AA4004" t="s">
        <v>44265</v>
      </c>
      <c r="AB4004" t="s">
        <v>44266</v>
      </c>
      <c r="AC4004" t="s">
        <v>44267</v>
      </c>
      <c r="AD4004" t="s">
        <v>32</v>
      </c>
      <c r="AE4004" t="s">
        <v>17387</v>
      </c>
      <c r="AF4004" t="s">
        <v>46835</v>
      </c>
    </row>
    <row r="4005" spans="1:32" x14ac:dyDescent="0.2">
      <c r="A4005">
        <v>4000</v>
      </c>
      <c r="B4005" t="s">
        <v>44268</v>
      </c>
      <c r="C4005" t="s">
        <v>44269</v>
      </c>
      <c r="D4005" t="s">
        <v>44270</v>
      </c>
      <c r="E4005" t="s">
        <v>44271</v>
      </c>
      <c r="F4005" t="s">
        <v>44272</v>
      </c>
      <c r="G4005" t="s">
        <v>44273</v>
      </c>
      <c r="H4005" t="str">
        <f>"Cyth2"</f>
        <v>Cyth2</v>
      </c>
      <c r="I4005" t="s">
        <v>44274</v>
      </c>
      <c r="J4005" t="s">
        <v>37</v>
      </c>
      <c r="K4005">
        <v>10090</v>
      </c>
      <c r="L4005" s="3" t="str">
        <f>HYPERLINK("http://www.uniprot.org/uniprot/P63034", "P63034")</f>
        <v>P63034</v>
      </c>
      <c r="M4005" t="s">
        <v>44275</v>
      </c>
      <c r="N4005" t="str">
        <f>"Cyth2"</f>
        <v>Cyth2</v>
      </c>
      <c r="O4005" s="3" t="str">
        <f>HYPERLINK("http://www.informatics.jax.org/marker/MGI:1334255", "MGI:1334255")</f>
        <v>MGI:1334255</v>
      </c>
      <c r="P4005" t="s">
        <v>44276</v>
      </c>
      <c r="Q4005" t="s">
        <v>32</v>
      </c>
      <c r="R4005" t="s">
        <v>44277</v>
      </c>
      <c r="S4005" t="s">
        <v>41</v>
      </c>
      <c r="T4005" t="s">
        <v>32</v>
      </c>
      <c r="U4005" t="s">
        <v>32</v>
      </c>
      <c r="V4005" t="s">
        <v>290</v>
      </c>
      <c r="W4005" t="s">
        <v>584</v>
      </c>
      <c r="X4005" t="s">
        <v>5011</v>
      </c>
      <c r="Y4005" t="s">
        <v>32</v>
      </c>
      <c r="Z4005" t="s">
        <v>126</v>
      </c>
      <c r="AA4005" t="s">
        <v>44278</v>
      </c>
      <c r="AB4005" t="s">
        <v>44279</v>
      </c>
      <c r="AC4005" t="s">
        <v>44280</v>
      </c>
      <c r="AD4005" t="s">
        <v>32</v>
      </c>
      <c r="AE4005" t="s">
        <v>44281</v>
      </c>
      <c r="AF4005" t="s">
        <v>46835</v>
      </c>
    </row>
    <row r="4006" spans="1:32" x14ac:dyDescent="0.2">
      <c r="A4006">
        <v>4001</v>
      </c>
      <c r="B4006" t="s">
        <v>44282</v>
      </c>
      <c r="C4006" t="s">
        <v>44283</v>
      </c>
      <c r="D4006" t="s">
        <v>44284</v>
      </c>
      <c r="E4006" t="s">
        <v>44285</v>
      </c>
      <c r="F4006" t="s">
        <v>44286</v>
      </c>
      <c r="G4006" t="s">
        <v>44287</v>
      </c>
      <c r="H4006" t="str">
        <f>"Dcaf1"</f>
        <v>Dcaf1</v>
      </c>
      <c r="I4006" t="s">
        <v>44288</v>
      </c>
      <c r="J4006" t="s">
        <v>37</v>
      </c>
      <c r="K4006">
        <v>10090</v>
      </c>
      <c r="L4006" s="3" t="str">
        <f>HYPERLINK("http://www.uniprot.org/uniprot/Q80TR8", "Q80TR8")</f>
        <v>Q80TR8</v>
      </c>
      <c r="M4006" t="s">
        <v>44289</v>
      </c>
      <c r="N4006" t="str">
        <f>"Dcaf1"</f>
        <v>Dcaf1</v>
      </c>
      <c r="O4006" s="3" t="str">
        <f>HYPERLINK("http://www.informatics.jax.org/marker/MGI:2445220", "MGI:2445220")</f>
        <v>MGI:2445220</v>
      </c>
      <c r="P4006" t="s">
        <v>44290</v>
      </c>
      <c r="Q4006" t="s">
        <v>44291</v>
      </c>
      <c r="R4006" t="s">
        <v>40</v>
      </c>
      <c r="S4006" t="s">
        <v>41</v>
      </c>
      <c r="T4006" t="s">
        <v>32</v>
      </c>
      <c r="U4006" t="s">
        <v>32</v>
      </c>
      <c r="V4006" t="s">
        <v>1910</v>
      </c>
      <c r="W4006" t="s">
        <v>205</v>
      </c>
      <c r="X4006" t="s">
        <v>29588</v>
      </c>
      <c r="Y4006" t="s">
        <v>157</v>
      </c>
      <c r="Z4006" t="s">
        <v>32</v>
      </c>
      <c r="AA4006" t="s">
        <v>44292</v>
      </c>
      <c r="AB4006" t="s">
        <v>44293</v>
      </c>
      <c r="AC4006" t="s">
        <v>44294</v>
      </c>
      <c r="AD4006" t="s">
        <v>1027</v>
      </c>
      <c r="AE4006" t="s">
        <v>4220</v>
      </c>
      <c r="AF4006" t="s">
        <v>46835</v>
      </c>
    </row>
    <row r="4007" spans="1:32" x14ac:dyDescent="0.2">
      <c r="A4007">
        <v>4002</v>
      </c>
      <c r="B4007" t="s">
        <v>44295</v>
      </c>
      <c r="C4007" t="s">
        <v>44296</v>
      </c>
      <c r="D4007" t="s">
        <v>44297</v>
      </c>
      <c r="E4007" t="s">
        <v>44298</v>
      </c>
      <c r="F4007" t="s">
        <v>44299</v>
      </c>
      <c r="G4007" t="s">
        <v>44300</v>
      </c>
      <c r="H4007" t="str">
        <f>"Brd7"</f>
        <v>Brd7</v>
      </c>
      <c r="I4007" t="s">
        <v>44301</v>
      </c>
      <c r="J4007" t="s">
        <v>37</v>
      </c>
      <c r="K4007">
        <v>10090</v>
      </c>
      <c r="L4007" s="3" t="str">
        <f>HYPERLINK("http://www.uniprot.org/uniprot/O88665", "O88665")</f>
        <v>O88665</v>
      </c>
      <c r="M4007" t="s">
        <v>44302</v>
      </c>
      <c r="N4007" t="str">
        <f>"Brd7"</f>
        <v>Brd7</v>
      </c>
      <c r="O4007" s="3" t="str">
        <f>HYPERLINK("http://www.informatics.jax.org/marker/MGI:1349766", "MGI:1349766")</f>
        <v>MGI:1349766</v>
      </c>
      <c r="P4007" t="s">
        <v>44303</v>
      </c>
      <c r="Q4007" t="s">
        <v>44304</v>
      </c>
      <c r="R4007" t="s">
        <v>2279</v>
      </c>
      <c r="S4007" t="s">
        <v>32</v>
      </c>
      <c r="T4007" t="s">
        <v>32</v>
      </c>
      <c r="U4007" t="s">
        <v>1636</v>
      </c>
      <c r="V4007" t="s">
        <v>44305</v>
      </c>
      <c r="W4007" t="s">
        <v>32</v>
      </c>
      <c r="X4007" t="s">
        <v>32</v>
      </c>
      <c r="Y4007" t="s">
        <v>516</v>
      </c>
      <c r="Z4007" t="s">
        <v>32</v>
      </c>
      <c r="AA4007" t="s">
        <v>44306</v>
      </c>
      <c r="AB4007" t="s">
        <v>44307</v>
      </c>
      <c r="AC4007" t="s">
        <v>44308</v>
      </c>
      <c r="AD4007" t="s">
        <v>32</v>
      </c>
      <c r="AE4007" t="s">
        <v>44309</v>
      </c>
      <c r="AF4007" t="s">
        <v>46835</v>
      </c>
    </row>
    <row r="4008" spans="1:32" x14ac:dyDescent="0.2">
      <c r="A4008">
        <v>4003</v>
      </c>
      <c r="B4008" t="s">
        <v>44310</v>
      </c>
      <c r="C4008" t="s">
        <v>44311</v>
      </c>
      <c r="D4008" t="s">
        <v>44312</v>
      </c>
      <c r="E4008" t="s">
        <v>44313</v>
      </c>
      <c r="F4008" t="s">
        <v>44314</v>
      </c>
      <c r="G4008" t="s">
        <v>44315</v>
      </c>
      <c r="H4008" t="str">
        <f>"Crppa"</f>
        <v>Crppa</v>
      </c>
      <c r="I4008" t="s">
        <v>44316</v>
      </c>
      <c r="J4008" t="s">
        <v>37</v>
      </c>
      <c r="K4008">
        <v>10090</v>
      </c>
      <c r="L4008" s="3" t="str">
        <f>HYPERLINK("http://www.uniprot.org/uniprot/Q5RJG7", "Q5RJG7")</f>
        <v>Q5RJG7</v>
      </c>
      <c r="M4008" t="s">
        <v>44317</v>
      </c>
      <c r="N4008" t="str">
        <f>"Crppa"</f>
        <v>Crppa</v>
      </c>
      <c r="O4008" s="3" t="str">
        <f>HYPERLINK("http://www.informatics.jax.org/marker/MGI:1923097", "MGI:1923097")</f>
        <v>MGI:1923097</v>
      </c>
      <c r="P4008" t="s">
        <v>44318</v>
      </c>
      <c r="Q4008" t="s">
        <v>32</v>
      </c>
      <c r="R4008" t="s">
        <v>418</v>
      </c>
      <c r="S4008" t="s">
        <v>41</v>
      </c>
      <c r="T4008" t="s">
        <v>32</v>
      </c>
      <c r="U4008" t="s">
        <v>32</v>
      </c>
      <c r="V4008" t="s">
        <v>32</v>
      </c>
      <c r="W4008" t="s">
        <v>32</v>
      </c>
      <c r="X4008" t="s">
        <v>7489</v>
      </c>
      <c r="Y4008" t="s">
        <v>32</v>
      </c>
      <c r="Z4008" t="s">
        <v>32</v>
      </c>
      <c r="AA4008" t="s">
        <v>44319</v>
      </c>
      <c r="AB4008" t="s">
        <v>1268</v>
      </c>
      <c r="AC4008" t="s">
        <v>44320</v>
      </c>
      <c r="AD4008" t="s">
        <v>3952</v>
      </c>
      <c r="AE4008" t="s">
        <v>32</v>
      </c>
      <c r="AF4008" t="s">
        <v>46835</v>
      </c>
    </row>
    <row r="4009" spans="1:32" x14ac:dyDescent="0.2">
      <c r="A4009">
        <v>4004</v>
      </c>
      <c r="B4009" t="s">
        <v>44321</v>
      </c>
      <c r="C4009" t="s">
        <v>44322</v>
      </c>
      <c r="D4009" t="s">
        <v>32</v>
      </c>
      <c r="E4009" t="s">
        <v>44323</v>
      </c>
      <c r="F4009" t="s">
        <v>44324</v>
      </c>
      <c r="G4009" t="s">
        <v>32</v>
      </c>
      <c r="H4009" t="str">
        <f>"Klhl25"</f>
        <v>Klhl25</v>
      </c>
      <c r="I4009" t="s">
        <v>32</v>
      </c>
      <c r="J4009" t="s">
        <v>37</v>
      </c>
      <c r="K4009">
        <v>10090</v>
      </c>
      <c r="L4009" s="3" t="str">
        <f>HYPERLINK("http://www.uniprot.org/uniprot/Q8R2P1", "Q8R2P1")</f>
        <v>Q8R2P1</v>
      </c>
      <c r="M4009" t="s">
        <v>44325</v>
      </c>
      <c r="N4009" t="str">
        <f>"Klhl25"</f>
        <v>Klhl25</v>
      </c>
      <c r="O4009" s="3" t="str">
        <f>HYPERLINK("http://www.informatics.jax.org/marker/MGI:2668031", "MGI:2668031")</f>
        <v>MGI:2668031</v>
      </c>
      <c r="P4009" t="s">
        <v>44326</v>
      </c>
      <c r="Q4009" t="s">
        <v>44327</v>
      </c>
      <c r="R4009" t="s">
        <v>32</v>
      </c>
      <c r="S4009" t="s">
        <v>32</v>
      </c>
      <c r="T4009" t="s">
        <v>32</v>
      </c>
      <c r="U4009" t="s">
        <v>32</v>
      </c>
      <c r="V4009" t="s">
        <v>11766</v>
      </c>
      <c r="W4009" t="s">
        <v>32</v>
      </c>
      <c r="X4009" t="s">
        <v>32</v>
      </c>
      <c r="Y4009" t="s">
        <v>32</v>
      </c>
      <c r="Z4009" t="s">
        <v>32</v>
      </c>
      <c r="AA4009" t="s">
        <v>44328</v>
      </c>
      <c r="AB4009" t="s">
        <v>44329</v>
      </c>
      <c r="AC4009" t="s">
        <v>22399</v>
      </c>
      <c r="AD4009" t="s">
        <v>1027</v>
      </c>
      <c r="AE4009" t="s">
        <v>23932</v>
      </c>
      <c r="AF4009" t="s">
        <v>46835</v>
      </c>
    </row>
    <row r="4010" spans="1:32" x14ac:dyDescent="0.2">
      <c r="A4010">
        <v>4005</v>
      </c>
      <c r="B4010" t="s">
        <v>44330</v>
      </c>
      <c r="C4010" t="s">
        <v>44331</v>
      </c>
      <c r="D4010" t="s">
        <v>32</v>
      </c>
      <c r="E4010" t="s">
        <v>44332</v>
      </c>
      <c r="F4010" t="s">
        <v>44333</v>
      </c>
      <c r="G4010" t="s">
        <v>44334</v>
      </c>
      <c r="H4010" t="str">
        <f>"Smn1"</f>
        <v>Smn1</v>
      </c>
      <c r="I4010" t="s">
        <v>44335</v>
      </c>
      <c r="J4010" t="s">
        <v>37</v>
      </c>
      <c r="K4010">
        <v>10090</v>
      </c>
      <c r="L4010" s="3" t="str">
        <f>HYPERLINK("http://www.uniprot.org/uniprot/P97801", "P97801")</f>
        <v>P97801</v>
      </c>
      <c r="M4010" t="s">
        <v>44336</v>
      </c>
      <c r="N4010" t="str">
        <f>"Smn1"</f>
        <v>Smn1</v>
      </c>
      <c r="O4010" s="3" t="str">
        <f>HYPERLINK("http://www.informatics.jax.org/marker/MGI:109257", "MGI:109257")</f>
        <v>MGI:109257</v>
      </c>
      <c r="P4010" t="s">
        <v>44337</v>
      </c>
      <c r="Q4010" t="s">
        <v>36138</v>
      </c>
      <c r="R4010" t="s">
        <v>1952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1282</v>
      </c>
      <c r="Y4010" t="s">
        <v>1007</v>
      </c>
      <c r="Z4010" t="s">
        <v>32</v>
      </c>
      <c r="AA4010" t="s">
        <v>44338</v>
      </c>
      <c r="AB4010" t="s">
        <v>44339</v>
      </c>
      <c r="AC4010" t="s">
        <v>44340</v>
      </c>
      <c r="AD4010" t="s">
        <v>32</v>
      </c>
      <c r="AE4010" t="s">
        <v>23017</v>
      </c>
      <c r="AF4010" t="s">
        <v>46835</v>
      </c>
    </row>
    <row r="4011" spans="1:32" x14ac:dyDescent="0.2">
      <c r="A4011">
        <v>4006</v>
      </c>
      <c r="B4011" t="s">
        <v>44341</v>
      </c>
      <c r="C4011" t="s">
        <v>44342</v>
      </c>
      <c r="D4011" t="s">
        <v>32</v>
      </c>
      <c r="E4011" t="s">
        <v>44343</v>
      </c>
      <c r="F4011" t="s">
        <v>44344</v>
      </c>
      <c r="G4011" t="s">
        <v>32</v>
      </c>
      <c r="H4011" t="str">
        <f>"Sash1"</f>
        <v>Sash1</v>
      </c>
      <c r="I4011" t="s">
        <v>32</v>
      </c>
      <c r="J4011" t="s">
        <v>37</v>
      </c>
      <c r="K4011">
        <v>10090</v>
      </c>
      <c r="L4011" s="3" t="str">
        <f>HYPERLINK("http://www.uniprot.org/uniprot/P59808", "P59808")</f>
        <v>P59808</v>
      </c>
      <c r="M4011" t="s">
        <v>44345</v>
      </c>
      <c r="N4011" t="str">
        <f>"Sash1"</f>
        <v>Sash1</v>
      </c>
      <c r="O4011" s="3" t="str">
        <f>HYPERLINK("http://www.informatics.jax.org/marker/MGI:1917347", "MGI:1917347")</f>
        <v>MGI:1917347</v>
      </c>
      <c r="P4011" t="s">
        <v>44346</v>
      </c>
      <c r="Q4011" t="s">
        <v>32</v>
      </c>
      <c r="R4011" t="s">
        <v>418</v>
      </c>
      <c r="S4011" t="s">
        <v>32</v>
      </c>
      <c r="T4011" t="s">
        <v>32</v>
      </c>
      <c r="U4011" t="s">
        <v>1636</v>
      </c>
      <c r="V4011" t="s">
        <v>187</v>
      </c>
      <c r="W4011" t="s">
        <v>32</v>
      </c>
      <c r="X4011" t="s">
        <v>32</v>
      </c>
      <c r="Y4011" t="s">
        <v>618</v>
      </c>
      <c r="Z4011" t="s">
        <v>32</v>
      </c>
      <c r="AA4011" t="s">
        <v>44347</v>
      </c>
      <c r="AB4011" t="s">
        <v>44348</v>
      </c>
      <c r="AC4011" t="s">
        <v>44349</v>
      </c>
      <c r="AD4011" t="s">
        <v>32</v>
      </c>
      <c r="AE4011" t="s">
        <v>32</v>
      </c>
      <c r="AF4011" t="s">
        <v>46835</v>
      </c>
    </row>
    <row r="4012" spans="1:32" x14ac:dyDescent="0.2">
      <c r="A4012">
        <v>4007</v>
      </c>
      <c r="B4012" t="s">
        <v>44350</v>
      </c>
      <c r="C4012" t="s">
        <v>44351</v>
      </c>
      <c r="D4012" t="s">
        <v>44352</v>
      </c>
      <c r="E4012" t="s">
        <v>44353</v>
      </c>
      <c r="F4012" t="s">
        <v>44354</v>
      </c>
      <c r="G4012" t="s">
        <v>44355</v>
      </c>
      <c r="H4012" t="str">
        <f>"Cdk6"</f>
        <v>Cdk6</v>
      </c>
      <c r="I4012" t="s">
        <v>44356</v>
      </c>
      <c r="J4012" t="s">
        <v>37</v>
      </c>
      <c r="K4012">
        <v>10090</v>
      </c>
      <c r="L4012" s="3" t="str">
        <f>HYPERLINK("http://www.uniprot.org/uniprot/Q64261", "Q64261")</f>
        <v>Q64261</v>
      </c>
      <c r="M4012" t="s">
        <v>44357</v>
      </c>
      <c r="N4012" t="str">
        <f>"Cdk6"</f>
        <v>Cdk6</v>
      </c>
      <c r="O4012" s="3" t="str">
        <f>HYPERLINK("http://www.informatics.jax.org/marker/MGI:1277162", "MGI:1277162")</f>
        <v>MGI:1277162</v>
      </c>
      <c r="P4012" t="s">
        <v>44358</v>
      </c>
      <c r="Q4012" t="s">
        <v>34399</v>
      </c>
      <c r="R4012" t="s">
        <v>7920</v>
      </c>
      <c r="S4012" t="s">
        <v>32</v>
      </c>
      <c r="T4012" t="s">
        <v>32</v>
      </c>
      <c r="U4012" t="s">
        <v>32</v>
      </c>
      <c r="V4012" t="s">
        <v>32</v>
      </c>
      <c r="W4012" t="s">
        <v>205</v>
      </c>
      <c r="X4012" t="s">
        <v>5419</v>
      </c>
      <c r="Y4012" t="s">
        <v>157</v>
      </c>
      <c r="Z4012" t="s">
        <v>32</v>
      </c>
      <c r="AA4012" t="s">
        <v>44359</v>
      </c>
      <c r="AB4012" t="s">
        <v>44360</v>
      </c>
      <c r="AC4012" t="s">
        <v>44361</v>
      </c>
      <c r="AD4012" t="s">
        <v>32</v>
      </c>
      <c r="AE4012" t="s">
        <v>44362</v>
      </c>
      <c r="AF4012" t="s">
        <v>46835</v>
      </c>
    </row>
    <row r="4013" spans="1:32" x14ac:dyDescent="0.2">
      <c r="A4013">
        <v>4008</v>
      </c>
      <c r="B4013" t="s">
        <v>44363</v>
      </c>
      <c r="C4013" t="s">
        <v>44364</v>
      </c>
      <c r="D4013" t="s">
        <v>44365</v>
      </c>
      <c r="E4013" t="s">
        <v>44366</v>
      </c>
      <c r="F4013" t="s">
        <v>44367</v>
      </c>
      <c r="G4013" t="s">
        <v>44368</v>
      </c>
      <c r="H4013" t="str">
        <f>"Dner"</f>
        <v>Dner</v>
      </c>
      <c r="I4013" t="s">
        <v>44369</v>
      </c>
      <c r="J4013" t="s">
        <v>37</v>
      </c>
      <c r="K4013">
        <v>10090</v>
      </c>
      <c r="L4013" s="3" t="str">
        <f>HYPERLINK("http://www.uniprot.org/uniprot/Q8JZM4", "Q8JZM4")</f>
        <v>Q8JZM4</v>
      </c>
      <c r="M4013" t="s">
        <v>44370</v>
      </c>
      <c r="N4013" t="str">
        <f>"Dner"</f>
        <v>Dner</v>
      </c>
      <c r="O4013" s="3" t="str">
        <f>HYPERLINK("http://www.informatics.jax.org/marker/MGI:2152889", "MGI:2152889")</f>
        <v>MGI:2152889</v>
      </c>
      <c r="P4013" t="s">
        <v>44371</v>
      </c>
      <c r="Q4013" t="s">
        <v>44372</v>
      </c>
      <c r="R4013" t="s">
        <v>2474</v>
      </c>
      <c r="S4013" t="s">
        <v>32</v>
      </c>
      <c r="T4013" t="s">
        <v>32</v>
      </c>
      <c r="U4013" t="s">
        <v>32</v>
      </c>
      <c r="V4013" t="s">
        <v>9013</v>
      </c>
      <c r="W4013" t="s">
        <v>1380</v>
      </c>
      <c r="X4013" t="s">
        <v>44373</v>
      </c>
      <c r="Y4013" t="s">
        <v>2865</v>
      </c>
      <c r="Z4013" t="s">
        <v>32</v>
      </c>
      <c r="AA4013" t="s">
        <v>44374</v>
      </c>
      <c r="AB4013" t="s">
        <v>44375</v>
      </c>
      <c r="AC4013" t="s">
        <v>44376</v>
      </c>
      <c r="AD4013" t="s">
        <v>32</v>
      </c>
      <c r="AE4013" t="s">
        <v>32</v>
      </c>
      <c r="AF4013" t="s">
        <v>46835</v>
      </c>
    </row>
    <row r="4014" spans="1:32" x14ac:dyDescent="0.2">
      <c r="A4014">
        <v>4009</v>
      </c>
      <c r="B4014" t="s">
        <v>44377</v>
      </c>
      <c r="C4014" t="s">
        <v>44378</v>
      </c>
      <c r="D4014" t="s">
        <v>44379</v>
      </c>
      <c r="E4014" t="s">
        <v>44380</v>
      </c>
      <c r="F4014" t="s">
        <v>44381</v>
      </c>
      <c r="G4014" t="s">
        <v>44382</v>
      </c>
      <c r="H4014" t="str">
        <f>"Fnbp4"</f>
        <v>Fnbp4</v>
      </c>
      <c r="I4014" t="s">
        <v>44383</v>
      </c>
      <c r="J4014" t="s">
        <v>37</v>
      </c>
      <c r="K4014">
        <v>10090</v>
      </c>
      <c r="L4014" s="3" t="str">
        <f>HYPERLINK("http://www.uniprot.org/uniprot/Q6ZQ03", "Q6ZQ03")</f>
        <v>Q6ZQ03</v>
      </c>
      <c r="M4014" t="s">
        <v>44384</v>
      </c>
      <c r="N4014" t="str">
        <f>"Fnbp4"</f>
        <v>Fnbp4</v>
      </c>
      <c r="O4014" s="3" t="str">
        <f>HYPERLINK("http://www.informatics.jax.org/marker/MGI:1860513", "MGI:1860513")</f>
        <v>MGI:1860513</v>
      </c>
      <c r="P4014" t="s">
        <v>44385</v>
      </c>
      <c r="Q4014" t="s">
        <v>32</v>
      </c>
      <c r="R4014" t="s">
        <v>32</v>
      </c>
      <c r="S4014" t="s">
        <v>41</v>
      </c>
      <c r="T4014" t="s">
        <v>32</v>
      </c>
      <c r="U4014" t="s">
        <v>32</v>
      </c>
      <c r="V4014" t="s">
        <v>55</v>
      </c>
      <c r="W4014" t="s">
        <v>32</v>
      </c>
      <c r="X4014" t="s">
        <v>32</v>
      </c>
      <c r="Y4014" t="s">
        <v>516</v>
      </c>
      <c r="Z4014" t="s">
        <v>32</v>
      </c>
      <c r="AA4014" t="s">
        <v>32</v>
      </c>
      <c r="AB4014" t="s">
        <v>6901</v>
      </c>
      <c r="AC4014" t="s">
        <v>32</v>
      </c>
      <c r="AD4014" t="s">
        <v>32</v>
      </c>
      <c r="AE4014" t="s">
        <v>32</v>
      </c>
      <c r="AF4014" t="s">
        <v>46835</v>
      </c>
    </row>
    <row r="4015" spans="1:32" x14ac:dyDescent="0.2">
      <c r="A4015">
        <v>4010</v>
      </c>
      <c r="B4015" t="s">
        <v>44386</v>
      </c>
      <c r="C4015" t="s">
        <v>44387</v>
      </c>
      <c r="D4015" t="s">
        <v>32</v>
      </c>
      <c r="E4015" t="s">
        <v>44388</v>
      </c>
      <c r="F4015" t="s">
        <v>44389</v>
      </c>
      <c r="G4015" t="s">
        <v>44390</v>
      </c>
      <c r="H4015" t="str">
        <f>"Sde2"</f>
        <v>Sde2</v>
      </c>
      <c r="I4015" t="s">
        <v>32</v>
      </c>
      <c r="J4015" t="s">
        <v>37</v>
      </c>
      <c r="K4015">
        <v>10090</v>
      </c>
      <c r="L4015" s="3" t="str">
        <f>HYPERLINK("http://www.uniprot.org/uniprot/Q8K1J5", "Q8K1J5")</f>
        <v>Q8K1J5</v>
      </c>
      <c r="M4015" t="s">
        <v>44391</v>
      </c>
      <c r="N4015" t="str">
        <f>"Sde2"</f>
        <v>Sde2</v>
      </c>
      <c r="O4015" s="3" t="str">
        <f>HYPERLINK("http://www.informatics.jax.org/marker/MGI:2384788", "MGI:2384788")</f>
        <v>MGI:2384788</v>
      </c>
      <c r="P4015" t="s">
        <v>44392</v>
      </c>
      <c r="Q4015" t="s">
        <v>24820</v>
      </c>
      <c r="R4015" t="s">
        <v>2279</v>
      </c>
      <c r="S4015" t="s">
        <v>32</v>
      </c>
      <c r="T4015" t="s">
        <v>32</v>
      </c>
      <c r="U4015" t="s">
        <v>32</v>
      </c>
      <c r="V4015" t="s">
        <v>290</v>
      </c>
      <c r="W4015" t="s">
        <v>32</v>
      </c>
      <c r="X4015" t="s">
        <v>247</v>
      </c>
      <c r="Y4015" t="s">
        <v>2836</v>
      </c>
      <c r="Z4015" t="s">
        <v>32</v>
      </c>
      <c r="AA4015" t="s">
        <v>44393</v>
      </c>
      <c r="AB4015" t="s">
        <v>44394</v>
      </c>
      <c r="AC4015" t="s">
        <v>44395</v>
      </c>
      <c r="AD4015" t="s">
        <v>32</v>
      </c>
      <c r="AE4015" t="s">
        <v>32</v>
      </c>
      <c r="AF4015" t="s">
        <v>46835</v>
      </c>
    </row>
    <row r="4016" spans="1:32" x14ac:dyDescent="0.2">
      <c r="A4016">
        <v>4011</v>
      </c>
      <c r="B4016" t="s">
        <v>44396</v>
      </c>
      <c r="C4016" t="s">
        <v>44397</v>
      </c>
      <c r="D4016" t="s">
        <v>44398</v>
      </c>
      <c r="E4016" t="s">
        <v>44399</v>
      </c>
      <c r="F4016" t="s">
        <v>44400</v>
      </c>
      <c r="G4016" t="s">
        <v>44401</v>
      </c>
      <c r="H4016" t="str">
        <f>"Loxl2"</f>
        <v>Loxl2</v>
      </c>
      <c r="I4016" t="s">
        <v>32</v>
      </c>
      <c r="J4016" t="s">
        <v>37</v>
      </c>
      <c r="K4016">
        <v>10090</v>
      </c>
      <c r="L4016" s="3" t="str">
        <f>HYPERLINK("http://www.uniprot.org/uniprot/P58022", "P58022")</f>
        <v>P58022</v>
      </c>
      <c r="M4016" t="s">
        <v>44402</v>
      </c>
      <c r="N4016" t="str">
        <f>"Loxl2"</f>
        <v>Loxl2</v>
      </c>
      <c r="O4016" s="3" t="str">
        <f>HYPERLINK("http://www.informatics.jax.org/marker/MGI:2137913", "MGI:2137913")</f>
        <v>MGI:2137913</v>
      </c>
      <c r="P4016" t="s">
        <v>44403</v>
      </c>
      <c r="Q4016" t="s">
        <v>4152</v>
      </c>
      <c r="R4016" t="s">
        <v>44404</v>
      </c>
      <c r="S4016" t="s">
        <v>41</v>
      </c>
      <c r="T4016" t="s">
        <v>32</v>
      </c>
      <c r="U4016" t="s">
        <v>32</v>
      </c>
      <c r="V4016" t="s">
        <v>478</v>
      </c>
      <c r="W4016" t="s">
        <v>8511</v>
      </c>
      <c r="X4016" t="s">
        <v>44405</v>
      </c>
      <c r="Y4016" t="s">
        <v>42640</v>
      </c>
      <c r="Z4016" t="s">
        <v>32</v>
      </c>
      <c r="AA4016" t="s">
        <v>44406</v>
      </c>
      <c r="AB4016" t="s">
        <v>44407</v>
      </c>
      <c r="AC4016" t="s">
        <v>44408</v>
      </c>
      <c r="AD4016" t="s">
        <v>32</v>
      </c>
      <c r="AE4016" t="s">
        <v>42644</v>
      </c>
      <c r="AF4016" t="s">
        <v>46835</v>
      </c>
    </row>
    <row r="4017" spans="1:32" x14ac:dyDescent="0.2">
      <c r="A4017">
        <v>4012</v>
      </c>
      <c r="B4017" t="s">
        <v>44409</v>
      </c>
      <c r="C4017" t="s">
        <v>44410</v>
      </c>
      <c r="D4017" t="s">
        <v>32</v>
      </c>
      <c r="E4017" t="s">
        <v>44411</v>
      </c>
      <c r="F4017" t="s">
        <v>44412</v>
      </c>
      <c r="G4017" t="s">
        <v>44413</v>
      </c>
      <c r="H4017" t="str">
        <f>"Fcsk"</f>
        <v>Fcsk</v>
      </c>
      <c r="I4017" t="s">
        <v>44414</v>
      </c>
      <c r="J4017" t="s">
        <v>37</v>
      </c>
      <c r="K4017">
        <v>10090</v>
      </c>
      <c r="L4017" s="3" t="str">
        <f>HYPERLINK("http://www.uniprot.org/uniprot/Q7TMC8", "Q7TMC8")</f>
        <v>Q7TMC8</v>
      </c>
      <c r="M4017" t="s">
        <v>44415</v>
      </c>
      <c r="N4017" t="str">
        <f>"Fcsk"</f>
        <v>Fcsk</v>
      </c>
      <c r="O4017" s="3" t="str">
        <f>HYPERLINK("http://www.informatics.jax.org/marker/MGI:1916071", "MGI:1916071")</f>
        <v>MGI:1916071</v>
      </c>
      <c r="P4017" t="s">
        <v>44416</v>
      </c>
      <c r="Q4017" t="s">
        <v>32</v>
      </c>
      <c r="R4017" t="s">
        <v>32</v>
      </c>
      <c r="S4017" t="s">
        <v>41</v>
      </c>
      <c r="T4017" t="s">
        <v>32</v>
      </c>
      <c r="U4017" t="s">
        <v>32</v>
      </c>
      <c r="V4017" t="s">
        <v>32</v>
      </c>
      <c r="W4017" t="s">
        <v>205</v>
      </c>
      <c r="X4017" t="s">
        <v>419</v>
      </c>
      <c r="Y4017" t="s">
        <v>32</v>
      </c>
      <c r="Z4017" t="s">
        <v>32</v>
      </c>
      <c r="AA4017" t="s">
        <v>44417</v>
      </c>
      <c r="AB4017" t="s">
        <v>32</v>
      </c>
      <c r="AC4017" t="s">
        <v>44418</v>
      </c>
      <c r="AD4017" t="s">
        <v>32</v>
      </c>
      <c r="AE4017" t="s">
        <v>21977</v>
      </c>
      <c r="AF4017" t="s">
        <v>46835</v>
      </c>
    </row>
    <row r="4018" spans="1:32" x14ac:dyDescent="0.2">
      <c r="A4018">
        <v>4013</v>
      </c>
      <c r="B4018" t="s">
        <v>44419</v>
      </c>
      <c r="C4018" t="s">
        <v>44420</v>
      </c>
      <c r="D4018" t="s">
        <v>44421</v>
      </c>
      <c r="E4018" t="s">
        <v>44422</v>
      </c>
      <c r="F4018" t="s">
        <v>44423</v>
      </c>
      <c r="G4018" t="s">
        <v>44424</v>
      </c>
      <c r="H4018" t="str">
        <f>"Gnpat"</f>
        <v>Gnpat</v>
      </c>
      <c r="I4018" t="s">
        <v>44425</v>
      </c>
      <c r="J4018" t="s">
        <v>37</v>
      </c>
      <c r="K4018">
        <v>10090</v>
      </c>
      <c r="L4018" s="3" t="str">
        <f>HYPERLINK("http://www.uniprot.org/uniprot/P98192", "P98192")</f>
        <v>P98192</v>
      </c>
      <c r="M4018" t="s">
        <v>44426</v>
      </c>
      <c r="N4018" t="str">
        <f>"Gnpat"</f>
        <v>Gnpat</v>
      </c>
      <c r="O4018" s="3" t="str">
        <f>HYPERLINK("http://www.informatics.jax.org/marker/MGI:1343460", "MGI:1343460")</f>
        <v>MGI:1343460</v>
      </c>
      <c r="P4018" t="s">
        <v>44427</v>
      </c>
      <c r="Q4018" t="s">
        <v>32</v>
      </c>
      <c r="R4018" t="s">
        <v>23835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7304</v>
      </c>
      <c r="Y4018" t="s">
        <v>157</v>
      </c>
      <c r="Z4018" t="s">
        <v>32</v>
      </c>
      <c r="AA4018" t="s">
        <v>44428</v>
      </c>
      <c r="AB4018" t="s">
        <v>44429</v>
      </c>
      <c r="AC4018" t="s">
        <v>44430</v>
      </c>
      <c r="AD4018" t="s">
        <v>44431</v>
      </c>
      <c r="AE4018" t="s">
        <v>44432</v>
      </c>
      <c r="AF4018" t="s">
        <v>46835</v>
      </c>
    </row>
    <row r="4019" spans="1:32" x14ac:dyDescent="0.2">
      <c r="A4019">
        <v>4014</v>
      </c>
      <c r="B4019" t="s">
        <v>44433</v>
      </c>
      <c r="C4019" t="s">
        <v>44434</v>
      </c>
      <c r="D4019" t="s">
        <v>32</v>
      </c>
      <c r="E4019" t="s">
        <v>44435</v>
      </c>
      <c r="F4019" t="s">
        <v>44436</v>
      </c>
      <c r="G4019" t="s">
        <v>44437</v>
      </c>
      <c r="H4019" t="str">
        <f>"Tapt1"</f>
        <v>Tapt1</v>
      </c>
      <c r="I4019" t="s">
        <v>32</v>
      </c>
      <c r="J4019" t="s">
        <v>37</v>
      </c>
      <c r="K4019">
        <v>10090</v>
      </c>
      <c r="L4019" s="3" t="str">
        <f>HYPERLINK("http://www.uniprot.org/uniprot/Q4VBD2", "Q4VBD2")</f>
        <v>Q4VBD2</v>
      </c>
      <c r="M4019" t="s">
        <v>44438</v>
      </c>
      <c r="N4019" t="str">
        <f>"Tapt1"</f>
        <v>Tapt1</v>
      </c>
      <c r="O4019" s="3" t="str">
        <f>HYPERLINK("http://www.informatics.jax.org/marker/MGI:2683537", "MGI:2683537")</f>
        <v>MGI:2683537</v>
      </c>
      <c r="P4019" t="s">
        <v>44439</v>
      </c>
      <c r="Q4019" t="s">
        <v>44440</v>
      </c>
      <c r="R4019" t="s">
        <v>44441</v>
      </c>
      <c r="S4019" t="s">
        <v>32</v>
      </c>
      <c r="T4019" t="s">
        <v>32</v>
      </c>
      <c r="U4019" t="s">
        <v>32</v>
      </c>
      <c r="V4019" t="s">
        <v>493</v>
      </c>
      <c r="W4019" t="s">
        <v>32</v>
      </c>
      <c r="X4019" t="s">
        <v>2029</v>
      </c>
      <c r="Y4019" t="s">
        <v>157</v>
      </c>
      <c r="Z4019" t="s">
        <v>32</v>
      </c>
      <c r="AA4019" t="s">
        <v>44442</v>
      </c>
      <c r="AB4019" t="s">
        <v>44443</v>
      </c>
      <c r="AC4019" t="s">
        <v>32</v>
      </c>
      <c r="AD4019" t="s">
        <v>32</v>
      </c>
      <c r="AE4019" t="s">
        <v>32</v>
      </c>
      <c r="AF4019" t="s">
        <v>46835</v>
      </c>
    </row>
    <row r="4020" spans="1:32" x14ac:dyDescent="0.2">
      <c r="A4020">
        <v>4015</v>
      </c>
      <c r="B4020" t="s">
        <v>44444</v>
      </c>
      <c r="C4020" t="s">
        <v>44445</v>
      </c>
      <c r="D4020" t="s">
        <v>44446</v>
      </c>
      <c r="E4020" t="s">
        <v>44447</v>
      </c>
      <c r="F4020" t="s">
        <v>44448</v>
      </c>
      <c r="G4020" t="s">
        <v>32</v>
      </c>
      <c r="H4020" t="str">
        <f>"Ppp1r37"</f>
        <v>Ppp1r37</v>
      </c>
      <c r="I4020" t="s">
        <v>44449</v>
      </c>
      <c r="J4020" t="s">
        <v>37</v>
      </c>
      <c r="K4020">
        <v>10090</v>
      </c>
      <c r="L4020" s="3" t="str">
        <f>HYPERLINK("http://www.uniprot.org/uniprot/Q8BKR5", "Q8BKR5")</f>
        <v>Q8BKR5</v>
      </c>
      <c r="M4020" t="s">
        <v>44450</v>
      </c>
      <c r="N4020" t="str">
        <f>"Ppp1r37"</f>
        <v>Ppp1r37</v>
      </c>
      <c r="O4020" s="3" t="str">
        <f>HYPERLINK("http://www.informatics.jax.org/marker/MGI:2687042", "MGI:2687042")</f>
        <v>MGI:2687042</v>
      </c>
      <c r="P4020" t="s">
        <v>44451</v>
      </c>
      <c r="Q4020" t="s">
        <v>32</v>
      </c>
      <c r="R4020" t="s">
        <v>32</v>
      </c>
      <c r="S4020" t="s">
        <v>32</v>
      </c>
      <c r="T4020" t="s">
        <v>32</v>
      </c>
      <c r="U4020" t="s">
        <v>32</v>
      </c>
      <c r="V4020" t="s">
        <v>2701</v>
      </c>
      <c r="W4020" t="s">
        <v>32</v>
      </c>
      <c r="X4020" t="s">
        <v>14951</v>
      </c>
      <c r="Y4020" t="s">
        <v>618</v>
      </c>
      <c r="Z4020" t="s">
        <v>32</v>
      </c>
      <c r="AA4020" t="s">
        <v>32</v>
      </c>
      <c r="AB4020" t="s">
        <v>32</v>
      </c>
      <c r="AC4020" t="s">
        <v>44452</v>
      </c>
      <c r="AD4020" t="s">
        <v>32</v>
      </c>
      <c r="AE4020" t="s">
        <v>32</v>
      </c>
      <c r="AF4020" t="s">
        <v>46835</v>
      </c>
    </row>
    <row r="4021" spans="1:32" x14ac:dyDescent="0.2">
      <c r="A4021">
        <v>4016</v>
      </c>
      <c r="B4021" t="s">
        <v>44453</v>
      </c>
      <c r="C4021" t="s">
        <v>44454</v>
      </c>
      <c r="D4021" t="s">
        <v>44455</v>
      </c>
      <c r="E4021" t="s">
        <v>44456</v>
      </c>
      <c r="F4021" t="s">
        <v>44457</v>
      </c>
      <c r="G4021" t="s">
        <v>44458</v>
      </c>
      <c r="H4021" t="str">
        <f>"Tbk1"</f>
        <v>Tbk1</v>
      </c>
      <c r="I4021" t="s">
        <v>32</v>
      </c>
      <c r="J4021" t="s">
        <v>37</v>
      </c>
      <c r="K4021">
        <v>10090</v>
      </c>
      <c r="L4021" s="3" t="str">
        <f>HYPERLINK("http://www.uniprot.org/uniprot/Q9WUN2", "Q9WUN2")</f>
        <v>Q9WUN2</v>
      </c>
      <c r="M4021" t="s">
        <v>44459</v>
      </c>
      <c r="N4021" t="str">
        <f>"Tbk1"</f>
        <v>Tbk1</v>
      </c>
      <c r="O4021" s="3" t="str">
        <f>HYPERLINK("http://www.informatics.jax.org/marker/MGI:1929658", "MGI:1929658")</f>
        <v>MGI:1929658</v>
      </c>
      <c r="P4021" t="s">
        <v>44460</v>
      </c>
      <c r="Q4021" t="s">
        <v>8548</v>
      </c>
      <c r="R4021" t="s">
        <v>418</v>
      </c>
      <c r="S4021" t="s">
        <v>32</v>
      </c>
      <c r="T4021" t="s">
        <v>32</v>
      </c>
      <c r="U4021" t="s">
        <v>32</v>
      </c>
      <c r="V4021" t="s">
        <v>290</v>
      </c>
      <c r="W4021" t="s">
        <v>205</v>
      </c>
      <c r="X4021" t="s">
        <v>5419</v>
      </c>
      <c r="Y4021" t="s">
        <v>1007</v>
      </c>
      <c r="Z4021" t="s">
        <v>126</v>
      </c>
      <c r="AA4021" t="s">
        <v>44461</v>
      </c>
      <c r="AB4021" t="s">
        <v>7126</v>
      </c>
      <c r="AC4021" t="s">
        <v>44462</v>
      </c>
      <c r="AD4021" t="s">
        <v>32</v>
      </c>
      <c r="AE4021" t="s">
        <v>44463</v>
      </c>
      <c r="AF4021" t="s">
        <v>46835</v>
      </c>
    </row>
    <row r="4022" spans="1:32" x14ac:dyDescent="0.2">
      <c r="A4022">
        <v>4017</v>
      </c>
      <c r="B4022" t="s">
        <v>44464</v>
      </c>
      <c r="C4022" t="s">
        <v>44465</v>
      </c>
      <c r="D4022" t="s">
        <v>32</v>
      </c>
      <c r="E4022" t="s">
        <v>44466</v>
      </c>
      <c r="F4022" t="s">
        <v>44467</v>
      </c>
      <c r="G4022" t="s">
        <v>32</v>
      </c>
      <c r="H4022" t="str">
        <f>"Rsph9"</f>
        <v>Rsph9</v>
      </c>
      <c r="I4022" t="s">
        <v>32</v>
      </c>
      <c r="J4022" t="s">
        <v>37</v>
      </c>
      <c r="K4022">
        <v>10090</v>
      </c>
      <c r="L4022" s="3" t="str">
        <f>HYPERLINK("http://www.uniprot.org/uniprot/Q9D9V4", "Q9D9V4")</f>
        <v>Q9D9V4</v>
      </c>
      <c r="M4022" t="s">
        <v>44468</v>
      </c>
      <c r="N4022" t="str">
        <f>"Rsph9"</f>
        <v>Rsph9</v>
      </c>
      <c r="O4022" s="3" t="str">
        <f>HYPERLINK("http://www.informatics.jax.org/marker/MGI:1922814", "MGI:1922814")</f>
        <v>MGI:1922814</v>
      </c>
      <c r="P4022" t="s">
        <v>44469</v>
      </c>
      <c r="Q4022" t="s">
        <v>475</v>
      </c>
      <c r="R4022" t="s">
        <v>1321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32</v>
      </c>
      <c r="Y4022" t="s">
        <v>32</v>
      </c>
      <c r="Z4022" t="s">
        <v>126</v>
      </c>
      <c r="AA4022" t="s">
        <v>44470</v>
      </c>
      <c r="AB4022" t="s">
        <v>44471</v>
      </c>
      <c r="AC4022" t="s">
        <v>32</v>
      </c>
      <c r="AD4022" t="s">
        <v>32</v>
      </c>
      <c r="AE4022" t="s">
        <v>32</v>
      </c>
      <c r="AF4022" t="s">
        <v>46835</v>
      </c>
    </row>
    <row r="4023" spans="1:32" x14ac:dyDescent="0.2">
      <c r="A4023">
        <v>4018</v>
      </c>
      <c r="B4023" t="s">
        <v>44472</v>
      </c>
      <c r="C4023" t="s">
        <v>44473</v>
      </c>
      <c r="D4023" t="s">
        <v>32</v>
      </c>
      <c r="E4023" t="s">
        <v>44474</v>
      </c>
      <c r="F4023" t="s">
        <v>44475</v>
      </c>
      <c r="G4023" t="s">
        <v>44476</v>
      </c>
      <c r="H4023" t="str">
        <f>"Rasip1"</f>
        <v>Rasip1</v>
      </c>
      <c r="I4023" t="s">
        <v>32</v>
      </c>
      <c r="J4023" t="s">
        <v>37</v>
      </c>
      <c r="K4023">
        <v>10090</v>
      </c>
      <c r="L4023" s="3" t="str">
        <f>HYPERLINK("http://www.uniprot.org/uniprot/Q3U0S6", "Q3U0S6")</f>
        <v>Q3U0S6</v>
      </c>
      <c r="M4023" t="s">
        <v>44477</v>
      </c>
      <c r="N4023" t="str">
        <f>"Rasip1"</f>
        <v>Rasip1</v>
      </c>
      <c r="O4023" s="3" t="str">
        <f>HYPERLINK("http://www.informatics.jax.org/marker/MGI:1917153", "MGI:1917153")</f>
        <v>MGI:1917153</v>
      </c>
      <c r="P4023" t="s">
        <v>44478</v>
      </c>
      <c r="Q4023" t="s">
        <v>4227</v>
      </c>
      <c r="R4023" t="s">
        <v>8179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32</v>
      </c>
      <c r="Y4023" t="s">
        <v>2734</v>
      </c>
      <c r="Z4023" t="s">
        <v>32</v>
      </c>
      <c r="AA4023" t="s">
        <v>44479</v>
      </c>
      <c r="AB4023" t="s">
        <v>44480</v>
      </c>
      <c r="AC4023" t="s">
        <v>44481</v>
      </c>
      <c r="AD4023" t="s">
        <v>32</v>
      </c>
      <c r="AE4023" t="s">
        <v>32</v>
      </c>
      <c r="AF4023" t="s">
        <v>46835</v>
      </c>
    </row>
    <row r="4024" spans="1:32" x14ac:dyDescent="0.2">
      <c r="A4024">
        <v>4019</v>
      </c>
      <c r="B4024" t="s">
        <v>44482</v>
      </c>
      <c r="C4024" t="s">
        <v>44483</v>
      </c>
      <c r="D4024" t="s">
        <v>32</v>
      </c>
      <c r="E4024" t="s">
        <v>44484</v>
      </c>
      <c r="F4024" t="s">
        <v>44485</v>
      </c>
      <c r="G4024" t="s">
        <v>44486</v>
      </c>
      <c r="H4024" t="str">
        <f>"Stx4"</f>
        <v>Stx4</v>
      </c>
      <c r="I4024" t="s">
        <v>44487</v>
      </c>
      <c r="J4024" t="s">
        <v>37</v>
      </c>
      <c r="K4024">
        <v>10090</v>
      </c>
      <c r="L4024" s="3" t="str">
        <f>HYPERLINK("http://www.uniprot.org/uniprot/P70452", "P70452")</f>
        <v>P70452</v>
      </c>
      <c r="M4024" t="s">
        <v>44488</v>
      </c>
      <c r="N4024" t="str">
        <f>"Stx4a"</f>
        <v>Stx4a</v>
      </c>
      <c r="O4024" s="3" t="str">
        <f>HYPERLINK("http://www.informatics.jax.org/marker/MGI:893577", "MGI:893577")</f>
        <v>MGI:893577</v>
      </c>
      <c r="P4024" t="s">
        <v>44489</v>
      </c>
      <c r="Q4024" t="s">
        <v>35169</v>
      </c>
      <c r="R4024" t="s">
        <v>2943</v>
      </c>
      <c r="S4024" t="s">
        <v>32</v>
      </c>
      <c r="T4024" t="s">
        <v>32</v>
      </c>
      <c r="U4024" t="s">
        <v>32</v>
      </c>
      <c r="V4024" t="s">
        <v>6500</v>
      </c>
      <c r="W4024" t="s">
        <v>32</v>
      </c>
      <c r="X4024" t="s">
        <v>32</v>
      </c>
      <c r="Y4024" t="s">
        <v>618</v>
      </c>
      <c r="Z4024" t="s">
        <v>126</v>
      </c>
      <c r="AA4024" t="s">
        <v>44490</v>
      </c>
      <c r="AB4024" t="s">
        <v>44491</v>
      </c>
      <c r="AC4024" t="s">
        <v>44492</v>
      </c>
      <c r="AD4024" t="s">
        <v>32</v>
      </c>
      <c r="AE4024" t="s">
        <v>44493</v>
      </c>
      <c r="AF4024" t="s">
        <v>46835</v>
      </c>
    </row>
    <row r="4025" spans="1:32" x14ac:dyDescent="0.2">
      <c r="A4025">
        <v>4020</v>
      </c>
      <c r="B4025" t="s">
        <v>44494</v>
      </c>
      <c r="C4025" t="s">
        <v>44495</v>
      </c>
      <c r="D4025" t="s">
        <v>32</v>
      </c>
      <c r="E4025" t="s">
        <v>44496</v>
      </c>
      <c r="F4025" t="s">
        <v>44497</v>
      </c>
      <c r="G4025" t="s">
        <v>44498</v>
      </c>
      <c r="H4025" t="str">
        <f>"Stau2"</f>
        <v>Stau2</v>
      </c>
      <c r="I4025" t="s">
        <v>32</v>
      </c>
      <c r="J4025" t="s">
        <v>37</v>
      </c>
      <c r="K4025">
        <v>10090</v>
      </c>
      <c r="L4025" s="3" t="str">
        <f>HYPERLINK("http://www.uniprot.org/uniprot/Q8CJ67", "Q8CJ67")</f>
        <v>Q8CJ67</v>
      </c>
      <c r="M4025" t="s">
        <v>44499</v>
      </c>
      <c r="N4025" t="str">
        <f>"Stau2"</f>
        <v>Stau2</v>
      </c>
      <c r="O4025" s="3" t="str">
        <f>HYPERLINK("http://www.informatics.jax.org/marker/MGI:1352508", "MGI:1352508")</f>
        <v>MGI:1352508</v>
      </c>
      <c r="P4025" t="s">
        <v>44500</v>
      </c>
      <c r="Q4025" t="s">
        <v>4425</v>
      </c>
      <c r="R4025" t="s">
        <v>44501</v>
      </c>
      <c r="S4025" t="s">
        <v>41</v>
      </c>
      <c r="T4025" t="s">
        <v>32</v>
      </c>
      <c r="U4025" t="s">
        <v>32</v>
      </c>
      <c r="V4025" t="s">
        <v>55</v>
      </c>
      <c r="W4025" t="s">
        <v>32</v>
      </c>
      <c r="X4025" t="s">
        <v>1282</v>
      </c>
      <c r="Y4025" t="s">
        <v>618</v>
      </c>
      <c r="Z4025" t="s">
        <v>126</v>
      </c>
      <c r="AA4025" t="s">
        <v>44502</v>
      </c>
      <c r="AB4025" t="s">
        <v>44503</v>
      </c>
      <c r="AC4025" t="s">
        <v>44504</v>
      </c>
      <c r="AD4025" t="s">
        <v>32</v>
      </c>
      <c r="AE4025" t="s">
        <v>32</v>
      </c>
      <c r="AF4025" t="s">
        <v>46835</v>
      </c>
    </row>
    <row r="4026" spans="1:32" x14ac:dyDescent="0.2">
      <c r="A4026">
        <v>4021</v>
      </c>
      <c r="B4026" t="s">
        <v>44505</v>
      </c>
      <c r="C4026" t="s">
        <v>44506</v>
      </c>
      <c r="D4026" t="s">
        <v>44507</v>
      </c>
      <c r="E4026" t="s">
        <v>44508</v>
      </c>
      <c r="F4026" t="s">
        <v>44509</v>
      </c>
      <c r="G4026" t="s">
        <v>44510</v>
      </c>
      <c r="H4026" t="str">
        <f>"Mboat2"</f>
        <v>Mboat2</v>
      </c>
      <c r="I4026" t="s">
        <v>32</v>
      </c>
      <c r="J4026" t="s">
        <v>37</v>
      </c>
      <c r="K4026">
        <v>10090</v>
      </c>
      <c r="L4026" s="3" t="str">
        <f>HYPERLINK("http://www.uniprot.org/uniprot/Q8R3I2", "Q8R3I2")</f>
        <v>Q8R3I2</v>
      </c>
      <c r="M4026" t="s">
        <v>44511</v>
      </c>
      <c r="N4026" t="str">
        <f>"Mboat2"</f>
        <v>Mboat2</v>
      </c>
      <c r="O4026" s="3" t="str">
        <f>HYPERLINK("http://www.informatics.jax.org/marker/MGI:1914466", "MGI:1914466")</f>
        <v>MGI:1914466</v>
      </c>
      <c r="P4026" t="s">
        <v>44512</v>
      </c>
      <c r="Q4026" t="s">
        <v>22663</v>
      </c>
      <c r="R4026" t="s">
        <v>1664</v>
      </c>
      <c r="S4026" t="s">
        <v>41</v>
      </c>
      <c r="T4026" t="s">
        <v>32</v>
      </c>
      <c r="U4026" t="s">
        <v>32</v>
      </c>
      <c r="V4026" t="s">
        <v>493</v>
      </c>
      <c r="W4026" t="s">
        <v>32</v>
      </c>
      <c r="X4026" t="s">
        <v>7304</v>
      </c>
      <c r="Y4026" t="s">
        <v>32</v>
      </c>
      <c r="Z4026" t="s">
        <v>32</v>
      </c>
      <c r="AA4026" t="s">
        <v>44513</v>
      </c>
      <c r="AB4026" t="s">
        <v>22665</v>
      </c>
      <c r="AC4026" t="s">
        <v>22666</v>
      </c>
      <c r="AD4026" t="s">
        <v>22667</v>
      </c>
      <c r="AE4026" t="s">
        <v>44514</v>
      </c>
      <c r="AF4026" t="s">
        <v>46835</v>
      </c>
    </row>
    <row r="4027" spans="1:32" x14ac:dyDescent="0.2">
      <c r="A4027">
        <v>4022</v>
      </c>
      <c r="B4027" t="s">
        <v>44515</v>
      </c>
      <c r="C4027" t="s">
        <v>44516</v>
      </c>
      <c r="D4027" t="s">
        <v>44517</v>
      </c>
      <c r="E4027" t="s">
        <v>44518</v>
      </c>
      <c r="F4027" t="s">
        <v>44519</v>
      </c>
      <c r="G4027" t="s">
        <v>32</v>
      </c>
      <c r="H4027" t="str">
        <f>"Jcad"</f>
        <v>Jcad</v>
      </c>
      <c r="I4027" t="s">
        <v>44520</v>
      </c>
      <c r="J4027" t="s">
        <v>37</v>
      </c>
      <c r="K4027">
        <v>10090</v>
      </c>
      <c r="L4027" s="3" t="str">
        <f>HYPERLINK("http://www.uniprot.org/uniprot/Q5DTX6", "Q5DTX6")</f>
        <v>Q5DTX6</v>
      </c>
      <c r="M4027" t="s">
        <v>44521</v>
      </c>
      <c r="N4027" t="str">
        <f>"Jcad"</f>
        <v>Jcad</v>
      </c>
      <c r="O4027" s="3" t="str">
        <f>HYPERLINK("http://www.informatics.jax.org/marker/MGI:2685174", "MGI:2685174")</f>
        <v>MGI:2685174</v>
      </c>
      <c r="P4027" t="s">
        <v>44522</v>
      </c>
      <c r="Q4027" t="s">
        <v>2784</v>
      </c>
      <c r="R4027" t="s">
        <v>8772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32</v>
      </c>
      <c r="Y4027" t="s">
        <v>618</v>
      </c>
      <c r="Z4027" t="s">
        <v>32</v>
      </c>
      <c r="AA4027" t="s">
        <v>44523</v>
      </c>
      <c r="AB4027" t="s">
        <v>44524</v>
      </c>
      <c r="AC4027" t="s">
        <v>32</v>
      </c>
      <c r="AD4027" t="s">
        <v>32</v>
      </c>
      <c r="AE4027" t="s">
        <v>32</v>
      </c>
      <c r="AF4027" t="s">
        <v>46835</v>
      </c>
    </row>
    <row r="4028" spans="1:32" x14ac:dyDescent="0.2">
      <c r="A4028">
        <v>4023</v>
      </c>
      <c r="B4028" t="s">
        <v>44525</v>
      </c>
      <c r="C4028" t="s">
        <v>44526</v>
      </c>
      <c r="D4028" t="s">
        <v>32</v>
      </c>
      <c r="E4028" t="s">
        <v>44527</v>
      </c>
      <c r="F4028" t="s">
        <v>44528</v>
      </c>
      <c r="G4028" t="s">
        <v>44529</v>
      </c>
      <c r="H4028" t="str">
        <f>"Prpf38a"</f>
        <v>Prpf38a</v>
      </c>
      <c r="I4028" t="s">
        <v>32</v>
      </c>
      <c r="J4028" t="s">
        <v>37</v>
      </c>
      <c r="K4028">
        <v>10090</v>
      </c>
      <c r="L4028" s="3" t="str">
        <f>HYPERLINK("http://www.uniprot.org/uniprot/Q4FK66", "Q4FK66")</f>
        <v>Q4FK66</v>
      </c>
      <c r="M4028" t="s">
        <v>44530</v>
      </c>
      <c r="N4028" t="str">
        <f>"Prpf38a"</f>
        <v>Prpf38a</v>
      </c>
      <c r="O4028" s="3" t="str">
        <f>HYPERLINK("http://www.informatics.jax.org/marker/MGI:1916962", "MGI:1916962")</f>
        <v>MGI:1916962</v>
      </c>
      <c r="P4028" t="s">
        <v>44531</v>
      </c>
      <c r="Q4028" t="s">
        <v>2139</v>
      </c>
      <c r="R4028" t="s">
        <v>2140</v>
      </c>
      <c r="S4028" t="s">
        <v>41</v>
      </c>
      <c r="T4028" t="s">
        <v>32</v>
      </c>
      <c r="U4028" t="s">
        <v>32</v>
      </c>
      <c r="V4028" t="s">
        <v>290</v>
      </c>
      <c r="W4028" t="s">
        <v>32</v>
      </c>
      <c r="X4028" t="s">
        <v>32</v>
      </c>
      <c r="Y4028" t="s">
        <v>618</v>
      </c>
      <c r="Z4028" t="s">
        <v>32</v>
      </c>
      <c r="AA4028" t="s">
        <v>8104</v>
      </c>
      <c r="AB4028" t="s">
        <v>44532</v>
      </c>
      <c r="AC4028" t="s">
        <v>32</v>
      </c>
      <c r="AD4028" t="s">
        <v>32</v>
      </c>
      <c r="AE4028" t="s">
        <v>946</v>
      </c>
      <c r="AF4028" t="s">
        <v>46835</v>
      </c>
    </row>
    <row r="4029" spans="1:32" x14ac:dyDescent="0.2">
      <c r="A4029">
        <v>4024</v>
      </c>
      <c r="B4029" t="s">
        <v>44533</v>
      </c>
      <c r="C4029" t="s">
        <v>44534</v>
      </c>
      <c r="D4029" t="s">
        <v>44535</v>
      </c>
      <c r="E4029" t="s">
        <v>44536</v>
      </c>
      <c r="F4029" t="s">
        <v>44537</v>
      </c>
      <c r="G4029" t="s">
        <v>44538</v>
      </c>
      <c r="H4029" t="str">
        <f>"Usp46"</f>
        <v>Usp46</v>
      </c>
      <c r="I4029" t="s">
        <v>32</v>
      </c>
      <c r="J4029" t="s">
        <v>37</v>
      </c>
      <c r="K4029">
        <v>10090</v>
      </c>
      <c r="L4029" s="3" t="str">
        <f>HYPERLINK("http://www.uniprot.org/uniprot/P62069", "P62069")</f>
        <v>P62069</v>
      </c>
      <c r="M4029" t="s">
        <v>44539</v>
      </c>
      <c r="N4029" t="str">
        <f>"Usp46"</f>
        <v>Usp46</v>
      </c>
      <c r="O4029" s="3" t="str">
        <f>HYPERLINK("http://www.informatics.jax.org/marker/MGI:1916977", "MGI:1916977")</f>
        <v>MGI:1916977</v>
      </c>
      <c r="P4029" t="s">
        <v>44540</v>
      </c>
      <c r="Q4029" t="s">
        <v>44541</v>
      </c>
      <c r="R4029" t="s">
        <v>32</v>
      </c>
      <c r="S4029" t="s">
        <v>32</v>
      </c>
      <c r="T4029" t="s">
        <v>32</v>
      </c>
      <c r="U4029" t="s">
        <v>32</v>
      </c>
      <c r="V4029" t="s">
        <v>32</v>
      </c>
      <c r="W4029" t="s">
        <v>42</v>
      </c>
      <c r="X4029" t="s">
        <v>557</v>
      </c>
      <c r="Y4029" t="s">
        <v>32</v>
      </c>
      <c r="Z4029" t="s">
        <v>32</v>
      </c>
      <c r="AA4029" t="s">
        <v>44542</v>
      </c>
      <c r="AB4029" t="s">
        <v>44543</v>
      </c>
      <c r="AC4029" t="s">
        <v>44544</v>
      </c>
      <c r="AD4029" t="s">
        <v>32</v>
      </c>
      <c r="AE4029" t="s">
        <v>32</v>
      </c>
      <c r="AF4029" t="s">
        <v>46835</v>
      </c>
    </row>
    <row r="4030" spans="1:32" x14ac:dyDescent="0.2">
      <c r="A4030">
        <v>4025</v>
      </c>
      <c r="B4030" t="s">
        <v>44545</v>
      </c>
      <c r="C4030" t="s">
        <v>44546</v>
      </c>
      <c r="D4030" t="s">
        <v>44547</v>
      </c>
      <c r="E4030" t="s">
        <v>44548</v>
      </c>
      <c r="F4030" t="s">
        <v>44549</v>
      </c>
      <c r="G4030" t="s">
        <v>44550</v>
      </c>
      <c r="H4030" t="str">
        <f>"Tgs1"</f>
        <v>Tgs1</v>
      </c>
      <c r="I4030" t="s">
        <v>44551</v>
      </c>
      <c r="J4030" t="s">
        <v>37</v>
      </c>
      <c r="K4030">
        <v>10090</v>
      </c>
      <c r="L4030" s="3" t="str">
        <f>HYPERLINK("http://www.uniprot.org/uniprot/Q923W1", "Q923W1")</f>
        <v>Q923W1</v>
      </c>
      <c r="M4030" t="s">
        <v>44552</v>
      </c>
      <c r="N4030" t="str">
        <f>"Tgs1"</f>
        <v>Tgs1</v>
      </c>
      <c r="O4030" s="3" t="str">
        <f>HYPERLINK("http://www.informatics.jax.org/marker/MGI:2151797", "MGI:2151797")</f>
        <v>MGI:2151797</v>
      </c>
      <c r="P4030" t="s">
        <v>44553</v>
      </c>
      <c r="Q4030" t="s">
        <v>4152</v>
      </c>
      <c r="R4030" t="s">
        <v>40</v>
      </c>
      <c r="S4030" t="s">
        <v>32</v>
      </c>
      <c r="T4030" t="s">
        <v>32</v>
      </c>
      <c r="U4030" t="s">
        <v>32</v>
      </c>
      <c r="V4030" t="s">
        <v>32</v>
      </c>
      <c r="W4030" t="s">
        <v>1705</v>
      </c>
      <c r="X4030" t="s">
        <v>1706</v>
      </c>
      <c r="Y4030" t="s">
        <v>618</v>
      </c>
      <c r="Z4030" t="s">
        <v>32</v>
      </c>
      <c r="AA4030" t="s">
        <v>44554</v>
      </c>
      <c r="AB4030" t="s">
        <v>44555</v>
      </c>
      <c r="AC4030" t="s">
        <v>44556</v>
      </c>
      <c r="AD4030" t="s">
        <v>32</v>
      </c>
      <c r="AE4030" t="s">
        <v>44557</v>
      </c>
      <c r="AF4030" t="s">
        <v>46835</v>
      </c>
    </row>
    <row r="4031" spans="1:32" x14ac:dyDescent="0.2">
      <c r="A4031">
        <v>4026</v>
      </c>
      <c r="B4031" t="s">
        <v>44558</v>
      </c>
      <c r="C4031" t="s">
        <v>44559</v>
      </c>
      <c r="D4031" t="s">
        <v>44560</v>
      </c>
      <c r="E4031" t="s">
        <v>44561</v>
      </c>
      <c r="F4031" t="s">
        <v>44562</v>
      </c>
      <c r="G4031" t="s">
        <v>44563</v>
      </c>
      <c r="H4031" t="str">
        <f>"Ppp3cb"</f>
        <v>Ppp3cb</v>
      </c>
      <c r="I4031" t="s">
        <v>44564</v>
      </c>
      <c r="J4031" t="s">
        <v>37</v>
      </c>
      <c r="K4031">
        <v>10090</v>
      </c>
      <c r="L4031" s="3" t="str">
        <f>HYPERLINK("http://www.uniprot.org/uniprot/P48453", "P48453")</f>
        <v>P48453</v>
      </c>
      <c r="M4031" t="s">
        <v>44565</v>
      </c>
      <c r="N4031" t="str">
        <f>"Ppp3cb"</f>
        <v>Ppp3cb</v>
      </c>
      <c r="O4031" s="3" t="str">
        <f>HYPERLINK("http://www.informatics.jax.org/marker/MGI:107163", "MGI:107163")</f>
        <v>MGI:107163</v>
      </c>
      <c r="P4031" t="s">
        <v>44566</v>
      </c>
      <c r="Q4031" t="s">
        <v>32</v>
      </c>
      <c r="R4031" t="s">
        <v>418</v>
      </c>
      <c r="S4031" t="s">
        <v>41</v>
      </c>
      <c r="T4031" t="s">
        <v>32</v>
      </c>
      <c r="U4031" t="s">
        <v>32</v>
      </c>
      <c r="V4031" t="s">
        <v>32</v>
      </c>
      <c r="W4031" t="s">
        <v>18878</v>
      </c>
      <c r="X4031" t="s">
        <v>22113</v>
      </c>
      <c r="Y4031" t="s">
        <v>157</v>
      </c>
      <c r="Z4031" t="s">
        <v>32</v>
      </c>
      <c r="AA4031" t="s">
        <v>44567</v>
      </c>
      <c r="AB4031" t="s">
        <v>44568</v>
      </c>
      <c r="AC4031" t="s">
        <v>44569</v>
      </c>
      <c r="AD4031" t="s">
        <v>32</v>
      </c>
      <c r="AE4031" t="s">
        <v>22118</v>
      </c>
      <c r="AF4031" t="s">
        <v>46835</v>
      </c>
    </row>
    <row r="4032" spans="1:32" x14ac:dyDescent="0.2">
      <c r="A4032">
        <v>4027</v>
      </c>
      <c r="B4032" t="s">
        <v>44570</v>
      </c>
      <c r="C4032" t="s">
        <v>44571</v>
      </c>
      <c r="D4032" t="s">
        <v>44572</v>
      </c>
      <c r="E4032" t="s">
        <v>44573</v>
      </c>
      <c r="F4032" t="s">
        <v>44574</v>
      </c>
      <c r="G4032" t="s">
        <v>44575</v>
      </c>
      <c r="H4032" t="str">
        <f>"Impact"</f>
        <v>Impact</v>
      </c>
      <c r="I4032" t="s">
        <v>32</v>
      </c>
      <c r="J4032" t="s">
        <v>37</v>
      </c>
      <c r="K4032">
        <v>10090</v>
      </c>
      <c r="L4032" s="3" t="str">
        <f>HYPERLINK("http://www.uniprot.org/uniprot/O55091", "O55091")</f>
        <v>O55091</v>
      </c>
      <c r="M4032" t="s">
        <v>44576</v>
      </c>
      <c r="N4032" t="str">
        <f>"Impact"</f>
        <v>Impact</v>
      </c>
      <c r="O4032" s="3" t="str">
        <f>HYPERLINK("http://www.informatics.jax.org/marker/MGI:1098233", "MGI:1098233")</f>
        <v>MGI:1098233</v>
      </c>
      <c r="P4032" t="s">
        <v>44577</v>
      </c>
      <c r="Q4032" t="s">
        <v>44578</v>
      </c>
      <c r="R4032" t="s">
        <v>418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44579</v>
      </c>
      <c r="Y4032" t="s">
        <v>618</v>
      </c>
      <c r="Z4032" t="s">
        <v>32</v>
      </c>
      <c r="AA4032" t="s">
        <v>44580</v>
      </c>
      <c r="AB4032" t="s">
        <v>44581</v>
      </c>
      <c r="AC4032" t="s">
        <v>44582</v>
      </c>
      <c r="AD4032" t="s">
        <v>32</v>
      </c>
      <c r="AE4032" t="s">
        <v>32</v>
      </c>
      <c r="AF4032" t="s">
        <v>46835</v>
      </c>
    </row>
    <row r="4033" spans="1:33" x14ac:dyDescent="0.2">
      <c r="A4033">
        <v>4028</v>
      </c>
      <c r="B4033" t="s">
        <v>44583</v>
      </c>
      <c r="C4033" t="s">
        <v>44584</v>
      </c>
      <c r="D4033" t="s">
        <v>44585</v>
      </c>
      <c r="E4033" t="s">
        <v>44586</v>
      </c>
      <c r="F4033" t="s">
        <v>44587</v>
      </c>
      <c r="G4033" t="s">
        <v>44588</v>
      </c>
      <c r="H4033" t="str">
        <f>"Setd2"</f>
        <v>Setd2</v>
      </c>
      <c r="I4033" t="s">
        <v>32</v>
      </c>
      <c r="J4033" t="s">
        <v>37</v>
      </c>
      <c r="K4033">
        <v>10090</v>
      </c>
      <c r="L4033" s="3" t="str">
        <f>HYPERLINK("http://www.uniprot.org/uniprot/E9Q5F9", "E9Q5F9")</f>
        <v>E9Q5F9</v>
      </c>
      <c r="M4033" t="s">
        <v>44589</v>
      </c>
      <c r="N4033" t="str">
        <f>"Setd2"</f>
        <v>Setd2</v>
      </c>
      <c r="O4033" s="3" t="str">
        <f>HYPERLINK("http://www.informatics.jax.org/marker/MGI:1918177", "MGI:1918177")</f>
        <v>MGI:1918177</v>
      </c>
      <c r="P4033" t="s">
        <v>44590</v>
      </c>
      <c r="Q4033" t="s">
        <v>44591</v>
      </c>
      <c r="R4033" t="s">
        <v>1939</v>
      </c>
      <c r="S4033" t="s">
        <v>41</v>
      </c>
      <c r="T4033" t="s">
        <v>32</v>
      </c>
      <c r="U4033" t="s">
        <v>32</v>
      </c>
      <c r="V4033" t="s">
        <v>290</v>
      </c>
      <c r="W4033" t="s">
        <v>15120</v>
      </c>
      <c r="X4033" t="s">
        <v>44592</v>
      </c>
      <c r="Y4033" t="s">
        <v>1007</v>
      </c>
      <c r="Z4033" t="s">
        <v>32</v>
      </c>
      <c r="AA4033" t="s">
        <v>44593</v>
      </c>
      <c r="AB4033" t="s">
        <v>44594</v>
      </c>
      <c r="AC4033" t="s">
        <v>44595</v>
      </c>
      <c r="AD4033" t="s">
        <v>32</v>
      </c>
      <c r="AE4033" t="s">
        <v>19097</v>
      </c>
      <c r="AF4033" t="s">
        <v>46835</v>
      </c>
    </row>
    <row r="4034" spans="1:33" x14ac:dyDescent="0.2">
      <c r="A4034">
        <v>4029</v>
      </c>
      <c r="B4034" t="s">
        <v>44596</v>
      </c>
      <c r="C4034" t="s">
        <v>44597</v>
      </c>
      <c r="D4034" t="s">
        <v>32</v>
      </c>
      <c r="E4034" t="s">
        <v>44598</v>
      </c>
      <c r="F4034" t="s">
        <v>44599</v>
      </c>
      <c r="G4034" t="s">
        <v>32</v>
      </c>
      <c r="H4034" t="str">
        <f>"Wdr89"</f>
        <v>Wdr89</v>
      </c>
      <c r="I4034" t="s">
        <v>32</v>
      </c>
      <c r="J4034" t="s">
        <v>37</v>
      </c>
      <c r="K4034">
        <v>10090</v>
      </c>
      <c r="L4034" s="3" t="str">
        <f>HYPERLINK("http://www.uniprot.org/uniprot/Q9D0R9", "Q9D0R9")</f>
        <v>Q9D0R9</v>
      </c>
      <c r="M4034" t="s">
        <v>44600</v>
      </c>
      <c r="N4034" t="str">
        <f>"Wdr89"</f>
        <v>Wdr89</v>
      </c>
      <c r="O4034" s="3" t="str">
        <f>HYPERLINK("http://www.informatics.jax.org/marker/MGI:1919588", "MGI:1919588")</f>
        <v>MGI:1919588</v>
      </c>
      <c r="P4034" t="s">
        <v>1910</v>
      </c>
      <c r="Q4034" t="s">
        <v>32</v>
      </c>
      <c r="R4034" t="s">
        <v>32</v>
      </c>
      <c r="S4034" t="s">
        <v>32</v>
      </c>
      <c r="T4034" t="s">
        <v>32</v>
      </c>
      <c r="U4034" t="s">
        <v>32</v>
      </c>
      <c r="V4034" t="s">
        <v>1910</v>
      </c>
      <c r="W4034" t="s">
        <v>32</v>
      </c>
      <c r="X4034" t="s">
        <v>32</v>
      </c>
      <c r="Y4034" t="s">
        <v>32</v>
      </c>
      <c r="Z4034" t="s">
        <v>32</v>
      </c>
      <c r="AA4034" t="s">
        <v>44601</v>
      </c>
      <c r="AB4034" t="s">
        <v>32</v>
      </c>
      <c r="AC4034" t="s">
        <v>32</v>
      </c>
      <c r="AD4034" t="s">
        <v>32</v>
      </c>
      <c r="AE4034" t="s">
        <v>32</v>
      </c>
      <c r="AF4034" t="s">
        <v>46835</v>
      </c>
    </row>
    <row r="4035" spans="1:33" x14ac:dyDescent="0.2">
      <c r="A4035">
        <v>4030</v>
      </c>
      <c r="B4035" t="s">
        <v>44602</v>
      </c>
      <c r="C4035" t="s">
        <v>44603</v>
      </c>
      <c r="D4035" t="s">
        <v>44604</v>
      </c>
      <c r="E4035" t="s">
        <v>44605</v>
      </c>
      <c r="F4035" t="s">
        <v>44606</v>
      </c>
      <c r="G4035" t="s">
        <v>44607</v>
      </c>
      <c r="H4035" t="str">
        <f>"Smarcd2"</f>
        <v>Smarcd2</v>
      </c>
      <c r="I4035" t="s">
        <v>44608</v>
      </c>
      <c r="J4035" t="s">
        <v>37</v>
      </c>
      <c r="K4035">
        <v>10090</v>
      </c>
      <c r="L4035" s="3" t="str">
        <f>HYPERLINK("http://www.uniprot.org/uniprot/Q99JR8", "Q99JR8")</f>
        <v>Q99JR8</v>
      </c>
      <c r="M4035" t="s">
        <v>44609</v>
      </c>
      <c r="N4035" t="str">
        <f>"Smarcd2"</f>
        <v>Smarcd2</v>
      </c>
      <c r="O4035" s="3" t="str">
        <f>HYPERLINK("http://www.informatics.jax.org/marker/MGI:1933621", "MGI:1933621")</f>
        <v>MGI:1933621</v>
      </c>
      <c r="P4035" t="s">
        <v>44610</v>
      </c>
      <c r="Q4035" t="s">
        <v>4152</v>
      </c>
      <c r="R4035" t="s">
        <v>2279</v>
      </c>
      <c r="S4035" t="s">
        <v>41</v>
      </c>
      <c r="T4035" t="s">
        <v>32</v>
      </c>
      <c r="U4035" t="s">
        <v>32</v>
      </c>
      <c r="V4035" t="s">
        <v>32</v>
      </c>
      <c r="W4035" t="s">
        <v>32</v>
      </c>
      <c r="X4035" t="s">
        <v>9988</v>
      </c>
      <c r="Y4035" t="s">
        <v>2192</v>
      </c>
      <c r="Z4035" t="s">
        <v>32</v>
      </c>
      <c r="AA4035" t="s">
        <v>44611</v>
      </c>
      <c r="AB4035" t="s">
        <v>44612</v>
      </c>
      <c r="AC4035" t="s">
        <v>38302</v>
      </c>
      <c r="AD4035" t="s">
        <v>32</v>
      </c>
      <c r="AE4035" t="s">
        <v>9992</v>
      </c>
      <c r="AF4035" t="s">
        <v>46835</v>
      </c>
    </row>
    <row r="4036" spans="1:33" x14ac:dyDescent="0.2">
      <c r="A4036">
        <v>4031</v>
      </c>
      <c r="B4036" t="s">
        <v>44613</v>
      </c>
      <c r="C4036" t="s">
        <v>44614</v>
      </c>
      <c r="D4036" t="s">
        <v>32</v>
      </c>
      <c r="E4036" t="s">
        <v>44615</v>
      </c>
      <c r="F4036" t="s">
        <v>44616</v>
      </c>
      <c r="G4036" t="s">
        <v>44617</v>
      </c>
      <c r="H4036" t="str">
        <f>"Dip2a"</f>
        <v>Dip2a</v>
      </c>
      <c r="I4036" t="s">
        <v>44618</v>
      </c>
      <c r="J4036" t="s">
        <v>37</v>
      </c>
      <c r="K4036">
        <v>10090</v>
      </c>
      <c r="L4036" s="3" t="str">
        <f>HYPERLINK("http://www.uniprot.org/uniprot/Q8BWT5", "Q8BWT5")</f>
        <v>Q8BWT5</v>
      </c>
      <c r="M4036" t="s">
        <v>44619</v>
      </c>
      <c r="N4036" t="str">
        <f>"Dip2a"</f>
        <v>Dip2a</v>
      </c>
      <c r="O4036" s="3" t="str">
        <f>HYPERLINK("http://www.informatics.jax.org/marker/MGI:2385920", "MGI:2385920")</f>
        <v>MGI:2385920</v>
      </c>
      <c r="P4036" t="s">
        <v>44620</v>
      </c>
      <c r="Q4036" t="s">
        <v>1429</v>
      </c>
      <c r="R4036" t="s">
        <v>44621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44622</v>
      </c>
      <c r="Y4036" t="s">
        <v>618</v>
      </c>
      <c r="Z4036" t="s">
        <v>32</v>
      </c>
      <c r="AA4036" t="s">
        <v>44623</v>
      </c>
      <c r="AB4036" t="s">
        <v>44624</v>
      </c>
      <c r="AC4036" t="s">
        <v>44625</v>
      </c>
      <c r="AD4036" t="s">
        <v>32</v>
      </c>
      <c r="AE4036" t="s">
        <v>32</v>
      </c>
      <c r="AF4036" t="s">
        <v>46835</v>
      </c>
    </row>
    <row r="4037" spans="1:33" x14ac:dyDescent="0.2">
      <c r="A4037">
        <v>4032</v>
      </c>
      <c r="B4037" t="s">
        <v>44626</v>
      </c>
      <c r="C4037" t="s">
        <v>47228</v>
      </c>
      <c r="D4037" t="s">
        <v>32</v>
      </c>
      <c r="E4037" t="s">
        <v>47080</v>
      </c>
      <c r="F4037" t="s">
        <v>47079</v>
      </c>
      <c r="G4037" t="s">
        <v>32</v>
      </c>
      <c r="H4037" t="s">
        <v>47361</v>
      </c>
      <c r="I4037" t="s">
        <v>32</v>
      </c>
      <c r="J4037" t="s">
        <v>37</v>
      </c>
      <c r="K4037">
        <v>10090</v>
      </c>
      <c r="L4037" s="3" t="str">
        <f>HYPERLINK(CONCATENATE("https://www.uniprot.org/uniprotkb/", AG4037, "/entry"), AG4037)</f>
        <v>A0A494BB10</v>
      </c>
      <c r="M4037" t="s">
        <v>32</v>
      </c>
      <c r="N4037" t="s">
        <v>32</v>
      </c>
      <c r="O4037" s="3" t="s">
        <v>32</v>
      </c>
      <c r="P4037" t="s">
        <v>32</v>
      </c>
      <c r="Q4037" t="s">
        <v>32</v>
      </c>
      <c r="R4037" t="s">
        <v>32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32</v>
      </c>
      <c r="Y4037" t="s">
        <v>32</v>
      </c>
      <c r="Z4037" t="s">
        <v>32</v>
      </c>
      <c r="AA4037" t="s">
        <v>32</v>
      </c>
      <c r="AB4037" t="s">
        <v>32</v>
      </c>
      <c r="AC4037" t="s">
        <v>32</v>
      </c>
      <c r="AD4037" t="s">
        <v>32</v>
      </c>
      <c r="AE4037" t="s">
        <v>32</v>
      </c>
      <c r="AF4037" t="s">
        <v>46835</v>
      </c>
      <c r="AG4037" t="s">
        <v>47079</v>
      </c>
    </row>
    <row r="4038" spans="1:33" x14ac:dyDescent="0.2">
      <c r="A4038">
        <v>4033</v>
      </c>
      <c r="B4038" t="s">
        <v>44627</v>
      </c>
      <c r="C4038" t="s">
        <v>44628</v>
      </c>
      <c r="D4038" t="s">
        <v>44629</v>
      </c>
      <c r="E4038" t="s">
        <v>44630</v>
      </c>
      <c r="F4038" t="s">
        <v>44631</v>
      </c>
      <c r="G4038" t="s">
        <v>32</v>
      </c>
      <c r="H4038" t="str">
        <f>"Pex3"</f>
        <v>Pex3</v>
      </c>
      <c r="I4038" t="s">
        <v>32</v>
      </c>
      <c r="J4038" t="s">
        <v>37</v>
      </c>
      <c r="K4038">
        <v>10090</v>
      </c>
      <c r="L4038" s="3" t="str">
        <f>HYPERLINK("http://www.uniprot.org/uniprot/Q9QXY9", "Q9QXY9")</f>
        <v>Q9QXY9</v>
      </c>
      <c r="M4038" t="s">
        <v>44632</v>
      </c>
      <c r="N4038" t="str">
        <f>"Pex3"</f>
        <v>Pex3</v>
      </c>
      <c r="O4038" s="3" t="str">
        <f>HYPERLINK("http://www.informatics.jax.org/marker/MGI:1929646", "MGI:1929646")</f>
        <v>MGI:1929646</v>
      </c>
      <c r="P4038" t="s">
        <v>44633</v>
      </c>
      <c r="Q4038" t="s">
        <v>13321</v>
      </c>
      <c r="R4038" t="s">
        <v>23835</v>
      </c>
      <c r="S4038" t="s">
        <v>32</v>
      </c>
      <c r="T4038" t="s">
        <v>32</v>
      </c>
      <c r="U4038" t="s">
        <v>32</v>
      </c>
      <c r="V4038" t="s">
        <v>493</v>
      </c>
      <c r="W4038" t="s">
        <v>32</v>
      </c>
      <c r="X4038" t="s">
        <v>32</v>
      </c>
      <c r="Y4038" t="s">
        <v>32</v>
      </c>
      <c r="Z4038" t="s">
        <v>32</v>
      </c>
      <c r="AA4038" t="s">
        <v>44634</v>
      </c>
      <c r="AB4038" t="s">
        <v>44635</v>
      </c>
      <c r="AC4038" t="s">
        <v>44636</v>
      </c>
      <c r="AD4038" t="s">
        <v>32</v>
      </c>
      <c r="AE4038" t="s">
        <v>13326</v>
      </c>
      <c r="AF4038" t="s">
        <v>46835</v>
      </c>
    </row>
    <row r="4039" spans="1:33" x14ac:dyDescent="0.2">
      <c r="A4039">
        <v>4034</v>
      </c>
      <c r="B4039" t="s">
        <v>44637</v>
      </c>
      <c r="C4039" t="s">
        <v>44638</v>
      </c>
      <c r="D4039" t="s">
        <v>32</v>
      </c>
      <c r="E4039" t="s">
        <v>44639</v>
      </c>
      <c r="F4039" t="s">
        <v>44640</v>
      </c>
      <c r="G4039" t="s">
        <v>44641</v>
      </c>
      <c r="H4039" t="str">
        <f>"Leng8"</f>
        <v>Leng8</v>
      </c>
      <c r="I4039" t="s">
        <v>32</v>
      </c>
      <c r="J4039" t="s">
        <v>37</v>
      </c>
      <c r="K4039">
        <v>10090</v>
      </c>
      <c r="L4039" s="3" t="str">
        <f>HYPERLINK("http://www.uniprot.org/uniprot/Q8CBY3", "Q8CBY3")</f>
        <v>Q8CBY3</v>
      </c>
      <c r="M4039" t="s">
        <v>44642</v>
      </c>
      <c r="N4039" t="str">
        <f>"Leng8"</f>
        <v>Leng8</v>
      </c>
      <c r="O4039" s="3" t="str">
        <f>HYPERLINK("http://www.informatics.jax.org/marker/MGI:2142195", "MGI:2142195")</f>
        <v>MGI:2142195</v>
      </c>
      <c r="P4039" t="s">
        <v>41532</v>
      </c>
      <c r="Q4039" t="s">
        <v>32</v>
      </c>
      <c r="R4039" t="s">
        <v>32</v>
      </c>
      <c r="S4039" t="s">
        <v>41</v>
      </c>
      <c r="T4039" t="s">
        <v>32</v>
      </c>
      <c r="U4039" t="s">
        <v>32</v>
      </c>
      <c r="V4039" t="s">
        <v>32</v>
      </c>
      <c r="W4039" t="s">
        <v>32</v>
      </c>
      <c r="X4039" t="s">
        <v>32</v>
      </c>
      <c r="Y4039" t="s">
        <v>157</v>
      </c>
      <c r="Z4039" t="s">
        <v>32</v>
      </c>
      <c r="AA4039" t="s">
        <v>32</v>
      </c>
      <c r="AB4039" t="s">
        <v>3606</v>
      </c>
      <c r="AC4039" t="s">
        <v>32</v>
      </c>
      <c r="AD4039" t="s">
        <v>32</v>
      </c>
      <c r="AE4039" t="s">
        <v>32</v>
      </c>
      <c r="AF4039" t="s">
        <v>46835</v>
      </c>
    </row>
    <row r="4040" spans="1:33" x14ac:dyDescent="0.2">
      <c r="A4040">
        <v>4035</v>
      </c>
      <c r="B4040" t="s">
        <v>44643</v>
      </c>
      <c r="C4040" t="s">
        <v>44644</v>
      </c>
      <c r="D4040" t="s">
        <v>44645</v>
      </c>
      <c r="E4040" t="s">
        <v>44646</v>
      </c>
      <c r="F4040" t="s">
        <v>44647</v>
      </c>
      <c r="G4040" t="s">
        <v>44648</v>
      </c>
      <c r="H4040" t="str">
        <f>"Herc2"</f>
        <v>Herc2</v>
      </c>
      <c r="I4040" t="s">
        <v>32</v>
      </c>
      <c r="J4040" t="s">
        <v>37</v>
      </c>
      <c r="K4040">
        <v>10090</v>
      </c>
      <c r="L4040" s="3" t="str">
        <f>HYPERLINK("http://www.uniprot.org/uniprot/Q4U2R1", "Q4U2R1")</f>
        <v>Q4U2R1</v>
      </c>
      <c r="M4040" t="s">
        <v>44649</v>
      </c>
      <c r="N4040" t="str">
        <f>"Herc2"</f>
        <v>Herc2</v>
      </c>
      <c r="O4040" s="3" t="str">
        <f>HYPERLINK("http://www.informatics.jax.org/marker/MGI:103234", "MGI:103234")</f>
        <v>MGI:103234</v>
      </c>
      <c r="P4040" t="s">
        <v>44650</v>
      </c>
      <c r="Q4040" t="s">
        <v>3400</v>
      </c>
      <c r="R4040" t="s">
        <v>324</v>
      </c>
      <c r="S4040" t="s">
        <v>41</v>
      </c>
      <c r="T4040" t="s">
        <v>32</v>
      </c>
      <c r="U4040" t="s">
        <v>32</v>
      </c>
      <c r="V4040" t="s">
        <v>12028</v>
      </c>
      <c r="W4040" t="s">
        <v>42</v>
      </c>
      <c r="X4040" t="s">
        <v>515</v>
      </c>
      <c r="Y4040" t="s">
        <v>2836</v>
      </c>
      <c r="Z4040" t="s">
        <v>32</v>
      </c>
      <c r="AA4040" t="s">
        <v>44651</v>
      </c>
      <c r="AB4040" t="s">
        <v>44652</v>
      </c>
      <c r="AC4040" t="s">
        <v>44653</v>
      </c>
      <c r="AD4040" t="s">
        <v>1027</v>
      </c>
      <c r="AE4040" t="s">
        <v>44654</v>
      </c>
      <c r="AF4040" t="s">
        <v>46835</v>
      </c>
    </row>
    <row r="4041" spans="1:33" x14ac:dyDescent="0.2">
      <c r="A4041">
        <v>4036</v>
      </c>
      <c r="B4041" t="s">
        <v>44655</v>
      </c>
      <c r="C4041" t="s">
        <v>44656</v>
      </c>
      <c r="D4041" t="s">
        <v>44657</v>
      </c>
      <c r="E4041" t="s">
        <v>44658</v>
      </c>
      <c r="F4041" t="s">
        <v>44659</v>
      </c>
      <c r="G4041" t="s">
        <v>44660</v>
      </c>
      <c r="H4041" t="str">
        <f>"Wrnip1"</f>
        <v>Wrnip1</v>
      </c>
      <c r="I4041" t="s">
        <v>44661</v>
      </c>
      <c r="J4041" t="s">
        <v>37</v>
      </c>
      <c r="K4041">
        <v>10090</v>
      </c>
      <c r="L4041" s="3" t="str">
        <f>HYPERLINK("http://www.uniprot.org/uniprot/Q91XU0", "Q91XU0")</f>
        <v>Q91XU0</v>
      </c>
      <c r="M4041" t="s">
        <v>44662</v>
      </c>
      <c r="N4041" t="str">
        <f>"Wrnip1"</f>
        <v>Wrnip1</v>
      </c>
      <c r="O4041" s="3" t="str">
        <f>HYPERLINK("http://www.informatics.jax.org/marker/MGI:1926153", "MGI:1926153")</f>
        <v>MGI:1926153</v>
      </c>
      <c r="P4041" t="s">
        <v>44663</v>
      </c>
      <c r="Q4041" t="s">
        <v>44664</v>
      </c>
      <c r="R4041" t="s">
        <v>40</v>
      </c>
      <c r="S4041" t="s">
        <v>41</v>
      </c>
      <c r="T4041" t="s">
        <v>32</v>
      </c>
      <c r="U4041" t="s">
        <v>32</v>
      </c>
      <c r="V4041" t="s">
        <v>446</v>
      </c>
      <c r="W4041" t="s">
        <v>2325</v>
      </c>
      <c r="X4041" t="s">
        <v>343</v>
      </c>
      <c r="Y4041" t="s">
        <v>516</v>
      </c>
      <c r="Z4041" t="s">
        <v>32</v>
      </c>
      <c r="AA4041" t="s">
        <v>44665</v>
      </c>
      <c r="AB4041" t="s">
        <v>44666</v>
      </c>
      <c r="AC4041" t="s">
        <v>44667</v>
      </c>
      <c r="AD4041" t="s">
        <v>32</v>
      </c>
      <c r="AE4041" t="s">
        <v>32</v>
      </c>
      <c r="AF4041" t="s">
        <v>46835</v>
      </c>
    </row>
    <row r="4042" spans="1:33" x14ac:dyDescent="0.2">
      <c r="A4042">
        <v>4037</v>
      </c>
      <c r="B4042" t="s">
        <v>44668</v>
      </c>
      <c r="C4042" t="s">
        <v>44669</v>
      </c>
      <c r="D4042" t="s">
        <v>32</v>
      </c>
      <c r="E4042" t="s">
        <v>44670</v>
      </c>
      <c r="F4042" t="s">
        <v>44671</v>
      </c>
      <c r="G4042" t="s">
        <v>44672</v>
      </c>
      <c r="H4042" t="str">
        <f>"Heatr6"</f>
        <v>Heatr6</v>
      </c>
      <c r="I4042" t="s">
        <v>32</v>
      </c>
      <c r="J4042" t="s">
        <v>37</v>
      </c>
      <c r="K4042">
        <v>10090</v>
      </c>
      <c r="L4042" s="3" t="str">
        <f>HYPERLINK("http://www.uniprot.org/uniprot/Q6P1G0", "Q6P1G0")</f>
        <v>Q6P1G0</v>
      </c>
      <c r="M4042" t="s">
        <v>44673</v>
      </c>
      <c r="N4042" t="str">
        <f>"Heatr6"</f>
        <v>Heatr6</v>
      </c>
      <c r="O4042" s="3" t="str">
        <f>HYPERLINK("http://www.informatics.jax.org/marker/MGI:1919790", "MGI:1919790")</f>
        <v>MGI:1919790</v>
      </c>
      <c r="P4042" t="s">
        <v>21016</v>
      </c>
      <c r="Q4042" t="s">
        <v>32</v>
      </c>
      <c r="R4042" t="s">
        <v>32</v>
      </c>
      <c r="S4042" t="s">
        <v>32</v>
      </c>
      <c r="T4042" t="s">
        <v>32</v>
      </c>
      <c r="U4042" t="s">
        <v>32</v>
      </c>
      <c r="V4042" t="s">
        <v>55</v>
      </c>
      <c r="W4042" t="s">
        <v>32</v>
      </c>
      <c r="X4042" t="s">
        <v>32</v>
      </c>
      <c r="Y4042" t="s">
        <v>618</v>
      </c>
      <c r="Z4042" t="s">
        <v>32</v>
      </c>
      <c r="AA4042" t="s">
        <v>32</v>
      </c>
      <c r="AB4042" t="s">
        <v>32</v>
      </c>
      <c r="AC4042" t="s">
        <v>32</v>
      </c>
      <c r="AD4042" t="s">
        <v>32</v>
      </c>
      <c r="AE4042" t="s">
        <v>32</v>
      </c>
      <c r="AF4042" t="s">
        <v>46835</v>
      </c>
    </row>
    <row r="4043" spans="1:33" x14ac:dyDescent="0.2">
      <c r="A4043">
        <v>4038</v>
      </c>
      <c r="B4043" t="s">
        <v>44674</v>
      </c>
      <c r="C4043" t="s">
        <v>44675</v>
      </c>
      <c r="D4043" t="s">
        <v>32</v>
      </c>
      <c r="E4043" t="s">
        <v>44676</v>
      </c>
      <c r="F4043" t="s">
        <v>44677</v>
      </c>
      <c r="G4043" t="s">
        <v>32</v>
      </c>
      <c r="H4043" t="str">
        <f>"Sec61b"</f>
        <v>Sec61b</v>
      </c>
      <c r="I4043" t="s">
        <v>32</v>
      </c>
      <c r="J4043" t="s">
        <v>37</v>
      </c>
      <c r="K4043">
        <v>10090</v>
      </c>
      <c r="L4043" s="3" t="str">
        <f>HYPERLINK("http://www.uniprot.org/uniprot/Q9CQS8", "Q9CQS8")</f>
        <v>Q9CQS8</v>
      </c>
      <c r="M4043" t="s">
        <v>44678</v>
      </c>
      <c r="N4043" t="str">
        <f>"Sec61b"</f>
        <v>Sec61b</v>
      </c>
      <c r="O4043" s="3" t="str">
        <f>HYPERLINK("http://www.informatics.jax.org/marker/MGI:1913462", "MGI:1913462")</f>
        <v>MGI:1913462</v>
      </c>
      <c r="P4043" t="s">
        <v>44679</v>
      </c>
      <c r="Q4043" t="s">
        <v>4270</v>
      </c>
      <c r="R4043" t="s">
        <v>1664</v>
      </c>
      <c r="S4043" t="s">
        <v>32</v>
      </c>
      <c r="T4043" t="s">
        <v>32</v>
      </c>
      <c r="U4043" t="s">
        <v>32</v>
      </c>
      <c r="V4043" t="s">
        <v>493</v>
      </c>
      <c r="W4043" t="s">
        <v>32</v>
      </c>
      <c r="X4043" t="s">
        <v>32</v>
      </c>
      <c r="Y4043" t="s">
        <v>3079</v>
      </c>
      <c r="Z4043" t="s">
        <v>32</v>
      </c>
      <c r="AA4043" t="s">
        <v>44680</v>
      </c>
      <c r="AB4043" t="s">
        <v>44681</v>
      </c>
      <c r="AC4043" t="s">
        <v>44682</v>
      </c>
      <c r="AD4043" t="s">
        <v>32</v>
      </c>
      <c r="AE4043" t="s">
        <v>32</v>
      </c>
      <c r="AF4043" t="s">
        <v>46835</v>
      </c>
    </row>
    <row r="4044" spans="1:33" x14ac:dyDescent="0.2">
      <c r="A4044">
        <v>4039</v>
      </c>
      <c r="B4044" t="s">
        <v>44683</v>
      </c>
      <c r="C4044" t="s">
        <v>44684</v>
      </c>
      <c r="D4044" t="s">
        <v>44685</v>
      </c>
      <c r="E4044" t="s">
        <v>44686</v>
      </c>
      <c r="F4044" t="s">
        <v>44687</v>
      </c>
      <c r="G4044" t="s">
        <v>44688</v>
      </c>
      <c r="H4044" t="str">
        <f>"Sipa1"</f>
        <v>Sipa1</v>
      </c>
      <c r="I4044" t="s">
        <v>44689</v>
      </c>
      <c r="J4044" t="s">
        <v>37</v>
      </c>
      <c r="K4044">
        <v>10090</v>
      </c>
      <c r="L4044" s="3" t="str">
        <f>HYPERLINK("http://www.uniprot.org/uniprot/P46062", "P46062")</f>
        <v>P46062</v>
      </c>
      <c r="M4044" t="s">
        <v>44690</v>
      </c>
      <c r="N4044" t="str">
        <f>"Sipa1"</f>
        <v>Sipa1</v>
      </c>
      <c r="O4044" s="3" t="str">
        <f>HYPERLINK("http://www.informatics.jax.org/marker/MGI:107576", "MGI:107576")</f>
        <v>MGI:107576</v>
      </c>
      <c r="P4044" t="s">
        <v>44691</v>
      </c>
      <c r="Q4044" t="s">
        <v>32</v>
      </c>
      <c r="R4044" t="s">
        <v>5943</v>
      </c>
      <c r="S4044" t="s">
        <v>32</v>
      </c>
      <c r="T4044" t="s">
        <v>32</v>
      </c>
      <c r="U4044" t="s">
        <v>32</v>
      </c>
      <c r="V4044" t="s">
        <v>290</v>
      </c>
      <c r="W4044" t="s">
        <v>32</v>
      </c>
      <c r="X4044" t="s">
        <v>715</v>
      </c>
      <c r="Y4044" t="s">
        <v>618</v>
      </c>
      <c r="Z4044" t="s">
        <v>32</v>
      </c>
      <c r="AA4044" t="s">
        <v>44692</v>
      </c>
      <c r="AB4044" t="s">
        <v>44693</v>
      </c>
      <c r="AC4044" t="s">
        <v>44694</v>
      </c>
      <c r="AD4044" t="s">
        <v>32</v>
      </c>
      <c r="AE4044" t="s">
        <v>44695</v>
      </c>
      <c r="AF4044" t="s">
        <v>46835</v>
      </c>
    </row>
    <row r="4045" spans="1:33" x14ac:dyDescent="0.2">
      <c r="A4045">
        <v>4040</v>
      </c>
      <c r="B4045" t="s">
        <v>44696</v>
      </c>
      <c r="C4045" t="s">
        <v>44697</v>
      </c>
      <c r="D4045" t="s">
        <v>32</v>
      </c>
      <c r="E4045" t="s">
        <v>44698</v>
      </c>
      <c r="F4045" t="s">
        <v>44699</v>
      </c>
      <c r="G4045" t="s">
        <v>44700</v>
      </c>
      <c r="H4045" t="s">
        <v>32</v>
      </c>
      <c r="I4045" t="s">
        <v>32</v>
      </c>
      <c r="J4045" t="s">
        <v>37</v>
      </c>
      <c r="K4045">
        <v>10090</v>
      </c>
      <c r="L4045" s="3" t="str">
        <f>HYPERLINK("http://www.uniprot.org/uniprot/Q8BHN7", "Q8BHN7")</f>
        <v>Q8BHN7</v>
      </c>
      <c r="M4045" t="s">
        <v>44701</v>
      </c>
      <c r="N4045" t="str">
        <f>"4930430F08Rik"</f>
        <v>4930430F08Rik</v>
      </c>
      <c r="O4045" s="3" t="str">
        <f>HYPERLINK("http://www.informatics.jax.org/marker/MGI:1921197", "MGI:1921197")</f>
        <v>MGI:1921197</v>
      </c>
      <c r="P4045" t="s">
        <v>41</v>
      </c>
      <c r="Q4045" t="s">
        <v>32</v>
      </c>
      <c r="R4045" t="s">
        <v>32</v>
      </c>
      <c r="S4045" t="s">
        <v>41</v>
      </c>
      <c r="T4045" t="s">
        <v>32</v>
      </c>
      <c r="U4045" t="s">
        <v>32</v>
      </c>
      <c r="V4045" t="s">
        <v>32</v>
      </c>
      <c r="W4045" t="s">
        <v>32</v>
      </c>
      <c r="X4045" t="s">
        <v>32</v>
      </c>
      <c r="Y4045" t="s">
        <v>32</v>
      </c>
      <c r="Z4045" t="s">
        <v>32</v>
      </c>
      <c r="AA4045" t="s">
        <v>17909</v>
      </c>
      <c r="AB4045" t="s">
        <v>32</v>
      </c>
      <c r="AC4045" t="s">
        <v>32</v>
      </c>
      <c r="AD4045" t="s">
        <v>32</v>
      </c>
      <c r="AE4045" t="s">
        <v>32</v>
      </c>
      <c r="AF4045" t="s">
        <v>46835</v>
      </c>
    </row>
    <row r="4046" spans="1:33" x14ac:dyDescent="0.2">
      <c r="A4046">
        <v>4041</v>
      </c>
      <c r="B4046" t="s">
        <v>44702</v>
      </c>
      <c r="C4046" t="s">
        <v>44703</v>
      </c>
      <c r="D4046" t="s">
        <v>44704</v>
      </c>
      <c r="E4046" t="s">
        <v>44705</v>
      </c>
      <c r="F4046" t="s">
        <v>44706</v>
      </c>
      <c r="G4046" t="s">
        <v>44707</v>
      </c>
      <c r="H4046" t="str">
        <f>"Cmtr1"</f>
        <v>Cmtr1</v>
      </c>
      <c r="I4046" t="s">
        <v>44708</v>
      </c>
      <c r="J4046" t="s">
        <v>37</v>
      </c>
      <c r="K4046">
        <v>10090</v>
      </c>
      <c r="L4046" s="3" t="str">
        <f>HYPERLINK("http://www.uniprot.org/uniprot/Q9DBC3", "Q9DBC3")</f>
        <v>Q9DBC3</v>
      </c>
      <c r="M4046" t="s">
        <v>44709</v>
      </c>
      <c r="N4046" t="str">
        <f>"Cmtr1"</f>
        <v>Cmtr1</v>
      </c>
      <c r="O4046" s="3" t="str">
        <f>HYPERLINK("http://www.informatics.jax.org/marker/MGI:1921407", "MGI:1921407")</f>
        <v>MGI:1921407</v>
      </c>
      <c r="P4046" t="s">
        <v>44710</v>
      </c>
      <c r="Q4046" t="s">
        <v>17596</v>
      </c>
      <c r="R4046" t="s">
        <v>2279</v>
      </c>
      <c r="S4046" t="s">
        <v>32</v>
      </c>
      <c r="T4046" t="s">
        <v>32</v>
      </c>
      <c r="U4046" t="s">
        <v>32</v>
      </c>
      <c r="V4046" t="s">
        <v>32</v>
      </c>
      <c r="W4046" t="s">
        <v>1705</v>
      </c>
      <c r="X4046" t="s">
        <v>1706</v>
      </c>
      <c r="Y4046" t="s">
        <v>157</v>
      </c>
      <c r="Z4046" t="s">
        <v>32</v>
      </c>
      <c r="AA4046" t="s">
        <v>44711</v>
      </c>
      <c r="AB4046" t="s">
        <v>44712</v>
      </c>
      <c r="AC4046" t="s">
        <v>44713</v>
      </c>
      <c r="AD4046" t="s">
        <v>32</v>
      </c>
      <c r="AE4046" t="s">
        <v>32</v>
      </c>
      <c r="AF4046" t="s">
        <v>46835</v>
      </c>
    </row>
    <row r="4047" spans="1:33" x14ac:dyDescent="0.2">
      <c r="A4047">
        <v>4042</v>
      </c>
      <c r="B4047" t="s">
        <v>44714</v>
      </c>
      <c r="C4047" t="s">
        <v>44715</v>
      </c>
      <c r="D4047" t="s">
        <v>44716</v>
      </c>
      <c r="E4047" t="s">
        <v>44717</v>
      </c>
      <c r="F4047" t="s">
        <v>44718</v>
      </c>
      <c r="G4047" t="s">
        <v>44719</v>
      </c>
      <c r="H4047" t="str">
        <f>"Itpr1"</f>
        <v>Itpr1</v>
      </c>
      <c r="I4047" t="s">
        <v>44720</v>
      </c>
      <c r="J4047" t="s">
        <v>37</v>
      </c>
      <c r="K4047">
        <v>10090</v>
      </c>
      <c r="L4047" s="3" t="str">
        <f>HYPERLINK("http://www.uniprot.org/uniprot/P11881", "P11881")</f>
        <v>P11881</v>
      </c>
      <c r="M4047" t="s">
        <v>44721</v>
      </c>
      <c r="N4047" t="str">
        <f>"Itpr1"</f>
        <v>Itpr1</v>
      </c>
      <c r="O4047" s="3" t="str">
        <f>HYPERLINK("http://www.informatics.jax.org/marker/MGI:96623", "MGI:96623")</f>
        <v>MGI:96623</v>
      </c>
      <c r="P4047" t="s">
        <v>44722</v>
      </c>
      <c r="Q4047" t="s">
        <v>44723</v>
      </c>
      <c r="R4047" t="s">
        <v>2917</v>
      </c>
      <c r="S4047" t="s">
        <v>41</v>
      </c>
      <c r="T4047" t="s">
        <v>32</v>
      </c>
      <c r="U4047" t="s">
        <v>32</v>
      </c>
      <c r="V4047" t="s">
        <v>1620</v>
      </c>
      <c r="W4047" t="s">
        <v>1380</v>
      </c>
      <c r="X4047" t="s">
        <v>44724</v>
      </c>
      <c r="Y4047" t="s">
        <v>44725</v>
      </c>
      <c r="Z4047" t="s">
        <v>126</v>
      </c>
      <c r="AA4047" t="s">
        <v>44726</v>
      </c>
      <c r="AB4047" t="s">
        <v>44727</v>
      </c>
      <c r="AC4047" t="s">
        <v>44728</v>
      </c>
      <c r="AD4047" t="s">
        <v>32</v>
      </c>
      <c r="AE4047" t="s">
        <v>44729</v>
      </c>
      <c r="AF4047" t="s">
        <v>46835</v>
      </c>
    </row>
    <row r="4048" spans="1:33" x14ac:dyDescent="0.2">
      <c r="A4048">
        <v>4043</v>
      </c>
      <c r="B4048" t="s">
        <v>44730</v>
      </c>
      <c r="C4048" t="s">
        <v>44731</v>
      </c>
      <c r="D4048" t="s">
        <v>44732</v>
      </c>
      <c r="E4048" t="s">
        <v>44733</v>
      </c>
      <c r="F4048" t="s">
        <v>44734</v>
      </c>
      <c r="G4048" t="s">
        <v>44735</v>
      </c>
      <c r="H4048" t="str">
        <f>"Vamp3"</f>
        <v>Vamp3</v>
      </c>
      <c r="I4048" t="s">
        <v>44736</v>
      </c>
      <c r="J4048" t="s">
        <v>37</v>
      </c>
      <c r="K4048">
        <v>10090</v>
      </c>
      <c r="L4048" s="3" t="str">
        <f>HYPERLINK("http://www.uniprot.org/uniprot/P63024", "P63024")</f>
        <v>P63024</v>
      </c>
      <c r="M4048" t="s">
        <v>44737</v>
      </c>
      <c r="N4048" t="str">
        <f>"Vamp3"</f>
        <v>Vamp3</v>
      </c>
      <c r="O4048" s="3" t="str">
        <f>HYPERLINK("http://www.informatics.jax.org/marker/MGI:1321389", "MGI:1321389")</f>
        <v>MGI:1321389</v>
      </c>
      <c r="P4048" t="s">
        <v>44738</v>
      </c>
      <c r="Q4048" t="s">
        <v>434</v>
      </c>
      <c r="R4048" t="s">
        <v>44739</v>
      </c>
      <c r="S4048" t="s">
        <v>32</v>
      </c>
      <c r="T4048" t="s">
        <v>32</v>
      </c>
      <c r="U4048" t="s">
        <v>32</v>
      </c>
      <c r="V4048" t="s">
        <v>6500</v>
      </c>
      <c r="W4048" t="s">
        <v>32</v>
      </c>
      <c r="X4048" t="s">
        <v>32</v>
      </c>
      <c r="Y4048" t="s">
        <v>7792</v>
      </c>
      <c r="Z4048" t="s">
        <v>32</v>
      </c>
      <c r="AA4048" t="s">
        <v>44740</v>
      </c>
      <c r="AB4048" t="s">
        <v>44741</v>
      </c>
      <c r="AC4048" t="s">
        <v>44742</v>
      </c>
      <c r="AD4048" t="s">
        <v>32</v>
      </c>
      <c r="AE4048" t="s">
        <v>44743</v>
      </c>
      <c r="AF4048" t="s">
        <v>46835</v>
      </c>
    </row>
    <row r="4049" spans="1:33" x14ac:dyDescent="0.2">
      <c r="A4049">
        <v>4044</v>
      </c>
      <c r="B4049" t="s">
        <v>44744</v>
      </c>
      <c r="C4049" t="s">
        <v>47183</v>
      </c>
      <c r="D4049" t="s">
        <v>32</v>
      </c>
      <c r="E4049" t="s">
        <v>47082</v>
      </c>
      <c r="F4049" t="s">
        <v>47081</v>
      </c>
      <c r="G4049" t="s">
        <v>32</v>
      </c>
      <c r="H4049" t="s">
        <v>47314</v>
      </c>
      <c r="I4049" t="s">
        <v>32</v>
      </c>
      <c r="J4049" t="s">
        <v>37</v>
      </c>
      <c r="K4049">
        <v>10090</v>
      </c>
      <c r="L4049" s="3" t="str">
        <f>HYPERLINK(CONCATENATE("https://www.uniprot.org/uniprotkb/", AG4049, "/entry"), AG4049)</f>
        <v>E9Q8I7</v>
      </c>
      <c r="M4049" t="s">
        <v>32</v>
      </c>
      <c r="N4049" t="s">
        <v>32</v>
      </c>
      <c r="O4049" s="3" t="s">
        <v>32</v>
      </c>
      <c r="P4049" t="s">
        <v>32</v>
      </c>
      <c r="Q4049" t="s">
        <v>32</v>
      </c>
      <c r="R4049" t="s">
        <v>32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32</v>
      </c>
      <c r="Y4049" t="s">
        <v>32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t="s">
        <v>46835</v>
      </c>
      <c r="AG4049" t="s">
        <v>47081</v>
      </c>
    </row>
    <row r="4050" spans="1:33" x14ac:dyDescent="0.2">
      <c r="A4050">
        <v>4045</v>
      </c>
      <c r="B4050" t="s">
        <v>44745</v>
      </c>
      <c r="C4050" t="s">
        <v>44746</v>
      </c>
      <c r="D4050" t="s">
        <v>44747</v>
      </c>
      <c r="E4050" t="s">
        <v>44748</v>
      </c>
      <c r="F4050" t="s">
        <v>44749</v>
      </c>
      <c r="G4050" t="s">
        <v>44750</v>
      </c>
      <c r="H4050" t="str">
        <f>"Rela"</f>
        <v>Rela</v>
      </c>
      <c r="I4050" t="s">
        <v>44751</v>
      </c>
      <c r="J4050" t="s">
        <v>37</v>
      </c>
      <c r="K4050">
        <v>10090</v>
      </c>
      <c r="L4050" s="3" t="str">
        <f>HYPERLINK("http://www.uniprot.org/uniprot/Q04207", "Q04207")</f>
        <v>Q04207</v>
      </c>
      <c r="M4050" t="s">
        <v>44752</v>
      </c>
      <c r="N4050" t="str">
        <f>"Rela"</f>
        <v>Rela</v>
      </c>
      <c r="O4050" s="3" t="str">
        <f>HYPERLINK("http://www.informatics.jax.org/marker/MGI:103290", "MGI:103290")</f>
        <v>MGI:103290</v>
      </c>
      <c r="P4050" t="s">
        <v>44753</v>
      </c>
      <c r="Q4050" t="s">
        <v>4152</v>
      </c>
      <c r="R4050" t="s">
        <v>40</v>
      </c>
      <c r="S4050" t="s">
        <v>41</v>
      </c>
      <c r="T4050" t="s">
        <v>32</v>
      </c>
      <c r="U4050" t="s">
        <v>32</v>
      </c>
      <c r="V4050" t="s">
        <v>32</v>
      </c>
      <c r="W4050" t="s">
        <v>32</v>
      </c>
      <c r="X4050" t="s">
        <v>2350</v>
      </c>
      <c r="Y4050" t="s">
        <v>24180</v>
      </c>
      <c r="Z4050" t="s">
        <v>126</v>
      </c>
      <c r="AA4050" t="s">
        <v>44754</v>
      </c>
      <c r="AB4050" t="s">
        <v>44755</v>
      </c>
      <c r="AC4050" t="s">
        <v>44756</v>
      </c>
      <c r="AD4050" t="s">
        <v>32</v>
      </c>
      <c r="AE4050" t="s">
        <v>44757</v>
      </c>
      <c r="AF4050" t="s">
        <v>46835</v>
      </c>
    </row>
    <row r="4051" spans="1:33" x14ac:dyDescent="0.2">
      <c r="A4051">
        <v>4046</v>
      </c>
      <c r="B4051" t="s">
        <v>44758</v>
      </c>
      <c r="C4051" t="s">
        <v>44759</v>
      </c>
      <c r="D4051" t="s">
        <v>44760</v>
      </c>
      <c r="E4051" t="s">
        <v>44761</v>
      </c>
      <c r="F4051" t="s">
        <v>44762</v>
      </c>
      <c r="G4051" t="s">
        <v>44763</v>
      </c>
      <c r="H4051" t="str">
        <f>"Zfyve19"</f>
        <v>Zfyve19</v>
      </c>
      <c r="I4051" t="s">
        <v>44764</v>
      </c>
      <c r="J4051" t="s">
        <v>37</v>
      </c>
      <c r="K4051">
        <v>10090</v>
      </c>
      <c r="L4051" s="3" t="str">
        <f>HYPERLINK("http://www.uniprot.org/uniprot/Q9DAZ9", "Q9DAZ9")</f>
        <v>Q9DAZ9</v>
      </c>
      <c r="M4051" t="s">
        <v>44765</v>
      </c>
      <c r="N4051" t="str">
        <f>"Zfyve19"</f>
        <v>Zfyve19</v>
      </c>
      <c r="O4051" s="3" t="str">
        <f>HYPERLINK("http://www.informatics.jax.org/marker/MGI:1919258", "MGI:1919258")</f>
        <v>MGI:1919258</v>
      </c>
      <c r="P4051" t="s">
        <v>44766</v>
      </c>
      <c r="Q4051" t="s">
        <v>11508</v>
      </c>
      <c r="R4051" t="s">
        <v>186</v>
      </c>
      <c r="S4051" t="s">
        <v>32</v>
      </c>
      <c r="T4051" t="s">
        <v>32</v>
      </c>
      <c r="U4051" t="s">
        <v>32</v>
      </c>
      <c r="V4051" t="s">
        <v>11171</v>
      </c>
      <c r="W4051" t="s">
        <v>36802</v>
      </c>
      <c r="X4051" t="s">
        <v>32</v>
      </c>
      <c r="Y4051" t="s">
        <v>1007</v>
      </c>
      <c r="Z4051" t="s">
        <v>126</v>
      </c>
      <c r="AA4051" t="s">
        <v>44767</v>
      </c>
      <c r="AB4051" t="s">
        <v>44768</v>
      </c>
      <c r="AC4051" t="s">
        <v>44769</v>
      </c>
      <c r="AD4051" t="s">
        <v>32</v>
      </c>
      <c r="AE4051" t="s">
        <v>32</v>
      </c>
      <c r="AF4051" t="s">
        <v>46835</v>
      </c>
    </row>
    <row r="4052" spans="1:33" x14ac:dyDescent="0.2">
      <c r="A4052">
        <v>4047</v>
      </c>
      <c r="B4052" t="s">
        <v>44770</v>
      </c>
      <c r="C4052" t="s">
        <v>44771</v>
      </c>
      <c r="D4052" t="s">
        <v>44772</v>
      </c>
      <c r="E4052" t="s">
        <v>44773</v>
      </c>
      <c r="F4052" t="s">
        <v>44774</v>
      </c>
      <c r="G4052" t="s">
        <v>44775</v>
      </c>
      <c r="H4052" t="str">
        <f>"Gadd45gip1"</f>
        <v>Gadd45gip1</v>
      </c>
      <c r="I4052" t="s">
        <v>44776</v>
      </c>
      <c r="J4052" t="s">
        <v>37</v>
      </c>
      <c r="K4052">
        <v>10090</v>
      </c>
      <c r="L4052" s="3" t="str">
        <f>HYPERLINK("http://www.uniprot.org/uniprot/Q9CR59", "Q9CR59")</f>
        <v>Q9CR59</v>
      </c>
      <c r="M4052" t="s">
        <v>44777</v>
      </c>
      <c r="N4052" t="str">
        <f>"Gadd45gip1"</f>
        <v>Gadd45gip1</v>
      </c>
      <c r="O4052" s="3" t="str">
        <f>HYPERLINK("http://www.informatics.jax.org/marker/MGI:1914947", "MGI:1914947")</f>
        <v>MGI:1914947</v>
      </c>
      <c r="P4052" t="s">
        <v>44778</v>
      </c>
      <c r="Q4052" t="s">
        <v>9824</v>
      </c>
      <c r="R4052" t="s">
        <v>2377</v>
      </c>
      <c r="S4052" t="s">
        <v>32</v>
      </c>
      <c r="T4052" t="s">
        <v>32</v>
      </c>
      <c r="U4052" t="s">
        <v>32</v>
      </c>
      <c r="V4052" t="s">
        <v>290</v>
      </c>
      <c r="W4052" t="s">
        <v>32</v>
      </c>
      <c r="X4052" t="s">
        <v>447</v>
      </c>
      <c r="Y4052" t="s">
        <v>32</v>
      </c>
      <c r="Z4052" t="s">
        <v>32</v>
      </c>
      <c r="AA4052" t="s">
        <v>44779</v>
      </c>
      <c r="AB4052" t="s">
        <v>44780</v>
      </c>
      <c r="AC4052" t="s">
        <v>32</v>
      </c>
      <c r="AD4052" t="s">
        <v>32</v>
      </c>
      <c r="AE4052" t="s">
        <v>17271</v>
      </c>
      <c r="AF4052" t="s">
        <v>46835</v>
      </c>
    </row>
    <row r="4053" spans="1:33" x14ac:dyDescent="0.2">
      <c r="A4053">
        <v>4048</v>
      </c>
      <c r="B4053" t="s">
        <v>44781</v>
      </c>
      <c r="C4053" t="s">
        <v>44782</v>
      </c>
      <c r="D4053" t="s">
        <v>32</v>
      </c>
      <c r="E4053" t="s">
        <v>44783</v>
      </c>
      <c r="F4053" t="s">
        <v>44784</v>
      </c>
      <c r="G4053" t="s">
        <v>32</v>
      </c>
      <c r="H4053" t="str">
        <f>"Eif1b"</f>
        <v>Eif1b</v>
      </c>
      <c r="I4053" t="s">
        <v>32</v>
      </c>
      <c r="J4053" t="s">
        <v>37</v>
      </c>
      <c r="K4053">
        <v>10090</v>
      </c>
      <c r="L4053" s="3" t="str">
        <f>HYPERLINK("http://www.uniprot.org/uniprot/Q9CXU9", "Q9CXU9")</f>
        <v>Q9CXU9</v>
      </c>
      <c r="M4053" t="s">
        <v>44785</v>
      </c>
      <c r="N4053" t="str">
        <f>"Eif1b"</f>
        <v>Eif1b</v>
      </c>
      <c r="O4053" s="3" t="str">
        <f>HYPERLINK("http://www.informatics.jax.org/marker/MGI:1916219", "MGI:1916219")</f>
        <v>MGI:1916219</v>
      </c>
      <c r="P4053" t="s">
        <v>20992</v>
      </c>
      <c r="Q4053" t="s">
        <v>260</v>
      </c>
      <c r="R4053" t="s">
        <v>32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2675</v>
      </c>
      <c r="Y4053" t="s">
        <v>157</v>
      </c>
      <c r="Z4053" t="s">
        <v>32</v>
      </c>
      <c r="AA4053" t="s">
        <v>32</v>
      </c>
      <c r="AB4053" t="s">
        <v>44786</v>
      </c>
      <c r="AC4053" t="s">
        <v>44787</v>
      </c>
      <c r="AD4053" t="s">
        <v>32</v>
      </c>
      <c r="AE4053" t="s">
        <v>32</v>
      </c>
      <c r="AF4053" t="s">
        <v>46835</v>
      </c>
    </row>
    <row r="4054" spans="1:33" x14ac:dyDescent="0.2">
      <c r="A4054">
        <v>4049</v>
      </c>
      <c r="B4054" t="s">
        <v>44788</v>
      </c>
      <c r="C4054" t="s">
        <v>44789</v>
      </c>
      <c r="D4054" t="s">
        <v>32</v>
      </c>
      <c r="E4054" t="s">
        <v>44790</v>
      </c>
      <c r="F4054" t="s">
        <v>44791</v>
      </c>
      <c r="G4054" t="s">
        <v>44792</v>
      </c>
      <c r="H4054" t="str">
        <f>"Mios"</f>
        <v>Mios</v>
      </c>
      <c r="I4054" t="s">
        <v>32</v>
      </c>
      <c r="J4054" t="s">
        <v>37</v>
      </c>
      <c r="K4054">
        <v>10090</v>
      </c>
      <c r="L4054" s="3" t="str">
        <f>HYPERLINK("http://www.uniprot.org/uniprot/Q8VE19", "Q8VE19")</f>
        <v>Q8VE19</v>
      </c>
      <c r="M4054" t="s">
        <v>44793</v>
      </c>
      <c r="N4054" t="str">
        <f>"Mios"</f>
        <v>Mios</v>
      </c>
      <c r="O4054" s="3" t="str">
        <f>HYPERLINK("http://www.informatics.jax.org/marker/MGI:2182066", "MGI:2182066")</f>
        <v>MGI:2182066</v>
      </c>
      <c r="P4054" t="s">
        <v>44794</v>
      </c>
      <c r="Q4054" t="s">
        <v>32</v>
      </c>
      <c r="R4054" t="s">
        <v>19635</v>
      </c>
      <c r="S4054" t="s">
        <v>32</v>
      </c>
      <c r="T4054" t="s">
        <v>32</v>
      </c>
      <c r="U4054" t="s">
        <v>32</v>
      </c>
      <c r="V4054" t="s">
        <v>1910</v>
      </c>
      <c r="W4054" t="s">
        <v>32</v>
      </c>
      <c r="X4054" t="s">
        <v>32</v>
      </c>
      <c r="Y4054" t="s">
        <v>618</v>
      </c>
      <c r="Z4054" t="s">
        <v>32</v>
      </c>
      <c r="AA4054" t="s">
        <v>44795</v>
      </c>
      <c r="AB4054" t="s">
        <v>44796</v>
      </c>
      <c r="AC4054" t="s">
        <v>32</v>
      </c>
      <c r="AD4054" t="s">
        <v>32</v>
      </c>
      <c r="AE4054" t="s">
        <v>40313</v>
      </c>
      <c r="AF4054" t="s">
        <v>46835</v>
      </c>
    </row>
    <row r="4055" spans="1:33" x14ac:dyDescent="0.2">
      <c r="A4055">
        <v>4050</v>
      </c>
      <c r="B4055" t="s">
        <v>44797</v>
      </c>
      <c r="C4055" t="s">
        <v>44798</v>
      </c>
      <c r="D4055" t="s">
        <v>32</v>
      </c>
      <c r="E4055" t="s">
        <v>44799</v>
      </c>
      <c r="F4055" t="s">
        <v>44800</v>
      </c>
      <c r="G4055" t="s">
        <v>44801</v>
      </c>
      <c r="H4055" t="str">
        <f>"Ift20"</f>
        <v>Ift20</v>
      </c>
      <c r="I4055" t="s">
        <v>32</v>
      </c>
      <c r="J4055" t="s">
        <v>37</v>
      </c>
      <c r="K4055">
        <v>10090</v>
      </c>
      <c r="L4055" s="3" t="str">
        <f>HYPERLINK("http://www.uniprot.org/uniprot/Q61025", "Q61025")</f>
        <v>Q61025</v>
      </c>
      <c r="M4055" t="s">
        <v>44802</v>
      </c>
      <c r="N4055" t="str">
        <f>"Ift20"</f>
        <v>Ift20</v>
      </c>
      <c r="O4055" s="3" t="str">
        <f>HYPERLINK("http://www.informatics.jax.org/marker/MGI:1915585", "MGI:1915585")</f>
        <v>MGI:1915585</v>
      </c>
      <c r="P4055" t="s">
        <v>44803</v>
      </c>
      <c r="Q4055" t="s">
        <v>44804</v>
      </c>
      <c r="R4055" t="s">
        <v>44805</v>
      </c>
      <c r="S4055" t="s">
        <v>41</v>
      </c>
      <c r="T4055" t="s">
        <v>32</v>
      </c>
      <c r="U4055" t="s">
        <v>32</v>
      </c>
      <c r="V4055" t="s">
        <v>290</v>
      </c>
      <c r="W4055" t="s">
        <v>32</v>
      </c>
      <c r="X4055" t="s">
        <v>32</v>
      </c>
      <c r="Y4055" t="s">
        <v>32</v>
      </c>
      <c r="Z4055" t="s">
        <v>32</v>
      </c>
      <c r="AA4055" t="s">
        <v>44806</v>
      </c>
      <c r="AB4055" t="s">
        <v>44807</v>
      </c>
      <c r="AC4055" t="s">
        <v>44808</v>
      </c>
      <c r="AD4055" t="s">
        <v>32</v>
      </c>
      <c r="AE4055" t="s">
        <v>8858</v>
      </c>
      <c r="AF4055" t="s">
        <v>46835</v>
      </c>
    </row>
    <row r="4056" spans="1:33" x14ac:dyDescent="0.2">
      <c r="A4056">
        <v>4051</v>
      </c>
      <c r="B4056" t="s">
        <v>44809</v>
      </c>
      <c r="C4056" t="s">
        <v>44810</v>
      </c>
      <c r="D4056" t="s">
        <v>32</v>
      </c>
      <c r="E4056" t="s">
        <v>44811</v>
      </c>
      <c r="F4056" t="s">
        <v>44812</v>
      </c>
      <c r="G4056" t="s">
        <v>44813</v>
      </c>
      <c r="H4056" t="str">
        <f>"Heatr5b"</f>
        <v>Heatr5b</v>
      </c>
      <c r="I4056" t="s">
        <v>44814</v>
      </c>
      <c r="J4056" t="s">
        <v>37</v>
      </c>
      <c r="K4056">
        <v>10090</v>
      </c>
      <c r="L4056" s="3" t="str">
        <f>HYPERLINK("http://www.uniprot.org/uniprot/Q8C547", "Q8C547")</f>
        <v>Q8C547</v>
      </c>
      <c r="M4056" t="s">
        <v>44815</v>
      </c>
      <c r="N4056" t="str">
        <f>"Heatr5b"</f>
        <v>Heatr5b</v>
      </c>
      <c r="O4056" s="3" t="str">
        <f>HYPERLINK("http://www.informatics.jax.org/marker/MGI:2444098", "MGI:2444098")</f>
        <v>MGI:2444098</v>
      </c>
      <c r="P4056" t="s">
        <v>44816</v>
      </c>
      <c r="Q4056" t="s">
        <v>434</v>
      </c>
      <c r="R4056" t="s">
        <v>8987</v>
      </c>
      <c r="S4056" t="s">
        <v>41</v>
      </c>
      <c r="T4056" t="s">
        <v>32</v>
      </c>
      <c r="U4056" t="s">
        <v>32</v>
      </c>
      <c r="V4056" t="s">
        <v>55</v>
      </c>
      <c r="W4056" t="s">
        <v>32</v>
      </c>
      <c r="X4056" t="s">
        <v>32</v>
      </c>
      <c r="Y4056" t="s">
        <v>618</v>
      </c>
      <c r="Z4056" t="s">
        <v>32</v>
      </c>
      <c r="AA4056" t="s">
        <v>44817</v>
      </c>
      <c r="AB4056" t="s">
        <v>44818</v>
      </c>
      <c r="AC4056" t="s">
        <v>32</v>
      </c>
      <c r="AD4056" t="s">
        <v>32</v>
      </c>
      <c r="AE4056" t="s">
        <v>32</v>
      </c>
      <c r="AF4056" t="s">
        <v>46835</v>
      </c>
    </row>
    <row r="4057" spans="1:33" x14ac:dyDescent="0.2">
      <c r="A4057">
        <v>4052</v>
      </c>
      <c r="B4057" t="s">
        <v>44819</v>
      </c>
      <c r="C4057" t="s">
        <v>44820</v>
      </c>
      <c r="D4057" t="s">
        <v>44821</v>
      </c>
      <c r="E4057" t="s">
        <v>44822</v>
      </c>
      <c r="F4057" t="s">
        <v>44823</v>
      </c>
      <c r="G4057" t="s">
        <v>32</v>
      </c>
      <c r="H4057" t="str">
        <f>"Myl6b"</f>
        <v>Myl6b</v>
      </c>
      <c r="I4057" t="s">
        <v>32</v>
      </c>
      <c r="J4057" t="s">
        <v>37</v>
      </c>
      <c r="K4057">
        <v>10090</v>
      </c>
      <c r="L4057" s="3" t="str">
        <f>HYPERLINK("http://www.uniprot.org/uniprot/Q8CI43", "Q8CI43")</f>
        <v>Q8CI43</v>
      </c>
      <c r="M4057" t="s">
        <v>44824</v>
      </c>
      <c r="N4057" t="str">
        <f>"Myl6b"</f>
        <v>Myl6b</v>
      </c>
      <c r="O4057" s="3" t="str">
        <f>HYPERLINK("http://www.informatics.jax.org/marker/MGI:1917789", "MGI:1917789")</f>
        <v>MGI:1917789</v>
      </c>
      <c r="P4057" t="s">
        <v>44825</v>
      </c>
      <c r="Q4057" t="s">
        <v>32</v>
      </c>
      <c r="R4057" t="s">
        <v>32</v>
      </c>
      <c r="S4057" t="s">
        <v>32</v>
      </c>
      <c r="T4057" t="s">
        <v>32</v>
      </c>
      <c r="U4057" t="s">
        <v>32</v>
      </c>
      <c r="V4057" t="s">
        <v>55</v>
      </c>
      <c r="W4057" t="s">
        <v>32</v>
      </c>
      <c r="X4057" t="s">
        <v>5260</v>
      </c>
      <c r="Y4057" t="s">
        <v>32</v>
      </c>
      <c r="Z4057" t="s">
        <v>32</v>
      </c>
      <c r="AA4057" t="s">
        <v>5261</v>
      </c>
      <c r="AB4057" t="s">
        <v>44826</v>
      </c>
      <c r="AC4057" t="s">
        <v>44827</v>
      </c>
      <c r="AD4057" t="s">
        <v>32</v>
      </c>
      <c r="AE4057" t="s">
        <v>5108</v>
      </c>
      <c r="AF4057" t="s">
        <v>46835</v>
      </c>
    </row>
    <row r="4058" spans="1:33" x14ac:dyDescent="0.2">
      <c r="A4058">
        <v>4053</v>
      </c>
      <c r="B4058" t="s">
        <v>44828</v>
      </c>
      <c r="C4058" t="s">
        <v>44829</v>
      </c>
      <c r="D4058" t="s">
        <v>32</v>
      </c>
      <c r="E4058" t="s">
        <v>44830</v>
      </c>
      <c r="F4058" t="s">
        <v>44831</v>
      </c>
      <c r="G4058" t="s">
        <v>44832</v>
      </c>
      <c r="H4058" t="str">
        <f>"Tacc1"</f>
        <v>Tacc1</v>
      </c>
      <c r="I4058" t="s">
        <v>32</v>
      </c>
      <c r="J4058" t="s">
        <v>37</v>
      </c>
      <c r="K4058">
        <v>10090</v>
      </c>
      <c r="L4058" s="3" t="str">
        <f>HYPERLINK("http://www.uniprot.org/uniprot/Q6Y685", "Q6Y685")</f>
        <v>Q6Y685</v>
      </c>
      <c r="M4058" t="s">
        <v>44833</v>
      </c>
      <c r="N4058" t="str">
        <f>"Tacc1"</f>
        <v>Tacc1</v>
      </c>
      <c r="O4058" s="3" t="str">
        <f>HYPERLINK("http://www.informatics.jax.org/marker/MGI:2443510", "MGI:2443510")</f>
        <v>MGI:2443510</v>
      </c>
      <c r="P4058" t="s">
        <v>44834</v>
      </c>
      <c r="Q4058" t="s">
        <v>11508</v>
      </c>
      <c r="R4058" t="s">
        <v>324</v>
      </c>
      <c r="S4058" t="s">
        <v>41</v>
      </c>
      <c r="T4058" t="s">
        <v>32</v>
      </c>
      <c r="U4058" t="s">
        <v>32</v>
      </c>
      <c r="V4058" t="s">
        <v>137</v>
      </c>
      <c r="W4058" t="s">
        <v>32</v>
      </c>
      <c r="X4058" t="s">
        <v>2602</v>
      </c>
      <c r="Y4058" t="s">
        <v>157</v>
      </c>
      <c r="Z4058" t="s">
        <v>32</v>
      </c>
      <c r="AA4058" t="s">
        <v>44835</v>
      </c>
      <c r="AB4058" t="s">
        <v>44836</v>
      </c>
      <c r="AC4058" t="s">
        <v>44837</v>
      </c>
      <c r="AD4058" t="s">
        <v>32</v>
      </c>
      <c r="AE4058" t="s">
        <v>32</v>
      </c>
      <c r="AF4058" t="s">
        <v>46835</v>
      </c>
    </row>
    <row r="4059" spans="1:33" x14ac:dyDescent="0.2">
      <c r="A4059">
        <v>4054</v>
      </c>
      <c r="B4059" t="s">
        <v>44838</v>
      </c>
      <c r="C4059" t="s">
        <v>44839</v>
      </c>
      <c r="D4059" t="s">
        <v>44840</v>
      </c>
      <c r="E4059" t="s">
        <v>44841</v>
      </c>
      <c r="F4059" t="s">
        <v>44842</v>
      </c>
      <c r="G4059" t="s">
        <v>32</v>
      </c>
      <c r="H4059" t="str">
        <f>"Tusc3"</f>
        <v>Tusc3</v>
      </c>
      <c r="I4059" t="s">
        <v>44843</v>
      </c>
      <c r="J4059" t="s">
        <v>37</v>
      </c>
      <c r="K4059">
        <v>10090</v>
      </c>
      <c r="L4059" s="3" t="str">
        <f>HYPERLINK("http://www.uniprot.org/uniprot/Q8BTV1", "Q8BTV1")</f>
        <v>Q8BTV1</v>
      </c>
      <c r="M4059" t="s">
        <v>44844</v>
      </c>
      <c r="N4059" t="str">
        <f>"Tusc3"</f>
        <v>Tusc3</v>
      </c>
      <c r="O4059" s="3" t="str">
        <f>HYPERLINK("http://www.informatics.jax.org/marker/MGI:1933134", "MGI:1933134")</f>
        <v>MGI:1933134</v>
      </c>
      <c r="P4059" t="s">
        <v>44845</v>
      </c>
      <c r="Q4059" t="s">
        <v>4425</v>
      </c>
      <c r="R4059" t="s">
        <v>1664</v>
      </c>
      <c r="S4059" t="s">
        <v>32</v>
      </c>
      <c r="T4059" t="s">
        <v>32</v>
      </c>
      <c r="U4059" t="s">
        <v>32</v>
      </c>
      <c r="V4059" t="s">
        <v>3948</v>
      </c>
      <c r="W4059" t="s">
        <v>16431</v>
      </c>
      <c r="X4059" t="s">
        <v>32</v>
      </c>
      <c r="Y4059" t="s">
        <v>5275</v>
      </c>
      <c r="Z4059" t="s">
        <v>32</v>
      </c>
      <c r="AA4059" t="s">
        <v>44846</v>
      </c>
      <c r="AB4059" t="s">
        <v>44847</v>
      </c>
      <c r="AC4059" t="s">
        <v>44848</v>
      </c>
      <c r="AD4059" t="s">
        <v>3952</v>
      </c>
      <c r="AE4059" t="s">
        <v>7597</v>
      </c>
      <c r="AF4059" t="s">
        <v>46835</v>
      </c>
    </row>
    <row r="4060" spans="1:33" x14ac:dyDescent="0.2">
      <c r="A4060">
        <v>4055</v>
      </c>
      <c r="B4060" t="s">
        <v>44849</v>
      </c>
      <c r="C4060" t="s">
        <v>44850</v>
      </c>
      <c r="D4060" t="s">
        <v>44851</v>
      </c>
      <c r="E4060" t="s">
        <v>44852</v>
      </c>
      <c r="F4060" t="s">
        <v>44853</v>
      </c>
      <c r="G4060" t="s">
        <v>32</v>
      </c>
      <c r="H4060" t="str">
        <f>"Vti1b"</f>
        <v>Vti1b</v>
      </c>
      <c r="I4060" t="s">
        <v>44854</v>
      </c>
      <c r="J4060" t="s">
        <v>37</v>
      </c>
      <c r="K4060">
        <v>10090</v>
      </c>
      <c r="L4060" s="3" t="str">
        <f>HYPERLINK("http://www.uniprot.org/uniprot/O88384", "O88384")</f>
        <v>O88384</v>
      </c>
      <c r="M4060" t="s">
        <v>44855</v>
      </c>
      <c r="N4060" t="str">
        <f>"Vti1b"</f>
        <v>Vti1b</v>
      </c>
      <c r="O4060" s="3" t="str">
        <f>HYPERLINK("http://www.informatics.jax.org/marker/MGI:1855688", "MGI:1855688")</f>
        <v>MGI:1855688</v>
      </c>
      <c r="P4060" t="s">
        <v>44856</v>
      </c>
      <c r="Q4060" t="s">
        <v>434</v>
      </c>
      <c r="R4060" t="s">
        <v>20648</v>
      </c>
      <c r="S4060" t="s">
        <v>32</v>
      </c>
      <c r="T4060" t="s">
        <v>32</v>
      </c>
      <c r="U4060" t="s">
        <v>32</v>
      </c>
      <c r="V4060" t="s">
        <v>6500</v>
      </c>
      <c r="W4060" t="s">
        <v>32</v>
      </c>
      <c r="X4060" t="s">
        <v>32</v>
      </c>
      <c r="Y4060" t="s">
        <v>97</v>
      </c>
      <c r="Z4060" t="s">
        <v>126</v>
      </c>
      <c r="AA4060" t="s">
        <v>44857</v>
      </c>
      <c r="AB4060" t="s">
        <v>44858</v>
      </c>
      <c r="AC4060" t="s">
        <v>44859</v>
      </c>
      <c r="AD4060" t="s">
        <v>32</v>
      </c>
      <c r="AE4060" t="s">
        <v>2235</v>
      </c>
      <c r="AF4060" t="s">
        <v>46835</v>
      </c>
    </row>
    <row r="4061" spans="1:33" x14ac:dyDescent="0.2">
      <c r="A4061">
        <v>4056</v>
      </c>
      <c r="B4061" t="s">
        <v>44860</v>
      </c>
      <c r="C4061" t="s">
        <v>47138</v>
      </c>
      <c r="D4061" t="s">
        <v>32</v>
      </c>
      <c r="E4061" t="s">
        <v>47084</v>
      </c>
      <c r="F4061" t="s">
        <v>47083</v>
      </c>
      <c r="G4061" t="s">
        <v>32</v>
      </c>
      <c r="H4061" t="s">
        <v>47269</v>
      </c>
      <c r="I4061" t="s">
        <v>32</v>
      </c>
      <c r="J4061" t="s">
        <v>37</v>
      </c>
      <c r="K4061">
        <v>10090</v>
      </c>
      <c r="L4061" s="3" t="str">
        <f>HYPERLINK(CONCATENATE("https://www.uniprot.org/uniprotkb/", AG4061, "/entry"), AG4061)</f>
        <v>Q8BIV1</v>
      </c>
      <c r="M4061" t="s">
        <v>32</v>
      </c>
      <c r="N4061" t="s">
        <v>32</v>
      </c>
      <c r="O4061" s="3" t="s">
        <v>32</v>
      </c>
      <c r="P4061" t="s">
        <v>32</v>
      </c>
      <c r="Q4061" t="s">
        <v>32</v>
      </c>
      <c r="R4061" t="s">
        <v>32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32</v>
      </c>
      <c r="Y4061" t="s">
        <v>32</v>
      </c>
      <c r="Z4061" t="s">
        <v>32</v>
      </c>
      <c r="AA4061" t="s">
        <v>32</v>
      </c>
      <c r="AB4061" t="s">
        <v>32</v>
      </c>
      <c r="AC4061" t="s">
        <v>32</v>
      </c>
      <c r="AD4061" t="s">
        <v>32</v>
      </c>
      <c r="AE4061" t="s">
        <v>32</v>
      </c>
      <c r="AF4061" t="s">
        <v>46835</v>
      </c>
      <c r="AG4061" t="s">
        <v>47083</v>
      </c>
    </row>
    <row r="4062" spans="1:33" x14ac:dyDescent="0.2">
      <c r="A4062">
        <v>4057</v>
      </c>
      <c r="B4062" t="s">
        <v>44861</v>
      </c>
      <c r="C4062" t="s">
        <v>44862</v>
      </c>
      <c r="D4062" t="s">
        <v>44863</v>
      </c>
      <c r="E4062" t="s">
        <v>44864</v>
      </c>
      <c r="F4062" t="s">
        <v>44865</v>
      </c>
      <c r="G4062" t="s">
        <v>44866</v>
      </c>
      <c r="H4062" t="str">
        <f>"Bcl7c"</f>
        <v>Bcl7c</v>
      </c>
      <c r="I4062" t="s">
        <v>32</v>
      </c>
      <c r="J4062" t="s">
        <v>37</v>
      </c>
      <c r="K4062">
        <v>10090</v>
      </c>
      <c r="L4062" s="3" t="str">
        <f>HYPERLINK("http://www.uniprot.org/uniprot/O08664", "O08664")</f>
        <v>O08664</v>
      </c>
      <c r="M4062" t="s">
        <v>44867</v>
      </c>
      <c r="N4062" t="str">
        <f>"Bcl7c"</f>
        <v>Bcl7c</v>
      </c>
      <c r="O4062" s="3" t="str">
        <f>HYPERLINK("http://www.informatics.jax.org/marker/MGI:1332237", "MGI:1332237")</f>
        <v>MGI:1332237</v>
      </c>
      <c r="P4062" t="s">
        <v>44868</v>
      </c>
      <c r="Q4062" t="s">
        <v>541</v>
      </c>
      <c r="R4062" t="s">
        <v>32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32</v>
      </c>
      <c r="Y4062" t="s">
        <v>618</v>
      </c>
      <c r="Z4062" t="s">
        <v>32</v>
      </c>
      <c r="AA4062" t="s">
        <v>44869</v>
      </c>
      <c r="AB4062" t="s">
        <v>44870</v>
      </c>
      <c r="AC4062" t="s">
        <v>32</v>
      </c>
      <c r="AD4062" t="s">
        <v>32</v>
      </c>
      <c r="AE4062" t="s">
        <v>32</v>
      </c>
      <c r="AF4062" t="s">
        <v>46835</v>
      </c>
    </row>
    <row r="4063" spans="1:33" x14ac:dyDescent="0.2">
      <c r="A4063">
        <v>4058</v>
      </c>
      <c r="B4063" t="s">
        <v>44871</v>
      </c>
      <c r="C4063" t="s">
        <v>44872</v>
      </c>
      <c r="D4063" t="s">
        <v>44873</v>
      </c>
      <c r="E4063" t="s">
        <v>44874</v>
      </c>
      <c r="F4063" t="s">
        <v>44875</v>
      </c>
      <c r="G4063" t="s">
        <v>44876</v>
      </c>
      <c r="H4063" t="str">
        <f>"Dctd"</f>
        <v>Dctd</v>
      </c>
      <c r="I4063" t="s">
        <v>32</v>
      </c>
      <c r="J4063" t="s">
        <v>37</v>
      </c>
      <c r="K4063">
        <v>10090</v>
      </c>
      <c r="L4063" s="3" t="str">
        <f>HYPERLINK("http://www.uniprot.org/uniprot/Q8K2D6", "Q8K2D6")</f>
        <v>Q8K2D6</v>
      </c>
      <c r="M4063" t="s">
        <v>44877</v>
      </c>
      <c r="N4063" t="str">
        <f>"Dctd"</f>
        <v>Dctd</v>
      </c>
      <c r="O4063" s="3" t="str">
        <f>HYPERLINK("http://www.informatics.jax.org/marker/MGI:2444529", "MGI:2444529")</f>
        <v>MGI:2444529</v>
      </c>
      <c r="P4063" t="s">
        <v>44878</v>
      </c>
      <c r="Q4063" t="s">
        <v>16817</v>
      </c>
      <c r="R4063" t="s">
        <v>32</v>
      </c>
      <c r="S4063" t="s">
        <v>32</v>
      </c>
      <c r="T4063" t="s">
        <v>32</v>
      </c>
      <c r="U4063" t="s">
        <v>32</v>
      </c>
      <c r="V4063" t="s">
        <v>32</v>
      </c>
      <c r="W4063" t="s">
        <v>42</v>
      </c>
      <c r="X4063" t="s">
        <v>34074</v>
      </c>
      <c r="Y4063" t="s">
        <v>618</v>
      </c>
      <c r="Z4063" t="s">
        <v>32</v>
      </c>
      <c r="AA4063" t="s">
        <v>44879</v>
      </c>
      <c r="AB4063" t="s">
        <v>32</v>
      </c>
      <c r="AC4063" t="s">
        <v>44880</v>
      </c>
      <c r="AD4063" t="s">
        <v>32</v>
      </c>
      <c r="AE4063" t="s">
        <v>6139</v>
      </c>
      <c r="AF4063" t="s">
        <v>46835</v>
      </c>
    </row>
    <row r="4064" spans="1:33" x14ac:dyDescent="0.2">
      <c r="A4064">
        <v>4059</v>
      </c>
      <c r="B4064" t="s">
        <v>44881</v>
      </c>
      <c r="C4064" t="s">
        <v>44882</v>
      </c>
      <c r="D4064" t="s">
        <v>32</v>
      </c>
      <c r="E4064" t="s">
        <v>44883</v>
      </c>
      <c r="F4064" t="s">
        <v>44884</v>
      </c>
      <c r="G4064" t="s">
        <v>32</v>
      </c>
      <c r="H4064" t="str">
        <f>"Snx4"</f>
        <v>Snx4</v>
      </c>
      <c r="I4064" t="s">
        <v>32</v>
      </c>
      <c r="J4064" t="s">
        <v>37</v>
      </c>
      <c r="K4064">
        <v>10090</v>
      </c>
      <c r="L4064" s="3" t="str">
        <f>HYPERLINK("http://www.uniprot.org/uniprot/Q91YJ2", "Q91YJ2")</f>
        <v>Q91YJ2</v>
      </c>
      <c r="M4064" t="s">
        <v>44885</v>
      </c>
      <c r="N4064" t="str">
        <f>"Snx4"</f>
        <v>Snx4</v>
      </c>
      <c r="O4064" s="3" t="str">
        <f>HYPERLINK("http://www.informatics.jax.org/marker/MGI:1916400", "MGI:1916400")</f>
        <v>MGI:1916400</v>
      </c>
      <c r="P4064" t="s">
        <v>44886</v>
      </c>
      <c r="Q4064" t="s">
        <v>434</v>
      </c>
      <c r="R4064" t="s">
        <v>24832</v>
      </c>
      <c r="S4064" t="s">
        <v>32</v>
      </c>
      <c r="T4064" t="s">
        <v>32</v>
      </c>
      <c r="U4064" t="s">
        <v>32</v>
      </c>
      <c r="V4064" t="s">
        <v>32</v>
      </c>
      <c r="W4064" t="s">
        <v>584</v>
      </c>
      <c r="X4064" t="s">
        <v>32</v>
      </c>
      <c r="Y4064" t="s">
        <v>78</v>
      </c>
      <c r="Z4064" t="s">
        <v>32</v>
      </c>
      <c r="AA4064" t="s">
        <v>44887</v>
      </c>
      <c r="AB4064" t="s">
        <v>44888</v>
      </c>
      <c r="AC4064" t="s">
        <v>44889</v>
      </c>
      <c r="AD4064" t="s">
        <v>32</v>
      </c>
      <c r="AE4064" t="s">
        <v>32</v>
      </c>
      <c r="AF4064" t="s">
        <v>46835</v>
      </c>
    </row>
    <row r="4065" spans="1:33" x14ac:dyDescent="0.2">
      <c r="A4065">
        <v>4060</v>
      </c>
      <c r="B4065" t="s">
        <v>44890</v>
      </c>
      <c r="C4065" t="s">
        <v>44891</v>
      </c>
      <c r="D4065" t="s">
        <v>32</v>
      </c>
      <c r="E4065" t="s">
        <v>44892</v>
      </c>
      <c r="F4065" t="s">
        <v>44893</v>
      </c>
      <c r="G4065" t="s">
        <v>44894</v>
      </c>
      <c r="H4065" t="str">
        <f>"Ctu2"</f>
        <v>Ctu2</v>
      </c>
      <c r="I4065" t="s">
        <v>44895</v>
      </c>
      <c r="J4065" t="s">
        <v>37</v>
      </c>
      <c r="K4065">
        <v>10090</v>
      </c>
      <c r="L4065" s="3" t="str">
        <f>HYPERLINK("http://www.uniprot.org/uniprot/Q3U308", "Q3U308")</f>
        <v>Q3U308</v>
      </c>
      <c r="M4065" t="s">
        <v>44896</v>
      </c>
      <c r="N4065" t="str">
        <f>"Ctu2"</f>
        <v>Ctu2</v>
      </c>
      <c r="O4065" s="3" t="str">
        <f>HYPERLINK("http://www.informatics.jax.org/marker/MGI:1914215", "MGI:1914215")</f>
        <v>MGI:1914215</v>
      </c>
      <c r="P4065" t="s">
        <v>44897</v>
      </c>
      <c r="Q4065" t="s">
        <v>4386</v>
      </c>
      <c r="R4065" t="s">
        <v>418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32</v>
      </c>
      <c r="Y4065" t="s">
        <v>157</v>
      </c>
      <c r="Z4065" t="s">
        <v>32</v>
      </c>
      <c r="AA4065" t="s">
        <v>44898</v>
      </c>
      <c r="AB4065" t="s">
        <v>2414</v>
      </c>
      <c r="AC4065" t="s">
        <v>44899</v>
      </c>
      <c r="AD4065" t="s">
        <v>7480</v>
      </c>
      <c r="AE4065" t="s">
        <v>32</v>
      </c>
      <c r="AF4065" t="s">
        <v>46835</v>
      </c>
    </row>
    <row r="4066" spans="1:33" x14ac:dyDescent="0.2">
      <c r="A4066">
        <v>4061</v>
      </c>
      <c r="B4066" t="s">
        <v>44900</v>
      </c>
      <c r="C4066" t="s">
        <v>44901</v>
      </c>
      <c r="D4066" t="s">
        <v>32</v>
      </c>
      <c r="E4066" t="s">
        <v>44902</v>
      </c>
      <c r="F4066" t="s">
        <v>44903</v>
      </c>
      <c r="G4066" t="s">
        <v>44904</v>
      </c>
      <c r="H4066" t="str">
        <f>"Cuedc2"</f>
        <v>Cuedc2</v>
      </c>
      <c r="I4066" t="s">
        <v>32</v>
      </c>
      <c r="J4066" t="s">
        <v>37</v>
      </c>
      <c r="K4066">
        <v>10090</v>
      </c>
      <c r="L4066" s="3" t="str">
        <f>HYPERLINK("http://www.uniprot.org/uniprot/Q9CXX9", "Q9CXX9")</f>
        <v>Q9CXX9</v>
      </c>
      <c r="M4066" t="s">
        <v>44905</v>
      </c>
      <c r="N4066" t="str">
        <f>"Cuedc2"</f>
        <v>Cuedc2</v>
      </c>
      <c r="O4066" s="3" t="str">
        <f>HYPERLINK("http://www.informatics.jax.org/marker/MGI:1914366", "MGI:1914366")</f>
        <v>MGI:1914366</v>
      </c>
      <c r="P4066" t="s">
        <v>44906</v>
      </c>
      <c r="Q4066" t="s">
        <v>1020</v>
      </c>
      <c r="R4066" t="s">
        <v>40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32</v>
      </c>
      <c r="Y4066" t="s">
        <v>32</v>
      </c>
      <c r="Z4066" t="s">
        <v>32</v>
      </c>
      <c r="AA4066" t="s">
        <v>44907</v>
      </c>
      <c r="AB4066" t="s">
        <v>44908</v>
      </c>
      <c r="AC4066" t="s">
        <v>14891</v>
      </c>
      <c r="AD4066" t="s">
        <v>32</v>
      </c>
      <c r="AE4066" t="s">
        <v>32</v>
      </c>
      <c r="AF4066" t="s">
        <v>46835</v>
      </c>
    </row>
    <row r="4067" spans="1:33" x14ac:dyDescent="0.2">
      <c r="A4067">
        <v>4062</v>
      </c>
      <c r="B4067" t="s">
        <v>44909</v>
      </c>
      <c r="C4067" t="s">
        <v>44910</v>
      </c>
      <c r="D4067" t="s">
        <v>44911</v>
      </c>
      <c r="E4067" t="s">
        <v>44912</v>
      </c>
      <c r="F4067" t="s">
        <v>44913</v>
      </c>
      <c r="G4067" t="s">
        <v>44914</v>
      </c>
      <c r="H4067" t="str">
        <f>"Ppan"</f>
        <v>Ppan</v>
      </c>
      <c r="I4067" t="s">
        <v>44915</v>
      </c>
      <c r="J4067" t="s">
        <v>37</v>
      </c>
      <c r="K4067">
        <v>10090</v>
      </c>
      <c r="L4067" s="3" t="str">
        <f>HYPERLINK("http://www.uniprot.org/uniprot/Q91YU8", "Q91YU8")</f>
        <v>Q91YU8</v>
      </c>
      <c r="M4067" t="s">
        <v>44916</v>
      </c>
      <c r="N4067" t="str">
        <f>"Ppan"</f>
        <v>Ppan</v>
      </c>
      <c r="O4067" s="3" t="str">
        <f>HYPERLINK("http://www.informatics.jax.org/marker/MGI:2178445", "MGI:2178445")</f>
        <v>MGI:2178445</v>
      </c>
      <c r="P4067" t="s">
        <v>28377</v>
      </c>
      <c r="Q4067" t="s">
        <v>32</v>
      </c>
      <c r="R4067" t="s">
        <v>2279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32</v>
      </c>
      <c r="Y4067" t="s">
        <v>157</v>
      </c>
      <c r="Z4067" t="s">
        <v>32</v>
      </c>
      <c r="AA4067" t="s">
        <v>44917</v>
      </c>
      <c r="AB4067" t="s">
        <v>44918</v>
      </c>
      <c r="AC4067" t="s">
        <v>44919</v>
      </c>
      <c r="AD4067" t="s">
        <v>32</v>
      </c>
      <c r="AE4067" t="s">
        <v>32</v>
      </c>
      <c r="AF4067" t="s">
        <v>46835</v>
      </c>
    </row>
    <row r="4068" spans="1:33" x14ac:dyDescent="0.2">
      <c r="A4068">
        <v>4063</v>
      </c>
      <c r="B4068" t="s">
        <v>44920</v>
      </c>
      <c r="C4068" t="s">
        <v>44921</v>
      </c>
      <c r="D4068" t="s">
        <v>44922</v>
      </c>
      <c r="E4068" t="s">
        <v>44923</v>
      </c>
      <c r="F4068" t="s">
        <v>44924</v>
      </c>
      <c r="G4068" t="s">
        <v>44925</v>
      </c>
      <c r="H4068" t="str">
        <f>"Polr3b"</f>
        <v>Polr3b</v>
      </c>
      <c r="I4068" t="s">
        <v>32</v>
      </c>
      <c r="J4068" t="s">
        <v>37</v>
      </c>
      <c r="K4068">
        <v>10090</v>
      </c>
      <c r="L4068" s="3" t="str">
        <f>HYPERLINK("http://www.uniprot.org/uniprot/P59470", "P59470")</f>
        <v>P59470</v>
      </c>
      <c r="M4068" t="s">
        <v>44926</v>
      </c>
      <c r="N4068" t="str">
        <f>"Polr3b"</f>
        <v>Polr3b</v>
      </c>
      <c r="O4068" s="3" t="str">
        <f>HYPERLINK("http://www.informatics.jax.org/marker/MGI:1917678", "MGI:1917678")</f>
        <v>MGI:1917678</v>
      </c>
      <c r="P4068" t="s">
        <v>44927</v>
      </c>
      <c r="Q4068" t="s">
        <v>44928</v>
      </c>
      <c r="R4068" t="s">
        <v>19800</v>
      </c>
      <c r="S4068" t="s">
        <v>32</v>
      </c>
      <c r="T4068" t="s">
        <v>32</v>
      </c>
      <c r="U4068" t="s">
        <v>32</v>
      </c>
      <c r="V4068" t="s">
        <v>446</v>
      </c>
      <c r="W4068" t="s">
        <v>42</v>
      </c>
      <c r="X4068" t="s">
        <v>7489</v>
      </c>
      <c r="Y4068" t="s">
        <v>32</v>
      </c>
      <c r="Z4068" t="s">
        <v>32</v>
      </c>
      <c r="AA4068" t="s">
        <v>44929</v>
      </c>
      <c r="AB4068" t="s">
        <v>44930</v>
      </c>
      <c r="AC4068" t="s">
        <v>44931</v>
      </c>
      <c r="AD4068" t="s">
        <v>32</v>
      </c>
      <c r="AE4068" t="s">
        <v>44932</v>
      </c>
      <c r="AF4068" t="s">
        <v>46835</v>
      </c>
    </row>
    <row r="4069" spans="1:33" x14ac:dyDescent="0.2">
      <c r="A4069">
        <v>4064</v>
      </c>
      <c r="B4069" t="s">
        <v>44933</v>
      </c>
      <c r="C4069" t="s">
        <v>44934</v>
      </c>
      <c r="D4069" t="s">
        <v>44935</v>
      </c>
      <c r="E4069" t="s">
        <v>44936</v>
      </c>
      <c r="F4069" t="s">
        <v>44937</v>
      </c>
      <c r="G4069" t="s">
        <v>44938</v>
      </c>
      <c r="H4069" t="str">
        <f>"Lctl"</f>
        <v>Lctl</v>
      </c>
      <c r="I4069" t="s">
        <v>44939</v>
      </c>
      <c r="J4069" t="s">
        <v>37</v>
      </c>
      <c r="K4069">
        <v>10090</v>
      </c>
      <c r="L4069" s="3" t="str">
        <f>HYPERLINK("http://www.uniprot.org/uniprot/Q8K1F9", "Q8K1F9")</f>
        <v>Q8K1F9</v>
      </c>
      <c r="M4069" t="s">
        <v>44940</v>
      </c>
      <c r="N4069" t="str">
        <f>"Lctl"</f>
        <v>Lctl</v>
      </c>
      <c r="O4069" s="3" t="str">
        <f>HYPERLINK("http://www.informatics.jax.org/marker/MGI:2183549", "MGI:2183549")</f>
        <v>MGI:2183549</v>
      </c>
      <c r="P4069" t="s">
        <v>44941</v>
      </c>
      <c r="Q4069" t="s">
        <v>156</v>
      </c>
      <c r="R4069" t="s">
        <v>1664</v>
      </c>
      <c r="S4069" t="s">
        <v>41</v>
      </c>
      <c r="T4069" t="s">
        <v>32</v>
      </c>
      <c r="U4069" t="s">
        <v>32</v>
      </c>
      <c r="V4069" t="s">
        <v>3948</v>
      </c>
      <c r="W4069" t="s">
        <v>32</v>
      </c>
      <c r="X4069" t="s">
        <v>32</v>
      </c>
      <c r="Y4069" t="s">
        <v>3733</v>
      </c>
      <c r="Z4069" t="s">
        <v>32</v>
      </c>
      <c r="AA4069" t="s">
        <v>44942</v>
      </c>
      <c r="AB4069" t="s">
        <v>44943</v>
      </c>
      <c r="AC4069" t="s">
        <v>44944</v>
      </c>
      <c r="AD4069" t="s">
        <v>32</v>
      </c>
      <c r="AE4069" t="s">
        <v>32</v>
      </c>
      <c r="AF4069" t="s">
        <v>46835</v>
      </c>
    </row>
    <row r="4070" spans="1:33" x14ac:dyDescent="0.2">
      <c r="A4070">
        <v>4065</v>
      </c>
      <c r="B4070" t="s">
        <v>44945</v>
      </c>
      <c r="C4070" t="s">
        <v>44946</v>
      </c>
      <c r="D4070" t="s">
        <v>44947</v>
      </c>
      <c r="E4070" t="s">
        <v>44948</v>
      </c>
      <c r="F4070" t="s">
        <v>44949</v>
      </c>
      <c r="G4070" t="s">
        <v>32</v>
      </c>
      <c r="H4070" t="str">
        <f>"Prim1"</f>
        <v>Prim1</v>
      </c>
      <c r="I4070" t="s">
        <v>32</v>
      </c>
      <c r="J4070" t="s">
        <v>37</v>
      </c>
      <c r="K4070">
        <v>10090</v>
      </c>
      <c r="L4070" s="3" t="str">
        <f>HYPERLINK("http://www.uniprot.org/uniprot/P20664", "P20664")</f>
        <v>P20664</v>
      </c>
      <c r="M4070" t="s">
        <v>44950</v>
      </c>
      <c r="N4070" t="str">
        <f>"Prim1"</f>
        <v>Prim1</v>
      </c>
      <c r="O4070" s="3" t="str">
        <f>HYPERLINK("http://www.informatics.jax.org/marker/MGI:97757", "MGI:97757")</f>
        <v>MGI:97757</v>
      </c>
      <c r="P4070" t="s">
        <v>44951</v>
      </c>
      <c r="Q4070" t="s">
        <v>44952</v>
      </c>
      <c r="R4070" t="s">
        <v>44953</v>
      </c>
      <c r="S4070" t="s">
        <v>32</v>
      </c>
      <c r="T4070" t="s">
        <v>32</v>
      </c>
      <c r="U4070" t="s">
        <v>32</v>
      </c>
      <c r="V4070" t="s">
        <v>32</v>
      </c>
      <c r="W4070" t="s">
        <v>4614</v>
      </c>
      <c r="X4070" t="s">
        <v>7489</v>
      </c>
      <c r="Y4070" t="s">
        <v>78</v>
      </c>
      <c r="Z4070" t="s">
        <v>32</v>
      </c>
      <c r="AA4070" t="s">
        <v>44954</v>
      </c>
      <c r="AB4070" t="s">
        <v>44955</v>
      </c>
      <c r="AC4070" t="s">
        <v>44956</v>
      </c>
      <c r="AD4070" t="s">
        <v>32</v>
      </c>
      <c r="AE4070" t="s">
        <v>44957</v>
      </c>
      <c r="AF4070" t="s">
        <v>46835</v>
      </c>
    </row>
    <row r="4071" spans="1:33" x14ac:dyDescent="0.2">
      <c r="A4071">
        <v>4066</v>
      </c>
      <c r="B4071" t="s">
        <v>44958</v>
      </c>
      <c r="C4071" t="s">
        <v>44959</v>
      </c>
      <c r="D4071" t="s">
        <v>44960</v>
      </c>
      <c r="E4071" t="s">
        <v>44961</v>
      </c>
      <c r="F4071" t="s">
        <v>44962</v>
      </c>
      <c r="G4071" t="s">
        <v>32</v>
      </c>
      <c r="H4071" t="str">
        <f>"Ighmbp2"</f>
        <v>Ighmbp2</v>
      </c>
      <c r="I4071" t="s">
        <v>44963</v>
      </c>
      <c r="J4071" t="s">
        <v>37</v>
      </c>
      <c r="K4071">
        <v>10090</v>
      </c>
      <c r="L4071" s="3" t="str">
        <f>HYPERLINK("http://www.uniprot.org/uniprot/P40694", "P40694")</f>
        <v>P40694</v>
      </c>
      <c r="M4071" t="s">
        <v>44964</v>
      </c>
      <c r="N4071" t="str">
        <f>"Ighmbp2"</f>
        <v>Ighmbp2</v>
      </c>
      <c r="O4071" s="3" t="str">
        <f>HYPERLINK("http://www.informatics.jax.org/marker/MGI:99954", "MGI:99954")</f>
        <v>MGI:99954</v>
      </c>
      <c r="P4071" t="s">
        <v>44965</v>
      </c>
      <c r="Q4071" t="s">
        <v>4152</v>
      </c>
      <c r="R4071" t="s">
        <v>1952</v>
      </c>
      <c r="S4071" t="s">
        <v>32</v>
      </c>
      <c r="T4071" t="s">
        <v>32</v>
      </c>
      <c r="U4071" t="s">
        <v>32</v>
      </c>
      <c r="V4071" t="s">
        <v>446</v>
      </c>
      <c r="W4071" t="s">
        <v>2325</v>
      </c>
      <c r="X4071" t="s">
        <v>44966</v>
      </c>
      <c r="Y4071" t="s">
        <v>157</v>
      </c>
      <c r="Z4071" t="s">
        <v>32</v>
      </c>
      <c r="AA4071" t="s">
        <v>44967</v>
      </c>
      <c r="AB4071" t="s">
        <v>44968</v>
      </c>
      <c r="AC4071" t="s">
        <v>44969</v>
      </c>
      <c r="AD4071" t="s">
        <v>32</v>
      </c>
      <c r="AE4071" t="s">
        <v>32</v>
      </c>
      <c r="AF4071" t="s">
        <v>46835</v>
      </c>
    </row>
    <row r="4072" spans="1:33" x14ac:dyDescent="0.2">
      <c r="A4072">
        <v>4067</v>
      </c>
      <c r="B4072" t="s">
        <v>44970</v>
      </c>
      <c r="C4072" t="s">
        <v>44971</v>
      </c>
      <c r="D4072" t="s">
        <v>44972</v>
      </c>
      <c r="E4072" t="s">
        <v>44973</v>
      </c>
      <c r="F4072" t="s">
        <v>44974</v>
      </c>
      <c r="G4072" t="s">
        <v>44975</v>
      </c>
      <c r="H4072" t="str">
        <f>"Atp5mc1"</f>
        <v>Atp5mc1</v>
      </c>
      <c r="I4072" t="s">
        <v>44976</v>
      </c>
      <c r="J4072" t="s">
        <v>37</v>
      </c>
      <c r="K4072">
        <v>10090</v>
      </c>
      <c r="L4072" s="3" t="str">
        <f>HYPERLINK("http://www.uniprot.org/uniprot/Q9CR84", "Q9CR84")</f>
        <v>Q9CR84</v>
      </c>
      <c r="M4072" t="s">
        <v>44977</v>
      </c>
      <c r="N4072" t="str">
        <f>"Atp5g1"</f>
        <v>Atp5g1</v>
      </c>
      <c r="O4072" s="3" t="str">
        <f>HYPERLINK("http://www.informatics.jax.org/marker/MGI:107653", "MGI:107653")</f>
        <v>MGI:107653</v>
      </c>
      <c r="P4072" t="s">
        <v>44978</v>
      </c>
      <c r="Q4072" t="s">
        <v>4257</v>
      </c>
      <c r="R4072" t="s">
        <v>44979</v>
      </c>
      <c r="S4072" t="s">
        <v>32</v>
      </c>
      <c r="T4072" t="s">
        <v>32</v>
      </c>
      <c r="U4072" t="s">
        <v>32</v>
      </c>
      <c r="V4072" t="s">
        <v>3859</v>
      </c>
      <c r="W4072" t="s">
        <v>584</v>
      </c>
      <c r="X4072" t="s">
        <v>32</v>
      </c>
      <c r="Y4072" t="s">
        <v>175</v>
      </c>
      <c r="Z4072" t="s">
        <v>32</v>
      </c>
      <c r="AA4072" t="s">
        <v>44980</v>
      </c>
      <c r="AB4072" t="s">
        <v>44981</v>
      </c>
      <c r="AC4072" t="s">
        <v>44982</v>
      </c>
      <c r="AD4072" t="s">
        <v>32</v>
      </c>
      <c r="AE4072" t="s">
        <v>1147</v>
      </c>
      <c r="AF4072" t="s">
        <v>46835</v>
      </c>
    </row>
    <row r="4073" spans="1:33" x14ac:dyDescent="0.2">
      <c r="A4073">
        <v>4068</v>
      </c>
      <c r="B4073" t="s">
        <v>44983</v>
      </c>
      <c r="C4073" t="s">
        <v>44984</v>
      </c>
      <c r="D4073" t="s">
        <v>44985</v>
      </c>
      <c r="E4073" t="s">
        <v>44986</v>
      </c>
      <c r="F4073" t="s">
        <v>44987</v>
      </c>
      <c r="G4073" t="s">
        <v>44988</v>
      </c>
      <c r="H4073" t="str">
        <f>"Ggh"</f>
        <v>Ggh</v>
      </c>
      <c r="I4073" t="s">
        <v>32</v>
      </c>
      <c r="J4073" t="s">
        <v>37</v>
      </c>
      <c r="K4073">
        <v>10090</v>
      </c>
      <c r="L4073" s="3" t="str">
        <f>HYPERLINK("http://www.uniprot.org/uniprot/Q9Z0L8", "Q9Z0L8")</f>
        <v>Q9Z0L8</v>
      </c>
      <c r="M4073" t="s">
        <v>44989</v>
      </c>
      <c r="N4073" t="str">
        <f>"Ggh"</f>
        <v>Ggh</v>
      </c>
      <c r="O4073" s="3" t="str">
        <f>HYPERLINK("http://www.informatics.jax.org/marker/MGI:1329035", "MGI:1329035")</f>
        <v>MGI:1329035</v>
      </c>
      <c r="P4073" t="s">
        <v>44990</v>
      </c>
      <c r="Q4073" t="s">
        <v>32</v>
      </c>
      <c r="R4073" t="s">
        <v>5274</v>
      </c>
      <c r="S4073" t="s">
        <v>41</v>
      </c>
      <c r="T4073" t="s">
        <v>32</v>
      </c>
      <c r="U4073" t="s">
        <v>32</v>
      </c>
      <c r="V4073" t="s">
        <v>811</v>
      </c>
      <c r="W4073" t="s">
        <v>32</v>
      </c>
      <c r="X4073" t="s">
        <v>343</v>
      </c>
      <c r="Y4073" t="s">
        <v>3733</v>
      </c>
      <c r="Z4073" t="s">
        <v>32</v>
      </c>
      <c r="AA4073" t="s">
        <v>44991</v>
      </c>
      <c r="AB4073" t="s">
        <v>44992</v>
      </c>
      <c r="AC4073" t="s">
        <v>44993</v>
      </c>
      <c r="AD4073" t="s">
        <v>32</v>
      </c>
      <c r="AE4073" t="s">
        <v>548</v>
      </c>
      <c r="AF4073" t="s">
        <v>46835</v>
      </c>
    </row>
    <row r="4074" spans="1:33" x14ac:dyDescent="0.2">
      <c r="A4074">
        <v>4069</v>
      </c>
      <c r="B4074" t="s">
        <v>44994</v>
      </c>
      <c r="C4074" t="s">
        <v>44995</v>
      </c>
      <c r="D4074" t="s">
        <v>32</v>
      </c>
      <c r="E4074" t="s">
        <v>44996</v>
      </c>
      <c r="F4074" t="s">
        <v>44997</v>
      </c>
      <c r="G4074" t="s">
        <v>44998</v>
      </c>
      <c r="H4074" t="str">
        <f>"Rap2b"</f>
        <v>Rap2b</v>
      </c>
      <c r="I4074" t="s">
        <v>32</v>
      </c>
      <c r="J4074" t="s">
        <v>37</v>
      </c>
      <c r="K4074">
        <v>10090</v>
      </c>
      <c r="L4074" s="3" t="str">
        <f>HYPERLINK("http://www.uniprot.org/uniprot/P61226", "P61226")</f>
        <v>P61226</v>
      </c>
      <c r="M4074" t="s">
        <v>44999</v>
      </c>
      <c r="N4074" t="str">
        <f>"Rap2b"</f>
        <v>Rap2b</v>
      </c>
      <c r="O4074" s="3" t="str">
        <f>HYPERLINK("http://www.informatics.jax.org/marker/MGI:1921262", "MGI:1921262")</f>
        <v>MGI:1921262</v>
      </c>
      <c r="P4074" t="s">
        <v>45000</v>
      </c>
      <c r="Q4074" t="s">
        <v>32</v>
      </c>
      <c r="R4074" t="s">
        <v>24832</v>
      </c>
      <c r="S4074" t="s">
        <v>32</v>
      </c>
      <c r="T4074" t="s">
        <v>32</v>
      </c>
      <c r="U4074" t="s">
        <v>32</v>
      </c>
      <c r="V4074" t="s">
        <v>32</v>
      </c>
      <c r="W4074" t="s">
        <v>261</v>
      </c>
      <c r="X4074" t="s">
        <v>343</v>
      </c>
      <c r="Y4074" t="s">
        <v>25436</v>
      </c>
      <c r="Z4074" t="s">
        <v>32</v>
      </c>
      <c r="AA4074" t="s">
        <v>45001</v>
      </c>
      <c r="AB4074" t="s">
        <v>45002</v>
      </c>
      <c r="AC4074" t="s">
        <v>45003</v>
      </c>
      <c r="AD4074" t="s">
        <v>32</v>
      </c>
      <c r="AE4074" t="s">
        <v>548</v>
      </c>
      <c r="AF4074" t="s">
        <v>46835</v>
      </c>
    </row>
    <row r="4075" spans="1:33" x14ac:dyDescent="0.2">
      <c r="A4075">
        <v>4070</v>
      </c>
      <c r="B4075" t="s">
        <v>45004</v>
      </c>
      <c r="C4075" t="s">
        <v>45005</v>
      </c>
      <c r="D4075" t="s">
        <v>45006</v>
      </c>
      <c r="E4075" t="s">
        <v>45007</v>
      </c>
      <c r="F4075" t="s">
        <v>45008</v>
      </c>
      <c r="G4075" t="s">
        <v>45009</v>
      </c>
      <c r="H4075" t="str">
        <f>"Pnpla2"</f>
        <v>Pnpla2</v>
      </c>
      <c r="I4075" t="s">
        <v>45010</v>
      </c>
      <c r="J4075" t="s">
        <v>37</v>
      </c>
      <c r="K4075">
        <v>10090</v>
      </c>
      <c r="L4075" s="3" t="str">
        <f>HYPERLINK("http://www.uniprot.org/uniprot/Q8BJ56", "Q8BJ56")</f>
        <v>Q8BJ56</v>
      </c>
      <c r="M4075" t="s">
        <v>45011</v>
      </c>
      <c r="N4075" t="str">
        <f>"Pnpla2"</f>
        <v>Pnpla2</v>
      </c>
      <c r="O4075" s="3" t="str">
        <f>HYPERLINK("http://www.informatics.jax.org/marker/MGI:1914103", "MGI:1914103")</f>
        <v>MGI:1914103</v>
      </c>
      <c r="P4075" t="s">
        <v>45012</v>
      </c>
      <c r="Q4075" t="s">
        <v>4809</v>
      </c>
      <c r="R4075" t="s">
        <v>37378</v>
      </c>
      <c r="S4075" t="s">
        <v>41</v>
      </c>
      <c r="T4075" t="s">
        <v>32</v>
      </c>
      <c r="U4075" t="s">
        <v>32</v>
      </c>
      <c r="V4075" t="s">
        <v>1550</v>
      </c>
      <c r="W4075" t="s">
        <v>32</v>
      </c>
      <c r="X4075" t="s">
        <v>343</v>
      </c>
      <c r="Y4075" t="s">
        <v>4720</v>
      </c>
      <c r="Z4075" t="s">
        <v>32</v>
      </c>
      <c r="AA4075" t="s">
        <v>45013</v>
      </c>
      <c r="AB4075" t="s">
        <v>45014</v>
      </c>
      <c r="AC4075" t="s">
        <v>45015</v>
      </c>
      <c r="AD4075" t="s">
        <v>45016</v>
      </c>
      <c r="AE4075" t="s">
        <v>45017</v>
      </c>
      <c r="AF4075" t="s">
        <v>46835</v>
      </c>
    </row>
    <row r="4076" spans="1:33" x14ac:dyDescent="0.2">
      <c r="A4076">
        <v>4071</v>
      </c>
      <c r="B4076" t="s">
        <v>45018</v>
      </c>
      <c r="C4076" t="s">
        <v>45019</v>
      </c>
      <c r="D4076" t="s">
        <v>45020</v>
      </c>
      <c r="E4076" t="s">
        <v>45021</v>
      </c>
      <c r="F4076" t="s">
        <v>45022</v>
      </c>
      <c r="G4076" t="s">
        <v>45023</v>
      </c>
      <c r="H4076" t="str">
        <f>"Vangl2"</f>
        <v>Vangl2</v>
      </c>
      <c r="I4076" t="s">
        <v>45024</v>
      </c>
      <c r="J4076" t="s">
        <v>37</v>
      </c>
      <c r="K4076">
        <v>10090</v>
      </c>
      <c r="L4076" s="3" t="str">
        <f>HYPERLINK("http://www.uniprot.org/uniprot/Q91ZD4", "Q91ZD4")</f>
        <v>Q91ZD4</v>
      </c>
      <c r="M4076" t="s">
        <v>45025</v>
      </c>
      <c r="N4076" t="str">
        <f>"Vangl2"</f>
        <v>Vangl2</v>
      </c>
      <c r="O4076" s="3" t="str">
        <f>HYPERLINK("http://www.informatics.jax.org/marker/MGI:2135272", "MGI:2135272")</f>
        <v>MGI:2135272</v>
      </c>
      <c r="P4076" t="s">
        <v>45026</v>
      </c>
      <c r="Q4076" t="s">
        <v>32</v>
      </c>
      <c r="R4076" t="s">
        <v>2474</v>
      </c>
      <c r="S4076" t="s">
        <v>32</v>
      </c>
      <c r="T4076" t="s">
        <v>32</v>
      </c>
      <c r="U4076" t="s">
        <v>829</v>
      </c>
      <c r="V4076" t="s">
        <v>493</v>
      </c>
      <c r="W4076" t="s">
        <v>32</v>
      </c>
      <c r="X4076" t="s">
        <v>2029</v>
      </c>
      <c r="Y4076" t="s">
        <v>32</v>
      </c>
      <c r="Z4076" t="s">
        <v>32</v>
      </c>
      <c r="AA4076" t="s">
        <v>45027</v>
      </c>
      <c r="AB4076" t="s">
        <v>45028</v>
      </c>
      <c r="AC4076" t="s">
        <v>32</v>
      </c>
      <c r="AD4076" t="s">
        <v>32</v>
      </c>
      <c r="AE4076" t="s">
        <v>45029</v>
      </c>
      <c r="AF4076" t="s">
        <v>46835</v>
      </c>
    </row>
    <row r="4077" spans="1:33" x14ac:dyDescent="0.2">
      <c r="A4077">
        <v>4072</v>
      </c>
      <c r="B4077" t="s">
        <v>45030</v>
      </c>
      <c r="C4077" t="s">
        <v>47119</v>
      </c>
      <c r="D4077" t="s">
        <v>32</v>
      </c>
      <c r="E4077" t="s">
        <v>47086</v>
      </c>
      <c r="F4077" t="s">
        <v>47085</v>
      </c>
      <c r="G4077" t="s">
        <v>32</v>
      </c>
      <c r="H4077" t="s">
        <v>47250</v>
      </c>
      <c r="I4077" t="s">
        <v>32</v>
      </c>
      <c r="J4077" t="s">
        <v>37</v>
      </c>
      <c r="K4077">
        <v>10090</v>
      </c>
      <c r="L4077" s="3" t="str">
        <f>HYPERLINK(CONCATENATE("https://www.uniprot.org/uniprotkb/", AG4077, "/entry"), AG4077)</f>
        <v>Q99MP8</v>
      </c>
      <c r="M4077" t="s">
        <v>32</v>
      </c>
      <c r="N4077" t="s">
        <v>32</v>
      </c>
      <c r="O4077" s="3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32</v>
      </c>
      <c r="Y4077" t="s">
        <v>32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  <c r="AE4077" t="s">
        <v>32</v>
      </c>
      <c r="AF4077" t="s">
        <v>46835</v>
      </c>
      <c r="AG4077" t="s">
        <v>47085</v>
      </c>
    </row>
    <row r="4078" spans="1:33" x14ac:dyDescent="0.2">
      <c r="A4078">
        <v>4073</v>
      </c>
      <c r="B4078" t="s">
        <v>45031</v>
      </c>
      <c r="C4078" t="s">
        <v>45032</v>
      </c>
      <c r="D4078" t="s">
        <v>45033</v>
      </c>
      <c r="E4078" t="s">
        <v>45034</v>
      </c>
      <c r="F4078" t="s">
        <v>45035</v>
      </c>
      <c r="G4078" t="s">
        <v>45036</v>
      </c>
      <c r="H4078" t="str">
        <f>"Mrps18b"</f>
        <v>Mrps18b</v>
      </c>
      <c r="I4078" t="s">
        <v>32</v>
      </c>
      <c r="J4078" t="s">
        <v>37</v>
      </c>
      <c r="K4078">
        <v>10090</v>
      </c>
      <c r="L4078" s="3" t="str">
        <f>HYPERLINK("http://www.uniprot.org/uniprot/Q99N84", "Q99N84")</f>
        <v>Q99N84</v>
      </c>
      <c r="M4078" t="s">
        <v>45037</v>
      </c>
      <c r="N4078" t="str">
        <f>"Mrps18b"</f>
        <v>Mrps18b</v>
      </c>
      <c r="O4078" s="3" t="str">
        <f>HYPERLINK("http://www.informatics.jax.org/marker/MGI:1914223", "MGI:1914223")</f>
        <v>MGI:1914223</v>
      </c>
      <c r="P4078" t="s">
        <v>45038</v>
      </c>
      <c r="Q4078" t="s">
        <v>32</v>
      </c>
      <c r="R4078" t="s">
        <v>1038</v>
      </c>
      <c r="S4078" t="s">
        <v>41</v>
      </c>
      <c r="T4078" t="s">
        <v>32</v>
      </c>
      <c r="U4078" t="s">
        <v>32</v>
      </c>
      <c r="V4078" t="s">
        <v>1039</v>
      </c>
      <c r="W4078" t="s">
        <v>32</v>
      </c>
      <c r="X4078" t="s">
        <v>447</v>
      </c>
      <c r="Y4078" t="s">
        <v>618</v>
      </c>
      <c r="Z4078" t="s">
        <v>32</v>
      </c>
      <c r="AA4078" t="s">
        <v>23519</v>
      </c>
      <c r="AB4078" t="s">
        <v>45039</v>
      </c>
      <c r="AC4078" t="s">
        <v>1010</v>
      </c>
      <c r="AD4078" t="s">
        <v>32</v>
      </c>
      <c r="AE4078" t="s">
        <v>17271</v>
      </c>
      <c r="AF4078" t="s">
        <v>46835</v>
      </c>
    </row>
    <row r="4079" spans="1:33" x14ac:dyDescent="0.2">
      <c r="A4079">
        <v>4074</v>
      </c>
      <c r="B4079" t="s">
        <v>45040</v>
      </c>
      <c r="C4079" t="s">
        <v>45041</v>
      </c>
      <c r="D4079" t="s">
        <v>45042</v>
      </c>
      <c r="E4079" t="s">
        <v>45043</v>
      </c>
      <c r="F4079" t="s">
        <v>45044</v>
      </c>
      <c r="G4079" t="s">
        <v>45045</v>
      </c>
      <c r="H4079" t="str">
        <f>"Naa30"</f>
        <v>Naa30</v>
      </c>
      <c r="I4079" t="s">
        <v>45046</v>
      </c>
      <c r="J4079" t="s">
        <v>37</v>
      </c>
      <c r="K4079">
        <v>10090</v>
      </c>
      <c r="L4079" s="3" t="str">
        <f>HYPERLINK("http://www.uniprot.org/uniprot/Q8CES0", "Q8CES0")</f>
        <v>Q8CES0</v>
      </c>
      <c r="M4079" t="s">
        <v>45047</v>
      </c>
      <c r="N4079" t="str">
        <f>"Naa30"</f>
        <v>Naa30</v>
      </c>
      <c r="O4079" s="3" t="str">
        <f>HYPERLINK("http://www.informatics.jax.org/marker/MGI:1922259", "MGI:1922259")</f>
        <v>MGI:1922259</v>
      </c>
      <c r="P4079" t="s">
        <v>10552</v>
      </c>
      <c r="Q4079" t="s">
        <v>32</v>
      </c>
      <c r="R4079" t="s">
        <v>40</v>
      </c>
      <c r="S4079" t="s">
        <v>41</v>
      </c>
      <c r="T4079" t="s">
        <v>32</v>
      </c>
      <c r="U4079" t="s">
        <v>32</v>
      </c>
      <c r="V4079" t="s">
        <v>32</v>
      </c>
      <c r="W4079" t="s">
        <v>32</v>
      </c>
      <c r="X4079" t="s">
        <v>7304</v>
      </c>
      <c r="Y4079" t="s">
        <v>157</v>
      </c>
      <c r="Z4079" t="s">
        <v>32</v>
      </c>
      <c r="AA4079" t="s">
        <v>23097</v>
      </c>
      <c r="AB4079" t="s">
        <v>45048</v>
      </c>
      <c r="AC4079" t="s">
        <v>34682</v>
      </c>
      <c r="AD4079" t="s">
        <v>32</v>
      </c>
      <c r="AE4079" t="s">
        <v>32</v>
      </c>
      <c r="AF4079" t="s">
        <v>46835</v>
      </c>
    </row>
    <row r="4080" spans="1:33" x14ac:dyDescent="0.2">
      <c r="A4080">
        <v>4075</v>
      </c>
      <c r="B4080" t="s">
        <v>45049</v>
      </c>
      <c r="C4080" t="s">
        <v>45050</v>
      </c>
      <c r="D4080" t="s">
        <v>45051</v>
      </c>
      <c r="E4080" t="s">
        <v>45052</v>
      </c>
      <c r="F4080" t="s">
        <v>45053</v>
      </c>
      <c r="G4080" t="s">
        <v>32</v>
      </c>
      <c r="H4080" t="str">
        <f>"Slc8a1"</f>
        <v>Slc8a1</v>
      </c>
      <c r="I4080" t="s">
        <v>45054</v>
      </c>
      <c r="J4080" t="s">
        <v>37</v>
      </c>
      <c r="K4080">
        <v>10090</v>
      </c>
      <c r="L4080" s="3" t="str">
        <f>HYPERLINK("http://www.uniprot.org/uniprot/P70414", "P70414")</f>
        <v>P70414</v>
      </c>
      <c r="M4080" t="s">
        <v>45055</v>
      </c>
      <c r="N4080" t="str">
        <f>"Slc8a1"</f>
        <v>Slc8a1</v>
      </c>
      <c r="O4080" s="3" t="str">
        <f>HYPERLINK("http://www.informatics.jax.org/marker/MGI:107956", "MGI:107956")</f>
        <v>MGI:107956</v>
      </c>
      <c r="P4080" t="s">
        <v>45056</v>
      </c>
      <c r="Q4080" t="s">
        <v>45057</v>
      </c>
      <c r="R4080" t="s">
        <v>2474</v>
      </c>
      <c r="S4080" t="s">
        <v>32</v>
      </c>
      <c r="T4080" t="s">
        <v>32</v>
      </c>
      <c r="U4080" t="s">
        <v>32</v>
      </c>
      <c r="V4080" t="s">
        <v>1665</v>
      </c>
      <c r="W4080" t="s">
        <v>45058</v>
      </c>
      <c r="X4080" t="s">
        <v>1926</v>
      </c>
      <c r="Y4080" t="s">
        <v>4720</v>
      </c>
      <c r="Z4080" t="s">
        <v>32</v>
      </c>
      <c r="AA4080" t="s">
        <v>45059</v>
      </c>
      <c r="AB4080" t="s">
        <v>45060</v>
      </c>
      <c r="AC4080" t="s">
        <v>45061</v>
      </c>
      <c r="AD4080" t="s">
        <v>32</v>
      </c>
      <c r="AE4080" t="s">
        <v>45062</v>
      </c>
      <c r="AF4080" t="s">
        <v>46835</v>
      </c>
    </row>
    <row r="4081" spans="1:33" x14ac:dyDescent="0.2">
      <c r="A4081">
        <v>4076</v>
      </c>
      <c r="B4081" t="s">
        <v>45063</v>
      </c>
      <c r="C4081" t="s">
        <v>45064</v>
      </c>
      <c r="D4081" t="s">
        <v>32</v>
      </c>
      <c r="E4081" t="s">
        <v>45065</v>
      </c>
      <c r="F4081" t="s">
        <v>45066</v>
      </c>
      <c r="G4081" t="s">
        <v>45067</v>
      </c>
      <c r="H4081" t="str">
        <f>"Aftph"</f>
        <v>Aftph</v>
      </c>
      <c r="I4081" t="s">
        <v>45068</v>
      </c>
      <c r="J4081" t="s">
        <v>37</v>
      </c>
      <c r="K4081">
        <v>10090</v>
      </c>
      <c r="L4081" s="3" t="str">
        <f>HYPERLINK("http://www.uniprot.org/uniprot/Q80WT5", "Q80WT5")</f>
        <v>Q80WT5</v>
      </c>
      <c r="M4081" t="s">
        <v>45069</v>
      </c>
      <c r="N4081" t="str">
        <f>"Aftph"</f>
        <v>Aftph</v>
      </c>
      <c r="O4081" s="3" t="str">
        <f>HYPERLINK("http://www.informatics.jax.org/marker/MGI:1923012", "MGI:1923012")</f>
        <v>MGI:1923012</v>
      </c>
      <c r="P4081" t="s">
        <v>44816</v>
      </c>
      <c r="Q4081" t="s">
        <v>434</v>
      </c>
      <c r="R4081" t="s">
        <v>8987</v>
      </c>
      <c r="S4081" t="s">
        <v>41</v>
      </c>
      <c r="T4081" t="s">
        <v>32</v>
      </c>
      <c r="U4081" t="s">
        <v>32</v>
      </c>
      <c r="V4081" t="s">
        <v>55</v>
      </c>
      <c r="W4081" t="s">
        <v>32</v>
      </c>
      <c r="X4081" t="s">
        <v>32</v>
      </c>
      <c r="Y4081" t="s">
        <v>618</v>
      </c>
      <c r="Z4081" t="s">
        <v>32</v>
      </c>
      <c r="AA4081" t="s">
        <v>45070</v>
      </c>
      <c r="AB4081" t="s">
        <v>45071</v>
      </c>
      <c r="AC4081" t="s">
        <v>45072</v>
      </c>
      <c r="AD4081" t="s">
        <v>32</v>
      </c>
      <c r="AE4081" t="s">
        <v>32</v>
      </c>
      <c r="AF4081" t="s">
        <v>46835</v>
      </c>
    </row>
    <row r="4082" spans="1:33" x14ac:dyDescent="0.2">
      <c r="A4082">
        <v>4077</v>
      </c>
      <c r="B4082" t="s">
        <v>45073</v>
      </c>
      <c r="C4082" t="s">
        <v>45074</v>
      </c>
      <c r="D4082" t="s">
        <v>32</v>
      </c>
      <c r="E4082" t="s">
        <v>45075</v>
      </c>
      <c r="F4082" t="s">
        <v>45076</v>
      </c>
      <c r="G4082" t="s">
        <v>32</v>
      </c>
      <c r="H4082" t="s">
        <v>32</v>
      </c>
      <c r="I4082" t="s">
        <v>32</v>
      </c>
      <c r="J4082" t="s">
        <v>37</v>
      </c>
      <c r="K4082">
        <v>10090</v>
      </c>
      <c r="L4082" s="3" t="str">
        <f>HYPERLINK("http://www.uniprot.org/uniprot/Q8K207", "Q8K207")</f>
        <v>Q8K207</v>
      </c>
      <c r="M4082" t="s">
        <v>45077</v>
      </c>
      <c r="N4082" t="str">
        <f>"1700025G04Rik"</f>
        <v>1700025G04Rik</v>
      </c>
      <c r="O4082" s="3" t="str">
        <f>HYPERLINK("http://www.informatics.jax.org/marker/MGI:1916649", "MGI:1916649")</f>
        <v>MGI:1916649</v>
      </c>
      <c r="P4082" t="s">
        <v>618</v>
      </c>
      <c r="Q4082" t="s">
        <v>32</v>
      </c>
      <c r="R4082" t="s">
        <v>32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32</v>
      </c>
      <c r="Y4082" t="s">
        <v>618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  <c r="AE4082" t="s">
        <v>32</v>
      </c>
      <c r="AF4082" t="s">
        <v>46835</v>
      </c>
    </row>
    <row r="4083" spans="1:33" x14ac:dyDescent="0.2">
      <c r="A4083">
        <v>4078</v>
      </c>
      <c r="B4083" t="s">
        <v>45078</v>
      </c>
      <c r="C4083" t="s">
        <v>45079</v>
      </c>
      <c r="D4083" t="s">
        <v>32</v>
      </c>
      <c r="E4083" t="s">
        <v>45080</v>
      </c>
      <c r="F4083" t="s">
        <v>45081</v>
      </c>
      <c r="G4083" t="s">
        <v>45082</v>
      </c>
      <c r="H4083" t="str">
        <f>"Rab8b"</f>
        <v>Rab8b</v>
      </c>
      <c r="I4083" t="s">
        <v>32</v>
      </c>
      <c r="J4083" t="s">
        <v>37</v>
      </c>
      <c r="K4083">
        <v>10090</v>
      </c>
      <c r="L4083" s="3" t="str">
        <f>HYPERLINK("http://www.uniprot.org/uniprot/P61028", "P61028")</f>
        <v>P61028</v>
      </c>
      <c r="M4083" t="s">
        <v>45083</v>
      </c>
      <c r="N4083" t="str">
        <f>"Rab8b"</f>
        <v>Rab8b</v>
      </c>
      <c r="O4083" s="3" t="str">
        <f>HYPERLINK("http://www.informatics.jax.org/marker/MGI:2442982", "MGI:2442982")</f>
        <v>MGI:2442982</v>
      </c>
      <c r="P4083" t="s">
        <v>45084</v>
      </c>
      <c r="Q4083" t="s">
        <v>434</v>
      </c>
      <c r="R4083" t="s">
        <v>22974</v>
      </c>
      <c r="S4083" t="s">
        <v>32</v>
      </c>
      <c r="T4083" t="s">
        <v>32</v>
      </c>
      <c r="U4083" t="s">
        <v>32</v>
      </c>
      <c r="V4083" t="s">
        <v>32</v>
      </c>
      <c r="W4083" t="s">
        <v>261</v>
      </c>
      <c r="X4083" t="s">
        <v>32</v>
      </c>
      <c r="Y4083" t="s">
        <v>3745</v>
      </c>
      <c r="Z4083" t="s">
        <v>32</v>
      </c>
      <c r="AA4083" t="s">
        <v>45085</v>
      </c>
      <c r="AB4083" t="s">
        <v>45086</v>
      </c>
      <c r="AC4083" t="s">
        <v>45087</v>
      </c>
      <c r="AD4083" t="s">
        <v>32</v>
      </c>
      <c r="AE4083" t="s">
        <v>26324</v>
      </c>
      <c r="AF4083" t="s">
        <v>46835</v>
      </c>
    </row>
    <row r="4084" spans="1:33" x14ac:dyDescent="0.2">
      <c r="A4084">
        <v>4079</v>
      </c>
      <c r="B4084" t="s">
        <v>45088</v>
      </c>
      <c r="C4084" t="s">
        <v>45089</v>
      </c>
      <c r="D4084" t="s">
        <v>45090</v>
      </c>
      <c r="E4084" t="s">
        <v>45091</v>
      </c>
      <c r="F4084" t="s">
        <v>45092</v>
      </c>
      <c r="G4084" t="s">
        <v>45093</v>
      </c>
      <c r="H4084" t="str">
        <f>"Rps19bp1"</f>
        <v>Rps19bp1</v>
      </c>
      <c r="I4084" t="s">
        <v>45094</v>
      </c>
      <c r="J4084" t="s">
        <v>37</v>
      </c>
      <c r="K4084">
        <v>10090</v>
      </c>
      <c r="L4084" s="3" t="str">
        <f>HYPERLINK("http://www.uniprot.org/uniprot/Q8C6B9", "Q8C6B9")</f>
        <v>Q8C6B9</v>
      </c>
      <c r="M4084" t="s">
        <v>45095</v>
      </c>
      <c r="N4084" t="str">
        <f>"Rps19bp1"</f>
        <v>Rps19bp1</v>
      </c>
      <c r="O4084" s="3" t="str">
        <f>HYPERLINK("http://www.informatics.jax.org/marker/MGI:1913788", "MGI:1913788")</f>
        <v>MGI:1913788</v>
      </c>
      <c r="P4084" t="s">
        <v>45096</v>
      </c>
      <c r="Q4084" t="s">
        <v>32</v>
      </c>
      <c r="R4084" t="s">
        <v>2279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32</v>
      </c>
      <c r="Y4084" t="s">
        <v>42395</v>
      </c>
      <c r="Z4084" t="s">
        <v>32</v>
      </c>
      <c r="AA4084" t="s">
        <v>32</v>
      </c>
      <c r="AB4084" t="s">
        <v>45097</v>
      </c>
      <c r="AC4084" t="s">
        <v>24312</v>
      </c>
      <c r="AD4084" t="s">
        <v>32</v>
      </c>
      <c r="AE4084" t="s">
        <v>1445</v>
      </c>
      <c r="AF4084" t="s">
        <v>46835</v>
      </c>
    </row>
    <row r="4085" spans="1:33" x14ac:dyDescent="0.2">
      <c r="A4085">
        <v>4080</v>
      </c>
      <c r="B4085" t="s">
        <v>45098</v>
      </c>
      <c r="C4085" t="s">
        <v>45099</v>
      </c>
      <c r="D4085" t="s">
        <v>45100</v>
      </c>
      <c r="E4085" t="s">
        <v>45101</v>
      </c>
      <c r="F4085" t="s">
        <v>45102</v>
      </c>
      <c r="G4085" t="s">
        <v>32</v>
      </c>
      <c r="H4085" t="str">
        <f>"Mrpl43"</f>
        <v>Mrpl43</v>
      </c>
      <c r="I4085" t="s">
        <v>32</v>
      </c>
      <c r="J4085" t="s">
        <v>37</v>
      </c>
      <c r="K4085">
        <v>10090</v>
      </c>
      <c r="L4085" s="3" t="str">
        <f>HYPERLINK("http://www.uniprot.org/uniprot/Q99N89", "Q99N89")</f>
        <v>Q99N89</v>
      </c>
      <c r="M4085" t="s">
        <v>45103</v>
      </c>
      <c r="N4085" t="str">
        <f>"Mrpl43"</f>
        <v>Mrpl43</v>
      </c>
      <c r="O4085" s="3" t="str">
        <f>HYPERLINK("http://www.informatics.jax.org/marker/MGI:2137229", "MGI:2137229")</f>
        <v>MGI:2137229</v>
      </c>
      <c r="P4085" t="s">
        <v>24765</v>
      </c>
      <c r="Q4085" t="s">
        <v>32</v>
      </c>
      <c r="R4085" t="s">
        <v>1038</v>
      </c>
      <c r="S4085" t="s">
        <v>32</v>
      </c>
      <c r="T4085" t="s">
        <v>32</v>
      </c>
      <c r="U4085" t="s">
        <v>32</v>
      </c>
      <c r="V4085" t="s">
        <v>1039</v>
      </c>
      <c r="W4085" t="s">
        <v>32</v>
      </c>
      <c r="X4085" t="s">
        <v>447</v>
      </c>
      <c r="Y4085" t="s">
        <v>32</v>
      </c>
      <c r="Z4085" t="s">
        <v>32</v>
      </c>
      <c r="AA4085" t="s">
        <v>37796</v>
      </c>
      <c r="AB4085" t="s">
        <v>27223</v>
      </c>
      <c r="AC4085" t="s">
        <v>1010</v>
      </c>
      <c r="AD4085" t="s">
        <v>32</v>
      </c>
      <c r="AE4085" t="s">
        <v>17271</v>
      </c>
      <c r="AF4085" t="s">
        <v>46835</v>
      </c>
    </row>
    <row r="4086" spans="1:33" x14ac:dyDescent="0.2">
      <c r="A4086">
        <v>4081</v>
      </c>
      <c r="B4086" t="s">
        <v>45104</v>
      </c>
      <c r="C4086" t="s">
        <v>45105</v>
      </c>
      <c r="D4086" t="s">
        <v>45106</v>
      </c>
      <c r="E4086" t="s">
        <v>45107</v>
      </c>
      <c r="F4086" t="s">
        <v>45108</v>
      </c>
      <c r="G4086" t="s">
        <v>45109</v>
      </c>
      <c r="H4086" t="str">
        <f>"H6pd"</f>
        <v>H6pd</v>
      </c>
      <c r="I4086" t="s">
        <v>32</v>
      </c>
      <c r="J4086" t="s">
        <v>37</v>
      </c>
      <c r="K4086">
        <v>10090</v>
      </c>
      <c r="L4086" s="3" t="str">
        <f>HYPERLINK("http://www.uniprot.org/uniprot/Q8CFX1", "Q8CFX1")</f>
        <v>Q8CFX1</v>
      </c>
      <c r="M4086" t="s">
        <v>45110</v>
      </c>
      <c r="N4086" t="str">
        <f>"H6pd"</f>
        <v>H6pd</v>
      </c>
      <c r="O4086" s="3" t="str">
        <f>HYPERLINK("http://www.informatics.jax.org/marker/MGI:2140356", "MGI:2140356")</f>
        <v>MGI:2140356</v>
      </c>
      <c r="P4086" t="s">
        <v>45111</v>
      </c>
      <c r="Q4086" t="s">
        <v>3553</v>
      </c>
      <c r="R4086" t="s">
        <v>671</v>
      </c>
      <c r="S4086" t="s">
        <v>32</v>
      </c>
      <c r="T4086" t="s">
        <v>32</v>
      </c>
      <c r="U4086" t="s">
        <v>32</v>
      </c>
      <c r="V4086" t="s">
        <v>811</v>
      </c>
      <c r="W4086" t="s">
        <v>25665</v>
      </c>
      <c r="X4086" t="s">
        <v>45112</v>
      </c>
      <c r="Y4086" t="s">
        <v>45113</v>
      </c>
      <c r="Z4086" t="s">
        <v>32</v>
      </c>
      <c r="AA4086" t="s">
        <v>45114</v>
      </c>
      <c r="AB4086" t="s">
        <v>45115</v>
      </c>
      <c r="AC4086" t="s">
        <v>45116</v>
      </c>
      <c r="AD4086" t="s">
        <v>45117</v>
      </c>
      <c r="AE4086" t="s">
        <v>32</v>
      </c>
      <c r="AF4086" t="s">
        <v>46835</v>
      </c>
    </row>
    <row r="4087" spans="1:33" x14ac:dyDescent="0.2">
      <c r="A4087">
        <v>4082</v>
      </c>
      <c r="B4087" t="s">
        <v>45118</v>
      </c>
      <c r="C4087" t="s">
        <v>45119</v>
      </c>
      <c r="D4087" t="s">
        <v>45120</v>
      </c>
      <c r="E4087" t="s">
        <v>45121</v>
      </c>
      <c r="F4087" t="s">
        <v>45122</v>
      </c>
      <c r="G4087" t="s">
        <v>32</v>
      </c>
      <c r="H4087" t="str">
        <f>"Rfc1"</f>
        <v>Rfc1</v>
      </c>
      <c r="I4087" t="s">
        <v>45123</v>
      </c>
      <c r="J4087" t="s">
        <v>37</v>
      </c>
      <c r="K4087">
        <v>10090</v>
      </c>
      <c r="L4087" s="3" t="str">
        <f>HYPERLINK("http://www.uniprot.org/uniprot/P35601", "P35601")</f>
        <v>P35601</v>
      </c>
      <c r="M4087" t="s">
        <v>45124</v>
      </c>
      <c r="N4087" t="str">
        <f>"Rfc1"</f>
        <v>Rfc1</v>
      </c>
      <c r="O4087" s="3" t="str">
        <f>HYPERLINK("http://www.informatics.jax.org/marker/MGI:97891", "MGI:97891")</f>
        <v>MGI:97891</v>
      </c>
      <c r="P4087" t="s">
        <v>45125</v>
      </c>
      <c r="Q4087" t="s">
        <v>16362</v>
      </c>
      <c r="R4087" t="s">
        <v>2279</v>
      </c>
      <c r="S4087" t="s">
        <v>41</v>
      </c>
      <c r="T4087" t="s">
        <v>32</v>
      </c>
      <c r="U4087" t="s">
        <v>32</v>
      </c>
      <c r="V4087" t="s">
        <v>32</v>
      </c>
      <c r="W4087" t="s">
        <v>205</v>
      </c>
      <c r="X4087" t="s">
        <v>2350</v>
      </c>
      <c r="Y4087" t="s">
        <v>1007</v>
      </c>
      <c r="Z4087" t="s">
        <v>32</v>
      </c>
      <c r="AA4087" t="s">
        <v>45126</v>
      </c>
      <c r="AB4087" t="s">
        <v>45127</v>
      </c>
      <c r="AC4087" t="s">
        <v>45128</v>
      </c>
      <c r="AD4087" t="s">
        <v>32</v>
      </c>
      <c r="AE4087" t="s">
        <v>45129</v>
      </c>
      <c r="AF4087" t="s">
        <v>46835</v>
      </c>
    </row>
    <row r="4088" spans="1:33" x14ac:dyDescent="0.2">
      <c r="A4088">
        <v>4083</v>
      </c>
      <c r="B4088" t="s">
        <v>45130</v>
      </c>
      <c r="C4088" t="s">
        <v>45131</v>
      </c>
      <c r="D4088" t="s">
        <v>45132</v>
      </c>
      <c r="E4088" t="s">
        <v>45133</v>
      </c>
      <c r="F4088" t="s">
        <v>45134</v>
      </c>
      <c r="G4088" t="s">
        <v>45135</v>
      </c>
      <c r="H4088" t="str">
        <f>"Pkn2"</f>
        <v>Pkn2</v>
      </c>
      <c r="I4088" t="s">
        <v>45136</v>
      </c>
      <c r="J4088" t="s">
        <v>37</v>
      </c>
      <c r="K4088">
        <v>10090</v>
      </c>
      <c r="L4088" s="3" t="str">
        <f>HYPERLINK("http://www.uniprot.org/uniprot/Q8BWW9", "Q8BWW9")</f>
        <v>Q8BWW9</v>
      </c>
      <c r="M4088" t="s">
        <v>45137</v>
      </c>
      <c r="N4088" t="str">
        <f>"Pkn2"</f>
        <v>Pkn2</v>
      </c>
      <c r="O4088" s="3" t="str">
        <f>HYPERLINK("http://www.informatics.jax.org/marker/MGI:109211", "MGI:109211")</f>
        <v>MGI:109211</v>
      </c>
      <c r="P4088" t="s">
        <v>45138</v>
      </c>
      <c r="Q4088" t="s">
        <v>45139</v>
      </c>
      <c r="R4088" t="s">
        <v>45140</v>
      </c>
      <c r="S4088" t="s">
        <v>41</v>
      </c>
      <c r="T4088" t="s">
        <v>32</v>
      </c>
      <c r="U4088" t="s">
        <v>32</v>
      </c>
      <c r="V4088" t="s">
        <v>137</v>
      </c>
      <c r="W4088" t="s">
        <v>205</v>
      </c>
      <c r="X4088" t="s">
        <v>5419</v>
      </c>
      <c r="Y4088" t="s">
        <v>157</v>
      </c>
      <c r="Z4088" t="s">
        <v>32</v>
      </c>
      <c r="AA4088" t="s">
        <v>45141</v>
      </c>
      <c r="AB4088" t="s">
        <v>45142</v>
      </c>
      <c r="AC4088" t="s">
        <v>45143</v>
      </c>
      <c r="AD4088" t="s">
        <v>32</v>
      </c>
      <c r="AE4088" t="s">
        <v>45144</v>
      </c>
      <c r="AF4088" t="s">
        <v>46835</v>
      </c>
    </row>
    <row r="4089" spans="1:33" x14ac:dyDescent="0.2">
      <c r="A4089">
        <v>4084</v>
      </c>
      <c r="B4089" t="s">
        <v>45145</v>
      </c>
      <c r="C4089" t="s">
        <v>45146</v>
      </c>
      <c r="D4089" t="s">
        <v>45147</v>
      </c>
      <c r="E4089" t="s">
        <v>45148</v>
      </c>
      <c r="F4089" t="s">
        <v>45149</v>
      </c>
      <c r="G4089" t="s">
        <v>45150</v>
      </c>
      <c r="H4089" t="str">
        <f>"Ocrl"</f>
        <v>Ocrl</v>
      </c>
      <c r="I4089" t="s">
        <v>32</v>
      </c>
      <c r="J4089" t="s">
        <v>37</v>
      </c>
      <c r="K4089">
        <v>10090</v>
      </c>
      <c r="L4089" s="3" t="str">
        <f>HYPERLINK("http://www.uniprot.org/uniprot/Q6NVF0", "Q6NVF0")</f>
        <v>Q6NVF0</v>
      </c>
      <c r="M4089" t="s">
        <v>45151</v>
      </c>
      <c r="N4089" t="str">
        <f>"Ocrl"</f>
        <v>Ocrl</v>
      </c>
      <c r="O4089" s="3" t="str">
        <f>HYPERLINK("http://www.informatics.jax.org/marker/MGI:109589", "MGI:109589")</f>
        <v>MGI:109589</v>
      </c>
      <c r="P4089" t="s">
        <v>45152</v>
      </c>
      <c r="Q4089" t="s">
        <v>45153</v>
      </c>
      <c r="R4089" t="s">
        <v>45154</v>
      </c>
      <c r="S4089" t="s">
        <v>41</v>
      </c>
      <c r="T4089" t="s">
        <v>32</v>
      </c>
      <c r="U4089" t="s">
        <v>32</v>
      </c>
      <c r="V4089" t="s">
        <v>32</v>
      </c>
      <c r="W4089" t="s">
        <v>32</v>
      </c>
      <c r="X4089" t="s">
        <v>343</v>
      </c>
      <c r="Y4089" t="s">
        <v>32</v>
      </c>
      <c r="Z4089" t="s">
        <v>32</v>
      </c>
      <c r="AA4089" t="s">
        <v>45155</v>
      </c>
      <c r="AB4089" t="s">
        <v>45156</v>
      </c>
      <c r="AC4089" t="s">
        <v>45157</v>
      </c>
      <c r="AD4089" t="s">
        <v>32</v>
      </c>
      <c r="AE4089" t="s">
        <v>45158</v>
      </c>
      <c r="AF4089" t="s">
        <v>46835</v>
      </c>
    </row>
    <row r="4090" spans="1:33" x14ac:dyDescent="0.2">
      <c r="A4090">
        <v>4085</v>
      </c>
      <c r="B4090" t="s">
        <v>45159</v>
      </c>
      <c r="C4090" t="s">
        <v>47125</v>
      </c>
      <c r="D4090" t="s">
        <v>32</v>
      </c>
      <c r="E4090" t="s">
        <v>47088</v>
      </c>
      <c r="F4090" t="s">
        <v>47087</v>
      </c>
      <c r="G4090" t="s">
        <v>32</v>
      </c>
      <c r="H4090" t="s">
        <v>47256</v>
      </c>
      <c r="I4090" t="s">
        <v>32</v>
      </c>
      <c r="J4090" t="s">
        <v>37</v>
      </c>
      <c r="K4090">
        <v>10090</v>
      </c>
      <c r="L4090" s="3" t="str">
        <f>HYPERLINK(CONCATENATE("https://www.uniprot.org/uniprotkb/", AG4090, "/entry"), AG4090)</f>
        <v>Q91UZ1</v>
      </c>
      <c r="M4090" t="s">
        <v>32</v>
      </c>
      <c r="N4090" t="s">
        <v>32</v>
      </c>
      <c r="O4090" s="3" t="s">
        <v>32</v>
      </c>
      <c r="P4090" t="s">
        <v>32</v>
      </c>
      <c r="Q4090" t="s">
        <v>32</v>
      </c>
      <c r="R4090" t="s">
        <v>32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32</v>
      </c>
      <c r="Y4090" t="s">
        <v>32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  <c r="AE4090" t="s">
        <v>32</v>
      </c>
      <c r="AF4090" t="s">
        <v>46835</v>
      </c>
      <c r="AG4090" t="s">
        <v>47087</v>
      </c>
    </row>
    <row r="4091" spans="1:33" x14ac:dyDescent="0.2">
      <c r="A4091">
        <v>4086</v>
      </c>
      <c r="B4091" t="s">
        <v>45160</v>
      </c>
      <c r="C4091" t="s">
        <v>45161</v>
      </c>
      <c r="D4091" t="s">
        <v>32</v>
      </c>
      <c r="E4091" t="s">
        <v>45162</v>
      </c>
      <c r="F4091" t="s">
        <v>45163</v>
      </c>
      <c r="G4091" t="s">
        <v>32</v>
      </c>
      <c r="H4091" t="str">
        <f>"Rnase4"</f>
        <v>Rnase4</v>
      </c>
      <c r="I4091" t="s">
        <v>32</v>
      </c>
      <c r="J4091" t="s">
        <v>37</v>
      </c>
      <c r="K4091">
        <v>10090</v>
      </c>
      <c r="L4091" s="3" t="str">
        <f>HYPERLINK("http://www.uniprot.org/uniprot/Q9JJH1", "Q9JJH1")</f>
        <v>Q9JJH1</v>
      </c>
      <c r="M4091" t="s">
        <v>45164</v>
      </c>
      <c r="N4091" t="str">
        <f>"Rnase4"</f>
        <v>Rnase4</v>
      </c>
      <c r="O4091" s="3" t="str">
        <f>HYPERLINK("http://www.informatics.jax.org/marker/MGI:1926217", "MGI:1926217")</f>
        <v>MGI:1926217</v>
      </c>
      <c r="P4091" t="s">
        <v>45165</v>
      </c>
      <c r="Q4091" t="s">
        <v>32</v>
      </c>
      <c r="R4091" t="s">
        <v>630</v>
      </c>
      <c r="S4091" t="s">
        <v>32</v>
      </c>
      <c r="T4091" t="s">
        <v>32</v>
      </c>
      <c r="U4091" t="s">
        <v>32</v>
      </c>
      <c r="V4091" t="s">
        <v>811</v>
      </c>
      <c r="W4091" t="s">
        <v>32</v>
      </c>
      <c r="X4091" t="s">
        <v>4153</v>
      </c>
      <c r="Y4091" t="s">
        <v>39876</v>
      </c>
      <c r="Z4091" t="s">
        <v>32</v>
      </c>
      <c r="AA4091" t="s">
        <v>45166</v>
      </c>
      <c r="AB4091" t="s">
        <v>15830</v>
      </c>
      <c r="AC4091" t="s">
        <v>45167</v>
      </c>
      <c r="AD4091" t="s">
        <v>32</v>
      </c>
      <c r="AE4091" t="s">
        <v>32</v>
      </c>
      <c r="AF4091" t="s">
        <v>46835</v>
      </c>
    </row>
    <row r="4092" spans="1:33" x14ac:dyDescent="0.2">
      <c r="A4092">
        <v>4087</v>
      </c>
      <c r="B4092" t="s">
        <v>45168</v>
      </c>
      <c r="C4092" t="s">
        <v>45169</v>
      </c>
      <c r="D4092" t="s">
        <v>45170</v>
      </c>
      <c r="E4092" t="s">
        <v>45171</v>
      </c>
      <c r="F4092" t="s">
        <v>45172</v>
      </c>
      <c r="G4092" t="s">
        <v>45173</v>
      </c>
      <c r="H4092" t="str">
        <f>"Scyl2"</f>
        <v>Scyl2</v>
      </c>
      <c r="I4092" t="s">
        <v>32</v>
      </c>
      <c r="J4092" t="s">
        <v>37</v>
      </c>
      <c r="K4092">
        <v>10090</v>
      </c>
      <c r="L4092" s="3" t="str">
        <f>HYPERLINK("http://www.uniprot.org/uniprot/Q8CFE4", "Q8CFE4")</f>
        <v>Q8CFE4</v>
      </c>
      <c r="M4092" t="s">
        <v>45174</v>
      </c>
      <c r="N4092" t="str">
        <f>"Scyl2"</f>
        <v>Scyl2</v>
      </c>
      <c r="O4092" s="3" t="str">
        <f>HYPERLINK("http://www.informatics.jax.org/marker/MGI:1289172", "MGI:1289172")</f>
        <v>MGI:1289172</v>
      </c>
      <c r="P4092" t="s">
        <v>45175</v>
      </c>
      <c r="Q4092" t="s">
        <v>32</v>
      </c>
      <c r="R4092" t="s">
        <v>14126</v>
      </c>
      <c r="S4092" t="s">
        <v>41</v>
      </c>
      <c r="T4092" t="s">
        <v>32</v>
      </c>
      <c r="U4092" t="s">
        <v>32</v>
      </c>
      <c r="V4092" t="s">
        <v>32</v>
      </c>
      <c r="W4092" t="s">
        <v>32</v>
      </c>
      <c r="X4092" t="s">
        <v>32</v>
      </c>
      <c r="Y4092" t="s">
        <v>618</v>
      </c>
      <c r="Z4092" t="s">
        <v>32</v>
      </c>
      <c r="AA4092" t="s">
        <v>45176</v>
      </c>
      <c r="AB4092" t="s">
        <v>45177</v>
      </c>
      <c r="AC4092" t="s">
        <v>45178</v>
      </c>
      <c r="AD4092" t="s">
        <v>32</v>
      </c>
      <c r="AE4092" t="s">
        <v>32</v>
      </c>
      <c r="AF4092" t="s">
        <v>46835</v>
      </c>
    </row>
    <row r="4093" spans="1:33" x14ac:dyDescent="0.2">
      <c r="A4093">
        <v>4088</v>
      </c>
      <c r="B4093" t="s">
        <v>45179</v>
      </c>
      <c r="C4093" t="s">
        <v>45180</v>
      </c>
      <c r="D4093" t="s">
        <v>45181</v>
      </c>
      <c r="E4093" t="s">
        <v>45182</v>
      </c>
      <c r="F4093" t="s">
        <v>45183</v>
      </c>
      <c r="G4093" t="s">
        <v>45184</v>
      </c>
      <c r="H4093" t="str">
        <f>"Phf2"</f>
        <v>Phf2</v>
      </c>
      <c r="I4093" t="s">
        <v>45185</v>
      </c>
      <c r="J4093" t="s">
        <v>37</v>
      </c>
      <c r="K4093">
        <v>10090</v>
      </c>
      <c r="L4093" s="3" t="str">
        <f>HYPERLINK("http://www.uniprot.org/uniprot/Q9WTU0", "Q9WTU0")</f>
        <v>Q9WTU0</v>
      </c>
      <c r="M4093" t="s">
        <v>45186</v>
      </c>
      <c r="N4093" t="str">
        <f>"Phf2"</f>
        <v>Phf2</v>
      </c>
      <c r="O4093" s="3" t="str">
        <f>HYPERLINK("http://www.informatics.jax.org/marker/MGI:1338034", "MGI:1338034")</f>
        <v>MGI:1338034</v>
      </c>
      <c r="P4093" t="s">
        <v>45187</v>
      </c>
      <c r="Q4093" t="s">
        <v>4152</v>
      </c>
      <c r="R4093" t="s">
        <v>11307</v>
      </c>
      <c r="S4093" t="s">
        <v>32</v>
      </c>
      <c r="T4093" t="s">
        <v>32</v>
      </c>
      <c r="U4093" t="s">
        <v>32</v>
      </c>
      <c r="V4093" t="s">
        <v>446</v>
      </c>
      <c r="W4093" t="s">
        <v>18878</v>
      </c>
      <c r="X4093" t="s">
        <v>45188</v>
      </c>
      <c r="Y4093" t="s">
        <v>516</v>
      </c>
      <c r="Z4093" t="s">
        <v>32</v>
      </c>
      <c r="AA4093" t="s">
        <v>45189</v>
      </c>
      <c r="AB4093" t="s">
        <v>45190</v>
      </c>
      <c r="AC4093" t="s">
        <v>45191</v>
      </c>
      <c r="AD4093" t="s">
        <v>32</v>
      </c>
      <c r="AE4093" t="s">
        <v>24689</v>
      </c>
      <c r="AF4093" t="s">
        <v>46835</v>
      </c>
    </row>
    <row r="4094" spans="1:33" x14ac:dyDescent="0.2">
      <c r="A4094">
        <v>4089</v>
      </c>
      <c r="B4094" t="s">
        <v>45192</v>
      </c>
      <c r="C4094" t="s">
        <v>45193</v>
      </c>
      <c r="D4094" t="s">
        <v>45194</v>
      </c>
      <c r="E4094" t="s">
        <v>45195</v>
      </c>
      <c r="F4094" t="s">
        <v>45196</v>
      </c>
      <c r="G4094" t="s">
        <v>45197</v>
      </c>
      <c r="H4094" t="str">
        <f>"Usp38"</f>
        <v>Usp38</v>
      </c>
      <c r="I4094" t="s">
        <v>32</v>
      </c>
      <c r="J4094" t="s">
        <v>37</v>
      </c>
      <c r="K4094">
        <v>10090</v>
      </c>
      <c r="L4094" s="3" t="str">
        <f>HYPERLINK("http://www.uniprot.org/uniprot/Q8BW70", "Q8BW70")</f>
        <v>Q8BW70</v>
      </c>
      <c r="M4094" t="s">
        <v>45198</v>
      </c>
      <c r="N4094" t="str">
        <f>"Usp38"</f>
        <v>Usp38</v>
      </c>
      <c r="O4094" s="3" t="str">
        <f>HYPERLINK("http://www.informatics.jax.org/marker/MGI:1922091", "MGI:1922091")</f>
        <v>MGI:1922091</v>
      </c>
      <c r="P4094" t="s">
        <v>45199</v>
      </c>
      <c r="Q4094" t="s">
        <v>1020</v>
      </c>
      <c r="R4094" t="s">
        <v>32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557</v>
      </c>
      <c r="Y4094" t="s">
        <v>32</v>
      </c>
      <c r="Z4094" t="s">
        <v>32</v>
      </c>
      <c r="AA4094" t="s">
        <v>19781</v>
      </c>
      <c r="AB4094" t="s">
        <v>928</v>
      </c>
      <c r="AC4094" t="s">
        <v>19782</v>
      </c>
      <c r="AD4094" t="s">
        <v>32</v>
      </c>
      <c r="AE4094" t="s">
        <v>32</v>
      </c>
      <c r="AF4094" t="s">
        <v>46835</v>
      </c>
    </row>
    <row r="4095" spans="1:33" x14ac:dyDescent="0.2">
      <c r="A4095">
        <v>4090</v>
      </c>
      <c r="B4095" t="s">
        <v>45200</v>
      </c>
      <c r="C4095" t="s">
        <v>45201</v>
      </c>
      <c r="D4095" t="s">
        <v>45202</v>
      </c>
      <c r="E4095" t="s">
        <v>45203</v>
      </c>
      <c r="F4095" t="s">
        <v>45204</v>
      </c>
      <c r="G4095" t="s">
        <v>45205</v>
      </c>
      <c r="H4095" t="str">
        <f>"Suv39h2"</f>
        <v>Suv39h2</v>
      </c>
      <c r="I4095" t="s">
        <v>32</v>
      </c>
      <c r="J4095" t="s">
        <v>37</v>
      </c>
      <c r="K4095">
        <v>10090</v>
      </c>
      <c r="L4095" s="3" t="str">
        <f>HYPERLINK("http://www.uniprot.org/uniprot/Q9EQQ0", "Q9EQQ0")</f>
        <v>Q9EQQ0</v>
      </c>
      <c r="M4095" t="s">
        <v>45206</v>
      </c>
      <c r="N4095" t="str">
        <f>"Suv39h2"</f>
        <v>Suv39h2</v>
      </c>
      <c r="O4095" s="3" t="str">
        <f>HYPERLINK("http://www.informatics.jax.org/marker/MGI:1890396", "MGI:1890396")</f>
        <v>MGI:1890396</v>
      </c>
      <c r="P4095" t="s">
        <v>45207</v>
      </c>
      <c r="Q4095" t="s">
        <v>45208</v>
      </c>
      <c r="R4095" t="s">
        <v>7397</v>
      </c>
      <c r="S4095" t="s">
        <v>32</v>
      </c>
      <c r="T4095" t="s">
        <v>32</v>
      </c>
      <c r="U4095" t="s">
        <v>32</v>
      </c>
      <c r="V4095" t="s">
        <v>32</v>
      </c>
      <c r="W4095" t="s">
        <v>15120</v>
      </c>
      <c r="X4095" t="s">
        <v>9393</v>
      </c>
      <c r="Y4095" t="s">
        <v>618</v>
      </c>
      <c r="Z4095" t="s">
        <v>32</v>
      </c>
      <c r="AA4095" t="s">
        <v>45209</v>
      </c>
      <c r="AB4095" t="s">
        <v>45210</v>
      </c>
      <c r="AC4095" t="s">
        <v>45211</v>
      </c>
      <c r="AD4095" t="s">
        <v>32</v>
      </c>
      <c r="AE4095" t="s">
        <v>19097</v>
      </c>
      <c r="AF4095" t="s">
        <v>46835</v>
      </c>
    </row>
    <row r="4096" spans="1:33" x14ac:dyDescent="0.2">
      <c r="A4096">
        <v>4091</v>
      </c>
      <c r="B4096" t="s">
        <v>45212</v>
      </c>
      <c r="C4096" t="s">
        <v>45213</v>
      </c>
      <c r="D4096" t="s">
        <v>45214</v>
      </c>
      <c r="E4096" t="s">
        <v>45215</v>
      </c>
      <c r="F4096" t="s">
        <v>45216</v>
      </c>
      <c r="G4096" t="s">
        <v>45217</v>
      </c>
      <c r="H4096" t="str">
        <f>"Dennd10"</f>
        <v>Dennd10</v>
      </c>
      <c r="I4096" t="s">
        <v>32</v>
      </c>
      <c r="J4096" t="s">
        <v>37</v>
      </c>
      <c r="K4096">
        <v>10090</v>
      </c>
      <c r="L4096" s="3" t="str">
        <f>HYPERLINK("http://www.uniprot.org/uniprot/Q9D8N2", "Q9D8N2")</f>
        <v>Q9D8N2</v>
      </c>
      <c r="M4096" t="s">
        <v>45218</v>
      </c>
      <c r="N4096" t="str">
        <f>"Dennd10"</f>
        <v>Dennd10</v>
      </c>
      <c r="O4096" s="3" t="str">
        <f>HYPERLINK("http://www.informatics.jax.org/marker/MGI:1915144", "MGI:1915144")</f>
        <v>MGI:1915144</v>
      </c>
      <c r="P4096" t="s">
        <v>45219</v>
      </c>
      <c r="Q4096" t="s">
        <v>32</v>
      </c>
      <c r="R4096" t="s">
        <v>11451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5011</v>
      </c>
      <c r="Y4096" t="s">
        <v>32</v>
      </c>
      <c r="Z4096" t="s">
        <v>32</v>
      </c>
      <c r="AA4096" t="s">
        <v>45220</v>
      </c>
      <c r="AB4096" t="s">
        <v>45221</v>
      </c>
      <c r="AC4096" t="s">
        <v>20605</v>
      </c>
      <c r="AD4096" t="s">
        <v>32</v>
      </c>
      <c r="AE4096" t="s">
        <v>32</v>
      </c>
      <c r="AF4096" t="s">
        <v>46835</v>
      </c>
    </row>
    <row r="4097" spans="1:33" x14ac:dyDescent="0.2">
      <c r="A4097">
        <v>4092</v>
      </c>
      <c r="B4097" t="s">
        <v>45222</v>
      </c>
      <c r="C4097" t="s">
        <v>45223</v>
      </c>
      <c r="D4097" t="s">
        <v>45224</v>
      </c>
      <c r="E4097" t="s">
        <v>45225</v>
      </c>
      <c r="F4097" t="s">
        <v>45226</v>
      </c>
      <c r="G4097" t="s">
        <v>45227</v>
      </c>
      <c r="H4097" t="str">
        <f>"Dennd6a"</f>
        <v>Dennd6a</v>
      </c>
      <c r="I4097" t="s">
        <v>32</v>
      </c>
      <c r="J4097" t="s">
        <v>37</v>
      </c>
      <c r="K4097">
        <v>10090</v>
      </c>
      <c r="L4097" s="3" t="str">
        <f>HYPERLINK("http://www.uniprot.org/uniprot/Q8BH65", "Q8BH65")</f>
        <v>Q8BH65</v>
      </c>
      <c r="M4097" t="s">
        <v>45228</v>
      </c>
      <c r="N4097" t="str">
        <f>"Dennd6a"</f>
        <v>Dennd6a</v>
      </c>
      <c r="O4097" s="3" t="str">
        <f>HYPERLINK("http://www.informatics.jax.org/marker/MGI:2442980", "MGI:2442980")</f>
        <v>MGI:2442980</v>
      </c>
      <c r="P4097" t="s">
        <v>45229</v>
      </c>
      <c r="Q4097" t="s">
        <v>32</v>
      </c>
      <c r="R4097" t="s">
        <v>23613</v>
      </c>
      <c r="S4097" t="s">
        <v>41</v>
      </c>
      <c r="T4097" t="s">
        <v>32</v>
      </c>
      <c r="U4097" t="s">
        <v>32</v>
      </c>
      <c r="V4097" t="s">
        <v>32</v>
      </c>
      <c r="W4097" t="s">
        <v>32</v>
      </c>
      <c r="X4097" t="s">
        <v>5011</v>
      </c>
      <c r="Y4097" t="s">
        <v>2734</v>
      </c>
      <c r="Z4097" t="s">
        <v>32</v>
      </c>
      <c r="AA4097" t="s">
        <v>45230</v>
      </c>
      <c r="AB4097" t="s">
        <v>45231</v>
      </c>
      <c r="AC4097" t="s">
        <v>12942</v>
      </c>
      <c r="AD4097" t="s">
        <v>32</v>
      </c>
      <c r="AE4097" t="s">
        <v>8182</v>
      </c>
      <c r="AF4097" t="s">
        <v>46835</v>
      </c>
    </row>
    <row r="4098" spans="1:33" x14ac:dyDescent="0.2">
      <c r="A4098">
        <v>4093</v>
      </c>
      <c r="B4098" t="s">
        <v>45232</v>
      </c>
      <c r="C4098" t="s">
        <v>45233</v>
      </c>
      <c r="D4098" t="s">
        <v>45234</v>
      </c>
      <c r="E4098" t="s">
        <v>45235</v>
      </c>
      <c r="F4098" t="s">
        <v>45236</v>
      </c>
      <c r="G4098" t="s">
        <v>45237</v>
      </c>
      <c r="H4098" t="str">
        <f>"Mettl23"</f>
        <v>Mettl23</v>
      </c>
      <c r="I4098" t="s">
        <v>32</v>
      </c>
      <c r="J4098" t="s">
        <v>37</v>
      </c>
      <c r="K4098">
        <v>10090</v>
      </c>
      <c r="L4098" s="3" t="str">
        <f>HYPERLINK("http://www.uniprot.org/uniprot/A2AA28", "A2AA28")</f>
        <v>A2AA28</v>
      </c>
      <c r="M4098" t="s">
        <v>45238</v>
      </c>
      <c r="N4098" t="str">
        <f>"Mettl23"</f>
        <v>Mettl23</v>
      </c>
      <c r="O4098" s="3" t="str">
        <f>HYPERLINK("http://www.informatics.jax.org/marker/MGI:1921569", "MGI:1921569")</f>
        <v>MGI:1921569</v>
      </c>
      <c r="P4098" t="s">
        <v>45239</v>
      </c>
      <c r="Q4098" t="s">
        <v>32</v>
      </c>
      <c r="R4098" t="s">
        <v>40</v>
      </c>
      <c r="S4098" t="s">
        <v>32</v>
      </c>
      <c r="T4098" t="s">
        <v>32</v>
      </c>
      <c r="U4098" t="s">
        <v>32</v>
      </c>
      <c r="V4098" t="s">
        <v>32</v>
      </c>
      <c r="W4098" t="s">
        <v>1705</v>
      </c>
      <c r="X4098" t="s">
        <v>45240</v>
      </c>
      <c r="Y4098" t="s">
        <v>32</v>
      </c>
      <c r="Z4098" t="s">
        <v>32</v>
      </c>
      <c r="AA4098" t="s">
        <v>45241</v>
      </c>
      <c r="AB4098" t="s">
        <v>45242</v>
      </c>
      <c r="AC4098" t="s">
        <v>45243</v>
      </c>
      <c r="AD4098" t="s">
        <v>32</v>
      </c>
      <c r="AE4098" t="s">
        <v>32</v>
      </c>
      <c r="AF4098" t="s">
        <v>46835</v>
      </c>
    </row>
    <row r="4099" spans="1:33" x14ac:dyDescent="0.2">
      <c r="A4099">
        <v>4094</v>
      </c>
      <c r="B4099" t="s">
        <v>45244</v>
      </c>
      <c r="C4099" t="s">
        <v>45245</v>
      </c>
      <c r="D4099" t="s">
        <v>32</v>
      </c>
      <c r="E4099" t="s">
        <v>45246</v>
      </c>
      <c r="F4099" t="s">
        <v>45247</v>
      </c>
      <c r="G4099" t="s">
        <v>45248</v>
      </c>
      <c r="H4099" t="str">
        <f>"Trappc13"</f>
        <v>Trappc13</v>
      </c>
      <c r="I4099" t="s">
        <v>32</v>
      </c>
      <c r="J4099" t="s">
        <v>37</v>
      </c>
      <c r="K4099">
        <v>10090</v>
      </c>
      <c r="L4099" s="3" t="str">
        <f>HYPERLINK("http://www.uniprot.org/uniprot/Q3TIR1", "Q3TIR1")</f>
        <v>Q3TIR1</v>
      </c>
      <c r="M4099" t="s">
        <v>45249</v>
      </c>
      <c r="N4099" t="str">
        <f>"Trappc13"</f>
        <v>Trappc13</v>
      </c>
      <c r="O4099" s="3" t="str">
        <f>HYPERLINK("http://www.informatics.jax.org/marker/MGI:1914225", "MGI:1914225")</f>
        <v>MGI:1914225</v>
      </c>
      <c r="P4099" t="s">
        <v>41</v>
      </c>
      <c r="Q4099" t="s">
        <v>32</v>
      </c>
      <c r="R4099" t="s">
        <v>32</v>
      </c>
      <c r="S4099" t="s">
        <v>41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t="s">
        <v>32</v>
      </c>
      <c r="Z4099" t="s">
        <v>32</v>
      </c>
      <c r="AA4099" t="s">
        <v>45250</v>
      </c>
      <c r="AB4099" t="s">
        <v>45251</v>
      </c>
      <c r="AC4099" t="s">
        <v>32</v>
      </c>
      <c r="AD4099" t="s">
        <v>32</v>
      </c>
      <c r="AE4099" t="s">
        <v>8182</v>
      </c>
      <c r="AF4099" t="s">
        <v>46835</v>
      </c>
    </row>
    <row r="4100" spans="1:33" x14ac:dyDescent="0.2">
      <c r="A4100">
        <v>4095</v>
      </c>
      <c r="B4100" t="s">
        <v>45252</v>
      </c>
      <c r="C4100" t="s">
        <v>45253</v>
      </c>
      <c r="D4100" t="s">
        <v>32</v>
      </c>
      <c r="E4100" t="s">
        <v>45254</v>
      </c>
      <c r="F4100" t="s">
        <v>45255</v>
      </c>
      <c r="G4100" t="s">
        <v>32</v>
      </c>
      <c r="H4100" t="str">
        <f>"Kri1"</f>
        <v>Kri1</v>
      </c>
      <c r="I4100" t="s">
        <v>32</v>
      </c>
      <c r="J4100" t="s">
        <v>37</v>
      </c>
      <c r="K4100">
        <v>10090</v>
      </c>
      <c r="L4100" s="3" t="str">
        <f>HYPERLINK("http://www.uniprot.org/uniprot/Q8VDQ9", "Q8VDQ9")</f>
        <v>Q8VDQ9</v>
      </c>
      <c r="M4100" t="s">
        <v>45256</v>
      </c>
      <c r="N4100" t="str">
        <f>"Kri1"</f>
        <v>Kri1</v>
      </c>
      <c r="O4100" s="3" t="str">
        <f>HYPERLINK("http://www.informatics.jax.org/marker/MGI:2384899", "MGI:2384899")</f>
        <v>MGI:2384899</v>
      </c>
      <c r="P4100" t="s">
        <v>618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618</v>
      </c>
      <c r="Z4100" t="s">
        <v>32</v>
      </c>
      <c r="AA4100" t="s">
        <v>45257</v>
      </c>
      <c r="AB4100" t="s">
        <v>45258</v>
      </c>
      <c r="AC4100" t="s">
        <v>32</v>
      </c>
      <c r="AD4100" t="s">
        <v>32</v>
      </c>
      <c r="AE4100" t="s">
        <v>32</v>
      </c>
      <c r="AF4100" t="s">
        <v>46835</v>
      </c>
    </row>
    <row r="4101" spans="1:33" x14ac:dyDescent="0.2">
      <c r="A4101">
        <v>4096</v>
      </c>
      <c r="B4101" t="s">
        <v>45259</v>
      </c>
      <c r="C4101" t="s">
        <v>45260</v>
      </c>
      <c r="D4101" t="s">
        <v>45261</v>
      </c>
      <c r="E4101" t="s">
        <v>45262</v>
      </c>
      <c r="F4101" t="s">
        <v>45263</v>
      </c>
      <c r="G4101" t="s">
        <v>45264</v>
      </c>
      <c r="H4101" t="str">
        <f>"Mak16"</f>
        <v>Mak16</v>
      </c>
      <c r="I4101" t="s">
        <v>45265</v>
      </c>
      <c r="J4101" t="s">
        <v>37</v>
      </c>
      <c r="K4101">
        <v>10090</v>
      </c>
      <c r="L4101" s="3" t="str">
        <f>HYPERLINK("http://www.uniprot.org/uniprot/Q8BGS0", "Q8BGS0")</f>
        <v>Q8BGS0</v>
      </c>
      <c r="M4101" t="s">
        <v>45266</v>
      </c>
      <c r="N4101" t="str">
        <f>"Mak16"</f>
        <v>Mak16</v>
      </c>
      <c r="O4101" s="3" t="str">
        <f>HYPERLINK("http://www.informatics.jax.org/marker/MGI:1915170", "MGI:1915170")</f>
        <v>MGI:1915170</v>
      </c>
      <c r="P4101" t="s">
        <v>45267</v>
      </c>
      <c r="Q4101" t="s">
        <v>32</v>
      </c>
      <c r="R4101" t="s">
        <v>2279</v>
      </c>
      <c r="S4101" t="s">
        <v>41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516</v>
      </c>
      <c r="Z4101" t="s">
        <v>32</v>
      </c>
      <c r="AA4101" t="s">
        <v>29770</v>
      </c>
      <c r="AB4101" t="s">
        <v>45268</v>
      </c>
      <c r="AC4101" t="s">
        <v>32</v>
      </c>
      <c r="AD4101" t="s">
        <v>32</v>
      </c>
      <c r="AE4101" t="s">
        <v>32</v>
      </c>
      <c r="AF4101" t="s">
        <v>46835</v>
      </c>
    </row>
    <row r="4102" spans="1:33" x14ac:dyDescent="0.2">
      <c r="A4102">
        <v>4097</v>
      </c>
      <c r="B4102" t="s">
        <v>45269</v>
      </c>
      <c r="C4102" t="s">
        <v>45270</v>
      </c>
      <c r="D4102" t="s">
        <v>45271</v>
      </c>
      <c r="E4102" t="s">
        <v>45272</v>
      </c>
      <c r="F4102" t="s">
        <v>45273</v>
      </c>
      <c r="G4102" t="s">
        <v>45274</v>
      </c>
      <c r="H4102" t="str">
        <f>"Wapl"</f>
        <v>Wapl</v>
      </c>
      <c r="I4102" t="s">
        <v>45275</v>
      </c>
      <c r="J4102" t="s">
        <v>37</v>
      </c>
      <c r="K4102">
        <v>10090</v>
      </c>
      <c r="L4102" s="3" t="str">
        <f>HYPERLINK("http://www.uniprot.org/uniprot/Q65Z40", "Q65Z40")</f>
        <v>Q65Z40</v>
      </c>
      <c r="M4102" t="s">
        <v>45276</v>
      </c>
      <c r="N4102" t="str">
        <f>"Wapl"</f>
        <v>Wapl</v>
      </c>
      <c r="O4102" s="3" t="str">
        <f>HYPERLINK("http://www.informatics.jax.org/marker/MGI:2675859", "MGI:2675859")</f>
        <v>MGI:2675859</v>
      </c>
      <c r="P4102" t="s">
        <v>45277</v>
      </c>
      <c r="Q4102" t="s">
        <v>2968</v>
      </c>
      <c r="R4102" t="s">
        <v>8375</v>
      </c>
      <c r="S4102" t="s">
        <v>32</v>
      </c>
      <c r="T4102" t="s">
        <v>32</v>
      </c>
      <c r="U4102" t="s">
        <v>32</v>
      </c>
      <c r="V4102" t="s">
        <v>290</v>
      </c>
      <c r="W4102" t="s">
        <v>32</v>
      </c>
      <c r="X4102" t="s">
        <v>32</v>
      </c>
      <c r="Y4102" t="s">
        <v>157</v>
      </c>
      <c r="Z4102" t="s">
        <v>32</v>
      </c>
      <c r="AA4102" t="s">
        <v>45278</v>
      </c>
      <c r="AB4102" t="s">
        <v>45279</v>
      </c>
      <c r="AC4102" t="s">
        <v>32</v>
      </c>
      <c r="AD4102" t="s">
        <v>32</v>
      </c>
      <c r="AE4102" t="s">
        <v>22043</v>
      </c>
      <c r="AF4102" t="s">
        <v>46835</v>
      </c>
    </row>
    <row r="4103" spans="1:33" x14ac:dyDescent="0.2">
      <c r="A4103">
        <v>4098</v>
      </c>
      <c r="B4103" t="s">
        <v>45280</v>
      </c>
      <c r="C4103" t="s">
        <v>45281</v>
      </c>
      <c r="D4103" t="s">
        <v>32</v>
      </c>
      <c r="E4103" t="s">
        <v>45282</v>
      </c>
      <c r="F4103" t="s">
        <v>45283</v>
      </c>
      <c r="G4103" t="s">
        <v>45284</v>
      </c>
      <c r="H4103" t="str">
        <f>"Pik3r4"</f>
        <v>Pik3r4</v>
      </c>
      <c r="I4103" t="s">
        <v>45285</v>
      </c>
      <c r="J4103" t="s">
        <v>37</v>
      </c>
      <c r="K4103">
        <v>10090</v>
      </c>
      <c r="L4103" s="3" t="str">
        <f>HYPERLINK("http://www.uniprot.org/uniprot/Q8VD65", "Q8VD65")</f>
        <v>Q8VD65</v>
      </c>
      <c r="M4103" t="s">
        <v>45286</v>
      </c>
      <c r="N4103" t="str">
        <f>"Pik3r4"</f>
        <v>Pik3r4</v>
      </c>
      <c r="O4103" s="3" t="str">
        <f>HYPERLINK("http://www.informatics.jax.org/marker/MGI:1922919", "MGI:1922919")</f>
        <v>MGI:1922919</v>
      </c>
      <c r="P4103" t="s">
        <v>45287</v>
      </c>
      <c r="Q4103" t="s">
        <v>32</v>
      </c>
      <c r="R4103" t="s">
        <v>45288</v>
      </c>
      <c r="S4103" t="s">
        <v>32</v>
      </c>
      <c r="T4103" t="s">
        <v>32</v>
      </c>
      <c r="U4103" t="s">
        <v>32</v>
      </c>
      <c r="V4103" t="s">
        <v>1910</v>
      </c>
      <c r="W4103" t="s">
        <v>205</v>
      </c>
      <c r="X4103" t="s">
        <v>5419</v>
      </c>
      <c r="Y4103" t="s">
        <v>5562</v>
      </c>
      <c r="Z4103" t="s">
        <v>32</v>
      </c>
      <c r="AA4103" t="s">
        <v>45289</v>
      </c>
      <c r="AB4103" t="s">
        <v>45290</v>
      </c>
      <c r="AC4103" t="s">
        <v>45291</v>
      </c>
      <c r="AD4103" t="s">
        <v>32</v>
      </c>
      <c r="AE4103" t="s">
        <v>40838</v>
      </c>
      <c r="AF4103" t="s">
        <v>46835</v>
      </c>
    </row>
    <row r="4104" spans="1:33" x14ac:dyDescent="0.2">
      <c r="A4104">
        <v>4099</v>
      </c>
      <c r="B4104" t="s">
        <v>45292</v>
      </c>
      <c r="C4104" t="s">
        <v>45293</v>
      </c>
      <c r="D4104" t="s">
        <v>45294</v>
      </c>
      <c r="E4104" t="s">
        <v>45295</v>
      </c>
      <c r="F4104" t="s">
        <v>45296</v>
      </c>
      <c r="G4104" t="s">
        <v>45297</v>
      </c>
      <c r="H4104" t="str">
        <f>"Phlpp1"</f>
        <v>Phlpp1</v>
      </c>
      <c r="I4104" t="s">
        <v>45298</v>
      </c>
      <c r="J4104" t="s">
        <v>37</v>
      </c>
      <c r="K4104">
        <v>10090</v>
      </c>
      <c r="L4104" s="3" t="str">
        <f>HYPERLINK("http://www.uniprot.org/uniprot/Q8CHE4", "Q8CHE4")</f>
        <v>Q8CHE4</v>
      </c>
      <c r="M4104" t="s">
        <v>45299</v>
      </c>
      <c r="N4104" t="str">
        <f>"Phlpp1"</f>
        <v>Phlpp1</v>
      </c>
      <c r="O4104" s="3" t="str">
        <f>HYPERLINK("http://www.informatics.jax.org/marker/MGI:2138327", "MGI:2138327")</f>
        <v>MGI:2138327</v>
      </c>
      <c r="P4104" t="s">
        <v>45300</v>
      </c>
      <c r="Q4104" t="s">
        <v>541</v>
      </c>
      <c r="R4104" t="s">
        <v>5943</v>
      </c>
      <c r="S4104" t="s">
        <v>41</v>
      </c>
      <c r="T4104" t="s">
        <v>32</v>
      </c>
      <c r="U4104" t="s">
        <v>32</v>
      </c>
      <c r="V4104" t="s">
        <v>2701</v>
      </c>
      <c r="W4104" t="s">
        <v>5883</v>
      </c>
      <c r="X4104" t="s">
        <v>3683</v>
      </c>
      <c r="Y4104" t="s">
        <v>157</v>
      </c>
      <c r="Z4104" t="s">
        <v>32</v>
      </c>
      <c r="AA4104" t="s">
        <v>45301</v>
      </c>
      <c r="AB4104" t="s">
        <v>45302</v>
      </c>
      <c r="AC4104" t="s">
        <v>12580</v>
      </c>
      <c r="AD4104" t="s">
        <v>32</v>
      </c>
      <c r="AE4104" t="s">
        <v>45303</v>
      </c>
      <c r="AF4104" t="s">
        <v>46835</v>
      </c>
    </row>
    <row r="4105" spans="1:33" x14ac:dyDescent="0.2">
      <c r="A4105">
        <v>4100</v>
      </c>
      <c r="B4105" t="s">
        <v>45304</v>
      </c>
      <c r="C4105" t="s">
        <v>47123</v>
      </c>
      <c r="D4105" t="s">
        <v>32</v>
      </c>
      <c r="E4105" t="s">
        <v>47090</v>
      </c>
      <c r="F4105" t="s">
        <v>47089</v>
      </c>
      <c r="G4105" t="s">
        <v>32</v>
      </c>
      <c r="H4105" t="s">
        <v>47254</v>
      </c>
      <c r="I4105" t="s">
        <v>32</v>
      </c>
      <c r="J4105" t="s">
        <v>37</v>
      </c>
      <c r="K4105">
        <v>10090</v>
      </c>
      <c r="L4105" s="3" t="str">
        <f>HYPERLINK(CONCATENATE("https://www.uniprot.org/uniprotkb/", AG4105, "/entry"), AG4105)</f>
        <v>Q91XX3</v>
      </c>
      <c r="M4105" t="s">
        <v>32</v>
      </c>
      <c r="N4105" t="s">
        <v>32</v>
      </c>
      <c r="O4105" s="3" t="s">
        <v>32</v>
      </c>
      <c r="P4105" t="s">
        <v>32</v>
      </c>
      <c r="Q4105" t="s">
        <v>32</v>
      </c>
      <c r="R4105" t="s">
        <v>32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32</v>
      </c>
      <c r="Y4105" t="s">
        <v>32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t="s">
        <v>46835</v>
      </c>
      <c r="AG4105" t="s">
        <v>47089</v>
      </c>
    </row>
    <row r="4106" spans="1:33" x14ac:dyDescent="0.2">
      <c r="A4106">
        <v>4101</v>
      </c>
      <c r="B4106" t="s">
        <v>45305</v>
      </c>
      <c r="C4106" t="s">
        <v>47151</v>
      </c>
      <c r="D4106" t="s">
        <v>32</v>
      </c>
      <c r="E4106" t="s">
        <v>47092</v>
      </c>
      <c r="F4106" t="s">
        <v>47091</v>
      </c>
      <c r="G4106" t="s">
        <v>32</v>
      </c>
      <c r="H4106" t="s">
        <v>47282</v>
      </c>
      <c r="I4106" t="s">
        <v>32</v>
      </c>
      <c r="J4106" t="s">
        <v>37</v>
      </c>
      <c r="K4106">
        <v>10090</v>
      </c>
      <c r="L4106" s="3" t="str">
        <f>HYPERLINK(CONCATENATE("https://www.uniprot.org/uniprotkb/", AG4106, "/entry"), AG4106)</f>
        <v>Q6NV99</v>
      </c>
      <c r="M4106" t="s">
        <v>32</v>
      </c>
      <c r="N4106" t="s">
        <v>32</v>
      </c>
      <c r="O4106" s="3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32</v>
      </c>
      <c r="Y4106" t="s">
        <v>32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t="s">
        <v>46835</v>
      </c>
      <c r="AG4106" t="s">
        <v>47091</v>
      </c>
    </row>
    <row r="4107" spans="1:33" x14ac:dyDescent="0.2">
      <c r="A4107">
        <v>4102</v>
      </c>
      <c r="B4107" t="s">
        <v>45306</v>
      </c>
      <c r="C4107" t="s">
        <v>45307</v>
      </c>
      <c r="D4107" t="s">
        <v>45308</v>
      </c>
      <c r="E4107" t="s">
        <v>45309</v>
      </c>
      <c r="F4107" t="s">
        <v>45310</v>
      </c>
      <c r="G4107" t="s">
        <v>45311</v>
      </c>
      <c r="H4107" t="str">
        <f>"Cep290"</f>
        <v>Cep290</v>
      </c>
      <c r="I4107" t="s">
        <v>32</v>
      </c>
      <c r="J4107" t="s">
        <v>37</v>
      </c>
      <c r="K4107">
        <v>10090</v>
      </c>
      <c r="L4107" s="3" t="str">
        <f>HYPERLINK("http://www.uniprot.org/uniprot/Q6A078", "Q6A078")</f>
        <v>Q6A078</v>
      </c>
      <c r="M4107" t="s">
        <v>45312</v>
      </c>
      <c r="N4107" t="str">
        <f>"Cep290"</f>
        <v>Cep290</v>
      </c>
      <c r="O4107" s="3" t="str">
        <f>HYPERLINK("http://www.informatics.jax.org/marker/MGI:2384917", "MGI:2384917")</f>
        <v>MGI:2384917</v>
      </c>
      <c r="P4107" t="s">
        <v>45313</v>
      </c>
      <c r="Q4107" t="s">
        <v>45314</v>
      </c>
      <c r="R4107" t="s">
        <v>45315</v>
      </c>
      <c r="S4107" t="s">
        <v>41</v>
      </c>
      <c r="T4107" t="s">
        <v>32</v>
      </c>
      <c r="U4107" t="s">
        <v>32</v>
      </c>
      <c r="V4107" t="s">
        <v>290</v>
      </c>
      <c r="W4107" t="s">
        <v>32</v>
      </c>
      <c r="X4107" t="s">
        <v>2602</v>
      </c>
      <c r="Y4107" t="s">
        <v>5599</v>
      </c>
      <c r="Z4107" t="s">
        <v>32</v>
      </c>
      <c r="AA4107" t="s">
        <v>45316</v>
      </c>
      <c r="AB4107" t="s">
        <v>45317</v>
      </c>
      <c r="AC4107" t="s">
        <v>4516</v>
      </c>
      <c r="AD4107" t="s">
        <v>32</v>
      </c>
      <c r="AE4107" t="s">
        <v>2761</v>
      </c>
      <c r="AF4107" t="s">
        <v>46835</v>
      </c>
    </row>
    <row r="4108" spans="1:33" x14ac:dyDescent="0.2">
      <c r="A4108">
        <v>4103</v>
      </c>
      <c r="B4108" t="s">
        <v>45318</v>
      </c>
      <c r="C4108" t="s">
        <v>45319</v>
      </c>
      <c r="D4108" t="s">
        <v>32</v>
      </c>
      <c r="E4108" t="s">
        <v>45320</v>
      </c>
      <c r="F4108" t="s">
        <v>45321</v>
      </c>
      <c r="G4108" t="s">
        <v>32</v>
      </c>
      <c r="H4108" t="str">
        <f>"Lactb"</f>
        <v>Lactb</v>
      </c>
      <c r="I4108" t="s">
        <v>45322</v>
      </c>
      <c r="J4108" t="s">
        <v>37</v>
      </c>
      <c r="K4108">
        <v>10090</v>
      </c>
      <c r="L4108" s="3" t="str">
        <f>HYPERLINK("http://www.uniprot.org/uniprot/Q9EP89", "Q9EP89")</f>
        <v>Q9EP89</v>
      </c>
      <c r="M4108" t="s">
        <v>45323</v>
      </c>
      <c r="N4108" t="str">
        <f>"Lactb"</f>
        <v>Lactb</v>
      </c>
      <c r="O4108" s="3" t="str">
        <f>HYPERLINK("http://www.informatics.jax.org/marker/MGI:1933395", "MGI:1933395")</f>
        <v>MGI:1933395</v>
      </c>
      <c r="P4108" t="s">
        <v>45324</v>
      </c>
      <c r="Q4108" t="s">
        <v>598</v>
      </c>
      <c r="R4108" t="s">
        <v>1038</v>
      </c>
      <c r="S4108" t="s">
        <v>32</v>
      </c>
      <c r="T4108" t="s">
        <v>32</v>
      </c>
      <c r="U4108" t="s">
        <v>1636</v>
      </c>
      <c r="V4108" t="s">
        <v>1039</v>
      </c>
      <c r="W4108" t="s">
        <v>32</v>
      </c>
      <c r="X4108" t="s">
        <v>13667</v>
      </c>
      <c r="Y4108" t="s">
        <v>78</v>
      </c>
      <c r="Z4108" t="s">
        <v>32</v>
      </c>
      <c r="AA4108" t="s">
        <v>45325</v>
      </c>
      <c r="AB4108" t="s">
        <v>5676</v>
      </c>
      <c r="AC4108" t="s">
        <v>45326</v>
      </c>
      <c r="AD4108" t="s">
        <v>32</v>
      </c>
      <c r="AE4108" t="s">
        <v>32</v>
      </c>
      <c r="AF4108" t="s">
        <v>46835</v>
      </c>
    </row>
    <row r="4109" spans="1:33" x14ac:dyDescent="0.2">
      <c r="A4109">
        <v>4104</v>
      </c>
      <c r="B4109" t="s">
        <v>45327</v>
      </c>
      <c r="C4109" t="s">
        <v>45328</v>
      </c>
      <c r="D4109" t="s">
        <v>32</v>
      </c>
      <c r="E4109" t="s">
        <v>45329</v>
      </c>
      <c r="F4109" t="s">
        <v>45330</v>
      </c>
      <c r="G4109" t="s">
        <v>45331</v>
      </c>
      <c r="H4109" t="str">
        <f>"Plxna4"</f>
        <v>Plxna4</v>
      </c>
      <c r="I4109" t="s">
        <v>45332</v>
      </c>
      <c r="J4109" t="s">
        <v>37</v>
      </c>
      <c r="K4109">
        <v>10090</v>
      </c>
      <c r="L4109" s="3" t="str">
        <f>HYPERLINK("http://www.uniprot.org/uniprot/Q80UG2", "Q80UG2")</f>
        <v>Q80UG2</v>
      </c>
      <c r="M4109" t="s">
        <v>45333</v>
      </c>
      <c r="N4109" t="str">
        <f>"Plxna4"</f>
        <v>Plxna4</v>
      </c>
      <c r="O4109" s="3" t="str">
        <f>HYPERLINK("http://www.informatics.jax.org/marker/MGI:2179061", "MGI:2179061")</f>
        <v>MGI:2179061</v>
      </c>
      <c r="P4109" t="s">
        <v>45334</v>
      </c>
      <c r="Q4109" t="s">
        <v>32</v>
      </c>
      <c r="R4109" t="s">
        <v>2474</v>
      </c>
      <c r="S4109" t="s">
        <v>32</v>
      </c>
      <c r="T4109" t="s">
        <v>32</v>
      </c>
      <c r="U4109" t="s">
        <v>32</v>
      </c>
      <c r="V4109" t="s">
        <v>1665</v>
      </c>
      <c r="W4109" t="s">
        <v>32</v>
      </c>
      <c r="X4109" t="s">
        <v>6983</v>
      </c>
      <c r="Y4109" t="s">
        <v>1066</v>
      </c>
      <c r="Z4109" t="s">
        <v>126</v>
      </c>
      <c r="AA4109" t="s">
        <v>45335</v>
      </c>
      <c r="AB4109" t="s">
        <v>45336</v>
      </c>
      <c r="AC4109" t="s">
        <v>16480</v>
      </c>
      <c r="AD4109" t="s">
        <v>32</v>
      </c>
      <c r="AE4109" t="s">
        <v>45337</v>
      </c>
      <c r="AF4109" t="s">
        <v>46835</v>
      </c>
    </row>
    <row r="4110" spans="1:33" x14ac:dyDescent="0.2">
      <c r="A4110">
        <v>4105</v>
      </c>
      <c r="B4110" t="s">
        <v>45338</v>
      </c>
      <c r="C4110" t="s">
        <v>45339</v>
      </c>
      <c r="D4110" t="s">
        <v>45340</v>
      </c>
      <c r="E4110" t="s">
        <v>45341</v>
      </c>
      <c r="F4110" t="s">
        <v>45342</v>
      </c>
      <c r="G4110" t="s">
        <v>45343</v>
      </c>
      <c r="H4110" t="str">
        <f>"Ift52"</f>
        <v>Ift52</v>
      </c>
      <c r="I4110" t="s">
        <v>45344</v>
      </c>
      <c r="J4110" t="s">
        <v>37</v>
      </c>
      <c r="K4110">
        <v>10090</v>
      </c>
      <c r="L4110" s="3" t="str">
        <f>HYPERLINK("http://www.uniprot.org/uniprot/Q62559", "Q62559")</f>
        <v>Q62559</v>
      </c>
      <c r="M4110" t="s">
        <v>45345</v>
      </c>
      <c r="N4110" t="str">
        <f>"Ift52"</f>
        <v>Ift52</v>
      </c>
      <c r="O4110" s="3" t="str">
        <f>HYPERLINK("http://www.informatics.jax.org/marker/MGI:2387217", "MGI:2387217")</f>
        <v>MGI:2387217</v>
      </c>
      <c r="P4110" t="s">
        <v>45346</v>
      </c>
      <c r="Q4110" t="s">
        <v>475</v>
      </c>
      <c r="R4110" t="s">
        <v>23210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t="s">
        <v>32</v>
      </c>
      <c r="Z4110" t="s">
        <v>126</v>
      </c>
      <c r="AA4110" t="s">
        <v>45347</v>
      </c>
      <c r="AB4110" t="s">
        <v>45348</v>
      </c>
      <c r="AC4110" t="s">
        <v>32</v>
      </c>
      <c r="AD4110" t="s">
        <v>32</v>
      </c>
      <c r="AE4110" t="s">
        <v>30947</v>
      </c>
      <c r="AF4110" t="s">
        <v>46835</v>
      </c>
    </row>
    <row r="4111" spans="1:33" x14ac:dyDescent="0.2">
      <c r="A4111">
        <v>4106</v>
      </c>
      <c r="B4111" t="s">
        <v>45349</v>
      </c>
      <c r="C4111" t="s">
        <v>45350</v>
      </c>
      <c r="D4111" t="s">
        <v>45351</v>
      </c>
      <c r="E4111" t="s">
        <v>45352</v>
      </c>
      <c r="F4111" t="s">
        <v>45353</v>
      </c>
      <c r="G4111" t="s">
        <v>45354</v>
      </c>
      <c r="H4111" t="str">
        <f>"Casc3"</f>
        <v>Casc3</v>
      </c>
      <c r="I4111" t="s">
        <v>45355</v>
      </c>
      <c r="J4111" t="s">
        <v>37</v>
      </c>
      <c r="K4111">
        <v>10090</v>
      </c>
      <c r="L4111" s="3" t="str">
        <f>HYPERLINK("http://www.uniprot.org/uniprot/Q8K3W3", "Q8K3W3")</f>
        <v>Q8K3W3</v>
      </c>
      <c r="M4111" t="s">
        <v>45356</v>
      </c>
      <c r="N4111" t="str">
        <f>"Casc3"</f>
        <v>Casc3</v>
      </c>
      <c r="O4111" s="3" t="str">
        <f>HYPERLINK("http://www.informatics.jax.org/marker/MGI:2179723", "MGI:2179723")</f>
        <v>MGI:2179723</v>
      </c>
      <c r="P4111" t="s">
        <v>45357</v>
      </c>
      <c r="Q4111" t="s">
        <v>45358</v>
      </c>
      <c r="R4111" t="s">
        <v>1281</v>
      </c>
      <c r="S4111" t="s">
        <v>32</v>
      </c>
      <c r="T4111" t="s">
        <v>32</v>
      </c>
      <c r="U4111" t="s">
        <v>32</v>
      </c>
      <c r="V4111" t="s">
        <v>290</v>
      </c>
      <c r="W4111" t="s">
        <v>32</v>
      </c>
      <c r="X4111" t="s">
        <v>1282</v>
      </c>
      <c r="Y4111" t="s">
        <v>45359</v>
      </c>
      <c r="Z4111" t="s">
        <v>32</v>
      </c>
      <c r="AA4111" t="s">
        <v>45360</v>
      </c>
      <c r="AB4111" t="s">
        <v>45361</v>
      </c>
      <c r="AC4111" t="s">
        <v>45362</v>
      </c>
      <c r="AD4111" t="s">
        <v>32</v>
      </c>
      <c r="AE4111" t="s">
        <v>45363</v>
      </c>
      <c r="AF4111" t="s">
        <v>46835</v>
      </c>
    </row>
    <row r="4112" spans="1:33" x14ac:dyDescent="0.2">
      <c r="A4112">
        <v>4107</v>
      </c>
      <c r="B4112" t="s">
        <v>45364</v>
      </c>
      <c r="C4112" t="s">
        <v>45365</v>
      </c>
      <c r="D4112" t="s">
        <v>32</v>
      </c>
      <c r="E4112" t="s">
        <v>45366</v>
      </c>
      <c r="F4112" t="s">
        <v>45367</v>
      </c>
      <c r="G4112" t="s">
        <v>45368</v>
      </c>
      <c r="H4112" t="str">
        <f>"Sipa1l2"</f>
        <v>Sipa1l2</v>
      </c>
      <c r="I4112" t="s">
        <v>45369</v>
      </c>
      <c r="J4112" t="s">
        <v>37</v>
      </c>
      <c r="K4112">
        <v>10090</v>
      </c>
      <c r="L4112" s="3" t="str">
        <f>HYPERLINK("http://www.uniprot.org/uniprot/Q80TE4", "Q80TE4")</f>
        <v>Q80TE4</v>
      </c>
      <c r="M4112" t="s">
        <v>45370</v>
      </c>
      <c r="N4112" t="str">
        <f>"Sipa1l2"</f>
        <v>Sipa1l2</v>
      </c>
      <c r="O4112" s="3" t="str">
        <f>HYPERLINK("http://www.informatics.jax.org/marker/MGI:2676970", "MGI:2676970")</f>
        <v>MGI:2676970</v>
      </c>
      <c r="P4112" t="s">
        <v>45371</v>
      </c>
      <c r="Q4112" t="s">
        <v>32</v>
      </c>
      <c r="R4112" t="s">
        <v>32</v>
      </c>
      <c r="S4112" t="s">
        <v>41</v>
      </c>
      <c r="T4112" t="s">
        <v>32</v>
      </c>
      <c r="U4112" t="s">
        <v>32</v>
      </c>
      <c r="V4112" t="s">
        <v>290</v>
      </c>
      <c r="W4112" t="s">
        <v>32</v>
      </c>
      <c r="X4112" t="s">
        <v>715</v>
      </c>
      <c r="Y4112" t="s">
        <v>618</v>
      </c>
      <c r="Z4112" t="s">
        <v>32</v>
      </c>
      <c r="AA4112" t="s">
        <v>45372</v>
      </c>
      <c r="AB4112" t="s">
        <v>2172</v>
      </c>
      <c r="AC4112" t="s">
        <v>14857</v>
      </c>
      <c r="AD4112" t="s">
        <v>32</v>
      </c>
      <c r="AE4112" t="s">
        <v>32</v>
      </c>
      <c r="AF4112" t="s">
        <v>46835</v>
      </c>
    </row>
    <row r="4113" spans="1:33" x14ac:dyDescent="0.2">
      <c r="A4113">
        <v>4108</v>
      </c>
      <c r="B4113" t="s">
        <v>45373</v>
      </c>
      <c r="C4113" t="s">
        <v>45374</v>
      </c>
      <c r="D4113" t="s">
        <v>45375</v>
      </c>
      <c r="E4113" t="s">
        <v>45376</v>
      </c>
      <c r="F4113" t="s">
        <v>45377</v>
      </c>
      <c r="G4113" t="s">
        <v>45378</v>
      </c>
      <c r="H4113" t="str">
        <f>"Celsr2"</f>
        <v>Celsr2</v>
      </c>
      <c r="I4113" t="s">
        <v>32</v>
      </c>
      <c r="J4113" t="s">
        <v>37</v>
      </c>
      <c r="K4113">
        <v>10090</v>
      </c>
      <c r="L4113" s="3" t="str">
        <f>HYPERLINK("http://www.uniprot.org/uniprot/Q9R0M0", "Q9R0M0")</f>
        <v>Q9R0M0</v>
      </c>
      <c r="M4113" t="s">
        <v>45379</v>
      </c>
      <c r="N4113" t="str">
        <f>"Celsr2"</f>
        <v>Celsr2</v>
      </c>
      <c r="O4113" s="3" t="str">
        <f>HYPERLINK("http://www.informatics.jax.org/marker/MGI:1858235", "MGI:1858235")</f>
        <v>MGI:1858235</v>
      </c>
      <c r="P4113" t="s">
        <v>45380</v>
      </c>
      <c r="Q4113" t="s">
        <v>32</v>
      </c>
      <c r="R4113" t="s">
        <v>2474</v>
      </c>
      <c r="S4113" t="s">
        <v>41</v>
      </c>
      <c r="T4113" t="s">
        <v>32</v>
      </c>
      <c r="U4113" t="s">
        <v>32</v>
      </c>
      <c r="V4113" t="s">
        <v>45381</v>
      </c>
      <c r="W4113" t="s">
        <v>1380</v>
      </c>
      <c r="X4113" t="s">
        <v>45382</v>
      </c>
      <c r="Y4113" t="s">
        <v>14877</v>
      </c>
      <c r="Z4113" t="s">
        <v>32</v>
      </c>
      <c r="AA4113" t="s">
        <v>45383</v>
      </c>
      <c r="AB4113" t="s">
        <v>45384</v>
      </c>
      <c r="AC4113" t="s">
        <v>45385</v>
      </c>
      <c r="AD4113" t="s">
        <v>32</v>
      </c>
      <c r="AE4113" t="s">
        <v>32</v>
      </c>
      <c r="AF4113" t="s">
        <v>46835</v>
      </c>
    </row>
    <row r="4114" spans="1:33" x14ac:dyDescent="0.2">
      <c r="A4114">
        <v>4109</v>
      </c>
      <c r="B4114" t="s">
        <v>45386</v>
      </c>
      <c r="C4114" t="s">
        <v>45387</v>
      </c>
      <c r="D4114" t="s">
        <v>32</v>
      </c>
      <c r="E4114" t="s">
        <v>45388</v>
      </c>
      <c r="F4114" t="s">
        <v>45389</v>
      </c>
      <c r="G4114" t="s">
        <v>45390</v>
      </c>
      <c r="H4114" t="str">
        <f>"Nopchap1"</f>
        <v>Nopchap1</v>
      </c>
      <c r="I4114" t="s">
        <v>32</v>
      </c>
      <c r="J4114" t="s">
        <v>37</v>
      </c>
      <c r="K4114">
        <v>10090</v>
      </c>
      <c r="L4114" s="3" t="str">
        <f>HYPERLINK("http://www.uniprot.org/uniprot/Q9CX66", "Q9CX66")</f>
        <v>Q9CX66</v>
      </c>
      <c r="M4114" t="s">
        <v>45391</v>
      </c>
      <c r="N4114" t="str">
        <f>"Nopchap1"</f>
        <v>Nopchap1</v>
      </c>
      <c r="O4114" s="3" t="str">
        <f>HYPERLINK("http://www.informatics.jax.org/marker/MGI:106381", "MGI:106381")</f>
        <v>MGI:106381</v>
      </c>
      <c r="P4114" t="s">
        <v>45392</v>
      </c>
      <c r="Q4114" t="s">
        <v>32</v>
      </c>
      <c r="R4114" t="s">
        <v>2279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388</v>
      </c>
      <c r="Y4114" t="s">
        <v>618</v>
      </c>
      <c r="Z4114" t="s">
        <v>32</v>
      </c>
      <c r="AA4114" t="s">
        <v>45393</v>
      </c>
      <c r="AB4114" t="s">
        <v>3606</v>
      </c>
      <c r="AC4114" t="s">
        <v>45394</v>
      </c>
      <c r="AD4114" t="s">
        <v>32</v>
      </c>
      <c r="AE4114" t="s">
        <v>32</v>
      </c>
      <c r="AF4114" t="s">
        <v>46835</v>
      </c>
    </row>
    <row r="4115" spans="1:33" x14ac:dyDescent="0.2">
      <c r="A4115">
        <v>4110</v>
      </c>
      <c r="B4115" t="s">
        <v>45395</v>
      </c>
      <c r="C4115" t="s">
        <v>45396</v>
      </c>
      <c r="D4115" t="s">
        <v>45397</v>
      </c>
      <c r="E4115" t="s">
        <v>45398</v>
      </c>
      <c r="F4115" t="s">
        <v>45399</v>
      </c>
      <c r="G4115" t="s">
        <v>45400</v>
      </c>
      <c r="H4115" t="str">
        <f>"Aatf"</f>
        <v>Aatf</v>
      </c>
      <c r="I4115" t="s">
        <v>45401</v>
      </c>
      <c r="J4115" t="s">
        <v>37</v>
      </c>
      <c r="K4115">
        <v>10090</v>
      </c>
      <c r="L4115" s="3" t="str">
        <f>HYPERLINK("http://www.uniprot.org/uniprot/Q9JKX4", "Q9JKX4")</f>
        <v>Q9JKX4</v>
      </c>
      <c r="M4115" t="s">
        <v>45402</v>
      </c>
      <c r="N4115" t="str">
        <f>"Aatf"</f>
        <v>Aatf</v>
      </c>
      <c r="O4115" s="3" t="str">
        <f>HYPERLINK("http://www.informatics.jax.org/marker/MGI:1929608", "MGI:1929608")</f>
        <v>MGI:1929608</v>
      </c>
      <c r="P4115" t="s">
        <v>45403</v>
      </c>
      <c r="Q4115" t="s">
        <v>32</v>
      </c>
      <c r="R4115" t="s">
        <v>2279</v>
      </c>
      <c r="S4115" t="s">
        <v>41</v>
      </c>
      <c r="T4115" t="s">
        <v>32</v>
      </c>
      <c r="U4115" t="s">
        <v>32</v>
      </c>
      <c r="V4115" t="s">
        <v>32</v>
      </c>
      <c r="W4115" t="s">
        <v>32</v>
      </c>
      <c r="X4115" t="s">
        <v>32</v>
      </c>
      <c r="Y4115" t="s">
        <v>157</v>
      </c>
      <c r="Z4115" t="s">
        <v>32</v>
      </c>
      <c r="AA4115" t="s">
        <v>45404</v>
      </c>
      <c r="AB4115" t="s">
        <v>45405</v>
      </c>
      <c r="AC4115" t="s">
        <v>45406</v>
      </c>
      <c r="AD4115" t="s">
        <v>32</v>
      </c>
      <c r="AE4115" t="s">
        <v>32</v>
      </c>
      <c r="AF4115" t="s">
        <v>46835</v>
      </c>
    </row>
    <row r="4116" spans="1:33" x14ac:dyDescent="0.2">
      <c r="A4116">
        <v>4111</v>
      </c>
      <c r="B4116" t="s">
        <v>45407</v>
      </c>
      <c r="C4116" t="s">
        <v>45408</v>
      </c>
      <c r="D4116" t="s">
        <v>45409</v>
      </c>
      <c r="E4116" t="s">
        <v>45410</v>
      </c>
      <c r="F4116" t="s">
        <v>45411</v>
      </c>
      <c r="G4116" t="s">
        <v>45412</v>
      </c>
      <c r="H4116" t="str">
        <f>"Qpct"</f>
        <v>Qpct</v>
      </c>
      <c r="I4116" t="s">
        <v>32</v>
      </c>
      <c r="J4116" t="s">
        <v>37</v>
      </c>
      <c r="K4116">
        <v>10090</v>
      </c>
      <c r="L4116" s="3" t="str">
        <f>HYPERLINK("http://www.uniprot.org/uniprot/Q9CYK2", "Q9CYK2")</f>
        <v>Q9CYK2</v>
      </c>
      <c r="M4116" t="s">
        <v>45413</v>
      </c>
      <c r="N4116" t="str">
        <f>"Qpct"</f>
        <v>Qpct</v>
      </c>
      <c r="O4116" s="3" t="str">
        <f>HYPERLINK("http://www.informatics.jax.org/marker/MGI:1917786", "MGI:1917786")</f>
        <v>MGI:1917786</v>
      </c>
      <c r="P4116" t="s">
        <v>45414</v>
      </c>
      <c r="Q4116" t="s">
        <v>32</v>
      </c>
      <c r="R4116" t="s">
        <v>630</v>
      </c>
      <c r="S4116" t="s">
        <v>41</v>
      </c>
      <c r="T4116" t="s">
        <v>32</v>
      </c>
      <c r="U4116" t="s">
        <v>32</v>
      </c>
      <c r="V4116" t="s">
        <v>811</v>
      </c>
      <c r="W4116" t="s">
        <v>42</v>
      </c>
      <c r="X4116" t="s">
        <v>7304</v>
      </c>
      <c r="Y4116" t="s">
        <v>5275</v>
      </c>
      <c r="Z4116" t="s">
        <v>126</v>
      </c>
      <c r="AA4116" t="s">
        <v>45415</v>
      </c>
      <c r="AB4116" t="s">
        <v>21828</v>
      </c>
      <c r="AC4116" t="s">
        <v>45416</v>
      </c>
      <c r="AD4116" t="s">
        <v>32</v>
      </c>
      <c r="AE4116" t="s">
        <v>548</v>
      </c>
      <c r="AF4116" t="s">
        <v>46835</v>
      </c>
    </row>
    <row r="4117" spans="1:33" x14ac:dyDescent="0.2">
      <c r="A4117">
        <v>4112</v>
      </c>
      <c r="B4117" t="s">
        <v>45417</v>
      </c>
      <c r="C4117" t="s">
        <v>45418</v>
      </c>
      <c r="D4117" t="s">
        <v>32</v>
      </c>
      <c r="E4117" t="s">
        <v>45419</v>
      </c>
      <c r="F4117" t="s">
        <v>45420</v>
      </c>
      <c r="G4117" t="s">
        <v>32</v>
      </c>
      <c r="H4117" t="str">
        <f>"Hpf1"</f>
        <v>Hpf1</v>
      </c>
      <c r="I4117" t="s">
        <v>32</v>
      </c>
      <c r="J4117" t="s">
        <v>37</v>
      </c>
      <c r="K4117">
        <v>10090</v>
      </c>
      <c r="L4117" s="3" t="str">
        <f>HYPERLINK("http://www.uniprot.org/uniprot/Q8CFE2", "Q8CFE2")</f>
        <v>Q8CFE2</v>
      </c>
      <c r="M4117" t="s">
        <v>45421</v>
      </c>
      <c r="N4117" t="str">
        <f>"Hpf1"</f>
        <v>Hpf1</v>
      </c>
      <c r="O4117" s="3" t="str">
        <f>HYPERLINK("http://www.informatics.jax.org/marker/MGI:1919862", "MGI:1919862")</f>
        <v>MGI:1919862</v>
      </c>
      <c r="P4117" t="s">
        <v>45422</v>
      </c>
      <c r="Q4117" t="s">
        <v>11886</v>
      </c>
      <c r="R4117" t="s">
        <v>1939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32</v>
      </c>
      <c r="Y4117" t="s">
        <v>45423</v>
      </c>
      <c r="Z4117" t="s">
        <v>126</v>
      </c>
      <c r="AA4117" t="s">
        <v>45424</v>
      </c>
      <c r="AB4117" t="s">
        <v>45425</v>
      </c>
      <c r="AC4117" t="s">
        <v>45426</v>
      </c>
      <c r="AD4117" t="s">
        <v>32</v>
      </c>
      <c r="AE4117" t="s">
        <v>32</v>
      </c>
      <c r="AF4117" t="s">
        <v>46835</v>
      </c>
    </row>
    <row r="4118" spans="1:33" x14ac:dyDescent="0.2">
      <c r="A4118">
        <v>4113</v>
      </c>
      <c r="B4118" t="s">
        <v>45427</v>
      </c>
      <c r="C4118" t="s">
        <v>45428</v>
      </c>
      <c r="D4118" t="s">
        <v>45429</v>
      </c>
      <c r="E4118" t="s">
        <v>45430</v>
      </c>
      <c r="F4118" t="s">
        <v>45431</v>
      </c>
      <c r="G4118" t="s">
        <v>45432</v>
      </c>
      <c r="H4118" t="str">
        <f>"Itch"</f>
        <v>Itch</v>
      </c>
      <c r="I4118" t="s">
        <v>32</v>
      </c>
      <c r="J4118" t="s">
        <v>37</v>
      </c>
      <c r="K4118">
        <v>10090</v>
      </c>
      <c r="L4118" s="3" t="str">
        <f>HYPERLINK("http://www.uniprot.org/uniprot/Q8C863", "Q8C863")</f>
        <v>Q8C863</v>
      </c>
      <c r="M4118" t="s">
        <v>45433</v>
      </c>
      <c r="N4118" t="str">
        <f>"Itch"</f>
        <v>Itch</v>
      </c>
      <c r="O4118" s="3" t="str">
        <f>HYPERLINK("http://www.informatics.jax.org/marker/MGI:1202301", "MGI:1202301")</f>
        <v>MGI:1202301</v>
      </c>
      <c r="P4118" t="s">
        <v>45434</v>
      </c>
      <c r="Q4118" t="s">
        <v>45435</v>
      </c>
      <c r="R4118" t="s">
        <v>13297</v>
      </c>
      <c r="S4118" t="s">
        <v>41</v>
      </c>
      <c r="T4118" t="s">
        <v>32</v>
      </c>
      <c r="U4118" t="s">
        <v>32</v>
      </c>
      <c r="V4118" t="s">
        <v>55</v>
      </c>
      <c r="W4118" t="s">
        <v>32</v>
      </c>
      <c r="X4118" t="s">
        <v>515</v>
      </c>
      <c r="Y4118" t="s">
        <v>1023</v>
      </c>
      <c r="Z4118" t="s">
        <v>126</v>
      </c>
      <c r="AA4118" t="s">
        <v>45436</v>
      </c>
      <c r="AB4118" t="s">
        <v>45437</v>
      </c>
      <c r="AC4118" t="s">
        <v>45438</v>
      </c>
      <c r="AD4118" t="s">
        <v>45439</v>
      </c>
      <c r="AE4118" t="s">
        <v>45440</v>
      </c>
      <c r="AF4118" t="s">
        <v>46835</v>
      </c>
    </row>
    <row r="4119" spans="1:33" x14ac:dyDescent="0.2">
      <c r="A4119">
        <v>4114</v>
      </c>
      <c r="B4119" t="s">
        <v>45441</v>
      </c>
      <c r="C4119" t="s">
        <v>45442</v>
      </c>
      <c r="D4119" t="s">
        <v>45443</v>
      </c>
      <c r="E4119" t="s">
        <v>45444</v>
      </c>
      <c r="F4119" t="s">
        <v>45445</v>
      </c>
      <c r="G4119" t="s">
        <v>45446</v>
      </c>
      <c r="H4119" t="str">
        <f>"Ube2s"</f>
        <v>Ube2s</v>
      </c>
      <c r="I4119" t="s">
        <v>45447</v>
      </c>
      <c r="J4119" t="s">
        <v>37</v>
      </c>
      <c r="K4119">
        <v>10090</v>
      </c>
      <c r="L4119" s="3" t="str">
        <f>HYPERLINK("http://www.uniprot.org/uniprot/Q921J4", "Q921J4")</f>
        <v>Q921J4</v>
      </c>
      <c r="M4119" t="s">
        <v>45448</v>
      </c>
      <c r="N4119" t="str">
        <f>"Ube2s"</f>
        <v>Ube2s</v>
      </c>
      <c r="O4119" s="3" t="str">
        <f>HYPERLINK("http://www.informatics.jax.org/marker/MGI:1925141", "MGI:1925141")</f>
        <v>MGI:1925141</v>
      </c>
      <c r="P4119" t="s">
        <v>45449</v>
      </c>
      <c r="Q4119" t="s">
        <v>45450</v>
      </c>
      <c r="R4119" t="s">
        <v>32</v>
      </c>
      <c r="S4119" t="s">
        <v>32</v>
      </c>
      <c r="T4119" t="s">
        <v>32</v>
      </c>
      <c r="U4119" t="s">
        <v>32</v>
      </c>
      <c r="V4119" t="s">
        <v>32</v>
      </c>
      <c r="W4119" t="s">
        <v>205</v>
      </c>
      <c r="X4119" t="s">
        <v>515</v>
      </c>
      <c r="Y4119" t="s">
        <v>1023</v>
      </c>
      <c r="Z4119" t="s">
        <v>32</v>
      </c>
      <c r="AA4119" t="s">
        <v>45451</v>
      </c>
      <c r="AB4119" t="s">
        <v>26055</v>
      </c>
      <c r="AC4119" t="s">
        <v>45452</v>
      </c>
      <c r="AD4119" t="s">
        <v>1027</v>
      </c>
      <c r="AE4119" t="s">
        <v>45453</v>
      </c>
      <c r="AF4119" t="s">
        <v>46835</v>
      </c>
    </row>
    <row r="4120" spans="1:33" x14ac:dyDescent="0.2">
      <c r="A4120">
        <v>4115</v>
      </c>
      <c r="B4120" t="s">
        <v>45454</v>
      </c>
      <c r="C4120" t="s">
        <v>45455</v>
      </c>
      <c r="D4120" t="s">
        <v>32</v>
      </c>
      <c r="E4120" t="s">
        <v>45456</v>
      </c>
      <c r="F4120" t="s">
        <v>45457</v>
      </c>
      <c r="G4120" t="s">
        <v>45458</v>
      </c>
      <c r="H4120" t="str">
        <f>"Cmc1"</f>
        <v>Cmc1</v>
      </c>
      <c r="I4120" t="s">
        <v>32</v>
      </c>
      <c r="J4120" t="s">
        <v>37</v>
      </c>
      <c r="K4120">
        <v>10090</v>
      </c>
      <c r="L4120" s="3" t="str">
        <f>HYPERLINK("http://www.uniprot.org/uniprot/Q9CPZ8", "Q9CPZ8")</f>
        <v>Q9CPZ8</v>
      </c>
      <c r="M4120" t="s">
        <v>45459</v>
      </c>
      <c r="N4120" t="str">
        <f>"Cmc1"</f>
        <v>Cmc1</v>
      </c>
      <c r="O4120" s="3" t="str">
        <f>HYPERLINK("http://www.informatics.jax.org/marker/MGI:1915149", "MGI:1915149")</f>
        <v>MGI:1915149</v>
      </c>
      <c r="P4120" t="s">
        <v>45460</v>
      </c>
      <c r="Q4120" t="s">
        <v>32</v>
      </c>
      <c r="R4120" t="s">
        <v>1038</v>
      </c>
      <c r="S4120" t="s">
        <v>32</v>
      </c>
      <c r="T4120" t="s">
        <v>32</v>
      </c>
      <c r="U4120" t="s">
        <v>32</v>
      </c>
      <c r="V4120" t="s">
        <v>32</v>
      </c>
      <c r="W4120" t="s">
        <v>11627</v>
      </c>
      <c r="X4120" t="s">
        <v>32</v>
      </c>
      <c r="Y4120" t="s">
        <v>8737</v>
      </c>
      <c r="Z4120" t="s">
        <v>32</v>
      </c>
      <c r="AA4120" t="s">
        <v>32</v>
      </c>
      <c r="AB4120" t="s">
        <v>3721</v>
      </c>
      <c r="AC4120" t="s">
        <v>4525</v>
      </c>
      <c r="AD4120" t="s">
        <v>32</v>
      </c>
      <c r="AE4120" t="s">
        <v>32</v>
      </c>
      <c r="AF4120" t="s">
        <v>46835</v>
      </c>
    </row>
    <row r="4121" spans="1:33" x14ac:dyDescent="0.2">
      <c r="A4121">
        <v>4116</v>
      </c>
      <c r="B4121" t="s">
        <v>45461</v>
      </c>
      <c r="C4121" t="s">
        <v>45462</v>
      </c>
      <c r="D4121" t="s">
        <v>45463</v>
      </c>
      <c r="E4121" t="s">
        <v>45464</v>
      </c>
      <c r="F4121" t="s">
        <v>45465</v>
      </c>
      <c r="G4121" t="s">
        <v>45466</v>
      </c>
      <c r="H4121" t="str">
        <f>"Taf12"</f>
        <v>Taf12</v>
      </c>
      <c r="I4121" t="s">
        <v>32</v>
      </c>
      <c r="J4121" t="s">
        <v>37</v>
      </c>
      <c r="K4121">
        <v>10090</v>
      </c>
      <c r="L4121" s="3" t="str">
        <f>HYPERLINK("http://www.uniprot.org/uniprot/Q8VE65", "Q8VE65")</f>
        <v>Q8VE65</v>
      </c>
      <c r="M4121" t="s">
        <v>45467</v>
      </c>
      <c r="N4121" t="str">
        <f>"Taf12"</f>
        <v>Taf12</v>
      </c>
      <c r="O4121" s="3" t="str">
        <f>HYPERLINK("http://www.informatics.jax.org/marker/MGI:1913714", "MGI:1913714")</f>
        <v>MGI:1913714</v>
      </c>
      <c r="P4121" t="s">
        <v>45468</v>
      </c>
      <c r="Q4121" t="s">
        <v>4152</v>
      </c>
      <c r="R4121" t="s">
        <v>2279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32</v>
      </c>
      <c r="Y4121" t="s">
        <v>1007</v>
      </c>
      <c r="Z4121" t="s">
        <v>32</v>
      </c>
      <c r="AA4121" t="s">
        <v>45469</v>
      </c>
      <c r="AB4121" t="s">
        <v>45470</v>
      </c>
      <c r="AC4121" t="s">
        <v>45471</v>
      </c>
      <c r="AD4121" t="s">
        <v>32</v>
      </c>
      <c r="AE4121" t="s">
        <v>34465</v>
      </c>
      <c r="AF4121" t="s">
        <v>46835</v>
      </c>
    </row>
    <row r="4122" spans="1:33" x14ac:dyDescent="0.2">
      <c r="A4122">
        <v>4117</v>
      </c>
      <c r="B4122" t="s">
        <v>45472</v>
      </c>
      <c r="C4122" t="s">
        <v>45473</v>
      </c>
      <c r="D4122" t="s">
        <v>32</v>
      </c>
      <c r="E4122" t="s">
        <v>45474</v>
      </c>
      <c r="F4122" t="s">
        <v>45475</v>
      </c>
      <c r="G4122" t="s">
        <v>45476</v>
      </c>
      <c r="H4122" t="str">
        <f>"Nhlrc3"</f>
        <v>Nhlrc3</v>
      </c>
      <c r="I4122" t="s">
        <v>32</v>
      </c>
      <c r="J4122" t="s">
        <v>37</v>
      </c>
      <c r="K4122">
        <v>10090</v>
      </c>
      <c r="L4122" s="3" t="str">
        <f>HYPERLINK("http://www.uniprot.org/uniprot/Q8CCH2", "Q8CCH2")</f>
        <v>Q8CCH2</v>
      </c>
      <c r="M4122" t="s">
        <v>45477</v>
      </c>
      <c r="N4122" t="str">
        <f>"Nhlrc3"</f>
        <v>Nhlrc3</v>
      </c>
      <c r="O4122" s="3" t="str">
        <f>HYPERLINK("http://www.informatics.jax.org/marker/MGI:2444520", "MGI:2444520")</f>
        <v>MGI:2444520</v>
      </c>
      <c r="P4122" t="s">
        <v>45478</v>
      </c>
      <c r="Q4122" t="s">
        <v>32</v>
      </c>
      <c r="R4122" t="s">
        <v>32</v>
      </c>
      <c r="S4122" t="s">
        <v>32</v>
      </c>
      <c r="T4122" t="s">
        <v>32</v>
      </c>
      <c r="U4122" t="s">
        <v>32</v>
      </c>
      <c r="V4122" t="s">
        <v>478</v>
      </c>
      <c r="W4122" t="s">
        <v>32</v>
      </c>
      <c r="X4122" t="s">
        <v>32</v>
      </c>
      <c r="Y4122" t="s">
        <v>3733</v>
      </c>
      <c r="Z4122" t="s">
        <v>32</v>
      </c>
      <c r="AA4122" t="s">
        <v>45479</v>
      </c>
      <c r="AB4122" t="s">
        <v>32</v>
      </c>
      <c r="AC4122" t="s">
        <v>34195</v>
      </c>
      <c r="AD4122" t="s">
        <v>32</v>
      </c>
      <c r="AE4122" t="s">
        <v>548</v>
      </c>
      <c r="AF4122" t="s">
        <v>46835</v>
      </c>
    </row>
    <row r="4123" spans="1:33" x14ac:dyDescent="0.2">
      <c r="A4123">
        <v>4118</v>
      </c>
      <c r="B4123" t="s">
        <v>45480</v>
      </c>
      <c r="C4123" t="s">
        <v>45481</v>
      </c>
      <c r="D4123" t="s">
        <v>45482</v>
      </c>
      <c r="E4123" t="s">
        <v>45483</v>
      </c>
      <c r="F4123" t="s">
        <v>45484</v>
      </c>
      <c r="G4123" t="s">
        <v>45485</v>
      </c>
      <c r="H4123" t="str">
        <f>"Ppp2r5c"</f>
        <v>Ppp2r5c</v>
      </c>
      <c r="I4123" t="s">
        <v>32</v>
      </c>
      <c r="J4123" t="s">
        <v>37</v>
      </c>
      <c r="K4123">
        <v>10090</v>
      </c>
      <c r="L4123" s="3" t="str">
        <f>HYPERLINK("http://www.uniprot.org/uniprot/Q60996", "Q60996")</f>
        <v>Q60996</v>
      </c>
      <c r="M4123" t="s">
        <v>45486</v>
      </c>
      <c r="N4123" t="str">
        <f>"Ppp2r5c"</f>
        <v>Ppp2r5c</v>
      </c>
      <c r="O4123" s="3" t="str">
        <f>HYPERLINK("http://www.informatics.jax.org/marker/MGI:1349475", "MGI:1349475")</f>
        <v>MGI:1349475</v>
      </c>
      <c r="P4123" t="s">
        <v>45487</v>
      </c>
      <c r="Q4123" t="s">
        <v>32</v>
      </c>
      <c r="R4123" t="s">
        <v>7397</v>
      </c>
      <c r="S4123" t="s">
        <v>41</v>
      </c>
      <c r="T4123" t="s">
        <v>32</v>
      </c>
      <c r="U4123" t="s">
        <v>32</v>
      </c>
      <c r="V4123" t="s">
        <v>32</v>
      </c>
      <c r="W4123" t="s">
        <v>32</v>
      </c>
      <c r="X4123" t="s">
        <v>32</v>
      </c>
      <c r="Y4123" t="s">
        <v>78</v>
      </c>
      <c r="Z4123" t="s">
        <v>32</v>
      </c>
      <c r="AA4123" t="s">
        <v>45488</v>
      </c>
      <c r="AB4123" t="s">
        <v>45489</v>
      </c>
      <c r="AC4123" t="s">
        <v>45490</v>
      </c>
      <c r="AD4123" t="s">
        <v>32</v>
      </c>
      <c r="AE4123" t="s">
        <v>45491</v>
      </c>
      <c r="AF4123" t="s">
        <v>46835</v>
      </c>
    </row>
    <row r="4124" spans="1:33" x14ac:dyDescent="0.2">
      <c r="A4124">
        <v>4119</v>
      </c>
      <c r="B4124" t="s">
        <v>45492</v>
      </c>
      <c r="C4124" t="s">
        <v>45493</v>
      </c>
      <c r="D4124" t="s">
        <v>45494</v>
      </c>
      <c r="E4124" t="s">
        <v>45495</v>
      </c>
      <c r="F4124" t="s">
        <v>45496</v>
      </c>
      <c r="G4124" t="s">
        <v>45497</v>
      </c>
      <c r="H4124" t="str">
        <f>"Nr2f6"</f>
        <v>Nr2f6</v>
      </c>
      <c r="I4124" t="s">
        <v>45498</v>
      </c>
      <c r="J4124" t="s">
        <v>37</v>
      </c>
      <c r="K4124">
        <v>10090</v>
      </c>
      <c r="L4124" s="3" t="str">
        <f>HYPERLINK("http://www.uniprot.org/uniprot/P43136", "P43136")</f>
        <v>P43136</v>
      </c>
      <c r="M4124" t="s">
        <v>45499</v>
      </c>
      <c r="N4124" t="str">
        <f>"Nr2f6"</f>
        <v>Nr2f6</v>
      </c>
      <c r="O4124" s="3" t="str">
        <f>HYPERLINK("http://www.informatics.jax.org/marker/MGI:1352453", "MGI:1352453")</f>
        <v>MGI:1352453</v>
      </c>
      <c r="P4124" t="s">
        <v>45500</v>
      </c>
      <c r="Q4124" t="s">
        <v>4152</v>
      </c>
      <c r="R4124" t="s">
        <v>2279</v>
      </c>
      <c r="S4124" t="s">
        <v>32</v>
      </c>
      <c r="T4124" t="s">
        <v>32</v>
      </c>
      <c r="U4124" t="s">
        <v>32</v>
      </c>
      <c r="V4124" t="s">
        <v>446</v>
      </c>
      <c r="W4124" t="s">
        <v>42</v>
      </c>
      <c r="X4124" t="s">
        <v>45501</v>
      </c>
      <c r="Y4124" t="s">
        <v>618</v>
      </c>
      <c r="Z4124" t="s">
        <v>32</v>
      </c>
      <c r="AA4124" t="s">
        <v>45502</v>
      </c>
      <c r="AB4124" t="s">
        <v>3606</v>
      </c>
      <c r="AC4124" t="s">
        <v>45503</v>
      </c>
      <c r="AD4124" t="s">
        <v>32</v>
      </c>
      <c r="AE4124" t="s">
        <v>45504</v>
      </c>
      <c r="AF4124" t="s">
        <v>46835</v>
      </c>
    </row>
    <row r="4125" spans="1:33" x14ac:dyDescent="0.2">
      <c r="A4125">
        <v>4120</v>
      </c>
      <c r="B4125" t="s">
        <v>45505</v>
      </c>
      <c r="C4125" t="s">
        <v>47196</v>
      </c>
      <c r="D4125" t="s">
        <v>32</v>
      </c>
      <c r="E4125" t="s">
        <v>47094</v>
      </c>
      <c r="F4125" t="s">
        <v>47093</v>
      </c>
      <c r="G4125" t="s">
        <v>32</v>
      </c>
      <c r="H4125" t="s">
        <v>47327</v>
      </c>
      <c r="I4125" t="s">
        <v>32</v>
      </c>
      <c r="J4125" t="s">
        <v>37</v>
      </c>
      <c r="K4125">
        <v>10090</v>
      </c>
      <c r="L4125" s="3" t="str">
        <f>HYPERLINK(CONCATENATE("https://www.uniprot.org/uniprotkb/", AG4125, "/entry"), AG4125)</f>
        <v>E9PZP8</v>
      </c>
      <c r="M4125" t="s">
        <v>32</v>
      </c>
      <c r="N4125" t="s">
        <v>32</v>
      </c>
      <c r="O4125" s="3" t="s">
        <v>32</v>
      </c>
      <c r="P4125" t="s">
        <v>32</v>
      </c>
      <c r="Q4125" t="s">
        <v>32</v>
      </c>
      <c r="R4125" t="s">
        <v>32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32</v>
      </c>
      <c r="Y4125" t="s">
        <v>32</v>
      </c>
      <c r="Z4125" t="s">
        <v>32</v>
      </c>
      <c r="AA4125" t="s">
        <v>32</v>
      </c>
      <c r="AB4125" t="s">
        <v>32</v>
      </c>
      <c r="AC4125" t="s">
        <v>32</v>
      </c>
      <c r="AD4125" t="s">
        <v>32</v>
      </c>
      <c r="AE4125" t="s">
        <v>32</v>
      </c>
      <c r="AF4125" t="s">
        <v>46835</v>
      </c>
      <c r="AG4125" t="s">
        <v>47093</v>
      </c>
    </row>
    <row r="4126" spans="1:33" x14ac:dyDescent="0.2">
      <c r="A4126">
        <v>4121</v>
      </c>
      <c r="B4126" t="s">
        <v>45506</v>
      </c>
      <c r="C4126" t="s">
        <v>45507</v>
      </c>
      <c r="D4126" t="s">
        <v>45508</v>
      </c>
      <c r="E4126" t="s">
        <v>45509</v>
      </c>
      <c r="F4126" t="s">
        <v>45510</v>
      </c>
      <c r="G4126" t="s">
        <v>45511</v>
      </c>
      <c r="H4126" t="str">
        <f>"Lipa"</f>
        <v>Lipa</v>
      </c>
      <c r="I4126" t="s">
        <v>45512</v>
      </c>
      <c r="J4126" t="s">
        <v>37</v>
      </c>
      <c r="K4126">
        <v>10090</v>
      </c>
      <c r="L4126" s="3" t="str">
        <f>HYPERLINK("http://www.uniprot.org/uniprot/Q9Z0M5", "Q9Z0M5")</f>
        <v>Q9Z0M5</v>
      </c>
      <c r="M4126" t="s">
        <v>45513</v>
      </c>
      <c r="N4126" t="str">
        <f>"Lipa"</f>
        <v>Lipa</v>
      </c>
      <c r="O4126" s="3" t="str">
        <f>HYPERLINK("http://www.informatics.jax.org/marker/MGI:96789", "MGI:96789")</f>
        <v>MGI:96789</v>
      </c>
      <c r="P4126" t="s">
        <v>45514</v>
      </c>
      <c r="Q4126" t="s">
        <v>4809</v>
      </c>
      <c r="R4126" t="s">
        <v>13962</v>
      </c>
      <c r="S4126" t="s">
        <v>32</v>
      </c>
      <c r="T4126" t="s">
        <v>32</v>
      </c>
      <c r="U4126" t="s">
        <v>32</v>
      </c>
      <c r="V4126" t="s">
        <v>811</v>
      </c>
      <c r="W4126" t="s">
        <v>32</v>
      </c>
      <c r="X4126" t="s">
        <v>343</v>
      </c>
      <c r="Y4126" t="s">
        <v>3733</v>
      </c>
      <c r="Z4126" t="s">
        <v>32</v>
      </c>
      <c r="AA4126" t="s">
        <v>45515</v>
      </c>
      <c r="AB4126" t="s">
        <v>45516</v>
      </c>
      <c r="AC4126" t="s">
        <v>45517</v>
      </c>
      <c r="AD4126" t="s">
        <v>32</v>
      </c>
      <c r="AE4126" t="s">
        <v>45518</v>
      </c>
      <c r="AF4126" t="s">
        <v>46835</v>
      </c>
    </row>
    <row r="4127" spans="1:33" x14ac:dyDescent="0.2">
      <c r="A4127">
        <v>4122</v>
      </c>
      <c r="B4127" t="s">
        <v>45519</v>
      </c>
      <c r="C4127" t="s">
        <v>45520</v>
      </c>
      <c r="D4127" t="s">
        <v>45521</v>
      </c>
      <c r="E4127" t="s">
        <v>45522</v>
      </c>
      <c r="F4127" t="s">
        <v>45523</v>
      </c>
      <c r="G4127" t="s">
        <v>45524</v>
      </c>
      <c r="H4127" t="str">
        <f>"Senp8"</f>
        <v>Senp8</v>
      </c>
      <c r="I4127" t="s">
        <v>45525</v>
      </c>
      <c r="J4127" t="s">
        <v>37</v>
      </c>
      <c r="K4127">
        <v>10090</v>
      </c>
      <c r="L4127" s="3" t="str">
        <f>HYPERLINK("http://www.uniprot.org/uniprot/Q9D2Z4", "Q9D2Z4")</f>
        <v>Q9D2Z4</v>
      </c>
      <c r="M4127" t="s">
        <v>45526</v>
      </c>
      <c r="N4127" t="str">
        <f>"Senp8"</f>
        <v>Senp8</v>
      </c>
      <c r="O4127" s="3" t="str">
        <f>HYPERLINK("http://www.informatics.jax.org/marker/MGI:1918849", "MGI:1918849")</f>
        <v>MGI:1918849</v>
      </c>
      <c r="P4127" t="s">
        <v>45527</v>
      </c>
      <c r="Q4127" t="s">
        <v>1020</v>
      </c>
      <c r="R4127" t="s">
        <v>32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557</v>
      </c>
      <c r="Y4127" t="s">
        <v>78</v>
      </c>
      <c r="Z4127" t="s">
        <v>32</v>
      </c>
      <c r="AA4127" t="s">
        <v>45528</v>
      </c>
      <c r="AB4127" t="s">
        <v>3606</v>
      </c>
      <c r="AC4127" t="s">
        <v>45529</v>
      </c>
      <c r="AD4127" t="s">
        <v>32</v>
      </c>
      <c r="AE4127" t="s">
        <v>45530</v>
      </c>
      <c r="AF4127" t="s">
        <v>46835</v>
      </c>
    </row>
    <row r="4128" spans="1:33" x14ac:dyDescent="0.2">
      <c r="A4128">
        <v>4123</v>
      </c>
      <c r="B4128" t="s">
        <v>45531</v>
      </c>
      <c r="C4128" t="s">
        <v>45532</v>
      </c>
      <c r="D4128" t="s">
        <v>32</v>
      </c>
      <c r="E4128" t="s">
        <v>45533</v>
      </c>
      <c r="F4128" t="s">
        <v>45534</v>
      </c>
      <c r="G4128" t="s">
        <v>45535</v>
      </c>
      <c r="H4128" t="str">
        <f>"Igfbp2"</f>
        <v>Igfbp2</v>
      </c>
      <c r="I4128" t="s">
        <v>45536</v>
      </c>
      <c r="J4128" t="s">
        <v>37</v>
      </c>
      <c r="K4128">
        <v>10090</v>
      </c>
      <c r="L4128" s="3" t="str">
        <f>HYPERLINK("http://www.uniprot.org/uniprot/P47877", "P47877")</f>
        <v>P47877</v>
      </c>
      <c r="M4128" t="s">
        <v>45537</v>
      </c>
      <c r="N4128" t="str">
        <f>"Igfbp2"</f>
        <v>Igfbp2</v>
      </c>
      <c r="O4128" s="3" t="str">
        <f>HYPERLINK("http://www.informatics.jax.org/marker/MGI:96437", "MGI:96437")</f>
        <v>MGI:96437</v>
      </c>
      <c r="P4128" t="s">
        <v>45538</v>
      </c>
      <c r="Q4128" t="s">
        <v>15146</v>
      </c>
      <c r="R4128" t="s">
        <v>630</v>
      </c>
      <c r="S4128" t="s">
        <v>32</v>
      </c>
      <c r="T4128" t="s">
        <v>32</v>
      </c>
      <c r="U4128" t="s">
        <v>32</v>
      </c>
      <c r="V4128" t="s">
        <v>811</v>
      </c>
      <c r="W4128" t="s">
        <v>32</v>
      </c>
      <c r="X4128" t="s">
        <v>9153</v>
      </c>
      <c r="Y4128" t="s">
        <v>5275</v>
      </c>
      <c r="Z4128" t="s">
        <v>32</v>
      </c>
      <c r="AA4128" t="s">
        <v>45539</v>
      </c>
      <c r="AB4128" t="s">
        <v>45540</v>
      </c>
      <c r="AC4128" t="s">
        <v>45541</v>
      </c>
      <c r="AD4128" t="s">
        <v>32</v>
      </c>
      <c r="AE4128" t="s">
        <v>45542</v>
      </c>
      <c r="AF4128" t="s">
        <v>46835</v>
      </c>
    </row>
    <row r="4129" spans="1:33" x14ac:dyDescent="0.2">
      <c r="A4129">
        <v>4124</v>
      </c>
      <c r="B4129" t="s">
        <v>45543</v>
      </c>
      <c r="C4129" t="s">
        <v>45544</v>
      </c>
      <c r="D4129" t="s">
        <v>45545</v>
      </c>
      <c r="E4129" t="s">
        <v>45546</v>
      </c>
      <c r="F4129" t="s">
        <v>45547</v>
      </c>
      <c r="G4129" t="s">
        <v>45548</v>
      </c>
      <c r="H4129" t="str">
        <f>"Mtcl1"</f>
        <v>Mtcl1</v>
      </c>
      <c r="I4129" t="s">
        <v>45549</v>
      </c>
      <c r="J4129" t="s">
        <v>37</v>
      </c>
      <c r="K4129">
        <v>10090</v>
      </c>
      <c r="L4129" s="3" t="str">
        <f>HYPERLINK("http://www.uniprot.org/uniprot/Q3UHU5", "Q3UHU5")</f>
        <v>Q3UHU5</v>
      </c>
      <c r="M4129" t="s">
        <v>45550</v>
      </c>
      <c r="N4129" t="str">
        <f>"Mtcl1"</f>
        <v>Mtcl1</v>
      </c>
      <c r="O4129" s="3" t="str">
        <f>HYPERLINK("http://www.informatics.jax.org/marker/MGI:1915867", "MGI:1915867")</f>
        <v>MGI:1915867</v>
      </c>
      <c r="P4129" t="s">
        <v>45551</v>
      </c>
      <c r="Q4129" t="s">
        <v>32</v>
      </c>
      <c r="R4129" t="s">
        <v>371</v>
      </c>
      <c r="S4129" t="s">
        <v>41</v>
      </c>
      <c r="T4129" t="s">
        <v>32</v>
      </c>
      <c r="U4129" t="s">
        <v>32</v>
      </c>
      <c r="V4129" t="s">
        <v>290</v>
      </c>
      <c r="W4129" t="s">
        <v>32</v>
      </c>
      <c r="X4129" t="s">
        <v>32</v>
      </c>
      <c r="Y4129" t="s">
        <v>618</v>
      </c>
      <c r="Z4129" t="s">
        <v>32</v>
      </c>
      <c r="AA4129" t="s">
        <v>45552</v>
      </c>
      <c r="AB4129" t="s">
        <v>45553</v>
      </c>
      <c r="AC4129" t="s">
        <v>45554</v>
      </c>
      <c r="AD4129" t="s">
        <v>32</v>
      </c>
      <c r="AE4129" t="s">
        <v>32</v>
      </c>
      <c r="AF4129" t="s">
        <v>46835</v>
      </c>
    </row>
    <row r="4130" spans="1:33" x14ac:dyDescent="0.2">
      <c r="A4130">
        <v>4125</v>
      </c>
      <c r="B4130" t="s">
        <v>45555</v>
      </c>
      <c r="C4130" t="s">
        <v>45556</v>
      </c>
      <c r="D4130" t="s">
        <v>32</v>
      </c>
      <c r="E4130" t="s">
        <v>45557</v>
      </c>
      <c r="F4130" t="s">
        <v>45558</v>
      </c>
      <c r="G4130" t="s">
        <v>45559</v>
      </c>
      <c r="H4130" t="str">
        <f>"Gpalpp1"</f>
        <v>Gpalpp1</v>
      </c>
      <c r="I4130" t="s">
        <v>45560</v>
      </c>
      <c r="J4130" t="s">
        <v>37</v>
      </c>
      <c r="K4130">
        <v>10090</v>
      </c>
      <c r="L4130" s="3" t="str">
        <f>HYPERLINK("http://www.uniprot.org/uniprot/Q69ZC8", "Q69ZC8")</f>
        <v>Q69ZC8</v>
      </c>
      <c r="M4130" t="s">
        <v>45561</v>
      </c>
      <c r="N4130" t="str">
        <f>"Gpalpp1"</f>
        <v>Gpalpp1</v>
      </c>
      <c r="O4130" s="3" t="str">
        <f>HYPERLINK("http://www.informatics.jax.org/marker/MGI:1914717", "MGI:1914717")</f>
        <v>MGI:1914717</v>
      </c>
      <c r="P4130" t="s">
        <v>516</v>
      </c>
      <c r="Q4130" t="s">
        <v>32</v>
      </c>
      <c r="R4130" t="s">
        <v>32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32</v>
      </c>
      <c r="Y4130" t="s">
        <v>516</v>
      </c>
      <c r="Z4130" t="s">
        <v>32</v>
      </c>
      <c r="AA4130" t="s">
        <v>32</v>
      </c>
      <c r="AB4130" t="s">
        <v>32</v>
      </c>
      <c r="AC4130" t="s">
        <v>32</v>
      </c>
      <c r="AD4130" t="s">
        <v>32</v>
      </c>
      <c r="AE4130" t="s">
        <v>32</v>
      </c>
      <c r="AF4130" t="s">
        <v>46835</v>
      </c>
    </row>
    <row r="4131" spans="1:33" x14ac:dyDescent="0.2">
      <c r="A4131">
        <v>4126</v>
      </c>
      <c r="B4131" t="s">
        <v>45562</v>
      </c>
      <c r="C4131" t="s">
        <v>45563</v>
      </c>
      <c r="D4131" t="s">
        <v>45564</v>
      </c>
      <c r="E4131" t="s">
        <v>45565</v>
      </c>
      <c r="F4131" t="s">
        <v>45566</v>
      </c>
      <c r="G4131" t="s">
        <v>45567</v>
      </c>
      <c r="H4131" t="str">
        <f>"Trim24"</f>
        <v>Trim24</v>
      </c>
      <c r="I4131" t="s">
        <v>45568</v>
      </c>
      <c r="J4131" t="s">
        <v>37</v>
      </c>
      <c r="K4131">
        <v>10090</v>
      </c>
      <c r="L4131" s="3" t="str">
        <f>HYPERLINK("http://www.uniprot.org/uniprot/Q64127", "Q64127")</f>
        <v>Q64127</v>
      </c>
      <c r="M4131" t="s">
        <v>45569</v>
      </c>
      <c r="N4131" t="str">
        <f>"Trim24"</f>
        <v>Trim24</v>
      </c>
      <c r="O4131" s="3" t="str">
        <f>HYPERLINK("http://www.informatics.jax.org/marker/MGI:109275", "MGI:109275")</f>
        <v>MGI:109275</v>
      </c>
      <c r="P4131" t="s">
        <v>45570</v>
      </c>
      <c r="Q4131" t="s">
        <v>2278</v>
      </c>
      <c r="R4131" t="s">
        <v>40</v>
      </c>
      <c r="S4131" t="s">
        <v>45571</v>
      </c>
      <c r="T4131" t="s">
        <v>32</v>
      </c>
      <c r="U4131" t="s">
        <v>27831</v>
      </c>
      <c r="V4131" t="s">
        <v>2280</v>
      </c>
      <c r="W4131" t="s">
        <v>42</v>
      </c>
      <c r="X4131" t="s">
        <v>41311</v>
      </c>
      <c r="Y4131" t="s">
        <v>2192</v>
      </c>
      <c r="Z4131" t="s">
        <v>32</v>
      </c>
      <c r="AA4131" t="s">
        <v>45572</v>
      </c>
      <c r="AB4131" t="s">
        <v>45573</v>
      </c>
      <c r="AC4131" t="s">
        <v>45574</v>
      </c>
      <c r="AD4131" t="s">
        <v>1027</v>
      </c>
      <c r="AE4131" t="s">
        <v>32</v>
      </c>
      <c r="AF4131" t="s">
        <v>46835</v>
      </c>
    </row>
    <row r="4132" spans="1:33" x14ac:dyDescent="0.2">
      <c r="A4132">
        <v>4127</v>
      </c>
      <c r="B4132" t="s">
        <v>45575</v>
      </c>
      <c r="C4132" t="s">
        <v>45576</v>
      </c>
      <c r="D4132" t="s">
        <v>32</v>
      </c>
      <c r="E4132" t="s">
        <v>45577</v>
      </c>
      <c r="F4132" t="s">
        <v>45578</v>
      </c>
      <c r="G4132" t="s">
        <v>45579</v>
      </c>
      <c r="H4132" t="str">
        <f>"Olfml3"</f>
        <v>Olfml3</v>
      </c>
      <c r="I4132" t="s">
        <v>32</v>
      </c>
      <c r="J4132" t="s">
        <v>37</v>
      </c>
      <c r="K4132">
        <v>10090</v>
      </c>
      <c r="L4132" s="3" t="str">
        <f>HYPERLINK("http://www.uniprot.org/uniprot/Q8BK62", "Q8BK62")</f>
        <v>Q8BK62</v>
      </c>
      <c r="M4132" t="s">
        <v>45580</v>
      </c>
      <c r="N4132" t="str">
        <f>"Olfml3"</f>
        <v>Olfml3</v>
      </c>
      <c r="O4132" s="3" t="str">
        <f>HYPERLINK("http://www.informatics.jax.org/marker/MGI:1914877", "MGI:1914877")</f>
        <v>MGI:1914877</v>
      </c>
      <c r="P4132" t="s">
        <v>45581</v>
      </c>
      <c r="Q4132" t="s">
        <v>32</v>
      </c>
      <c r="R4132" t="s">
        <v>630</v>
      </c>
      <c r="S4132" t="s">
        <v>32</v>
      </c>
      <c r="T4132" t="s">
        <v>32</v>
      </c>
      <c r="U4132" t="s">
        <v>32</v>
      </c>
      <c r="V4132" t="s">
        <v>5956</v>
      </c>
      <c r="W4132" t="s">
        <v>32</v>
      </c>
      <c r="X4132" t="s">
        <v>2029</v>
      </c>
      <c r="Y4132" t="s">
        <v>5275</v>
      </c>
      <c r="Z4132" t="s">
        <v>32</v>
      </c>
      <c r="AA4132" t="s">
        <v>19551</v>
      </c>
      <c r="AB4132" t="s">
        <v>9349</v>
      </c>
      <c r="AC4132" t="s">
        <v>32</v>
      </c>
      <c r="AD4132" t="s">
        <v>32</v>
      </c>
      <c r="AE4132" t="s">
        <v>32</v>
      </c>
      <c r="AF4132" t="s">
        <v>46835</v>
      </c>
    </row>
    <row r="4133" spans="1:33" x14ac:dyDescent="0.2">
      <c r="A4133">
        <v>4128</v>
      </c>
      <c r="B4133" t="s">
        <v>45582</v>
      </c>
      <c r="C4133" t="s">
        <v>45583</v>
      </c>
      <c r="D4133" t="s">
        <v>45584</v>
      </c>
      <c r="E4133" t="s">
        <v>45585</v>
      </c>
      <c r="F4133" t="s">
        <v>45586</v>
      </c>
      <c r="G4133" t="s">
        <v>45587</v>
      </c>
      <c r="H4133" t="str">
        <f>"Selenoo"</f>
        <v>Selenoo</v>
      </c>
      <c r="I4133" t="s">
        <v>32</v>
      </c>
      <c r="J4133" t="s">
        <v>37</v>
      </c>
      <c r="K4133">
        <v>10090</v>
      </c>
      <c r="L4133" s="3" t="str">
        <f>HYPERLINK("http://www.uniprot.org/uniprot/Q9DBC0", "Q9DBC0")</f>
        <v>Q9DBC0</v>
      </c>
      <c r="M4133" t="s">
        <v>45588</v>
      </c>
      <c r="N4133" t="str">
        <f>"Selenoo"</f>
        <v>Selenoo</v>
      </c>
      <c r="O4133" s="3" t="str">
        <f>HYPERLINK("http://www.informatics.jax.org/marker/MGI:1919007", "MGI:1919007")</f>
        <v>MGI:1919007</v>
      </c>
      <c r="P4133" t="s">
        <v>45589</v>
      </c>
      <c r="Q4133" t="s">
        <v>32</v>
      </c>
      <c r="R4133" t="s">
        <v>1038</v>
      </c>
      <c r="S4133" t="s">
        <v>8573</v>
      </c>
      <c r="T4133" t="s">
        <v>32</v>
      </c>
      <c r="U4133" t="s">
        <v>32</v>
      </c>
      <c r="V4133" t="s">
        <v>1039</v>
      </c>
      <c r="W4133" t="s">
        <v>1266</v>
      </c>
      <c r="X4133" t="s">
        <v>7489</v>
      </c>
      <c r="Y4133" t="s">
        <v>618</v>
      </c>
      <c r="Z4133" t="s">
        <v>32</v>
      </c>
      <c r="AA4133" t="s">
        <v>45590</v>
      </c>
      <c r="AB4133" t="s">
        <v>45591</v>
      </c>
      <c r="AC4133" t="s">
        <v>45592</v>
      </c>
      <c r="AD4133" t="s">
        <v>32</v>
      </c>
      <c r="AE4133" t="s">
        <v>32</v>
      </c>
      <c r="AF4133" t="s">
        <v>46835</v>
      </c>
    </row>
    <row r="4134" spans="1:33" x14ac:dyDescent="0.2">
      <c r="A4134">
        <v>4129</v>
      </c>
      <c r="B4134" t="s">
        <v>45593</v>
      </c>
      <c r="C4134" t="s">
        <v>45594</v>
      </c>
      <c r="D4134" t="s">
        <v>32</v>
      </c>
      <c r="E4134" t="s">
        <v>45595</v>
      </c>
      <c r="F4134" t="s">
        <v>45596</v>
      </c>
      <c r="G4134" t="s">
        <v>45597</v>
      </c>
      <c r="H4134" t="str">
        <f>"Tbc1d5"</f>
        <v>Tbc1d5</v>
      </c>
      <c r="I4134" t="s">
        <v>32</v>
      </c>
      <c r="J4134" t="s">
        <v>37</v>
      </c>
      <c r="K4134">
        <v>10090</v>
      </c>
      <c r="L4134" s="3" t="str">
        <f>HYPERLINK("http://www.uniprot.org/uniprot/Q80XQ2", "Q80XQ2")</f>
        <v>Q80XQ2</v>
      </c>
      <c r="M4134" t="s">
        <v>45598</v>
      </c>
      <c r="N4134" t="str">
        <f>"Tbc1d5"</f>
        <v>Tbc1d5</v>
      </c>
      <c r="O4134" s="3" t="str">
        <f>HYPERLINK("http://www.informatics.jax.org/marker/MGI:1919488", "MGI:1919488")</f>
        <v>MGI:1919488</v>
      </c>
      <c r="P4134" t="s">
        <v>45599</v>
      </c>
      <c r="Q4134" t="s">
        <v>23025</v>
      </c>
      <c r="R4134" t="s">
        <v>45288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715</v>
      </c>
      <c r="Y4134" t="s">
        <v>2734</v>
      </c>
      <c r="Z4134" t="s">
        <v>32</v>
      </c>
      <c r="AA4134" t="s">
        <v>45600</v>
      </c>
      <c r="AB4134" t="s">
        <v>45601</v>
      </c>
      <c r="AC4134" t="s">
        <v>45602</v>
      </c>
      <c r="AD4134" t="s">
        <v>32</v>
      </c>
      <c r="AE4134" t="s">
        <v>32</v>
      </c>
      <c r="AF4134" t="s">
        <v>46835</v>
      </c>
    </row>
    <row r="4135" spans="1:33" x14ac:dyDescent="0.2">
      <c r="A4135">
        <v>4130</v>
      </c>
      <c r="B4135" t="s">
        <v>45603</v>
      </c>
      <c r="C4135" t="s">
        <v>45604</v>
      </c>
      <c r="D4135" t="s">
        <v>45605</v>
      </c>
      <c r="E4135" t="s">
        <v>45606</v>
      </c>
      <c r="F4135" t="s">
        <v>45607</v>
      </c>
      <c r="G4135" t="s">
        <v>45608</v>
      </c>
      <c r="H4135" t="str">
        <f>"Cds2"</f>
        <v>Cds2</v>
      </c>
      <c r="I4135" t="s">
        <v>32</v>
      </c>
      <c r="J4135" t="s">
        <v>37</v>
      </c>
      <c r="K4135">
        <v>10090</v>
      </c>
      <c r="L4135" s="3" t="str">
        <f>HYPERLINK("http://www.uniprot.org/uniprot/Q99L43", "Q99L43")</f>
        <v>Q99L43</v>
      </c>
      <c r="M4135" t="s">
        <v>45609</v>
      </c>
      <c r="N4135" t="str">
        <f>"Cds2"</f>
        <v>Cds2</v>
      </c>
      <c r="O4135" s="3" t="str">
        <f>HYPERLINK("http://www.informatics.jax.org/marker/MGI:1332236", "MGI:1332236")</f>
        <v>MGI:1332236</v>
      </c>
      <c r="P4135" t="s">
        <v>45610</v>
      </c>
      <c r="Q4135" t="s">
        <v>22663</v>
      </c>
      <c r="R4135" t="s">
        <v>1664</v>
      </c>
      <c r="S4135" t="s">
        <v>32</v>
      </c>
      <c r="T4135" t="s">
        <v>32</v>
      </c>
      <c r="U4135" t="s">
        <v>32</v>
      </c>
      <c r="V4135" t="s">
        <v>493</v>
      </c>
      <c r="W4135" t="s">
        <v>32</v>
      </c>
      <c r="X4135" t="s">
        <v>7489</v>
      </c>
      <c r="Y4135" t="s">
        <v>618</v>
      </c>
      <c r="Z4135" t="s">
        <v>32</v>
      </c>
      <c r="AA4135" t="s">
        <v>45611</v>
      </c>
      <c r="AB4135" t="s">
        <v>16952</v>
      </c>
      <c r="AC4135" t="s">
        <v>45612</v>
      </c>
      <c r="AD4135" t="s">
        <v>45613</v>
      </c>
      <c r="AE4135" t="s">
        <v>45614</v>
      </c>
      <c r="AF4135" t="s">
        <v>46835</v>
      </c>
    </row>
    <row r="4136" spans="1:33" x14ac:dyDescent="0.2">
      <c r="A4136">
        <v>4131</v>
      </c>
      <c r="B4136" t="s">
        <v>45615</v>
      </c>
      <c r="C4136" t="s">
        <v>47163</v>
      </c>
      <c r="D4136" t="s">
        <v>32</v>
      </c>
      <c r="E4136" t="s">
        <v>47096</v>
      </c>
      <c r="F4136" t="s">
        <v>47095</v>
      </c>
      <c r="G4136" t="s">
        <v>32</v>
      </c>
      <c r="H4136" t="s">
        <v>47294</v>
      </c>
      <c r="I4136" t="s">
        <v>32</v>
      </c>
      <c r="J4136" t="s">
        <v>37</v>
      </c>
      <c r="K4136">
        <v>10090</v>
      </c>
      <c r="L4136" s="3" t="str">
        <f>HYPERLINK(CONCATENATE("https://www.uniprot.org/uniprotkb/", AG4136, "/entry"), AG4136)</f>
        <v>Q3TAQ9</v>
      </c>
      <c r="M4136" t="s">
        <v>32</v>
      </c>
      <c r="N4136" t="s">
        <v>32</v>
      </c>
      <c r="O4136" s="3" t="s">
        <v>32</v>
      </c>
      <c r="P4136" t="s">
        <v>32</v>
      </c>
      <c r="Q4136" t="s">
        <v>32</v>
      </c>
      <c r="R4136" t="s">
        <v>32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32</v>
      </c>
      <c r="Y4136" t="s">
        <v>32</v>
      </c>
      <c r="Z4136" t="s">
        <v>32</v>
      </c>
      <c r="AA4136" t="s">
        <v>32</v>
      </c>
      <c r="AB4136" t="s">
        <v>32</v>
      </c>
      <c r="AC4136" t="s">
        <v>32</v>
      </c>
      <c r="AD4136" t="s">
        <v>32</v>
      </c>
      <c r="AE4136" t="s">
        <v>32</v>
      </c>
      <c r="AF4136" t="s">
        <v>46835</v>
      </c>
      <c r="AG4136" t="s">
        <v>47095</v>
      </c>
    </row>
    <row r="4137" spans="1:33" x14ac:dyDescent="0.2">
      <c r="A4137">
        <v>4132</v>
      </c>
      <c r="B4137" t="s">
        <v>45616</v>
      </c>
      <c r="C4137" t="s">
        <v>45617</v>
      </c>
      <c r="D4137" t="s">
        <v>45618</v>
      </c>
      <c r="E4137" t="s">
        <v>45619</v>
      </c>
      <c r="F4137" t="s">
        <v>45620</v>
      </c>
      <c r="G4137" t="s">
        <v>45621</v>
      </c>
      <c r="H4137" t="str">
        <f>"Cdh6"</f>
        <v>Cdh6</v>
      </c>
      <c r="I4137" t="s">
        <v>32</v>
      </c>
      <c r="J4137" t="s">
        <v>37</v>
      </c>
      <c r="K4137">
        <v>10090</v>
      </c>
      <c r="L4137" s="3" t="str">
        <f>HYPERLINK("http://www.uniprot.org/uniprot/P97326", "P97326")</f>
        <v>P97326</v>
      </c>
      <c r="M4137" t="s">
        <v>45622</v>
      </c>
      <c r="N4137" t="str">
        <f>"Cdh6"</f>
        <v>Cdh6</v>
      </c>
      <c r="O4137" s="3" t="str">
        <f>HYPERLINK("http://www.informatics.jax.org/marker/MGI:107435", "MGI:107435")</f>
        <v>MGI:107435</v>
      </c>
      <c r="P4137" t="s">
        <v>45623</v>
      </c>
      <c r="Q4137" t="s">
        <v>2784</v>
      </c>
      <c r="R4137" t="s">
        <v>2474</v>
      </c>
      <c r="S4137" t="s">
        <v>32</v>
      </c>
      <c r="T4137" t="s">
        <v>32</v>
      </c>
      <c r="U4137" t="s">
        <v>32</v>
      </c>
      <c r="V4137" t="s">
        <v>1665</v>
      </c>
      <c r="W4137" t="s">
        <v>188</v>
      </c>
      <c r="X4137" t="s">
        <v>32</v>
      </c>
      <c r="Y4137" t="s">
        <v>5513</v>
      </c>
      <c r="Z4137" t="s">
        <v>126</v>
      </c>
      <c r="AA4137" t="s">
        <v>45624</v>
      </c>
      <c r="AB4137" t="s">
        <v>45625</v>
      </c>
      <c r="AC4137" t="s">
        <v>42665</v>
      </c>
      <c r="AD4137" t="s">
        <v>32</v>
      </c>
      <c r="AE4137" t="s">
        <v>8776</v>
      </c>
      <c r="AF4137" t="s">
        <v>46835</v>
      </c>
    </row>
    <row r="4138" spans="1:33" x14ac:dyDescent="0.2">
      <c r="A4138">
        <v>4133</v>
      </c>
      <c r="B4138" t="s">
        <v>45626</v>
      </c>
      <c r="C4138" t="s">
        <v>45627</v>
      </c>
      <c r="D4138" t="s">
        <v>32</v>
      </c>
      <c r="E4138" t="s">
        <v>45628</v>
      </c>
      <c r="F4138" t="s">
        <v>45629</v>
      </c>
      <c r="G4138" t="s">
        <v>45630</v>
      </c>
      <c r="H4138" t="str">
        <f>"Mta3"</f>
        <v>Mta3</v>
      </c>
      <c r="I4138" t="s">
        <v>32</v>
      </c>
      <c r="J4138" t="s">
        <v>37</v>
      </c>
      <c r="K4138">
        <v>10090</v>
      </c>
      <c r="L4138" s="3" t="str">
        <f>HYPERLINK("http://www.uniprot.org/uniprot/Q924K8", "Q924K8")</f>
        <v>Q924K8</v>
      </c>
      <c r="M4138" t="s">
        <v>45631</v>
      </c>
      <c r="N4138" t="str">
        <f>"Mta3"</f>
        <v>Mta3</v>
      </c>
      <c r="O4138" s="3" t="str">
        <f>HYPERLINK("http://www.informatics.jax.org/marker/MGI:2151172", "MGI:2151172")</f>
        <v>MGI:2151172</v>
      </c>
      <c r="P4138" t="s">
        <v>45632</v>
      </c>
      <c r="Q4138" t="s">
        <v>32</v>
      </c>
      <c r="R4138" t="s">
        <v>40</v>
      </c>
      <c r="S4138" t="s">
        <v>41</v>
      </c>
      <c r="T4138" t="s">
        <v>32</v>
      </c>
      <c r="U4138" t="s">
        <v>32</v>
      </c>
      <c r="V4138" t="s">
        <v>446</v>
      </c>
      <c r="W4138" t="s">
        <v>42</v>
      </c>
      <c r="X4138" t="s">
        <v>247</v>
      </c>
      <c r="Y4138" t="s">
        <v>618</v>
      </c>
      <c r="Z4138" t="s">
        <v>126</v>
      </c>
      <c r="AA4138" t="s">
        <v>45633</v>
      </c>
      <c r="AB4138" t="s">
        <v>45634</v>
      </c>
      <c r="AC4138" t="s">
        <v>45635</v>
      </c>
      <c r="AD4138" t="s">
        <v>32</v>
      </c>
      <c r="AE4138" t="s">
        <v>45636</v>
      </c>
      <c r="AF4138" t="s">
        <v>46835</v>
      </c>
    </row>
    <row r="4139" spans="1:33" x14ac:dyDescent="0.2">
      <c r="A4139">
        <v>4134</v>
      </c>
      <c r="B4139" t="s">
        <v>45637</v>
      </c>
      <c r="C4139" t="s">
        <v>45638</v>
      </c>
      <c r="D4139" t="s">
        <v>32</v>
      </c>
      <c r="E4139" t="s">
        <v>45639</v>
      </c>
      <c r="F4139" t="s">
        <v>45640</v>
      </c>
      <c r="G4139" t="s">
        <v>45641</v>
      </c>
      <c r="H4139" t="str">
        <f>"Heph"</f>
        <v>Heph</v>
      </c>
      <c r="I4139" t="s">
        <v>45642</v>
      </c>
      <c r="J4139" t="s">
        <v>37</v>
      </c>
      <c r="K4139">
        <v>10090</v>
      </c>
      <c r="L4139" s="3" t="str">
        <f>HYPERLINK("http://www.uniprot.org/uniprot/Q9Z0Z4", "Q9Z0Z4")</f>
        <v>Q9Z0Z4</v>
      </c>
      <c r="M4139" t="s">
        <v>45643</v>
      </c>
      <c r="N4139" t="str">
        <f>"Heph"</f>
        <v>Heph</v>
      </c>
      <c r="O4139" s="3" t="str">
        <f>HYPERLINK("http://www.informatics.jax.org/marker/MGI:1332240", "MGI:1332240")</f>
        <v>MGI:1332240</v>
      </c>
      <c r="P4139" t="s">
        <v>45644</v>
      </c>
      <c r="Q4139" t="s">
        <v>45645</v>
      </c>
      <c r="R4139" t="s">
        <v>5989</v>
      </c>
      <c r="S4139" t="s">
        <v>41</v>
      </c>
      <c r="T4139" t="s">
        <v>32</v>
      </c>
      <c r="U4139" t="s">
        <v>32</v>
      </c>
      <c r="V4139" t="s">
        <v>1665</v>
      </c>
      <c r="W4139" t="s">
        <v>45646</v>
      </c>
      <c r="X4139" t="s">
        <v>600</v>
      </c>
      <c r="Y4139" t="s">
        <v>2865</v>
      </c>
      <c r="Z4139" t="s">
        <v>32</v>
      </c>
      <c r="AA4139" t="s">
        <v>45647</v>
      </c>
      <c r="AB4139" t="s">
        <v>45648</v>
      </c>
      <c r="AC4139" t="s">
        <v>45649</v>
      </c>
      <c r="AD4139" t="s">
        <v>32</v>
      </c>
      <c r="AE4139" t="s">
        <v>45650</v>
      </c>
      <c r="AF4139" t="s">
        <v>46835</v>
      </c>
    </row>
    <row r="4140" spans="1:33" x14ac:dyDescent="0.2">
      <c r="A4140">
        <v>4135</v>
      </c>
      <c r="B4140" t="s">
        <v>45651</v>
      </c>
      <c r="C4140" t="s">
        <v>45652</v>
      </c>
      <c r="D4140" t="s">
        <v>45653</v>
      </c>
      <c r="E4140" t="s">
        <v>45654</v>
      </c>
      <c r="F4140" t="s">
        <v>45655</v>
      </c>
      <c r="G4140" t="s">
        <v>32</v>
      </c>
      <c r="H4140" t="str">
        <f>"Asf1a"</f>
        <v>Asf1a</v>
      </c>
      <c r="I4140" t="s">
        <v>32</v>
      </c>
      <c r="J4140" t="s">
        <v>37</v>
      </c>
      <c r="K4140">
        <v>10090</v>
      </c>
      <c r="L4140" s="3" t="str">
        <f>HYPERLINK("http://www.uniprot.org/uniprot/Q9CQE6", "Q9CQE6")</f>
        <v>Q9CQE6</v>
      </c>
      <c r="M4140" t="s">
        <v>45656</v>
      </c>
      <c r="N4140" t="str">
        <f>"Asf1a"</f>
        <v>Asf1a</v>
      </c>
      <c r="O4140" s="3" t="str">
        <f>HYPERLINK("http://www.informatics.jax.org/marker/MGI:1913653", "MGI:1913653")</f>
        <v>MGI:1913653</v>
      </c>
      <c r="P4140" t="s">
        <v>45657</v>
      </c>
      <c r="Q4140" t="s">
        <v>17339</v>
      </c>
      <c r="R4140" t="s">
        <v>1939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11850</v>
      </c>
      <c r="Y4140" t="s">
        <v>618</v>
      </c>
      <c r="Z4140" t="s">
        <v>32</v>
      </c>
      <c r="AA4140" t="s">
        <v>45658</v>
      </c>
      <c r="AB4140" t="s">
        <v>45659</v>
      </c>
      <c r="AC4140" t="s">
        <v>45660</v>
      </c>
      <c r="AD4140" t="s">
        <v>32</v>
      </c>
      <c r="AE4140" t="s">
        <v>8436</v>
      </c>
      <c r="AF4140" t="s">
        <v>46835</v>
      </c>
    </row>
    <row r="4141" spans="1:33" x14ac:dyDescent="0.2">
      <c r="A4141">
        <v>4136</v>
      </c>
      <c r="B4141" t="s">
        <v>45661</v>
      </c>
      <c r="C4141" t="s">
        <v>45662</v>
      </c>
      <c r="D4141" t="s">
        <v>32</v>
      </c>
      <c r="E4141" t="s">
        <v>45663</v>
      </c>
      <c r="F4141" t="s">
        <v>45664</v>
      </c>
      <c r="G4141" t="s">
        <v>45665</v>
      </c>
      <c r="H4141" t="str">
        <f>"Borcs5"</f>
        <v>Borcs5</v>
      </c>
      <c r="I4141" t="s">
        <v>32</v>
      </c>
      <c r="J4141" t="s">
        <v>37</v>
      </c>
      <c r="K4141">
        <v>10090</v>
      </c>
      <c r="L4141" s="3" t="str">
        <f>HYPERLINK("http://www.uniprot.org/uniprot/Q9D920", "Q9D920")</f>
        <v>Q9D920</v>
      </c>
      <c r="M4141" t="s">
        <v>45666</v>
      </c>
      <c r="N4141" t="str">
        <f>"Borcs5"</f>
        <v>Borcs5</v>
      </c>
      <c r="O4141" s="3" t="str">
        <f>HYPERLINK("http://www.informatics.jax.org/marker/MGI:1915024", "MGI:1915024")</f>
        <v>MGI:1915024</v>
      </c>
      <c r="P4141" t="s">
        <v>45667</v>
      </c>
      <c r="Q4141" t="s">
        <v>32</v>
      </c>
      <c r="R4141" t="s">
        <v>19635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32</v>
      </c>
      <c r="Y4141" t="s">
        <v>5562</v>
      </c>
      <c r="Z4141" t="s">
        <v>32</v>
      </c>
      <c r="AA4141" t="s">
        <v>45668</v>
      </c>
      <c r="AB4141" t="s">
        <v>45669</v>
      </c>
      <c r="AC4141" t="s">
        <v>32</v>
      </c>
      <c r="AD4141" t="s">
        <v>32</v>
      </c>
      <c r="AE4141" t="s">
        <v>32</v>
      </c>
      <c r="AF4141" t="s">
        <v>46835</v>
      </c>
    </row>
    <row r="4142" spans="1:33" x14ac:dyDescent="0.2">
      <c r="A4142">
        <v>4137</v>
      </c>
      <c r="B4142" t="s">
        <v>45670</v>
      </c>
      <c r="C4142" t="s">
        <v>45671</v>
      </c>
      <c r="D4142" t="s">
        <v>45672</v>
      </c>
      <c r="E4142" t="s">
        <v>45673</v>
      </c>
      <c r="F4142" t="s">
        <v>45674</v>
      </c>
      <c r="G4142" t="s">
        <v>45675</v>
      </c>
      <c r="H4142" t="str">
        <f>"Trrap"</f>
        <v>Trrap</v>
      </c>
      <c r="I4142" t="s">
        <v>32</v>
      </c>
      <c r="J4142" t="s">
        <v>37</v>
      </c>
      <c r="K4142">
        <v>10090</v>
      </c>
      <c r="L4142" s="3" t="str">
        <f>HYPERLINK("http://www.uniprot.org/uniprot/Q80YV3", "Q80YV3")</f>
        <v>Q80YV3</v>
      </c>
      <c r="M4142" t="s">
        <v>45676</v>
      </c>
      <c r="N4142" t="str">
        <f>"Trrap"</f>
        <v>Trrap</v>
      </c>
      <c r="O4142" s="3" t="str">
        <f>HYPERLINK("http://www.informatics.jax.org/marker/MGI:2153272", "MGI:2153272")</f>
        <v>MGI:2153272</v>
      </c>
      <c r="P4142" t="s">
        <v>45677</v>
      </c>
      <c r="Q4142" t="s">
        <v>4152</v>
      </c>
      <c r="R4142" t="s">
        <v>2279</v>
      </c>
      <c r="S4142" t="s">
        <v>32</v>
      </c>
      <c r="T4142" t="s">
        <v>32</v>
      </c>
      <c r="U4142" t="s">
        <v>32</v>
      </c>
      <c r="V4142" t="s">
        <v>55</v>
      </c>
      <c r="W4142" t="s">
        <v>32</v>
      </c>
      <c r="X4142" t="s">
        <v>15794</v>
      </c>
      <c r="Y4142" t="s">
        <v>516</v>
      </c>
      <c r="Z4142" t="s">
        <v>32</v>
      </c>
      <c r="AA4142" t="s">
        <v>45678</v>
      </c>
      <c r="AB4142" t="s">
        <v>45679</v>
      </c>
      <c r="AC4142" t="s">
        <v>45680</v>
      </c>
      <c r="AD4142" t="s">
        <v>32</v>
      </c>
      <c r="AE4142" t="s">
        <v>32</v>
      </c>
      <c r="AF4142" t="s">
        <v>46835</v>
      </c>
    </row>
    <row r="4143" spans="1:33" x14ac:dyDescent="0.2">
      <c r="A4143">
        <v>4138</v>
      </c>
      <c r="B4143" t="s">
        <v>45681</v>
      </c>
      <c r="C4143" t="s">
        <v>45682</v>
      </c>
      <c r="D4143" t="s">
        <v>45683</v>
      </c>
      <c r="E4143" t="s">
        <v>45684</v>
      </c>
      <c r="F4143" t="s">
        <v>45685</v>
      </c>
      <c r="G4143" t="s">
        <v>45686</v>
      </c>
      <c r="H4143" t="str">
        <f>"Vrk3"</f>
        <v>Vrk3</v>
      </c>
      <c r="I4143" t="s">
        <v>32</v>
      </c>
      <c r="J4143" t="s">
        <v>37</v>
      </c>
      <c r="K4143">
        <v>10090</v>
      </c>
      <c r="L4143" s="3" t="str">
        <f>HYPERLINK("http://www.uniprot.org/uniprot/Q8K3G5", "Q8K3G5")</f>
        <v>Q8K3G5</v>
      </c>
      <c r="M4143" t="s">
        <v>45687</v>
      </c>
      <c r="N4143" t="str">
        <f>"Vrk3"</f>
        <v>Vrk3</v>
      </c>
      <c r="O4143" s="3" t="str">
        <f>HYPERLINK("http://www.informatics.jax.org/marker/MGI:2182465", "MGI:2182465")</f>
        <v>MGI:2182465</v>
      </c>
      <c r="P4143" t="s">
        <v>45688</v>
      </c>
      <c r="Q4143" t="s">
        <v>32</v>
      </c>
      <c r="R4143" t="s">
        <v>2279</v>
      </c>
      <c r="S4143" t="s">
        <v>32</v>
      </c>
      <c r="T4143" t="s">
        <v>32</v>
      </c>
      <c r="U4143" t="s">
        <v>32</v>
      </c>
      <c r="V4143" t="s">
        <v>32</v>
      </c>
      <c r="W4143" t="s">
        <v>5169</v>
      </c>
      <c r="X4143" t="s">
        <v>32</v>
      </c>
      <c r="Y4143" t="s">
        <v>618</v>
      </c>
      <c r="Z4143" t="s">
        <v>32</v>
      </c>
      <c r="AA4143" t="s">
        <v>45689</v>
      </c>
      <c r="AB4143" t="s">
        <v>45690</v>
      </c>
      <c r="AC4143" t="s">
        <v>45691</v>
      </c>
      <c r="AD4143" t="s">
        <v>32</v>
      </c>
      <c r="AE4143" t="s">
        <v>16832</v>
      </c>
      <c r="AF4143" t="s">
        <v>46835</v>
      </c>
    </row>
    <row r="4144" spans="1:33" x14ac:dyDescent="0.2">
      <c r="A4144">
        <v>4139</v>
      </c>
      <c r="B4144" t="s">
        <v>45692</v>
      </c>
      <c r="C4144" t="s">
        <v>45693</v>
      </c>
      <c r="D4144" t="s">
        <v>45694</v>
      </c>
      <c r="E4144" t="s">
        <v>45695</v>
      </c>
      <c r="F4144" t="s">
        <v>45696</v>
      </c>
      <c r="G4144" t="s">
        <v>45697</v>
      </c>
      <c r="H4144" t="str">
        <f>"Ppp2r2d"</f>
        <v>Ppp2r2d</v>
      </c>
      <c r="I4144" t="s">
        <v>45698</v>
      </c>
      <c r="J4144" t="s">
        <v>37</v>
      </c>
      <c r="K4144">
        <v>10090</v>
      </c>
      <c r="L4144" s="3" t="str">
        <f>HYPERLINK("http://www.uniprot.org/uniprot/Q925E7", "Q925E7")</f>
        <v>Q925E7</v>
      </c>
      <c r="M4144" t="s">
        <v>45699</v>
      </c>
      <c r="N4144" t="str">
        <f>"Ppp2r2d"</f>
        <v>Ppp2r2d</v>
      </c>
      <c r="O4144" s="3" t="str">
        <f>HYPERLINK("http://www.informatics.jax.org/marker/MGI:1289252", "MGI:1289252")</f>
        <v>MGI:1289252</v>
      </c>
      <c r="P4144" t="s">
        <v>45700</v>
      </c>
      <c r="Q4144" t="s">
        <v>2968</v>
      </c>
      <c r="R4144" t="s">
        <v>418</v>
      </c>
      <c r="S4144" t="s">
        <v>32</v>
      </c>
      <c r="T4144" t="s">
        <v>32</v>
      </c>
      <c r="U4144" t="s">
        <v>32</v>
      </c>
      <c r="V4144" t="s">
        <v>1910</v>
      </c>
      <c r="W4144" t="s">
        <v>32</v>
      </c>
      <c r="X4144" t="s">
        <v>32</v>
      </c>
      <c r="Y4144" t="s">
        <v>618</v>
      </c>
      <c r="Z4144" t="s">
        <v>32</v>
      </c>
      <c r="AA4144" t="s">
        <v>45701</v>
      </c>
      <c r="AB4144" t="s">
        <v>45702</v>
      </c>
      <c r="AC4144" t="s">
        <v>24974</v>
      </c>
      <c r="AD4144" t="s">
        <v>32</v>
      </c>
      <c r="AE4144" t="s">
        <v>32</v>
      </c>
      <c r="AF4144" t="s">
        <v>46835</v>
      </c>
    </row>
    <row r="4145" spans="1:32" x14ac:dyDescent="0.2">
      <c r="A4145">
        <v>4140</v>
      </c>
      <c r="B4145" t="s">
        <v>45703</v>
      </c>
      <c r="C4145" t="s">
        <v>45704</v>
      </c>
      <c r="D4145" t="s">
        <v>32</v>
      </c>
      <c r="E4145" t="s">
        <v>45705</v>
      </c>
      <c r="F4145" t="s">
        <v>45706</v>
      </c>
      <c r="G4145" t="s">
        <v>45707</v>
      </c>
      <c r="H4145" t="str">
        <f>"Zswim8"</f>
        <v>Zswim8</v>
      </c>
      <c r="I4145" t="s">
        <v>32</v>
      </c>
      <c r="J4145" t="s">
        <v>37</v>
      </c>
      <c r="K4145">
        <v>10090</v>
      </c>
      <c r="L4145" s="3" t="str">
        <f>HYPERLINK("http://www.uniprot.org/uniprot/Q3UHH1", "Q3UHH1")</f>
        <v>Q3UHH1</v>
      </c>
      <c r="M4145" t="s">
        <v>45708</v>
      </c>
      <c r="N4145" t="str">
        <f>"Zswim8"</f>
        <v>Zswim8</v>
      </c>
      <c r="O4145" s="3" t="str">
        <f>HYPERLINK("http://www.informatics.jax.org/marker/MGI:1919156", "MGI:1919156")</f>
        <v>MGI:1919156</v>
      </c>
      <c r="P4145" t="s">
        <v>45709</v>
      </c>
      <c r="Q4145" t="s">
        <v>1020</v>
      </c>
      <c r="R4145" t="s">
        <v>418</v>
      </c>
      <c r="S4145" t="s">
        <v>41</v>
      </c>
      <c r="T4145" t="s">
        <v>32</v>
      </c>
      <c r="U4145" t="s">
        <v>32</v>
      </c>
      <c r="V4145" t="s">
        <v>446</v>
      </c>
      <c r="W4145" t="s">
        <v>42</v>
      </c>
      <c r="X4145" t="s">
        <v>32</v>
      </c>
      <c r="Y4145" t="s">
        <v>618</v>
      </c>
      <c r="Z4145" t="s">
        <v>32</v>
      </c>
      <c r="AA4145" t="s">
        <v>45710</v>
      </c>
      <c r="AB4145" t="s">
        <v>45711</v>
      </c>
      <c r="AC4145" t="s">
        <v>45712</v>
      </c>
      <c r="AD4145" t="s">
        <v>1027</v>
      </c>
      <c r="AE4145" t="s">
        <v>32</v>
      </c>
      <c r="AF4145" t="s">
        <v>46835</v>
      </c>
    </row>
    <row r="4146" spans="1:32" x14ac:dyDescent="0.2">
      <c r="A4146">
        <v>4141</v>
      </c>
      <c r="B4146" t="s">
        <v>45713</v>
      </c>
      <c r="C4146" t="s">
        <v>45714</v>
      </c>
      <c r="D4146" t="s">
        <v>32</v>
      </c>
      <c r="E4146" t="s">
        <v>45715</v>
      </c>
      <c r="F4146" t="s">
        <v>45716</v>
      </c>
      <c r="G4146" t="s">
        <v>45717</v>
      </c>
      <c r="H4146" t="str">
        <f>"Mrps35"</f>
        <v>Mrps35</v>
      </c>
      <c r="I4146" t="s">
        <v>32</v>
      </c>
      <c r="J4146" t="s">
        <v>37</v>
      </c>
      <c r="K4146">
        <v>10090</v>
      </c>
      <c r="L4146" s="3" t="str">
        <f>HYPERLINK("http://www.uniprot.org/uniprot/Q8BJZ4", "Q8BJZ4")</f>
        <v>Q8BJZ4</v>
      </c>
      <c r="M4146" t="s">
        <v>45718</v>
      </c>
      <c r="N4146" t="str">
        <f>"Mrps35"</f>
        <v>Mrps35</v>
      </c>
      <c r="O4146" s="3" t="str">
        <f>HYPERLINK("http://www.informatics.jax.org/marker/MGI:2385255", "MGI:2385255")</f>
        <v>MGI:2385255</v>
      </c>
      <c r="P4146" t="s">
        <v>24765</v>
      </c>
      <c r="Q4146" t="s">
        <v>32</v>
      </c>
      <c r="R4146" t="s">
        <v>1038</v>
      </c>
      <c r="S4146" t="s">
        <v>32</v>
      </c>
      <c r="T4146" t="s">
        <v>32</v>
      </c>
      <c r="U4146" t="s">
        <v>32</v>
      </c>
      <c r="V4146" t="s">
        <v>1039</v>
      </c>
      <c r="W4146" t="s">
        <v>32</v>
      </c>
      <c r="X4146" t="s">
        <v>447</v>
      </c>
      <c r="Y4146" t="s">
        <v>32</v>
      </c>
      <c r="Z4146" t="s">
        <v>32</v>
      </c>
      <c r="AA4146" t="s">
        <v>23519</v>
      </c>
      <c r="AB4146" t="s">
        <v>23520</v>
      </c>
      <c r="AC4146" t="s">
        <v>1010</v>
      </c>
      <c r="AD4146" t="s">
        <v>32</v>
      </c>
      <c r="AE4146" t="s">
        <v>17271</v>
      </c>
      <c r="AF4146" t="s">
        <v>46835</v>
      </c>
    </row>
    <row r="4147" spans="1:32" x14ac:dyDescent="0.2">
      <c r="A4147">
        <v>4142</v>
      </c>
      <c r="B4147" t="s">
        <v>45719</v>
      </c>
      <c r="C4147" t="s">
        <v>45720</v>
      </c>
      <c r="D4147" t="s">
        <v>32</v>
      </c>
      <c r="E4147" t="s">
        <v>45721</v>
      </c>
      <c r="F4147" t="s">
        <v>45722</v>
      </c>
      <c r="G4147" t="s">
        <v>45723</v>
      </c>
      <c r="H4147" t="str">
        <f>"Osbpl6"</f>
        <v>Osbpl6</v>
      </c>
      <c r="I4147" t="s">
        <v>32</v>
      </c>
      <c r="J4147" t="s">
        <v>37</v>
      </c>
      <c r="K4147">
        <v>10090</v>
      </c>
      <c r="L4147" s="3" t="str">
        <f>HYPERLINK("http://www.uniprot.org/uniprot/Q8BXR9", "Q8BXR9")</f>
        <v>Q8BXR9</v>
      </c>
      <c r="M4147" t="s">
        <v>45724</v>
      </c>
      <c r="N4147" t="str">
        <f>"Osbpl6"</f>
        <v>Osbpl6</v>
      </c>
      <c r="O4147" s="3" t="str">
        <f>HYPERLINK("http://www.informatics.jax.org/marker/MGI:2139014", "MGI:2139014")</f>
        <v>MGI:2139014</v>
      </c>
      <c r="P4147" t="s">
        <v>45725</v>
      </c>
      <c r="Q4147" t="s">
        <v>582</v>
      </c>
      <c r="R4147" t="s">
        <v>45726</v>
      </c>
      <c r="S4147" t="s">
        <v>41</v>
      </c>
      <c r="T4147" t="s">
        <v>32</v>
      </c>
      <c r="U4147" t="s">
        <v>32</v>
      </c>
      <c r="V4147" t="s">
        <v>32</v>
      </c>
      <c r="W4147" t="s">
        <v>584</v>
      </c>
      <c r="X4147" t="s">
        <v>32</v>
      </c>
      <c r="Y4147" t="s">
        <v>157</v>
      </c>
      <c r="Z4147" t="s">
        <v>32</v>
      </c>
      <c r="AA4147" t="s">
        <v>45727</v>
      </c>
      <c r="AB4147" t="s">
        <v>45728</v>
      </c>
      <c r="AC4147" t="s">
        <v>30258</v>
      </c>
      <c r="AD4147" t="s">
        <v>32</v>
      </c>
      <c r="AE4147" t="s">
        <v>10057</v>
      </c>
      <c r="AF4147" t="s">
        <v>46835</v>
      </c>
    </row>
    <row r="4148" spans="1:32" x14ac:dyDescent="0.2">
      <c r="A4148">
        <v>4143</v>
      </c>
      <c r="B4148" t="s">
        <v>45729</v>
      </c>
      <c r="C4148" t="s">
        <v>45730</v>
      </c>
      <c r="D4148" t="s">
        <v>45731</v>
      </c>
      <c r="E4148" t="s">
        <v>45732</v>
      </c>
      <c r="F4148" t="s">
        <v>45733</v>
      </c>
      <c r="G4148" t="s">
        <v>45734</v>
      </c>
      <c r="H4148" t="str">
        <f>"Fbxo30"</f>
        <v>Fbxo30</v>
      </c>
      <c r="I4148" t="s">
        <v>32</v>
      </c>
      <c r="J4148" t="s">
        <v>37</v>
      </c>
      <c r="K4148">
        <v>10090</v>
      </c>
      <c r="L4148" s="3" t="str">
        <f>HYPERLINK("http://www.uniprot.org/uniprot/Q8BJL1", "Q8BJL1")</f>
        <v>Q8BJL1</v>
      </c>
      <c r="M4148" t="s">
        <v>45735</v>
      </c>
      <c r="N4148" t="str">
        <f>"Fbxo30"</f>
        <v>Fbxo30</v>
      </c>
      <c r="O4148" s="3" t="str">
        <f>HYPERLINK("http://www.informatics.jax.org/marker/MGI:1919115", "MGI:1919115")</f>
        <v>MGI:1919115</v>
      </c>
      <c r="P4148" t="s">
        <v>45736</v>
      </c>
      <c r="Q4148" t="s">
        <v>1020</v>
      </c>
      <c r="R4148" t="s">
        <v>32</v>
      </c>
      <c r="S4148" t="s">
        <v>32</v>
      </c>
      <c r="T4148" t="s">
        <v>32</v>
      </c>
      <c r="U4148" t="s">
        <v>32</v>
      </c>
      <c r="V4148" t="s">
        <v>446</v>
      </c>
      <c r="W4148" t="s">
        <v>42</v>
      </c>
      <c r="X4148" t="s">
        <v>32</v>
      </c>
      <c r="Y4148" t="s">
        <v>2836</v>
      </c>
      <c r="Z4148" t="s">
        <v>32</v>
      </c>
      <c r="AA4148" t="s">
        <v>32</v>
      </c>
      <c r="AB4148" t="s">
        <v>32</v>
      </c>
      <c r="AC4148" t="s">
        <v>30023</v>
      </c>
      <c r="AD4148" t="s">
        <v>1027</v>
      </c>
      <c r="AE4148" t="s">
        <v>23932</v>
      </c>
      <c r="AF4148" t="s">
        <v>46835</v>
      </c>
    </row>
    <row r="4149" spans="1:32" x14ac:dyDescent="0.2">
      <c r="A4149">
        <v>4144</v>
      </c>
      <c r="B4149" t="s">
        <v>45737</v>
      </c>
      <c r="C4149" t="s">
        <v>45738</v>
      </c>
      <c r="D4149" t="s">
        <v>45739</v>
      </c>
      <c r="E4149" t="s">
        <v>45740</v>
      </c>
      <c r="F4149" t="s">
        <v>45741</v>
      </c>
      <c r="G4149" t="s">
        <v>45742</v>
      </c>
      <c r="H4149" t="str">
        <f>"Qtrt1"</f>
        <v>Qtrt1</v>
      </c>
      <c r="I4149" t="s">
        <v>45743</v>
      </c>
      <c r="J4149" t="s">
        <v>37</v>
      </c>
      <c r="K4149">
        <v>10090</v>
      </c>
      <c r="L4149" s="3" t="str">
        <f>HYPERLINK("http://www.uniprot.org/uniprot/Q9JMA2", "Q9JMA2")</f>
        <v>Q9JMA2</v>
      </c>
      <c r="M4149" t="s">
        <v>45744</v>
      </c>
      <c r="N4149" t="str">
        <f>"Qtrt1"</f>
        <v>Qtrt1</v>
      </c>
      <c r="O4149" s="3" t="str">
        <f>HYPERLINK("http://www.informatics.jax.org/marker/MGI:1931441", "MGI:1931441")</f>
        <v>MGI:1931441</v>
      </c>
      <c r="P4149" t="s">
        <v>45745</v>
      </c>
      <c r="Q4149" t="s">
        <v>4386</v>
      </c>
      <c r="R4149" t="s">
        <v>28682</v>
      </c>
      <c r="S4149" t="s">
        <v>32</v>
      </c>
      <c r="T4149" t="s">
        <v>32</v>
      </c>
      <c r="U4149" t="s">
        <v>32</v>
      </c>
      <c r="V4149" t="s">
        <v>32</v>
      </c>
      <c r="W4149" t="s">
        <v>42</v>
      </c>
      <c r="X4149" t="s">
        <v>2362</v>
      </c>
      <c r="Y4149" t="s">
        <v>157</v>
      </c>
      <c r="Z4149" t="s">
        <v>126</v>
      </c>
      <c r="AA4149" t="s">
        <v>41085</v>
      </c>
      <c r="AB4149" t="s">
        <v>45746</v>
      </c>
      <c r="AC4149" t="s">
        <v>45747</v>
      </c>
      <c r="AD4149" t="s">
        <v>32</v>
      </c>
      <c r="AE4149" t="s">
        <v>32</v>
      </c>
      <c r="AF4149" t="s">
        <v>46835</v>
      </c>
    </row>
    <row r="4150" spans="1:32" x14ac:dyDescent="0.2">
      <c r="A4150">
        <v>4145</v>
      </c>
      <c r="B4150" t="s">
        <v>45748</v>
      </c>
      <c r="C4150" t="s">
        <v>45749</v>
      </c>
      <c r="D4150" t="s">
        <v>45750</v>
      </c>
      <c r="E4150" t="s">
        <v>45751</v>
      </c>
      <c r="F4150" t="s">
        <v>45752</v>
      </c>
      <c r="G4150" t="s">
        <v>45753</v>
      </c>
      <c r="H4150" t="str">
        <f>"Ulk3"</f>
        <v>Ulk3</v>
      </c>
      <c r="I4150" t="s">
        <v>32</v>
      </c>
      <c r="J4150" t="s">
        <v>37</v>
      </c>
      <c r="K4150">
        <v>10090</v>
      </c>
      <c r="L4150" s="3" t="str">
        <f>HYPERLINK("http://www.uniprot.org/uniprot/Q3U3Q1", "Q3U3Q1")</f>
        <v>Q3U3Q1</v>
      </c>
      <c r="M4150" t="s">
        <v>45754</v>
      </c>
      <c r="N4150" t="str">
        <f>"Ulk3"</f>
        <v>Ulk3</v>
      </c>
      <c r="O4150" s="3" t="str">
        <f>HYPERLINK("http://www.informatics.jax.org/marker/MGI:1918992", "MGI:1918992")</f>
        <v>MGI:1918992</v>
      </c>
      <c r="P4150" t="s">
        <v>45755</v>
      </c>
      <c r="Q4150" t="s">
        <v>11661</v>
      </c>
      <c r="R4150" t="s">
        <v>418</v>
      </c>
      <c r="S4150" t="s">
        <v>41</v>
      </c>
      <c r="T4150" t="s">
        <v>32</v>
      </c>
      <c r="U4150" t="s">
        <v>32</v>
      </c>
      <c r="V4150" t="s">
        <v>55</v>
      </c>
      <c r="W4150" t="s">
        <v>205</v>
      </c>
      <c r="X4150" t="s">
        <v>5419</v>
      </c>
      <c r="Y4150" t="s">
        <v>618</v>
      </c>
      <c r="Z4150" t="s">
        <v>32</v>
      </c>
      <c r="AA4150" t="s">
        <v>45756</v>
      </c>
      <c r="AB4150" t="s">
        <v>45757</v>
      </c>
      <c r="AC4150" t="s">
        <v>45291</v>
      </c>
      <c r="AD4150" t="s">
        <v>32</v>
      </c>
      <c r="AE4150" t="s">
        <v>45758</v>
      </c>
      <c r="AF4150" t="s">
        <v>46835</v>
      </c>
    </row>
    <row r="4151" spans="1:32" x14ac:dyDescent="0.2">
      <c r="A4151">
        <v>4146</v>
      </c>
      <c r="B4151" t="s">
        <v>45759</v>
      </c>
      <c r="C4151" t="s">
        <v>45760</v>
      </c>
      <c r="D4151" t="s">
        <v>32</v>
      </c>
      <c r="E4151" t="s">
        <v>45761</v>
      </c>
      <c r="F4151" t="s">
        <v>45762</v>
      </c>
      <c r="G4151" t="s">
        <v>45763</v>
      </c>
      <c r="H4151" t="str">
        <f>"Plekhg3"</f>
        <v>Plekhg3</v>
      </c>
      <c r="I4151" t="s">
        <v>45764</v>
      </c>
      <c r="J4151" t="s">
        <v>37</v>
      </c>
      <c r="K4151">
        <v>10090</v>
      </c>
      <c r="L4151" s="3" t="str">
        <f>HYPERLINK("http://www.uniprot.org/uniprot/Q4VAC9", "Q4VAC9")</f>
        <v>Q4VAC9</v>
      </c>
      <c r="M4151" t="s">
        <v>45765</v>
      </c>
      <c r="N4151" t="str">
        <f>"Plekhg3"</f>
        <v>Plekhg3</v>
      </c>
      <c r="O4151" s="3" t="str">
        <f>HYPERLINK("http://www.informatics.jax.org/marker/MGI:2388284", "MGI:2388284")</f>
        <v>MGI:2388284</v>
      </c>
      <c r="P4151" t="s">
        <v>45766</v>
      </c>
      <c r="Q4151" t="s">
        <v>32</v>
      </c>
      <c r="R4151" t="s">
        <v>186</v>
      </c>
      <c r="S4151" t="s">
        <v>41</v>
      </c>
      <c r="T4151" t="s">
        <v>32</v>
      </c>
      <c r="U4151" t="s">
        <v>32</v>
      </c>
      <c r="V4151" t="s">
        <v>32</v>
      </c>
      <c r="W4151" t="s">
        <v>32</v>
      </c>
      <c r="X4151" t="s">
        <v>32</v>
      </c>
      <c r="Y4151" t="s">
        <v>618</v>
      </c>
      <c r="Z4151" t="s">
        <v>32</v>
      </c>
      <c r="AA4151" t="s">
        <v>45767</v>
      </c>
      <c r="AB4151" t="s">
        <v>15344</v>
      </c>
      <c r="AC4151" t="s">
        <v>45768</v>
      </c>
      <c r="AD4151" t="s">
        <v>32</v>
      </c>
      <c r="AE4151" t="s">
        <v>45769</v>
      </c>
      <c r="AF4151" t="s">
        <v>46835</v>
      </c>
    </row>
    <row r="4152" spans="1:32" x14ac:dyDescent="0.2">
      <c r="A4152">
        <v>4147</v>
      </c>
      <c r="B4152" t="s">
        <v>45770</v>
      </c>
      <c r="C4152" t="s">
        <v>45771</v>
      </c>
      <c r="D4152" t="s">
        <v>45772</v>
      </c>
      <c r="E4152" t="s">
        <v>45773</v>
      </c>
      <c r="F4152" t="s">
        <v>45774</v>
      </c>
      <c r="G4152" t="s">
        <v>32</v>
      </c>
      <c r="H4152" t="str">
        <f>"Sirt5"</f>
        <v>Sirt5</v>
      </c>
      <c r="I4152" t="s">
        <v>45775</v>
      </c>
      <c r="J4152" t="s">
        <v>37</v>
      </c>
      <c r="K4152">
        <v>10090</v>
      </c>
      <c r="L4152" s="3" t="str">
        <f>HYPERLINK("http://www.uniprot.org/uniprot/Q8K2C6", "Q8K2C6")</f>
        <v>Q8K2C6</v>
      </c>
      <c r="M4152" t="s">
        <v>45776</v>
      </c>
      <c r="N4152" t="str">
        <f>"Sirt5"</f>
        <v>Sirt5</v>
      </c>
      <c r="O4152" s="3" t="str">
        <f>HYPERLINK("http://www.informatics.jax.org/marker/MGI:1915596", "MGI:1915596")</f>
        <v>MGI:1915596</v>
      </c>
      <c r="P4152" t="s">
        <v>45777</v>
      </c>
      <c r="Q4152" t="s">
        <v>32</v>
      </c>
      <c r="R4152" t="s">
        <v>1021</v>
      </c>
      <c r="S4152" t="s">
        <v>32</v>
      </c>
      <c r="T4152" t="s">
        <v>32</v>
      </c>
      <c r="U4152" t="s">
        <v>32</v>
      </c>
      <c r="V4152" t="s">
        <v>1039</v>
      </c>
      <c r="W4152" t="s">
        <v>1653</v>
      </c>
      <c r="X4152" t="s">
        <v>515</v>
      </c>
      <c r="Y4152" t="s">
        <v>32</v>
      </c>
      <c r="Z4152" t="s">
        <v>32</v>
      </c>
      <c r="AA4152" t="s">
        <v>45778</v>
      </c>
      <c r="AB4152" t="s">
        <v>45779</v>
      </c>
      <c r="AC4152" t="s">
        <v>45780</v>
      </c>
      <c r="AD4152" t="s">
        <v>32</v>
      </c>
      <c r="AE4152" t="s">
        <v>38192</v>
      </c>
      <c r="AF4152" t="s">
        <v>46835</v>
      </c>
    </row>
    <row r="4153" spans="1:32" x14ac:dyDescent="0.2">
      <c r="A4153">
        <v>4148</v>
      </c>
      <c r="B4153" t="s">
        <v>45781</v>
      </c>
      <c r="C4153" t="s">
        <v>45782</v>
      </c>
      <c r="D4153" t="s">
        <v>32</v>
      </c>
      <c r="E4153" t="s">
        <v>45783</v>
      </c>
      <c r="F4153" t="s">
        <v>45784</v>
      </c>
      <c r="G4153" t="s">
        <v>45785</v>
      </c>
      <c r="H4153" t="str">
        <f>"Osbpl8"</f>
        <v>Osbpl8</v>
      </c>
      <c r="I4153" t="s">
        <v>32</v>
      </c>
      <c r="J4153" t="s">
        <v>37</v>
      </c>
      <c r="K4153">
        <v>10090</v>
      </c>
      <c r="L4153" s="3" t="str">
        <f>HYPERLINK("http://www.uniprot.org/uniprot/B9EJ86", "B9EJ86")</f>
        <v>B9EJ86</v>
      </c>
      <c r="M4153" t="s">
        <v>45786</v>
      </c>
      <c r="N4153" t="str">
        <f>"Osbpl8"</f>
        <v>Osbpl8</v>
      </c>
      <c r="O4153" s="3" t="str">
        <f>HYPERLINK("http://www.informatics.jax.org/marker/MGI:2443807", "MGI:2443807")</f>
        <v>MGI:2443807</v>
      </c>
      <c r="P4153" t="s">
        <v>45787</v>
      </c>
      <c r="Q4153" t="s">
        <v>582</v>
      </c>
      <c r="R4153" t="s">
        <v>17568</v>
      </c>
      <c r="S4153" t="s">
        <v>32</v>
      </c>
      <c r="T4153" t="s">
        <v>32</v>
      </c>
      <c r="U4153" t="s">
        <v>32</v>
      </c>
      <c r="V4153" t="s">
        <v>493</v>
      </c>
      <c r="W4153" t="s">
        <v>584</v>
      </c>
      <c r="X4153" t="s">
        <v>32</v>
      </c>
      <c r="Y4153" t="s">
        <v>157</v>
      </c>
      <c r="Z4153" t="s">
        <v>32</v>
      </c>
      <c r="AA4153" t="s">
        <v>45788</v>
      </c>
      <c r="AB4153" t="s">
        <v>45789</v>
      </c>
      <c r="AC4153" t="s">
        <v>45790</v>
      </c>
      <c r="AD4153" t="s">
        <v>32</v>
      </c>
      <c r="AE4153" t="s">
        <v>45791</v>
      </c>
      <c r="AF4153" t="s">
        <v>46835</v>
      </c>
    </row>
    <row r="4154" spans="1:32" x14ac:dyDescent="0.2">
      <c r="A4154">
        <v>4149</v>
      </c>
      <c r="B4154" t="s">
        <v>45792</v>
      </c>
      <c r="C4154" t="s">
        <v>45793</v>
      </c>
      <c r="D4154" t="s">
        <v>32</v>
      </c>
      <c r="E4154" t="s">
        <v>45794</v>
      </c>
      <c r="F4154" t="s">
        <v>45795</v>
      </c>
      <c r="G4154" t="s">
        <v>45796</v>
      </c>
      <c r="H4154" t="str">
        <f>"Tbc1d9b"</f>
        <v>Tbc1d9b</v>
      </c>
      <c r="I4154" t="s">
        <v>45797</v>
      </c>
      <c r="J4154" t="s">
        <v>37</v>
      </c>
      <c r="K4154">
        <v>10090</v>
      </c>
      <c r="L4154" s="3" t="str">
        <f>HYPERLINK("http://www.uniprot.org/uniprot/Q5SVR0", "Q5SVR0")</f>
        <v>Q5SVR0</v>
      </c>
      <c r="M4154" t="s">
        <v>45798</v>
      </c>
      <c r="N4154" t="str">
        <f>"Tbc1d9b"</f>
        <v>Tbc1d9b</v>
      </c>
      <c r="O4154" s="3" t="str">
        <f>HYPERLINK("http://www.informatics.jax.org/marker/MGI:1924045", "MGI:1924045")</f>
        <v>MGI:1924045</v>
      </c>
      <c r="P4154" t="s">
        <v>45799</v>
      </c>
      <c r="Q4154" t="s">
        <v>32</v>
      </c>
      <c r="R4154" t="s">
        <v>5989</v>
      </c>
      <c r="S4154" t="s">
        <v>41</v>
      </c>
      <c r="T4154" t="s">
        <v>32</v>
      </c>
      <c r="U4154" t="s">
        <v>32</v>
      </c>
      <c r="V4154" t="s">
        <v>1620</v>
      </c>
      <c r="W4154" t="s">
        <v>32</v>
      </c>
      <c r="X4154" t="s">
        <v>715</v>
      </c>
      <c r="Y4154" t="s">
        <v>618</v>
      </c>
      <c r="Z4154" t="s">
        <v>32</v>
      </c>
      <c r="AA4154" t="s">
        <v>40592</v>
      </c>
      <c r="AB4154" t="s">
        <v>14923</v>
      </c>
      <c r="AC4154" t="s">
        <v>45800</v>
      </c>
      <c r="AD4154" t="s">
        <v>32</v>
      </c>
      <c r="AE4154" t="s">
        <v>32</v>
      </c>
      <c r="AF4154" t="s">
        <v>46835</v>
      </c>
    </row>
    <row r="4155" spans="1:32" x14ac:dyDescent="0.2">
      <c r="A4155">
        <v>4150</v>
      </c>
      <c r="B4155" t="s">
        <v>45801</v>
      </c>
      <c r="C4155" t="s">
        <v>45802</v>
      </c>
      <c r="D4155" t="s">
        <v>32</v>
      </c>
      <c r="E4155" t="s">
        <v>45803</v>
      </c>
      <c r="F4155" t="s">
        <v>45804</v>
      </c>
      <c r="G4155" t="s">
        <v>45805</v>
      </c>
      <c r="H4155" t="str">
        <f>"Ttc38"</f>
        <v>Ttc38</v>
      </c>
      <c r="I4155" t="s">
        <v>32</v>
      </c>
      <c r="J4155" t="s">
        <v>37</v>
      </c>
      <c r="K4155">
        <v>10090</v>
      </c>
      <c r="L4155" s="3" t="str">
        <f>HYPERLINK("http://www.uniprot.org/uniprot/A3KMP2", "A3KMP2")</f>
        <v>A3KMP2</v>
      </c>
      <c r="M4155" t="s">
        <v>45806</v>
      </c>
      <c r="N4155" t="str">
        <f>"Ttc38"</f>
        <v>Ttc38</v>
      </c>
      <c r="O4155" s="3" t="str">
        <f>HYPERLINK("http://www.informatics.jax.org/marker/MGI:2146198", "MGI:2146198")</f>
        <v>MGI:2146198</v>
      </c>
      <c r="P4155" t="s">
        <v>16714</v>
      </c>
      <c r="Q4155" t="s">
        <v>32</v>
      </c>
      <c r="R4155" t="s">
        <v>32</v>
      </c>
      <c r="S4155" t="s">
        <v>41</v>
      </c>
      <c r="T4155" t="s">
        <v>32</v>
      </c>
      <c r="U4155" t="s">
        <v>32</v>
      </c>
      <c r="V4155" t="s">
        <v>995</v>
      </c>
      <c r="W4155" t="s">
        <v>32</v>
      </c>
      <c r="X4155" t="s">
        <v>32</v>
      </c>
      <c r="Y4155" t="s">
        <v>32</v>
      </c>
      <c r="Z4155" t="s">
        <v>32</v>
      </c>
      <c r="AA4155" t="s">
        <v>32</v>
      </c>
      <c r="AB4155" t="s">
        <v>32</v>
      </c>
      <c r="AC4155" t="s">
        <v>32</v>
      </c>
      <c r="AD4155" t="s">
        <v>32</v>
      </c>
      <c r="AE4155" t="s">
        <v>32</v>
      </c>
      <c r="AF4155" t="s">
        <v>46835</v>
      </c>
    </row>
    <row r="4156" spans="1:32" x14ac:dyDescent="0.2">
      <c r="A4156">
        <v>4151</v>
      </c>
      <c r="B4156" t="s">
        <v>45807</v>
      </c>
      <c r="C4156" t="s">
        <v>45808</v>
      </c>
      <c r="D4156" t="s">
        <v>32</v>
      </c>
      <c r="E4156" t="s">
        <v>45809</v>
      </c>
      <c r="F4156" t="s">
        <v>45810</v>
      </c>
      <c r="G4156" t="s">
        <v>45811</v>
      </c>
      <c r="H4156" t="str">
        <f>"Fmnl3"</f>
        <v>Fmnl3</v>
      </c>
      <c r="I4156" t="s">
        <v>45812</v>
      </c>
      <c r="J4156" t="s">
        <v>37</v>
      </c>
      <c r="K4156">
        <v>10090</v>
      </c>
      <c r="L4156" s="3" t="str">
        <f>HYPERLINK("http://www.uniprot.org/uniprot/Q6ZPF4", "Q6ZPF4")</f>
        <v>Q6ZPF4</v>
      </c>
      <c r="M4156" t="s">
        <v>45813</v>
      </c>
      <c r="N4156" t="str">
        <f>"Fmnl3"</f>
        <v>Fmnl3</v>
      </c>
      <c r="O4156" s="3" t="str">
        <f>HYPERLINK("http://www.informatics.jax.org/marker/MGI:109569", "MGI:109569")</f>
        <v>MGI:109569</v>
      </c>
      <c r="P4156" t="s">
        <v>45814</v>
      </c>
      <c r="Q4156" t="s">
        <v>4227</v>
      </c>
      <c r="R4156" t="s">
        <v>222</v>
      </c>
      <c r="S4156" t="s">
        <v>41</v>
      </c>
      <c r="T4156" t="s">
        <v>32</v>
      </c>
      <c r="U4156" t="s">
        <v>32</v>
      </c>
      <c r="V4156" t="s">
        <v>32</v>
      </c>
      <c r="W4156" t="s">
        <v>32</v>
      </c>
      <c r="X4156" t="s">
        <v>2029</v>
      </c>
      <c r="Y4156" t="s">
        <v>5562</v>
      </c>
      <c r="Z4156" t="s">
        <v>126</v>
      </c>
      <c r="AA4156" t="s">
        <v>45815</v>
      </c>
      <c r="AB4156" t="s">
        <v>45816</v>
      </c>
      <c r="AC4156" t="s">
        <v>45817</v>
      </c>
      <c r="AD4156" t="s">
        <v>32</v>
      </c>
      <c r="AE4156" t="s">
        <v>45818</v>
      </c>
      <c r="AF4156" t="s">
        <v>46835</v>
      </c>
    </row>
    <row r="4157" spans="1:32" x14ac:dyDescent="0.2">
      <c r="A4157">
        <v>4152</v>
      </c>
      <c r="B4157" t="s">
        <v>45819</v>
      </c>
      <c r="C4157" t="s">
        <v>45820</v>
      </c>
      <c r="D4157" t="s">
        <v>32</v>
      </c>
      <c r="E4157" t="s">
        <v>45821</v>
      </c>
      <c r="F4157" t="s">
        <v>45822</v>
      </c>
      <c r="G4157" t="s">
        <v>45823</v>
      </c>
      <c r="H4157" t="str">
        <f>"Ranbp10"</f>
        <v>Ranbp10</v>
      </c>
      <c r="I4157" t="s">
        <v>45824</v>
      </c>
      <c r="J4157" t="s">
        <v>37</v>
      </c>
      <c r="K4157">
        <v>10090</v>
      </c>
      <c r="L4157" s="3" t="str">
        <f>HYPERLINK("http://www.uniprot.org/uniprot/Q6VN19", "Q6VN19")</f>
        <v>Q6VN19</v>
      </c>
      <c r="M4157" t="s">
        <v>45825</v>
      </c>
      <c r="N4157" t="str">
        <f>"Ranbp10"</f>
        <v>Ranbp10</v>
      </c>
      <c r="O4157" s="3" t="str">
        <f>HYPERLINK("http://www.informatics.jax.org/marker/MGI:1921584", "MGI:1921584")</f>
        <v>MGI:1921584</v>
      </c>
      <c r="P4157" t="s">
        <v>45826</v>
      </c>
      <c r="Q4157" t="s">
        <v>32</v>
      </c>
      <c r="R4157" t="s">
        <v>40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32</v>
      </c>
      <c r="Y4157" t="s">
        <v>157</v>
      </c>
      <c r="Z4157" t="s">
        <v>126</v>
      </c>
      <c r="AA4157" t="s">
        <v>45827</v>
      </c>
      <c r="AB4157" t="s">
        <v>45828</v>
      </c>
      <c r="AC4157" t="s">
        <v>45829</v>
      </c>
      <c r="AD4157" t="s">
        <v>32</v>
      </c>
      <c r="AE4157" t="s">
        <v>45830</v>
      </c>
      <c r="AF4157" t="s">
        <v>46835</v>
      </c>
    </row>
    <row r="4158" spans="1:32" x14ac:dyDescent="0.2">
      <c r="A4158">
        <v>4153</v>
      </c>
      <c r="B4158" t="s">
        <v>45831</v>
      </c>
      <c r="C4158" t="s">
        <v>45832</v>
      </c>
      <c r="D4158" t="s">
        <v>45833</v>
      </c>
      <c r="E4158" t="s">
        <v>45834</v>
      </c>
      <c r="F4158" t="s">
        <v>45835</v>
      </c>
      <c r="G4158" t="s">
        <v>32</v>
      </c>
      <c r="H4158" t="str">
        <f>"Emilin1"</f>
        <v>Emilin1</v>
      </c>
      <c r="I4158" t="s">
        <v>32</v>
      </c>
      <c r="J4158" t="s">
        <v>37</v>
      </c>
      <c r="K4158">
        <v>10090</v>
      </c>
      <c r="L4158" s="3" t="str">
        <f>HYPERLINK("http://www.uniprot.org/uniprot/Q99K41", "Q99K41")</f>
        <v>Q99K41</v>
      </c>
      <c r="M4158" t="s">
        <v>45836</v>
      </c>
      <c r="N4158" t="str">
        <f>"Emilin1"</f>
        <v>Emilin1</v>
      </c>
      <c r="O4158" s="3" t="str">
        <f>HYPERLINK("http://www.informatics.jax.org/marker/MGI:1926189", "MGI:1926189")</f>
        <v>MGI:1926189</v>
      </c>
      <c r="P4158" t="s">
        <v>45837</v>
      </c>
      <c r="Q4158" t="s">
        <v>2784</v>
      </c>
      <c r="R4158" t="s">
        <v>5586</v>
      </c>
      <c r="S4158" t="s">
        <v>32</v>
      </c>
      <c r="T4158" t="s">
        <v>32</v>
      </c>
      <c r="U4158" t="s">
        <v>32</v>
      </c>
      <c r="V4158" t="s">
        <v>45838</v>
      </c>
      <c r="W4158" t="s">
        <v>32</v>
      </c>
      <c r="X4158" t="s">
        <v>32</v>
      </c>
      <c r="Y4158" t="s">
        <v>5275</v>
      </c>
      <c r="Z4158" t="s">
        <v>32</v>
      </c>
      <c r="AA4158" t="s">
        <v>45839</v>
      </c>
      <c r="AB4158" t="s">
        <v>45840</v>
      </c>
      <c r="AC4158" t="s">
        <v>45841</v>
      </c>
      <c r="AD4158" t="s">
        <v>32</v>
      </c>
      <c r="AE4158" t="s">
        <v>45842</v>
      </c>
      <c r="AF4158" t="s">
        <v>46835</v>
      </c>
    </row>
    <row r="4159" spans="1:32" x14ac:dyDescent="0.2">
      <c r="A4159">
        <v>4154</v>
      </c>
      <c r="B4159" t="s">
        <v>45843</v>
      </c>
      <c r="C4159" t="s">
        <v>45844</v>
      </c>
      <c r="D4159" t="s">
        <v>45845</v>
      </c>
      <c r="E4159" t="s">
        <v>45846</v>
      </c>
      <c r="F4159" t="s">
        <v>45847</v>
      </c>
      <c r="G4159" t="s">
        <v>45848</v>
      </c>
      <c r="H4159" t="str">
        <f>"Pnisr"</f>
        <v>Pnisr</v>
      </c>
      <c r="I4159" t="s">
        <v>45849</v>
      </c>
      <c r="J4159" t="s">
        <v>37</v>
      </c>
      <c r="K4159">
        <v>10090</v>
      </c>
      <c r="L4159" s="3" t="str">
        <f>HYPERLINK("http://www.uniprot.org/uniprot/A2AJT4", "A2AJT4")</f>
        <v>A2AJT4</v>
      </c>
      <c r="M4159" t="s">
        <v>45850</v>
      </c>
      <c r="N4159" t="str">
        <f>"Pnisr"</f>
        <v>Pnisr</v>
      </c>
      <c r="O4159" s="3" t="str">
        <f>HYPERLINK("http://www.informatics.jax.org/marker/MGI:1913875", "MGI:1913875")</f>
        <v>MGI:1913875</v>
      </c>
      <c r="P4159" t="s">
        <v>45851</v>
      </c>
      <c r="Q4159" t="s">
        <v>32</v>
      </c>
      <c r="R4159" t="s">
        <v>2279</v>
      </c>
      <c r="S4159" t="s">
        <v>32</v>
      </c>
      <c r="T4159" t="s">
        <v>32</v>
      </c>
      <c r="U4159" t="s">
        <v>32</v>
      </c>
      <c r="V4159" t="s">
        <v>290</v>
      </c>
      <c r="W4159" t="s">
        <v>32</v>
      </c>
      <c r="X4159" t="s">
        <v>32</v>
      </c>
      <c r="Y4159" t="s">
        <v>1007</v>
      </c>
      <c r="Z4159" t="s">
        <v>32</v>
      </c>
      <c r="AA4159" t="s">
        <v>32</v>
      </c>
      <c r="AB4159" t="s">
        <v>45852</v>
      </c>
      <c r="AC4159" t="s">
        <v>32</v>
      </c>
      <c r="AD4159" t="s">
        <v>32</v>
      </c>
      <c r="AE4159" t="s">
        <v>32</v>
      </c>
      <c r="AF4159" t="s">
        <v>46835</v>
      </c>
    </row>
    <row r="4160" spans="1:32" x14ac:dyDescent="0.2">
      <c r="A4160">
        <v>4155</v>
      </c>
      <c r="B4160" t="s">
        <v>45853</v>
      </c>
      <c r="C4160" t="s">
        <v>45854</v>
      </c>
      <c r="D4160" t="s">
        <v>32</v>
      </c>
      <c r="E4160" t="s">
        <v>45855</v>
      </c>
      <c r="F4160" t="s">
        <v>45856</v>
      </c>
      <c r="G4160" t="s">
        <v>45857</v>
      </c>
      <c r="H4160" t="str">
        <f>"Nup188"</f>
        <v>Nup188</v>
      </c>
      <c r="I4160" t="s">
        <v>45858</v>
      </c>
      <c r="J4160" t="s">
        <v>37</v>
      </c>
      <c r="K4160">
        <v>10090</v>
      </c>
      <c r="L4160" s="3" t="str">
        <f>HYPERLINK("http://www.uniprot.org/uniprot/Q6ZQH8", "Q6ZQH8")</f>
        <v>Q6ZQH8</v>
      </c>
      <c r="M4160" t="s">
        <v>45859</v>
      </c>
      <c r="N4160" t="str">
        <f>"Nup188"</f>
        <v>Nup188</v>
      </c>
      <c r="O4160" s="3" t="str">
        <f>HYPERLINK("http://www.informatics.jax.org/marker/MGI:2446190", "MGI:2446190")</f>
        <v>MGI:2446190</v>
      </c>
      <c r="P4160" t="s">
        <v>45860</v>
      </c>
      <c r="Q4160" t="s">
        <v>6423</v>
      </c>
      <c r="R4160" t="s">
        <v>20711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32</v>
      </c>
      <c r="Y4160" t="s">
        <v>157</v>
      </c>
      <c r="Z4160" t="s">
        <v>32</v>
      </c>
      <c r="AA4160" t="s">
        <v>45861</v>
      </c>
      <c r="AB4160" t="s">
        <v>45862</v>
      </c>
      <c r="AC4160" t="s">
        <v>12315</v>
      </c>
      <c r="AD4160" t="s">
        <v>32</v>
      </c>
      <c r="AE4160" t="s">
        <v>12316</v>
      </c>
      <c r="AF4160" t="s">
        <v>46835</v>
      </c>
    </row>
    <row r="4161" spans="1:33" x14ac:dyDescent="0.2">
      <c r="A4161">
        <v>4156</v>
      </c>
      <c r="B4161" t="s">
        <v>45863</v>
      </c>
      <c r="C4161" t="s">
        <v>45864</v>
      </c>
      <c r="D4161" t="s">
        <v>32</v>
      </c>
      <c r="E4161" t="s">
        <v>45865</v>
      </c>
      <c r="F4161" t="s">
        <v>45866</v>
      </c>
      <c r="G4161" t="s">
        <v>45867</v>
      </c>
      <c r="H4161" t="str">
        <f>"Elmod2"</f>
        <v>Elmod2</v>
      </c>
      <c r="I4161" t="s">
        <v>32</v>
      </c>
      <c r="J4161" t="s">
        <v>37</v>
      </c>
      <c r="K4161">
        <v>10090</v>
      </c>
      <c r="L4161" s="3" t="str">
        <f>HYPERLINK("http://www.uniprot.org/uniprot/Q8BGF6", "Q8BGF6")</f>
        <v>Q8BGF6</v>
      </c>
      <c r="M4161" t="s">
        <v>45868</v>
      </c>
      <c r="N4161" t="str">
        <f>"Elmod2"</f>
        <v>Elmod2</v>
      </c>
      <c r="O4161" s="3" t="str">
        <f>HYPERLINK("http://www.informatics.jax.org/marker/MGI:2445165", "MGI:2445165")</f>
        <v>MGI:2445165</v>
      </c>
      <c r="P4161" t="s">
        <v>715</v>
      </c>
      <c r="Q4161" t="s">
        <v>32</v>
      </c>
      <c r="R4161" t="s">
        <v>32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715</v>
      </c>
      <c r="Y4161" t="s">
        <v>32</v>
      </c>
      <c r="Z4161" t="s">
        <v>32</v>
      </c>
      <c r="AA4161" t="s">
        <v>45869</v>
      </c>
      <c r="AB4161" t="s">
        <v>32</v>
      </c>
      <c r="AC4161" t="s">
        <v>14857</v>
      </c>
      <c r="AD4161" t="s">
        <v>32</v>
      </c>
      <c r="AE4161" t="s">
        <v>32</v>
      </c>
      <c r="AF4161" t="s">
        <v>46835</v>
      </c>
    </row>
    <row r="4162" spans="1:33" x14ac:dyDescent="0.2">
      <c r="A4162">
        <v>4157</v>
      </c>
      <c r="B4162" t="s">
        <v>45870</v>
      </c>
      <c r="C4162" t="s">
        <v>45871</v>
      </c>
      <c r="D4162" t="s">
        <v>45872</v>
      </c>
      <c r="E4162" t="s">
        <v>45873</v>
      </c>
      <c r="F4162" t="s">
        <v>45874</v>
      </c>
      <c r="G4162" t="s">
        <v>45875</v>
      </c>
      <c r="H4162" t="str">
        <f>"Nsd1"</f>
        <v>Nsd1</v>
      </c>
      <c r="I4162" t="s">
        <v>32</v>
      </c>
      <c r="J4162" t="s">
        <v>37</v>
      </c>
      <c r="K4162">
        <v>10090</v>
      </c>
      <c r="L4162" s="3" t="str">
        <f>HYPERLINK("http://www.uniprot.org/uniprot/O88491", "O88491")</f>
        <v>O88491</v>
      </c>
      <c r="M4162" t="s">
        <v>45876</v>
      </c>
      <c r="N4162" t="str">
        <f>"Nsd1"</f>
        <v>Nsd1</v>
      </c>
      <c r="O4162" s="3" t="str">
        <f>HYPERLINK("http://www.informatics.jax.org/marker/MGI:1276545", "MGI:1276545")</f>
        <v>MGI:1276545</v>
      </c>
      <c r="P4162" t="s">
        <v>45877</v>
      </c>
      <c r="Q4162" t="s">
        <v>4152</v>
      </c>
      <c r="R4162" t="s">
        <v>1939</v>
      </c>
      <c r="S4162" t="s">
        <v>32</v>
      </c>
      <c r="T4162" t="s">
        <v>32</v>
      </c>
      <c r="U4162" t="s">
        <v>32</v>
      </c>
      <c r="V4162" t="s">
        <v>3791</v>
      </c>
      <c r="W4162" t="s">
        <v>15120</v>
      </c>
      <c r="X4162" t="s">
        <v>45878</v>
      </c>
      <c r="Y4162" t="s">
        <v>1007</v>
      </c>
      <c r="Z4162" t="s">
        <v>126</v>
      </c>
      <c r="AA4162" t="s">
        <v>45879</v>
      </c>
      <c r="AB4162" t="s">
        <v>45880</v>
      </c>
      <c r="AC4162" t="s">
        <v>45881</v>
      </c>
      <c r="AD4162" t="s">
        <v>32</v>
      </c>
      <c r="AE4162" t="s">
        <v>19097</v>
      </c>
      <c r="AF4162" t="s">
        <v>46835</v>
      </c>
    </row>
    <row r="4163" spans="1:33" x14ac:dyDescent="0.2">
      <c r="A4163">
        <v>4158</v>
      </c>
      <c r="B4163" t="s">
        <v>45882</v>
      </c>
      <c r="C4163" t="s">
        <v>45883</v>
      </c>
      <c r="D4163" t="s">
        <v>32</v>
      </c>
      <c r="E4163" t="s">
        <v>45884</v>
      </c>
      <c r="F4163" t="s">
        <v>45885</v>
      </c>
      <c r="G4163" t="s">
        <v>45886</v>
      </c>
      <c r="H4163" t="str">
        <f>"Zzef1"</f>
        <v>Zzef1</v>
      </c>
      <c r="I4163" t="s">
        <v>45887</v>
      </c>
      <c r="J4163" t="s">
        <v>37</v>
      </c>
      <c r="K4163">
        <v>10090</v>
      </c>
      <c r="L4163" s="3" t="str">
        <f>HYPERLINK("http://www.uniprot.org/uniprot/Q5SSH7", "Q5SSH7")</f>
        <v>Q5SSH7</v>
      </c>
      <c r="M4163" t="s">
        <v>45888</v>
      </c>
      <c r="N4163" t="str">
        <f>"Zzef1"</f>
        <v>Zzef1</v>
      </c>
      <c r="O4163" s="3" t="str">
        <f>HYPERLINK("http://www.informatics.jax.org/marker/MGI:2444286", "MGI:2444286")</f>
        <v>MGI:2444286</v>
      </c>
      <c r="P4163" t="s">
        <v>45889</v>
      </c>
      <c r="Q4163" t="s">
        <v>4152</v>
      </c>
      <c r="R4163" t="s">
        <v>32</v>
      </c>
      <c r="S4163" t="s">
        <v>41</v>
      </c>
      <c r="T4163" t="s">
        <v>32</v>
      </c>
      <c r="U4163" t="s">
        <v>32</v>
      </c>
      <c r="V4163" t="s">
        <v>3791</v>
      </c>
      <c r="W4163" t="s">
        <v>42</v>
      </c>
      <c r="X4163" t="s">
        <v>2602</v>
      </c>
      <c r="Y4163" t="s">
        <v>138</v>
      </c>
      <c r="Z4163" t="s">
        <v>32</v>
      </c>
      <c r="AA4163" t="s">
        <v>45890</v>
      </c>
      <c r="AB4163" t="s">
        <v>45891</v>
      </c>
      <c r="AC4163" t="s">
        <v>45892</v>
      </c>
      <c r="AD4163" t="s">
        <v>32</v>
      </c>
      <c r="AE4163" t="s">
        <v>32</v>
      </c>
      <c r="AF4163" t="s">
        <v>46835</v>
      </c>
    </row>
    <row r="4164" spans="1:33" x14ac:dyDescent="0.2">
      <c r="A4164">
        <v>4159</v>
      </c>
      <c r="B4164" t="s">
        <v>45893</v>
      </c>
      <c r="C4164" t="s">
        <v>45894</v>
      </c>
      <c r="D4164" t="s">
        <v>45895</v>
      </c>
      <c r="E4164" t="s">
        <v>45896</v>
      </c>
      <c r="F4164" t="s">
        <v>45897</v>
      </c>
      <c r="G4164" t="s">
        <v>45898</v>
      </c>
      <c r="H4164" t="str">
        <f>"Pcid2"</f>
        <v>Pcid2</v>
      </c>
      <c r="I4164" t="s">
        <v>32</v>
      </c>
      <c r="J4164" t="s">
        <v>37</v>
      </c>
      <c r="K4164">
        <v>10090</v>
      </c>
      <c r="L4164" s="3" t="str">
        <f>HYPERLINK("http://www.uniprot.org/uniprot/Q8BFV2", "Q8BFV2")</f>
        <v>Q8BFV2</v>
      </c>
      <c r="M4164" t="s">
        <v>45899</v>
      </c>
      <c r="N4164" t="str">
        <f>"Pcid2"</f>
        <v>Pcid2</v>
      </c>
      <c r="O4164" s="3" t="str">
        <f>HYPERLINK("http://www.informatics.jax.org/marker/MGI:2443003", "MGI:2443003")</f>
        <v>MGI:2443003</v>
      </c>
      <c r="P4164" t="s">
        <v>45900</v>
      </c>
      <c r="Q4164" t="s">
        <v>6423</v>
      </c>
      <c r="R4164" t="s">
        <v>21668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32</v>
      </c>
      <c r="Y4164" t="s">
        <v>157</v>
      </c>
      <c r="Z4164" t="s">
        <v>32</v>
      </c>
      <c r="AA4164" t="s">
        <v>45901</v>
      </c>
      <c r="AB4164" t="s">
        <v>45902</v>
      </c>
      <c r="AC4164" t="s">
        <v>45903</v>
      </c>
      <c r="AD4164" t="s">
        <v>32</v>
      </c>
      <c r="AE4164" t="s">
        <v>32</v>
      </c>
      <c r="AF4164" t="s">
        <v>46835</v>
      </c>
    </row>
    <row r="4165" spans="1:33" x14ac:dyDescent="0.2">
      <c r="A4165">
        <v>4160</v>
      </c>
      <c r="B4165" t="s">
        <v>45904</v>
      </c>
      <c r="C4165" t="s">
        <v>45905</v>
      </c>
      <c r="D4165" t="s">
        <v>45906</v>
      </c>
      <c r="E4165" t="s">
        <v>45907</v>
      </c>
      <c r="F4165" t="s">
        <v>45908</v>
      </c>
      <c r="G4165" t="s">
        <v>45909</v>
      </c>
      <c r="H4165" t="str">
        <f>"Ccdc88c"</f>
        <v>Ccdc88c</v>
      </c>
      <c r="I4165" t="s">
        <v>45910</v>
      </c>
      <c r="J4165" t="s">
        <v>37</v>
      </c>
      <c r="K4165">
        <v>10090</v>
      </c>
      <c r="L4165" s="3" t="str">
        <f>HYPERLINK("http://www.uniprot.org/uniprot/Q6VGS5", "Q6VGS5")</f>
        <v>Q6VGS5</v>
      </c>
      <c r="M4165" t="s">
        <v>45911</v>
      </c>
      <c r="N4165" t="str">
        <f>"Ccdc88c"</f>
        <v>Ccdc88c</v>
      </c>
      <c r="O4165" s="3" t="str">
        <f>HYPERLINK("http://www.informatics.jax.org/marker/MGI:1915589", "MGI:1915589")</f>
        <v>MGI:1915589</v>
      </c>
      <c r="P4165" t="s">
        <v>45912</v>
      </c>
      <c r="Q4165" t="s">
        <v>3043</v>
      </c>
      <c r="R4165" t="s">
        <v>22570</v>
      </c>
      <c r="S4165" t="s">
        <v>41</v>
      </c>
      <c r="T4165" t="s">
        <v>32</v>
      </c>
      <c r="U4165" t="s">
        <v>32</v>
      </c>
      <c r="V4165" t="s">
        <v>290</v>
      </c>
      <c r="W4165" t="s">
        <v>32</v>
      </c>
      <c r="X4165" t="s">
        <v>5011</v>
      </c>
      <c r="Y4165" t="s">
        <v>618</v>
      </c>
      <c r="Z4165" t="s">
        <v>32</v>
      </c>
      <c r="AA4165" t="s">
        <v>45913</v>
      </c>
      <c r="AB4165" t="s">
        <v>45914</v>
      </c>
      <c r="AC4165" t="s">
        <v>45915</v>
      </c>
      <c r="AD4165" t="s">
        <v>32</v>
      </c>
      <c r="AE4165" t="s">
        <v>32</v>
      </c>
      <c r="AF4165" t="s">
        <v>46835</v>
      </c>
    </row>
    <row r="4166" spans="1:33" x14ac:dyDescent="0.2">
      <c r="A4166">
        <v>4161</v>
      </c>
      <c r="B4166" t="s">
        <v>45916</v>
      </c>
      <c r="C4166" t="s">
        <v>45917</v>
      </c>
      <c r="D4166" t="s">
        <v>45918</v>
      </c>
      <c r="E4166" t="s">
        <v>45919</v>
      </c>
      <c r="F4166" t="s">
        <v>45920</v>
      </c>
      <c r="G4166" t="s">
        <v>45921</v>
      </c>
      <c r="H4166" t="str">
        <f>"Atp8a2"</f>
        <v>Atp8a2</v>
      </c>
      <c r="I4166" t="s">
        <v>32</v>
      </c>
      <c r="J4166" t="s">
        <v>37</v>
      </c>
      <c r="K4166">
        <v>10090</v>
      </c>
      <c r="L4166" s="3" t="str">
        <f>HYPERLINK("http://www.uniprot.org/uniprot/P98200", "P98200")</f>
        <v>P98200</v>
      </c>
      <c r="M4166" t="s">
        <v>45922</v>
      </c>
      <c r="N4166" t="str">
        <f>"Atp8a2"</f>
        <v>Atp8a2</v>
      </c>
      <c r="O4166" s="3" t="str">
        <f>HYPERLINK("http://www.informatics.jax.org/marker/MGI:1354710", "MGI:1354710")</f>
        <v>MGI:1354710</v>
      </c>
      <c r="P4166" t="s">
        <v>45923</v>
      </c>
      <c r="Q4166" t="s">
        <v>582</v>
      </c>
      <c r="R4166" t="s">
        <v>45924</v>
      </c>
      <c r="S4166" t="s">
        <v>32</v>
      </c>
      <c r="T4166" t="s">
        <v>32</v>
      </c>
      <c r="U4166" t="s">
        <v>829</v>
      </c>
      <c r="V4166" t="s">
        <v>493</v>
      </c>
      <c r="W4166" t="s">
        <v>1266</v>
      </c>
      <c r="X4166" t="s">
        <v>1506</v>
      </c>
      <c r="Y4166" t="s">
        <v>618</v>
      </c>
      <c r="Z4166" t="s">
        <v>32</v>
      </c>
      <c r="AA4166" t="s">
        <v>45925</v>
      </c>
      <c r="AB4166" t="s">
        <v>45926</v>
      </c>
      <c r="AC4166" t="s">
        <v>45927</v>
      </c>
      <c r="AD4166" t="s">
        <v>32</v>
      </c>
      <c r="AE4166" t="s">
        <v>21096</v>
      </c>
      <c r="AF4166" t="s">
        <v>46835</v>
      </c>
    </row>
    <row r="4167" spans="1:33" x14ac:dyDescent="0.2">
      <c r="A4167">
        <v>4162</v>
      </c>
      <c r="B4167" t="s">
        <v>45928</v>
      </c>
      <c r="C4167" t="s">
        <v>45929</v>
      </c>
      <c r="D4167" t="s">
        <v>45930</v>
      </c>
      <c r="E4167" t="s">
        <v>45931</v>
      </c>
      <c r="F4167" t="s">
        <v>45932</v>
      </c>
      <c r="G4167" t="s">
        <v>45933</v>
      </c>
      <c r="H4167" t="str">
        <f>"Rab22a"</f>
        <v>Rab22a</v>
      </c>
      <c r="I4167" t="s">
        <v>45934</v>
      </c>
      <c r="J4167" t="s">
        <v>37</v>
      </c>
      <c r="K4167">
        <v>10090</v>
      </c>
      <c r="L4167" s="3" t="str">
        <f>HYPERLINK("http://www.uniprot.org/uniprot/P35285", "P35285")</f>
        <v>P35285</v>
      </c>
      <c r="M4167" t="s">
        <v>45935</v>
      </c>
      <c r="N4167" t="str">
        <f>"Rab22a"</f>
        <v>Rab22a</v>
      </c>
      <c r="O4167" s="3" t="str">
        <f>HYPERLINK("http://www.informatics.jax.org/marker/MGI:105072", "MGI:105072")</f>
        <v>MGI:105072</v>
      </c>
      <c r="P4167" t="s">
        <v>45936</v>
      </c>
      <c r="Q4167" t="s">
        <v>910</v>
      </c>
      <c r="R4167" t="s">
        <v>45937</v>
      </c>
      <c r="S4167" t="s">
        <v>32</v>
      </c>
      <c r="T4167" t="s">
        <v>32</v>
      </c>
      <c r="U4167" t="s">
        <v>32</v>
      </c>
      <c r="V4167" t="s">
        <v>32</v>
      </c>
      <c r="W4167" t="s">
        <v>261</v>
      </c>
      <c r="X4167" t="s">
        <v>32</v>
      </c>
      <c r="Y4167" t="s">
        <v>42491</v>
      </c>
      <c r="Z4167" t="s">
        <v>126</v>
      </c>
      <c r="AA4167" t="s">
        <v>45938</v>
      </c>
      <c r="AB4167" t="s">
        <v>45939</v>
      </c>
      <c r="AC4167" t="s">
        <v>15334</v>
      </c>
      <c r="AD4167" t="s">
        <v>32</v>
      </c>
      <c r="AE4167" t="s">
        <v>31451</v>
      </c>
      <c r="AF4167" t="s">
        <v>46835</v>
      </c>
    </row>
    <row r="4168" spans="1:33" x14ac:dyDescent="0.2">
      <c r="A4168">
        <v>4163</v>
      </c>
      <c r="B4168" t="s">
        <v>45940</v>
      </c>
      <c r="C4168" t="s">
        <v>45941</v>
      </c>
      <c r="D4168" t="s">
        <v>32</v>
      </c>
      <c r="E4168" t="s">
        <v>45942</v>
      </c>
      <c r="F4168" t="s">
        <v>45943</v>
      </c>
      <c r="G4168" t="s">
        <v>45944</v>
      </c>
      <c r="H4168" t="str">
        <f>"Fam172a"</f>
        <v>Fam172a</v>
      </c>
      <c r="I4168" t="s">
        <v>32</v>
      </c>
      <c r="J4168" t="s">
        <v>37</v>
      </c>
      <c r="K4168">
        <v>10090</v>
      </c>
      <c r="L4168" s="3" t="str">
        <f>HYPERLINK("http://www.uniprot.org/uniprot/Q3TNH5", "Q3TNH5")</f>
        <v>Q3TNH5</v>
      </c>
      <c r="M4168" t="s">
        <v>45945</v>
      </c>
      <c r="N4168" t="str">
        <f>"Fam172a"</f>
        <v>Fam172a</v>
      </c>
      <c r="O4168" s="3" t="str">
        <f>HYPERLINK("http://www.informatics.jax.org/marker/MGI:1915925", "MGI:1915925")</f>
        <v>MGI:1915925</v>
      </c>
      <c r="P4168" t="s">
        <v>45946</v>
      </c>
      <c r="Q4168" t="s">
        <v>2139</v>
      </c>
      <c r="R4168" t="s">
        <v>729</v>
      </c>
      <c r="S4168" t="s">
        <v>41</v>
      </c>
      <c r="T4168" t="s">
        <v>32</v>
      </c>
      <c r="U4168" t="s">
        <v>829</v>
      </c>
      <c r="V4168" t="s">
        <v>811</v>
      </c>
      <c r="W4168" t="s">
        <v>32</v>
      </c>
      <c r="X4168" t="s">
        <v>32</v>
      </c>
      <c r="Y4168" t="s">
        <v>3733</v>
      </c>
      <c r="Z4168" t="s">
        <v>32</v>
      </c>
      <c r="AA4168" t="s">
        <v>45947</v>
      </c>
      <c r="AB4168" t="s">
        <v>463</v>
      </c>
      <c r="AC4168" t="s">
        <v>32</v>
      </c>
      <c r="AD4168" t="s">
        <v>32</v>
      </c>
      <c r="AE4168" t="s">
        <v>32</v>
      </c>
      <c r="AF4168" t="s">
        <v>46835</v>
      </c>
    </row>
    <row r="4169" spans="1:33" x14ac:dyDescent="0.2">
      <c r="A4169">
        <v>4164</v>
      </c>
      <c r="B4169" t="s">
        <v>45948</v>
      </c>
      <c r="C4169" t="s">
        <v>45949</v>
      </c>
      <c r="D4169" t="s">
        <v>32</v>
      </c>
      <c r="E4169" t="s">
        <v>45950</v>
      </c>
      <c r="F4169" t="s">
        <v>45951</v>
      </c>
      <c r="G4169" t="s">
        <v>45952</v>
      </c>
      <c r="H4169" t="str">
        <f>"Atpaf2"</f>
        <v>Atpaf2</v>
      </c>
      <c r="I4169" t="s">
        <v>32</v>
      </c>
      <c r="J4169" t="s">
        <v>37</v>
      </c>
      <c r="K4169">
        <v>10090</v>
      </c>
      <c r="L4169" s="3" t="str">
        <f>HYPERLINK("http://www.uniprot.org/uniprot/Q91YY4", "Q91YY4")</f>
        <v>Q91YY4</v>
      </c>
      <c r="M4169" t="s">
        <v>45953</v>
      </c>
      <c r="N4169" t="str">
        <f>"Atpaf2"</f>
        <v>Atpaf2</v>
      </c>
      <c r="O4169" s="3" t="str">
        <f>HYPERLINK("http://www.informatics.jax.org/marker/MGI:2180561", "MGI:2180561")</f>
        <v>MGI:2180561</v>
      </c>
      <c r="P4169" t="s">
        <v>45954</v>
      </c>
      <c r="Q4169" t="s">
        <v>32</v>
      </c>
      <c r="R4169" t="s">
        <v>1038</v>
      </c>
      <c r="S4169" t="s">
        <v>32</v>
      </c>
      <c r="T4169" t="s">
        <v>32</v>
      </c>
      <c r="U4169" t="s">
        <v>32</v>
      </c>
      <c r="V4169" t="s">
        <v>1039</v>
      </c>
      <c r="W4169" t="s">
        <v>32</v>
      </c>
      <c r="X4169" t="s">
        <v>388</v>
      </c>
      <c r="Y4169" t="s">
        <v>32</v>
      </c>
      <c r="Z4169" t="s">
        <v>32</v>
      </c>
      <c r="AA4169" t="s">
        <v>45955</v>
      </c>
      <c r="AB4169" t="s">
        <v>45956</v>
      </c>
      <c r="AC4169" t="s">
        <v>32</v>
      </c>
      <c r="AD4169" t="s">
        <v>32</v>
      </c>
      <c r="AE4169" t="s">
        <v>32</v>
      </c>
      <c r="AF4169" t="s">
        <v>46835</v>
      </c>
    </row>
    <row r="4170" spans="1:33" x14ac:dyDescent="0.2">
      <c r="A4170">
        <v>4165</v>
      </c>
      <c r="B4170" t="s">
        <v>45957</v>
      </c>
      <c r="C4170" t="s">
        <v>45958</v>
      </c>
      <c r="D4170" t="s">
        <v>45959</v>
      </c>
      <c r="E4170" t="s">
        <v>45960</v>
      </c>
      <c r="F4170" t="s">
        <v>45961</v>
      </c>
      <c r="G4170" t="s">
        <v>45962</v>
      </c>
      <c r="H4170" t="str">
        <f>"Wwc2"</f>
        <v>Wwc2</v>
      </c>
      <c r="I4170" t="s">
        <v>45963</v>
      </c>
      <c r="J4170" t="s">
        <v>37</v>
      </c>
      <c r="K4170">
        <v>10090</v>
      </c>
      <c r="L4170" s="3" t="str">
        <f>HYPERLINK("http://www.uniprot.org/uniprot/Q6NXJ0", "Q6NXJ0")</f>
        <v>Q6NXJ0</v>
      </c>
      <c r="M4170" t="s">
        <v>45964</v>
      </c>
      <c r="N4170" t="str">
        <f>"Wwc2"</f>
        <v>Wwc2</v>
      </c>
      <c r="O4170" s="3" t="str">
        <f>HYPERLINK("http://www.informatics.jax.org/marker/MGI:1261872", "MGI:1261872")</f>
        <v>MGI:1261872</v>
      </c>
      <c r="P4170" t="s">
        <v>45965</v>
      </c>
      <c r="Q4170" t="s">
        <v>32</v>
      </c>
      <c r="R4170" t="s">
        <v>32</v>
      </c>
      <c r="S4170" t="s">
        <v>32</v>
      </c>
      <c r="T4170" t="s">
        <v>32</v>
      </c>
      <c r="U4170" t="s">
        <v>32</v>
      </c>
      <c r="V4170" t="s">
        <v>137</v>
      </c>
      <c r="W4170" t="s">
        <v>32</v>
      </c>
      <c r="X4170" t="s">
        <v>32</v>
      </c>
      <c r="Y4170" t="s">
        <v>618</v>
      </c>
      <c r="Z4170" t="s">
        <v>32</v>
      </c>
      <c r="AA4170" t="s">
        <v>45966</v>
      </c>
      <c r="AB4170" t="s">
        <v>2206</v>
      </c>
      <c r="AC4170" t="s">
        <v>45967</v>
      </c>
      <c r="AD4170" t="s">
        <v>32</v>
      </c>
      <c r="AE4170" t="s">
        <v>32</v>
      </c>
      <c r="AF4170" t="s">
        <v>46835</v>
      </c>
    </row>
    <row r="4171" spans="1:33" x14ac:dyDescent="0.2">
      <c r="A4171">
        <v>4166</v>
      </c>
      <c r="B4171" t="s">
        <v>45968</v>
      </c>
      <c r="C4171" t="s">
        <v>45969</v>
      </c>
      <c r="D4171" t="s">
        <v>45970</v>
      </c>
      <c r="E4171" t="s">
        <v>45971</v>
      </c>
      <c r="F4171" t="s">
        <v>45972</v>
      </c>
      <c r="G4171" t="s">
        <v>32</v>
      </c>
      <c r="H4171" t="str">
        <f>"Vamp7"</f>
        <v>Vamp7</v>
      </c>
      <c r="I4171" t="s">
        <v>45973</v>
      </c>
      <c r="J4171" t="s">
        <v>37</v>
      </c>
      <c r="K4171">
        <v>10090</v>
      </c>
      <c r="L4171" s="3" t="str">
        <f>HYPERLINK("http://www.uniprot.org/uniprot/P70280", "P70280")</f>
        <v>P70280</v>
      </c>
      <c r="M4171" t="s">
        <v>45974</v>
      </c>
      <c r="N4171" t="str">
        <f>"Vamp7"</f>
        <v>Vamp7</v>
      </c>
      <c r="O4171" s="3" t="str">
        <f>HYPERLINK("http://www.informatics.jax.org/marker/MGI:1096399", "MGI:1096399")</f>
        <v>MGI:1096399</v>
      </c>
      <c r="P4171" t="s">
        <v>45975</v>
      </c>
      <c r="Q4171" t="s">
        <v>24397</v>
      </c>
      <c r="R4171" t="s">
        <v>45976</v>
      </c>
      <c r="S4171" t="s">
        <v>32</v>
      </c>
      <c r="T4171" t="s">
        <v>32</v>
      </c>
      <c r="U4171" t="s">
        <v>32</v>
      </c>
      <c r="V4171" t="s">
        <v>3078</v>
      </c>
      <c r="W4171" t="s">
        <v>32</v>
      </c>
      <c r="X4171" t="s">
        <v>32</v>
      </c>
      <c r="Y4171" t="s">
        <v>157</v>
      </c>
      <c r="Z4171" t="s">
        <v>126</v>
      </c>
      <c r="AA4171" t="s">
        <v>45977</v>
      </c>
      <c r="AB4171" t="s">
        <v>45978</v>
      </c>
      <c r="AC4171" t="s">
        <v>39499</v>
      </c>
      <c r="AD4171" t="s">
        <v>32</v>
      </c>
      <c r="AE4171" t="s">
        <v>32</v>
      </c>
      <c r="AF4171" t="s">
        <v>46835</v>
      </c>
    </row>
    <row r="4172" spans="1:33" x14ac:dyDescent="0.2">
      <c r="A4172">
        <v>4167</v>
      </c>
      <c r="B4172" t="s">
        <v>45979</v>
      </c>
      <c r="C4172" t="s">
        <v>47182</v>
      </c>
      <c r="D4172" t="s">
        <v>32</v>
      </c>
      <c r="E4172" t="s">
        <v>47098</v>
      </c>
      <c r="F4172" t="s">
        <v>47097</v>
      </c>
      <c r="G4172" t="s">
        <v>32</v>
      </c>
      <c r="H4172" t="s">
        <v>47313</v>
      </c>
      <c r="I4172" t="s">
        <v>32</v>
      </c>
      <c r="J4172" t="s">
        <v>37</v>
      </c>
      <c r="K4172">
        <v>10090</v>
      </c>
      <c r="L4172" s="3" t="str">
        <f>HYPERLINK(CONCATENATE("https://www.uniprot.org/uniprotkb/", AG4172, "/entry"), AG4172)</f>
        <v>E9Q9B7</v>
      </c>
      <c r="M4172" t="s">
        <v>32</v>
      </c>
      <c r="N4172" t="s">
        <v>32</v>
      </c>
      <c r="O4172" s="3" t="s">
        <v>32</v>
      </c>
      <c r="P4172" t="s">
        <v>32</v>
      </c>
      <c r="Q4172" t="s">
        <v>32</v>
      </c>
      <c r="R4172" t="s">
        <v>32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32</v>
      </c>
      <c r="Y4172" t="s">
        <v>32</v>
      </c>
      <c r="Z4172" t="s">
        <v>32</v>
      </c>
      <c r="AA4172" t="s">
        <v>32</v>
      </c>
      <c r="AB4172" t="s">
        <v>32</v>
      </c>
      <c r="AC4172" t="s">
        <v>32</v>
      </c>
      <c r="AD4172" t="s">
        <v>32</v>
      </c>
      <c r="AE4172" t="s">
        <v>32</v>
      </c>
      <c r="AF4172" t="s">
        <v>46835</v>
      </c>
      <c r="AG4172" t="s">
        <v>47097</v>
      </c>
    </row>
    <row r="4173" spans="1:33" x14ac:dyDescent="0.2">
      <c r="A4173">
        <v>4168</v>
      </c>
      <c r="B4173" t="s">
        <v>45980</v>
      </c>
      <c r="C4173" t="s">
        <v>45981</v>
      </c>
      <c r="D4173" t="s">
        <v>32</v>
      </c>
      <c r="E4173" t="s">
        <v>45982</v>
      </c>
      <c r="F4173" t="s">
        <v>45983</v>
      </c>
      <c r="G4173" t="s">
        <v>45984</v>
      </c>
      <c r="H4173" t="str">
        <f>"Cpeb1"</f>
        <v>Cpeb1</v>
      </c>
      <c r="I4173" t="s">
        <v>45985</v>
      </c>
      <c r="J4173" t="s">
        <v>37</v>
      </c>
      <c r="K4173">
        <v>10090</v>
      </c>
      <c r="L4173" s="3" t="str">
        <f>HYPERLINK("http://www.uniprot.org/uniprot/P70166", "P70166")</f>
        <v>P70166</v>
      </c>
      <c r="M4173" t="s">
        <v>45986</v>
      </c>
      <c r="N4173" t="str">
        <f>"Cpeb1"</f>
        <v>Cpeb1</v>
      </c>
      <c r="O4173" s="3" t="str">
        <f>HYPERLINK("http://www.informatics.jax.org/marker/MGI:108442", "MGI:108442")</f>
        <v>MGI:108442</v>
      </c>
      <c r="P4173" t="s">
        <v>45987</v>
      </c>
      <c r="Q4173" t="s">
        <v>45988</v>
      </c>
      <c r="R4173" t="s">
        <v>45989</v>
      </c>
      <c r="S4173" t="s">
        <v>32</v>
      </c>
      <c r="T4173" t="s">
        <v>32</v>
      </c>
      <c r="U4173" t="s">
        <v>32</v>
      </c>
      <c r="V4173" t="s">
        <v>55</v>
      </c>
      <c r="W4173" t="s">
        <v>42</v>
      </c>
      <c r="X4173" t="s">
        <v>16022</v>
      </c>
      <c r="Y4173" t="s">
        <v>618</v>
      </c>
      <c r="Z4173" t="s">
        <v>32</v>
      </c>
      <c r="AA4173" t="s">
        <v>45990</v>
      </c>
      <c r="AB4173" t="s">
        <v>45991</v>
      </c>
      <c r="AC4173" t="s">
        <v>45992</v>
      </c>
      <c r="AD4173" t="s">
        <v>32</v>
      </c>
      <c r="AE4173" t="s">
        <v>32</v>
      </c>
      <c r="AF4173" t="s">
        <v>46835</v>
      </c>
    </row>
    <row r="4174" spans="1:33" x14ac:dyDescent="0.2">
      <c r="A4174">
        <v>4169</v>
      </c>
      <c r="B4174" t="s">
        <v>45993</v>
      </c>
      <c r="C4174" t="s">
        <v>45994</v>
      </c>
      <c r="D4174" t="s">
        <v>32</v>
      </c>
      <c r="E4174" t="s">
        <v>45995</v>
      </c>
      <c r="F4174" t="s">
        <v>45996</v>
      </c>
      <c r="G4174" t="s">
        <v>45997</v>
      </c>
      <c r="H4174" t="str">
        <f>"Tmem209"</f>
        <v>Tmem209</v>
      </c>
      <c r="I4174" t="s">
        <v>32</v>
      </c>
      <c r="J4174" t="s">
        <v>37</v>
      </c>
      <c r="K4174">
        <v>10090</v>
      </c>
      <c r="L4174" s="3" t="str">
        <f>HYPERLINK("http://www.uniprot.org/uniprot/Q8BRG8", "Q8BRG8")</f>
        <v>Q8BRG8</v>
      </c>
      <c r="M4174" t="s">
        <v>45998</v>
      </c>
      <c r="N4174" t="str">
        <f>"Tmem209"</f>
        <v>Tmem209</v>
      </c>
      <c r="O4174" s="3" t="str">
        <f>HYPERLINK("http://www.informatics.jax.org/marker/MGI:1919899", "MGI:1919899")</f>
        <v>MGI:1919899</v>
      </c>
      <c r="P4174" t="s">
        <v>45999</v>
      </c>
      <c r="Q4174" t="s">
        <v>32</v>
      </c>
      <c r="R4174" t="s">
        <v>5989</v>
      </c>
      <c r="S4174" t="s">
        <v>41</v>
      </c>
      <c r="T4174" t="s">
        <v>32</v>
      </c>
      <c r="U4174" t="s">
        <v>32</v>
      </c>
      <c r="V4174" t="s">
        <v>493</v>
      </c>
      <c r="W4174" t="s">
        <v>32</v>
      </c>
      <c r="X4174" t="s">
        <v>32</v>
      </c>
      <c r="Y4174" t="s">
        <v>4720</v>
      </c>
      <c r="Z4174" t="s">
        <v>32</v>
      </c>
      <c r="AA4174" t="s">
        <v>32</v>
      </c>
      <c r="AB4174" t="s">
        <v>22153</v>
      </c>
      <c r="AC4174" t="s">
        <v>32</v>
      </c>
      <c r="AD4174" t="s">
        <v>32</v>
      </c>
      <c r="AE4174" t="s">
        <v>32</v>
      </c>
      <c r="AF4174" t="s">
        <v>46835</v>
      </c>
    </row>
    <row r="4175" spans="1:33" x14ac:dyDescent="0.2">
      <c r="A4175">
        <v>4170</v>
      </c>
      <c r="B4175" t="s">
        <v>46000</v>
      </c>
      <c r="C4175" t="s">
        <v>46001</v>
      </c>
      <c r="D4175" t="s">
        <v>32</v>
      </c>
      <c r="E4175" t="s">
        <v>46002</v>
      </c>
      <c r="F4175" t="s">
        <v>46003</v>
      </c>
      <c r="G4175" t="s">
        <v>32</v>
      </c>
      <c r="H4175" t="str">
        <f>"Hspb6"</f>
        <v>Hspb6</v>
      </c>
      <c r="I4175" t="s">
        <v>46004</v>
      </c>
      <c r="J4175" t="s">
        <v>37</v>
      </c>
      <c r="K4175">
        <v>10090</v>
      </c>
      <c r="L4175" s="3" t="str">
        <f>HYPERLINK("http://www.uniprot.org/uniprot/Q5EBG6", "Q5EBG6")</f>
        <v>Q5EBG6</v>
      </c>
      <c r="M4175" t="s">
        <v>46005</v>
      </c>
      <c r="N4175" t="str">
        <f>"Hspb6"</f>
        <v>Hspb6</v>
      </c>
      <c r="O4175" s="3" t="str">
        <f>HYPERLINK("http://www.informatics.jax.org/marker/MGI:2685325", "MGI:2685325")</f>
        <v>MGI:2685325</v>
      </c>
      <c r="P4175" t="s">
        <v>46006</v>
      </c>
      <c r="Q4175" t="s">
        <v>386</v>
      </c>
      <c r="R4175" t="s">
        <v>542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388</v>
      </c>
      <c r="Y4175" t="s">
        <v>618</v>
      </c>
      <c r="Z4175" t="s">
        <v>32</v>
      </c>
      <c r="AA4175" t="s">
        <v>46007</v>
      </c>
      <c r="AB4175" t="s">
        <v>46008</v>
      </c>
      <c r="AC4175" t="s">
        <v>46009</v>
      </c>
      <c r="AD4175" t="s">
        <v>32</v>
      </c>
      <c r="AE4175" t="s">
        <v>32</v>
      </c>
      <c r="AF4175" t="s">
        <v>46835</v>
      </c>
    </row>
    <row r="4176" spans="1:33" x14ac:dyDescent="0.2">
      <c r="A4176">
        <v>4171</v>
      </c>
      <c r="B4176" t="s">
        <v>46010</v>
      </c>
      <c r="C4176" t="s">
        <v>46011</v>
      </c>
      <c r="D4176" t="s">
        <v>32</v>
      </c>
      <c r="E4176" t="s">
        <v>46012</v>
      </c>
      <c r="F4176" t="s">
        <v>46013</v>
      </c>
      <c r="G4176" t="s">
        <v>46014</v>
      </c>
      <c r="H4176" t="str">
        <f>"Col11a1"</f>
        <v>Col11a1</v>
      </c>
      <c r="I4176" t="s">
        <v>32</v>
      </c>
      <c r="J4176" t="s">
        <v>37</v>
      </c>
      <c r="K4176">
        <v>10090</v>
      </c>
      <c r="L4176" s="3" t="str">
        <f>HYPERLINK("http://www.uniprot.org/uniprot/Q61245", "Q61245")</f>
        <v>Q61245</v>
      </c>
      <c r="M4176" t="s">
        <v>46015</v>
      </c>
      <c r="N4176" t="str">
        <f>"Col11a1"</f>
        <v>Col11a1</v>
      </c>
      <c r="O4176" s="3" t="str">
        <f>HYPERLINK("http://www.informatics.jax.org/marker/MGI:88446", "MGI:88446")</f>
        <v>MGI:88446</v>
      </c>
      <c r="P4176" t="s">
        <v>46016</v>
      </c>
      <c r="Q4176" t="s">
        <v>32</v>
      </c>
      <c r="R4176" t="s">
        <v>5586</v>
      </c>
      <c r="S4176" t="s">
        <v>41</v>
      </c>
      <c r="T4176" t="s">
        <v>32</v>
      </c>
      <c r="U4176" t="s">
        <v>829</v>
      </c>
      <c r="V4176" t="s">
        <v>8152</v>
      </c>
      <c r="W4176" t="s">
        <v>188</v>
      </c>
      <c r="X4176" t="s">
        <v>32</v>
      </c>
      <c r="Y4176" t="s">
        <v>14877</v>
      </c>
      <c r="Z4176" t="s">
        <v>32</v>
      </c>
      <c r="AA4176" t="s">
        <v>46017</v>
      </c>
      <c r="AB4176" t="s">
        <v>46018</v>
      </c>
      <c r="AC4176" t="s">
        <v>46019</v>
      </c>
      <c r="AD4176" t="s">
        <v>32</v>
      </c>
      <c r="AE4176" t="s">
        <v>46020</v>
      </c>
      <c r="AF4176" t="s">
        <v>46835</v>
      </c>
    </row>
    <row r="4177" spans="1:32" x14ac:dyDescent="0.2">
      <c r="A4177">
        <v>4172</v>
      </c>
      <c r="B4177" t="s">
        <v>46021</v>
      </c>
      <c r="C4177" t="s">
        <v>46022</v>
      </c>
      <c r="D4177" t="s">
        <v>32</v>
      </c>
      <c r="E4177" t="s">
        <v>46023</v>
      </c>
      <c r="F4177" t="s">
        <v>46024</v>
      </c>
      <c r="G4177" t="s">
        <v>46025</v>
      </c>
      <c r="H4177" t="str">
        <f>"Tbck"</f>
        <v>Tbck</v>
      </c>
      <c r="I4177" t="s">
        <v>32</v>
      </c>
      <c r="J4177" t="s">
        <v>37</v>
      </c>
      <c r="K4177">
        <v>10090</v>
      </c>
      <c r="L4177" s="3" t="str">
        <f>HYPERLINK("http://www.uniprot.org/uniprot/Q8BM85", "Q8BM85")</f>
        <v>Q8BM85</v>
      </c>
      <c r="M4177" t="s">
        <v>46026</v>
      </c>
      <c r="N4177" t="str">
        <f>"Tbck"</f>
        <v>Tbck</v>
      </c>
      <c r="O4177" s="3" t="str">
        <f>HYPERLINK("http://www.informatics.jax.org/marker/MGI:2445052", "MGI:2445052")</f>
        <v>MGI:2445052</v>
      </c>
      <c r="P4177" t="s">
        <v>46027</v>
      </c>
      <c r="Q4177" t="s">
        <v>32</v>
      </c>
      <c r="R4177" t="s">
        <v>186</v>
      </c>
      <c r="S4177" t="s">
        <v>41</v>
      </c>
      <c r="T4177" t="s">
        <v>32</v>
      </c>
      <c r="U4177" t="s">
        <v>32</v>
      </c>
      <c r="V4177" t="s">
        <v>32</v>
      </c>
      <c r="W4177" t="s">
        <v>32</v>
      </c>
      <c r="X4177" t="s">
        <v>32</v>
      </c>
      <c r="Y4177" t="s">
        <v>32</v>
      </c>
      <c r="Z4177" t="s">
        <v>32</v>
      </c>
      <c r="AA4177" t="s">
        <v>46028</v>
      </c>
      <c r="AB4177" t="s">
        <v>46029</v>
      </c>
      <c r="AC4177" t="s">
        <v>14857</v>
      </c>
      <c r="AD4177" t="s">
        <v>32</v>
      </c>
      <c r="AE4177" t="s">
        <v>32</v>
      </c>
      <c r="AF4177" t="s">
        <v>46835</v>
      </c>
    </row>
    <row r="4178" spans="1:32" x14ac:dyDescent="0.2">
      <c r="A4178">
        <v>4173</v>
      </c>
      <c r="B4178" t="s">
        <v>46030</v>
      </c>
      <c r="C4178" t="s">
        <v>46031</v>
      </c>
      <c r="D4178" t="s">
        <v>32</v>
      </c>
      <c r="E4178" t="s">
        <v>46032</v>
      </c>
      <c r="F4178" t="s">
        <v>46033</v>
      </c>
      <c r="G4178" t="s">
        <v>46034</v>
      </c>
      <c r="H4178" t="str">
        <f>"Ankzf1"</f>
        <v>Ankzf1</v>
      </c>
      <c r="I4178" t="s">
        <v>46035</v>
      </c>
      <c r="J4178" t="s">
        <v>37</v>
      </c>
      <c r="K4178">
        <v>10090</v>
      </c>
      <c r="L4178" s="3" t="str">
        <f>HYPERLINK("http://www.uniprot.org/uniprot/Q80UU1", "Q80UU1")</f>
        <v>Q80UU1</v>
      </c>
      <c r="M4178" t="s">
        <v>46036</v>
      </c>
      <c r="N4178" t="str">
        <f>"Ankzf1"</f>
        <v>Ankzf1</v>
      </c>
      <c r="O4178" s="3" t="str">
        <f>HYPERLINK("http://www.informatics.jax.org/marker/MGI:1098746", "MGI:1098746")</f>
        <v>MGI:1098746</v>
      </c>
      <c r="P4178" t="s">
        <v>46037</v>
      </c>
      <c r="Q4178" t="s">
        <v>32</v>
      </c>
      <c r="R4178" t="s">
        <v>418</v>
      </c>
      <c r="S4178" t="s">
        <v>41</v>
      </c>
      <c r="T4178" t="s">
        <v>32</v>
      </c>
      <c r="U4178" t="s">
        <v>32</v>
      </c>
      <c r="V4178" t="s">
        <v>22545</v>
      </c>
      <c r="W4178" t="s">
        <v>42</v>
      </c>
      <c r="X4178" t="s">
        <v>32</v>
      </c>
      <c r="Y4178" t="s">
        <v>618</v>
      </c>
      <c r="Z4178" t="s">
        <v>32</v>
      </c>
      <c r="AA4178" t="s">
        <v>46038</v>
      </c>
      <c r="AB4178" t="s">
        <v>2172</v>
      </c>
      <c r="AC4178" t="s">
        <v>4525</v>
      </c>
      <c r="AD4178" t="s">
        <v>32</v>
      </c>
      <c r="AE4178" t="s">
        <v>32</v>
      </c>
      <c r="AF4178" t="s">
        <v>46835</v>
      </c>
    </row>
    <row r="4179" spans="1:32" x14ac:dyDescent="0.2">
      <c r="A4179">
        <v>4174</v>
      </c>
      <c r="B4179" t="s">
        <v>46039</v>
      </c>
      <c r="C4179" t="s">
        <v>46040</v>
      </c>
      <c r="D4179" t="s">
        <v>46041</v>
      </c>
      <c r="E4179" t="s">
        <v>46042</v>
      </c>
      <c r="F4179" t="s">
        <v>46043</v>
      </c>
      <c r="G4179" t="s">
        <v>46044</v>
      </c>
      <c r="H4179" t="str">
        <f>"Zfand1"</f>
        <v>Zfand1</v>
      </c>
      <c r="I4179" t="s">
        <v>32</v>
      </c>
      <c r="J4179" t="s">
        <v>37</v>
      </c>
      <c r="K4179">
        <v>10090</v>
      </c>
      <c r="L4179" s="3" t="str">
        <f>HYPERLINK("http://www.uniprot.org/uniprot/Q8BFR6", "Q8BFR6")</f>
        <v>Q8BFR6</v>
      </c>
      <c r="M4179" t="s">
        <v>46045</v>
      </c>
      <c r="N4179" t="str">
        <f>"Zfand1"</f>
        <v>Zfand1</v>
      </c>
      <c r="O4179" s="3" t="str">
        <f>HYPERLINK("http://www.informatics.jax.org/marker/MGI:1913611", "MGI:1913611")</f>
        <v>MGI:1913611</v>
      </c>
      <c r="P4179" t="s">
        <v>46046</v>
      </c>
      <c r="Q4179" t="s">
        <v>32</v>
      </c>
      <c r="R4179" t="s">
        <v>418</v>
      </c>
      <c r="S4179" t="s">
        <v>32</v>
      </c>
      <c r="T4179" t="s">
        <v>32</v>
      </c>
      <c r="U4179" t="s">
        <v>32</v>
      </c>
      <c r="V4179" t="s">
        <v>3791</v>
      </c>
      <c r="W4179" t="s">
        <v>42</v>
      </c>
      <c r="X4179" t="s">
        <v>32</v>
      </c>
      <c r="Y4179" t="s">
        <v>32</v>
      </c>
      <c r="Z4179" t="s">
        <v>126</v>
      </c>
      <c r="AA4179" t="s">
        <v>46047</v>
      </c>
      <c r="AB4179" t="s">
        <v>46048</v>
      </c>
      <c r="AC4179" t="s">
        <v>46049</v>
      </c>
      <c r="AD4179" t="s">
        <v>32</v>
      </c>
      <c r="AE4179" t="s">
        <v>32</v>
      </c>
      <c r="AF4179" t="s">
        <v>46835</v>
      </c>
    </row>
    <row r="4180" spans="1:32" x14ac:dyDescent="0.2">
      <c r="A4180">
        <v>4175</v>
      </c>
      <c r="B4180" t="s">
        <v>46050</v>
      </c>
      <c r="C4180" t="s">
        <v>46051</v>
      </c>
      <c r="D4180" t="s">
        <v>46052</v>
      </c>
      <c r="E4180" t="s">
        <v>46053</v>
      </c>
      <c r="F4180" t="s">
        <v>46054</v>
      </c>
      <c r="G4180" t="s">
        <v>32</v>
      </c>
      <c r="H4180" t="str">
        <f>"Slc7a6os"</f>
        <v>Slc7a6os</v>
      </c>
      <c r="I4180" t="s">
        <v>32</v>
      </c>
      <c r="J4180" t="s">
        <v>37</v>
      </c>
      <c r="K4180">
        <v>10090</v>
      </c>
      <c r="L4180" s="3" t="str">
        <f>HYPERLINK("http://www.uniprot.org/uniprot/Q7TPE5", "Q7TPE5")</f>
        <v>Q7TPE5</v>
      </c>
      <c r="M4180" t="s">
        <v>46055</v>
      </c>
      <c r="N4180" t="str">
        <f>"Slc7a6os"</f>
        <v>Slc7a6os</v>
      </c>
      <c r="O4180" s="3" t="str">
        <f>HYPERLINK("http://www.informatics.jax.org/marker/MGI:1916951", "MGI:1916951")</f>
        <v>MGI:1916951</v>
      </c>
      <c r="P4180" t="s">
        <v>46056</v>
      </c>
      <c r="Q4180" t="s">
        <v>434</v>
      </c>
      <c r="R4180" t="s">
        <v>40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32</v>
      </c>
      <c r="Y4180" t="s">
        <v>618</v>
      </c>
      <c r="Z4180" t="s">
        <v>32</v>
      </c>
      <c r="AA4180" t="s">
        <v>46057</v>
      </c>
      <c r="AB4180" t="s">
        <v>110</v>
      </c>
      <c r="AC4180" t="s">
        <v>32</v>
      </c>
      <c r="AD4180" t="s">
        <v>32</v>
      </c>
      <c r="AE4180" t="s">
        <v>32</v>
      </c>
      <c r="AF4180" t="s">
        <v>46835</v>
      </c>
    </row>
    <row r="4181" spans="1:32" x14ac:dyDescent="0.2">
      <c r="A4181">
        <v>4176</v>
      </c>
      <c r="B4181" t="s">
        <v>46058</v>
      </c>
      <c r="C4181" t="s">
        <v>46059</v>
      </c>
      <c r="D4181" t="s">
        <v>32</v>
      </c>
      <c r="E4181" t="s">
        <v>46060</v>
      </c>
      <c r="F4181" t="s">
        <v>46061</v>
      </c>
      <c r="G4181" t="s">
        <v>46062</v>
      </c>
      <c r="H4181" t="str">
        <f>"Wac"</f>
        <v>Wac</v>
      </c>
      <c r="I4181" t="s">
        <v>46063</v>
      </c>
      <c r="J4181" t="s">
        <v>37</v>
      </c>
      <c r="K4181">
        <v>10090</v>
      </c>
      <c r="L4181" s="3" t="str">
        <f>HYPERLINK("http://www.uniprot.org/uniprot/Q924H7", "Q924H7")</f>
        <v>Q924H7</v>
      </c>
      <c r="M4181" t="s">
        <v>46064</v>
      </c>
      <c r="N4181" t="str">
        <f>"Wac"</f>
        <v>Wac</v>
      </c>
      <c r="O4181" s="3" t="str">
        <f>HYPERLINK("http://www.informatics.jax.org/marker/MGI:2387357", "MGI:2387357")</f>
        <v>MGI:2387357</v>
      </c>
      <c r="P4181" t="s">
        <v>46065</v>
      </c>
      <c r="Q4181" t="s">
        <v>4152</v>
      </c>
      <c r="R4181" t="s">
        <v>2279</v>
      </c>
      <c r="S4181" t="s">
        <v>41</v>
      </c>
      <c r="T4181" t="s">
        <v>32</v>
      </c>
      <c r="U4181" t="s">
        <v>32</v>
      </c>
      <c r="V4181" t="s">
        <v>290</v>
      </c>
      <c r="W4181" t="s">
        <v>32</v>
      </c>
      <c r="X4181" t="s">
        <v>9988</v>
      </c>
      <c r="Y4181" t="s">
        <v>157</v>
      </c>
      <c r="Z4181" t="s">
        <v>32</v>
      </c>
      <c r="AA4181" t="s">
        <v>46066</v>
      </c>
      <c r="AB4181" t="s">
        <v>46067</v>
      </c>
      <c r="AC4181" t="s">
        <v>27708</v>
      </c>
      <c r="AD4181" t="s">
        <v>32</v>
      </c>
      <c r="AE4181" t="s">
        <v>27599</v>
      </c>
      <c r="AF4181" t="s">
        <v>46835</v>
      </c>
    </row>
    <row r="4182" spans="1:32" x14ac:dyDescent="0.2">
      <c r="A4182">
        <v>4177</v>
      </c>
      <c r="B4182" t="s">
        <v>46068</v>
      </c>
      <c r="C4182" t="s">
        <v>46069</v>
      </c>
      <c r="D4182" t="s">
        <v>32</v>
      </c>
      <c r="E4182" t="s">
        <v>46070</v>
      </c>
      <c r="F4182" t="s">
        <v>46071</v>
      </c>
      <c r="G4182" t="s">
        <v>46072</v>
      </c>
      <c r="H4182" t="str">
        <f>"Bcor"</f>
        <v>Bcor</v>
      </c>
      <c r="I4182" t="s">
        <v>46073</v>
      </c>
      <c r="J4182" t="s">
        <v>37</v>
      </c>
      <c r="K4182">
        <v>10090</v>
      </c>
      <c r="L4182" s="3" t="str">
        <f>HYPERLINK("http://www.uniprot.org/uniprot/Q8CGN4", "Q8CGN4")</f>
        <v>Q8CGN4</v>
      </c>
      <c r="M4182" t="s">
        <v>46074</v>
      </c>
      <c r="N4182" t="str">
        <f>"Bcor"</f>
        <v>Bcor</v>
      </c>
      <c r="O4182" s="3" t="str">
        <f>HYPERLINK("http://www.informatics.jax.org/marker/MGI:1918708", "MGI:1918708")</f>
        <v>MGI:1918708</v>
      </c>
      <c r="P4182" t="s">
        <v>46075</v>
      </c>
      <c r="Q4182" t="s">
        <v>4152</v>
      </c>
      <c r="R4182" t="s">
        <v>2279</v>
      </c>
      <c r="S4182" t="s">
        <v>41</v>
      </c>
      <c r="T4182" t="s">
        <v>32</v>
      </c>
      <c r="U4182" t="s">
        <v>32</v>
      </c>
      <c r="V4182" t="s">
        <v>912</v>
      </c>
      <c r="W4182" t="s">
        <v>32</v>
      </c>
      <c r="X4182" t="s">
        <v>5208</v>
      </c>
      <c r="Y4182" t="s">
        <v>516</v>
      </c>
      <c r="Z4182" t="s">
        <v>32</v>
      </c>
      <c r="AA4182" t="s">
        <v>46076</v>
      </c>
      <c r="AB4182" t="s">
        <v>46077</v>
      </c>
      <c r="AC4182" t="s">
        <v>46078</v>
      </c>
      <c r="AD4182" t="s">
        <v>32</v>
      </c>
      <c r="AE4182" t="s">
        <v>32</v>
      </c>
      <c r="AF4182" t="s">
        <v>46835</v>
      </c>
    </row>
    <row r="4183" spans="1:32" x14ac:dyDescent="0.2">
      <c r="A4183">
        <v>4178</v>
      </c>
      <c r="B4183" t="s">
        <v>46079</v>
      </c>
      <c r="C4183" t="s">
        <v>46080</v>
      </c>
      <c r="D4183" t="s">
        <v>46081</v>
      </c>
      <c r="E4183" t="s">
        <v>46082</v>
      </c>
      <c r="F4183" t="s">
        <v>46083</v>
      </c>
      <c r="G4183" t="s">
        <v>32</v>
      </c>
      <c r="H4183" t="str">
        <f>"Lnpep"</f>
        <v>Lnpep</v>
      </c>
      <c r="I4183" t="s">
        <v>32</v>
      </c>
      <c r="J4183" t="s">
        <v>37</v>
      </c>
      <c r="K4183">
        <v>10090</v>
      </c>
      <c r="L4183" s="3" t="str">
        <f>HYPERLINK("http://www.uniprot.org/uniprot/Q8C129", "Q8C129")</f>
        <v>Q8C129</v>
      </c>
      <c r="M4183" t="s">
        <v>46084</v>
      </c>
      <c r="N4183" t="str">
        <f>"Lnpep"</f>
        <v>Lnpep</v>
      </c>
      <c r="O4183" s="3" t="str">
        <f>HYPERLINK("http://www.informatics.jax.org/marker/MGI:2387123", "MGI:2387123")</f>
        <v>MGI:2387123</v>
      </c>
      <c r="P4183" t="s">
        <v>46085</v>
      </c>
      <c r="Q4183" t="s">
        <v>32</v>
      </c>
      <c r="R4183" t="s">
        <v>2474</v>
      </c>
      <c r="S4183" t="s">
        <v>32</v>
      </c>
      <c r="T4183" t="s">
        <v>32</v>
      </c>
      <c r="U4183" t="s">
        <v>32</v>
      </c>
      <c r="V4183" t="s">
        <v>1550</v>
      </c>
      <c r="W4183" t="s">
        <v>42</v>
      </c>
      <c r="X4183" t="s">
        <v>4215</v>
      </c>
      <c r="Y4183" t="s">
        <v>372</v>
      </c>
      <c r="Z4183" t="s">
        <v>32</v>
      </c>
      <c r="AA4183" t="s">
        <v>46086</v>
      </c>
      <c r="AB4183" t="s">
        <v>46087</v>
      </c>
      <c r="AC4183" t="s">
        <v>4219</v>
      </c>
      <c r="AD4183" t="s">
        <v>32</v>
      </c>
      <c r="AE4183" t="s">
        <v>46088</v>
      </c>
      <c r="AF4183" t="s">
        <v>46835</v>
      </c>
    </row>
    <row r="4184" spans="1:32" x14ac:dyDescent="0.2">
      <c r="A4184">
        <v>4179</v>
      </c>
      <c r="B4184" t="s">
        <v>46089</v>
      </c>
      <c r="C4184" t="s">
        <v>46090</v>
      </c>
      <c r="D4184" t="s">
        <v>46091</v>
      </c>
      <c r="E4184" t="s">
        <v>46092</v>
      </c>
      <c r="F4184" t="s">
        <v>46093</v>
      </c>
      <c r="G4184" t="s">
        <v>46094</v>
      </c>
      <c r="H4184" t="str">
        <f>"Plekha7"</f>
        <v>Plekha7</v>
      </c>
      <c r="I4184" t="s">
        <v>46095</v>
      </c>
      <c r="J4184" t="s">
        <v>37</v>
      </c>
      <c r="K4184">
        <v>10090</v>
      </c>
      <c r="L4184" s="3" t="str">
        <f>HYPERLINK("http://www.uniprot.org/uniprot/Q3UIL6", "Q3UIL6")</f>
        <v>Q3UIL6</v>
      </c>
      <c r="M4184" t="s">
        <v>46096</v>
      </c>
      <c r="N4184" t="str">
        <f>"Plekha7"</f>
        <v>Plekha7</v>
      </c>
      <c r="O4184" s="3" t="str">
        <f>HYPERLINK("http://www.informatics.jax.org/marker/MGI:2445094", "MGI:2445094")</f>
        <v>MGI:2445094</v>
      </c>
      <c r="P4184" t="s">
        <v>46097</v>
      </c>
      <c r="Q4184" t="s">
        <v>32</v>
      </c>
      <c r="R4184" t="s">
        <v>403</v>
      </c>
      <c r="S4184" t="s">
        <v>41</v>
      </c>
      <c r="T4184" t="s">
        <v>32</v>
      </c>
      <c r="U4184" t="s">
        <v>32</v>
      </c>
      <c r="V4184" t="s">
        <v>137</v>
      </c>
      <c r="W4184" t="s">
        <v>32</v>
      </c>
      <c r="X4184" t="s">
        <v>32</v>
      </c>
      <c r="Y4184" t="s">
        <v>618</v>
      </c>
      <c r="Z4184" t="s">
        <v>32</v>
      </c>
      <c r="AA4184" t="s">
        <v>46098</v>
      </c>
      <c r="AB4184" t="s">
        <v>46099</v>
      </c>
      <c r="AC4184" t="s">
        <v>46100</v>
      </c>
      <c r="AD4184" t="s">
        <v>32</v>
      </c>
      <c r="AE4184" t="s">
        <v>32</v>
      </c>
      <c r="AF4184" t="s">
        <v>46835</v>
      </c>
    </row>
    <row r="4185" spans="1:32" x14ac:dyDescent="0.2">
      <c r="A4185">
        <v>4180</v>
      </c>
      <c r="B4185" t="s">
        <v>46101</v>
      </c>
      <c r="C4185" t="s">
        <v>46102</v>
      </c>
      <c r="D4185" t="s">
        <v>32</v>
      </c>
      <c r="E4185" t="s">
        <v>46103</v>
      </c>
      <c r="F4185" t="s">
        <v>46104</v>
      </c>
      <c r="G4185" t="s">
        <v>46105</v>
      </c>
      <c r="H4185" t="str">
        <f>"Spc24"</f>
        <v>Spc24</v>
      </c>
      <c r="I4185" t="s">
        <v>46106</v>
      </c>
      <c r="J4185" t="s">
        <v>37</v>
      </c>
      <c r="K4185">
        <v>10090</v>
      </c>
      <c r="L4185" s="3" t="str">
        <f>HYPERLINK("http://www.uniprot.org/uniprot/Q9D083", "Q9D083")</f>
        <v>Q9D083</v>
      </c>
      <c r="M4185" t="s">
        <v>46107</v>
      </c>
      <c r="N4185" t="str">
        <f>"Spc24"</f>
        <v>Spc24</v>
      </c>
      <c r="O4185" s="3" t="str">
        <f>HYPERLINK("http://www.informatics.jax.org/marker/MGI:1914879", "MGI:1914879")</f>
        <v>MGI:1914879</v>
      </c>
      <c r="P4185" t="s">
        <v>46108</v>
      </c>
      <c r="Q4185" t="s">
        <v>2968</v>
      </c>
      <c r="R4185" t="s">
        <v>11307</v>
      </c>
      <c r="S4185" t="s">
        <v>41</v>
      </c>
      <c r="T4185" t="s">
        <v>32</v>
      </c>
      <c r="U4185" t="s">
        <v>32</v>
      </c>
      <c r="V4185" t="s">
        <v>290</v>
      </c>
      <c r="W4185" t="s">
        <v>32</v>
      </c>
      <c r="X4185" t="s">
        <v>32</v>
      </c>
      <c r="Y4185" t="s">
        <v>618</v>
      </c>
      <c r="Z4185" t="s">
        <v>32</v>
      </c>
      <c r="AA4185" t="s">
        <v>46109</v>
      </c>
      <c r="AB4185" t="s">
        <v>46110</v>
      </c>
      <c r="AC4185" t="s">
        <v>32</v>
      </c>
      <c r="AD4185" t="s">
        <v>32</v>
      </c>
      <c r="AE4185" t="s">
        <v>5015</v>
      </c>
      <c r="AF4185" t="s">
        <v>46835</v>
      </c>
    </row>
    <row r="4186" spans="1:32" x14ac:dyDescent="0.2">
      <c r="A4186">
        <v>4181</v>
      </c>
      <c r="B4186" t="s">
        <v>46111</v>
      </c>
      <c r="C4186" t="s">
        <v>46112</v>
      </c>
      <c r="D4186" t="s">
        <v>46113</v>
      </c>
      <c r="E4186" t="s">
        <v>46114</v>
      </c>
      <c r="F4186" t="s">
        <v>46115</v>
      </c>
      <c r="G4186" t="s">
        <v>46116</v>
      </c>
      <c r="H4186" t="str">
        <f>"Ranbp9"</f>
        <v>Ranbp9</v>
      </c>
      <c r="I4186" t="s">
        <v>46117</v>
      </c>
      <c r="J4186" t="s">
        <v>37</v>
      </c>
      <c r="K4186">
        <v>10090</v>
      </c>
      <c r="L4186" s="3" t="str">
        <f>HYPERLINK("http://www.uniprot.org/uniprot/P69566", "P69566")</f>
        <v>P69566</v>
      </c>
      <c r="M4186" t="s">
        <v>46118</v>
      </c>
      <c r="N4186" t="str">
        <f>"Ranbp9"</f>
        <v>Ranbp9</v>
      </c>
      <c r="O4186" s="3" t="str">
        <f>HYPERLINK("http://www.informatics.jax.org/marker/MGI:1928741", "MGI:1928741")</f>
        <v>MGI:1928741</v>
      </c>
      <c r="P4186" t="s">
        <v>46119</v>
      </c>
      <c r="Q4186" t="s">
        <v>32</v>
      </c>
      <c r="R4186" t="s">
        <v>276</v>
      </c>
      <c r="S4186" t="s">
        <v>41</v>
      </c>
      <c r="T4186" t="s">
        <v>32</v>
      </c>
      <c r="U4186" t="s">
        <v>32</v>
      </c>
      <c r="V4186" t="s">
        <v>32</v>
      </c>
      <c r="W4186" t="s">
        <v>32</v>
      </c>
      <c r="X4186" t="s">
        <v>32</v>
      </c>
      <c r="Y4186" t="s">
        <v>1023</v>
      </c>
      <c r="Z4186" t="s">
        <v>32</v>
      </c>
      <c r="AA4186" t="s">
        <v>46120</v>
      </c>
      <c r="AB4186" t="s">
        <v>46121</v>
      </c>
      <c r="AC4186" t="s">
        <v>46122</v>
      </c>
      <c r="AD4186" t="s">
        <v>32</v>
      </c>
      <c r="AE4186" t="s">
        <v>46123</v>
      </c>
      <c r="AF4186" t="s">
        <v>46835</v>
      </c>
    </row>
    <row r="4187" spans="1:32" x14ac:dyDescent="0.2">
      <c r="A4187">
        <v>4182</v>
      </c>
      <c r="B4187" t="s">
        <v>46124</v>
      </c>
      <c r="C4187" t="s">
        <v>46125</v>
      </c>
      <c r="D4187" t="s">
        <v>46126</v>
      </c>
      <c r="E4187" t="s">
        <v>46127</v>
      </c>
      <c r="F4187" t="s">
        <v>46128</v>
      </c>
      <c r="G4187" t="s">
        <v>46129</v>
      </c>
      <c r="H4187" t="str">
        <f>"Gpr89"</f>
        <v>Gpr89</v>
      </c>
      <c r="I4187" t="s">
        <v>32</v>
      </c>
      <c r="J4187" t="s">
        <v>37</v>
      </c>
      <c r="K4187">
        <v>10090</v>
      </c>
      <c r="L4187" s="3" t="str">
        <f>HYPERLINK("http://www.uniprot.org/uniprot/Q8BS95", "Q8BS95")</f>
        <v>Q8BS95</v>
      </c>
      <c r="M4187" t="s">
        <v>46130</v>
      </c>
      <c r="N4187" t="str">
        <f>"Gpr89"</f>
        <v>Gpr89</v>
      </c>
      <c r="O4187" s="3" t="str">
        <f>HYPERLINK("http://www.informatics.jax.org/marker/MGI:1914799", "MGI:1914799")</f>
        <v>MGI:1914799</v>
      </c>
      <c r="P4187" t="s">
        <v>46131</v>
      </c>
      <c r="Q4187" t="s">
        <v>19744</v>
      </c>
      <c r="R4187" t="s">
        <v>13904</v>
      </c>
      <c r="S4187" t="s">
        <v>32</v>
      </c>
      <c r="T4187" t="s">
        <v>32</v>
      </c>
      <c r="U4187" t="s">
        <v>32</v>
      </c>
      <c r="V4187" t="s">
        <v>493</v>
      </c>
      <c r="W4187" t="s">
        <v>32</v>
      </c>
      <c r="X4187" t="s">
        <v>31847</v>
      </c>
      <c r="Y4187" t="s">
        <v>3733</v>
      </c>
      <c r="Z4187" t="s">
        <v>32</v>
      </c>
      <c r="AA4187" t="s">
        <v>46132</v>
      </c>
      <c r="AB4187" t="s">
        <v>46133</v>
      </c>
      <c r="AC4187" t="s">
        <v>46134</v>
      </c>
      <c r="AD4187" t="s">
        <v>32</v>
      </c>
      <c r="AE4187" t="s">
        <v>32</v>
      </c>
      <c r="AF4187" t="s">
        <v>46835</v>
      </c>
    </row>
    <row r="4188" spans="1:32" x14ac:dyDescent="0.2">
      <c r="A4188">
        <v>4183</v>
      </c>
      <c r="B4188" t="s">
        <v>46135</v>
      </c>
      <c r="C4188" t="s">
        <v>46136</v>
      </c>
      <c r="D4188" t="s">
        <v>46137</v>
      </c>
      <c r="E4188" t="s">
        <v>46138</v>
      </c>
      <c r="F4188" t="s">
        <v>46139</v>
      </c>
      <c r="G4188" t="s">
        <v>46140</v>
      </c>
      <c r="H4188" t="str">
        <f>"Rrp1b"</f>
        <v>Rrp1b</v>
      </c>
      <c r="I4188" t="s">
        <v>32</v>
      </c>
      <c r="J4188" t="s">
        <v>37</v>
      </c>
      <c r="K4188">
        <v>10090</v>
      </c>
      <c r="L4188" s="3" t="str">
        <f>HYPERLINK("http://www.uniprot.org/uniprot/Q91YK2", "Q91YK2")</f>
        <v>Q91YK2</v>
      </c>
      <c r="M4188" t="s">
        <v>46141</v>
      </c>
      <c r="N4188" t="str">
        <f>"Rrp1b"</f>
        <v>Rrp1b</v>
      </c>
      <c r="O4188" s="3" t="str">
        <f>HYPERLINK("http://www.informatics.jax.org/marker/MGI:1919712", "MGI:1919712")</f>
        <v>MGI:1919712</v>
      </c>
      <c r="P4188" t="s">
        <v>46142</v>
      </c>
      <c r="Q4188" t="s">
        <v>10131</v>
      </c>
      <c r="R4188" t="s">
        <v>1939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2602</v>
      </c>
      <c r="Y4188" t="s">
        <v>1682</v>
      </c>
      <c r="Z4188" t="s">
        <v>32</v>
      </c>
      <c r="AA4188" t="s">
        <v>46143</v>
      </c>
      <c r="AB4188" t="s">
        <v>46144</v>
      </c>
      <c r="AC4188" t="s">
        <v>13501</v>
      </c>
      <c r="AD4188" t="s">
        <v>32</v>
      </c>
      <c r="AE4188" t="s">
        <v>32</v>
      </c>
      <c r="AF4188" t="s">
        <v>46835</v>
      </c>
    </row>
    <row r="4189" spans="1:32" x14ac:dyDescent="0.2">
      <c r="A4189">
        <v>4184</v>
      </c>
      <c r="B4189" t="s">
        <v>46145</v>
      </c>
      <c r="C4189" t="s">
        <v>46146</v>
      </c>
      <c r="D4189" t="s">
        <v>46147</v>
      </c>
      <c r="E4189" t="s">
        <v>46148</v>
      </c>
      <c r="F4189" t="s">
        <v>46149</v>
      </c>
      <c r="G4189" t="s">
        <v>46150</v>
      </c>
      <c r="H4189" t="str">
        <f>"Smg7"</f>
        <v>Smg7</v>
      </c>
      <c r="I4189" t="s">
        <v>32</v>
      </c>
      <c r="J4189" t="s">
        <v>37</v>
      </c>
      <c r="K4189">
        <v>10090</v>
      </c>
      <c r="L4189" s="3" t="str">
        <f>HYPERLINK("http://www.uniprot.org/uniprot/Q5RJH6", "Q5RJH6")</f>
        <v>Q5RJH6</v>
      </c>
      <c r="M4189" t="s">
        <v>46151</v>
      </c>
      <c r="N4189" t="str">
        <f>"Smg7"</f>
        <v>Smg7</v>
      </c>
      <c r="O4189" s="3" t="str">
        <f>HYPERLINK("http://www.informatics.jax.org/marker/MGI:2682334", "MGI:2682334")</f>
        <v>MGI:2682334</v>
      </c>
      <c r="P4189" t="s">
        <v>46152</v>
      </c>
      <c r="Q4189" t="s">
        <v>8713</v>
      </c>
      <c r="R4189" t="s">
        <v>40</v>
      </c>
      <c r="S4189" t="s">
        <v>41</v>
      </c>
      <c r="T4189" t="s">
        <v>32</v>
      </c>
      <c r="U4189" t="s">
        <v>32</v>
      </c>
      <c r="V4189" t="s">
        <v>995</v>
      </c>
      <c r="W4189" t="s">
        <v>32</v>
      </c>
      <c r="X4189" t="s">
        <v>32</v>
      </c>
      <c r="Y4189" t="s">
        <v>157</v>
      </c>
      <c r="Z4189" t="s">
        <v>32</v>
      </c>
      <c r="AA4189" t="s">
        <v>46153</v>
      </c>
      <c r="AB4189" t="s">
        <v>46154</v>
      </c>
      <c r="AC4189" t="s">
        <v>46155</v>
      </c>
      <c r="AD4189" t="s">
        <v>32</v>
      </c>
      <c r="AE4189" t="s">
        <v>38973</v>
      </c>
      <c r="AF4189" t="s">
        <v>46835</v>
      </c>
    </row>
    <row r="4190" spans="1:32" x14ac:dyDescent="0.2">
      <c r="A4190">
        <v>4185</v>
      </c>
      <c r="B4190" t="s">
        <v>46156</v>
      </c>
      <c r="C4190" t="s">
        <v>46157</v>
      </c>
      <c r="D4190" t="s">
        <v>32</v>
      </c>
      <c r="E4190" t="s">
        <v>46158</v>
      </c>
      <c r="F4190" t="s">
        <v>46159</v>
      </c>
      <c r="G4190" t="s">
        <v>32</v>
      </c>
      <c r="H4190" t="str">
        <f>"Mrps21"</f>
        <v>Mrps21</v>
      </c>
      <c r="I4190" t="s">
        <v>46160</v>
      </c>
      <c r="J4190" t="s">
        <v>37</v>
      </c>
      <c r="K4190">
        <v>10090</v>
      </c>
      <c r="L4190" s="3" t="str">
        <f>HYPERLINK("http://www.uniprot.org/uniprot/P58059", "P58059")</f>
        <v>P58059</v>
      </c>
      <c r="M4190" t="s">
        <v>46161</v>
      </c>
      <c r="N4190" t="str">
        <f>"Mrps21"</f>
        <v>Mrps21</v>
      </c>
      <c r="O4190" s="3" t="str">
        <f>HYPERLINK("http://www.informatics.jax.org/marker/MGI:1913542", "MGI:1913542")</f>
        <v>MGI:1913542</v>
      </c>
      <c r="P4190" t="s">
        <v>30889</v>
      </c>
      <c r="Q4190" t="s">
        <v>32</v>
      </c>
      <c r="R4190" t="s">
        <v>1038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447</v>
      </c>
      <c r="Y4190" t="s">
        <v>32</v>
      </c>
      <c r="Z4190" t="s">
        <v>32</v>
      </c>
      <c r="AA4190" t="s">
        <v>23519</v>
      </c>
      <c r="AB4190" t="s">
        <v>23520</v>
      </c>
      <c r="AC4190" t="s">
        <v>1010</v>
      </c>
      <c r="AD4190" t="s">
        <v>32</v>
      </c>
      <c r="AE4190" t="s">
        <v>17271</v>
      </c>
      <c r="AF4190" t="s">
        <v>46835</v>
      </c>
    </row>
    <row r="4191" spans="1:32" x14ac:dyDescent="0.2">
      <c r="A4191">
        <v>4186</v>
      </c>
      <c r="B4191" t="s">
        <v>46162</v>
      </c>
      <c r="C4191" t="s">
        <v>46163</v>
      </c>
      <c r="D4191" t="s">
        <v>32</v>
      </c>
      <c r="E4191" t="s">
        <v>46164</v>
      </c>
      <c r="F4191" t="s">
        <v>46165</v>
      </c>
      <c r="G4191" t="s">
        <v>32</v>
      </c>
      <c r="H4191" t="str">
        <f>"Tcp11l1"</f>
        <v>Tcp11l1</v>
      </c>
      <c r="I4191" t="s">
        <v>32</v>
      </c>
      <c r="J4191" t="s">
        <v>37</v>
      </c>
      <c r="K4191">
        <v>10090</v>
      </c>
      <c r="L4191" s="3" t="str">
        <f>HYPERLINK("http://www.uniprot.org/uniprot/Q8BTG3", "Q8BTG3")</f>
        <v>Q8BTG3</v>
      </c>
      <c r="M4191" t="s">
        <v>46166</v>
      </c>
      <c r="N4191" t="str">
        <f>"Tcp11l1"</f>
        <v>Tcp11l1</v>
      </c>
      <c r="O4191" s="3" t="str">
        <f>HYPERLINK("http://www.informatics.jax.org/marker/MGI:2444263", "MGI:2444263")</f>
        <v>MGI:2444263</v>
      </c>
      <c r="P4191" t="s">
        <v>618</v>
      </c>
      <c r="Q4191" t="s">
        <v>32</v>
      </c>
      <c r="R4191" t="s">
        <v>32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32</v>
      </c>
      <c r="Y4191" t="s">
        <v>618</v>
      </c>
      <c r="Z4191" t="s">
        <v>32</v>
      </c>
      <c r="AA4191" t="s">
        <v>19551</v>
      </c>
      <c r="AB4191" t="s">
        <v>46167</v>
      </c>
      <c r="AC4191" t="s">
        <v>32</v>
      </c>
      <c r="AD4191" t="s">
        <v>32</v>
      </c>
      <c r="AE4191" t="s">
        <v>32</v>
      </c>
      <c r="AF4191" t="s">
        <v>46835</v>
      </c>
    </row>
    <row r="4192" spans="1:32" x14ac:dyDescent="0.2">
      <c r="A4192">
        <v>4187</v>
      </c>
      <c r="B4192" t="s">
        <v>46168</v>
      </c>
      <c r="C4192" t="s">
        <v>46169</v>
      </c>
      <c r="D4192" t="s">
        <v>32</v>
      </c>
      <c r="E4192" t="s">
        <v>46170</v>
      </c>
      <c r="F4192" t="s">
        <v>46171</v>
      </c>
      <c r="G4192" t="s">
        <v>46172</v>
      </c>
      <c r="H4192" t="str">
        <f>"Haus4"</f>
        <v>Haus4</v>
      </c>
      <c r="I4192" t="s">
        <v>46173</v>
      </c>
      <c r="J4192" t="s">
        <v>37</v>
      </c>
      <c r="K4192">
        <v>10090</v>
      </c>
      <c r="L4192" s="3" t="str">
        <f>HYPERLINK("http://www.uniprot.org/uniprot/Q8BFT2", "Q8BFT2")</f>
        <v>Q8BFT2</v>
      </c>
      <c r="M4192" t="s">
        <v>46174</v>
      </c>
      <c r="N4192" t="str">
        <f>"Haus4"</f>
        <v>Haus4</v>
      </c>
      <c r="O4192" s="3" t="str">
        <f>HYPERLINK("http://www.informatics.jax.org/marker/MGI:1261794", "MGI:1261794")</f>
        <v>MGI:1261794</v>
      </c>
      <c r="P4192" t="s">
        <v>46175</v>
      </c>
      <c r="Q4192" t="s">
        <v>2968</v>
      </c>
      <c r="R4192" t="s">
        <v>341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32</v>
      </c>
      <c r="Y4192" t="s">
        <v>32</v>
      </c>
      <c r="Z4192" t="s">
        <v>32</v>
      </c>
      <c r="AA4192" t="s">
        <v>44265</v>
      </c>
      <c r="AB4192" t="s">
        <v>46176</v>
      </c>
      <c r="AC4192" t="s">
        <v>46177</v>
      </c>
      <c r="AD4192" t="s">
        <v>32</v>
      </c>
      <c r="AE4192" t="s">
        <v>17387</v>
      </c>
      <c r="AF4192" t="s">
        <v>46835</v>
      </c>
    </row>
    <row r="4193" spans="1:32" x14ac:dyDescent="0.2">
      <c r="A4193">
        <v>4188</v>
      </c>
      <c r="B4193" t="s">
        <v>46178</v>
      </c>
      <c r="C4193" t="s">
        <v>46179</v>
      </c>
      <c r="D4193" t="s">
        <v>46180</v>
      </c>
      <c r="E4193" t="s">
        <v>46181</v>
      </c>
      <c r="F4193" t="s">
        <v>46182</v>
      </c>
      <c r="G4193" t="s">
        <v>46183</v>
      </c>
      <c r="H4193" t="str">
        <f>"Rabl6"</f>
        <v>Rabl6</v>
      </c>
      <c r="I4193" t="s">
        <v>46184</v>
      </c>
      <c r="J4193" t="s">
        <v>37</v>
      </c>
      <c r="K4193">
        <v>10090</v>
      </c>
      <c r="L4193" s="3" t="str">
        <f>HYPERLINK("http://www.uniprot.org/uniprot/Q5U3K5", "Q5U3K5")</f>
        <v>Q5U3K5</v>
      </c>
      <c r="M4193" t="s">
        <v>46185</v>
      </c>
      <c r="N4193" t="str">
        <f>"Rabl6"</f>
        <v>Rabl6</v>
      </c>
      <c r="O4193" s="3" t="str">
        <f>HYPERLINK("http://www.informatics.jax.org/marker/MGI:2442633", "MGI:2442633")</f>
        <v>MGI:2442633</v>
      </c>
      <c r="P4193" t="s">
        <v>46186</v>
      </c>
      <c r="Q4193" t="s">
        <v>32</v>
      </c>
      <c r="R4193" t="s">
        <v>40</v>
      </c>
      <c r="S4193" t="s">
        <v>32</v>
      </c>
      <c r="T4193" t="s">
        <v>32</v>
      </c>
      <c r="U4193" t="s">
        <v>32</v>
      </c>
      <c r="V4193" t="s">
        <v>32</v>
      </c>
      <c r="W4193" t="s">
        <v>261</v>
      </c>
      <c r="X4193" t="s">
        <v>32</v>
      </c>
      <c r="Y4193" t="s">
        <v>157</v>
      </c>
      <c r="Z4193" t="s">
        <v>32</v>
      </c>
      <c r="AA4193" t="s">
        <v>32</v>
      </c>
      <c r="AB4193" t="s">
        <v>46187</v>
      </c>
      <c r="AC4193" t="s">
        <v>28844</v>
      </c>
      <c r="AD4193" t="s">
        <v>32</v>
      </c>
      <c r="AE4193" t="s">
        <v>32</v>
      </c>
      <c r="AF4193" t="s">
        <v>46835</v>
      </c>
    </row>
    <row r="4194" spans="1:32" x14ac:dyDescent="0.2">
      <c r="A4194">
        <v>4189</v>
      </c>
      <c r="B4194" t="s">
        <v>46188</v>
      </c>
      <c r="C4194" t="s">
        <v>46189</v>
      </c>
      <c r="D4194" t="s">
        <v>46190</v>
      </c>
      <c r="E4194" t="s">
        <v>46191</v>
      </c>
      <c r="F4194" t="s">
        <v>46192</v>
      </c>
      <c r="G4194" t="s">
        <v>46193</v>
      </c>
      <c r="H4194" t="str">
        <f>"Nfyb"</f>
        <v>Nfyb</v>
      </c>
      <c r="I4194" t="s">
        <v>32</v>
      </c>
      <c r="J4194" t="s">
        <v>37</v>
      </c>
      <c r="K4194">
        <v>10090</v>
      </c>
      <c r="L4194" s="3" t="str">
        <f>HYPERLINK("http://www.uniprot.org/uniprot/P63139", "P63139")</f>
        <v>P63139</v>
      </c>
      <c r="M4194" t="s">
        <v>46194</v>
      </c>
      <c r="N4194" t="str">
        <f>"Nfyb"</f>
        <v>Nfyb</v>
      </c>
      <c r="O4194" s="3" t="str">
        <f>HYPERLINK("http://www.informatics.jax.org/marker/MGI:97317", "MGI:97317")</f>
        <v>MGI:97317</v>
      </c>
      <c r="P4194" t="s">
        <v>46195</v>
      </c>
      <c r="Q4194" t="s">
        <v>4152</v>
      </c>
      <c r="R4194" t="s">
        <v>2279</v>
      </c>
      <c r="S4194" t="s">
        <v>41</v>
      </c>
      <c r="T4194" t="s">
        <v>32</v>
      </c>
      <c r="U4194" t="s">
        <v>32</v>
      </c>
      <c r="V4194" t="s">
        <v>32</v>
      </c>
      <c r="W4194" t="s">
        <v>32</v>
      </c>
      <c r="X4194" t="s">
        <v>2350</v>
      </c>
      <c r="Y4194" t="s">
        <v>7792</v>
      </c>
      <c r="Z4194" t="s">
        <v>32</v>
      </c>
      <c r="AA4194" t="s">
        <v>46196</v>
      </c>
      <c r="AB4194" t="s">
        <v>31796</v>
      </c>
      <c r="AC4194" t="s">
        <v>46197</v>
      </c>
      <c r="AD4194" t="s">
        <v>32</v>
      </c>
      <c r="AE4194" t="s">
        <v>32</v>
      </c>
      <c r="AF4194" t="s">
        <v>46835</v>
      </c>
    </row>
    <row r="4195" spans="1:32" x14ac:dyDescent="0.2">
      <c r="A4195">
        <v>4190</v>
      </c>
      <c r="B4195" t="s">
        <v>46198</v>
      </c>
      <c r="C4195" t="s">
        <v>46199</v>
      </c>
      <c r="D4195" t="s">
        <v>32</v>
      </c>
      <c r="E4195" t="s">
        <v>46200</v>
      </c>
      <c r="F4195" t="s">
        <v>46201</v>
      </c>
      <c r="G4195" t="s">
        <v>46202</v>
      </c>
      <c r="H4195" t="str">
        <f>"Atg13"</f>
        <v>Atg13</v>
      </c>
      <c r="I4195" t="s">
        <v>46203</v>
      </c>
      <c r="J4195" t="s">
        <v>37</v>
      </c>
      <c r="K4195">
        <v>10090</v>
      </c>
      <c r="L4195" s="3" t="str">
        <f>HYPERLINK("http://www.uniprot.org/uniprot/Q91YI1", "Q91YI1")</f>
        <v>Q91YI1</v>
      </c>
      <c r="M4195" t="s">
        <v>46204</v>
      </c>
      <c r="N4195" t="str">
        <f>"Atg13"</f>
        <v>Atg13</v>
      </c>
      <c r="O4195" s="3" t="str">
        <f>HYPERLINK("http://www.informatics.jax.org/marker/MGI:1196429", "MGI:1196429")</f>
        <v>MGI:1196429</v>
      </c>
      <c r="P4195" t="s">
        <v>46205</v>
      </c>
      <c r="Q4195" t="s">
        <v>11661</v>
      </c>
      <c r="R4195" t="s">
        <v>418</v>
      </c>
      <c r="S4195" t="s">
        <v>41</v>
      </c>
      <c r="T4195" t="s">
        <v>32</v>
      </c>
      <c r="U4195" t="s">
        <v>32</v>
      </c>
      <c r="V4195" t="s">
        <v>32</v>
      </c>
      <c r="W4195" t="s">
        <v>32</v>
      </c>
      <c r="X4195" t="s">
        <v>32</v>
      </c>
      <c r="Y4195" t="s">
        <v>157</v>
      </c>
      <c r="Z4195" t="s">
        <v>32</v>
      </c>
      <c r="AA4195" t="s">
        <v>46206</v>
      </c>
      <c r="AB4195" t="s">
        <v>46207</v>
      </c>
      <c r="AC4195" t="s">
        <v>46208</v>
      </c>
      <c r="AD4195" t="s">
        <v>32</v>
      </c>
      <c r="AE4195" t="s">
        <v>11665</v>
      </c>
      <c r="AF4195" t="s">
        <v>46835</v>
      </c>
    </row>
    <row r="4196" spans="1:32" x14ac:dyDescent="0.2">
      <c r="A4196">
        <v>4191</v>
      </c>
      <c r="B4196" t="s">
        <v>46209</v>
      </c>
      <c r="C4196" t="s">
        <v>46210</v>
      </c>
      <c r="D4196" t="s">
        <v>32</v>
      </c>
      <c r="E4196" t="s">
        <v>46211</v>
      </c>
      <c r="F4196" t="s">
        <v>46212</v>
      </c>
      <c r="G4196" t="s">
        <v>46213</v>
      </c>
      <c r="H4196" t="str">
        <f>"D3Ertd751e"</f>
        <v>D3Ertd751e</v>
      </c>
      <c r="I4196" t="s">
        <v>32</v>
      </c>
      <c r="J4196" t="s">
        <v>37</v>
      </c>
      <c r="K4196">
        <v>10090</v>
      </c>
      <c r="L4196" s="3" t="str">
        <f>HYPERLINK("http://www.uniprot.org/uniprot/Q8BGN2", "Q8BGN2")</f>
        <v>Q8BGN2</v>
      </c>
      <c r="M4196" t="s">
        <v>46214</v>
      </c>
      <c r="N4196" t="str">
        <f>"D3Ertd751e"</f>
        <v>D3Ertd751e</v>
      </c>
      <c r="O4196" s="3" t="str">
        <f>HYPERLINK("http://www.informatics.jax.org/marker/MGI:1289213", "MGI:1289213")</f>
        <v>MGI:1289213</v>
      </c>
      <c r="P4196" t="s">
        <v>41</v>
      </c>
      <c r="Q4196" t="s">
        <v>32</v>
      </c>
      <c r="R4196" t="s">
        <v>32</v>
      </c>
      <c r="S4196" t="s">
        <v>41</v>
      </c>
      <c r="T4196" t="s">
        <v>32</v>
      </c>
      <c r="U4196" t="s">
        <v>32</v>
      </c>
      <c r="V4196" t="s">
        <v>32</v>
      </c>
      <c r="W4196" t="s">
        <v>32</v>
      </c>
      <c r="X4196" t="s">
        <v>32</v>
      </c>
      <c r="Y4196" t="s">
        <v>32</v>
      </c>
      <c r="Z4196" t="s">
        <v>32</v>
      </c>
      <c r="AA4196" t="s">
        <v>32</v>
      </c>
      <c r="AB4196" t="s">
        <v>32</v>
      </c>
      <c r="AC4196" t="s">
        <v>32</v>
      </c>
      <c r="AD4196" t="s">
        <v>32</v>
      </c>
      <c r="AE4196" t="s">
        <v>32</v>
      </c>
      <c r="AF4196" t="s">
        <v>46835</v>
      </c>
    </row>
    <row r="4197" spans="1:32" x14ac:dyDescent="0.2">
      <c r="A4197">
        <v>4192</v>
      </c>
      <c r="B4197" t="s">
        <v>46215</v>
      </c>
      <c r="C4197" t="s">
        <v>46216</v>
      </c>
      <c r="D4197" t="s">
        <v>32</v>
      </c>
      <c r="E4197" t="s">
        <v>46217</v>
      </c>
      <c r="F4197" t="s">
        <v>46218</v>
      </c>
      <c r="G4197" t="s">
        <v>46219</v>
      </c>
      <c r="H4197" t="str">
        <f>"Kifc1"</f>
        <v>Kifc1</v>
      </c>
      <c r="I4197" t="s">
        <v>32</v>
      </c>
      <c r="J4197" t="s">
        <v>37</v>
      </c>
      <c r="K4197">
        <v>10090</v>
      </c>
      <c r="L4197" s="3" t="str">
        <f>HYPERLINK("http://www.uniprot.org/uniprot/Q9QWT9", "Q9QWT9")</f>
        <v>Q9QWT9</v>
      </c>
      <c r="M4197" t="s">
        <v>46220</v>
      </c>
      <c r="N4197" t="str">
        <f>"Kifc1"</f>
        <v>Kifc1</v>
      </c>
      <c r="O4197" s="3" t="str">
        <f>HYPERLINK("http://www.informatics.jax.org/marker/MGI:109596", "MGI:109596")</f>
        <v>MGI:109596</v>
      </c>
      <c r="P4197" t="s">
        <v>46221</v>
      </c>
      <c r="Q4197" t="s">
        <v>2968</v>
      </c>
      <c r="R4197" t="s">
        <v>46222</v>
      </c>
      <c r="S4197" t="s">
        <v>41</v>
      </c>
      <c r="T4197" t="s">
        <v>32</v>
      </c>
      <c r="U4197" t="s">
        <v>32</v>
      </c>
      <c r="V4197" t="s">
        <v>290</v>
      </c>
      <c r="W4197" t="s">
        <v>205</v>
      </c>
      <c r="X4197" t="s">
        <v>830</v>
      </c>
      <c r="Y4197" t="s">
        <v>618</v>
      </c>
      <c r="Z4197" t="s">
        <v>32</v>
      </c>
      <c r="AA4197" t="s">
        <v>46223</v>
      </c>
      <c r="AB4197" t="s">
        <v>46224</v>
      </c>
      <c r="AC4197" t="s">
        <v>46225</v>
      </c>
      <c r="AD4197" t="s">
        <v>32</v>
      </c>
      <c r="AE4197" t="s">
        <v>4550</v>
      </c>
      <c r="AF4197" t="s">
        <v>46835</v>
      </c>
    </row>
    <row r="4198" spans="1:32" x14ac:dyDescent="0.2">
      <c r="A4198">
        <v>4193</v>
      </c>
      <c r="B4198" t="s">
        <v>46226</v>
      </c>
      <c r="C4198" t="s">
        <v>46227</v>
      </c>
      <c r="D4198" t="s">
        <v>32</v>
      </c>
      <c r="E4198" t="s">
        <v>46228</v>
      </c>
      <c r="F4198" t="s">
        <v>46229</v>
      </c>
      <c r="G4198" t="s">
        <v>46230</v>
      </c>
      <c r="H4198" t="str">
        <f>"Dis3l"</f>
        <v>Dis3l</v>
      </c>
      <c r="I4198" t="s">
        <v>46231</v>
      </c>
      <c r="J4198" t="s">
        <v>37</v>
      </c>
      <c r="K4198">
        <v>10090</v>
      </c>
      <c r="L4198" s="3" t="str">
        <f>HYPERLINK("http://www.uniprot.org/uniprot/Q8C0S1", "Q8C0S1")</f>
        <v>Q8C0S1</v>
      </c>
      <c r="M4198" t="s">
        <v>46232</v>
      </c>
      <c r="N4198" t="str">
        <f>"Dis3l"</f>
        <v>Dis3l</v>
      </c>
      <c r="O4198" s="3" t="str">
        <f>HYPERLINK("http://www.informatics.jax.org/marker/MGI:2143272", "MGI:2143272")</f>
        <v>MGI:2143272</v>
      </c>
      <c r="P4198" t="s">
        <v>46233</v>
      </c>
      <c r="Q4198" t="s">
        <v>32</v>
      </c>
      <c r="R4198" t="s">
        <v>46234</v>
      </c>
      <c r="S4198" t="s">
        <v>41</v>
      </c>
      <c r="T4198" t="s">
        <v>32</v>
      </c>
      <c r="U4198" t="s">
        <v>32</v>
      </c>
      <c r="V4198" t="s">
        <v>32</v>
      </c>
      <c r="W4198" t="s">
        <v>16431</v>
      </c>
      <c r="X4198" t="s">
        <v>11145</v>
      </c>
      <c r="Y4198" t="s">
        <v>618</v>
      </c>
      <c r="Z4198" t="s">
        <v>32</v>
      </c>
      <c r="AA4198" t="s">
        <v>46235</v>
      </c>
      <c r="AB4198" t="s">
        <v>46236</v>
      </c>
      <c r="AC4198" t="s">
        <v>46237</v>
      </c>
      <c r="AD4198" t="s">
        <v>32</v>
      </c>
      <c r="AE4198" t="s">
        <v>32</v>
      </c>
      <c r="AF4198" t="s">
        <v>46835</v>
      </c>
    </row>
    <row r="4199" spans="1:32" x14ac:dyDescent="0.2">
      <c r="A4199">
        <v>4194</v>
      </c>
      <c r="B4199" t="s">
        <v>46238</v>
      </c>
      <c r="C4199" t="s">
        <v>46239</v>
      </c>
      <c r="D4199" t="s">
        <v>46240</v>
      </c>
      <c r="E4199" t="s">
        <v>46241</v>
      </c>
      <c r="F4199" t="s">
        <v>46242</v>
      </c>
      <c r="G4199" t="s">
        <v>46243</v>
      </c>
      <c r="H4199" t="str">
        <f>"Atg9a"</f>
        <v>Atg9a</v>
      </c>
      <c r="I4199" t="s">
        <v>32</v>
      </c>
      <c r="J4199" t="s">
        <v>37</v>
      </c>
      <c r="K4199">
        <v>10090</v>
      </c>
      <c r="L4199" s="3" t="str">
        <f>HYPERLINK("http://www.uniprot.org/uniprot/Q68FE2", "Q68FE2")</f>
        <v>Q68FE2</v>
      </c>
      <c r="M4199" t="s">
        <v>46244</v>
      </c>
      <c r="N4199" t="str">
        <f>"Atg9a"</f>
        <v>Atg9a</v>
      </c>
      <c r="O4199" s="3" t="str">
        <f>HYPERLINK("http://www.informatics.jax.org/marker/MGI:2138446", "MGI:2138446")</f>
        <v>MGI:2138446</v>
      </c>
      <c r="P4199" t="s">
        <v>46245</v>
      </c>
      <c r="Q4199" t="s">
        <v>42383</v>
      </c>
      <c r="R4199" t="s">
        <v>46246</v>
      </c>
      <c r="S4199" t="s">
        <v>41</v>
      </c>
      <c r="T4199" t="s">
        <v>32</v>
      </c>
      <c r="U4199" t="s">
        <v>32</v>
      </c>
      <c r="V4199" t="s">
        <v>493</v>
      </c>
      <c r="W4199" t="s">
        <v>32</v>
      </c>
      <c r="X4199" t="s">
        <v>32</v>
      </c>
      <c r="Y4199" t="s">
        <v>372</v>
      </c>
      <c r="Z4199" t="s">
        <v>32</v>
      </c>
      <c r="AA4199" t="s">
        <v>46247</v>
      </c>
      <c r="AB4199" t="s">
        <v>46248</v>
      </c>
      <c r="AC4199" t="s">
        <v>46249</v>
      </c>
      <c r="AD4199" t="s">
        <v>32</v>
      </c>
      <c r="AE4199" t="s">
        <v>11665</v>
      </c>
      <c r="AF4199" t="s">
        <v>46835</v>
      </c>
    </row>
    <row r="4200" spans="1:32" x14ac:dyDescent="0.2">
      <c r="A4200">
        <v>4195</v>
      </c>
      <c r="B4200" t="s">
        <v>46250</v>
      </c>
      <c r="C4200" t="s">
        <v>46251</v>
      </c>
      <c r="D4200" t="s">
        <v>46252</v>
      </c>
      <c r="E4200" t="s">
        <v>46253</v>
      </c>
      <c r="F4200" t="s">
        <v>46254</v>
      </c>
      <c r="G4200" t="s">
        <v>32</v>
      </c>
      <c r="H4200" t="str">
        <f>"Abcc1"</f>
        <v>Abcc1</v>
      </c>
      <c r="I4200" t="s">
        <v>32</v>
      </c>
      <c r="J4200" t="s">
        <v>37</v>
      </c>
      <c r="K4200">
        <v>10090</v>
      </c>
      <c r="L4200" s="3" t="str">
        <f>HYPERLINK("http://www.uniprot.org/uniprot/O35379", "O35379")</f>
        <v>O35379</v>
      </c>
      <c r="M4200" t="s">
        <v>46255</v>
      </c>
      <c r="N4200" t="str">
        <f>"Abcc1"</f>
        <v>Abcc1</v>
      </c>
      <c r="O4200" s="3" t="str">
        <f>HYPERLINK("http://www.informatics.jax.org/marker/MGI:102676", "MGI:102676")</f>
        <v>MGI:102676</v>
      </c>
      <c r="P4200" t="s">
        <v>46256</v>
      </c>
      <c r="Q4200" t="s">
        <v>582</v>
      </c>
      <c r="R4200" t="s">
        <v>2474</v>
      </c>
      <c r="S4200" t="s">
        <v>32</v>
      </c>
      <c r="T4200" t="s">
        <v>32</v>
      </c>
      <c r="U4200" t="s">
        <v>32</v>
      </c>
      <c r="V4200" t="s">
        <v>1620</v>
      </c>
      <c r="W4200" t="s">
        <v>205</v>
      </c>
      <c r="X4200" t="s">
        <v>23836</v>
      </c>
      <c r="Y4200" t="s">
        <v>4720</v>
      </c>
      <c r="Z4200" t="s">
        <v>32</v>
      </c>
      <c r="AA4200" t="s">
        <v>46257</v>
      </c>
      <c r="AB4200" t="s">
        <v>46258</v>
      </c>
      <c r="AC4200" t="s">
        <v>46259</v>
      </c>
      <c r="AD4200" t="s">
        <v>32</v>
      </c>
      <c r="AE4200" t="s">
        <v>46260</v>
      </c>
      <c r="AF4200" t="s">
        <v>46835</v>
      </c>
    </row>
    <row r="4201" spans="1:32" x14ac:dyDescent="0.2">
      <c r="A4201">
        <v>4196</v>
      </c>
      <c r="B4201" t="s">
        <v>46261</v>
      </c>
      <c r="C4201" t="s">
        <v>46262</v>
      </c>
      <c r="D4201" t="s">
        <v>32</v>
      </c>
      <c r="E4201" t="s">
        <v>46263</v>
      </c>
      <c r="F4201" t="s">
        <v>46264</v>
      </c>
      <c r="G4201" t="s">
        <v>46265</v>
      </c>
      <c r="H4201" t="str">
        <f>"Acbd5"</f>
        <v>Acbd5</v>
      </c>
      <c r="I4201" t="s">
        <v>32</v>
      </c>
      <c r="J4201" t="s">
        <v>37</v>
      </c>
      <c r="K4201">
        <v>10090</v>
      </c>
      <c r="L4201" s="3" t="str">
        <f>HYPERLINK("http://www.uniprot.org/uniprot/Q5XG73", "Q5XG73")</f>
        <v>Q5XG73</v>
      </c>
      <c r="M4201" t="s">
        <v>46266</v>
      </c>
      <c r="N4201" t="str">
        <f>"Acbd5"</f>
        <v>Acbd5</v>
      </c>
      <c r="O4201" s="3" t="str">
        <f>HYPERLINK("http://www.informatics.jax.org/marker/MGI:1921409", "MGI:1921409")</f>
        <v>MGI:1921409</v>
      </c>
      <c r="P4201" t="s">
        <v>46267</v>
      </c>
      <c r="Q4201" t="s">
        <v>46268</v>
      </c>
      <c r="R4201" t="s">
        <v>23835</v>
      </c>
      <c r="S4201" t="s">
        <v>41</v>
      </c>
      <c r="T4201" t="s">
        <v>32</v>
      </c>
      <c r="U4201" t="s">
        <v>32</v>
      </c>
      <c r="V4201" t="s">
        <v>6500</v>
      </c>
      <c r="W4201" t="s">
        <v>584</v>
      </c>
      <c r="X4201" t="s">
        <v>32</v>
      </c>
      <c r="Y4201" t="s">
        <v>157</v>
      </c>
      <c r="Z4201" t="s">
        <v>32</v>
      </c>
      <c r="AA4201" t="s">
        <v>46269</v>
      </c>
      <c r="AB4201" t="s">
        <v>46270</v>
      </c>
      <c r="AC4201" t="s">
        <v>25586</v>
      </c>
      <c r="AD4201" t="s">
        <v>32</v>
      </c>
      <c r="AE4201" t="s">
        <v>46271</v>
      </c>
      <c r="AF4201" t="s">
        <v>46835</v>
      </c>
    </row>
    <row r="4202" spans="1:32" x14ac:dyDescent="0.2">
      <c r="A4202">
        <v>4197</v>
      </c>
      <c r="B4202" t="s">
        <v>46272</v>
      </c>
      <c r="C4202" t="s">
        <v>46273</v>
      </c>
      <c r="D4202" t="s">
        <v>46274</v>
      </c>
      <c r="E4202" t="s">
        <v>46275</v>
      </c>
      <c r="F4202" t="s">
        <v>46276</v>
      </c>
      <c r="G4202" t="s">
        <v>46277</v>
      </c>
      <c r="H4202" t="str">
        <f>"Hectd3"</f>
        <v>Hectd3</v>
      </c>
      <c r="I4202" t="s">
        <v>32</v>
      </c>
      <c r="J4202" t="s">
        <v>37</v>
      </c>
      <c r="K4202">
        <v>10090</v>
      </c>
      <c r="L4202" s="3" t="str">
        <f>HYPERLINK("http://www.uniprot.org/uniprot/Q3U487", "Q3U487")</f>
        <v>Q3U487</v>
      </c>
      <c r="M4202" t="s">
        <v>46278</v>
      </c>
      <c r="N4202" t="str">
        <f>"Hectd3"</f>
        <v>Hectd3</v>
      </c>
      <c r="O4202" s="3" t="str">
        <f>HYPERLINK("http://www.informatics.jax.org/marker/MGI:1923858", "MGI:1923858")</f>
        <v>MGI:1923858</v>
      </c>
      <c r="P4202" t="s">
        <v>46279</v>
      </c>
      <c r="Q4202" t="s">
        <v>1020</v>
      </c>
      <c r="R4202" t="s">
        <v>418</v>
      </c>
      <c r="S4202" t="s">
        <v>41</v>
      </c>
      <c r="T4202" t="s">
        <v>32</v>
      </c>
      <c r="U4202" t="s">
        <v>32</v>
      </c>
      <c r="V4202" t="s">
        <v>32</v>
      </c>
      <c r="W4202" t="s">
        <v>32</v>
      </c>
      <c r="X4202" t="s">
        <v>515</v>
      </c>
      <c r="Y4202" t="s">
        <v>157</v>
      </c>
      <c r="Z4202" t="s">
        <v>32</v>
      </c>
      <c r="AA4202" t="s">
        <v>5542</v>
      </c>
      <c r="AB4202" t="s">
        <v>10481</v>
      </c>
      <c r="AC4202" t="s">
        <v>46280</v>
      </c>
      <c r="AD4202" t="s">
        <v>1027</v>
      </c>
      <c r="AE4202" t="s">
        <v>4220</v>
      </c>
      <c r="AF4202" t="s">
        <v>46835</v>
      </c>
    </row>
    <row r="4203" spans="1:32" x14ac:dyDescent="0.2">
      <c r="A4203">
        <v>4198</v>
      </c>
      <c r="B4203" t="s">
        <v>46281</v>
      </c>
      <c r="C4203" t="s">
        <v>46282</v>
      </c>
      <c r="D4203" t="s">
        <v>32</v>
      </c>
      <c r="E4203" t="s">
        <v>46283</v>
      </c>
      <c r="F4203" t="s">
        <v>46284</v>
      </c>
      <c r="G4203" t="s">
        <v>46285</v>
      </c>
      <c r="H4203" t="str">
        <f>"Tbc1d25"</f>
        <v>Tbc1d25</v>
      </c>
      <c r="I4203" t="s">
        <v>32</v>
      </c>
      <c r="J4203" t="s">
        <v>37</v>
      </c>
      <c r="K4203">
        <v>10090</v>
      </c>
      <c r="L4203" s="3" t="str">
        <f>HYPERLINK("http://www.uniprot.org/uniprot/A1A5B6", "A1A5B6")</f>
        <v>A1A5B6</v>
      </c>
      <c r="M4203" t="s">
        <v>46286</v>
      </c>
      <c r="N4203" t="str">
        <f>"Tbc1d25"</f>
        <v>Tbc1d25</v>
      </c>
      <c r="O4203" s="3" t="str">
        <f>HYPERLINK("http://www.informatics.jax.org/marker/MGI:2444862", "MGI:2444862")</f>
        <v>MGI:2444862</v>
      </c>
      <c r="P4203" t="s">
        <v>46287</v>
      </c>
      <c r="Q4203" t="s">
        <v>11661</v>
      </c>
      <c r="R4203" t="s">
        <v>8987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715</v>
      </c>
      <c r="Y4203" t="s">
        <v>618</v>
      </c>
      <c r="Z4203" t="s">
        <v>32</v>
      </c>
      <c r="AA4203" t="s">
        <v>46288</v>
      </c>
      <c r="AB4203" t="s">
        <v>46289</v>
      </c>
      <c r="AC4203" t="s">
        <v>14857</v>
      </c>
      <c r="AD4203" t="s">
        <v>32</v>
      </c>
      <c r="AE4203" t="s">
        <v>20884</v>
      </c>
      <c r="AF4203" t="s">
        <v>46835</v>
      </c>
    </row>
    <row r="4204" spans="1:32" x14ac:dyDescent="0.2">
      <c r="A4204">
        <v>4199</v>
      </c>
      <c r="B4204" t="s">
        <v>46290</v>
      </c>
      <c r="C4204" t="s">
        <v>46291</v>
      </c>
      <c r="D4204" t="s">
        <v>46292</v>
      </c>
      <c r="E4204" t="s">
        <v>46293</v>
      </c>
      <c r="F4204" t="s">
        <v>46294</v>
      </c>
      <c r="G4204" t="s">
        <v>46295</v>
      </c>
      <c r="H4204" t="str">
        <f>"Fhod1"</f>
        <v>Fhod1</v>
      </c>
      <c r="I4204" t="s">
        <v>46296</v>
      </c>
      <c r="J4204" t="s">
        <v>37</v>
      </c>
      <c r="K4204">
        <v>10090</v>
      </c>
      <c r="L4204" s="3" t="str">
        <f>HYPERLINK("http://www.uniprot.org/uniprot/Q6P9Q4", "Q6P9Q4")</f>
        <v>Q6P9Q4</v>
      </c>
      <c r="M4204" t="s">
        <v>46297</v>
      </c>
      <c r="N4204" t="str">
        <f>"Fhod1"</f>
        <v>Fhod1</v>
      </c>
      <c r="O4204" s="3" t="str">
        <f>HYPERLINK("http://www.informatics.jax.org/marker/MGI:2679008", "MGI:2679008")</f>
        <v>MGI:2679008</v>
      </c>
      <c r="P4204" t="s">
        <v>46298</v>
      </c>
      <c r="Q4204" t="s">
        <v>32</v>
      </c>
      <c r="R4204" t="s">
        <v>1210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405</v>
      </c>
      <c r="Y4204" t="s">
        <v>618</v>
      </c>
      <c r="Z4204" t="s">
        <v>32</v>
      </c>
      <c r="AA4204" t="s">
        <v>46299</v>
      </c>
      <c r="AB4204" t="s">
        <v>46300</v>
      </c>
      <c r="AC4204" t="s">
        <v>46301</v>
      </c>
      <c r="AD4204" t="s">
        <v>32</v>
      </c>
      <c r="AE4204" t="s">
        <v>32</v>
      </c>
      <c r="AF4204" t="s">
        <v>46835</v>
      </c>
    </row>
    <row r="4205" spans="1:32" x14ac:dyDescent="0.2">
      <c r="A4205">
        <v>4200</v>
      </c>
      <c r="B4205" t="s">
        <v>46302</v>
      </c>
      <c r="C4205" t="s">
        <v>46303</v>
      </c>
      <c r="D4205" t="s">
        <v>46304</v>
      </c>
      <c r="E4205" t="s">
        <v>46305</v>
      </c>
      <c r="F4205" t="s">
        <v>46306</v>
      </c>
      <c r="G4205" t="s">
        <v>32</v>
      </c>
      <c r="H4205" t="str">
        <f>"Chaf1b"</f>
        <v>Chaf1b</v>
      </c>
      <c r="I4205" t="s">
        <v>32</v>
      </c>
      <c r="J4205" t="s">
        <v>37</v>
      </c>
      <c r="K4205">
        <v>10090</v>
      </c>
      <c r="L4205" s="3" t="str">
        <f>HYPERLINK("http://www.uniprot.org/uniprot/Q9D0N7", "Q9D0N7")</f>
        <v>Q9D0N7</v>
      </c>
      <c r="M4205" t="s">
        <v>46307</v>
      </c>
      <c r="N4205" t="str">
        <f>"Chaf1b"</f>
        <v>Chaf1b</v>
      </c>
      <c r="O4205" s="3" t="str">
        <f>HYPERLINK("http://www.informatics.jax.org/marker/MGI:1314881", "MGI:1314881")</f>
        <v>MGI:1314881</v>
      </c>
      <c r="P4205" t="s">
        <v>46308</v>
      </c>
      <c r="Q4205" t="s">
        <v>46309</v>
      </c>
      <c r="R4205" t="s">
        <v>40</v>
      </c>
      <c r="S4205" t="s">
        <v>32</v>
      </c>
      <c r="T4205" t="s">
        <v>32</v>
      </c>
      <c r="U4205" t="s">
        <v>32</v>
      </c>
      <c r="V4205" t="s">
        <v>1910</v>
      </c>
      <c r="W4205" t="s">
        <v>32</v>
      </c>
      <c r="X4205" t="s">
        <v>32</v>
      </c>
      <c r="Y4205" t="s">
        <v>157</v>
      </c>
      <c r="Z4205" t="s">
        <v>32</v>
      </c>
      <c r="AA4205" t="s">
        <v>46310</v>
      </c>
      <c r="AB4205" t="s">
        <v>46311</v>
      </c>
      <c r="AC4205" t="s">
        <v>32</v>
      </c>
      <c r="AD4205" t="s">
        <v>32</v>
      </c>
      <c r="AE4205" t="s">
        <v>32</v>
      </c>
      <c r="AF4205" t="s">
        <v>46835</v>
      </c>
    </row>
    <row r="4206" spans="1:32" x14ac:dyDescent="0.2">
      <c r="A4206">
        <v>4201</v>
      </c>
      <c r="B4206" t="s">
        <v>46312</v>
      </c>
      <c r="C4206" t="s">
        <v>46313</v>
      </c>
      <c r="D4206" t="s">
        <v>46314</v>
      </c>
      <c r="E4206" t="s">
        <v>46315</v>
      </c>
      <c r="F4206" t="s">
        <v>46316</v>
      </c>
      <c r="G4206" t="s">
        <v>46317</v>
      </c>
      <c r="H4206" t="str">
        <f>"Dab2ip"</f>
        <v>Dab2ip</v>
      </c>
      <c r="I4206" t="s">
        <v>46318</v>
      </c>
      <c r="J4206" t="s">
        <v>37</v>
      </c>
      <c r="K4206">
        <v>10090</v>
      </c>
      <c r="L4206" s="3" t="str">
        <f>HYPERLINK("http://www.uniprot.org/uniprot/Q3UHC7", "Q3UHC7")</f>
        <v>Q3UHC7</v>
      </c>
      <c r="M4206" t="s">
        <v>46319</v>
      </c>
      <c r="N4206" t="str">
        <f>"Dab2ip"</f>
        <v>Dab2ip</v>
      </c>
      <c r="O4206" s="3" t="str">
        <f>HYPERLINK("http://www.informatics.jax.org/marker/MGI:1916851", "MGI:1916851")</f>
        <v>MGI:1916851</v>
      </c>
      <c r="P4206" t="s">
        <v>46320</v>
      </c>
      <c r="Q4206" t="s">
        <v>46321</v>
      </c>
      <c r="R4206" t="s">
        <v>10902</v>
      </c>
      <c r="S4206" t="s">
        <v>41</v>
      </c>
      <c r="T4206" t="s">
        <v>32</v>
      </c>
      <c r="U4206" t="s">
        <v>1636</v>
      </c>
      <c r="V4206" t="s">
        <v>290</v>
      </c>
      <c r="W4206" t="s">
        <v>32</v>
      </c>
      <c r="X4206" t="s">
        <v>46322</v>
      </c>
      <c r="Y4206" t="s">
        <v>618</v>
      </c>
      <c r="Z4206" t="s">
        <v>32</v>
      </c>
      <c r="AA4206" t="s">
        <v>46323</v>
      </c>
      <c r="AB4206" t="s">
        <v>46324</v>
      </c>
      <c r="AC4206" t="s">
        <v>46325</v>
      </c>
      <c r="AD4206" t="s">
        <v>32</v>
      </c>
      <c r="AE4206" t="s">
        <v>25908</v>
      </c>
      <c r="AF4206" t="s">
        <v>46835</v>
      </c>
    </row>
    <row r="4207" spans="1:32" x14ac:dyDescent="0.2">
      <c r="A4207">
        <v>4202</v>
      </c>
      <c r="B4207" t="s">
        <v>46326</v>
      </c>
      <c r="C4207" t="s">
        <v>46327</v>
      </c>
      <c r="D4207" t="s">
        <v>32</v>
      </c>
      <c r="E4207" t="s">
        <v>46328</v>
      </c>
      <c r="F4207" t="s">
        <v>46329</v>
      </c>
      <c r="G4207" t="s">
        <v>46330</v>
      </c>
      <c r="H4207" t="str">
        <f>"Ints4"</f>
        <v>Ints4</v>
      </c>
      <c r="I4207" t="s">
        <v>32</v>
      </c>
      <c r="J4207" t="s">
        <v>37</v>
      </c>
      <c r="K4207">
        <v>10090</v>
      </c>
      <c r="L4207" s="3" t="str">
        <f>HYPERLINK("http://www.uniprot.org/uniprot/Q8CIM8", "Q8CIM8")</f>
        <v>Q8CIM8</v>
      </c>
      <c r="M4207" t="s">
        <v>46331</v>
      </c>
      <c r="N4207" t="str">
        <f>"Ints4"</f>
        <v>Ints4</v>
      </c>
      <c r="O4207" s="3" t="str">
        <f>HYPERLINK("http://www.informatics.jax.org/marker/MGI:1917164", "MGI:1917164")</f>
        <v>MGI:1917164</v>
      </c>
      <c r="P4207" t="s">
        <v>46332</v>
      </c>
      <c r="Q4207" t="s">
        <v>32</v>
      </c>
      <c r="R4207" t="s">
        <v>2279</v>
      </c>
      <c r="S4207" t="s">
        <v>41</v>
      </c>
      <c r="T4207" t="s">
        <v>32</v>
      </c>
      <c r="U4207" t="s">
        <v>32</v>
      </c>
      <c r="V4207" t="s">
        <v>55</v>
      </c>
      <c r="W4207" t="s">
        <v>32</v>
      </c>
      <c r="X4207" t="s">
        <v>32</v>
      </c>
      <c r="Y4207" t="s">
        <v>461</v>
      </c>
      <c r="Z4207" t="s">
        <v>32</v>
      </c>
      <c r="AA4207" t="s">
        <v>42171</v>
      </c>
      <c r="AB4207" t="s">
        <v>46333</v>
      </c>
      <c r="AC4207" t="s">
        <v>32</v>
      </c>
      <c r="AD4207" t="s">
        <v>32</v>
      </c>
      <c r="AE4207" t="s">
        <v>22679</v>
      </c>
      <c r="AF4207" t="s">
        <v>46835</v>
      </c>
    </row>
    <row r="4208" spans="1:32" x14ac:dyDescent="0.2">
      <c r="A4208">
        <v>4203</v>
      </c>
      <c r="B4208" t="s">
        <v>46334</v>
      </c>
      <c r="C4208" t="s">
        <v>46335</v>
      </c>
      <c r="D4208" t="s">
        <v>46336</v>
      </c>
      <c r="E4208" t="s">
        <v>46337</v>
      </c>
      <c r="F4208" t="s">
        <v>46338</v>
      </c>
      <c r="G4208" t="s">
        <v>46339</v>
      </c>
      <c r="H4208" t="str">
        <f>"Mblac1"</f>
        <v>Mblac1</v>
      </c>
      <c r="I4208" t="s">
        <v>32</v>
      </c>
      <c r="J4208" t="s">
        <v>37</v>
      </c>
      <c r="K4208">
        <v>10090</v>
      </c>
      <c r="L4208" s="3" t="str">
        <f>HYPERLINK("http://www.uniprot.org/uniprot/Q8BWY4", "Q8BWY4")</f>
        <v>Q8BWY4</v>
      </c>
      <c r="M4208" t="s">
        <v>46340</v>
      </c>
      <c r="N4208" t="str">
        <f>"Mblac1"</f>
        <v>Mblac1</v>
      </c>
      <c r="O4208" s="3" t="str">
        <f>HYPERLINK("http://www.informatics.jax.org/marker/MGI:2679717", "MGI:2679717")</f>
        <v>MGI:2679717</v>
      </c>
      <c r="P4208" t="s">
        <v>46341</v>
      </c>
      <c r="Q4208" t="s">
        <v>32</v>
      </c>
      <c r="R4208" t="s">
        <v>40</v>
      </c>
      <c r="S4208" t="s">
        <v>32</v>
      </c>
      <c r="T4208" t="s">
        <v>32</v>
      </c>
      <c r="U4208" t="s">
        <v>32</v>
      </c>
      <c r="V4208" t="s">
        <v>32</v>
      </c>
      <c r="W4208" t="s">
        <v>42</v>
      </c>
      <c r="X4208" t="s">
        <v>343</v>
      </c>
      <c r="Y4208" t="s">
        <v>32</v>
      </c>
      <c r="Z4208" t="s">
        <v>32</v>
      </c>
      <c r="AA4208" t="s">
        <v>46342</v>
      </c>
      <c r="AB4208" t="s">
        <v>4218</v>
      </c>
      <c r="AC4208" t="s">
        <v>40382</v>
      </c>
      <c r="AD4208" t="s">
        <v>32</v>
      </c>
      <c r="AE4208" t="s">
        <v>32</v>
      </c>
      <c r="AF4208" t="s">
        <v>46835</v>
      </c>
    </row>
    <row r="4209" spans="1:33" x14ac:dyDescent="0.2">
      <c r="A4209">
        <v>4204</v>
      </c>
      <c r="B4209" t="s">
        <v>46343</v>
      </c>
      <c r="C4209" t="s">
        <v>46344</v>
      </c>
      <c r="D4209" t="s">
        <v>46345</v>
      </c>
      <c r="E4209" t="s">
        <v>46346</v>
      </c>
      <c r="F4209" t="s">
        <v>46347</v>
      </c>
      <c r="G4209" t="s">
        <v>32</v>
      </c>
      <c r="H4209" t="str">
        <f>"Gsdme"</f>
        <v>Gsdme</v>
      </c>
      <c r="I4209" t="s">
        <v>46348</v>
      </c>
      <c r="J4209" t="s">
        <v>37</v>
      </c>
      <c r="K4209">
        <v>10090</v>
      </c>
      <c r="L4209" s="3" t="str">
        <f>HYPERLINK("http://www.uniprot.org/uniprot/Q9Z2D3", "Q9Z2D3")</f>
        <v>Q9Z2D3</v>
      </c>
      <c r="M4209" t="s">
        <v>46349</v>
      </c>
      <c r="N4209" t="str">
        <f>"Gsdme"</f>
        <v>Gsdme</v>
      </c>
      <c r="O4209" s="3" t="str">
        <f>HYPERLINK("http://www.informatics.jax.org/marker/MGI:1889850", "MGI:1889850")</f>
        <v>MGI:1889850</v>
      </c>
      <c r="P4209" t="s">
        <v>46350</v>
      </c>
      <c r="Q4209" t="s">
        <v>23529</v>
      </c>
      <c r="R4209" t="s">
        <v>222</v>
      </c>
      <c r="S4209" t="s">
        <v>32</v>
      </c>
      <c r="T4209" t="s">
        <v>32</v>
      </c>
      <c r="U4209" t="s">
        <v>32</v>
      </c>
      <c r="V4209" t="s">
        <v>6327</v>
      </c>
      <c r="W4209" t="s">
        <v>32</v>
      </c>
      <c r="X4209" t="s">
        <v>32</v>
      </c>
      <c r="Y4209" t="s">
        <v>32</v>
      </c>
      <c r="Z4209" t="s">
        <v>32</v>
      </c>
      <c r="AA4209" t="s">
        <v>46351</v>
      </c>
      <c r="AB4209" t="s">
        <v>46352</v>
      </c>
      <c r="AC4209" t="s">
        <v>46353</v>
      </c>
      <c r="AD4209" t="s">
        <v>32</v>
      </c>
      <c r="AE4209" t="s">
        <v>46354</v>
      </c>
      <c r="AF4209" t="s">
        <v>46835</v>
      </c>
    </row>
    <row r="4210" spans="1:33" x14ac:dyDescent="0.2">
      <c r="A4210">
        <v>4205</v>
      </c>
      <c r="B4210" t="s">
        <v>46355</v>
      </c>
      <c r="C4210" t="s">
        <v>46356</v>
      </c>
      <c r="D4210" t="s">
        <v>32</v>
      </c>
      <c r="E4210" t="s">
        <v>46357</v>
      </c>
      <c r="F4210" t="s">
        <v>46358</v>
      </c>
      <c r="G4210" t="s">
        <v>46359</v>
      </c>
      <c r="H4210" t="str">
        <f>"Cav1"</f>
        <v>Cav1</v>
      </c>
      <c r="I4210" t="s">
        <v>46360</v>
      </c>
      <c r="J4210" t="s">
        <v>37</v>
      </c>
      <c r="K4210">
        <v>10090</v>
      </c>
      <c r="L4210" s="3" t="str">
        <f>HYPERLINK("http://www.uniprot.org/uniprot/P49817", "P49817")</f>
        <v>P49817</v>
      </c>
      <c r="M4210" t="s">
        <v>46361</v>
      </c>
      <c r="N4210" t="str">
        <f>"Cav1"</f>
        <v>Cav1</v>
      </c>
      <c r="O4210" s="3" t="str">
        <f>HYPERLINK("http://www.informatics.jax.org/marker/MGI:102709", "MGI:102709")</f>
        <v>MGI:102709</v>
      </c>
      <c r="P4210" t="s">
        <v>46362</v>
      </c>
      <c r="Q4210" t="s">
        <v>32</v>
      </c>
      <c r="R4210" t="s">
        <v>22708</v>
      </c>
      <c r="S4210" t="s">
        <v>477</v>
      </c>
      <c r="T4210" t="s">
        <v>32</v>
      </c>
      <c r="U4210" t="s">
        <v>32</v>
      </c>
      <c r="V4210" t="s">
        <v>32</v>
      </c>
      <c r="W4210" t="s">
        <v>32</v>
      </c>
      <c r="X4210" t="s">
        <v>32</v>
      </c>
      <c r="Y4210" t="s">
        <v>46363</v>
      </c>
      <c r="Z4210" t="s">
        <v>32</v>
      </c>
      <c r="AA4210" t="s">
        <v>46364</v>
      </c>
      <c r="AB4210" t="s">
        <v>46365</v>
      </c>
      <c r="AC4210" t="s">
        <v>46366</v>
      </c>
      <c r="AD4210" t="s">
        <v>32</v>
      </c>
      <c r="AE4210" t="s">
        <v>46367</v>
      </c>
      <c r="AF4210" t="s">
        <v>46835</v>
      </c>
    </row>
    <row r="4211" spans="1:33" x14ac:dyDescent="0.2">
      <c r="A4211">
        <v>4206</v>
      </c>
      <c r="B4211" t="s">
        <v>46368</v>
      </c>
      <c r="C4211" t="s">
        <v>46369</v>
      </c>
      <c r="D4211" t="s">
        <v>32</v>
      </c>
      <c r="E4211" t="s">
        <v>46370</v>
      </c>
      <c r="F4211" t="s">
        <v>46371</v>
      </c>
      <c r="G4211" t="s">
        <v>32</v>
      </c>
      <c r="H4211" t="str">
        <f>"Cfap300"</f>
        <v>Cfap300</v>
      </c>
      <c r="I4211" t="s">
        <v>32</v>
      </c>
      <c r="J4211" t="s">
        <v>37</v>
      </c>
      <c r="K4211">
        <v>10090</v>
      </c>
      <c r="L4211" s="3" t="str">
        <f>HYPERLINK("http://www.uniprot.org/uniprot/Q8CC70", "Q8CC70")</f>
        <v>Q8CC70</v>
      </c>
      <c r="M4211" t="s">
        <v>46372</v>
      </c>
      <c r="N4211" t="str">
        <f>"Cfap300"</f>
        <v>Cfap300</v>
      </c>
      <c r="O4211" s="3" t="str">
        <f>HYPERLINK("http://www.informatics.jax.org/marker/MGI:3045346", "MGI:3045346")</f>
        <v>MGI:3045346</v>
      </c>
      <c r="P4211" t="s">
        <v>1210</v>
      </c>
      <c r="Q4211" t="s">
        <v>32</v>
      </c>
      <c r="R4211" t="s">
        <v>1210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32</v>
      </c>
      <c r="Y4211" t="s">
        <v>32</v>
      </c>
      <c r="Z4211" t="s">
        <v>32</v>
      </c>
      <c r="AA4211" t="s">
        <v>32</v>
      </c>
      <c r="AB4211" t="s">
        <v>46373</v>
      </c>
      <c r="AC4211" t="s">
        <v>32</v>
      </c>
      <c r="AD4211" t="s">
        <v>32</v>
      </c>
      <c r="AE4211" t="s">
        <v>32</v>
      </c>
      <c r="AF4211" t="s">
        <v>46835</v>
      </c>
    </row>
    <row r="4212" spans="1:33" x14ac:dyDescent="0.2">
      <c r="A4212">
        <v>4207</v>
      </c>
      <c r="B4212" t="s">
        <v>46374</v>
      </c>
      <c r="C4212" t="s">
        <v>46375</v>
      </c>
      <c r="D4212" t="s">
        <v>32</v>
      </c>
      <c r="E4212" t="s">
        <v>46376</v>
      </c>
      <c r="F4212" t="s">
        <v>46377</v>
      </c>
      <c r="G4212" t="s">
        <v>46378</v>
      </c>
      <c r="H4212" t="s">
        <v>32</v>
      </c>
      <c r="I4212" t="s">
        <v>32</v>
      </c>
      <c r="J4212" t="s">
        <v>37</v>
      </c>
      <c r="K4212">
        <v>10090</v>
      </c>
      <c r="L4212" s="3" t="str">
        <f>HYPERLINK("http://www.uniprot.org/uniprot/Q8BH50", "Q8BH50")</f>
        <v>Q8BH50</v>
      </c>
      <c r="M4212" t="s">
        <v>46379</v>
      </c>
      <c r="N4212" t="str">
        <f>"8030462N17Rik"</f>
        <v>8030462N17Rik</v>
      </c>
      <c r="O4212" s="3" t="str">
        <f>HYPERLINK("http://www.informatics.jax.org/marker/MGI:2444951", "MGI:2444951")</f>
        <v>MGI:2444951</v>
      </c>
      <c r="P4212" t="s">
        <v>13508</v>
      </c>
      <c r="Q4212" t="s">
        <v>32</v>
      </c>
      <c r="R4212" t="s">
        <v>32</v>
      </c>
      <c r="S4212" t="s">
        <v>41</v>
      </c>
      <c r="T4212" t="s">
        <v>32</v>
      </c>
      <c r="U4212" t="s">
        <v>32</v>
      </c>
      <c r="V4212" t="s">
        <v>290</v>
      </c>
      <c r="W4212" t="s">
        <v>32</v>
      </c>
      <c r="X4212" t="s">
        <v>32</v>
      </c>
      <c r="Y4212" t="s">
        <v>618</v>
      </c>
      <c r="Z4212" t="s">
        <v>32</v>
      </c>
      <c r="AA4212" t="s">
        <v>8269</v>
      </c>
      <c r="AB4212" t="s">
        <v>32</v>
      </c>
      <c r="AC4212" t="s">
        <v>34195</v>
      </c>
      <c r="AD4212" t="s">
        <v>32</v>
      </c>
      <c r="AE4212" t="s">
        <v>32</v>
      </c>
      <c r="AF4212" t="s">
        <v>46835</v>
      </c>
    </row>
    <row r="4213" spans="1:33" x14ac:dyDescent="0.2">
      <c r="A4213">
        <v>4208</v>
      </c>
      <c r="B4213" t="s">
        <v>46380</v>
      </c>
      <c r="C4213" t="s">
        <v>46381</v>
      </c>
      <c r="D4213" t="s">
        <v>32</v>
      </c>
      <c r="E4213" t="s">
        <v>46382</v>
      </c>
      <c r="F4213" t="s">
        <v>46383</v>
      </c>
      <c r="G4213" t="s">
        <v>32</v>
      </c>
      <c r="H4213" t="str">
        <f>"Comtd1"</f>
        <v>Comtd1</v>
      </c>
      <c r="I4213" t="s">
        <v>32</v>
      </c>
      <c r="J4213" t="s">
        <v>37</v>
      </c>
      <c r="K4213">
        <v>10090</v>
      </c>
      <c r="L4213" s="3" t="str">
        <f>HYPERLINK("http://www.uniprot.org/uniprot/Q8BIG7", "Q8BIG7")</f>
        <v>Q8BIG7</v>
      </c>
      <c r="M4213" t="s">
        <v>46384</v>
      </c>
      <c r="N4213" t="str">
        <f>"Comtd1"</f>
        <v>Comtd1</v>
      </c>
      <c r="O4213" s="3" t="str">
        <f>HYPERLINK("http://www.informatics.jax.org/marker/MGI:1916406", "MGI:1916406")</f>
        <v>MGI:1916406</v>
      </c>
      <c r="P4213" t="s">
        <v>46385</v>
      </c>
      <c r="Q4213" t="s">
        <v>32</v>
      </c>
      <c r="R4213" t="s">
        <v>5989</v>
      </c>
      <c r="S4213" t="s">
        <v>32</v>
      </c>
      <c r="T4213" t="s">
        <v>32</v>
      </c>
      <c r="U4213" t="s">
        <v>32</v>
      </c>
      <c r="V4213" t="s">
        <v>1550</v>
      </c>
      <c r="W4213" t="s">
        <v>1705</v>
      </c>
      <c r="X4213" t="s">
        <v>1706</v>
      </c>
      <c r="Y4213" t="s">
        <v>32</v>
      </c>
      <c r="Z4213" t="s">
        <v>32</v>
      </c>
      <c r="AA4213" t="s">
        <v>46386</v>
      </c>
      <c r="AB4213" t="s">
        <v>46387</v>
      </c>
      <c r="AC4213" t="s">
        <v>46388</v>
      </c>
      <c r="AD4213" t="s">
        <v>32</v>
      </c>
      <c r="AE4213" t="s">
        <v>32</v>
      </c>
      <c r="AF4213" t="s">
        <v>46835</v>
      </c>
    </row>
    <row r="4214" spans="1:33" x14ac:dyDescent="0.2">
      <c r="A4214">
        <v>4209</v>
      </c>
      <c r="B4214" t="s">
        <v>46389</v>
      </c>
      <c r="C4214" t="s">
        <v>46390</v>
      </c>
      <c r="D4214" t="s">
        <v>46391</v>
      </c>
      <c r="E4214" t="s">
        <v>46392</v>
      </c>
      <c r="F4214" t="s">
        <v>46393</v>
      </c>
      <c r="G4214" t="s">
        <v>46394</v>
      </c>
      <c r="H4214" t="str">
        <f>"Hrg"</f>
        <v>Hrg</v>
      </c>
      <c r="I4214" t="s">
        <v>32</v>
      </c>
      <c r="J4214" t="s">
        <v>37</v>
      </c>
      <c r="K4214">
        <v>10090</v>
      </c>
      <c r="L4214" s="3" t="str">
        <f>HYPERLINK("http://www.uniprot.org/uniprot/Q9ESB3", "Q9ESB3")</f>
        <v>Q9ESB3</v>
      </c>
      <c r="M4214" t="s">
        <v>46395</v>
      </c>
      <c r="N4214" t="str">
        <f>"Hrg"</f>
        <v>Hrg</v>
      </c>
      <c r="O4214" s="3" t="str">
        <f>HYPERLINK("http://www.informatics.jax.org/marker/MGI:2146636", "MGI:2146636")</f>
        <v>MGI:2146636</v>
      </c>
      <c r="P4214" t="s">
        <v>46396</v>
      </c>
      <c r="Q4214" t="s">
        <v>46397</v>
      </c>
      <c r="R4214" t="s">
        <v>630</v>
      </c>
      <c r="S4214" t="s">
        <v>32</v>
      </c>
      <c r="T4214" t="s">
        <v>32</v>
      </c>
      <c r="U4214" t="s">
        <v>32</v>
      </c>
      <c r="V4214" t="s">
        <v>478</v>
      </c>
      <c r="W4214" t="s">
        <v>1234</v>
      </c>
      <c r="X4214" t="s">
        <v>5246</v>
      </c>
      <c r="Y4214" t="s">
        <v>46398</v>
      </c>
      <c r="Z4214" t="s">
        <v>32</v>
      </c>
      <c r="AA4214" t="s">
        <v>46399</v>
      </c>
      <c r="AB4214" t="s">
        <v>46400</v>
      </c>
      <c r="AC4214" t="s">
        <v>46401</v>
      </c>
      <c r="AD4214" t="s">
        <v>32</v>
      </c>
      <c r="AE4214" t="s">
        <v>33385</v>
      </c>
      <c r="AF4214" t="s">
        <v>46835</v>
      </c>
    </row>
    <row r="4215" spans="1:33" x14ac:dyDescent="0.2">
      <c r="A4215">
        <v>4210</v>
      </c>
      <c r="B4215" t="s">
        <v>46402</v>
      </c>
      <c r="C4215" t="s">
        <v>47128</v>
      </c>
      <c r="D4215" t="s">
        <v>32</v>
      </c>
      <c r="E4215" t="s">
        <v>47100</v>
      </c>
      <c r="F4215" t="s">
        <v>47099</v>
      </c>
      <c r="G4215" t="s">
        <v>32</v>
      </c>
      <c r="H4215" t="s">
        <v>47259</v>
      </c>
      <c r="I4215" t="s">
        <v>32</v>
      </c>
      <c r="J4215" t="s">
        <v>37</v>
      </c>
      <c r="K4215">
        <v>10090</v>
      </c>
      <c r="L4215" s="3" t="str">
        <f>HYPERLINK(CONCATENATE("https://www.uniprot.org/uniprotkb/", AG4215, "/entry"), AG4215)</f>
        <v>Q8R4Y4</v>
      </c>
      <c r="M4215" t="s">
        <v>32</v>
      </c>
      <c r="N4215" t="s">
        <v>32</v>
      </c>
      <c r="O4215" s="3" t="s">
        <v>32</v>
      </c>
      <c r="P4215" t="s">
        <v>32</v>
      </c>
      <c r="Q4215" t="s">
        <v>32</v>
      </c>
      <c r="R4215" t="s">
        <v>32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  <c r="Z4215" t="s">
        <v>32</v>
      </c>
      <c r="AA4215" t="s">
        <v>32</v>
      </c>
      <c r="AB4215" t="s">
        <v>32</v>
      </c>
      <c r="AC4215" t="s">
        <v>32</v>
      </c>
      <c r="AD4215" t="s">
        <v>32</v>
      </c>
      <c r="AE4215" t="s">
        <v>32</v>
      </c>
      <c r="AF4215" t="s">
        <v>46835</v>
      </c>
      <c r="AG4215" t="s">
        <v>47099</v>
      </c>
    </row>
    <row r="4216" spans="1:33" x14ac:dyDescent="0.2">
      <c r="A4216">
        <v>4211</v>
      </c>
      <c r="B4216" t="s">
        <v>46403</v>
      </c>
      <c r="C4216" t="s">
        <v>46404</v>
      </c>
      <c r="D4216" t="s">
        <v>32</v>
      </c>
      <c r="E4216" t="s">
        <v>46405</v>
      </c>
      <c r="F4216" t="s">
        <v>46406</v>
      </c>
      <c r="G4216" t="s">
        <v>46407</v>
      </c>
      <c r="H4216" t="str">
        <f>"Iqce"</f>
        <v>Iqce</v>
      </c>
      <c r="I4216" t="s">
        <v>32</v>
      </c>
      <c r="J4216" t="s">
        <v>37</v>
      </c>
      <c r="K4216">
        <v>10090</v>
      </c>
      <c r="L4216" s="3" t="str">
        <f>HYPERLINK("http://www.uniprot.org/uniprot/Q6PCQ0", "Q6PCQ0")</f>
        <v>Q6PCQ0</v>
      </c>
      <c r="M4216" t="s">
        <v>46408</v>
      </c>
      <c r="N4216" t="str">
        <f>"Iqce"</f>
        <v>Iqce</v>
      </c>
      <c r="O4216" s="3" t="str">
        <f>HYPERLINK("http://www.informatics.jax.org/marker/MGI:1921489", "MGI:1921489")</f>
        <v>MGI:1921489</v>
      </c>
      <c r="P4216" t="s">
        <v>46409</v>
      </c>
      <c r="Q4216" t="s">
        <v>32</v>
      </c>
      <c r="R4216" t="s">
        <v>2943</v>
      </c>
      <c r="S4216" t="s">
        <v>41</v>
      </c>
      <c r="T4216" t="s">
        <v>32</v>
      </c>
      <c r="U4216" t="s">
        <v>32</v>
      </c>
      <c r="V4216" t="s">
        <v>137</v>
      </c>
      <c r="W4216" t="s">
        <v>32</v>
      </c>
      <c r="X4216" t="s">
        <v>32</v>
      </c>
      <c r="Y4216" t="s">
        <v>618</v>
      </c>
      <c r="Z4216" t="s">
        <v>32</v>
      </c>
      <c r="AA4216" t="s">
        <v>46410</v>
      </c>
      <c r="AB4216" t="s">
        <v>46411</v>
      </c>
      <c r="AC4216" t="s">
        <v>32</v>
      </c>
      <c r="AD4216" t="s">
        <v>32</v>
      </c>
      <c r="AE4216" t="s">
        <v>32</v>
      </c>
      <c r="AF4216" t="s">
        <v>46835</v>
      </c>
    </row>
    <row r="4217" spans="1:33" x14ac:dyDescent="0.2">
      <c r="A4217">
        <v>4212</v>
      </c>
      <c r="B4217" t="s">
        <v>46412</v>
      </c>
      <c r="C4217" t="s">
        <v>46413</v>
      </c>
      <c r="D4217" t="s">
        <v>46414</v>
      </c>
      <c r="E4217" t="s">
        <v>46415</v>
      </c>
      <c r="F4217" t="s">
        <v>46416</v>
      </c>
      <c r="G4217" t="s">
        <v>46417</v>
      </c>
      <c r="H4217" t="str">
        <f>"Lsm14b"</f>
        <v>Lsm14b</v>
      </c>
      <c r="I4217" t="s">
        <v>32</v>
      </c>
      <c r="J4217" t="s">
        <v>37</v>
      </c>
      <c r="K4217">
        <v>10090</v>
      </c>
      <c r="L4217" s="3" t="str">
        <f>HYPERLINK("http://www.uniprot.org/uniprot/Q8CGC4", "Q8CGC4")</f>
        <v>Q8CGC4</v>
      </c>
      <c r="M4217" t="s">
        <v>46418</v>
      </c>
      <c r="N4217" t="str">
        <f>"Lsm14b"</f>
        <v>Lsm14b</v>
      </c>
      <c r="O4217" s="3" t="str">
        <f>HYPERLINK("http://www.informatics.jax.org/marker/MGI:3040677", "MGI:3040677")</f>
        <v>MGI:3040677</v>
      </c>
      <c r="P4217" t="s">
        <v>46419</v>
      </c>
      <c r="Q4217" t="s">
        <v>1680</v>
      </c>
      <c r="R4217" t="s">
        <v>32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46420</v>
      </c>
      <c r="Y4217" t="s">
        <v>207</v>
      </c>
      <c r="Z4217" t="s">
        <v>32</v>
      </c>
      <c r="AA4217" t="s">
        <v>46421</v>
      </c>
      <c r="AB4217" t="s">
        <v>16085</v>
      </c>
      <c r="AC4217" t="s">
        <v>4168</v>
      </c>
      <c r="AD4217" t="s">
        <v>32</v>
      </c>
      <c r="AE4217" t="s">
        <v>32</v>
      </c>
      <c r="AF4217" t="s">
        <v>46835</v>
      </c>
    </row>
    <row r="4218" spans="1:33" x14ac:dyDescent="0.2">
      <c r="A4218">
        <v>4213</v>
      </c>
      <c r="B4218" t="s">
        <v>46422</v>
      </c>
      <c r="C4218" t="s">
        <v>46423</v>
      </c>
      <c r="D4218" t="s">
        <v>32</v>
      </c>
      <c r="E4218" t="s">
        <v>46424</v>
      </c>
      <c r="F4218" t="s">
        <v>46425</v>
      </c>
      <c r="G4218" t="s">
        <v>46426</v>
      </c>
      <c r="H4218" t="str">
        <f>"Kiaa0100"</f>
        <v>Kiaa0100</v>
      </c>
      <c r="I4218" t="s">
        <v>32</v>
      </c>
      <c r="J4218" t="s">
        <v>37</v>
      </c>
      <c r="K4218">
        <v>10090</v>
      </c>
      <c r="L4218" s="3" t="str">
        <f>HYPERLINK("http://www.uniprot.org/uniprot/Q5SYL3", "Q5SYL3")</f>
        <v>Q5SYL3</v>
      </c>
      <c r="M4218" t="s">
        <v>46427</v>
      </c>
      <c r="N4218" t="str">
        <f>"2610507B11Rik"</f>
        <v>2610507B11Rik</v>
      </c>
      <c r="O4218" s="3" t="str">
        <f>HYPERLINK("http://www.informatics.jax.org/marker/MGI:1919753", "MGI:1919753")</f>
        <v>MGI:1919753</v>
      </c>
      <c r="P4218" t="s">
        <v>46428</v>
      </c>
      <c r="Q4218" t="s">
        <v>32</v>
      </c>
      <c r="R4218" t="s">
        <v>630</v>
      </c>
      <c r="S4218" t="s">
        <v>32</v>
      </c>
      <c r="T4218" t="s">
        <v>32</v>
      </c>
      <c r="U4218" t="s">
        <v>32</v>
      </c>
      <c r="V4218" t="s">
        <v>5956</v>
      </c>
      <c r="W4218" t="s">
        <v>32</v>
      </c>
      <c r="X4218" t="s">
        <v>32</v>
      </c>
      <c r="Y4218" t="s">
        <v>618</v>
      </c>
      <c r="Z4218" t="s">
        <v>32</v>
      </c>
      <c r="AA4218" t="s">
        <v>32</v>
      </c>
      <c r="AB4218" t="s">
        <v>21828</v>
      </c>
      <c r="AC4218" t="s">
        <v>32</v>
      </c>
      <c r="AD4218" t="s">
        <v>32</v>
      </c>
      <c r="AE4218" t="s">
        <v>32</v>
      </c>
      <c r="AF4218" t="s">
        <v>46835</v>
      </c>
    </row>
    <row r="4219" spans="1:33" x14ac:dyDescent="0.2">
      <c r="A4219">
        <v>4214</v>
      </c>
      <c r="B4219" t="s">
        <v>46429</v>
      </c>
      <c r="C4219" t="s">
        <v>46430</v>
      </c>
      <c r="D4219" t="s">
        <v>46431</v>
      </c>
      <c r="E4219" t="s">
        <v>46432</v>
      </c>
      <c r="F4219" t="s">
        <v>46433</v>
      </c>
      <c r="G4219" t="s">
        <v>46434</v>
      </c>
      <c r="H4219" t="str">
        <f>"Pex6"</f>
        <v>Pex6</v>
      </c>
      <c r="I4219" t="s">
        <v>32</v>
      </c>
      <c r="J4219" t="s">
        <v>37</v>
      </c>
      <c r="K4219">
        <v>10090</v>
      </c>
      <c r="L4219" s="3" t="str">
        <f>HYPERLINK("http://www.uniprot.org/uniprot/Q99LC9", "Q99LC9")</f>
        <v>Q99LC9</v>
      </c>
      <c r="M4219" t="s">
        <v>46435</v>
      </c>
      <c r="N4219" t="str">
        <f>"Pex6"</f>
        <v>Pex6</v>
      </c>
      <c r="O4219" s="3" t="str">
        <f>HYPERLINK("http://www.informatics.jax.org/marker/MGI:2385054", "MGI:2385054")</f>
        <v>MGI:2385054</v>
      </c>
      <c r="P4219" t="s">
        <v>46436</v>
      </c>
      <c r="Q4219" t="s">
        <v>13321</v>
      </c>
      <c r="R4219" t="s">
        <v>46437</v>
      </c>
      <c r="S4219" t="s">
        <v>32</v>
      </c>
      <c r="T4219" t="s">
        <v>32</v>
      </c>
      <c r="U4219" t="s">
        <v>32</v>
      </c>
      <c r="V4219" t="s">
        <v>55</v>
      </c>
      <c r="W4219" t="s">
        <v>205</v>
      </c>
      <c r="X4219" t="s">
        <v>32</v>
      </c>
      <c r="Y4219" t="s">
        <v>175</v>
      </c>
      <c r="Z4219" t="s">
        <v>32</v>
      </c>
      <c r="AA4219" t="s">
        <v>46438</v>
      </c>
      <c r="AB4219" t="s">
        <v>46439</v>
      </c>
      <c r="AC4219" t="s">
        <v>46440</v>
      </c>
      <c r="AD4219" t="s">
        <v>32</v>
      </c>
      <c r="AE4219" t="s">
        <v>26118</v>
      </c>
      <c r="AF4219" t="s">
        <v>46835</v>
      </c>
    </row>
    <row r="4220" spans="1:33" x14ac:dyDescent="0.2">
      <c r="A4220">
        <v>4215</v>
      </c>
      <c r="B4220" t="s">
        <v>46441</v>
      </c>
      <c r="C4220" t="s">
        <v>46442</v>
      </c>
      <c r="D4220" t="s">
        <v>46443</v>
      </c>
      <c r="E4220" t="s">
        <v>46444</v>
      </c>
      <c r="F4220" t="s">
        <v>46445</v>
      </c>
      <c r="G4220" t="s">
        <v>46446</v>
      </c>
      <c r="H4220" t="str">
        <f>"Sh2b1"</f>
        <v>Sh2b1</v>
      </c>
      <c r="I4220" t="s">
        <v>46447</v>
      </c>
      <c r="J4220" t="s">
        <v>37</v>
      </c>
      <c r="K4220">
        <v>10090</v>
      </c>
      <c r="L4220" s="3" t="str">
        <f>HYPERLINK("http://www.uniprot.org/uniprot/Q91ZM2", "Q91ZM2")</f>
        <v>Q91ZM2</v>
      </c>
      <c r="M4220" t="s">
        <v>46448</v>
      </c>
      <c r="N4220" t="str">
        <f>"Sh2b1"</f>
        <v>Sh2b1</v>
      </c>
      <c r="O4220" s="3" t="str">
        <f>HYPERLINK("http://www.informatics.jax.org/marker/MGI:1201407", "MGI:1201407")</f>
        <v>MGI:1201407</v>
      </c>
      <c r="P4220" t="s">
        <v>46449</v>
      </c>
      <c r="Q4220" t="s">
        <v>32</v>
      </c>
      <c r="R4220" t="s">
        <v>5943</v>
      </c>
      <c r="S4220" t="s">
        <v>41</v>
      </c>
      <c r="T4220" t="s">
        <v>32</v>
      </c>
      <c r="U4220" t="s">
        <v>32</v>
      </c>
      <c r="V4220" t="s">
        <v>12625</v>
      </c>
      <c r="W4220" t="s">
        <v>32</v>
      </c>
      <c r="X4220" t="s">
        <v>32</v>
      </c>
      <c r="Y4220" t="s">
        <v>2734</v>
      </c>
      <c r="Z4220" t="s">
        <v>126</v>
      </c>
      <c r="AA4220" t="s">
        <v>46450</v>
      </c>
      <c r="AB4220" t="s">
        <v>46451</v>
      </c>
      <c r="AC4220" t="s">
        <v>46452</v>
      </c>
      <c r="AD4220" t="s">
        <v>32</v>
      </c>
      <c r="AE4220" t="s">
        <v>46453</v>
      </c>
      <c r="AF4220" t="s">
        <v>46835</v>
      </c>
    </row>
    <row r="4221" spans="1:33" x14ac:dyDescent="0.2">
      <c r="A4221">
        <v>4216</v>
      </c>
      <c r="B4221" t="s">
        <v>46454</v>
      </c>
      <c r="C4221" t="s">
        <v>46455</v>
      </c>
      <c r="D4221" t="s">
        <v>32</v>
      </c>
      <c r="E4221" t="s">
        <v>46456</v>
      </c>
      <c r="F4221" t="s">
        <v>46457</v>
      </c>
      <c r="G4221" t="s">
        <v>32</v>
      </c>
      <c r="H4221" t="str">
        <f>"Lrch4"</f>
        <v>Lrch4</v>
      </c>
      <c r="I4221" t="s">
        <v>32</v>
      </c>
      <c r="J4221" t="s">
        <v>37</v>
      </c>
      <c r="K4221">
        <v>10090</v>
      </c>
      <c r="L4221" s="3" t="str">
        <f>HYPERLINK("http://www.uniprot.org/uniprot/Q921G6", "Q921G6")</f>
        <v>Q921G6</v>
      </c>
      <c r="M4221" t="s">
        <v>46458</v>
      </c>
      <c r="N4221" t="str">
        <f>"Lrch4"</f>
        <v>Lrch4</v>
      </c>
      <c r="O4221" s="3" t="str">
        <f>HYPERLINK("http://www.informatics.jax.org/marker/MGI:1917193", "MGI:1917193")</f>
        <v>MGI:1917193</v>
      </c>
      <c r="P4221" t="s">
        <v>19550</v>
      </c>
      <c r="Q4221" t="s">
        <v>32</v>
      </c>
      <c r="R4221" t="s">
        <v>32</v>
      </c>
      <c r="S4221" t="s">
        <v>32</v>
      </c>
      <c r="T4221" t="s">
        <v>32</v>
      </c>
      <c r="U4221" t="s">
        <v>32</v>
      </c>
      <c r="V4221" t="s">
        <v>2701</v>
      </c>
      <c r="W4221" t="s">
        <v>32</v>
      </c>
      <c r="X4221" t="s">
        <v>32</v>
      </c>
      <c r="Y4221" t="s">
        <v>618</v>
      </c>
      <c r="Z4221" t="s">
        <v>32</v>
      </c>
      <c r="AA4221" t="s">
        <v>36520</v>
      </c>
      <c r="AB4221" t="s">
        <v>46459</v>
      </c>
      <c r="AC4221" t="s">
        <v>32</v>
      </c>
      <c r="AD4221" t="s">
        <v>32</v>
      </c>
      <c r="AE4221" t="s">
        <v>32</v>
      </c>
      <c r="AF4221" t="s">
        <v>46835</v>
      </c>
    </row>
    <row r="4222" spans="1:33" x14ac:dyDescent="0.2">
      <c r="A4222">
        <v>4217</v>
      </c>
      <c r="B4222" t="s">
        <v>46460</v>
      </c>
      <c r="C4222" t="s">
        <v>46461</v>
      </c>
      <c r="D4222" t="s">
        <v>46462</v>
      </c>
      <c r="E4222" t="s">
        <v>46463</v>
      </c>
      <c r="F4222" t="s">
        <v>46464</v>
      </c>
      <c r="G4222" t="s">
        <v>46465</v>
      </c>
      <c r="H4222" t="str">
        <f>"Tdp1"</f>
        <v>Tdp1</v>
      </c>
      <c r="I4222" t="s">
        <v>32</v>
      </c>
      <c r="J4222" t="s">
        <v>37</v>
      </c>
      <c r="K4222">
        <v>10090</v>
      </c>
      <c r="L4222" s="3" t="str">
        <f>HYPERLINK("http://www.uniprot.org/uniprot/Q8BJ37", "Q8BJ37")</f>
        <v>Q8BJ37</v>
      </c>
      <c r="M4222" t="s">
        <v>46466</v>
      </c>
      <c r="N4222" t="str">
        <f>"Tdp1"</f>
        <v>Tdp1</v>
      </c>
      <c r="O4222" s="3" t="str">
        <f>HYPERLINK("http://www.informatics.jax.org/marker/MGI:1920036", "MGI:1920036")</f>
        <v>MGI:1920036</v>
      </c>
      <c r="P4222" t="s">
        <v>46467</v>
      </c>
      <c r="Q4222" t="s">
        <v>11886</v>
      </c>
      <c r="R4222" t="s">
        <v>40</v>
      </c>
      <c r="S4222" t="s">
        <v>32</v>
      </c>
      <c r="T4222" t="s">
        <v>32</v>
      </c>
      <c r="U4222" t="s">
        <v>32</v>
      </c>
      <c r="V4222" t="s">
        <v>55</v>
      </c>
      <c r="W4222" t="s">
        <v>32</v>
      </c>
      <c r="X4222" t="s">
        <v>9313</v>
      </c>
      <c r="Y4222" t="s">
        <v>618</v>
      </c>
      <c r="Z4222" t="s">
        <v>32</v>
      </c>
      <c r="AA4222" t="s">
        <v>46468</v>
      </c>
      <c r="AB4222" t="s">
        <v>46469</v>
      </c>
      <c r="AC4222" t="s">
        <v>46470</v>
      </c>
      <c r="AD4222" t="s">
        <v>32</v>
      </c>
      <c r="AE4222" t="s">
        <v>46471</v>
      </c>
      <c r="AF4222" t="s">
        <v>46835</v>
      </c>
    </row>
    <row r="4223" spans="1:33" x14ac:dyDescent="0.2">
      <c r="A4223">
        <v>4218</v>
      </c>
      <c r="B4223" t="s">
        <v>46472</v>
      </c>
      <c r="C4223" t="s">
        <v>46473</v>
      </c>
      <c r="D4223" t="s">
        <v>46474</v>
      </c>
      <c r="E4223" t="s">
        <v>46475</v>
      </c>
      <c r="F4223" t="s">
        <v>46476</v>
      </c>
      <c r="G4223" t="s">
        <v>46477</v>
      </c>
      <c r="H4223" t="str">
        <f>"Clip1"</f>
        <v>Clip1</v>
      </c>
      <c r="I4223" t="s">
        <v>46478</v>
      </c>
      <c r="J4223" t="s">
        <v>37</v>
      </c>
      <c r="K4223">
        <v>10090</v>
      </c>
      <c r="L4223" s="3" t="str">
        <f>HYPERLINK("http://www.uniprot.org/uniprot/Q922J3", "Q922J3")</f>
        <v>Q922J3</v>
      </c>
      <c r="M4223" t="s">
        <v>46479</v>
      </c>
      <c r="N4223" t="str">
        <f>"Clip1"</f>
        <v>Clip1</v>
      </c>
      <c r="O4223" s="3" t="str">
        <f>HYPERLINK("http://www.informatics.jax.org/marker/MGI:1928401", "MGI:1928401")</f>
        <v>MGI:1928401</v>
      </c>
      <c r="P4223" t="s">
        <v>46480</v>
      </c>
      <c r="Q4223" t="s">
        <v>4425</v>
      </c>
      <c r="R4223" t="s">
        <v>46481</v>
      </c>
      <c r="S4223" t="s">
        <v>41</v>
      </c>
      <c r="T4223" t="s">
        <v>32</v>
      </c>
      <c r="U4223" t="s">
        <v>32</v>
      </c>
      <c r="V4223" t="s">
        <v>12028</v>
      </c>
      <c r="W4223" t="s">
        <v>42</v>
      </c>
      <c r="X4223" t="s">
        <v>32</v>
      </c>
      <c r="Y4223" t="s">
        <v>618</v>
      </c>
      <c r="Z4223" t="s">
        <v>126</v>
      </c>
      <c r="AA4223" t="s">
        <v>46482</v>
      </c>
      <c r="AB4223" t="s">
        <v>46483</v>
      </c>
      <c r="AC4223" t="s">
        <v>46484</v>
      </c>
      <c r="AD4223" t="s">
        <v>32</v>
      </c>
      <c r="AE4223" t="s">
        <v>46485</v>
      </c>
      <c r="AF4223" t="s">
        <v>46835</v>
      </c>
    </row>
    <row r="4224" spans="1:33" x14ac:dyDescent="0.2">
      <c r="A4224">
        <v>4219</v>
      </c>
      <c r="B4224" t="s">
        <v>46486</v>
      </c>
      <c r="C4224" t="s">
        <v>46487</v>
      </c>
      <c r="D4224" t="s">
        <v>46488</v>
      </c>
      <c r="E4224" t="s">
        <v>46489</v>
      </c>
      <c r="F4224" t="s">
        <v>46490</v>
      </c>
      <c r="G4224" t="s">
        <v>46491</v>
      </c>
      <c r="H4224" t="str">
        <f>"Rabac1"</f>
        <v>Rabac1</v>
      </c>
      <c r="I4224" t="s">
        <v>46492</v>
      </c>
      <c r="J4224" t="s">
        <v>37</v>
      </c>
      <c r="K4224">
        <v>10090</v>
      </c>
      <c r="L4224" s="3" t="str">
        <f>HYPERLINK("http://www.uniprot.org/uniprot/Q9Z0S9", "Q9Z0S9")</f>
        <v>Q9Z0S9</v>
      </c>
      <c r="M4224" t="s">
        <v>46493</v>
      </c>
      <c r="N4224" t="str">
        <f>"Rabac1"</f>
        <v>Rabac1</v>
      </c>
      <c r="O4224" s="3" t="str">
        <f>HYPERLINK("http://www.informatics.jax.org/marker/MGI:1201692", "MGI:1201692")</f>
        <v>MGI:1201692</v>
      </c>
      <c r="P4224" t="s">
        <v>46494</v>
      </c>
      <c r="Q4224" t="s">
        <v>32</v>
      </c>
      <c r="R4224" t="s">
        <v>46495</v>
      </c>
      <c r="S4224" t="s">
        <v>32</v>
      </c>
      <c r="T4224" t="s">
        <v>32</v>
      </c>
      <c r="U4224" t="s">
        <v>32</v>
      </c>
      <c r="V4224" t="s">
        <v>493</v>
      </c>
      <c r="W4224" t="s">
        <v>32</v>
      </c>
      <c r="X4224" t="s">
        <v>32</v>
      </c>
      <c r="Y4224" t="s">
        <v>32</v>
      </c>
      <c r="Z4224" t="s">
        <v>32</v>
      </c>
      <c r="AA4224" t="s">
        <v>32</v>
      </c>
      <c r="AB4224" t="s">
        <v>46496</v>
      </c>
      <c r="AC4224" t="s">
        <v>46497</v>
      </c>
      <c r="AD4224" t="s">
        <v>32</v>
      </c>
      <c r="AE4224" t="s">
        <v>32</v>
      </c>
      <c r="AF4224" t="s">
        <v>46835</v>
      </c>
    </row>
    <row r="4225" spans="1:33" x14ac:dyDescent="0.2">
      <c r="A4225">
        <v>4220</v>
      </c>
      <c r="B4225" t="s">
        <v>46498</v>
      </c>
      <c r="C4225" t="s">
        <v>46499</v>
      </c>
      <c r="D4225" t="s">
        <v>46500</v>
      </c>
      <c r="E4225" t="s">
        <v>46501</v>
      </c>
      <c r="F4225" t="s">
        <v>46502</v>
      </c>
      <c r="G4225" t="s">
        <v>46503</v>
      </c>
      <c r="H4225" t="str">
        <f>"Fggy"</f>
        <v>Fggy</v>
      </c>
      <c r="I4225" t="s">
        <v>32</v>
      </c>
      <c r="J4225" t="s">
        <v>37</v>
      </c>
      <c r="K4225">
        <v>10090</v>
      </c>
      <c r="L4225" s="3" t="str">
        <f>HYPERLINK("http://www.uniprot.org/uniprot/A2AJL3", "A2AJL3")</f>
        <v>A2AJL3</v>
      </c>
      <c r="M4225" t="s">
        <v>46504</v>
      </c>
      <c r="N4225" t="str">
        <f>"Fggy"</f>
        <v>Fggy</v>
      </c>
      <c r="O4225" s="3" t="str">
        <f>HYPERLINK("http://www.informatics.jax.org/marker/MGI:1922828", "MGI:1922828")</f>
        <v>MGI:1922828</v>
      </c>
      <c r="P4225" t="s">
        <v>46505</v>
      </c>
      <c r="Q4225" t="s">
        <v>32</v>
      </c>
      <c r="R4225" t="s">
        <v>32</v>
      </c>
      <c r="S4225" t="s">
        <v>41</v>
      </c>
      <c r="T4225" t="s">
        <v>32</v>
      </c>
      <c r="U4225" t="s">
        <v>32</v>
      </c>
      <c r="V4225" t="s">
        <v>32</v>
      </c>
      <c r="W4225" t="s">
        <v>32</v>
      </c>
      <c r="X4225" t="s">
        <v>419</v>
      </c>
      <c r="Y4225" t="s">
        <v>32</v>
      </c>
      <c r="Z4225" t="s">
        <v>32</v>
      </c>
      <c r="AA4225" t="s">
        <v>46506</v>
      </c>
      <c r="AB4225" t="s">
        <v>2172</v>
      </c>
      <c r="AC4225" t="s">
        <v>46507</v>
      </c>
      <c r="AD4225" t="s">
        <v>46508</v>
      </c>
      <c r="AE4225" t="s">
        <v>32</v>
      </c>
      <c r="AF4225" t="s">
        <v>46835</v>
      </c>
    </row>
    <row r="4226" spans="1:33" x14ac:dyDescent="0.2">
      <c r="A4226">
        <v>4221</v>
      </c>
      <c r="B4226" t="s">
        <v>46509</v>
      </c>
      <c r="C4226" t="s">
        <v>47185</v>
      </c>
      <c r="D4226" t="s">
        <v>32</v>
      </c>
      <c r="E4226" t="s">
        <v>47102</v>
      </c>
      <c r="F4226" t="s">
        <v>47101</v>
      </c>
      <c r="G4226" t="s">
        <v>32</v>
      </c>
      <c r="H4226" t="s">
        <v>47316</v>
      </c>
      <c r="I4226" t="s">
        <v>32</v>
      </c>
      <c r="J4226" t="s">
        <v>37</v>
      </c>
      <c r="K4226">
        <v>10090</v>
      </c>
      <c r="L4226" s="3" t="str">
        <f>HYPERLINK(CONCATENATE("https://www.uniprot.org/uniprotkb/", AG4226, "/entry"), AG4226)</f>
        <v>E9Q777</v>
      </c>
      <c r="M4226" t="s">
        <v>32</v>
      </c>
      <c r="N4226" t="s">
        <v>32</v>
      </c>
      <c r="O4226" s="3" t="s">
        <v>32</v>
      </c>
      <c r="P4226" t="s">
        <v>32</v>
      </c>
      <c r="Q4226" t="s">
        <v>32</v>
      </c>
      <c r="R4226" t="s">
        <v>32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32</v>
      </c>
      <c r="Y4226" t="s">
        <v>32</v>
      </c>
      <c r="Z4226" t="s">
        <v>32</v>
      </c>
      <c r="AA4226" t="s">
        <v>32</v>
      </c>
      <c r="AB4226" t="s">
        <v>32</v>
      </c>
      <c r="AC4226" t="s">
        <v>32</v>
      </c>
      <c r="AD4226" t="s">
        <v>32</v>
      </c>
      <c r="AE4226" t="s">
        <v>32</v>
      </c>
      <c r="AF4226" t="s">
        <v>46835</v>
      </c>
      <c r="AG4226" t="s">
        <v>47101</v>
      </c>
    </row>
    <row r="4227" spans="1:33" x14ac:dyDescent="0.2">
      <c r="A4227">
        <v>4222</v>
      </c>
      <c r="B4227" t="s">
        <v>46510</v>
      </c>
      <c r="C4227" t="s">
        <v>46511</v>
      </c>
      <c r="D4227" t="s">
        <v>46512</v>
      </c>
      <c r="E4227" t="s">
        <v>46513</v>
      </c>
      <c r="F4227" t="s">
        <v>46514</v>
      </c>
      <c r="G4227" t="s">
        <v>46515</v>
      </c>
      <c r="H4227" t="str">
        <f>"Insr"</f>
        <v>Insr</v>
      </c>
      <c r="I4227" t="s">
        <v>32</v>
      </c>
      <c r="J4227" t="s">
        <v>37</v>
      </c>
      <c r="K4227">
        <v>10090</v>
      </c>
      <c r="L4227" s="3" t="str">
        <f>HYPERLINK("http://www.uniprot.org/uniprot/P15208", "P15208")</f>
        <v>P15208</v>
      </c>
      <c r="M4227" t="s">
        <v>46516</v>
      </c>
      <c r="N4227" t="str">
        <f>"Insr"</f>
        <v>Insr</v>
      </c>
      <c r="O4227" s="3" t="str">
        <f>HYPERLINK("http://www.informatics.jax.org/marker/MGI:96575", "MGI:96575")</f>
        <v>MGI:96575</v>
      </c>
      <c r="P4227" t="s">
        <v>46517</v>
      </c>
      <c r="Q4227" t="s">
        <v>32</v>
      </c>
      <c r="R4227" t="s">
        <v>21647</v>
      </c>
      <c r="S4227" t="s">
        <v>32</v>
      </c>
      <c r="T4227" t="s">
        <v>32</v>
      </c>
      <c r="U4227" t="s">
        <v>32</v>
      </c>
      <c r="V4227" t="s">
        <v>1665</v>
      </c>
      <c r="W4227" t="s">
        <v>205</v>
      </c>
      <c r="X4227" t="s">
        <v>22288</v>
      </c>
      <c r="Y4227" t="s">
        <v>46398</v>
      </c>
      <c r="Z4227" t="s">
        <v>126</v>
      </c>
      <c r="AA4227" t="s">
        <v>46518</v>
      </c>
      <c r="AB4227" t="s">
        <v>46519</v>
      </c>
      <c r="AC4227" t="s">
        <v>46520</v>
      </c>
      <c r="AD4227" t="s">
        <v>32</v>
      </c>
      <c r="AE4227" t="s">
        <v>46521</v>
      </c>
      <c r="AF4227" t="s">
        <v>46835</v>
      </c>
    </row>
    <row r="4228" spans="1:33" x14ac:dyDescent="0.2">
      <c r="A4228">
        <v>4223</v>
      </c>
      <c r="B4228" t="s">
        <v>46522</v>
      </c>
      <c r="C4228" t="s">
        <v>46523</v>
      </c>
      <c r="D4228" t="s">
        <v>46524</v>
      </c>
      <c r="E4228" t="s">
        <v>46525</v>
      </c>
      <c r="F4228" t="s">
        <v>46526</v>
      </c>
      <c r="G4228" t="s">
        <v>46527</v>
      </c>
      <c r="H4228" t="str">
        <f>"Cog8"</f>
        <v>Cog8</v>
      </c>
      <c r="I4228" t="s">
        <v>32</v>
      </c>
      <c r="J4228" t="s">
        <v>37</v>
      </c>
      <c r="K4228">
        <v>10090</v>
      </c>
      <c r="L4228" s="3" t="str">
        <f>HYPERLINK("http://www.uniprot.org/uniprot/Q9JJA2", "Q9JJA2")</f>
        <v>Q9JJA2</v>
      </c>
      <c r="M4228" t="s">
        <v>46528</v>
      </c>
      <c r="N4228" t="str">
        <f>"Cog8"</f>
        <v>Cog8</v>
      </c>
      <c r="O4228" s="3" t="str">
        <f>HYPERLINK("http://www.informatics.jax.org/marker/MGI:2142885", "MGI:2142885")</f>
        <v>MGI:2142885</v>
      </c>
      <c r="P4228" t="s">
        <v>24937</v>
      </c>
      <c r="Q4228" t="s">
        <v>434</v>
      </c>
      <c r="R4228" t="s">
        <v>13904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32</v>
      </c>
      <c r="Y4228" t="s">
        <v>32</v>
      </c>
      <c r="Z4228" t="s">
        <v>32</v>
      </c>
      <c r="AA4228" t="s">
        <v>24938</v>
      </c>
      <c r="AB4228" t="s">
        <v>46529</v>
      </c>
      <c r="AC4228" t="s">
        <v>32</v>
      </c>
      <c r="AD4228" t="s">
        <v>32</v>
      </c>
      <c r="AE4228" t="s">
        <v>24940</v>
      </c>
      <c r="AF4228" t="s">
        <v>46835</v>
      </c>
    </row>
    <row r="4229" spans="1:33" x14ac:dyDescent="0.2">
      <c r="A4229">
        <v>4224</v>
      </c>
      <c r="B4229" t="s">
        <v>46530</v>
      </c>
      <c r="C4229" t="s">
        <v>46531</v>
      </c>
      <c r="D4229" t="s">
        <v>46532</v>
      </c>
      <c r="E4229" t="s">
        <v>46533</v>
      </c>
      <c r="F4229" t="s">
        <v>46534</v>
      </c>
      <c r="G4229" t="s">
        <v>46535</v>
      </c>
      <c r="H4229" t="str">
        <f>"Cfi"</f>
        <v>Cfi</v>
      </c>
      <c r="I4229" t="s">
        <v>46536</v>
      </c>
      <c r="J4229" t="s">
        <v>37</v>
      </c>
      <c r="K4229">
        <v>10090</v>
      </c>
      <c r="L4229" s="3" t="str">
        <f>HYPERLINK("http://www.uniprot.org/uniprot/Q61129", "Q61129")</f>
        <v>Q61129</v>
      </c>
      <c r="M4229" t="s">
        <v>46537</v>
      </c>
      <c r="N4229" t="str">
        <f>"Cfi"</f>
        <v>Cfi</v>
      </c>
      <c r="O4229" s="3" t="str">
        <f>HYPERLINK("http://www.informatics.jax.org/marker/MGI:105937", "MGI:105937")</f>
        <v>MGI:105937</v>
      </c>
      <c r="P4229" t="s">
        <v>46538</v>
      </c>
      <c r="Q4229" t="s">
        <v>46539</v>
      </c>
      <c r="R4229" t="s">
        <v>630</v>
      </c>
      <c r="S4229" t="s">
        <v>32</v>
      </c>
      <c r="T4229" t="s">
        <v>32</v>
      </c>
      <c r="U4229" t="s">
        <v>32</v>
      </c>
      <c r="V4229" t="s">
        <v>478</v>
      </c>
      <c r="W4229" t="s">
        <v>188</v>
      </c>
      <c r="X4229" t="s">
        <v>4493</v>
      </c>
      <c r="Y4229" t="s">
        <v>17510</v>
      </c>
      <c r="Z4229" t="s">
        <v>32</v>
      </c>
      <c r="AA4229" t="s">
        <v>46540</v>
      </c>
      <c r="AB4229" t="s">
        <v>46541</v>
      </c>
      <c r="AC4229" t="s">
        <v>46542</v>
      </c>
      <c r="AD4229" t="s">
        <v>32</v>
      </c>
      <c r="AE4229" t="s">
        <v>46543</v>
      </c>
      <c r="AF4229" t="s">
        <v>46835</v>
      </c>
    </row>
    <row r="4230" spans="1:33" x14ac:dyDescent="0.2">
      <c r="A4230">
        <v>4225</v>
      </c>
      <c r="B4230" t="s">
        <v>46544</v>
      </c>
      <c r="C4230" t="s">
        <v>46545</v>
      </c>
      <c r="D4230" t="s">
        <v>46546</v>
      </c>
      <c r="E4230" t="s">
        <v>46547</v>
      </c>
      <c r="F4230" t="s">
        <v>46548</v>
      </c>
      <c r="G4230" t="s">
        <v>46549</v>
      </c>
      <c r="H4230" t="str">
        <f>"Ubxn2b"</f>
        <v>Ubxn2b</v>
      </c>
      <c r="I4230" t="s">
        <v>32</v>
      </c>
      <c r="J4230" t="s">
        <v>37</v>
      </c>
      <c r="K4230">
        <v>10090</v>
      </c>
      <c r="L4230" s="3" t="str">
        <f>HYPERLINK("http://www.uniprot.org/uniprot/Q0KL01", "Q0KL01")</f>
        <v>Q0KL01</v>
      </c>
      <c r="M4230" t="s">
        <v>46550</v>
      </c>
      <c r="N4230" t="str">
        <f>"Ubxn2b"</f>
        <v>Ubxn2b</v>
      </c>
      <c r="O4230" s="3" t="str">
        <f>HYPERLINK("http://www.informatics.jax.org/marker/MGI:1915303", "MGI:1915303")</f>
        <v>MGI:1915303</v>
      </c>
      <c r="P4230" t="s">
        <v>46551</v>
      </c>
      <c r="Q4230" t="s">
        <v>32</v>
      </c>
      <c r="R4230" t="s">
        <v>46552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32</v>
      </c>
      <c r="Y4230" t="s">
        <v>157</v>
      </c>
      <c r="Z4230" t="s">
        <v>32</v>
      </c>
      <c r="AA4230" t="s">
        <v>4966</v>
      </c>
      <c r="AB4230" t="s">
        <v>46553</v>
      </c>
      <c r="AC4230" t="s">
        <v>14891</v>
      </c>
      <c r="AD4230" t="s">
        <v>32</v>
      </c>
      <c r="AE4230" t="s">
        <v>32</v>
      </c>
      <c r="AF4230" t="s">
        <v>46835</v>
      </c>
    </row>
    <row r="4231" spans="1:33" x14ac:dyDescent="0.2">
      <c r="A4231">
        <v>4226</v>
      </c>
      <c r="B4231" t="s">
        <v>46554</v>
      </c>
      <c r="C4231" t="s">
        <v>46555</v>
      </c>
      <c r="D4231" t="s">
        <v>32</v>
      </c>
      <c r="E4231" t="s">
        <v>46556</v>
      </c>
      <c r="F4231" t="s">
        <v>46557</v>
      </c>
      <c r="G4231" t="s">
        <v>46558</v>
      </c>
      <c r="H4231" t="str">
        <f>"Tecpr1"</f>
        <v>Tecpr1</v>
      </c>
      <c r="I4231" t="s">
        <v>46559</v>
      </c>
      <c r="J4231" t="s">
        <v>37</v>
      </c>
      <c r="K4231">
        <v>10090</v>
      </c>
      <c r="L4231" s="3" t="str">
        <f>HYPERLINK("http://www.uniprot.org/uniprot/Q80VP0", "Q80VP0")</f>
        <v>Q80VP0</v>
      </c>
      <c r="M4231" t="s">
        <v>46560</v>
      </c>
      <c r="N4231" t="str">
        <f>"Tecpr1"</f>
        <v>Tecpr1</v>
      </c>
      <c r="O4231" s="3" t="str">
        <f>HYPERLINK("http://www.informatics.jax.org/marker/MGI:1917631", "MGI:1917631")</f>
        <v>MGI:1917631</v>
      </c>
      <c r="P4231" t="s">
        <v>46561</v>
      </c>
      <c r="Q4231" t="s">
        <v>11661</v>
      </c>
      <c r="R4231" t="s">
        <v>12731</v>
      </c>
      <c r="S4231" t="s">
        <v>41</v>
      </c>
      <c r="T4231" t="s">
        <v>32</v>
      </c>
      <c r="U4231" t="s">
        <v>32</v>
      </c>
      <c r="V4231" t="s">
        <v>55</v>
      </c>
      <c r="W4231" t="s">
        <v>584</v>
      </c>
      <c r="X4231" t="s">
        <v>32</v>
      </c>
      <c r="Y4231" t="s">
        <v>618</v>
      </c>
      <c r="Z4231" t="s">
        <v>32</v>
      </c>
      <c r="AA4231" t="s">
        <v>46562</v>
      </c>
      <c r="AB4231" t="s">
        <v>46563</v>
      </c>
      <c r="AC4231" t="s">
        <v>46564</v>
      </c>
      <c r="AD4231" t="s">
        <v>32</v>
      </c>
      <c r="AE4231" t="s">
        <v>32</v>
      </c>
      <c r="AF4231" t="s">
        <v>46835</v>
      </c>
    </row>
    <row r="4232" spans="1:33" x14ac:dyDescent="0.2">
      <c r="A4232">
        <v>4227</v>
      </c>
      <c r="B4232" t="s">
        <v>46565</v>
      </c>
      <c r="C4232" t="s">
        <v>46566</v>
      </c>
      <c r="D4232" t="s">
        <v>46567</v>
      </c>
      <c r="E4232" t="s">
        <v>46568</v>
      </c>
      <c r="F4232" t="s">
        <v>46569</v>
      </c>
      <c r="G4232" t="s">
        <v>46570</v>
      </c>
      <c r="H4232" t="str">
        <f>"Itga5"</f>
        <v>Itga5</v>
      </c>
      <c r="I4232" t="s">
        <v>32</v>
      </c>
      <c r="J4232" t="s">
        <v>37</v>
      </c>
      <c r="K4232">
        <v>10090</v>
      </c>
      <c r="L4232" s="3" t="str">
        <f>HYPERLINK("http://www.uniprot.org/uniprot/P11688", "P11688")</f>
        <v>P11688</v>
      </c>
      <c r="M4232" t="s">
        <v>46571</v>
      </c>
      <c r="N4232" t="str">
        <f>"Itga5"</f>
        <v>Itga5</v>
      </c>
      <c r="O4232" s="3" t="str">
        <f>HYPERLINK("http://www.informatics.jax.org/marker/MGI:96604", "MGI:96604")</f>
        <v>MGI:96604</v>
      </c>
      <c r="P4232" t="s">
        <v>46572</v>
      </c>
      <c r="Q4232" t="s">
        <v>2784</v>
      </c>
      <c r="R4232" t="s">
        <v>24334</v>
      </c>
      <c r="S4232" t="s">
        <v>32</v>
      </c>
      <c r="T4232" t="s">
        <v>32</v>
      </c>
      <c r="U4232" t="s">
        <v>32</v>
      </c>
      <c r="V4232" t="s">
        <v>1665</v>
      </c>
      <c r="W4232" t="s">
        <v>188</v>
      </c>
      <c r="X4232" t="s">
        <v>8879</v>
      </c>
      <c r="Y4232" t="s">
        <v>46398</v>
      </c>
      <c r="Z4232" t="s">
        <v>32</v>
      </c>
      <c r="AA4232" t="s">
        <v>46573</v>
      </c>
      <c r="AB4232" t="s">
        <v>46574</v>
      </c>
      <c r="AC4232" t="s">
        <v>46575</v>
      </c>
      <c r="AD4232" t="s">
        <v>32</v>
      </c>
      <c r="AE4232" t="s">
        <v>46576</v>
      </c>
      <c r="AF4232" t="s">
        <v>46835</v>
      </c>
    </row>
    <row r="4233" spans="1:33" x14ac:dyDescent="0.2">
      <c r="A4233">
        <v>4228</v>
      </c>
      <c r="B4233" t="s">
        <v>46577</v>
      </c>
      <c r="C4233" t="s">
        <v>46578</v>
      </c>
      <c r="D4233" t="s">
        <v>46579</v>
      </c>
      <c r="E4233" t="s">
        <v>46580</v>
      </c>
      <c r="F4233" t="s">
        <v>46581</v>
      </c>
      <c r="G4233" t="s">
        <v>46582</v>
      </c>
      <c r="H4233" t="str">
        <f>"Ceacam2"</f>
        <v>Ceacam2</v>
      </c>
      <c r="I4233" t="s">
        <v>46583</v>
      </c>
      <c r="J4233" t="s">
        <v>37</v>
      </c>
      <c r="K4233">
        <v>10090</v>
      </c>
      <c r="L4233" s="3" t="str">
        <f>HYPERLINK("http://www.uniprot.org/uniprot/Q925P2", "Q925P2")</f>
        <v>Q925P2</v>
      </c>
      <c r="M4233" t="s">
        <v>46584</v>
      </c>
      <c r="N4233" t="str">
        <f>"Ceacam2"</f>
        <v>Ceacam2</v>
      </c>
      <c r="O4233" s="3" t="str">
        <f>HYPERLINK("http://www.informatics.jax.org/marker/MGI:1347246", "MGI:1347246")</f>
        <v>MGI:1347246</v>
      </c>
      <c r="P4233" t="s">
        <v>46585</v>
      </c>
      <c r="Q4233" t="s">
        <v>27233</v>
      </c>
      <c r="R4233" t="s">
        <v>2474</v>
      </c>
      <c r="S4233" t="s">
        <v>41</v>
      </c>
      <c r="T4233" t="s">
        <v>32</v>
      </c>
      <c r="U4233" t="s">
        <v>32</v>
      </c>
      <c r="V4233" t="s">
        <v>2864</v>
      </c>
      <c r="W4233" t="s">
        <v>32</v>
      </c>
      <c r="X4233" t="s">
        <v>6983</v>
      </c>
      <c r="Y4233" t="s">
        <v>2865</v>
      </c>
      <c r="Z4233" t="s">
        <v>32</v>
      </c>
      <c r="AA4233" t="s">
        <v>46586</v>
      </c>
      <c r="AB4233" t="s">
        <v>46587</v>
      </c>
      <c r="AC4233" t="s">
        <v>46588</v>
      </c>
      <c r="AD4233" t="s">
        <v>32</v>
      </c>
      <c r="AE4233" t="s">
        <v>46589</v>
      </c>
      <c r="AF4233" t="s">
        <v>46835</v>
      </c>
    </row>
    <row r="4234" spans="1:33" x14ac:dyDescent="0.2">
      <c r="A4234">
        <v>4229</v>
      </c>
      <c r="B4234" t="s">
        <v>46590</v>
      </c>
      <c r="C4234" t="s">
        <v>46591</v>
      </c>
      <c r="D4234" t="s">
        <v>46592</v>
      </c>
      <c r="E4234" t="s">
        <v>46593</v>
      </c>
      <c r="F4234" t="s">
        <v>46594</v>
      </c>
      <c r="G4234" t="s">
        <v>46595</v>
      </c>
      <c r="H4234" t="str">
        <f>"Prag1"</f>
        <v>Prag1</v>
      </c>
      <c r="I4234" t="s">
        <v>32</v>
      </c>
      <c r="J4234" t="s">
        <v>37</v>
      </c>
      <c r="K4234">
        <v>10090</v>
      </c>
      <c r="L4234" s="3" t="str">
        <f>HYPERLINK("http://www.uniprot.org/uniprot/Q571I4", "Q571I4")</f>
        <v>Q571I4</v>
      </c>
      <c r="M4234" t="s">
        <v>46596</v>
      </c>
      <c r="N4234" t="str">
        <f>"Prag1"</f>
        <v>Prag1</v>
      </c>
      <c r="O4234" s="3" t="str">
        <f>HYPERLINK("http://www.informatics.jax.org/marker/MGI:1196223", "MGI:1196223")</f>
        <v>MGI:1196223</v>
      </c>
      <c r="P4234" t="s">
        <v>46597</v>
      </c>
      <c r="Q4234" t="s">
        <v>32</v>
      </c>
      <c r="R4234" t="s">
        <v>4128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32</v>
      </c>
      <c r="Y4234" t="s">
        <v>618</v>
      </c>
      <c r="Z4234" t="s">
        <v>32</v>
      </c>
      <c r="AA4234" t="s">
        <v>46598</v>
      </c>
      <c r="AB4234" t="s">
        <v>46599</v>
      </c>
      <c r="AC4234" t="s">
        <v>46600</v>
      </c>
      <c r="AD4234" t="s">
        <v>32</v>
      </c>
      <c r="AE4234" t="s">
        <v>33223</v>
      </c>
      <c r="AF4234" t="s">
        <v>46835</v>
      </c>
    </row>
    <row r="4235" spans="1:33" x14ac:dyDescent="0.2">
      <c r="A4235">
        <v>4230</v>
      </c>
      <c r="B4235" t="s">
        <v>46601</v>
      </c>
      <c r="C4235" t="s">
        <v>46602</v>
      </c>
      <c r="D4235" t="s">
        <v>46603</v>
      </c>
      <c r="E4235" t="s">
        <v>46604</v>
      </c>
      <c r="F4235" t="s">
        <v>46605</v>
      </c>
      <c r="G4235" t="s">
        <v>32</v>
      </c>
      <c r="H4235" t="str">
        <f>"Nabp2"</f>
        <v>Nabp2</v>
      </c>
      <c r="I4235" t="s">
        <v>46606</v>
      </c>
      <c r="J4235" t="s">
        <v>37</v>
      </c>
      <c r="K4235">
        <v>10090</v>
      </c>
      <c r="L4235" s="3" t="str">
        <f>HYPERLINK("http://www.uniprot.org/uniprot/Q8R2Y9", "Q8R2Y9")</f>
        <v>Q8R2Y9</v>
      </c>
      <c r="M4235" t="s">
        <v>46607</v>
      </c>
      <c r="N4235" t="str">
        <f>"Nabp2"</f>
        <v>Nabp2</v>
      </c>
      <c r="O4235" s="3" t="str">
        <f>HYPERLINK("http://www.informatics.jax.org/marker/MGI:1917167", "MGI:1917167")</f>
        <v>MGI:1917167</v>
      </c>
      <c r="P4235" t="s">
        <v>46608</v>
      </c>
      <c r="Q4235" t="s">
        <v>11886</v>
      </c>
      <c r="R4235" t="s">
        <v>2279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247</v>
      </c>
      <c r="Y4235" t="s">
        <v>618</v>
      </c>
      <c r="Z4235" t="s">
        <v>32</v>
      </c>
      <c r="AA4235" t="s">
        <v>46609</v>
      </c>
      <c r="AB4235" t="s">
        <v>46610</v>
      </c>
      <c r="AC4235" t="s">
        <v>46611</v>
      </c>
      <c r="AD4235" t="s">
        <v>32</v>
      </c>
      <c r="AE4235" t="s">
        <v>22679</v>
      </c>
      <c r="AF4235" t="s">
        <v>46835</v>
      </c>
    </row>
    <row r="4236" spans="1:33" x14ac:dyDescent="0.2">
      <c r="A4236">
        <v>4231</v>
      </c>
      <c r="B4236" t="s">
        <v>46612</v>
      </c>
      <c r="C4236" t="s">
        <v>46613</v>
      </c>
      <c r="D4236" t="s">
        <v>46614</v>
      </c>
      <c r="E4236" t="s">
        <v>46615</v>
      </c>
      <c r="F4236" t="s">
        <v>46616</v>
      </c>
      <c r="G4236" t="s">
        <v>46617</v>
      </c>
      <c r="H4236" t="str">
        <f>"Ndufaf1"</f>
        <v>Ndufaf1</v>
      </c>
      <c r="I4236" t="s">
        <v>46618</v>
      </c>
      <c r="J4236" t="s">
        <v>37</v>
      </c>
      <c r="K4236">
        <v>10090</v>
      </c>
      <c r="L4236" s="3" t="str">
        <f>HYPERLINK("http://www.uniprot.org/uniprot/Q9CWX2", "Q9CWX2")</f>
        <v>Q9CWX2</v>
      </c>
      <c r="M4236" t="s">
        <v>46619</v>
      </c>
      <c r="N4236" t="str">
        <f>"Ndufaf1"</f>
        <v>Ndufaf1</v>
      </c>
      <c r="O4236" s="3" t="str">
        <f>HYPERLINK("http://www.informatics.jax.org/marker/MGI:1916952", "MGI:1916952")</f>
        <v>MGI:1916952</v>
      </c>
      <c r="P4236" t="s">
        <v>24650</v>
      </c>
      <c r="Q4236" t="s">
        <v>32</v>
      </c>
      <c r="R4236" t="s">
        <v>1038</v>
      </c>
      <c r="S4236" t="s">
        <v>32</v>
      </c>
      <c r="T4236" t="s">
        <v>32</v>
      </c>
      <c r="U4236" t="s">
        <v>32</v>
      </c>
      <c r="V4236" t="s">
        <v>1039</v>
      </c>
      <c r="W4236" t="s">
        <v>32</v>
      </c>
      <c r="X4236" t="s">
        <v>388</v>
      </c>
      <c r="Y4236" t="s">
        <v>618</v>
      </c>
      <c r="Z4236" t="s">
        <v>32</v>
      </c>
      <c r="AA4236" t="s">
        <v>46620</v>
      </c>
      <c r="AB4236" t="s">
        <v>19108</v>
      </c>
      <c r="AC4236" t="s">
        <v>2972</v>
      </c>
      <c r="AD4236" t="s">
        <v>32</v>
      </c>
      <c r="AE4236" t="s">
        <v>24653</v>
      </c>
      <c r="AF4236" t="s">
        <v>46835</v>
      </c>
    </row>
    <row r="4237" spans="1:33" x14ac:dyDescent="0.2">
      <c r="A4237">
        <v>4232</v>
      </c>
      <c r="B4237" t="s">
        <v>46621</v>
      </c>
      <c r="C4237" t="s">
        <v>46622</v>
      </c>
      <c r="D4237" t="s">
        <v>46623</v>
      </c>
      <c r="E4237" t="s">
        <v>46624</v>
      </c>
      <c r="F4237" t="s">
        <v>46625</v>
      </c>
      <c r="G4237" t="s">
        <v>46626</v>
      </c>
      <c r="H4237" t="str">
        <f>"Septin4"</f>
        <v>Septin4</v>
      </c>
      <c r="I4237" t="s">
        <v>32</v>
      </c>
      <c r="J4237" t="s">
        <v>37</v>
      </c>
      <c r="K4237">
        <v>10090</v>
      </c>
      <c r="L4237" s="3" t="str">
        <f>HYPERLINK("http://www.uniprot.org/uniprot/P28661", "P28661")</f>
        <v>P28661</v>
      </c>
      <c r="M4237" t="s">
        <v>46627</v>
      </c>
      <c r="N4237" t="str">
        <f>"Septin4"</f>
        <v>Septin4</v>
      </c>
      <c r="O4237" s="3" t="str">
        <f>HYPERLINK("http://www.informatics.jax.org/marker/MGI:1270156", "MGI:1270156")</f>
        <v>MGI:1270156</v>
      </c>
      <c r="P4237" t="s">
        <v>46628</v>
      </c>
      <c r="Q4237" t="s">
        <v>46629</v>
      </c>
      <c r="R4237" t="s">
        <v>46630</v>
      </c>
      <c r="S4237" t="s">
        <v>41</v>
      </c>
      <c r="T4237" t="s">
        <v>32</v>
      </c>
      <c r="U4237" t="s">
        <v>32</v>
      </c>
      <c r="V4237" t="s">
        <v>290</v>
      </c>
      <c r="W4237" t="s">
        <v>261</v>
      </c>
      <c r="X4237" t="s">
        <v>32</v>
      </c>
      <c r="Y4237" t="s">
        <v>2836</v>
      </c>
      <c r="Z4237" t="s">
        <v>32</v>
      </c>
      <c r="AA4237" t="s">
        <v>46631</v>
      </c>
      <c r="AB4237" t="s">
        <v>46632</v>
      </c>
      <c r="AC4237" t="s">
        <v>46633</v>
      </c>
      <c r="AD4237" t="s">
        <v>32</v>
      </c>
      <c r="AE4237" t="s">
        <v>46634</v>
      </c>
      <c r="AF4237" t="s">
        <v>46835</v>
      </c>
    </row>
    <row r="4238" spans="1:33" x14ac:dyDescent="0.2">
      <c r="A4238">
        <v>4233</v>
      </c>
      <c r="B4238" t="s">
        <v>46635</v>
      </c>
      <c r="C4238" t="s">
        <v>46636</v>
      </c>
      <c r="D4238" t="s">
        <v>32</v>
      </c>
      <c r="E4238" t="s">
        <v>46637</v>
      </c>
      <c r="F4238" t="s">
        <v>46638</v>
      </c>
      <c r="G4238" t="s">
        <v>46639</v>
      </c>
      <c r="H4238" t="str">
        <f>"Qser1"</f>
        <v>Qser1</v>
      </c>
      <c r="I4238" t="s">
        <v>32</v>
      </c>
      <c r="J4238" t="s">
        <v>37</v>
      </c>
      <c r="K4238">
        <v>10090</v>
      </c>
      <c r="L4238" s="3" t="str">
        <f>HYPERLINK("http://www.uniprot.org/uniprot/A0A338P6K9", "A0A338P6K9")</f>
        <v>A0A338P6K9</v>
      </c>
      <c r="M4238" t="s">
        <v>46640</v>
      </c>
      <c r="N4238" t="str">
        <f>"Qser1"</f>
        <v>Qser1</v>
      </c>
      <c r="O4238" s="3" t="str">
        <f>HYPERLINK("http://www.informatics.jax.org/marker/MGI:2138986", "MGI:2138986")</f>
        <v>MGI:2138986</v>
      </c>
      <c r="P4238" t="s">
        <v>46641</v>
      </c>
      <c r="Q4238" t="s">
        <v>32</v>
      </c>
      <c r="R4238" t="s">
        <v>18622</v>
      </c>
      <c r="S4238" t="s">
        <v>41</v>
      </c>
      <c r="T4238" t="s">
        <v>32</v>
      </c>
      <c r="U4238" t="s">
        <v>32</v>
      </c>
      <c r="V4238" t="s">
        <v>32</v>
      </c>
      <c r="W4238" t="s">
        <v>32</v>
      </c>
      <c r="X4238" t="s">
        <v>32</v>
      </c>
      <c r="Y4238" t="s">
        <v>1007</v>
      </c>
      <c r="Z4238" t="s">
        <v>32</v>
      </c>
      <c r="AA4238" t="s">
        <v>32</v>
      </c>
      <c r="AB4238" t="s">
        <v>46642</v>
      </c>
      <c r="AC4238" t="s">
        <v>32</v>
      </c>
      <c r="AD4238" t="s">
        <v>32</v>
      </c>
      <c r="AE4238" t="s">
        <v>32</v>
      </c>
      <c r="AF4238" t="s">
        <v>46835</v>
      </c>
    </row>
    <row r="4239" spans="1:33" x14ac:dyDescent="0.2">
      <c r="A4239">
        <v>4234</v>
      </c>
      <c r="B4239" t="s">
        <v>46643</v>
      </c>
      <c r="C4239" t="s">
        <v>46644</v>
      </c>
      <c r="D4239" t="s">
        <v>46645</v>
      </c>
      <c r="E4239" t="s">
        <v>46646</v>
      </c>
      <c r="F4239" t="s">
        <v>46647</v>
      </c>
      <c r="G4239" t="s">
        <v>46648</v>
      </c>
      <c r="H4239" t="str">
        <f>"Meak7"</f>
        <v>Meak7</v>
      </c>
      <c r="I4239" t="s">
        <v>46649</v>
      </c>
      <c r="J4239" t="s">
        <v>37</v>
      </c>
      <c r="K4239">
        <v>10090</v>
      </c>
      <c r="L4239" s="3" t="str">
        <f>HYPERLINK("http://www.uniprot.org/uniprot/Q8K0P3", "Q8K0P3")</f>
        <v>Q8K0P3</v>
      </c>
      <c r="M4239" t="s">
        <v>46650</v>
      </c>
      <c r="N4239" t="str">
        <f>"Meak7"</f>
        <v>Meak7</v>
      </c>
      <c r="O4239" s="3" t="str">
        <f>HYPERLINK("http://www.informatics.jax.org/marker/MGI:1921597", "MGI:1921597")</f>
        <v>MGI:1921597</v>
      </c>
      <c r="P4239" t="s">
        <v>46651</v>
      </c>
      <c r="Q4239" t="s">
        <v>32</v>
      </c>
      <c r="R4239" t="s">
        <v>21851</v>
      </c>
      <c r="S4239" t="s">
        <v>41</v>
      </c>
      <c r="T4239" t="s">
        <v>32</v>
      </c>
      <c r="U4239" t="s">
        <v>32</v>
      </c>
      <c r="V4239" t="s">
        <v>32</v>
      </c>
      <c r="W4239" t="s">
        <v>32</v>
      </c>
      <c r="X4239" t="s">
        <v>32</v>
      </c>
      <c r="Y4239" t="s">
        <v>15432</v>
      </c>
      <c r="Z4239" t="s">
        <v>32</v>
      </c>
      <c r="AA4239" t="s">
        <v>46652</v>
      </c>
      <c r="AB4239" t="s">
        <v>46653</v>
      </c>
      <c r="AC4239" t="s">
        <v>32</v>
      </c>
      <c r="AD4239" t="s">
        <v>32</v>
      </c>
      <c r="AE4239" t="s">
        <v>32</v>
      </c>
      <c r="AF4239" t="s">
        <v>46835</v>
      </c>
    </row>
    <row r="4240" spans="1:33" x14ac:dyDescent="0.2">
      <c r="A4240">
        <v>4235</v>
      </c>
      <c r="B4240" t="s">
        <v>46654</v>
      </c>
      <c r="C4240" t="s">
        <v>46655</v>
      </c>
      <c r="D4240" t="s">
        <v>46656</v>
      </c>
      <c r="E4240" t="s">
        <v>46657</v>
      </c>
      <c r="F4240" t="s">
        <v>46658</v>
      </c>
      <c r="G4240" t="s">
        <v>46659</v>
      </c>
      <c r="H4240" t="str">
        <f>"Ift57"</f>
        <v>Ift57</v>
      </c>
      <c r="I4240" t="s">
        <v>46660</v>
      </c>
      <c r="J4240" t="s">
        <v>37</v>
      </c>
      <c r="K4240">
        <v>10090</v>
      </c>
      <c r="L4240" s="3" t="str">
        <f>HYPERLINK("http://www.uniprot.org/uniprot/Q8BXG3", "Q8BXG3")</f>
        <v>Q8BXG3</v>
      </c>
      <c r="M4240" t="s">
        <v>46661</v>
      </c>
      <c r="N4240" t="str">
        <f>"Ift57"</f>
        <v>Ift57</v>
      </c>
      <c r="O4240" s="3" t="str">
        <f>HYPERLINK("http://www.informatics.jax.org/marker/MGI:1921166", "MGI:1921166")</f>
        <v>MGI:1921166</v>
      </c>
      <c r="P4240" t="s">
        <v>46662</v>
      </c>
      <c r="Q4240" t="s">
        <v>20510</v>
      </c>
      <c r="R4240" t="s">
        <v>46663</v>
      </c>
      <c r="S4240" t="s">
        <v>41</v>
      </c>
      <c r="T4240" t="s">
        <v>32</v>
      </c>
      <c r="U4240" t="s">
        <v>32</v>
      </c>
      <c r="V4240" t="s">
        <v>290</v>
      </c>
      <c r="W4240" t="s">
        <v>32</v>
      </c>
      <c r="X4240" t="s">
        <v>247</v>
      </c>
      <c r="Y4240" t="s">
        <v>32</v>
      </c>
      <c r="Z4240" t="s">
        <v>32</v>
      </c>
      <c r="AA4240" t="s">
        <v>46664</v>
      </c>
      <c r="AB4240" t="s">
        <v>46665</v>
      </c>
      <c r="AC4240" t="s">
        <v>13572</v>
      </c>
      <c r="AD4240" t="s">
        <v>32</v>
      </c>
      <c r="AE4240" t="s">
        <v>30947</v>
      </c>
      <c r="AF4240" t="s">
        <v>46835</v>
      </c>
    </row>
    <row r="4241" spans="1:32" x14ac:dyDescent="0.2">
      <c r="A4241">
        <v>4236</v>
      </c>
      <c r="B4241" t="s">
        <v>46666</v>
      </c>
      <c r="C4241" t="s">
        <v>46667</v>
      </c>
      <c r="D4241" t="s">
        <v>46668</v>
      </c>
      <c r="E4241" t="s">
        <v>46669</v>
      </c>
      <c r="F4241" t="s">
        <v>46670</v>
      </c>
      <c r="G4241" t="s">
        <v>46671</v>
      </c>
      <c r="H4241" t="str">
        <f>"Stom"</f>
        <v>Stom</v>
      </c>
      <c r="I4241" t="s">
        <v>32</v>
      </c>
      <c r="J4241" t="s">
        <v>37</v>
      </c>
      <c r="K4241">
        <v>10090</v>
      </c>
      <c r="L4241" s="3" t="str">
        <f>HYPERLINK("http://www.uniprot.org/uniprot/P54116", "P54116")</f>
        <v>P54116</v>
      </c>
      <c r="M4241" t="s">
        <v>46672</v>
      </c>
      <c r="N4241" t="str">
        <f>"Stom"</f>
        <v>Stom</v>
      </c>
      <c r="O4241" s="3" t="str">
        <f>HYPERLINK("http://www.informatics.jax.org/marker/MGI:95403", "MGI:95403")</f>
        <v>MGI:95403</v>
      </c>
      <c r="P4241" t="s">
        <v>46673</v>
      </c>
      <c r="Q4241" t="s">
        <v>32</v>
      </c>
      <c r="R4241" t="s">
        <v>35383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32</v>
      </c>
      <c r="Y4241" t="s">
        <v>15840</v>
      </c>
      <c r="Z4241" t="s">
        <v>126</v>
      </c>
      <c r="AA4241" t="s">
        <v>46674</v>
      </c>
      <c r="AB4241" t="s">
        <v>46675</v>
      </c>
      <c r="AC4241" t="s">
        <v>46676</v>
      </c>
      <c r="AD4241" t="s">
        <v>32</v>
      </c>
      <c r="AE4241" t="s">
        <v>46677</v>
      </c>
      <c r="AF4241" t="s">
        <v>46835</v>
      </c>
    </row>
    <row r="4242" spans="1:32" x14ac:dyDescent="0.2">
      <c r="A4242">
        <v>4237</v>
      </c>
      <c r="B4242" t="s">
        <v>46678</v>
      </c>
      <c r="C4242" t="s">
        <v>46679</v>
      </c>
      <c r="D4242" t="s">
        <v>32</v>
      </c>
      <c r="E4242" t="s">
        <v>46680</v>
      </c>
      <c r="F4242" t="s">
        <v>46681</v>
      </c>
      <c r="G4242" t="s">
        <v>46682</v>
      </c>
      <c r="H4242" t="str">
        <f>"Camk2a"</f>
        <v>Camk2a</v>
      </c>
      <c r="I4242" t="s">
        <v>32</v>
      </c>
      <c r="J4242" t="s">
        <v>37</v>
      </c>
      <c r="K4242">
        <v>10090</v>
      </c>
      <c r="L4242" s="3" t="str">
        <f>HYPERLINK("http://www.uniprot.org/uniprot/P11798", "P11798")</f>
        <v>P11798</v>
      </c>
      <c r="M4242" t="s">
        <v>46683</v>
      </c>
      <c r="N4242" t="str">
        <f>"Camk2a"</f>
        <v>Camk2a</v>
      </c>
      <c r="O4242" s="3" t="str">
        <f>HYPERLINK("http://www.informatics.jax.org/marker/MGI:88256", "MGI:88256")</f>
        <v>MGI:88256</v>
      </c>
      <c r="P4242" t="s">
        <v>46684</v>
      </c>
      <c r="Q4242" t="s">
        <v>32</v>
      </c>
      <c r="R4242" t="s">
        <v>13546</v>
      </c>
      <c r="S4242" t="s">
        <v>41</v>
      </c>
      <c r="T4242" t="s">
        <v>32</v>
      </c>
      <c r="U4242" t="s">
        <v>32</v>
      </c>
      <c r="V4242" t="s">
        <v>32</v>
      </c>
      <c r="W4242" t="s">
        <v>1266</v>
      </c>
      <c r="X4242" t="s">
        <v>20787</v>
      </c>
      <c r="Y4242" t="s">
        <v>15840</v>
      </c>
      <c r="Z4242" t="s">
        <v>126</v>
      </c>
      <c r="AA4242" t="s">
        <v>46685</v>
      </c>
      <c r="AB4242" t="s">
        <v>46686</v>
      </c>
      <c r="AC4242" t="s">
        <v>46687</v>
      </c>
      <c r="AD4242" t="s">
        <v>32</v>
      </c>
      <c r="AE4242" t="s">
        <v>46688</v>
      </c>
      <c r="AF4242" t="s">
        <v>46835</v>
      </c>
    </row>
    <row r="4243" spans="1:32" x14ac:dyDescent="0.2">
      <c r="A4243">
        <v>4238</v>
      </c>
      <c r="B4243" t="s">
        <v>46689</v>
      </c>
      <c r="C4243" t="s">
        <v>46690</v>
      </c>
      <c r="D4243" t="s">
        <v>46691</v>
      </c>
      <c r="E4243" t="s">
        <v>46692</v>
      </c>
      <c r="F4243" t="s">
        <v>46693</v>
      </c>
      <c r="G4243" t="s">
        <v>46694</v>
      </c>
      <c r="H4243" t="str">
        <f>"Haus1"</f>
        <v>Haus1</v>
      </c>
      <c r="I4243" t="s">
        <v>46695</v>
      </c>
      <c r="J4243" t="s">
        <v>37</v>
      </c>
      <c r="K4243">
        <v>10090</v>
      </c>
      <c r="L4243" s="3" t="str">
        <f>HYPERLINK("http://www.uniprot.org/uniprot/Q8BHX1", "Q8BHX1")</f>
        <v>Q8BHX1</v>
      </c>
      <c r="M4243" t="s">
        <v>46696</v>
      </c>
      <c r="N4243" t="str">
        <f>"Haus1"</f>
        <v>Haus1</v>
      </c>
      <c r="O4243" s="3" t="str">
        <f>HYPERLINK("http://www.informatics.jax.org/marker/MGI:2385076", "MGI:2385076")</f>
        <v>MGI:2385076</v>
      </c>
      <c r="P4243" t="s">
        <v>46697</v>
      </c>
      <c r="Q4243" t="s">
        <v>2968</v>
      </c>
      <c r="R4243" t="s">
        <v>341</v>
      </c>
      <c r="S4243" t="s">
        <v>32</v>
      </c>
      <c r="T4243" t="s">
        <v>32</v>
      </c>
      <c r="U4243" t="s">
        <v>32</v>
      </c>
      <c r="V4243" t="s">
        <v>290</v>
      </c>
      <c r="W4243" t="s">
        <v>32</v>
      </c>
      <c r="X4243" t="s">
        <v>32</v>
      </c>
      <c r="Y4243" t="s">
        <v>32</v>
      </c>
      <c r="Z4243" t="s">
        <v>32</v>
      </c>
      <c r="AA4243" t="s">
        <v>44265</v>
      </c>
      <c r="AB4243" t="s">
        <v>46698</v>
      </c>
      <c r="AC4243" t="s">
        <v>32</v>
      </c>
      <c r="AD4243" t="s">
        <v>32</v>
      </c>
      <c r="AE4243" t="s">
        <v>17387</v>
      </c>
      <c r="AF4243" t="s">
        <v>46835</v>
      </c>
    </row>
    <row r="4244" spans="1:32" x14ac:dyDescent="0.2">
      <c r="A4244">
        <v>4239</v>
      </c>
      <c r="B4244" t="s">
        <v>46699</v>
      </c>
      <c r="C4244" t="s">
        <v>46700</v>
      </c>
      <c r="D4244" t="s">
        <v>46701</v>
      </c>
      <c r="E4244" t="s">
        <v>46702</v>
      </c>
      <c r="F4244" t="s">
        <v>46703</v>
      </c>
      <c r="G4244" t="s">
        <v>46704</v>
      </c>
      <c r="H4244" t="str">
        <f>"Phactr4"</f>
        <v>Phactr4</v>
      </c>
      <c r="I4244" t="s">
        <v>46705</v>
      </c>
      <c r="J4244" t="s">
        <v>37</v>
      </c>
      <c r="K4244">
        <v>10090</v>
      </c>
      <c r="L4244" s="3" t="str">
        <f>HYPERLINK("http://www.uniprot.org/uniprot/Q501J7", "Q501J7")</f>
        <v>Q501J7</v>
      </c>
      <c r="M4244" t="s">
        <v>46706</v>
      </c>
      <c r="N4244" t="str">
        <f>"Phactr4"</f>
        <v>Phactr4</v>
      </c>
      <c r="O4244" s="3" t="str">
        <f>HYPERLINK("http://www.informatics.jax.org/marker/MGI:2140327", "MGI:2140327")</f>
        <v>MGI:2140327</v>
      </c>
      <c r="P4244" t="s">
        <v>46707</v>
      </c>
      <c r="Q4244" t="s">
        <v>1429</v>
      </c>
      <c r="R4244" t="s">
        <v>599</v>
      </c>
      <c r="S4244" t="s">
        <v>41</v>
      </c>
      <c r="T4244" t="s">
        <v>32</v>
      </c>
      <c r="U4244" t="s">
        <v>32</v>
      </c>
      <c r="V4244" t="s">
        <v>55</v>
      </c>
      <c r="W4244" t="s">
        <v>32</v>
      </c>
      <c r="X4244" t="s">
        <v>46708</v>
      </c>
      <c r="Y4244" t="s">
        <v>618</v>
      </c>
      <c r="Z4244" t="s">
        <v>32</v>
      </c>
      <c r="AA4244" t="s">
        <v>46709</v>
      </c>
      <c r="AB4244" t="s">
        <v>46710</v>
      </c>
      <c r="AC4244" t="s">
        <v>46711</v>
      </c>
      <c r="AD4244" t="s">
        <v>32</v>
      </c>
      <c r="AE4244" t="s">
        <v>32</v>
      </c>
      <c r="AF4244" t="s">
        <v>46835</v>
      </c>
    </row>
    <row r="4245" spans="1:32" x14ac:dyDescent="0.2">
      <c r="A4245">
        <v>4240</v>
      </c>
      <c r="B4245" t="s">
        <v>46712</v>
      </c>
      <c r="C4245" t="s">
        <v>46713</v>
      </c>
      <c r="D4245" t="s">
        <v>46714</v>
      </c>
      <c r="E4245" t="s">
        <v>46715</v>
      </c>
      <c r="F4245" t="s">
        <v>46716</v>
      </c>
      <c r="G4245" t="s">
        <v>46717</v>
      </c>
      <c r="H4245" t="str">
        <f>"Khdc4"</f>
        <v>Khdc4</v>
      </c>
      <c r="I4245" t="s">
        <v>46718</v>
      </c>
      <c r="J4245" t="s">
        <v>37</v>
      </c>
      <c r="K4245">
        <v>10090</v>
      </c>
      <c r="L4245" s="3" t="str">
        <f>HYPERLINK("http://www.uniprot.org/uniprot/Q3TCX3", "Q3TCX3")</f>
        <v>Q3TCX3</v>
      </c>
      <c r="M4245" t="s">
        <v>46719</v>
      </c>
      <c r="N4245" t="str">
        <f>"Khdc4"</f>
        <v>Khdc4</v>
      </c>
      <c r="O4245" s="3" t="str">
        <f>HYPERLINK("http://www.informatics.jax.org/marker/MGI:1921450", "MGI:1921450")</f>
        <v>MGI:1921450</v>
      </c>
      <c r="P4245" t="s">
        <v>46720</v>
      </c>
      <c r="Q4245" t="s">
        <v>2139</v>
      </c>
      <c r="R4245" t="s">
        <v>40</v>
      </c>
      <c r="S4245" t="s">
        <v>41</v>
      </c>
      <c r="T4245" t="s">
        <v>32</v>
      </c>
      <c r="U4245" t="s">
        <v>32</v>
      </c>
      <c r="V4245" t="s">
        <v>32</v>
      </c>
      <c r="W4245" t="s">
        <v>32</v>
      </c>
      <c r="X4245" t="s">
        <v>1282</v>
      </c>
      <c r="Y4245" t="s">
        <v>618</v>
      </c>
      <c r="Z4245" t="s">
        <v>32</v>
      </c>
      <c r="AA4245" t="s">
        <v>10007</v>
      </c>
      <c r="AB4245" t="s">
        <v>46721</v>
      </c>
      <c r="AC4245" t="s">
        <v>4711</v>
      </c>
      <c r="AD4245" t="s">
        <v>32</v>
      </c>
      <c r="AE4245" t="s">
        <v>32</v>
      </c>
      <c r="AF4245" t="s">
        <v>46835</v>
      </c>
    </row>
    <row r="4246" spans="1:32" x14ac:dyDescent="0.2">
      <c r="A4246">
        <v>4241</v>
      </c>
      <c r="B4246" t="s">
        <v>46722</v>
      </c>
      <c r="C4246" t="s">
        <v>46723</v>
      </c>
      <c r="D4246" t="s">
        <v>32</v>
      </c>
      <c r="E4246" t="s">
        <v>46724</v>
      </c>
      <c r="F4246" t="s">
        <v>46725</v>
      </c>
      <c r="G4246" t="s">
        <v>46726</v>
      </c>
      <c r="H4246" t="str">
        <f>"Casp8"</f>
        <v>Casp8</v>
      </c>
      <c r="I4246" t="s">
        <v>32</v>
      </c>
      <c r="J4246" t="s">
        <v>37</v>
      </c>
      <c r="K4246">
        <v>10090</v>
      </c>
      <c r="L4246" s="3" t="str">
        <f>HYPERLINK("http://www.uniprot.org/uniprot/O89110", "O89110")</f>
        <v>O89110</v>
      </c>
      <c r="M4246" t="s">
        <v>46727</v>
      </c>
      <c r="N4246" t="str">
        <f>"Casp8"</f>
        <v>Casp8</v>
      </c>
      <c r="O4246" s="3" t="str">
        <f>HYPERLINK("http://www.informatics.jax.org/marker/MGI:1261423", "MGI:1261423")</f>
        <v>MGI:1261423</v>
      </c>
      <c r="P4246" t="s">
        <v>46728</v>
      </c>
      <c r="Q4246" t="s">
        <v>541</v>
      </c>
      <c r="R4246" t="s">
        <v>40</v>
      </c>
      <c r="S4246" t="s">
        <v>32</v>
      </c>
      <c r="T4246" t="s">
        <v>32</v>
      </c>
      <c r="U4246" t="s">
        <v>32</v>
      </c>
      <c r="V4246" t="s">
        <v>55</v>
      </c>
      <c r="W4246" t="s">
        <v>32</v>
      </c>
      <c r="X4246" t="s">
        <v>557</v>
      </c>
      <c r="Y4246" t="s">
        <v>6674</v>
      </c>
      <c r="Z4246" t="s">
        <v>32</v>
      </c>
      <c r="AA4246" t="s">
        <v>46729</v>
      </c>
      <c r="AB4246" t="s">
        <v>46730</v>
      </c>
      <c r="AC4246" t="s">
        <v>46731</v>
      </c>
      <c r="AD4246" t="s">
        <v>32</v>
      </c>
      <c r="AE4246" t="s">
        <v>46732</v>
      </c>
      <c r="AF4246" t="s">
        <v>46835</v>
      </c>
    </row>
    <row r="4247" spans="1:32" x14ac:dyDescent="0.2">
      <c r="A4247">
        <v>4242</v>
      </c>
      <c r="B4247" t="s">
        <v>46733</v>
      </c>
      <c r="C4247" t="s">
        <v>46734</v>
      </c>
      <c r="D4247" t="s">
        <v>46735</v>
      </c>
      <c r="E4247" t="s">
        <v>46736</v>
      </c>
      <c r="F4247" t="s">
        <v>46737</v>
      </c>
      <c r="G4247" t="s">
        <v>46738</v>
      </c>
      <c r="H4247" t="str">
        <f>"Dennd1a"</f>
        <v>Dennd1a</v>
      </c>
      <c r="I4247" t="s">
        <v>32</v>
      </c>
      <c r="J4247" t="s">
        <v>37</v>
      </c>
      <c r="K4247">
        <v>10090</v>
      </c>
      <c r="L4247" s="3" t="str">
        <f>HYPERLINK("http://www.uniprot.org/uniprot/Q8K382", "Q8K382")</f>
        <v>Q8K382</v>
      </c>
      <c r="M4247" t="s">
        <v>46739</v>
      </c>
      <c r="N4247" t="str">
        <f>"Dennd1a"</f>
        <v>Dennd1a</v>
      </c>
      <c r="O4247" s="3" t="str">
        <f>HYPERLINK("http://www.informatics.jax.org/marker/MGI:2442794", "MGI:2442794")</f>
        <v>MGI:2442794</v>
      </c>
      <c r="P4247" t="s">
        <v>46740</v>
      </c>
      <c r="Q4247" t="s">
        <v>434</v>
      </c>
      <c r="R4247" t="s">
        <v>46741</v>
      </c>
      <c r="S4247" t="s">
        <v>32</v>
      </c>
      <c r="T4247" t="s">
        <v>32</v>
      </c>
      <c r="U4247" t="s">
        <v>32</v>
      </c>
      <c r="V4247" t="s">
        <v>32</v>
      </c>
      <c r="W4247" t="s">
        <v>584</v>
      </c>
      <c r="X4247" t="s">
        <v>5011</v>
      </c>
      <c r="Y4247" t="s">
        <v>2734</v>
      </c>
      <c r="Z4247" t="s">
        <v>32</v>
      </c>
      <c r="AA4247" t="s">
        <v>46742</v>
      </c>
      <c r="AB4247" t="s">
        <v>46743</v>
      </c>
      <c r="AC4247" t="s">
        <v>46744</v>
      </c>
      <c r="AD4247" t="s">
        <v>32</v>
      </c>
      <c r="AE4247" t="s">
        <v>8182</v>
      </c>
      <c r="AF4247" t="s">
        <v>46835</v>
      </c>
    </row>
    <row r="4248" spans="1:32" x14ac:dyDescent="0.2">
      <c r="A4248">
        <v>4243</v>
      </c>
      <c r="B4248" t="s">
        <v>46745</v>
      </c>
      <c r="C4248" t="s">
        <v>46746</v>
      </c>
      <c r="D4248" t="s">
        <v>46747</v>
      </c>
      <c r="E4248" t="s">
        <v>46748</v>
      </c>
      <c r="F4248" t="s">
        <v>46749</v>
      </c>
      <c r="G4248" t="s">
        <v>46750</v>
      </c>
      <c r="H4248" t="str">
        <f>"Elmo1"</f>
        <v>Elmo1</v>
      </c>
      <c r="I4248" t="s">
        <v>32</v>
      </c>
      <c r="J4248" t="s">
        <v>37</v>
      </c>
      <c r="K4248">
        <v>10090</v>
      </c>
      <c r="L4248" s="3" t="str">
        <f>HYPERLINK("http://www.uniprot.org/uniprot/Q8BPU7", "Q8BPU7")</f>
        <v>Q8BPU7</v>
      </c>
      <c r="M4248" t="s">
        <v>46751</v>
      </c>
      <c r="N4248" t="str">
        <f>"Elmo1"</f>
        <v>Elmo1</v>
      </c>
      <c r="O4248" s="3" t="str">
        <f>HYPERLINK("http://www.informatics.jax.org/marker/MGI:2153044", "MGI:2153044")</f>
        <v>MGI:2153044</v>
      </c>
      <c r="P4248" t="s">
        <v>46752</v>
      </c>
      <c r="Q4248" t="s">
        <v>22507</v>
      </c>
      <c r="R4248" t="s">
        <v>222</v>
      </c>
      <c r="S4248" t="s">
        <v>41</v>
      </c>
      <c r="T4248" t="s">
        <v>32</v>
      </c>
      <c r="U4248" t="s">
        <v>32</v>
      </c>
      <c r="V4248" t="s">
        <v>7861</v>
      </c>
      <c r="W4248" t="s">
        <v>32</v>
      </c>
      <c r="X4248" t="s">
        <v>32</v>
      </c>
      <c r="Y4248" t="s">
        <v>157</v>
      </c>
      <c r="Z4248" t="s">
        <v>32</v>
      </c>
      <c r="AA4248" t="s">
        <v>46753</v>
      </c>
      <c r="AB4248" t="s">
        <v>46754</v>
      </c>
      <c r="AC4248" t="s">
        <v>46755</v>
      </c>
      <c r="AD4248" t="s">
        <v>32</v>
      </c>
      <c r="AE4248" t="s">
        <v>46756</v>
      </c>
      <c r="AF4248" t="s">
        <v>46835</v>
      </c>
    </row>
    <row r="4249" spans="1:32" x14ac:dyDescent="0.2">
      <c r="A4249">
        <v>4244</v>
      </c>
      <c r="B4249" t="s">
        <v>46757</v>
      </c>
      <c r="C4249" t="s">
        <v>46758</v>
      </c>
      <c r="D4249" t="s">
        <v>46759</v>
      </c>
      <c r="E4249" t="s">
        <v>46760</v>
      </c>
      <c r="F4249" t="s">
        <v>46761</v>
      </c>
      <c r="G4249" t="s">
        <v>46762</v>
      </c>
      <c r="H4249" t="str">
        <f>"Gk"</f>
        <v>Gk</v>
      </c>
      <c r="I4249" t="s">
        <v>46763</v>
      </c>
      <c r="J4249" t="s">
        <v>37</v>
      </c>
      <c r="K4249">
        <v>10090</v>
      </c>
      <c r="L4249" s="3" t="str">
        <f>HYPERLINK("http://www.uniprot.org/uniprot/Q64516", "Q64516")</f>
        <v>Q64516</v>
      </c>
      <c r="M4249" t="s">
        <v>46764</v>
      </c>
      <c r="N4249" t="str">
        <f>"Gk"</f>
        <v>Gk</v>
      </c>
      <c r="O4249" s="3" t="str">
        <f>HYPERLINK("http://www.informatics.jax.org/marker/MGI:106594", "MGI:106594")</f>
        <v>MGI:106594</v>
      </c>
      <c r="P4249" t="s">
        <v>46765</v>
      </c>
      <c r="Q4249" t="s">
        <v>46766</v>
      </c>
      <c r="R4249" t="s">
        <v>9642</v>
      </c>
      <c r="S4249" t="s">
        <v>41</v>
      </c>
      <c r="T4249" t="s">
        <v>32</v>
      </c>
      <c r="U4249" t="s">
        <v>32</v>
      </c>
      <c r="V4249" t="s">
        <v>32</v>
      </c>
      <c r="W4249" t="s">
        <v>205</v>
      </c>
      <c r="X4249" t="s">
        <v>419</v>
      </c>
      <c r="Y4249" t="s">
        <v>32</v>
      </c>
      <c r="Z4249" t="s">
        <v>32</v>
      </c>
      <c r="AA4249" t="s">
        <v>46767</v>
      </c>
      <c r="AB4249" t="s">
        <v>46768</v>
      </c>
      <c r="AC4249" t="s">
        <v>46769</v>
      </c>
      <c r="AD4249" t="s">
        <v>46770</v>
      </c>
      <c r="AE4249" t="s">
        <v>46771</v>
      </c>
      <c r="AF4249" t="s">
        <v>46835</v>
      </c>
    </row>
    <row r="4250" spans="1:32" x14ac:dyDescent="0.2">
      <c r="A4250">
        <v>4245</v>
      </c>
      <c r="B4250" t="s">
        <v>46772</v>
      </c>
      <c r="C4250" t="s">
        <v>46773</v>
      </c>
      <c r="D4250" t="s">
        <v>46774</v>
      </c>
      <c r="E4250" t="s">
        <v>46775</v>
      </c>
      <c r="F4250" t="s">
        <v>46776</v>
      </c>
      <c r="G4250" t="s">
        <v>32</v>
      </c>
      <c r="H4250" t="str">
        <f>"Slc27a1"</f>
        <v>Slc27a1</v>
      </c>
      <c r="I4250" t="s">
        <v>32</v>
      </c>
      <c r="J4250" t="s">
        <v>37</v>
      </c>
      <c r="K4250">
        <v>10090</v>
      </c>
      <c r="L4250" s="3" t="str">
        <f>HYPERLINK("http://www.uniprot.org/uniprot/Q60714", "Q60714")</f>
        <v>Q60714</v>
      </c>
      <c r="M4250" t="s">
        <v>46777</v>
      </c>
      <c r="N4250" t="str">
        <f>"Slc27a1"</f>
        <v>Slc27a1</v>
      </c>
      <c r="O4250" s="3" t="str">
        <f>HYPERLINK("http://www.informatics.jax.org/marker/MGI:1347098", "MGI:1347098")</f>
        <v>MGI:1347098</v>
      </c>
      <c r="P4250" t="s">
        <v>46778</v>
      </c>
      <c r="Q4250" t="s">
        <v>43058</v>
      </c>
      <c r="R4250" t="s">
        <v>46779</v>
      </c>
      <c r="S4250" t="s">
        <v>32</v>
      </c>
      <c r="T4250" t="s">
        <v>32</v>
      </c>
      <c r="U4250" t="s">
        <v>32</v>
      </c>
      <c r="V4250" t="s">
        <v>493</v>
      </c>
      <c r="W4250" t="s">
        <v>5169</v>
      </c>
      <c r="X4250" t="s">
        <v>1022</v>
      </c>
      <c r="Y4250" t="s">
        <v>32</v>
      </c>
      <c r="Z4250" t="s">
        <v>32</v>
      </c>
      <c r="AA4250" t="s">
        <v>46780</v>
      </c>
      <c r="AB4250" t="s">
        <v>46781</v>
      </c>
      <c r="AC4250" t="s">
        <v>46782</v>
      </c>
      <c r="AD4250" t="s">
        <v>32</v>
      </c>
      <c r="AE4250" t="s">
        <v>43062</v>
      </c>
      <c r="AF4250" t="s">
        <v>46835</v>
      </c>
    </row>
    <row r="4251" spans="1:32" x14ac:dyDescent="0.2">
      <c r="A4251">
        <v>4246</v>
      </c>
      <c r="B4251" t="s">
        <v>46783</v>
      </c>
      <c r="C4251" t="s">
        <v>46784</v>
      </c>
      <c r="D4251" t="s">
        <v>46785</v>
      </c>
      <c r="E4251" t="s">
        <v>46786</v>
      </c>
      <c r="F4251" t="s">
        <v>46787</v>
      </c>
      <c r="G4251" t="s">
        <v>46788</v>
      </c>
      <c r="H4251" t="str">
        <f>"Chd8"</f>
        <v>Chd8</v>
      </c>
      <c r="I4251" t="s">
        <v>46789</v>
      </c>
      <c r="J4251" t="s">
        <v>37</v>
      </c>
      <c r="K4251">
        <v>10090</v>
      </c>
      <c r="L4251" s="3" t="str">
        <f>HYPERLINK("http://www.uniprot.org/uniprot/Q09XV5", "Q09XV5")</f>
        <v>Q09XV5</v>
      </c>
      <c r="M4251" t="s">
        <v>46790</v>
      </c>
      <c r="N4251" t="str">
        <f>"Chd8"</f>
        <v>Chd8</v>
      </c>
      <c r="O4251" s="3" t="str">
        <f>HYPERLINK("http://www.informatics.jax.org/marker/MGI:1915022", "MGI:1915022")</f>
        <v>MGI:1915022</v>
      </c>
      <c r="P4251" t="s">
        <v>46791</v>
      </c>
      <c r="Q4251" t="s">
        <v>17650</v>
      </c>
      <c r="R4251" t="s">
        <v>2279</v>
      </c>
      <c r="S4251" t="s">
        <v>41</v>
      </c>
      <c r="T4251" t="s">
        <v>32</v>
      </c>
      <c r="U4251" t="s">
        <v>32</v>
      </c>
      <c r="V4251" t="s">
        <v>55</v>
      </c>
      <c r="W4251" t="s">
        <v>205</v>
      </c>
      <c r="X4251" t="s">
        <v>46792</v>
      </c>
      <c r="Y4251" t="s">
        <v>1007</v>
      </c>
      <c r="Z4251" t="s">
        <v>32</v>
      </c>
      <c r="AA4251" t="s">
        <v>46793</v>
      </c>
      <c r="AB4251" t="s">
        <v>46794</v>
      </c>
      <c r="AC4251" t="s">
        <v>46795</v>
      </c>
      <c r="AD4251" t="s">
        <v>32</v>
      </c>
      <c r="AE4251" t="s">
        <v>46796</v>
      </c>
      <c r="AF4251" t="s">
        <v>46835</v>
      </c>
    </row>
    <row r="4252" spans="1:32" x14ac:dyDescent="0.2">
      <c r="A4252">
        <v>4247</v>
      </c>
      <c r="B4252" t="s">
        <v>46797</v>
      </c>
      <c r="C4252" t="s">
        <v>46798</v>
      </c>
      <c r="D4252" t="s">
        <v>46799</v>
      </c>
      <c r="E4252" t="s">
        <v>46800</v>
      </c>
      <c r="F4252" t="s">
        <v>46801</v>
      </c>
      <c r="G4252" t="s">
        <v>46802</v>
      </c>
      <c r="H4252" t="str">
        <f>"Pus1"</f>
        <v>Pus1</v>
      </c>
      <c r="I4252" t="s">
        <v>32</v>
      </c>
      <c r="J4252" t="s">
        <v>37</v>
      </c>
      <c r="K4252">
        <v>10090</v>
      </c>
      <c r="L4252" s="3" t="str">
        <f>HYPERLINK("http://www.uniprot.org/uniprot/Q9WU56", "Q9WU56")</f>
        <v>Q9WU56</v>
      </c>
      <c r="M4252" t="s">
        <v>46803</v>
      </c>
      <c r="N4252" t="str">
        <f>"Pus1"</f>
        <v>Pus1</v>
      </c>
      <c r="O4252" s="3" t="str">
        <f>HYPERLINK("http://www.informatics.jax.org/marker/MGI:1929237", "MGI:1929237")</f>
        <v>MGI:1929237</v>
      </c>
      <c r="P4252" t="s">
        <v>46804</v>
      </c>
      <c r="Q4252" t="s">
        <v>36749</v>
      </c>
      <c r="R4252" t="s">
        <v>1021</v>
      </c>
      <c r="S4252" t="s">
        <v>41</v>
      </c>
      <c r="T4252" t="s">
        <v>32</v>
      </c>
      <c r="U4252" t="s">
        <v>32</v>
      </c>
      <c r="V4252" t="s">
        <v>1039</v>
      </c>
      <c r="W4252" t="s">
        <v>32</v>
      </c>
      <c r="X4252" t="s">
        <v>673</v>
      </c>
      <c r="Y4252" t="s">
        <v>618</v>
      </c>
      <c r="Z4252" t="s">
        <v>32</v>
      </c>
      <c r="AA4252" t="s">
        <v>46805</v>
      </c>
      <c r="AB4252" t="s">
        <v>46806</v>
      </c>
      <c r="AC4252" t="s">
        <v>46807</v>
      </c>
      <c r="AD4252" t="s">
        <v>32</v>
      </c>
      <c r="AE4252" t="s">
        <v>32</v>
      </c>
      <c r="AF4252" t="s">
        <v>46835</v>
      </c>
    </row>
    <row r="4253" spans="1:32" x14ac:dyDescent="0.2">
      <c r="A4253">
        <v>4248</v>
      </c>
      <c r="B4253" t="s">
        <v>46808</v>
      </c>
      <c r="C4253" t="s">
        <v>46809</v>
      </c>
      <c r="D4253" t="s">
        <v>46810</v>
      </c>
      <c r="E4253" t="s">
        <v>46811</v>
      </c>
      <c r="F4253" t="s">
        <v>46812</v>
      </c>
      <c r="G4253" t="s">
        <v>46813</v>
      </c>
      <c r="H4253" t="str">
        <f>"Smad3"</f>
        <v>Smad3</v>
      </c>
      <c r="I4253" t="s">
        <v>46814</v>
      </c>
      <c r="J4253" t="s">
        <v>37</v>
      </c>
      <c r="K4253">
        <v>10090</v>
      </c>
      <c r="L4253" s="3" t="str">
        <f>HYPERLINK("http://www.uniprot.org/uniprot/Q8BUN5", "Q8BUN5")</f>
        <v>Q8BUN5</v>
      </c>
      <c r="M4253" t="s">
        <v>46815</v>
      </c>
      <c r="N4253" t="str">
        <f>"Smad3"</f>
        <v>Smad3</v>
      </c>
      <c r="O4253" s="3" t="str">
        <f>HYPERLINK("http://www.informatics.jax.org/marker/MGI:1201674", "MGI:1201674")</f>
        <v>MGI:1201674</v>
      </c>
      <c r="P4253" t="s">
        <v>46816</v>
      </c>
      <c r="Q4253" t="s">
        <v>4152</v>
      </c>
      <c r="R4253" t="s">
        <v>40</v>
      </c>
      <c r="S4253" t="s">
        <v>32</v>
      </c>
      <c r="T4253" t="s">
        <v>32</v>
      </c>
      <c r="U4253" t="s">
        <v>32</v>
      </c>
      <c r="V4253" t="s">
        <v>32</v>
      </c>
      <c r="W4253" t="s">
        <v>42</v>
      </c>
      <c r="X4253" t="s">
        <v>32</v>
      </c>
      <c r="Y4253" t="s">
        <v>448</v>
      </c>
      <c r="Z4253" t="s">
        <v>32</v>
      </c>
      <c r="AA4253" t="s">
        <v>46817</v>
      </c>
      <c r="AB4253" t="s">
        <v>46818</v>
      </c>
      <c r="AC4253" t="s">
        <v>46819</v>
      </c>
      <c r="AD4253" t="s">
        <v>32</v>
      </c>
      <c r="AE4253" t="s">
        <v>46820</v>
      </c>
      <c r="AF4253" t="s">
        <v>46835</v>
      </c>
    </row>
    <row r="4254" spans="1:32" x14ac:dyDescent="0.2">
      <c r="A4254">
        <v>4249</v>
      </c>
      <c r="B4254" t="s">
        <v>46821</v>
      </c>
      <c r="C4254" t="s">
        <v>46822</v>
      </c>
      <c r="D4254" t="s">
        <v>46823</v>
      </c>
      <c r="E4254" t="s">
        <v>46824</v>
      </c>
      <c r="F4254" t="s">
        <v>46825</v>
      </c>
      <c r="G4254" t="s">
        <v>46826</v>
      </c>
      <c r="H4254" t="str">
        <f>"Taf5l"</f>
        <v>Taf5l</v>
      </c>
      <c r="I4254" t="s">
        <v>46827</v>
      </c>
      <c r="J4254" t="s">
        <v>37</v>
      </c>
      <c r="K4254">
        <v>10090</v>
      </c>
      <c r="L4254" s="3" t="str">
        <f>HYPERLINK("http://www.uniprot.org/uniprot/Q91WQ5", "Q91WQ5")</f>
        <v>Q91WQ5</v>
      </c>
      <c r="M4254" t="s">
        <v>46828</v>
      </c>
      <c r="N4254" t="str">
        <f>"Taf5l"</f>
        <v>Taf5l</v>
      </c>
      <c r="O4254" s="3" t="str">
        <f>HYPERLINK("http://www.informatics.jax.org/marker/MGI:1919039", "MGI:1919039")</f>
        <v>MGI:1919039</v>
      </c>
      <c r="P4254" t="s">
        <v>46829</v>
      </c>
      <c r="Q4254" t="s">
        <v>4152</v>
      </c>
      <c r="R4254" t="s">
        <v>2279</v>
      </c>
      <c r="S4254" t="s">
        <v>32</v>
      </c>
      <c r="T4254" t="s">
        <v>32</v>
      </c>
      <c r="U4254" t="s">
        <v>32</v>
      </c>
      <c r="V4254" t="s">
        <v>1910</v>
      </c>
      <c r="W4254" t="s">
        <v>32</v>
      </c>
      <c r="X4254" t="s">
        <v>32</v>
      </c>
      <c r="Y4254" t="s">
        <v>32</v>
      </c>
      <c r="Z4254" t="s">
        <v>32</v>
      </c>
      <c r="AA4254" t="s">
        <v>46830</v>
      </c>
      <c r="AB4254" t="s">
        <v>46831</v>
      </c>
      <c r="AC4254" t="s">
        <v>13501</v>
      </c>
      <c r="AD4254" t="s">
        <v>32</v>
      </c>
      <c r="AE4254" t="s">
        <v>32</v>
      </c>
      <c r="AF4254" t="s">
        <v>46835</v>
      </c>
    </row>
    <row r="4255" spans="1:32" x14ac:dyDescent="0.2">
      <c r="O4255" s="3"/>
    </row>
  </sheetData>
  <autoFilter ref="A5:BA4254" xr:uid="{DE335CFE-2590-DF48-A3C7-3D86E4C1C971}">
    <sortState xmlns:xlrd2="http://schemas.microsoft.com/office/spreadsheetml/2017/richdata2" ref="A6:BA4254">
      <sortCondition ref="A5:A425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Annotations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2024-01-18T17:52:25Z</dcterms:created>
  <dcterms:modified xsi:type="dcterms:W3CDTF">2024-01-18T19:19:10Z</dcterms:modified>
</cp:coreProperties>
</file>